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360" yWindow="-165" windowWidth="19785" windowHeight="8310" activeTab="2"/>
  </bookViews>
  <sheets>
    <sheet name="DATA-original" sheetId="1" r:id="rId1"/>
    <sheet name="DATA-kopi" sheetId="2" r:id="rId2"/>
    <sheet name="CO2regnskab2008-2015" sheetId="7" r:id="rId3"/>
    <sheet name="Pivot" sheetId="10" r:id="rId4"/>
    <sheet name="CO2 beregning" sheetId="11" r:id="rId5"/>
    <sheet name="Ark4" sheetId="13" state="hidden" r:id="rId6"/>
    <sheet name="Ark5" sheetId="14" state="hidden" r:id="rId7"/>
    <sheet name="Ark6" sheetId="15" state="hidden" r:id="rId8"/>
    <sheet name="Energipriser - varme" sheetId="16" r:id="rId9"/>
    <sheet name="Ark1" sheetId="17" state="hidden" r:id="rId10"/>
    <sheet name="Bygninger" sheetId="18" r:id="rId11"/>
  </sheets>
  <calcPr calcId="145621"/>
  <pivotCaches>
    <pivotCache cacheId="0" r:id="rId12"/>
    <pivotCache cacheId="1" r:id="rId13"/>
  </pivotCaches>
</workbook>
</file>

<file path=xl/calcChain.xml><?xml version="1.0" encoding="utf-8"?>
<calcChain xmlns="http://schemas.openxmlformats.org/spreadsheetml/2006/main">
  <c r="B3" i="16" l="1"/>
  <c r="S16" i="11" l="1"/>
  <c r="S15" i="11"/>
  <c r="Q16" i="11"/>
  <c r="P16" i="11"/>
  <c r="P15" i="11"/>
  <c r="Q8" i="11"/>
  <c r="Q9" i="11"/>
  <c r="Q10" i="11"/>
  <c r="Q11" i="11"/>
  <c r="Q12" i="11"/>
  <c r="Q13" i="11"/>
  <c r="Q14" i="11"/>
  <c r="U8" i="11"/>
  <c r="U16" i="11" s="1"/>
  <c r="I103" i="7" s="1"/>
  <c r="U9" i="11"/>
  <c r="U10" i="11"/>
  <c r="U11" i="11"/>
  <c r="U12" i="11"/>
  <c r="U13" i="11"/>
  <c r="U14" i="11"/>
  <c r="P92" i="7" l="1"/>
  <c r="T34" i="16"/>
  <c r="S34" i="16"/>
  <c r="R34" i="16"/>
  <c r="O92" i="7"/>
  <c r="N78" i="16"/>
  <c r="L78" i="16"/>
  <c r="J78" i="16"/>
  <c r="J75" i="16"/>
  <c r="I92" i="7"/>
  <c r="H92" i="7"/>
  <c r="G92" i="7"/>
  <c r="F92" i="7"/>
  <c r="E92" i="7"/>
  <c r="D92" i="7"/>
  <c r="C92" i="7"/>
  <c r="B92" i="7"/>
  <c r="I51" i="7"/>
  <c r="H51" i="7"/>
  <c r="G51" i="7"/>
  <c r="F51" i="7"/>
  <c r="E51" i="7"/>
  <c r="D51" i="7"/>
  <c r="C51" i="7"/>
  <c r="B51" i="7"/>
  <c r="I72" i="7"/>
  <c r="H72" i="7"/>
  <c r="G72" i="7"/>
  <c r="F72" i="7"/>
  <c r="E72" i="7"/>
  <c r="D72" i="7"/>
  <c r="C72" i="7"/>
  <c r="B72" i="7"/>
  <c r="I31" i="7"/>
  <c r="H31" i="7"/>
  <c r="P31" i="7" s="1"/>
  <c r="G31" i="7"/>
  <c r="F31" i="7"/>
  <c r="E31" i="7"/>
  <c r="D31" i="7"/>
  <c r="C31" i="7"/>
  <c r="B31" i="7"/>
  <c r="S4542" i="2"/>
  <c r="J4542" i="2"/>
  <c r="R4538" i="2"/>
  <c r="J4538" i="2"/>
  <c r="R4534" i="2"/>
  <c r="J4534" i="2"/>
  <c r="R4528" i="2"/>
  <c r="J4528" i="2"/>
  <c r="R4523" i="2"/>
  <c r="J4523" i="2"/>
  <c r="R4517" i="2"/>
  <c r="J4517" i="2"/>
  <c r="R4512" i="2"/>
  <c r="J4512" i="2"/>
  <c r="R4507" i="2"/>
  <c r="J4507" i="2"/>
  <c r="D71" i="7"/>
  <c r="E71" i="7"/>
  <c r="E30" i="7"/>
  <c r="D30" i="7"/>
  <c r="G71" i="7"/>
  <c r="G30" i="7"/>
  <c r="B30" i="7"/>
  <c r="C30" i="7"/>
  <c r="E91" i="7"/>
  <c r="D91" i="7"/>
  <c r="C91" i="7"/>
  <c r="B91" i="7"/>
  <c r="E50" i="7"/>
  <c r="D50" i="7"/>
  <c r="F50" i="7"/>
  <c r="G50" i="7"/>
  <c r="H71" i="7"/>
  <c r="I71" i="7"/>
  <c r="I30" i="7"/>
  <c r="H30" i="7"/>
  <c r="B71" i="7"/>
  <c r="C71" i="7"/>
  <c r="F30" i="7"/>
  <c r="F71" i="7"/>
  <c r="I91" i="7"/>
  <c r="H91" i="7"/>
  <c r="G91" i="7"/>
  <c r="F91" i="7"/>
  <c r="I50" i="7"/>
  <c r="H50" i="7"/>
  <c r="C50" i="7"/>
  <c r="B50" i="7"/>
  <c r="I45" i="7"/>
  <c r="K31" i="7" l="1"/>
  <c r="L91" i="7"/>
  <c r="J91" i="7"/>
  <c r="M91" i="7"/>
  <c r="K91" i="7"/>
  <c r="K71" i="7"/>
  <c r="M71" i="7"/>
  <c r="J71" i="7"/>
  <c r="L71" i="7"/>
  <c r="L31" i="7"/>
  <c r="L50" i="7"/>
  <c r="J50" i="7"/>
  <c r="M50" i="7"/>
  <c r="K50" i="7"/>
  <c r="J31" i="7"/>
  <c r="M31" i="7"/>
  <c r="O31" i="7"/>
  <c r="O30" i="7"/>
  <c r="L30" i="7"/>
  <c r="P30" i="7"/>
  <c r="M30" i="7"/>
  <c r="T27" i="16"/>
  <c r="T25" i="16"/>
  <c r="T19" i="16"/>
  <c r="O54" i="16"/>
  <c r="N54" i="16"/>
  <c r="M54" i="16"/>
  <c r="O60" i="16"/>
  <c r="N60" i="16"/>
  <c r="M60" i="16"/>
  <c r="T15" i="16"/>
  <c r="W4" i="16" s="1"/>
  <c r="T21" i="16" s="1"/>
  <c r="O4" i="16"/>
  <c r="O7" i="16"/>
  <c r="O10" i="16"/>
  <c r="O28" i="16"/>
  <c r="O30" i="16"/>
  <c r="O33" i="16"/>
  <c r="O38" i="16"/>
  <c r="O43" i="16"/>
  <c r="O47" i="16"/>
  <c r="O52" i="16"/>
  <c r="O63" i="16"/>
  <c r="O73" i="16"/>
  <c r="O75" i="16"/>
  <c r="N75" i="16"/>
  <c r="T33" i="16" s="1"/>
  <c r="P91" i="7" s="1"/>
  <c r="N73" i="16"/>
  <c r="N63" i="16"/>
  <c r="N52" i="16"/>
  <c r="M52" i="16"/>
  <c r="N47" i="16"/>
  <c r="N43" i="16"/>
  <c r="N38" i="16"/>
  <c r="N33" i="16"/>
  <c r="N30" i="16"/>
  <c r="N28" i="16"/>
  <c r="N10" i="16"/>
  <c r="N7" i="16"/>
  <c r="N4" i="16"/>
  <c r="M73" i="16"/>
  <c r="M43" i="16"/>
  <c r="M47" i="16"/>
  <c r="S27" i="16" s="1"/>
  <c r="M63" i="16"/>
  <c r="M75" i="16"/>
  <c r="L75" i="16"/>
  <c r="S33" i="16" s="1"/>
  <c r="L73" i="16"/>
  <c r="L63" i="16"/>
  <c r="L60" i="16"/>
  <c r="L54" i="16"/>
  <c r="L52" i="16"/>
  <c r="L47" i="16"/>
  <c r="L43" i="16"/>
  <c r="M38" i="16"/>
  <c r="L38" i="16"/>
  <c r="S25" i="16" s="1"/>
  <c r="M33" i="16"/>
  <c r="L33" i="16"/>
  <c r="M30" i="16"/>
  <c r="L30" i="16"/>
  <c r="M28" i="16"/>
  <c r="L28" i="16"/>
  <c r="M10" i="16"/>
  <c r="M7" i="16"/>
  <c r="L10" i="16"/>
  <c r="L7" i="16"/>
  <c r="L4" i="16"/>
  <c r="M4" i="16"/>
  <c r="S19" i="16" s="1"/>
  <c r="O77" i="7" s="1"/>
  <c r="K75" i="16"/>
  <c r="K73" i="16"/>
  <c r="K63" i="16"/>
  <c r="K60" i="16"/>
  <c r="K54" i="16"/>
  <c r="K52" i="16"/>
  <c r="K47" i="16"/>
  <c r="K43" i="16"/>
  <c r="K38" i="16"/>
  <c r="K33" i="16"/>
  <c r="K30" i="16"/>
  <c r="K28" i="16"/>
  <c r="K7" i="16"/>
  <c r="K4" i="16"/>
  <c r="K10" i="16"/>
  <c r="R33" i="16"/>
  <c r="J73" i="16"/>
  <c r="J63" i="16"/>
  <c r="J60" i="16"/>
  <c r="J54" i="16"/>
  <c r="J52" i="16"/>
  <c r="J47" i="16"/>
  <c r="R27" i="16" s="1"/>
  <c r="J43" i="16"/>
  <c r="J38" i="16"/>
  <c r="R25" i="16" s="1"/>
  <c r="J33" i="16"/>
  <c r="J30" i="16"/>
  <c r="J28" i="16"/>
  <c r="J10" i="16"/>
  <c r="J7" i="16"/>
  <c r="J4" i="16"/>
  <c r="R19" i="16" s="1"/>
  <c r="D11" i="16"/>
  <c r="E11" i="16" s="1"/>
  <c r="D10" i="16"/>
  <c r="E10" i="16" s="1"/>
  <c r="D9" i="16"/>
  <c r="E9" i="16" s="1"/>
  <c r="E5" i="16"/>
  <c r="G5" i="16" s="1"/>
  <c r="E4" i="16"/>
  <c r="G4" i="16" s="1"/>
  <c r="E3" i="16"/>
  <c r="G3" i="16" s="1"/>
  <c r="B5" i="16"/>
  <c r="D5" i="16" s="1"/>
  <c r="D3" i="16"/>
  <c r="B4" i="16"/>
  <c r="D4" i="16" s="1"/>
  <c r="C19" i="16"/>
  <c r="C18" i="16"/>
  <c r="C17" i="16"/>
  <c r="I113" i="7"/>
  <c r="I114" i="7"/>
  <c r="I115" i="7"/>
  <c r="P71" i="7" l="1"/>
  <c r="O71" i="7"/>
  <c r="O83" i="7"/>
  <c r="O85" i="7"/>
  <c r="P83" i="7"/>
  <c r="O91" i="7"/>
  <c r="P77" i="7"/>
  <c r="P85" i="7"/>
  <c r="U13" i="16"/>
  <c r="R32" i="16" s="1"/>
  <c r="U11" i="16"/>
  <c r="R30" i="16" s="1"/>
  <c r="U9" i="16"/>
  <c r="R28" i="16" s="1"/>
  <c r="U7" i="16"/>
  <c r="R24" i="16" s="1"/>
  <c r="U5" i="16"/>
  <c r="R22" i="16" s="1"/>
  <c r="V3" i="16"/>
  <c r="S20" i="16" s="1"/>
  <c r="V13" i="16"/>
  <c r="S32" i="16" s="1"/>
  <c r="O90" i="7" s="1"/>
  <c r="V11" i="16"/>
  <c r="S30" i="16" s="1"/>
  <c r="O88" i="7" s="1"/>
  <c r="V9" i="16"/>
  <c r="S28" i="16" s="1"/>
  <c r="O86" i="7" s="1"/>
  <c r="V7" i="16"/>
  <c r="S24" i="16" s="1"/>
  <c r="O82" i="7" s="1"/>
  <c r="V5" i="16"/>
  <c r="S22" i="16" s="1"/>
  <c r="O80" i="7" s="1"/>
  <c r="W13" i="16"/>
  <c r="T32" i="16" s="1"/>
  <c r="W11" i="16"/>
  <c r="T30" i="16" s="1"/>
  <c r="W9" i="16"/>
  <c r="T28" i="16" s="1"/>
  <c r="W7" i="16"/>
  <c r="T24" i="16" s="1"/>
  <c r="W5" i="16"/>
  <c r="T22" i="16" s="1"/>
  <c r="U3" i="16"/>
  <c r="R20" i="16" s="1"/>
  <c r="U12" i="16"/>
  <c r="R31" i="16" s="1"/>
  <c r="U10" i="16"/>
  <c r="R29" i="16" s="1"/>
  <c r="U8" i="16"/>
  <c r="R26" i="16" s="1"/>
  <c r="U6" i="16"/>
  <c r="R23" i="16" s="1"/>
  <c r="U4" i="16"/>
  <c r="R21" i="16" s="1"/>
  <c r="W3" i="16"/>
  <c r="T20" i="16" s="1"/>
  <c r="V12" i="16"/>
  <c r="S31" i="16" s="1"/>
  <c r="O89" i="7" s="1"/>
  <c r="V10" i="16"/>
  <c r="S29" i="16" s="1"/>
  <c r="O87" i="7" s="1"/>
  <c r="V8" i="16"/>
  <c r="S26" i="16" s="1"/>
  <c r="O84" i="7" s="1"/>
  <c r="V6" i="16"/>
  <c r="S23" i="16" s="1"/>
  <c r="O81" i="7" s="1"/>
  <c r="V4" i="16"/>
  <c r="S21" i="16" s="1"/>
  <c r="O79" i="7" s="1"/>
  <c r="W12" i="16"/>
  <c r="T31" i="16" s="1"/>
  <c r="W10" i="16"/>
  <c r="T29" i="16" s="1"/>
  <c r="W8" i="16"/>
  <c r="T26" i="16" s="1"/>
  <c r="W6" i="16"/>
  <c r="T23" i="16" s="1"/>
  <c r="J301" i="2"/>
  <c r="P84" i="7" l="1"/>
  <c r="P89" i="7"/>
  <c r="P78" i="7"/>
  <c r="P82" i="7"/>
  <c r="P88" i="7"/>
  <c r="P81" i="7"/>
  <c r="P87" i="7"/>
  <c r="P80" i="7"/>
  <c r="P86" i="7"/>
  <c r="P90" i="7"/>
  <c r="O78" i="7"/>
  <c r="O93" i="7" s="1"/>
  <c r="P79" i="7"/>
  <c r="I101" i="7"/>
  <c r="I100" i="7"/>
  <c r="I54" i="11"/>
  <c r="F53" i="11"/>
  <c r="I53" i="11" s="1"/>
  <c r="F52" i="11"/>
  <c r="I52" i="11" s="1"/>
  <c r="F51" i="11"/>
  <c r="I51" i="11" s="1"/>
  <c r="P93" i="7" l="1"/>
  <c r="M5" i="7"/>
  <c r="M4" i="7"/>
  <c r="L4" i="7"/>
  <c r="L5" i="7"/>
  <c r="K4" i="7"/>
  <c r="K5" i="7"/>
  <c r="J5" i="7"/>
  <c r="J4" i="7"/>
  <c r="M10" i="7"/>
  <c r="L10" i="7"/>
  <c r="K10" i="7"/>
  <c r="J10" i="7"/>
  <c r="R2612" i="2"/>
  <c r="G101" i="7" l="1"/>
  <c r="H101" i="7"/>
  <c r="F101" i="7"/>
  <c r="E101" i="7"/>
  <c r="C101" i="7"/>
  <c r="D101" i="7"/>
  <c r="B101" i="7"/>
  <c r="Q101" i="7" s="1"/>
  <c r="Q7" i="11"/>
  <c r="Q15" i="11" s="1"/>
  <c r="U7" i="11"/>
  <c r="U15" i="11" s="1"/>
  <c r="H103" i="7" s="1"/>
  <c r="I8" i="11"/>
  <c r="I9" i="11"/>
  <c r="I13" i="11"/>
  <c r="I14" i="11"/>
  <c r="I18" i="11"/>
  <c r="I19" i="11"/>
  <c r="F23" i="11"/>
  <c r="I23" i="11" s="1"/>
  <c r="F24" i="11"/>
  <c r="I24" i="11" s="1"/>
  <c r="D25" i="11"/>
  <c r="E25" i="11"/>
  <c r="I26" i="11"/>
  <c r="F30" i="11"/>
  <c r="I30" i="11" s="1"/>
  <c r="F31" i="11"/>
  <c r="I31" i="11" s="1"/>
  <c r="D32" i="11"/>
  <c r="E32" i="11"/>
  <c r="I33" i="11"/>
  <c r="F37" i="11"/>
  <c r="I37" i="11" s="1"/>
  <c r="D38" i="11"/>
  <c r="F38" i="11" s="1"/>
  <c r="E39" i="11"/>
  <c r="I40" i="11"/>
  <c r="F44" i="11"/>
  <c r="I44" i="11" s="1"/>
  <c r="F45" i="11"/>
  <c r="I45" i="11" s="1"/>
  <c r="D46" i="11"/>
  <c r="E46" i="11"/>
  <c r="F46" i="11" s="1"/>
  <c r="I46" i="11" s="1"/>
  <c r="I47" i="11"/>
  <c r="I88" i="7"/>
  <c r="E84" i="7"/>
  <c r="I79" i="7"/>
  <c r="B78" i="7"/>
  <c r="G87" i="7"/>
  <c r="D83" i="7"/>
  <c r="H78" i="7"/>
  <c r="H90" i="7"/>
  <c r="E86" i="7"/>
  <c r="I81" i="7"/>
  <c r="F77" i="7"/>
  <c r="F88" i="7"/>
  <c r="B84" i="7"/>
  <c r="F79" i="7"/>
  <c r="F90" i="7"/>
  <c r="C86" i="7"/>
  <c r="E78" i="7"/>
  <c r="H84" i="7"/>
  <c r="B82" i="7"/>
  <c r="F82" i="7"/>
  <c r="C89" i="7"/>
  <c r="C80" i="7"/>
  <c r="G81" i="7"/>
  <c r="D88" i="7"/>
  <c r="D79" i="7"/>
  <c r="H85" i="7"/>
  <c r="C90" i="7"/>
  <c r="D81" i="7"/>
  <c r="B90" i="7"/>
  <c r="F85" i="7"/>
  <c r="C81" i="7"/>
  <c r="B88" i="7"/>
  <c r="H88" i="7"/>
  <c r="D84" i="7"/>
  <c r="H79" i="7"/>
  <c r="B77" i="7"/>
  <c r="F87" i="7"/>
  <c r="C83" i="7"/>
  <c r="G78" i="7"/>
  <c r="G89" i="7"/>
  <c r="C85" i="7"/>
  <c r="G80" i="7"/>
  <c r="B85" i="7"/>
  <c r="D87" i="7"/>
  <c r="F80" i="7"/>
  <c r="C87" i="7"/>
  <c r="D78" i="7"/>
  <c r="G84" i="7"/>
  <c r="B81" i="7"/>
  <c r="E82" i="7"/>
  <c r="I83" i="7"/>
  <c r="E90" i="7"/>
  <c r="F81" i="7"/>
  <c r="C88" i="7"/>
  <c r="C79" i="7"/>
  <c r="F83" i="7"/>
  <c r="C48" i="7"/>
  <c r="C44" i="7"/>
  <c r="C40" i="7"/>
  <c r="C36" i="7"/>
  <c r="B47" i="7"/>
  <c r="B43" i="7"/>
  <c r="B39" i="7"/>
  <c r="I48" i="7"/>
  <c r="I43" i="7"/>
  <c r="I39" i="7"/>
  <c r="H49" i="7"/>
  <c r="H45" i="7"/>
  <c r="H41" i="7"/>
  <c r="H37" i="7"/>
  <c r="G47" i="7"/>
  <c r="G39" i="7"/>
  <c r="F43" i="7"/>
  <c r="E47" i="7"/>
  <c r="E39" i="7"/>
  <c r="D43" i="7"/>
  <c r="G48" i="7"/>
  <c r="G40" i="7"/>
  <c r="F48" i="7"/>
  <c r="F40" i="7"/>
  <c r="E46" i="7"/>
  <c r="E38" i="7"/>
  <c r="D42" i="7"/>
  <c r="D44" i="7"/>
  <c r="C49" i="7"/>
  <c r="C45" i="7"/>
  <c r="C41" i="7"/>
  <c r="C37" i="7"/>
  <c r="B46" i="7"/>
  <c r="B42" i="7"/>
  <c r="B38" i="7"/>
  <c r="I47" i="7"/>
  <c r="I42" i="7"/>
  <c r="I38" i="7"/>
  <c r="H48" i="7"/>
  <c r="H44" i="7"/>
  <c r="H40" i="7"/>
  <c r="H36" i="7"/>
  <c r="G45" i="7"/>
  <c r="G37" i="7"/>
  <c r="F45" i="7"/>
  <c r="F37" i="7"/>
  <c r="E45" i="7"/>
  <c r="E37" i="7"/>
  <c r="D45" i="7"/>
  <c r="D37" i="7"/>
  <c r="G42" i="7"/>
  <c r="F46" i="7"/>
  <c r="F38" i="7"/>
  <c r="E44" i="7"/>
  <c r="D36" i="7"/>
  <c r="D40" i="7"/>
  <c r="G86" i="7"/>
  <c r="D82" i="7"/>
  <c r="H77" i="7"/>
  <c r="I89" i="7"/>
  <c r="E85" i="7"/>
  <c r="I80" i="7"/>
  <c r="B87" i="7"/>
  <c r="G88" i="7"/>
  <c r="C84" i="7"/>
  <c r="G79" i="7"/>
  <c r="G90" i="7"/>
  <c r="D86" i="7"/>
  <c r="H81" i="7"/>
  <c r="E77" i="7"/>
  <c r="E88" i="7"/>
  <c r="H82" i="7"/>
  <c r="E80" i="7"/>
  <c r="C78" i="7"/>
  <c r="B80" i="7"/>
  <c r="H83" i="7"/>
  <c r="E81" i="7"/>
  <c r="B89" i="7"/>
  <c r="E83" i="7"/>
  <c r="I90" i="7"/>
  <c r="C82" i="7"/>
  <c r="H89" i="7"/>
  <c r="H80" i="7"/>
  <c r="E87" i="7"/>
  <c r="F78" i="7"/>
  <c r="I84" i="7"/>
  <c r="G82" i="7"/>
  <c r="D80" i="7"/>
  <c r="I77" i="7"/>
  <c r="I85" i="7"/>
  <c r="G83" i="7"/>
  <c r="B79" i="7"/>
  <c r="C42" i="7"/>
  <c r="B49" i="7"/>
  <c r="B41" i="7"/>
  <c r="I46" i="7"/>
  <c r="I37" i="7"/>
  <c r="H43" i="7"/>
  <c r="B36" i="7"/>
  <c r="F47" i="7"/>
  <c r="E43" i="7"/>
  <c r="D39" i="7"/>
  <c r="G36" i="7"/>
  <c r="F36" i="7"/>
  <c r="D46" i="7"/>
  <c r="E36" i="7"/>
  <c r="C43" i="7"/>
  <c r="B48" i="7"/>
  <c r="B40" i="7"/>
  <c r="I44" i="7"/>
  <c r="I36" i="7"/>
  <c r="H42" i="7"/>
  <c r="G49" i="7"/>
  <c r="F49" i="7"/>
  <c r="E49" i="7"/>
  <c r="D49" i="7"/>
  <c r="G46" i="7"/>
  <c r="F42" i="7"/>
  <c r="E40" i="7"/>
  <c r="E89" i="7"/>
  <c r="I86" i="7"/>
  <c r="F84" i="7"/>
  <c r="D77" i="7"/>
  <c r="D90" i="7"/>
  <c r="G85" i="7"/>
  <c r="H87" i="7"/>
  <c r="I78" i="7"/>
  <c r="F86" i="7"/>
  <c r="G77" i="7"/>
  <c r="D85" i="7"/>
  <c r="B86" i="7"/>
  <c r="I82" i="7"/>
  <c r="F89" i="7"/>
  <c r="B83" i="7"/>
  <c r="D89" i="7"/>
  <c r="H86" i="7"/>
  <c r="E79" i="7"/>
  <c r="C77" i="7"/>
  <c r="I87" i="7"/>
  <c r="C46" i="7"/>
  <c r="C38" i="7"/>
  <c r="B45" i="7"/>
  <c r="B37" i="7"/>
  <c r="I41" i="7"/>
  <c r="H47" i="7"/>
  <c r="H39" i="7"/>
  <c r="G43" i="7"/>
  <c r="F39" i="7"/>
  <c r="D47" i="7"/>
  <c r="G44" i="7"/>
  <c r="F44" i="7"/>
  <c r="E42" i="7"/>
  <c r="D38" i="7"/>
  <c r="C47" i="7"/>
  <c r="C39" i="7"/>
  <c r="B44" i="7"/>
  <c r="I49" i="7"/>
  <c r="I40" i="7"/>
  <c r="H46" i="7"/>
  <c r="H38" i="7"/>
  <c r="G41" i="7"/>
  <c r="F41" i="7"/>
  <c r="E41" i="7"/>
  <c r="D41" i="7"/>
  <c r="G38" i="7"/>
  <c r="E48" i="7"/>
  <c r="D48" i="7"/>
  <c r="C93" i="7" l="1"/>
  <c r="C103" i="7" s="1"/>
  <c r="G93" i="7"/>
  <c r="G103" i="7" s="1"/>
  <c r="D93" i="7"/>
  <c r="D103" i="7" s="1"/>
  <c r="I52" i="7"/>
  <c r="E52" i="7"/>
  <c r="F52" i="7"/>
  <c r="G52" i="7"/>
  <c r="B52" i="7"/>
  <c r="I93" i="7"/>
  <c r="E93" i="7"/>
  <c r="E103" i="7" s="1"/>
  <c r="H93" i="7"/>
  <c r="D52" i="7"/>
  <c r="H52" i="7"/>
  <c r="C52" i="7"/>
  <c r="B93" i="7"/>
  <c r="B103" i="7" s="1"/>
  <c r="F93" i="7"/>
  <c r="F103" i="7" s="1"/>
  <c r="H100" i="7"/>
  <c r="F32" i="11"/>
  <c r="I32" i="11" s="1"/>
  <c r="F100" i="7"/>
  <c r="F25" i="11"/>
  <c r="I25" i="11" s="1"/>
  <c r="E100" i="7"/>
  <c r="D100" i="7"/>
  <c r="C100" i="7"/>
  <c r="B100" i="7"/>
  <c r="Q100" i="7" s="1"/>
  <c r="N101" i="7"/>
  <c r="O101" i="7"/>
  <c r="I38" i="11"/>
  <c r="G100" i="7" s="1"/>
  <c r="F39" i="11"/>
  <c r="I39" i="11" s="1"/>
  <c r="D39" i="11"/>
  <c r="M103" i="7" l="1"/>
  <c r="S103" i="7"/>
  <c r="J100" i="7"/>
  <c r="P100" i="7" s="1"/>
  <c r="R100" i="7"/>
  <c r="L100" i="7"/>
  <c r="M100" i="7"/>
  <c r="S100" i="7"/>
  <c r="R101" i="7"/>
  <c r="L101" i="7"/>
  <c r="M101" i="7"/>
  <c r="S101" i="7"/>
  <c r="O100" i="7"/>
  <c r="N100" i="7"/>
  <c r="K100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1" i="7"/>
  <c r="R661" i="2"/>
  <c r="J661" i="2"/>
  <c r="J319" i="2"/>
  <c r="R319" i="2"/>
  <c r="J2612" i="2"/>
  <c r="R1554" i="2"/>
  <c r="J1554" i="2"/>
  <c r="R1185" i="2"/>
  <c r="J1185" i="2"/>
  <c r="R899" i="2"/>
  <c r="J899" i="2"/>
  <c r="O72" i="7" l="1"/>
  <c r="P72" i="7"/>
  <c r="J51" i="7"/>
  <c r="L51" i="7"/>
  <c r="M51" i="7"/>
  <c r="J48" i="7"/>
  <c r="L48" i="7"/>
  <c r="M48" i="7"/>
  <c r="J46" i="7"/>
  <c r="L46" i="7"/>
  <c r="M46" i="7"/>
  <c r="J44" i="7"/>
  <c r="L44" i="7"/>
  <c r="M44" i="7"/>
  <c r="J42" i="7"/>
  <c r="L42" i="7"/>
  <c r="M42" i="7"/>
  <c r="J40" i="7"/>
  <c r="L40" i="7"/>
  <c r="M40" i="7"/>
  <c r="J38" i="7"/>
  <c r="L38" i="7"/>
  <c r="M38" i="7"/>
  <c r="M36" i="7"/>
  <c r="L36" i="7"/>
  <c r="J36" i="7"/>
  <c r="J49" i="7"/>
  <c r="L49" i="7"/>
  <c r="M49" i="7"/>
  <c r="J47" i="7"/>
  <c r="L47" i="7"/>
  <c r="M47" i="7"/>
  <c r="J45" i="7"/>
  <c r="L45" i="7"/>
  <c r="M45" i="7"/>
  <c r="J43" i="7"/>
  <c r="L43" i="7"/>
  <c r="M43" i="7"/>
  <c r="J41" i="7"/>
  <c r="L41" i="7"/>
  <c r="M41" i="7"/>
  <c r="J39" i="7"/>
  <c r="L39" i="7"/>
  <c r="M39" i="7"/>
  <c r="J37" i="7"/>
  <c r="L37" i="7"/>
  <c r="M37" i="7"/>
  <c r="K52" i="7"/>
  <c r="D22" i="7"/>
  <c r="G21" i="7"/>
  <c r="H63" i="7"/>
  <c r="F70" i="7"/>
  <c r="I29" i="7"/>
  <c r="D29" i="7"/>
  <c r="G28" i="7"/>
  <c r="H62" i="7"/>
  <c r="C62" i="7"/>
  <c r="F61" i="7"/>
  <c r="B66" i="7"/>
  <c r="F17" i="7"/>
  <c r="F23" i="7"/>
  <c r="I57" i="7"/>
  <c r="D57" i="7"/>
  <c r="G56" i="7"/>
  <c r="E25" i="7"/>
  <c r="H24" i="7"/>
  <c r="C24" i="7"/>
  <c r="I64" i="7"/>
  <c r="D64" i="7"/>
  <c r="G22" i="7"/>
  <c r="E16" i="7"/>
  <c r="H15" i="7"/>
  <c r="F63" i="7"/>
  <c r="B29" i="7"/>
  <c r="B68" i="7"/>
  <c r="C15" i="7"/>
  <c r="D18" i="7"/>
  <c r="H67" i="7"/>
  <c r="F66" i="7"/>
  <c r="D25" i="7"/>
  <c r="E18" i="7"/>
  <c r="C17" i="7"/>
  <c r="G16" i="7"/>
  <c r="I69" i="7"/>
  <c r="G68" i="7"/>
  <c r="H61" i="7"/>
  <c r="F60" i="7"/>
  <c r="D19" i="7"/>
  <c r="H68" i="7"/>
  <c r="F67" i="7"/>
  <c r="F29" i="7"/>
  <c r="E15" i="7"/>
  <c r="I67" i="7"/>
  <c r="G66" i="7"/>
  <c r="H59" i="7"/>
  <c r="F58" i="7"/>
  <c r="D17" i="7"/>
  <c r="H66" i="7"/>
  <c r="F65" i="7"/>
  <c r="F25" i="7"/>
  <c r="I61" i="7"/>
  <c r="G60" i="7"/>
  <c r="H28" i="7"/>
  <c r="I68" i="7"/>
  <c r="G67" i="7"/>
  <c r="H60" i="7"/>
  <c r="F59" i="7"/>
  <c r="B64" i="7"/>
  <c r="I63" i="7"/>
  <c r="G70" i="7"/>
  <c r="E64" i="7"/>
  <c r="H22" i="7"/>
  <c r="F62" i="7"/>
  <c r="I21" i="7"/>
  <c r="D21" i="7"/>
  <c r="E63" i="7"/>
  <c r="H29" i="7"/>
  <c r="C29" i="7"/>
  <c r="F28" i="7"/>
  <c r="B25" i="7"/>
  <c r="B60" i="7"/>
  <c r="G15" i="7"/>
  <c r="I24" i="7"/>
  <c r="D24" i="7"/>
  <c r="G23" i="7"/>
  <c r="E17" i="7"/>
  <c r="H16" i="7"/>
  <c r="C16" i="7"/>
  <c r="I56" i="7"/>
  <c r="D56" i="7"/>
  <c r="E65" i="7"/>
  <c r="H64" i="7"/>
  <c r="C64" i="7"/>
  <c r="F22" i="7"/>
  <c r="B14" i="7"/>
  <c r="E14" i="7"/>
  <c r="I59" i="7"/>
  <c r="G58" i="7"/>
  <c r="H26" i="7"/>
  <c r="I66" i="7"/>
  <c r="G65" i="7"/>
  <c r="H58" i="7"/>
  <c r="F57" i="7"/>
  <c r="G19" i="7"/>
  <c r="I28" i="7"/>
  <c r="G27" i="7"/>
  <c r="H20" i="7"/>
  <c r="I60" i="7"/>
  <c r="G59" i="7"/>
  <c r="H27" i="7"/>
  <c r="F26" i="7"/>
  <c r="B27" i="7"/>
  <c r="B57" i="7"/>
  <c r="I26" i="7"/>
  <c r="G25" i="7"/>
  <c r="H18" i="7"/>
  <c r="I58" i="7"/>
  <c r="G57" i="7"/>
  <c r="H25" i="7"/>
  <c r="F24" i="7"/>
  <c r="B19" i="7"/>
  <c r="I20" i="7"/>
  <c r="E70" i="7"/>
  <c r="C69" i="7"/>
  <c r="I27" i="7"/>
  <c r="G26" i="7"/>
  <c r="H19" i="7"/>
  <c r="F18" i="7"/>
  <c r="B67" i="7"/>
  <c r="F27" i="7"/>
  <c r="G20" i="7"/>
  <c r="B22" i="7"/>
  <c r="B56" i="7"/>
  <c r="H69" i="7"/>
  <c r="D27" i="7"/>
  <c r="I22" i="7"/>
  <c r="G62" i="7"/>
  <c r="E56" i="7"/>
  <c r="C63" i="7"/>
  <c r="I70" i="7"/>
  <c r="D70" i="7"/>
  <c r="G69" i="7"/>
  <c r="E22" i="7"/>
  <c r="H21" i="7"/>
  <c r="C21" i="7"/>
  <c r="F20" i="7"/>
  <c r="H14" i="7"/>
  <c r="G18" i="7"/>
  <c r="D15" i="7"/>
  <c r="I16" i="7"/>
  <c r="D16" i="7"/>
  <c r="E66" i="7"/>
  <c r="H65" i="7"/>
  <c r="C65" i="7"/>
  <c r="F64" i="7"/>
  <c r="I23" i="7"/>
  <c r="D23" i="7"/>
  <c r="E57" i="7"/>
  <c r="H56" i="7"/>
  <c r="C56" i="7"/>
  <c r="B15" i="7"/>
  <c r="B69" i="7"/>
  <c r="B24" i="7"/>
  <c r="I18" i="7"/>
  <c r="E68" i="7"/>
  <c r="C67" i="7"/>
  <c r="I25" i="7"/>
  <c r="G24" i="7"/>
  <c r="H17" i="7"/>
  <c r="F16" i="7"/>
  <c r="B61" i="7"/>
  <c r="D69" i="7"/>
  <c r="E62" i="7"/>
  <c r="C61" i="7"/>
  <c r="I19" i="7"/>
  <c r="E69" i="7"/>
  <c r="C68" i="7"/>
  <c r="G14" i="7"/>
  <c r="B18" i="7"/>
  <c r="I14" i="7"/>
  <c r="D67" i="7"/>
  <c r="E60" i="7"/>
  <c r="C59" i="7"/>
  <c r="I17" i="7"/>
  <c r="E67" i="7"/>
  <c r="C66" i="7"/>
  <c r="G17" i="7"/>
  <c r="D14" i="7"/>
  <c r="D61" i="7"/>
  <c r="E29" i="7"/>
  <c r="C28" i="7"/>
  <c r="D68" i="7"/>
  <c r="E61" i="7"/>
  <c r="C60" i="7"/>
  <c r="B62" i="7"/>
  <c r="B23" i="7"/>
  <c r="D63" i="7"/>
  <c r="G29" i="7"/>
  <c r="E23" i="7"/>
  <c r="C22" i="7"/>
  <c r="I62" i="7"/>
  <c r="D62" i="7"/>
  <c r="G61" i="7"/>
  <c r="H70" i="7"/>
  <c r="C70" i="7"/>
  <c r="F69" i="7"/>
  <c r="B26" i="7"/>
  <c r="B65" i="7"/>
  <c r="B28" i="7"/>
  <c r="I65" i="7"/>
  <c r="D65" i="7"/>
  <c r="G64" i="7"/>
  <c r="E58" i="7"/>
  <c r="H57" i="7"/>
  <c r="C57" i="7"/>
  <c r="F56" i="7"/>
  <c r="I15" i="7"/>
  <c r="G63" i="7"/>
  <c r="E24" i="7"/>
  <c r="H23" i="7"/>
  <c r="C23" i="7"/>
  <c r="B70" i="7"/>
  <c r="F21" i="7"/>
  <c r="F19" i="7"/>
  <c r="D59" i="7"/>
  <c r="E27" i="7"/>
  <c r="C26" i="7"/>
  <c r="D66" i="7"/>
  <c r="E59" i="7"/>
  <c r="C58" i="7"/>
  <c r="B58" i="7"/>
  <c r="F15" i="7"/>
  <c r="D28" i="7"/>
  <c r="E21" i="7"/>
  <c r="C20" i="7"/>
  <c r="D60" i="7"/>
  <c r="E28" i="7"/>
  <c r="C27" i="7"/>
  <c r="B21" i="7"/>
  <c r="B63" i="7"/>
  <c r="B16" i="7"/>
  <c r="D26" i="7"/>
  <c r="E19" i="7"/>
  <c r="C18" i="7"/>
  <c r="D58" i="7"/>
  <c r="E26" i="7"/>
  <c r="C25" i="7"/>
  <c r="B17" i="7"/>
  <c r="D20" i="7"/>
  <c r="F68" i="7"/>
  <c r="E20" i="7"/>
  <c r="C14" i="7"/>
  <c r="B59" i="7"/>
  <c r="C19" i="7"/>
  <c r="B20" i="7"/>
  <c r="F14" i="7"/>
  <c r="F32" i="7" l="1"/>
  <c r="C32" i="7"/>
  <c r="O23" i="7"/>
  <c r="P15" i="7"/>
  <c r="F73" i="7"/>
  <c r="O57" i="7"/>
  <c r="P65" i="7"/>
  <c r="O70" i="7"/>
  <c r="P62" i="7"/>
  <c r="D32" i="7"/>
  <c r="P17" i="7"/>
  <c r="P14" i="7"/>
  <c r="K14" i="7"/>
  <c r="I32" i="7"/>
  <c r="G32" i="7"/>
  <c r="P19" i="7"/>
  <c r="O17" i="7"/>
  <c r="P25" i="7"/>
  <c r="P18" i="7"/>
  <c r="C73" i="7"/>
  <c r="H73" i="7"/>
  <c r="O56" i="7"/>
  <c r="P23" i="7"/>
  <c r="O65" i="7"/>
  <c r="P16" i="7"/>
  <c r="O14" i="7"/>
  <c r="H32" i="7"/>
  <c r="O32" i="7" s="1"/>
  <c r="O21" i="7"/>
  <c r="P70" i="7"/>
  <c r="E73" i="7"/>
  <c r="P22" i="7"/>
  <c r="O69" i="7"/>
  <c r="B73" i="7"/>
  <c r="O19" i="7"/>
  <c r="P27" i="7"/>
  <c r="P20" i="7"/>
  <c r="O25" i="7"/>
  <c r="P58" i="7"/>
  <c r="O18" i="7"/>
  <c r="P26" i="7"/>
  <c r="O27" i="7"/>
  <c r="P60" i="7"/>
  <c r="O20" i="7"/>
  <c r="P28" i="7"/>
  <c r="O58" i="7"/>
  <c r="P66" i="7"/>
  <c r="O26" i="7"/>
  <c r="P59" i="7"/>
  <c r="E32" i="7"/>
  <c r="B32" i="7"/>
  <c r="O64" i="7"/>
  <c r="D73" i="7"/>
  <c r="I73" i="7"/>
  <c r="P56" i="7"/>
  <c r="O16" i="7"/>
  <c r="P24" i="7"/>
  <c r="O29" i="7"/>
  <c r="P21" i="7"/>
  <c r="O22" i="7"/>
  <c r="P63" i="7"/>
  <c r="O60" i="7"/>
  <c r="P68" i="7"/>
  <c r="O28" i="7"/>
  <c r="P61" i="7"/>
  <c r="O66" i="7"/>
  <c r="O59" i="7"/>
  <c r="P67" i="7"/>
  <c r="O68" i="7"/>
  <c r="O61" i="7"/>
  <c r="P69" i="7"/>
  <c r="O67" i="7"/>
  <c r="O15" i="7"/>
  <c r="P64" i="7"/>
  <c r="O24" i="7"/>
  <c r="G73" i="7"/>
  <c r="P57" i="7"/>
  <c r="O62" i="7"/>
  <c r="P29" i="7"/>
  <c r="O63" i="7"/>
  <c r="P73" i="7"/>
  <c r="O73" i="7"/>
  <c r="I102" i="7"/>
  <c r="P32" i="7"/>
  <c r="J25" i="7"/>
  <c r="L25" i="7"/>
  <c r="M25" i="7"/>
  <c r="M56" i="7"/>
  <c r="L56" i="7"/>
  <c r="J56" i="7"/>
  <c r="J26" i="7"/>
  <c r="L26" i="7"/>
  <c r="M26" i="7"/>
  <c r="J66" i="7"/>
  <c r="L66" i="7"/>
  <c r="M66" i="7"/>
  <c r="J59" i="7"/>
  <c r="L59" i="7"/>
  <c r="M59" i="7"/>
  <c r="J19" i="7"/>
  <c r="L19" i="7"/>
  <c r="M19" i="7"/>
  <c r="M14" i="7"/>
  <c r="L14" i="7"/>
  <c r="J14" i="7"/>
  <c r="K62" i="7"/>
  <c r="K24" i="7"/>
  <c r="J29" i="7"/>
  <c r="L29" i="7"/>
  <c r="M29" i="7"/>
  <c r="J20" i="7"/>
  <c r="L20" i="7"/>
  <c r="M20" i="7"/>
  <c r="K63" i="7"/>
  <c r="K82" i="7"/>
  <c r="K59" i="7"/>
  <c r="K23" i="7"/>
  <c r="L92" i="7"/>
  <c r="J92" i="7"/>
  <c r="M92" i="7"/>
  <c r="K88" i="7"/>
  <c r="J60" i="7"/>
  <c r="L60" i="7"/>
  <c r="M60" i="7"/>
  <c r="K26" i="7"/>
  <c r="J68" i="7"/>
  <c r="L68" i="7"/>
  <c r="M68" i="7"/>
  <c r="J15" i="7"/>
  <c r="L15" i="7"/>
  <c r="M15" i="7"/>
  <c r="K65" i="7"/>
  <c r="K68" i="7"/>
  <c r="L87" i="7"/>
  <c r="J87" i="7"/>
  <c r="M87" i="7"/>
  <c r="L81" i="7"/>
  <c r="J81" i="7"/>
  <c r="M81" i="7"/>
  <c r="M90" i="7"/>
  <c r="L90" i="7"/>
  <c r="J90" i="7"/>
  <c r="J24" i="7"/>
  <c r="L24" i="7"/>
  <c r="M24" i="7"/>
  <c r="K25" i="7"/>
  <c r="L85" i="7"/>
  <c r="J85" i="7"/>
  <c r="M85" i="7"/>
  <c r="K20" i="7"/>
  <c r="K21" i="7"/>
  <c r="K56" i="7"/>
  <c r="J69" i="7"/>
  <c r="L69" i="7"/>
  <c r="M69" i="7"/>
  <c r="K85" i="7"/>
  <c r="M82" i="7"/>
  <c r="L82" i="7"/>
  <c r="J82" i="7"/>
  <c r="K27" i="7"/>
  <c r="K16" i="7"/>
  <c r="M77" i="7"/>
  <c r="L77" i="7"/>
  <c r="J77" i="7"/>
  <c r="J17" i="7"/>
  <c r="L17" i="7"/>
  <c r="M17" i="7"/>
  <c r="K18" i="7"/>
  <c r="M88" i="7"/>
  <c r="L88" i="7"/>
  <c r="J88" i="7"/>
  <c r="J67" i="7"/>
  <c r="L67" i="7"/>
  <c r="M67" i="7"/>
  <c r="K83" i="7"/>
  <c r="K80" i="7"/>
  <c r="M86" i="7"/>
  <c r="L86" i="7"/>
  <c r="J86" i="7"/>
  <c r="K84" i="7"/>
  <c r="J72" i="7"/>
  <c r="L72" i="7"/>
  <c r="M72" i="7"/>
  <c r="K87" i="7"/>
  <c r="K29" i="7"/>
  <c r="J21" i="7"/>
  <c r="L21" i="7"/>
  <c r="M21" i="7"/>
  <c r="M84" i="7"/>
  <c r="L84" i="7"/>
  <c r="J84" i="7"/>
  <c r="J65" i="7"/>
  <c r="L65" i="7"/>
  <c r="M65" i="7"/>
  <c r="K81" i="7"/>
  <c r="K90" i="7"/>
  <c r="J27" i="7"/>
  <c r="L27" i="7"/>
  <c r="M27" i="7"/>
  <c r="J23" i="7"/>
  <c r="L23" i="7"/>
  <c r="M23" i="7"/>
  <c r="K19" i="7"/>
  <c r="K61" i="7"/>
  <c r="K66" i="7"/>
  <c r="J16" i="7"/>
  <c r="L16" i="7"/>
  <c r="M16" i="7"/>
  <c r="K28" i="7"/>
  <c r="K70" i="7"/>
  <c r="L89" i="7"/>
  <c r="J89" i="7"/>
  <c r="M89" i="7"/>
  <c r="K22" i="7"/>
  <c r="K58" i="7"/>
  <c r="K67" i="7"/>
  <c r="K17" i="7"/>
  <c r="J28" i="7"/>
  <c r="L28" i="7"/>
  <c r="M28" i="7"/>
  <c r="J58" i="7"/>
  <c r="L58" i="7"/>
  <c r="M58" i="7"/>
  <c r="M80" i="7"/>
  <c r="L80" i="7"/>
  <c r="J80" i="7"/>
  <c r="J62" i="7"/>
  <c r="L62" i="7"/>
  <c r="M62" i="7"/>
  <c r="K77" i="7"/>
  <c r="J57" i="7"/>
  <c r="L57" i="7"/>
  <c r="M57" i="7"/>
  <c r="K60" i="7"/>
  <c r="M78" i="7"/>
  <c r="L78" i="7"/>
  <c r="J78" i="7"/>
  <c r="K89" i="7"/>
  <c r="K69" i="7"/>
  <c r="J64" i="7"/>
  <c r="L64" i="7"/>
  <c r="M64" i="7"/>
  <c r="K79" i="7"/>
  <c r="K15" i="7"/>
  <c r="K72" i="7"/>
  <c r="J22" i="7"/>
  <c r="L22" i="7"/>
  <c r="M22" i="7"/>
  <c r="L79" i="7"/>
  <c r="J79" i="7"/>
  <c r="M79" i="7"/>
  <c r="J63" i="7"/>
  <c r="L63" i="7"/>
  <c r="M63" i="7"/>
  <c r="K78" i="7"/>
  <c r="J18" i="7"/>
  <c r="L18" i="7"/>
  <c r="M18" i="7"/>
  <c r="K57" i="7"/>
  <c r="J70" i="7"/>
  <c r="L70" i="7"/>
  <c r="M70" i="7"/>
  <c r="K86" i="7"/>
  <c r="K92" i="7"/>
  <c r="J61" i="7"/>
  <c r="L61" i="7"/>
  <c r="M61" i="7"/>
  <c r="K64" i="7"/>
  <c r="L83" i="7"/>
  <c r="J83" i="7"/>
  <c r="M83" i="7"/>
  <c r="M52" i="7"/>
  <c r="L52" i="7"/>
  <c r="J52" i="7"/>
  <c r="K32" i="7"/>
  <c r="K73" i="7"/>
  <c r="K93" i="7"/>
  <c r="I104" i="7" l="1"/>
  <c r="I105" i="7"/>
  <c r="V100" i="7" s="1"/>
  <c r="R103" i="7"/>
  <c r="L103" i="7"/>
  <c r="M32" i="7"/>
  <c r="L32" i="7"/>
  <c r="J32" i="7"/>
  <c r="L93" i="7"/>
  <c r="J93" i="7"/>
  <c r="M93" i="7"/>
  <c r="L73" i="7"/>
  <c r="J73" i="7"/>
  <c r="M73" i="7"/>
  <c r="H104" i="7"/>
  <c r="C104" i="7"/>
  <c r="G104" i="7"/>
  <c r="E102" i="7"/>
  <c r="O103" i="7"/>
  <c r="F104" i="7"/>
  <c r="F102" i="7"/>
  <c r="F105" i="7" s="1"/>
  <c r="E104" i="7"/>
  <c r="H102" i="7"/>
  <c r="B104" i="7"/>
  <c r="D102" i="7"/>
  <c r="B102" i="7"/>
  <c r="G102" i="7"/>
  <c r="D104" i="7"/>
  <c r="C102" i="7"/>
  <c r="K103" i="7"/>
  <c r="J101" i="7"/>
  <c r="P101" i="7" s="1"/>
  <c r="K101" i="7"/>
  <c r="V105" i="7" l="1"/>
  <c r="V103" i="7"/>
  <c r="V101" i="7"/>
  <c r="V102" i="7"/>
  <c r="V104" i="7"/>
  <c r="C105" i="7"/>
  <c r="G105" i="7"/>
  <c r="J103" i="7"/>
  <c r="P103" i="7" s="1"/>
  <c r="Q103" i="7"/>
  <c r="J104" i="7"/>
  <c r="P104" i="7" s="1"/>
  <c r="Q104" i="7"/>
  <c r="L104" i="7"/>
  <c r="R104" i="7"/>
  <c r="S104" i="7"/>
  <c r="M104" i="7"/>
  <c r="B105" i="7"/>
  <c r="Q105" i="7" s="1"/>
  <c r="Q102" i="7"/>
  <c r="H105" i="7"/>
  <c r="U105" i="7" s="1"/>
  <c r="L102" i="7"/>
  <c r="R102" i="7"/>
  <c r="M102" i="7"/>
  <c r="S102" i="7"/>
  <c r="E105" i="7"/>
  <c r="K104" i="7"/>
  <c r="N103" i="7"/>
  <c r="O105" i="7"/>
  <c r="O102" i="7"/>
  <c r="N102" i="7"/>
  <c r="O104" i="7"/>
  <c r="N104" i="7"/>
  <c r="T100" i="7"/>
  <c r="D105" i="7"/>
  <c r="K102" i="7"/>
  <c r="J102" i="7"/>
  <c r="P102" i="7" s="1"/>
  <c r="J105" i="7" l="1"/>
  <c r="P105" i="7" s="1"/>
  <c r="T104" i="7"/>
  <c r="U103" i="7"/>
  <c r="T103" i="7"/>
  <c r="U101" i="7"/>
  <c r="K105" i="7"/>
  <c r="T101" i="7"/>
  <c r="U104" i="7"/>
  <c r="U102" i="7"/>
  <c r="T102" i="7"/>
  <c r="N105" i="7"/>
  <c r="U100" i="7"/>
  <c r="L105" i="7"/>
  <c r="R105" i="7"/>
  <c r="S105" i="7"/>
  <c r="M105" i="7"/>
  <c r="T105" i="7" l="1"/>
</calcChain>
</file>

<file path=xl/connections.xml><?xml version="1.0" encoding="utf-8"?>
<connections xmlns="http://schemas.openxmlformats.org/spreadsheetml/2006/main">
  <connection id="1" name="energi_regnskab_71_2015-05-28" type="4" refreshedVersion="0" background="1">
    <webPr xml="1" sourceData="1" parsePre="1" consecutive="1" url="C:\Users\Claus\Desktop\energi_regnskab_71_2015-05-28.xml" htmlTables="1"/>
  </connection>
</connections>
</file>

<file path=xl/sharedStrings.xml><?xml version="1.0" encoding="utf-8"?>
<sst xmlns="http://schemas.openxmlformats.org/spreadsheetml/2006/main" count="77366" uniqueCount="1546">
  <si>
    <t>Niveau3</t>
  </si>
  <si>
    <t>BBRnummer</t>
  </si>
  <si>
    <t>Egenref</t>
  </si>
  <si>
    <t>KF_Bygningsnr</t>
  </si>
  <si>
    <t>Bygningsnr</t>
  </si>
  <si>
    <t>Bygningsnavn</t>
  </si>
  <si>
    <t>Aar</t>
  </si>
  <si>
    <t>Forbrugt</t>
  </si>
  <si>
    <t>Antal_poster</t>
  </si>
  <si>
    <t>Sidst_Aflaest</t>
  </si>
  <si>
    <t>Afkoeling</t>
  </si>
  <si>
    <t>Areal</t>
  </si>
  <si>
    <t>Noegletal</t>
  </si>
  <si>
    <t>ForbrugsArt</t>
  </si>
  <si>
    <t>Forsyning</t>
  </si>
  <si>
    <t>KlimaKorrigeretKwh</t>
  </si>
  <si>
    <t>CO2KG</t>
  </si>
  <si>
    <t>Bimaaler</t>
  </si>
  <si>
    <t>Maalernr</t>
  </si>
  <si>
    <t>Aftagenr</t>
  </si>
  <si>
    <t>Aflaest</t>
  </si>
  <si>
    <t>AfkoelingsMaalernr</t>
  </si>
  <si>
    <t>MaalerLinienr</t>
  </si>
  <si>
    <t>Afmeldt</t>
  </si>
  <si>
    <t>Administration</t>
  </si>
  <si>
    <t>Afvikling</t>
  </si>
  <si>
    <t>Andre kommunale ejendomme</t>
  </si>
  <si>
    <t>Daginstitutioner</t>
  </si>
  <si>
    <t>Flygtningebolig</t>
  </si>
  <si>
    <t>Forsamlingshuse</t>
  </si>
  <si>
    <t>Fritidsklubber</t>
  </si>
  <si>
    <t>Idræt og Fritid</t>
  </si>
  <si>
    <t>Idrætsklubber</t>
  </si>
  <si>
    <t>Kulturhuse</t>
  </si>
  <si>
    <t>Museum</t>
  </si>
  <si>
    <t>Pleje og omsorg</t>
  </si>
  <si>
    <t>Plejecenter</t>
  </si>
  <si>
    <t>Skoler</t>
  </si>
  <si>
    <t>Spejderhytter</t>
  </si>
  <si>
    <t>Svømmehaller</t>
  </si>
  <si>
    <t>Udlejede ejendomme</t>
  </si>
  <si>
    <t>Nye Ejendomme</t>
  </si>
  <si>
    <t>Tekniske installationer</t>
  </si>
  <si>
    <t>05048-2 / 00140-6</t>
  </si>
  <si>
    <t>9232</t>
  </si>
  <si>
    <t>2427</t>
  </si>
  <si>
    <t>04272-2</t>
  </si>
  <si>
    <t>03972-1</t>
  </si>
  <si>
    <t>04859-3</t>
  </si>
  <si>
    <t>004757-0</t>
  </si>
  <si>
    <t>???</t>
  </si>
  <si>
    <t>03322-7</t>
  </si>
  <si>
    <t>02558-5</t>
  </si>
  <si>
    <t>04730-9</t>
  </si>
  <si>
    <t>03971-3</t>
  </si>
  <si>
    <t>00005-1</t>
  </si>
  <si>
    <t>00731-5</t>
  </si>
  <si>
    <t>01215-7</t>
  </si>
  <si>
    <t>04196-6</t>
  </si>
  <si>
    <t>02587-9</t>
  </si>
  <si>
    <t>04927-1</t>
  </si>
  <si>
    <t>01789-2</t>
  </si>
  <si>
    <t>04757-0</t>
  </si>
  <si>
    <t>039955-1</t>
  </si>
  <si>
    <t>11867</t>
  </si>
  <si>
    <t>04877-1</t>
  </si>
  <si>
    <t>03953-5</t>
  </si>
  <si>
    <t>???????</t>
  </si>
  <si>
    <t>06157-9</t>
  </si>
  <si>
    <t>6408</t>
  </si>
  <si>
    <t>5532</t>
  </si>
  <si>
    <t>04323-0</t>
  </si>
  <si>
    <t>04423-7</t>
  </si>
  <si>
    <t>1737</t>
  </si>
  <si>
    <t>9985</t>
  </si>
  <si>
    <t>03975-6</t>
  </si>
  <si>
    <t>00767-6</t>
  </si>
  <si>
    <t>007378</t>
  </si>
  <si>
    <t>6388</t>
  </si>
  <si>
    <t>2447</t>
  </si>
  <si>
    <t>5864</t>
  </si>
  <si>
    <t>5756</t>
  </si>
  <si>
    <t>02576-3</t>
  </si>
  <si>
    <t>05148-9</t>
  </si>
  <si>
    <t>190-001744</t>
  </si>
  <si>
    <t>10802</t>
  </si>
  <si>
    <t>02561-5</t>
  </si>
  <si>
    <t>04310-9</t>
  </si>
  <si>
    <t>03888-1</t>
  </si>
  <si>
    <t>05359-7</t>
  </si>
  <si>
    <t>5359-7</t>
  </si>
  <si>
    <t>1937</t>
  </si>
  <si>
    <t>7662</t>
  </si>
  <si>
    <t>????</t>
  </si>
  <si>
    <t>05368-6</t>
  </si>
  <si>
    <t>03991-8</t>
  </si>
  <si>
    <t>10907</t>
  </si>
  <si>
    <t>000254</t>
  </si>
  <si>
    <t>Farum Rådhus, RT2</t>
  </si>
  <si>
    <t>Værløse Rådhus</t>
  </si>
  <si>
    <t>Bjørnsholm SOLGT 2014</t>
  </si>
  <si>
    <t>Hjortefarmen, Trevang 161</t>
  </si>
  <si>
    <t>Kollekollevej 35 TOM</t>
  </si>
  <si>
    <t>Kollekollevej 37 TOM</t>
  </si>
  <si>
    <t>Spejderhus, Alugod, Kollekollevej 39</t>
  </si>
  <si>
    <t>Spejderhus, Egedal Solgt</t>
  </si>
  <si>
    <t>Bybækskolen</t>
  </si>
  <si>
    <t>Driftsgården</t>
  </si>
  <si>
    <t>Skolelandbruget</t>
  </si>
  <si>
    <t>Bakkehuset, Hvilebækgårdsvej 5</t>
  </si>
  <si>
    <t>Bavnebo</t>
  </si>
  <si>
    <t>Bifrost Nordtoftevej 56c</t>
  </si>
  <si>
    <t>Birkedal Børnehus, Kollekolle 75</t>
  </si>
  <si>
    <t>Birkhøj (Valmuen)</t>
  </si>
  <si>
    <t>Brudedalen Legestue, Brudedalen 54-58</t>
  </si>
  <si>
    <t>Bøgely Ravnehusvej 20</t>
  </si>
  <si>
    <t>Børnehusene Ryttergårdsvej 100 - 102</t>
  </si>
  <si>
    <t>Børnehuset Åkanden / Skovbo Skovbovænget 75</t>
  </si>
  <si>
    <t>Dalgården, Dalsø 107-109</t>
  </si>
  <si>
    <t>Drivhuset Hvilebæksgårdsvej 17</t>
  </si>
  <si>
    <t>Espebo Børnecenter</t>
  </si>
  <si>
    <t>Farum Vejgård, Stavnsholtvej 170</t>
  </si>
  <si>
    <t>Farumsødal</t>
  </si>
  <si>
    <t>Græshoppen</t>
  </si>
  <si>
    <t>Hareskov Børnehus, Skovmose 55</t>
  </si>
  <si>
    <t>Kildehuset, Hoved 41</t>
  </si>
  <si>
    <t>Kirke Værløse Børnehus, BY27</t>
  </si>
  <si>
    <t>Kollekolle Børnehave</t>
  </si>
  <si>
    <t>Krudthuset Børnehus, Bringe 26</t>
  </si>
  <si>
    <t>Mælkebøtten, Hvilebækgårdsvej 15</t>
  </si>
  <si>
    <t>Nordvænget Ryttergårdsvej 48</t>
  </si>
  <si>
    <t>Nørreskoven, Højloft Vænge 46</t>
  </si>
  <si>
    <t>Paletten, tidl. Vallhalla Ryttergårdsvej 106</t>
  </si>
  <si>
    <t>Regnbuen, Birkhøj 1</t>
  </si>
  <si>
    <t>Røde Sol, Lindegårdsvej 2</t>
  </si>
  <si>
    <t>Skovstjernen Børnehus, Skovlinien 23</t>
  </si>
  <si>
    <t>Solbjerg Børnehus</t>
  </si>
  <si>
    <t>Solsikken</t>
  </si>
  <si>
    <t>Solvognen, Nordtoftevej 56B</t>
  </si>
  <si>
    <t>Stavnsholt Børnehus, STA45</t>
  </si>
  <si>
    <t>Søndersø Børnehus</t>
  </si>
  <si>
    <t>Flygtnigebolig, Syvstjerne Vænge 10</t>
  </si>
  <si>
    <t>Kollekollevej 27 TOM</t>
  </si>
  <si>
    <t>Smedegade 19</t>
  </si>
  <si>
    <t>Annexgården</t>
  </si>
  <si>
    <t>Ellegården, Ladebygning, Stavnsholtvej 168</t>
  </si>
  <si>
    <t>Forsamlingshus, Smedegade 5</t>
  </si>
  <si>
    <t>Hovedvagten Kasernebygning</t>
  </si>
  <si>
    <t>Jonstruphus -Jonstrupvangvej 159</t>
  </si>
  <si>
    <t>Rørmosen Haveforening, RØR 4</t>
  </si>
  <si>
    <t>Gasværket, Birke 14A</t>
  </si>
  <si>
    <t>Palægården Poppel Alle 19</t>
  </si>
  <si>
    <t>Pilehuset, STA39</t>
  </si>
  <si>
    <t>Solbjerggård Fritidsklub</t>
  </si>
  <si>
    <t>Tivolihuset, Hvilebækgårdsvej 19</t>
  </si>
  <si>
    <t>Ungehuset, Klub Furesø</t>
  </si>
  <si>
    <t>Farum Arena, STA41</t>
  </si>
  <si>
    <t>Hareskov Hallen, Måne 8</t>
  </si>
  <si>
    <t>Søndersøhallen, KV50</t>
  </si>
  <si>
    <t>Værløsehallerne, Stiager 8</t>
  </si>
  <si>
    <t>Australsk Fodbold, Hvile 3A</t>
  </si>
  <si>
    <t>Bådudlejningen - Fiskerhytten</t>
  </si>
  <si>
    <t>Det Røde Hus, Poppel 14</t>
  </si>
  <si>
    <t>Furesøbad</t>
  </si>
  <si>
    <t>Hareskov Idræt, Birke 15</t>
  </si>
  <si>
    <t>Kirke Værløse Idrætanlæg, Lejr 21</t>
  </si>
  <si>
    <t>Skallepanden V M Amdrupvej 17</t>
  </si>
  <si>
    <t>Værløse Boldklub, Stiager 6</t>
  </si>
  <si>
    <t>Værløse Tennis, LV77</t>
  </si>
  <si>
    <t>Billen, Stavns 5</t>
  </si>
  <si>
    <t>Hareskov Bibliotek</t>
  </si>
  <si>
    <t>Kulturhuset Satelitten, BM46</t>
  </si>
  <si>
    <t>Kulturhuset, Stavns 3</t>
  </si>
  <si>
    <t>Musikhuset</t>
  </si>
  <si>
    <t>Musikskolen KV36</t>
  </si>
  <si>
    <t>Værløse Bibliotek og Galaxen, BM48</t>
  </si>
  <si>
    <t>Cornelen Stavnsholtvej 186</t>
  </si>
  <si>
    <t>Mosegården Skovgårds Alle 37</t>
  </si>
  <si>
    <t>Skovhuset Ballerupvej 60</t>
  </si>
  <si>
    <t>Familiehuset Ellegården Stavnsholtvej 168</t>
  </si>
  <si>
    <t>Familiehuset Villa Solhøj KV54</t>
  </si>
  <si>
    <t>Hareskovhvile, BM 118</t>
  </si>
  <si>
    <t>Lysthuset, Lille Værløsevej 36A</t>
  </si>
  <si>
    <t>Ryetvej 15</t>
  </si>
  <si>
    <t>Sundhedshuset Gammelgårdsvej 88</t>
  </si>
  <si>
    <t>Gedevasevang Plejehjem, Hestetang 30</t>
  </si>
  <si>
    <t>Lillevang plejecenter</t>
  </si>
  <si>
    <t>Plejehjemmet Søndersø</t>
  </si>
  <si>
    <t>Ryetbo Plejehjem</t>
  </si>
  <si>
    <t>Skovgården, Skov 1</t>
  </si>
  <si>
    <t>Solbjerghaven Plejecenter</t>
  </si>
  <si>
    <t>Egeskolen, Jon 150/286</t>
  </si>
  <si>
    <t>Hareskov gl. bibliotek, Hareskov Skole, POP13</t>
  </si>
  <si>
    <t>Hareskov Skole, POP 6-12</t>
  </si>
  <si>
    <t>Lille Værløse skole</t>
  </si>
  <si>
    <t>Lillestjernen, LV 91-93</t>
  </si>
  <si>
    <t>Lyngholmskolen, Hvile 1</t>
  </si>
  <si>
    <t>Solhøjskolen KV52</t>
  </si>
  <si>
    <t>Solvangskolen Pedelbolig, Nord 60</t>
  </si>
  <si>
    <t>Solvangskolen, Nord 58</t>
  </si>
  <si>
    <t>Stavnsholtskolen</t>
  </si>
  <si>
    <t>Syvstjerneskolen, Skov 1</t>
  </si>
  <si>
    <t>Søndersøskolen Pedelbolig KV48</t>
  </si>
  <si>
    <t>Søndersøskolen, KV50</t>
  </si>
  <si>
    <t>Ryetvej 17, gl</t>
  </si>
  <si>
    <t>Ryetvej 17, ny</t>
  </si>
  <si>
    <t>Spejderhus Søvej 18</t>
  </si>
  <si>
    <t>Spejderhus, Sandet 2</t>
  </si>
  <si>
    <t>Farum Svømmehal, Park 20</t>
  </si>
  <si>
    <t>Værløse Svømmehal, KV60</t>
  </si>
  <si>
    <t>Ballerupvej 29 - Udlejet</t>
  </si>
  <si>
    <t>Ballerupvej 31 UDLEJET</t>
  </si>
  <si>
    <t>Farum Genbrug, Gammel 77-79</t>
  </si>
  <si>
    <t>Farum Park</t>
  </si>
  <si>
    <t>Fuglsang, Farum Hovedgade 84</t>
  </si>
  <si>
    <t>Furesøgård - UDLEJET</t>
  </si>
  <si>
    <t>Idræt Fritid</t>
  </si>
  <si>
    <t>Idræt Klub</t>
  </si>
  <si>
    <t>Langkærgård</t>
  </si>
  <si>
    <t>Lerstedet 1</t>
  </si>
  <si>
    <t>Lille Bjørn, Kålund 24</t>
  </si>
  <si>
    <t>Skomagerbakken P. E. Rasmunnens Vej 3</t>
  </si>
  <si>
    <t>Solhøjgård - UDLEJET</t>
  </si>
  <si>
    <t>Stenvadhallen</t>
  </si>
  <si>
    <t>TD-Bygning</t>
  </si>
  <si>
    <t>Værløse Bio Bymidten 44</t>
  </si>
  <si>
    <t>Farums Arkiver &amp; Museer Stavnholtvej 170</t>
  </si>
  <si>
    <t>Ballerupvej 29A UDLEJET</t>
  </si>
  <si>
    <t>Overgangsboligerne Lillevangspark 8</t>
  </si>
  <si>
    <t>Poppelgården ungdomsboliger UDLEJET</t>
  </si>
  <si>
    <t>Røde Rust OPSAGT pr 1/3-2012</t>
  </si>
  <si>
    <t>Tumlebo - OPSAGT 31/7/2011</t>
  </si>
  <si>
    <t>Bygning 77, Sandet 17</t>
  </si>
  <si>
    <t>Kærnehuset, Paltholmterrasserne 6A</t>
  </si>
  <si>
    <t>Boldbaner</t>
  </si>
  <si>
    <t>Nye Ejendomme 2014</t>
  </si>
  <si>
    <t>Lyspunktet - Nygård 221A</t>
  </si>
  <si>
    <t>Tandklinikken Nygaard, Nygård 209</t>
  </si>
  <si>
    <t>Sprogskolen, Hvedemarken 3-5</t>
  </si>
  <si>
    <t>Ungdomsskolen, Farum</t>
  </si>
  <si>
    <t>Spejderhytte Røde Orm, STA49B</t>
  </si>
  <si>
    <t>Pumpestation Søndersø Bal 70R</t>
  </si>
  <si>
    <t>Golfklub Kiosk</t>
  </si>
  <si>
    <t>0</t>
  </si>
  <si>
    <t>1</t>
  </si>
  <si>
    <t>347</t>
  </si>
  <si>
    <t>Farum Rådhus</t>
  </si>
  <si>
    <t>Bygn B+C pav</t>
  </si>
  <si>
    <t>Værløse Rådhus Bygn A</t>
  </si>
  <si>
    <t>Bjørnsholm</t>
  </si>
  <si>
    <t>Hjortefarmen</t>
  </si>
  <si>
    <t>Kollekollevej 37</t>
  </si>
  <si>
    <t>Spejderhus, Kollekollevej 39</t>
  </si>
  <si>
    <t>Spejderhus, Egedal</t>
  </si>
  <si>
    <t>Bimåler BV</t>
  </si>
  <si>
    <t>Bygning 3</t>
  </si>
  <si>
    <t>Bakkehuset</t>
  </si>
  <si>
    <t>Bifrost</t>
  </si>
  <si>
    <t>Birkedal Børnehus</t>
  </si>
  <si>
    <t>Legestuen</t>
  </si>
  <si>
    <t>Bøgely</t>
  </si>
  <si>
    <t>Åkanden/Skovbo</t>
  </si>
  <si>
    <t>Dalgården</t>
  </si>
  <si>
    <t>Drivhuset</t>
  </si>
  <si>
    <t>Farum Vejgård</t>
  </si>
  <si>
    <t>Hareskov Børnehus</t>
  </si>
  <si>
    <t>Kildehuset</t>
  </si>
  <si>
    <t>Kirke Værløse Børnehus</t>
  </si>
  <si>
    <t>Krudthuset Børnehus</t>
  </si>
  <si>
    <t>Mælkebøtten</t>
  </si>
  <si>
    <t>Nordvænget</t>
  </si>
  <si>
    <t>Nørreskoven</t>
  </si>
  <si>
    <t>Paletten, tidl. Vallhalla</t>
  </si>
  <si>
    <t>Regnbuen</t>
  </si>
  <si>
    <t>Røde Sol</t>
  </si>
  <si>
    <t>Skovstjernen Børnehus</t>
  </si>
  <si>
    <t>Solvognen</t>
  </si>
  <si>
    <t>Majtræet/Sommerfuglen/Tusindben/Guldsmeden</t>
  </si>
  <si>
    <t>Børnehaven Syvstjernen</t>
  </si>
  <si>
    <t>Kollekollevej 27</t>
  </si>
  <si>
    <t>Ellegården, Ladebygninger</t>
  </si>
  <si>
    <t>Jonstruphus</t>
  </si>
  <si>
    <t>Rørmosen Haveforening, Rørmose 4</t>
  </si>
  <si>
    <t>Gasværket</t>
  </si>
  <si>
    <t>Fællesrum</t>
  </si>
  <si>
    <t>Pilehuset</t>
  </si>
  <si>
    <t>Tivolihuset</t>
  </si>
  <si>
    <t>Farum Hallen</t>
  </si>
  <si>
    <t>Stavnsholthallen</t>
  </si>
  <si>
    <t>Hareskov Hallen</t>
  </si>
  <si>
    <t>Søndersøhallen</t>
  </si>
  <si>
    <t>Værløse gl. hal</t>
  </si>
  <si>
    <t>Værløse hal Ny hal</t>
  </si>
  <si>
    <t>Australsk Fodbold</t>
  </si>
  <si>
    <t>Det Røde Hus</t>
  </si>
  <si>
    <t>Manuel aflæsning</t>
  </si>
  <si>
    <t>Hareskov Idræt</t>
  </si>
  <si>
    <t>Kirke Værløse Idrætsanlæg</t>
  </si>
  <si>
    <t>Skallepanden</t>
  </si>
  <si>
    <t>Værløse Boldklub</t>
  </si>
  <si>
    <t>Værløse Tennis</t>
  </si>
  <si>
    <t>Billen</t>
  </si>
  <si>
    <t>Kulturhuset Satelitten</t>
  </si>
  <si>
    <t>Kulturhuset</t>
  </si>
  <si>
    <t>Musikskolen</t>
  </si>
  <si>
    <t>Værløse Bibliotek</t>
  </si>
  <si>
    <t>Cornelen</t>
  </si>
  <si>
    <t>Mosegården</t>
  </si>
  <si>
    <t>Skovhuset</t>
  </si>
  <si>
    <t>Familiehuset</t>
  </si>
  <si>
    <t>Villa Solhøj</t>
  </si>
  <si>
    <t>Hareskovhvile</t>
  </si>
  <si>
    <t>Lysthuset</t>
  </si>
  <si>
    <t>Værestedet</t>
  </si>
  <si>
    <t>Milcon</t>
  </si>
  <si>
    <t>Gedevasevang plejehjem</t>
  </si>
  <si>
    <t>Lillevang</t>
  </si>
  <si>
    <t>Ryetbo</t>
  </si>
  <si>
    <t>Skovgården 1</t>
  </si>
  <si>
    <t>Egeskolen (under Jonstrup gl. seminarium)</t>
  </si>
  <si>
    <t>1.st. klasse huset, Hareskov Skole</t>
  </si>
  <si>
    <t>Bygning 8, Svømmehal</t>
  </si>
  <si>
    <t>Hareskov Skole</t>
  </si>
  <si>
    <t>POP-øst</t>
  </si>
  <si>
    <t>Bygning A</t>
  </si>
  <si>
    <t>Bygning B+C</t>
  </si>
  <si>
    <t>Bygning D</t>
  </si>
  <si>
    <t>Lillestjernen</t>
  </si>
  <si>
    <t>Lillestjernen miniklub</t>
  </si>
  <si>
    <t>Bimåler</t>
  </si>
  <si>
    <t>Lyngholmskolen Diamanten</t>
  </si>
  <si>
    <t>Lyngholmskolenskolen</t>
  </si>
  <si>
    <t>Solhøjskolen</t>
  </si>
  <si>
    <t>Solvangskolen Pedelbolig</t>
  </si>
  <si>
    <t>Solvangskolen</t>
  </si>
  <si>
    <t>Stavnholtskolen</t>
  </si>
  <si>
    <t>Syvstjerneskolen</t>
  </si>
  <si>
    <t>Søndersøskolen Pedelbolig</t>
  </si>
  <si>
    <t>Søndersøskolen</t>
  </si>
  <si>
    <t>Lynghuset gl</t>
  </si>
  <si>
    <t>Lynghuset Børnehus, ny</t>
  </si>
  <si>
    <t>Bimåler tribune</t>
  </si>
  <si>
    <t>Bimåler vand</t>
  </si>
  <si>
    <t>Cafe</t>
  </si>
  <si>
    <t>Farum Svømmehal,Farum Park 20 st. th.</t>
  </si>
  <si>
    <t>Swim-mix</t>
  </si>
  <si>
    <t>Bi-måler vand</t>
  </si>
  <si>
    <t>Værløse Svømmehal</t>
  </si>
  <si>
    <t>Ballerupvej 29</t>
  </si>
  <si>
    <t>Ballerupvej 31</t>
  </si>
  <si>
    <t>Farum Genbrug</t>
  </si>
  <si>
    <t>Bimåler FCN</t>
  </si>
  <si>
    <t>Fuglsang</t>
  </si>
  <si>
    <t>Solhuset</t>
  </si>
  <si>
    <t>Lerstedet 1A-E</t>
  </si>
  <si>
    <t>Lille Bjørn</t>
  </si>
  <si>
    <t>Skomagerbakken</t>
  </si>
  <si>
    <t>Solhøjgård</t>
  </si>
  <si>
    <t>Værløse Bio</t>
  </si>
  <si>
    <t>Bygning 1</t>
  </si>
  <si>
    <t>Børnehaven</t>
  </si>
  <si>
    <t>Miniklub</t>
  </si>
  <si>
    <t>Hareskov Kraftvarmeværk</t>
  </si>
  <si>
    <t>Galaksen</t>
  </si>
  <si>
    <t>Farums Arkiver &amp; Museer</t>
  </si>
  <si>
    <t>Bimåler Varme</t>
  </si>
  <si>
    <t>BI-måler varme</t>
  </si>
  <si>
    <t>Ballerupvej 29A</t>
  </si>
  <si>
    <t>Bimåler F.K.</t>
  </si>
  <si>
    <t>Poppelgården</t>
  </si>
  <si>
    <t>Tennishal BM</t>
  </si>
  <si>
    <t>Røde Rust</t>
  </si>
  <si>
    <t>Tumlebo</t>
  </si>
  <si>
    <t>Bygning 77</t>
  </si>
  <si>
    <t>Kærnehuset</t>
  </si>
  <si>
    <t>Solbjergård, Cafe og Klub</t>
  </si>
  <si>
    <t>Solbjergård, hovedhus</t>
  </si>
  <si>
    <t>Cafeterie</t>
  </si>
  <si>
    <t>Værløse Bold og Tennis</t>
  </si>
  <si>
    <t>Sygeplejeklinik Paltholm 13</t>
  </si>
  <si>
    <t>Tandklinikken Nygaard</t>
  </si>
  <si>
    <t>Lilleskolen</t>
  </si>
  <si>
    <t>Skovgården 2</t>
  </si>
  <si>
    <t>Skovgården 2A</t>
  </si>
  <si>
    <t>Ny Lavenergi</t>
  </si>
  <si>
    <t>Sprogskolen</t>
  </si>
  <si>
    <t>Ungdomsskolen 11A</t>
  </si>
  <si>
    <t>Ungdomsskolen 9A</t>
  </si>
  <si>
    <t>Spejderhytte Røde Orm</t>
  </si>
  <si>
    <t>Bimåler saunaer</t>
  </si>
  <si>
    <t>Bi-måler El</t>
  </si>
  <si>
    <t>Stållade</t>
  </si>
  <si>
    <t>Golfklub og ridecenter</t>
  </si>
  <si>
    <t>2005-06-01</t>
  </si>
  <si>
    <t>2007-11-30</t>
  </si>
  <si>
    <t>2014-07-01</t>
  </si>
  <si>
    <t>2012-08-08</t>
  </si>
  <si>
    <t>2012-01-22</t>
  </si>
  <si>
    <t>2011-08-30</t>
  </si>
  <si>
    <t>2011-12-31</t>
  </si>
  <si>
    <t>2008-01-31</t>
  </si>
  <si>
    <t>2015-05-06</t>
  </si>
  <si>
    <t>2005-07-01</t>
  </si>
  <si>
    <t>2010-01-31</t>
  </si>
  <si>
    <t>2005-05-01</t>
  </si>
  <si>
    <t>2010-10-31</t>
  </si>
  <si>
    <t>2010-07-08</t>
  </si>
  <si>
    <t>2005-10-03</t>
  </si>
  <si>
    <t>2009-12-31</t>
  </si>
  <si>
    <t>2010-08-30</t>
  </si>
  <si>
    <t>2013-05-07</t>
  </si>
  <si>
    <t>2012-01-25</t>
  </si>
  <si>
    <t>2005-04-01</t>
  </si>
  <si>
    <t>2005-02-01</t>
  </si>
  <si>
    <t>2014-12-10</t>
  </si>
  <si>
    <t>2009-11-25</t>
  </si>
  <si>
    <t>2010-07-31</t>
  </si>
  <si>
    <t>2010-07-12</t>
  </si>
  <si>
    <t>2015-02-13</t>
  </si>
  <si>
    <t>2015-02-12</t>
  </si>
  <si>
    <t>2015-03-13</t>
  </si>
  <si>
    <t>2015-05-04</t>
  </si>
  <si>
    <t>2013-11-30</t>
  </si>
  <si>
    <t>2011-09-30</t>
  </si>
  <si>
    <t>2014-11-24</t>
  </si>
  <si>
    <t>2015-02-11</t>
  </si>
  <si>
    <t>2011-11-30</t>
  </si>
  <si>
    <t>2015-03-25</t>
  </si>
  <si>
    <t>2015-03-05</t>
  </si>
  <si>
    <t>2005-11-30</t>
  </si>
  <si>
    <t>2008-02-27</t>
  </si>
  <si>
    <t>2014-11-10</t>
  </si>
  <si>
    <t>2011-10-31</t>
  </si>
  <si>
    <t>2015-05-05</t>
  </si>
  <si>
    <t>2013-11-29</t>
  </si>
  <si>
    <t>2013-10-31</t>
  </si>
  <si>
    <t>2013-12-19</t>
  </si>
  <si>
    <t>2008-01-29</t>
  </si>
  <si>
    <t>2014-12-11</t>
  </si>
  <si>
    <t>2010-08-31</t>
  </si>
  <si>
    <t>2009-06-02</t>
  </si>
  <si>
    <t>2013-12-31</t>
  </si>
  <si>
    <t>2014-04-30</t>
  </si>
  <si>
    <t>2012-01-26</t>
  </si>
  <si>
    <t>2010-01-29</t>
  </si>
  <si>
    <t>2013-03-31</t>
  </si>
  <si>
    <t>2012-01-01</t>
  </si>
  <si>
    <t>2012-08-31</t>
  </si>
  <si>
    <t>2010-11-29</t>
  </si>
  <si>
    <t>2012-05-31</t>
  </si>
  <si>
    <t>2010-11-01</t>
  </si>
  <si>
    <t>2011-08-31</t>
  </si>
  <si>
    <t>2014-10-31</t>
  </si>
  <si>
    <t>2011-06-30</t>
  </si>
  <si>
    <t>2012-07-31</t>
  </si>
  <si>
    <t>2008-05-01</t>
  </si>
  <si>
    <t>2009-04-01</t>
  </si>
  <si>
    <t>2011-11-29</t>
  </si>
  <si>
    <t>2012-08-01</t>
  </si>
  <si>
    <t>2012-02-29</t>
  </si>
  <si>
    <t>2014-03-31</t>
  </si>
  <si>
    <t>2014-11-02</t>
  </si>
  <si>
    <t>2013-09-30</t>
  </si>
  <si>
    <t>2012-07-09</t>
  </si>
  <si>
    <t>2014-08-31</t>
  </si>
  <si>
    <t>2010-11-30</t>
  </si>
  <si>
    <t>2005-09-20</t>
  </si>
  <si>
    <t>2014-05-19</t>
  </si>
  <si>
    <t>2005-09-30</t>
  </si>
  <si>
    <t>2005-09-01</t>
  </si>
  <si>
    <t>2010-09-30</t>
  </si>
  <si>
    <t>2014-02-28</t>
  </si>
  <si>
    <t>2006-03-15</t>
  </si>
  <si>
    <t>2012-06-30</t>
  </si>
  <si>
    <t>2005-07-27</t>
  </si>
  <si>
    <t>2005-08-01</t>
  </si>
  <si>
    <t>2011-06-06</t>
  </si>
  <si>
    <t>2010-02-09</t>
  </si>
  <si>
    <t>2011-05-31</t>
  </si>
  <si>
    <t>2011-11-09</t>
  </si>
  <si>
    <t>2014-11-04</t>
  </si>
  <si>
    <t>2013-08-31</t>
  </si>
  <si>
    <t>2011-12-30</t>
  </si>
  <si>
    <t>2010-11-09</t>
  </si>
  <si>
    <t>2005-12-01</t>
  </si>
  <si>
    <t>2011-09-14</t>
  </si>
  <si>
    <t>2011-02-28</t>
  </si>
  <si>
    <t>2011-03-31</t>
  </si>
  <si>
    <t>2012-09-01</t>
  </si>
  <si>
    <t>2014-03-19</t>
  </si>
  <si>
    <t>2011-12-06</t>
  </si>
  <si>
    <t>2008-04-01</t>
  </si>
  <si>
    <t>2012-10-12</t>
  </si>
  <si>
    <t>2011-08-01</t>
  </si>
  <si>
    <t>2010-12-02</t>
  </si>
  <si>
    <t>2005-10-04</t>
  </si>
  <si>
    <t>2010-01-15</t>
  </si>
  <si>
    <t>2012-08-13</t>
  </si>
  <si>
    <t>2012-09-06</t>
  </si>
  <si>
    <t>2015-03-31</t>
  </si>
  <si>
    <t>2012-08-28</t>
  </si>
  <si>
    <t>2014-02-01</t>
  </si>
  <si>
    <t>2014-11-07</t>
  </si>
  <si>
    <t>2012-01-02</t>
  </si>
  <si>
    <t>2014-11-13</t>
  </si>
  <si>
    <t>2014-03-11</t>
  </si>
  <si>
    <t>2015-02-10</t>
  </si>
  <si>
    <t>2013-04-08</t>
  </si>
  <si>
    <t>2013-01-14</t>
  </si>
  <si>
    <t>2011-10-10</t>
  </si>
  <si>
    <t>2012-10-31</t>
  </si>
  <si>
    <t>2012-11-30</t>
  </si>
  <si>
    <t>2015-01-26</t>
  </si>
  <si>
    <t>2008-04-22</t>
  </si>
  <si>
    <t>2010-06-30</t>
  </si>
  <si>
    <t>2011-09-21</t>
  </si>
  <si>
    <t>2005-04-30</t>
  </si>
  <si>
    <t>2009-11-30</t>
  </si>
  <si>
    <t>2008-03-12</t>
  </si>
  <si>
    <t>2008-05-31</t>
  </si>
  <si>
    <t>2011-12-01</t>
  </si>
  <si>
    <t>2014-06-24</t>
  </si>
  <si>
    <t>2009-09-01</t>
  </si>
  <si>
    <t>2011-12-21</t>
  </si>
  <si>
    <t>2015-04-30</t>
  </si>
  <si>
    <t>2014-06-30</t>
  </si>
  <si>
    <t>2013-07-30</t>
  </si>
  <si>
    <t>2012-03-31</t>
  </si>
  <si>
    <t>2014-12-02</t>
  </si>
  <si>
    <t>2008-03-31</t>
  </si>
  <si>
    <t>2014-03-18</t>
  </si>
  <si>
    <t>2014-11-12</t>
  </si>
  <si>
    <t>2010-04-20</t>
  </si>
  <si>
    <t>2013-02-28</t>
  </si>
  <si>
    <t>2010-09-19</t>
  </si>
  <si>
    <t>2008-01-14</t>
  </si>
  <si>
    <t>2014-04-06</t>
  </si>
  <si>
    <t>2014-05-05</t>
  </si>
  <si>
    <t>2010-01-30</t>
  </si>
  <si>
    <t>2009-10-21</t>
  </si>
  <si>
    <t>2013-03-06</t>
  </si>
  <si>
    <t>2011-01-10</t>
  </si>
  <si>
    <t>2014-07-29</t>
  </si>
  <si>
    <t>2005-06-15</t>
  </si>
  <si>
    <t>2012-02-08</t>
  </si>
  <si>
    <t>2012-01-04</t>
  </si>
  <si>
    <t>2008-01-28</t>
  </si>
  <si>
    <t>2012-02-13</t>
  </si>
  <si>
    <t>2014-07-02</t>
  </si>
  <si>
    <t>2014-02-03</t>
  </si>
  <si>
    <t>2012-05-08</t>
  </si>
  <si>
    <t>2008-06-11</t>
  </si>
  <si>
    <t>2012-01-31</t>
  </si>
  <si>
    <t>2012-01-18</t>
  </si>
  <si>
    <t>2013-02-27</t>
  </si>
  <si>
    <t>2014-10-20</t>
  </si>
  <si>
    <t>2014-12-01</t>
  </si>
  <si>
    <t>2014-03-28</t>
  </si>
  <si>
    <t>2014-04-07</t>
  </si>
  <si>
    <t>2014-04-09</t>
  </si>
  <si>
    <t>Vand m3</t>
  </si>
  <si>
    <t>Vand Liter</t>
  </si>
  <si>
    <t>Fjv. kWh</t>
  </si>
  <si>
    <t>Fjv. m3</t>
  </si>
  <si>
    <t>N-gas m3</t>
  </si>
  <si>
    <t>Fjv. MWh</t>
  </si>
  <si>
    <t>N-gas2 m3</t>
  </si>
  <si>
    <t>Fjv. GJ</t>
  </si>
  <si>
    <t>Varmegenvinding kWh</t>
  </si>
  <si>
    <t>El kWh</t>
  </si>
  <si>
    <t>Solcelle (Forbrug)</t>
  </si>
  <si>
    <t>500085 Gl. Rå aut</t>
  </si>
  <si>
    <t>990600 Ny Rå</t>
  </si>
  <si>
    <t>Byg B-C 01PC502538</t>
  </si>
  <si>
    <t>Byg A 44860</t>
  </si>
  <si>
    <t>44961</t>
  </si>
  <si>
    <t>D007AA003808 NEDTAGET</t>
  </si>
  <si>
    <t>NEDTAGET</t>
  </si>
  <si>
    <t>44753</t>
  </si>
  <si>
    <t>41215</t>
  </si>
  <si>
    <t>BV 02</t>
  </si>
  <si>
    <t>BV 01</t>
  </si>
  <si>
    <t>10012218</t>
  </si>
  <si>
    <t>00WPE016273</t>
  </si>
  <si>
    <t>-04104875</t>
  </si>
  <si>
    <t>BK 24201918</t>
  </si>
  <si>
    <t>BK 98392292</t>
  </si>
  <si>
    <t>41223</t>
  </si>
  <si>
    <t>Varmt vand</t>
  </si>
  <si>
    <t>BK 4093455</t>
  </si>
  <si>
    <t>BK 99105981</t>
  </si>
  <si>
    <t>BK 99100253</t>
  </si>
  <si>
    <t>02pc5012--</t>
  </si>
  <si>
    <t>3090080</t>
  </si>
  <si>
    <t>03485049</t>
  </si>
  <si>
    <t>4093459</t>
  </si>
  <si>
    <t>06202446</t>
  </si>
  <si>
    <t>BK 4016436</t>
  </si>
  <si>
    <t>BK 500368</t>
  </si>
  <si>
    <t>00PC500627</t>
  </si>
  <si>
    <t>BK 04016458</t>
  </si>
  <si>
    <t>44083</t>
  </si>
  <si>
    <t>BK 4093466</t>
  </si>
  <si>
    <t>BK 3120046/11131839</t>
  </si>
  <si>
    <t>BK 98400170</t>
  </si>
  <si>
    <t>44340</t>
  </si>
  <si>
    <t>0219</t>
  </si>
  <si>
    <t>??</t>
  </si>
  <si>
    <t>BK 98392294</t>
  </si>
  <si>
    <t>BK 99600178</t>
  </si>
  <si>
    <t>00PC502503</t>
  </si>
  <si>
    <t>Varmt vand.</t>
  </si>
  <si>
    <t>4267</t>
  </si>
  <si>
    <t>46180</t>
  </si>
  <si>
    <t>41439</t>
  </si>
  <si>
    <t>115JA043867</t>
  </si>
  <si>
    <t>99 aa 502451/10316346</t>
  </si>
  <si>
    <t>07/595852</t>
  </si>
  <si>
    <t>00PC500647</t>
  </si>
  <si>
    <t>BI Varmt vand</t>
  </si>
  <si>
    <t>316302</t>
  </si>
  <si>
    <t>41342</t>
  </si>
  <si>
    <t>42047</t>
  </si>
  <si>
    <t>BK 4064533</t>
  </si>
  <si>
    <t>BK 362032</t>
  </si>
  <si>
    <t>00389371</t>
  </si>
  <si>
    <t>BK 04016456</t>
  </si>
  <si>
    <t>03458115</t>
  </si>
  <si>
    <t>BK 01065500</t>
  </si>
  <si>
    <t>BV 98610782 FH</t>
  </si>
  <si>
    <t>BV 2140779 STH</t>
  </si>
  <si>
    <t>Spædevand</t>
  </si>
  <si>
    <t>02PC501292</t>
  </si>
  <si>
    <t>BVK</t>
  </si>
  <si>
    <t>BVV</t>
  </si>
  <si>
    <t>99600614</t>
  </si>
  <si>
    <t>42052</t>
  </si>
  <si>
    <t>Byg 1 02401115</t>
  </si>
  <si>
    <t>Byg 3 04016459</t>
  </si>
  <si>
    <t>-2192309</t>
  </si>
  <si>
    <t>98600209 Vand total</t>
  </si>
  <si>
    <t>7502 7887</t>
  </si>
  <si>
    <t>02PC501277</t>
  </si>
  <si>
    <t>00PC500634</t>
  </si>
  <si>
    <t>01PC502543</t>
  </si>
  <si>
    <t>02501324</t>
  </si>
  <si>
    <t>11131959</t>
  </si>
  <si>
    <t>05206576</t>
  </si>
  <si>
    <t>V.vand</t>
  </si>
  <si>
    <t>K.vand</t>
  </si>
  <si>
    <t>BK 24126636</t>
  </si>
  <si>
    <t>BK 99600686</t>
  </si>
  <si>
    <t>BV 24126631</t>
  </si>
  <si>
    <t>04016499</t>
  </si>
  <si>
    <t>BI 866130</t>
  </si>
  <si>
    <t>02PC501282</t>
  </si>
  <si>
    <t>95142416</t>
  </si>
  <si>
    <t>44266</t>
  </si>
  <si>
    <t>BK 99502460</t>
  </si>
  <si>
    <t>1137120004</t>
  </si>
  <si>
    <t>4096</t>
  </si>
  <si>
    <t>44513</t>
  </si>
  <si>
    <t>4504</t>
  </si>
  <si>
    <t>40879</t>
  </si>
  <si>
    <t>40456</t>
  </si>
  <si>
    <t>BK 4016439</t>
  </si>
  <si>
    <t>08GC378378</t>
  </si>
  <si>
    <t>Bimåler til fællesbygn</t>
  </si>
  <si>
    <t>00PC500645/501305</t>
  </si>
  <si>
    <t>08GC353143</t>
  </si>
  <si>
    <t>BVK 01PC502536</t>
  </si>
  <si>
    <t>00pc502508</t>
  </si>
  <si>
    <t>V.Vand</t>
  </si>
  <si>
    <t>Hovedmåler i brønd</t>
  </si>
  <si>
    <t>42150</t>
  </si>
  <si>
    <t>PC501303</t>
  </si>
  <si>
    <t>Bimåler 1</t>
  </si>
  <si>
    <t>Bimåler 3</t>
  </si>
  <si>
    <t>Bimåler 2</t>
  </si>
  <si>
    <t>Værksted nr 0223</t>
  </si>
  <si>
    <t>46349 Sløjd</t>
  </si>
  <si>
    <t>Gl. fyrkælder</t>
  </si>
  <si>
    <t>Byg A nr 378377</t>
  </si>
  <si>
    <t>Byg B+C nr 40490</t>
  </si>
  <si>
    <t>Byg D nr 40415</t>
  </si>
  <si>
    <t>BV01</t>
  </si>
  <si>
    <t>BV</t>
  </si>
  <si>
    <t>10012214 aut</t>
  </si>
  <si>
    <t>00AA389720</t>
  </si>
  <si>
    <t>98393075</t>
  </si>
  <si>
    <t>BK 1012217</t>
  </si>
  <si>
    <t>BV02</t>
  </si>
  <si>
    <t>-10012206</t>
  </si>
  <si>
    <t>07595918</t>
  </si>
  <si>
    <t>11159195</t>
  </si>
  <si>
    <t>40460</t>
  </si>
  <si>
    <t>40910</t>
  </si>
  <si>
    <t>00572/11131958</t>
  </si>
  <si>
    <t>Tribune</t>
  </si>
  <si>
    <t>VBV</t>
  </si>
  <si>
    <t>Spæd VVB</t>
  </si>
  <si>
    <t>Spæd TB</t>
  </si>
  <si>
    <t>Skylletank</t>
  </si>
  <si>
    <t>Spæd 50m</t>
  </si>
  <si>
    <t>Spejlbassin</t>
  </si>
  <si>
    <t>VBV 79054813</t>
  </si>
  <si>
    <t>10012225</t>
  </si>
  <si>
    <t>VBV 29016080</t>
  </si>
  <si>
    <t>400617 KVM9 VVB</t>
  </si>
  <si>
    <t>405303 KVM8 VVB</t>
  </si>
  <si>
    <t>KVM4 SKYLLETANK</t>
  </si>
  <si>
    <t>405503 KVM3 TB</t>
  </si>
  <si>
    <t>40061501 KVM5 TB</t>
  </si>
  <si>
    <t>405403 KVM6 25M</t>
  </si>
  <si>
    <t>40061601 KVM7 25M</t>
  </si>
  <si>
    <t>3320905 KVM10</t>
  </si>
  <si>
    <t>31828725 KVM2 BV</t>
  </si>
  <si>
    <t>31828725 BV</t>
  </si>
  <si>
    <t>31039727</t>
  </si>
  <si>
    <t>261004</t>
  </si>
  <si>
    <t>40790</t>
  </si>
  <si>
    <t>40789</t>
  </si>
  <si>
    <t>E05KA2710786</t>
  </si>
  <si>
    <t>Suiter VM2 BV</t>
  </si>
  <si>
    <t>Suiter VM3 BK</t>
  </si>
  <si>
    <t>Loger VM4 BV</t>
  </si>
  <si>
    <t>Loger VM5 BK</t>
  </si>
  <si>
    <t>Køk. VM6 BV</t>
  </si>
  <si>
    <t>Køk.VM7 BK</t>
  </si>
  <si>
    <t>Vaskeri VM8 BK</t>
  </si>
  <si>
    <t>28277499 BV</t>
  </si>
  <si>
    <t>2200812 BV</t>
  </si>
  <si>
    <t>9828007 BK</t>
  </si>
  <si>
    <t>65122167  bane vand</t>
  </si>
  <si>
    <t>2151699 NEDTAGET maj 2012</t>
  </si>
  <si>
    <t>98391706</t>
  </si>
  <si>
    <t>04016440</t>
  </si>
  <si>
    <t>BK</t>
  </si>
  <si>
    <t>BK 548872</t>
  </si>
  <si>
    <t>44109</t>
  </si>
  <si>
    <t>02pc501321</t>
  </si>
  <si>
    <t>06 452924</t>
  </si>
  <si>
    <t>98392295</t>
  </si>
  <si>
    <t>97600445</t>
  </si>
  <si>
    <t>Koldt vand 5019440</t>
  </si>
  <si>
    <t>Cirkul. 6508842 ?</t>
  </si>
  <si>
    <t>Varmt brugsvand 6508842 ?</t>
  </si>
  <si>
    <t>01500592</t>
  </si>
  <si>
    <t>220156 BV</t>
  </si>
  <si>
    <t>4488</t>
  </si>
  <si>
    <t>4747292 Gl-Rådh</t>
  </si>
  <si>
    <t>4747292 Gl-Rådhus</t>
  </si>
  <si>
    <t>Ny Rådhus 4107811</t>
  </si>
  <si>
    <t>7235797</t>
  </si>
  <si>
    <t>29557</t>
  </si>
  <si>
    <t>HNG 1.522.623</t>
  </si>
  <si>
    <t>2762360/06</t>
  </si>
  <si>
    <t>4107844</t>
  </si>
  <si>
    <t>69271170</t>
  </si>
  <si>
    <t>Afmeldt 1203849</t>
  </si>
  <si>
    <t>69271176</t>
  </si>
  <si>
    <t>3101250</t>
  </si>
  <si>
    <t>4813499</t>
  </si>
  <si>
    <t>1203721</t>
  </si>
  <si>
    <t>Kontrol</t>
  </si>
  <si>
    <t>NEDTAGET 3100633</t>
  </si>
  <si>
    <t>4813498</t>
  </si>
  <si>
    <t>1153166</t>
  </si>
  <si>
    <t>1503037</t>
  </si>
  <si>
    <t>4824612</t>
  </si>
  <si>
    <t>1170668</t>
  </si>
  <si>
    <t>4824615</t>
  </si>
  <si>
    <t>7260018</t>
  </si>
  <si>
    <t>1204444</t>
  </si>
  <si>
    <t>Nr. ???</t>
  </si>
  <si>
    <t>4107805</t>
  </si>
  <si>
    <t>HNG16.04.677</t>
  </si>
  <si>
    <t>4824618</t>
  </si>
  <si>
    <t>16.30.409</t>
  </si>
  <si>
    <t>4824616</t>
  </si>
  <si>
    <t>4824619</t>
  </si>
  <si>
    <t>772082/1998</t>
  </si>
  <si>
    <t>4824608</t>
  </si>
  <si>
    <t>4824613</t>
  </si>
  <si>
    <t>1120526/1620060</t>
  </si>
  <si>
    <t>176870</t>
  </si>
  <si>
    <t>601132</t>
  </si>
  <si>
    <t>NEDLAGT</t>
  </si>
  <si>
    <t>1541448</t>
  </si>
  <si>
    <t>4824617</t>
  </si>
  <si>
    <t>6657409</t>
  </si>
  <si>
    <t>HNG16.03.587</t>
  </si>
  <si>
    <t>1540873</t>
  </si>
  <si>
    <t>2762361/2006</t>
  </si>
  <si>
    <t>1203600</t>
  </si>
  <si>
    <t>1604655</t>
  </si>
  <si>
    <t>4771216</t>
  </si>
  <si>
    <t>1203787</t>
  </si>
  <si>
    <t>1569154</t>
  </si>
  <si>
    <t>175906/96</t>
  </si>
  <si>
    <t>175910/96</t>
  </si>
  <si>
    <t>176901/96</t>
  </si>
  <si>
    <t>4824610</t>
  </si>
  <si>
    <t>7091524</t>
  </si>
  <si>
    <t>4824614</t>
  </si>
  <si>
    <t>4845354 FH</t>
  </si>
  <si>
    <t>-4845354 FH</t>
  </si>
  <si>
    <t>-4184811 STH</t>
  </si>
  <si>
    <t>4184811 STH</t>
  </si>
  <si>
    <t>Total, nr. 1 - EON ID 302</t>
  </si>
  <si>
    <t>AFMELDT</t>
  </si>
  <si>
    <t>4080353</t>
  </si>
  <si>
    <t>6637874</t>
  </si>
  <si>
    <t>2772362/06</t>
  </si>
  <si>
    <t>2772362</t>
  </si>
  <si>
    <t>-525481</t>
  </si>
  <si>
    <t>4959412</t>
  </si>
  <si>
    <t>-1528401</t>
  </si>
  <si>
    <t>Varme Privat</t>
  </si>
  <si>
    <t>Måler efter fyret</t>
  </si>
  <si>
    <t>1203709</t>
  </si>
  <si>
    <t>3100528</t>
  </si>
  <si>
    <t>1549931</t>
  </si>
  <si>
    <t>229728/97</t>
  </si>
  <si>
    <t>98024806</t>
  </si>
  <si>
    <t>4107843 aut</t>
  </si>
  <si>
    <t>4231383</t>
  </si>
  <si>
    <t>4673727</t>
  </si>
  <si>
    <t>4664092</t>
  </si>
  <si>
    <t>Galaxen 4903233</t>
  </si>
  <si>
    <t>Galaxen 492153</t>
  </si>
  <si>
    <t>Bibliotek 902153</t>
  </si>
  <si>
    <t>1204824</t>
  </si>
  <si>
    <t>4531660</t>
  </si>
  <si>
    <t>4531660/2003</t>
  </si>
  <si>
    <t>1114438</t>
  </si>
  <si>
    <t>6190956</t>
  </si>
  <si>
    <t>901636/99</t>
  </si>
  <si>
    <t>69293008</t>
  </si>
  <si>
    <t>69271173</t>
  </si>
  <si>
    <t>3100641 afmeldt</t>
  </si>
  <si>
    <t>7235795</t>
  </si>
  <si>
    <t>1206500</t>
  </si>
  <si>
    <t>1584004</t>
  </si>
  <si>
    <t>1200501</t>
  </si>
  <si>
    <t>99A368317</t>
  </si>
  <si>
    <t>6166427</t>
  </si>
  <si>
    <t>977808/2000</t>
  </si>
  <si>
    <t>7031829</t>
  </si>
  <si>
    <t>2729798/2006</t>
  </si>
  <si>
    <t>Svømmehal KWh</t>
  </si>
  <si>
    <t>Svømmehal NEDTAGET</t>
  </si>
  <si>
    <t>Pop vest</t>
  </si>
  <si>
    <t>Værksted hovedmåler 28434</t>
  </si>
  <si>
    <t>Pop Vest</t>
  </si>
  <si>
    <t>Ny Pop øst</t>
  </si>
  <si>
    <t>popgård, 1. KL hus, røde hus</t>
  </si>
  <si>
    <t>Byg A 977804</t>
  </si>
  <si>
    <t>Byg B+C 4507264</t>
  </si>
  <si>
    <t>Byg D.</t>
  </si>
  <si>
    <t>1204726</t>
  </si>
  <si>
    <t>4106727</t>
  </si>
  <si>
    <t>4860464</t>
  </si>
  <si>
    <t>7260019</t>
  </si>
  <si>
    <t>1129273</t>
  </si>
  <si>
    <t>6101943</t>
  </si>
  <si>
    <t>4202552</t>
  </si>
  <si>
    <t>Ny ?</t>
  </si>
  <si>
    <t>65114949</t>
  </si>
  <si>
    <t>AFMELDT Mobilfyr</t>
  </si>
  <si>
    <t>4080356/2001</t>
  </si>
  <si>
    <t>4166242</t>
  </si>
  <si>
    <t>4166241</t>
  </si>
  <si>
    <t>02186</t>
  </si>
  <si>
    <t>01/4087186 VE11</t>
  </si>
  <si>
    <t>859209 VBV</t>
  </si>
  <si>
    <t>859208 VE 1&amp;2</t>
  </si>
  <si>
    <t>4169399 VE08</t>
  </si>
  <si>
    <t>01/4087189 VVB</t>
  </si>
  <si>
    <t>01/4087190 TB</t>
  </si>
  <si>
    <t>01/4087187 VE12</t>
  </si>
  <si>
    <t>01/4087188 RA 01</t>
  </si>
  <si>
    <t>4169401 RA10</t>
  </si>
  <si>
    <t>4169400 VE09</t>
  </si>
  <si>
    <t>69291280</t>
  </si>
  <si>
    <t>01/4081529</t>
  </si>
  <si>
    <t>8545882</t>
  </si>
  <si>
    <t>4372271-ME2 VE02</t>
  </si>
  <si>
    <t>4372281 ME1 VE01</t>
  </si>
  <si>
    <t>4372267 ME5 VE05</t>
  </si>
  <si>
    <t>4372275 ME11 VVB</t>
  </si>
  <si>
    <t>4376015 ME10 GV01</t>
  </si>
  <si>
    <t>4378476 ME8 25M</t>
  </si>
  <si>
    <t>4376014 ME7 RA01</t>
  </si>
  <si>
    <t>4372265 ME4 VE04</t>
  </si>
  <si>
    <t>4372274 ME3 VE03</t>
  </si>
  <si>
    <t>4372276 ME9 TB</t>
  </si>
  <si>
    <t>69298140 Recool</t>
  </si>
  <si>
    <t>4375566 ME13 BV02</t>
  </si>
  <si>
    <t>4378475 ME12 BV01</t>
  </si>
  <si>
    <t>25496/2002</t>
  </si>
  <si>
    <t>1540749</t>
  </si>
  <si>
    <t>1553895</t>
  </si>
  <si>
    <t>161570</t>
  </si>
  <si>
    <t>1144066</t>
  </si>
  <si>
    <t>40014450 RA C/D</t>
  </si>
  <si>
    <t>EM6 RA 1.sal Trb.C</t>
  </si>
  <si>
    <t>EM1 Loger</t>
  </si>
  <si>
    <t>EM3 Suiter</t>
  </si>
  <si>
    <t>1056425</t>
  </si>
  <si>
    <t>4105252</t>
  </si>
  <si>
    <t>1203138</t>
  </si>
  <si>
    <t>11004538</t>
  </si>
  <si>
    <t>4824609</t>
  </si>
  <si>
    <t>4824607</t>
  </si>
  <si>
    <t>7299730</t>
  </si>
  <si>
    <t>3100441</t>
  </si>
  <si>
    <t>948570</t>
  </si>
  <si>
    <t>1105196</t>
  </si>
  <si>
    <t>1171337</t>
  </si>
  <si>
    <t>Ny</t>
  </si>
  <si>
    <t>6508842</t>
  </si>
  <si>
    <t>6506369</t>
  </si>
  <si>
    <t>61444137</t>
  </si>
  <si>
    <t>6506368</t>
  </si>
  <si>
    <t>608636</t>
  </si>
  <si>
    <t>4155449 aut</t>
  </si>
  <si>
    <t>30116799  VE01</t>
  </si>
  <si>
    <t>30116798 VVB1</t>
  </si>
  <si>
    <t>4155449</t>
  </si>
  <si>
    <t>30116800 VV01</t>
  </si>
  <si>
    <t>30116801 VE02 hal</t>
  </si>
  <si>
    <t>69061501</t>
  </si>
  <si>
    <t>69320466</t>
  </si>
  <si>
    <t>6991589</t>
  </si>
  <si>
    <t>49312</t>
  </si>
  <si>
    <t>024148</t>
  </si>
  <si>
    <t>aircon serverrum</t>
  </si>
  <si>
    <t>BI Serverrum</t>
  </si>
  <si>
    <t>0160016</t>
  </si>
  <si>
    <t>595766</t>
  </si>
  <si>
    <t>254494 NEDTAGET</t>
  </si>
  <si>
    <t>NEDTAGET 10/1/2014</t>
  </si>
  <si>
    <t>375314-32607</t>
  </si>
  <si>
    <t>414291/1097815-38075</t>
  </si>
  <si>
    <t>136073</t>
  </si>
  <si>
    <t>388648</t>
  </si>
  <si>
    <t>337918</t>
  </si>
  <si>
    <t>70-011153/459113</t>
  </si>
  <si>
    <t>3100847</t>
  </si>
  <si>
    <t>283667-51099</t>
  </si>
  <si>
    <t>60319 36312</t>
  </si>
  <si>
    <t>815868</t>
  </si>
  <si>
    <t>BM</t>
  </si>
  <si>
    <t>670761</t>
  </si>
  <si>
    <t>36312</t>
  </si>
  <si>
    <t>783388</t>
  </si>
  <si>
    <t>1015049</t>
  </si>
  <si>
    <t>86458</t>
  </si>
  <si>
    <t>86458 afmeldt</t>
  </si>
  <si>
    <t>1019276</t>
  </si>
  <si>
    <t>49491</t>
  </si>
  <si>
    <t>7363179---49491 afmeldt</t>
  </si>
  <si>
    <t>72002</t>
  </si>
  <si>
    <t>1019188</t>
  </si>
  <si>
    <t>1004350 (1)</t>
  </si>
  <si>
    <t>1011580 (2)</t>
  </si>
  <si>
    <t>072049 nr 1</t>
  </si>
  <si>
    <t>1019281 nr. 2</t>
  </si>
  <si>
    <t>1011237</t>
  </si>
  <si>
    <t>4129902</t>
  </si>
  <si>
    <t>23542</t>
  </si>
  <si>
    <t>110573</t>
  </si>
  <si>
    <t>AFMELDT 1100573</t>
  </si>
  <si>
    <t>89932-36312</t>
  </si>
  <si>
    <t>024091</t>
  </si>
  <si>
    <t>3105510</t>
  </si>
  <si>
    <t>023561</t>
  </si>
  <si>
    <t>77664</t>
  </si>
  <si>
    <t>48169</t>
  </si>
  <si>
    <t>707681</t>
  </si>
  <si>
    <t>88167</t>
  </si>
  <si>
    <t>3000373</t>
  </si>
  <si>
    <t>3000375</t>
  </si>
  <si>
    <t>1016383</t>
  </si>
  <si>
    <t>696462-36312</t>
  </si>
  <si>
    <t>52569</t>
  </si>
  <si>
    <t>4110</t>
  </si>
  <si>
    <t>48107</t>
  </si>
  <si>
    <t>383686</t>
  </si>
  <si>
    <t>BI Varmepumpe 1</t>
  </si>
  <si>
    <t>BI Varmepumpe 2</t>
  </si>
  <si>
    <t>510950</t>
  </si>
  <si>
    <t>AFMELDT NOV 2010 510950</t>
  </si>
  <si>
    <t>735337</t>
  </si>
  <si>
    <t>789021</t>
  </si>
  <si>
    <t>60648</t>
  </si>
  <si>
    <t>72027-34017</t>
  </si>
  <si>
    <t>Køkken / 4120909</t>
  </si>
  <si>
    <t>4247281</t>
  </si>
  <si>
    <t>4178970</t>
  </si>
  <si>
    <t>59656</t>
  </si>
  <si>
    <t>Jonstrup Fodbold 87170</t>
  </si>
  <si>
    <t>4010975</t>
  </si>
  <si>
    <t>34017</t>
  </si>
  <si>
    <t>697401</t>
  </si>
  <si>
    <t>228648/4171462</t>
  </si>
  <si>
    <t>490720</t>
  </si>
  <si>
    <t>490720 afmeldt</t>
  </si>
  <si>
    <t>72060</t>
  </si>
  <si>
    <t>72067</t>
  </si>
  <si>
    <t>-inst. 70-11523</t>
  </si>
  <si>
    <t>741607  FH</t>
  </si>
  <si>
    <t>1129204 STH</t>
  </si>
  <si>
    <t>655315</t>
  </si>
  <si>
    <t>BI 0150323</t>
  </si>
  <si>
    <t>4118048</t>
  </si>
  <si>
    <t>4036591</t>
  </si>
  <si>
    <t>1096167</t>
  </si>
  <si>
    <t>Byg 1 800231/1118660</t>
  </si>
  <si>
    <t>Byg 2 799430</t>
  </si>
  <si>
    <t>Byg 3 1019273</t>
  </si>
  <si>
    <t>577109</t>
  </si>
  <si>
    <t>813314</t>
  </si>
  <si>
    <t>0540 00081290</t>
  </si>
  <si>
    <t>4160062</t>
  </si>
  <si>
    <t>4161811</t>
  </si>
  <si>
    <t>4219857</t>
  </si>
  <si>
    <t>826640</t>
  </si>
  <si>
    <t>3103161</t>
  </si>
  <si>
    <t>3103161 x 60 AFMELDT</t>
  </si>
  <si>
    <t>BI 211800-210</t>
  </si>
  <si>
    <t>228690</t>
  </si>
  <si>
    <t>14396244</t>
  </si>
  <si>
    <t>360164</t>
  </si>
  <si>
    <t>814757</t>
  </si>
  <si>
    <t>1018671-38070</t>
  </si>
  <si>
    <t>100530</t>
  </si>
  <si>
    <t>Cafe, 2345026</t>
  </si>
  <si>
    <t>Cafekøkken</t>
  </si>
  <si>
    <t>47113606</t>
  </si>
  <si>
    <t>4213311</t>
  </si>
  <si>
    <t>1014972</t>
  </si>
  <si>
    <t>3107272</t>
  </si>
  <si>
    <t>048809 NEDTAGET</t>
  </si>
  <si>
    <t>4002576</t>
  </si>
  <si>
    <t>814763 - Kunstgræsbane</t>
  </si>
  <si>
    <t>530060</t>
  </si>
  <si>
    <t>BIMÅLER</t>
  </si>
  <si>
    <t>1099133-38078</t>
  </si>
  <si>
    <t>4038256</t>
  </si>
  <si>
    <t>3103570</t>
  </si>
  <si>
    <t>3103570 X60 Afmeldt</t>
  </si>
  <si>
    <t>3001543</t>
  </si>
  <si>
    <t>543933</t>
  </si>
  <si>
    <t>4032419</t>
  </si>
  <si>
    <t>3101465</t>
  </si>
  <si>
    <t>283724-51099</t>
  </si>
  <si>
    <t>4022873</t>
  </si>
  <si>
    <t>23741</t>
  </si>
  <si>
    <t>4162802</t>
  </si>
  <si>
    <t>3107212</t>
  </si>
  <si>
    <t>49425</t>
  </si>
  <si>
    <t>1100763-56808</t>
  </si>
  <si>
    <t>532418</t>
  </si>
  <si>
    <t>139938</t>
  </si>
  <si>
    <t>Lilleskolen over superbest 696827</t>
  </si>
  <si>
    <t>6.885.808</t>
  </si>
  <si>
    <t>58608</t>
  </si>
  <si>
    <t>31029500?</t>
  </si>
  <si>
    <t>732269-51096</t>
  </si>
  <si>
    <t>459312</t>
  </si>
  <si>
    <t>T 96163</t>
  </si>
  <si>
    <t>211700-210</t>
  </si>
  <si>
    <t>Hovedmåler 577428</t>
  </si>
  <si>
    <t>525766</t>
  </si>
  <si>
    <t>384246</t>
  </si>
  <si>
    <t>3108097</t>
  </si>
  <si>
    <t>80018</t>
  </si>
  <si>
    <t>1048860</t>
  </si>
  <si>
    <t>1129519</t>
  </si>
  <si>
    <t>3102337 afmeldt</t>
  </si>
  <si>
    <t>15887022</t>
  </si>
  <si>
    <t>340199</t>
  </si>
  <si>
    <t>70-007511 / 138425</t>
  </si>
  <si>
    <t>BM 309000176879</t>
  </si>
  <si>
    <t>1129239</t>
  </si>
  <si>
    <t>Solceller</t>
  </si>
  <si>
    <t>Bimåler Pavillion</t>
  </si>
  <si>
    <t>skurvogn</t>
  </si>
  <si>
    <t>BImåler nr 1</t>
  </si>
  <si>
    <t>Bimåler nr 2 - byggestrøm</t>
  </si>
  <si>
    <t>Fløj D byggemåler</t>
  </si>
  <si>
    <t>Bimåler nr 3 byggestrøm</t>
  </si>
  <si>
    <t>4148704</t>
  </si>
  <si>
    <t>44614</t>
  </si>
  <si>
    <t>ny</t>
  </si>
  <si>
    <t>283402 afmeldt</t>
  </si>
  <si>
    <t>731877 afmeldt</t>
  </si>
  <si>
    <t>735127-36317</t>
  </si>
  <si>
    <t>1096149-3807</t>
  </si>
  <si>
    <t>4059892</t>
  </si>
  <si>
    <t>335935</t>
  </si>
  <si>
    <t>58979</t>
  </si>
  <si>
    <t>106980 FB gang</t>
  </si>
  <si>
    <t>Dame sauna</t>
  </si>
  <si>
    <t>Pige sauna</t>
  </si>
  <si>
    <t>Herre sauna</t>
  </si>
  <si>
    <t>Drenge sauna</t>
  </si>
  <si>
    <t>3184256</t>
  </si>
  <si>
    <t>138873</t>
  </si>
  <si>
    <t>103229/48646 GL hal</t>
  </si>
  <si>
    <t>104167/800287  kæl</t>
  </si>
  <si>
    <t>800307 TB</t>
  </si>
  <si>
    <t>swimmix</t>
  </si>
  <si>
    <t>ELM8 TB</t>
  </si>
  <si>
    <t>ELM11 RELAX</t>
  </si>
  <si>
    <t>ELM12 OMKL.</t>
  </si>
  <si>
    <t>Recool</t>
  </si>
  <si>
    <t>ELM9 VVB</t>
  </si>
  <si>
    <t>ELM10 LYS</t>
  </si>
  <si>
    <t>ELM6 VE05</t>
  </si>
  <si>
    <t>ELM2 VE01</t>
  </si>
  <si>
    <t>ELM4 VE03</t>
  </si>
  <si>
    <t>ELM3 VE02</t>
  </si>
  <si>
    <t>ELM7 25M.BASS</t>
  </si>
  <si>
    <t>ELM5 VE04</t>
  </si>
  <si>
    <t>1000387</t>
  </si>
  <si>
    <t>4164771</t>
  </si>
  <si>
    <t>814920</t>
  </si>
  <si>
    <t>814920 AFMELDT</t>
  </si>
  <si>
    <t>482983-33501 / 1096152</t>
  </si>
  <si>
    <t>3105129</t>
  </si>
  <si>
    <t>Trc BK 31000018112</t>
  </si>
  <si>
    <t>Trænings lys D</t>
  </si>
  <si>
    <t>Trænings lys B</t>
  </si>
  <si>
    <t>Trænings lys C</t>
  </si>
  <si>
    <t>EL tribune D 369785</t>
  </si>
  <si>
    <t>P15 Master</t>
  </si>
  <si>
    <t>Maste P15</t>
  </si>
  <si>
    <t>Trænings lys A</t>
  </si>
  <si>
    <t>Q14 VE01&amp;VE02</t>
  </si>
  <si>
    <t>Vaskeri  og tribune D</t>
  </si>
  <si>
    <t>Eltrc.31100018199</t>
  </si>
  <si>
    <t>St.skærm0300118454</t>
  </si>
  <si>
    <t>bande B 122000320824</t>
  </si>
  <si>
    <t>Banevarme 487273 -P1</t>
  </si>
  <si>
    <t>P30 Suiter</t>
  </si>
  <si>
    <t>P40 Loger</t>
  </si>
  <si>
    <t>Q2 Lys gangareal</t>
  </si>
  <si>
    <t>Eltrc.31000018096</t>
  </si>
  <si>
    <t>Banevarme 494847 -P2</t>
  </si>
  <si>
    <t>800166</t>
  </si>
  <si>
    <t>1118529</t>
  </si>
  <si>
    <t>dræn 121400315785</t>
  </si>
  <si>
    <t>741426</t>
  </si>
  <si>
    <t>059999</t>
  </si>
  <si>
    <t>1004739</t>
  </si>
  <si>
    <t>787490</t>
  </si>
  <si>
    <t>1046146</t>
  </si>
  <si>
    <t>1012836</t>
  </si>
  <si>
    <t>548872</t>
  </si>
  <si>
    <t>798307</t>
  </si>
  <si>
    <t>3100363 Boliger</t>
  </si>
  <si>
    <t>3105690 vandværk</t>
  </si>
  <si>
    <t>1000280 50564 boliger</t>
  </si>
  <si>
    <t>4203708</t>
  </si>
  <si>
    <t>784016-36317 / 70-19972</t>
  </si>
  <si>
    <t>295729</t>
  </si>
  <si>
    <t>4031428</t>
  </si>
  <si>
    <t>15465</t>
  </si>
  <si>
    <t>EL03 VE01</t>
  </si>
  <si>
    <t>3104996</t>
  </si>
  <si>
    <t>112579 Nordic Sportscente</t>
  </si>
  <si>
    <t>113957 Køkken</t>
  </si>
  <si>
    <t>112644 Krop Danmark</t>
  </si>
  <si>
    <t>112614 Svøm 1 Sal</t>
  </si>
  <si>
    <t>112643 Svøm 2 Sal</t>
  </si>
  <si>
    <t>P71 EL02 hal</t>
  </si>
  <si>
    <t>EL04 VE02 hal</t>
  </si>
  <si>
    <t>4203804</t>
  </si>
  <si>
    <t>4029504</t>
  </si>
  <si>
    <t>98001310111</t>
  </si>
  <si>
    <t>98001314065</t>
  </si>
  <si>
    <t>98004052476</t>
  </si>
  <si>
    <t>98004376794</t>
  </si>
  <si>
    <t>98004825483</t>
  </si>
  <si>
    <t>98001314126</t>
  </si>
  <si>
    <t>98003479854</t>
  </si>
  <si>
    <t>98004724939</t>
  </si>
  <si>
    <t>98003447822</t>
  </si>
  <si>
    <t>98001985524</t>
  </si>
  <si>
    <t>98004052711</t>
  </si>
  <si>
    <t>98003838729</t>
  </si>
  <si>
    <t>98003449017</t>
  </si>
  <si>
    <t>98000130314</t>
  </si>
  <si>
    <t>98004882257</t>
  </si>
  <si>
    <t>98001998814</t>
  </si>
  <si>
    <t>98003448980</t>
  </si>
  <si>
    <t>98001314041</t>
  </si>
  <si>
    <t>5715151-980-0129757-3</t>
  </si>
  <si>
    <t>98004815958</t>
  </si>
  <si>
    <t>98001297474</t>
  </si>
  <si>
    <t>98004818263</t>
  </si>
  <si>
    <t>98003884306</t>
  </si>
  <si>
    <t>98004884565</t>
  </si>
  <si>
    <t>98004884572</t>
  </si>
  <si>
    <t>98004884589</t>
  </si>
  <si>
    <t>98004940469</t>
  </si>
  <si>
    <t>98003448973</t>
  </si>
  <si>
    <t>98004377937</t>
  </si>
  <si>
    <t>98001986118</t>
  </si>
  <si>
    <t>98004894182</t>
  </si>
  <si>
    <t>98004665867</t>
  </si>
  <si>
    <t>98004051172</t>
  </si>
  <si>
    <t>98001985531</t>
  </si>
  <si>
    <t>98004052360</t>
  </si>
  <si>
    <t>98002006662</t>
  </si>
  <si>
    <t>98000138945</t>
  </si>
  <si>
    <t>98001319152</t>
  </si>
  <si>
    <t>98004940117</t>
  </si>
  <si>
    <t>98004940124</t>
  </si>
  <si>
    <t>98001998845</t>
  </si>
  <si>
    <t>980001304444</t>
  </si>
  <si>
    <t>98001315369</t>
  </si>
  <si>
    <t>98003449000</t>
  </si>
  <si>
    <t>98001309450</t>
  </si>
  <si>
    <t>98001309467</t>
  </si>
  <si>
    <t>98005057814</t>
  </si>
  <si>
    <t>98001988648</t>
  </si>
  <si>
    <t>98001985401</t>
  </si>
  <si>
    <t>98000130192</t>
  </si>
  <si>
    <t>5713131 74112462363</t>
  </si>
  <si>
    <t>74110485920</t>
  </si>
  <si>
    <t>74110496490</t>
  </si>
  <si>
    <t>74111465433</t>
  </si>
  <si>
    <t>74114229582</t>
  </si>
  <si>
    <t>74113159491</t>
  </si>
  <si>
    <t>74111661767</t>
  </si>
  <si>
    <t>74110498135</t>
  </si>
  <si>
    <t>74110492454</t>
  </si>
  <si>
    <t>74111798173</t>
  </si>
  <si>
    <t>74111762860</t>
  </si>
  <si>
    <t>74115958559</t>
  </si>
  <si>
    <t>74115285587</t>
  </si>
  <si>
    <t>74115165162</t>
  </si>
  <si>
    <t>74110485999</t>
  </si>
  <si>
    <t>74112842813</t>
  </si>
  <si>
    <t>74110497862</t>
  </si>
  <si>
    <t>74114297154</t>
  </si>
  <si>
    <t>74112213484</t>
  </si>
  <si>
    <t>74111624557</t>
  </si>
  <si>
    <t>74112335858</t>
  </si>
  <si>
    <t>74110486026</t>
  </si>
  <si>
    <t>74111841077</t>
  </si>
  <si>
    <t>74111889819</t>
  </si>
  <si>
    <t>74112646763</t>
  </si>
  <si>
    <t>74112646756</t>
  </si>
  <si>
    <t>74111463248</t>
  </si>
  <si>
    <t>74110485937</t>
  </si>
  <si>
    <t>74111471656</t>
  </si>
  <si>
    <t>74110485906</t>
  </si>
  <si>
    <t>74111856651</t>
  </si>
  <si>
    <t>74110486040</t>
  </si>
  <si>
    <t>74111745771</t>
  </si>
  <si>
    <t>74112066509</t>
  </si>
  <si>
    <t>74111788310</t>
  </si>
  <si>
    <t>74111637991</t>
  </si>
  <si>
    <t>74113391723</t>
  </si>
  <si>
    <t>74112164694</t>
  </si>
  <si>
    <t>74111662405</t>
  </si>
  <si>
    <t>74113316368</t>
  </si>
  <si>
    <t>74113803486</t>
  </si>
  <si>
    <t>74112149578</t>
  </si>
  <si>
    <t>74120010266</t>
  </si>
  <si>
    <t>74113411872</t>
  </si>
  <si>
    <t>74110493246</t>
  </si>
  <si>
    <t>74110498128</t>
  </si>
  <si>
    <t>74114320562</t>
  </si>
  <si>
    <t>74110490979</t>
  </si>
  <si>
    <t>74112260112</t>
  </si>
  <si>
    <t>74110515016</t>
  </si>
  <si>
    <t>74115574117</t>
  </si>
  <si>
    <t>74115145355</t>
  </si>
  <si>
    <t>74115862986</t>
  </si>
  <si>
    <t>74110491907</t>
  </si>
  <si>
    <t>74113084144</t>
  </si>
  <si>
    <t>74112105888</t>
  </si>
  <si>
    <t>74110485883</t>
  </si>
  <si>
    <t>74110485890</t>
  </si>
  <si>
    <t>74111999389</t>
  </si>
  <si>
    <t>5713131 74120010389</t>
  </si>
  <si>
    <t>74120010297</t>
  </si>
  <si>
    <t>74111706307</t>
  </si>
  <si>
    <t>5713131 74112209302</t>
  </si>
  <si>
    <t>74111477924</t>
  </si>
  <si>
    <t>74111473544</t>
  </si>
  <si>
    <t>74110490658</t>
  </si>
  <si>
    <t>74111808063</t>
  </si>
  <si>
    <t>74111885200</t>
  </si>
  <si>
    <t>74114921226</t>
  </si>
  <si>
    <t>74110491822</t>
  </si>
  <si>
    <t>74112222622</t>
  </si>
  <si>
    <t>74111476767</t>
  </si>
  <si>
    <t>74110486064</t>
  </si>
  <si>
    <t>741 1600 8215</t>
  </si>
  <si>
    <t>74116008215</t>
  </si>
  <si>
    <t>74112196275</t>
  </si>
  <si>
    <t>741 1145 9616</t>
  </si>
  <si>
    <t>74115437542</t>
  </si>
  <si>
    <t>74110486033</t>
  </si>
  <si>
    <t>74111477986</t>
  </si>
  <si>
    <t>74110508421</t>
  </si>
  <si>
    <t>74110499910</t>
  </si>
  <si>
    <t>74112010823</t>
  </si>
  <si>
    <t>74110512749</t>
  </si>
  <si>
    <t>74110495868</t>
  </si>
  <si>
    <t>74111704464</t>
  </si>
  <si>
    <t>74110495875</t>
  </si>
  <si>
    <t>74112521800</t>
  </si>
  <si>
    <t>74111713671</t>
  </si>
  <si>
    <t>74111786781</t>
  </si>
  <si>
    <t>74111963243</t>
  </si>
  <si>
    <t>74110515863</t>
  </si>
  <si>
    <t>74110510271</t>
  </si>
  <si>
    <t>74114838777</t>
  </si>
  <si>
    <t>74110486057</t>
  </si>
  <si>
    <t>741 1236 0997</t>
  </si>
  <si>
    <t>5713131 74113161562</t>
  </si>
  <si>
    <t>74112041124</t>
  </si>
  <si>
    <t>74110490436</t>
  </si>
  <si>
    <t>74110485968</t>
  </si>
  <si>
    <t>74110486019</t>
  </si>
  <si>
    <t>74112176444</t>
  </si>
  <si>
    <t>741 1217 6437</t>
  </si>
  <si>
    <t>74115744459</t>
  </si>
  <si>
    <t>74112645957</t>
  </si>
  <si>
    <t>74111462838 ??? 741 1600 8772</t>
  </si>
  <si>
    <t>74120010259</t>
  </si>
  <si>
    <t>74112755489</t>
  </si>
  <si>
    <t>74110485951</t>
  </si>
  <si>
    <t>74115167586</t>
  </si>
  <si>
    <t>74111907032</t>
  </si>
  <si>
    <t>74110497688</t>
  </si>
  <si>
    <t>74114251200</t>
  </si>
  <si>
    <t>74112381589</t>
  </si>
  <si>
    <t>74112152523</t>
  </si>
  <si>
    <t>74114782704</t>
  </si>
  <si>
    <t>74110485982</t>
  </si>
  <si>
    <t>74110499637</t>
  </si>
  <si>
    <t>74114359395</t>
  </si>
  <si>
    <t>74114755326</t>
  </si>
  <si>
    <t>74114203506</t>
  </si>
  <si>
    <t>74111471663/74113768662</t>
  </si>
  <si>
    <t>74111921601</t>
  </si>
  <si>
    <t>74114304265</t>
  </si>
  <si>
    <t>74111859508</t>
  </si>
  <si>
    <t>74115276493</t>
  </si>
  <si>
    <t>74111459890</t>
  </si>
  <si>
    <t>74111477900</t>
  </si>
  <si>
    <t>74115046041</t>
  </si>
  <si>
    <t>74110495646</t>
  </si>
  <si>
    <t>74113122839</t>
  </si>
  <si>
    <t>Rækkenavne</t>
  </si>
  <si>
    <t>Hovedtotal</t>
  </si>
  <si>
    <t>Kolonnenavne</t>
  </si>
  <si>
    <t>Sum af Forbrugt</t>
  </si>
  <si>
    <t>EL (kWh)</t>
  </si>
  <si>
    <t>VARME (kWh)</t>
  </si>
  <si>
    <t>VAND (M3)</t>
  </si>
  <si>
    <t>I ALT</t>
  </si>
  <si>
    <t>Transport</t>
  </si>
  <si>
    <t>Kilometergodtgørelse, Lønsystem, km</t>
  </si>
  <si>
    <t>Vejbelysning</t>
  </si>
  <si>
    <t>Pct.vis ændring fra 2008-2014</t>
  </si>
  <si>
    <t>Total CO2 emission pr. område</t>
  </si>
  <si>
    <t>El</t>
  </si>
  <si>
    <t>Varme, klimakorrigeret</t>
  </si>
  <si>
    <t>Vand</t>
  </si>
  <si>
    <t>TOTAL CO2 emission</t>
  </si>
  <si>
    <t>Brændstof</t>
  </si>
  <si>
    <t>Kilometer</t>
  </si>
  <si>
    <t>kg CO2 pr km</t>
  </si>
  <si>
    <t>Elforbrug 2008</t>
  </si>
  <si>
    <t>kg CO2 pr kwh</t>
  </si>
  <si>
    <t>Elforbrug 2011</t>
  </si>
  <si>
    <t>Elforbrug 2012</t>
  </si>
  <si>
    <t>Vandforbrug</t>
  </si>
  <si>
    <t>kg CO2 pr m3</t>
  </si>
  <si>
    <t>2008-2014</t>
  </si>
  <si>
    <t>2013-2014</t>
  </si>
  <si>
    <t>Pct.vis ændring i CO2</t>
  </si>
  <si>
    <t>Andel af CO2</t>
  </si>
  <si>
    <t>Kilde: Mail fra Claus Humlum, Keep Focus, d. 28. maj 2015.</t>
  </si>
  <si>
    <t>Bygninger - NY</t>
  </si>
  <si>
    <t>Indgår / indgår ikke</t>
  </si>
  <si>
    <t>Indgår ikke</t>
  </si>
  <si>
    <t>Værløsehallerne</t>
  </si>
  <si>
    <t>Hareskovskole</t>
  </si>
  <si>
    <t>Lyngholmskolen</t>
  </si>
  <si>
    <t>Furesøskolen</t>
  </si>
  <si>
    <t>Ryetvej 17</t>
  </si>
  <si>
    <t>Farum Svømmehal</t>
  </si>
  <si>
    <t>2014 Total</t>
  </si>
  <si>
    <t>indgår ikke</t>
  </si>
  <si>
    <t>Indgår</t>
  </si>
  <si>
    <t>Pct.vis ændring fra 2013-2014</t>
  </si>
  <si>
    <t>2008 Total</t>
  </si>
  <si>
    <t>2009 Total</t>
  </si>
  <si>
    <t>2010 Total</t>
  </si>
  <si>
    <t>2011 Total</t>
  </si>
  <si>
    <t>2012 Total</t>
  </si>
  <si>
    <t>2013 Total</t>
  </si>
  <si>
    <t>Flygtningeboliger</t>
  </si>
  <si>
    <t>Sum af KlimaKorrigeretKwh</t>
  </si>
  <si>
    <t>Naturgas</t>
  </si>
  <si>
    <t>2008-2013</t>
  </si>
  <si>
    <t>2012-2013</t>
  </si>
  <si>
    <t>Se bilag</t>
  </si>
  <si>
    <t>Varmeforbrug 2014</t>
  </si>
  <si>
    <t>Energistyrelsens hjemmeside</t>
  </si>
  <si>
    <t>Kilde for CO2 faktorer:</t>
  </si>
  <si>
    <t>kg/km</t>
  </si>
  <si>
    <t>Kilometergodtgørelse (km)</t>
  </si>
  <si>
    <t>Brændstof i alt (liter)</t>
  </si>
  <si>
    <t>kg/liter</t>
  </si>
  <si>
    <t>CO2 udledning</t>
  </si>
  <si>
    <t>CO2-faktor</t>
  </si>
  <si>
    <t>I alt</t>
  </si>
  <si>
    <t>Statoil</t>
  </si>
  <si>
    <t>kg/KWh</t>
  </si>
  <si>
    <t>Vestforbrænding</t>
  </si>
  <si>
    <t>Forbrug i KWh (klimakorrigeret)</t>
  </si>
  <si>
    <t>Forbrug i KWh</t>
  </si>
  <si>
    <t>CO2 udledning - Brændstof</t>
  </si>
  <si>
    <t>CO2 udledning - Fjernvarme/naturgas</t>
  </si>
  <si>
    <t>"Gammel" Brændstof i alt (liter)</t>
  </si>
  <si>
    <t>* Betegnelsen "NY" dækker over at brændstoffet er opdelt i benzin og diesel</t>
  </si>
  <si>
    <t>** Betegnelsen "Gammel" dækker over, at benzin og diesel er lagt sammen til en enhed</t>
  </si>
  <si>
    <t>"Ny" Benzin (liter)</t>
  </si>
  <si>
    <t>"Ny" Diesel (liter)</t>
  </si>
  <si>
    <t>Pct.vis ændring fra 2008-2015</t>
  </si>
  <si>
    <t>Pct.vis ændring fra 2014-2015</t>
  </si>
  <si>
    <t>2008-2015</t>
  </si>
  <si>
    <t>2014-2015</t>
  </si>
  <si>
    <t>2015 Total</t>
  </si>
  <si>
    <t>(Flere elementer)</t>
  </si>
  <si>
    <t>Driftsgården/Statoil</t>
  </si>
  <si>
    <r>
      <t xml:space="preserve">Udviklingen fra 2008-2015
</t>
    </r>
    <r>
      <rPr>
        <i/>
        <sz val="11"/>
        <color theme="1"/>
        <rFont val="Calibri"/>
        <family val="2"/>
        <scheme val="minor"/>
      </rPr>
      <t>(den lyse søjle viser peak for perioden)</t>
    </r>
  </si>
  <si>
    <t>stig har sat varmestyring på radiatorer</t>
  </si>
  <si>
    <t>potentiale for forbedringer</t>
  </si>
  <si>
    <t>?????</t>
  </si>
  <si>
    <t>lægere tid åbent flere færre børn???</t>
  </si>
  <si>
    <t>marinaen?</t>
  </si>
  <si>
    <t>Arenaen ?</t>
  </si>
  <si>
    <t xml:space="preserve">er det manglen på teknisk service i Galaksen 2013 der slår negativt ud og er de nye teknologier årsag til fald </t>
  </si>
  <si>
    <t>er det lukningen af stavnsholt der kan ses</t>
  </si>
  <si>
    <t>teknik på rådhuset Stiager, delvis lukning af Farum rådhus ?</t>
  </si>
  <si>
    <t>driftsgården ?</t>
  </si>
  <si>
    <t>gammelgårdsvej teknik hallen ????</t>
  </si>
  <si>
    <t>er søndersø taget ud, så forklarer det faldet</t>
  </si>
  <si>
    <t>længere åbningstid med skolereform, mit klasselokale har vendt udviklingen</t>
  </si>
  <si>
    <t>hvad skyldes stigningen</t>
  </si>
  <si>
    <t>længere åbningstid forklarer stigning i 2014 hvor der alligevel blev lavet vikar adfærdsindsats, men hvad skyldes stigningen i 2015?</t>
  </si>
  <si>
    <t>perlatorer</t>
  </si>
  <si>
    <t>vandtank på driftsgården + våd sommer og begrænset snerydning til vinter</t>
  </si>
  <si>
    <t>perlatorer og adfærd</t>
  </si>
  <si>
    <t>indsats er startet</t>
  </si>
  <si>
    <t>Arena med?</t>
  </si>
  <si>
    <t>længere åbent?</t>
  </si>
  <si>
    <t>Cafeen i galaksen er lukket og Farum Kulturhus har kun haft cafe i perioder</t>
  </si>
  <si>
    <t>skyldes dette lukning af stavnsholt</t>
  </si>
  <si>
    <t>plejesenter Søndersø lukket</t>
  </si>
  <si>
    <t>teknik i 12 og 13 men hvad sker der i 14 og 15</t>
  </si>
  <si>
    <t>indsats startet</t>
  </si>
  <si>
    <t>længere åbningstid?</t>
  </si>
  <si>
    <t>fokus på alarmer alle steder</t>
  </si>
  <si>
    <t>længere åbningstid men hvorfor også øget forbrug i 2015?</t>
  </si>
  <si>
    <t>pumpning reduceret?</t>
  </si>
  <si>
    <t>et privat hjemmehjælpsfirma gik konkurs og med hjemtagelse af opgaven bliver bilerne brugt dobbelt så meget tjek Benny - kær klimarigtigt kursus?</t>
  </si>
  <si>
    <t>på trods af færre biler udbetales der mindre kørselsgodtgørelse, klimacyklerne har kørt 59.000 km.</t>
  </si>
  <si>
    <t>boligudbygning m veje men flere forklaringer er nødvendige</t>
  </si>
  <si>
    <t>Skovgården</t>
  </si>
  <si>
    <t>Brændstof i alt (ltr)</t>
  </si>
  <si>
    <t>TRANSPORT</t>
  </si>
  <si>
    <t>VEJBELYSNING (KWh)</t>
  </si>
  <si>
    <t>VARME - KLIMAKORRIGERET  (kWh)</t>
  </si>
  <si>
    <t>teknik i Værløse og lukning af Rådhuset men her er det underligt at det ikke virker som om der halvdelen af rådhuset er lukket. serverrummet har bimåler - denne er taget ud af den samlede opgørelse</t>
  </si>
  <si>
    <t xml:space="preserve">bygninger på Kollekollevej 39, spejderhytte Alugod, Tumlebo og Bjørnsholm er solgt, Røde rust er opsagt i 2012 - hvorfor er ejendomme i afvikling ikke med i de tidligere år. </t>
  </si>
  <si>
    <t>driftsgården teknik, Bybækskolen tages i brug i 2013 men forbruget stiger mest i 2014 hvorefter der er et fald i 2015, hvor der sparet 104.00o KWh herunder adfærdskampagne og fokus fra servicelederen på at lukke ned til ferier.</t>
  </si>
  <si>
    <t>god indsats for adfærd med børn med deciderede kampagner i 11 daginstitutioner / modvirkes af mad til børnehavebørn</t>
  </si>
  <si>
    <t>faldet er på johnstrup hus og ellegården</t>
  </si>
  <si>
    <t xml:space="preserve">Farumpark Data mangler - Hareskov hallen, Søndersøhallen og Værløsehallerne har reduceret er det teknik. Skal søndersøhallen trækkes ud som bimåler fra Søndersøskolen. </t>
  </si>
  <si>
    <r>
      <t xml:space="preserve">Marinaen er forpagtet til privat restauratør, derfor fald, værløse boldklub har sparet 6000 kwh, kustgræsbanen ved Værløse bold og </t>
    </r>
    <r>
      <rPr>
        <sz val="11"/>
        <color rgb="FFFF0000"/>
        <rFont val="Calibri"/>
        <family val="2"/>
        <scheme val="minor"/>
      </rPr>
      <t>tennis har reduceret 9000 Kwh - kan det passe</t>
    </r>
    <r>
      <rPr>
        <sz val="11"/>
        <color theme="1"/>
        <rFont val="Calibri"/>
        <family val="2"/>
        <scheme val="minor"/>
      </rPr>
      <t xml:space="preserve">. Australsk fodbold, bådudlejningen er steget - det røde hus, hareskov idræt, kirkeværløse idret, skallepanden har sparet lidt. Stor stigning i værløse tennis - </t>
    </r>
    <r>
      <rPr>
        <sz val="11"/>
        <color rgb="FFFF0000"/>
        <rFont val="Calibri"/>
        <family val="2"/>
        <scheme val="minor"/>
      </rPr>
      <t>Stig er der en forklaring</t>
    </r>
    <r>
      <rPr>
        <sz val="11"/>
        <color theme="1"/>
        <rFont val="Calibri"/>
        <family val="2"/>
        <scheme val="minor"/>
      </rPr>
      <t xml:space="preserve">. </t>
    </r>
  </si>
  <si>
    <t>ny belysning i farum Kulturhus, teknisk i værløse bibliotek, cafeerne har været mere eller mindre lukket mest i Galaksen</t>
  </si>
  <si>
    <t xml:space="preserve">Mosegården fald på 4600 er det teknin? de øvrige er steget lidt </t>
  </si>
  <si>
    <r>
      <t xml:space="preserve">indsats på gammelgårdsvej og skovgården, hareskov hvile fald på 3000 kwt, lyspunktet sparet 2000 fra 13-15, pedalartisten stigning da de er flittet til kr. 36 med udviddet værksted - </t>
    </r>
    <r>
      <rPr>
        <sz val="11"/>
        <color rgb="FFFF0000"/>
        <rFont val="Calibri"/>
        <family val="2"/>
        <scheme val="minor"/>
      </rPr>
      <t>musikskolen flyttes til kulturhuse ?</t>
    </r>
  </si>
  <si>
    <t>Søndersø lukket og Lillevang steget med 7000 kwh. skovgården faldet med 8000 kwh primært i 2014</t>
  </si>
  <si>
    <r>
      <t xml:space="preserve">længere åbningstid imødekommet med mit klimaansvar mit klasselokale og teknisk fokus, lille værløse skole reduceret med 20000 Kwh i 2015 sammenlignet med 2013, </t>
    </r>
    <r>
      <rPr>
        <sz val="11"/>
        <color rgb="FFFF0000"/>
        <rFont val="Calibri"/>
        <family val="2"/>
        <scheme val="minor"/>
      </rPr>
      <t xml:space="preserve">Stig tjekke miniklub lillestjernen mangler, Lyngholm stigning i 14 men fald på 33.000 kwh fra 13 til 15, sol vamgskolen har lavet adfærd men det drukner i PCB renoveringen og samlet set er der en stigning på 10.000 kwh. sprogskolen har fået naboer i tilstødende lokaler og deres forbrug kører sammen så der er en stigning på 6000 kwh på trods af stor indsats. søndersøskolen stiger med </t>
    </r>
  </si>
  <si>
    <t>ryetvej 17 er delvist lukket grundet skade, røde orm er steget i forbrug fra 900 til 4000 kwh</t>
  </si>
  <si>
    <t>længere åbningstid nye skylle rutiner??/indsat i omklædningsrum ???? effekt af vaske kampagne er der brugt mindre kemikalier</t>
  </si>
  <si>
    <t>Det Grønne regnskab 2008-2015 for Furesø Kommune</t>
  </si>
  <si>
    <t>Besparelse 2013-2014</t>
  </si>
  <si>
    <t>Besparelse 2014-2015</t>
  </si>
  <si>
    <t>Værløse</t>
  </si>
  <si>
    <t>Farum</t>
  </si>
  <si>
    <t>Fjernvarme</t>
  </si>
  <si>
    <t>Gennemsnitlig energipriser</t>
  </si>
  <si>
    <t>*pr MWh</t>
  </si>
  <si>
    <t>Farum / Udgift</t>
  </si>
  <si>
    <t>Værløse / Udgift</t>
  </si>
  <si>
    <t>MWh</t>
  </si>
  <si>
    <t>år</t>
  </si>
  <si>
    <t>kWh</t>
  </si>
  <si>
    <t>Kwh / m3</t>
  </si>
  <si>
    <t>m3</t>
  </si>
  <si>
    <t>Udgift</t>
  </si>
  <si>
    <t>Klimakorrigeret fjernvarme</t>
  </si>
  <si>
    <t>Forbrug i kWh</t>
  </si>
  <si>
    <t xml:space="preserve">* Der regnes med, at der går 11 kWh på en m3 naturgas svarende til </t>
  </si>
  <si>
    <t>1136927</t>
  </si>
  <si>
    <t>Farum Fjernvarme</t>
  </si>
  <si>
    <t>Farum Fjernvarme 2014</t>
  </si>
  <si>
    <t>Farum Fjernvarme 2015</t>
  </si>
  <si>
    <t>Værløse Fjernvarme 2014</t>
  </si>
  <si>
    <t>Værløse Fjernvarme 2015</t>
  </si>
  <si>
    <t>Vestforbrænding 2014</t>
  </si>
  <si>
    <t>Vestforbrænding 2015</t>
  </si>
  <si>
    <t>Naturgas 2014</t>
  </si>
  <si>
    <t>Naturgas 2015</t>
  </si>
  <si>
    <t>Varmeforbrug 2015</t>
  </si>
  <si>
    <t>Se arket CO2 beregning</t>
  </si>
  <si>
    <t>*pr m3</t>
  </si>
  <si>
    <t>*pr kWh</t>
  </si>
  <si>
    <t>Værløse Varmeværk</t>
  </si>
  <si>
    <t>Klimakorr. varme (KWh)</t>
  </si>
  <si>
    <t>Varme (KWh)</t>
  </si>
  <si>
    <t>Nedenfor vises, hvilke bygninger der modtager varme fra hvilke værker</t>
  </si>
  <si>
    <t>CO2 udledning (kg)</t>
  </si>
  <si>
    <t>I alt 2014 (vægtet gennemsnit)</t>
  </si>
  <si>
    <t>I alt 2015 (vægtet gennemsnit)</t>
  </si>
  <si>
    <t>Varmeforbrug 2008-2009</t>
  </si>
  <si>
    <t>Varmeforbrug 2010-2013</t>
  </si>
  <si>
    <t>CO2 faktorer</t>
  </si>
  <si>
    <t>CO2 emission</t>
  </si>
  <si>
    <t>Ændring i CO2 (kg)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</si>
</sst>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&quot;kr.&quot;* #,##0.00_);_(&quot;kr.&quot;* \(#,##0.00\);_(&quot;kr.&quot;* &quot;-&quot;??_);_(@_)"/>
    <numFmt numFmtId="165" formatCode="_(* #,##0.00_);_(* \(#,##0.00\);_(* &quot;-&quot;??_);_(@_)"/>
    <numFmt numFmtId="166" formatCode="_ * #,##0_ ;_ * \-#,##0_ ;_ * &quot;-&quot;??_ ;_ @_ "/>
    <numFmt numFmtId="167" formatCode="0.000"/>
    <numFmt numFmtId="168" formatCode="_(* #,##0_);_(* \(#,##0\);_(* &quot;-&quot;??_);_(@_)"/>
    <numFmt numFmtId="169" formatCode="0.0%"/>
    <numFmt numFmtId="170" formatCode="_ &quot;kr.&quot;\ * #,##0_ ;_ &quot;kr.&quot;\ * \-#,##0_ ;_ &quot;kr.&quot;\ * &quot;-&quot;??_ ;_ @_ "/>
    <numFmt numFmtId="171" formatCode="_(* #,##0.000_);_(* \(#,##0.0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color theme="1"/>
      <name val="Verdana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dotted">
        <color indexed="64"/>
      </top>
      <bottom/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04">
    <xf numFmtId="0" fontId="0" fillId="0" borderId="0" xfId="0"/>
    <xf numFmtId="49" fontId="0" fillId="0" borderId="0" xfId="0" applyNumberFormat="1"/>
    <xf numFmtId="3" fontId="0" fillId="0" borderId="0" xfId="0" applyNumberFormat="1"/>
    <xf numFmtId="166" fontId="0" fillId="0" borderId="0" xfId="1" applyNumberFormat="1" applyFont="1"/>
    <xf numFmtId="166" fontId="0" fillId="0" borderId="0" xfId="0" applyNumberFormat="1"/>
    <xf numFmtId="0" fontId="0" fillId="0" borderId="0" xfId="0" applyAlignment="1">
      <alignment wrapText="1"/>
    </xf>
    <xf numFmtId="0" fontId="2" fillId="2" borderId="0" xfId="0" applyFont="1" applyFill="1" applyAlignment="1">
      <alignment horizontal="left" wrapText="1"/>
    </xf>
    <xf numFmtId="3" fontId="2" fillId="2" borderId="0" xfId="0" applyNumberFormat="1" applyFont="1" applyFill="1"/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left"/>
    </xf>
    <xf numFmtId="0" fontId="8" fillId="2" borderId="0" xfId="2" applyFont="1" applyFill="1" applyBorder="1" applyAlignment="1">
      <alignment wrapText="1"/>
    </xf>
    <xf numFmtId="0" fontId="2" fillId="2" borderId="0" xfId="0" applyFont="1" applyFill="1" applyBorder="1" applyAlignment="1">
      <alignment horizontal="center"/>
    </xf>
    <xf numFmtId="0" fontId="6" fillId="0" borderId="0" xfId="0" applyFont="1"/>
    <xf numFmtId="0" fontId="8" fillId="0" borderId="0" xfId="2" applyFont="1" applyFill="1" applyBorder="1" applyAlignment="1">
      <alignment wrapText="1"/>
    </xf>
    <xf numFmtId="0" fontId="2" fillId="4" borderId="1" xfId="0" applyFont="1" applyFill="1" applyBorder="1"/>
    <xf numFmtId="0" fontId="2" fillId="4" borderId="2" xfId="0" applyFont="1" applyFill="1" applyBorder="1"/>
    <xf numFmtId="0" fontId="2" fillId="4" borderId="0" xfId="0" applyFont="1" applyFill="1" applyAlignment="1">
      <alignment horizontal="center"/>
    </xf>
    <xf numFmtId="0" fontId="0" fillId="5" borderId="0" xfId="0" applyFill="1"/>
    <xf numFmtId="0" fontId="0" fillId="5" borderId="0" xfId="0" applyFill="1" applyBorder="1"/>
    <xf numFmtId="0" fontId="0" fillId="6" borderId="10" xfId="0" applyFill="1" applyBorder="1"/>
    <xf numFmtId="0" fontId="0" fillId="6" borderId="9" xfId="0" applyFill="1" applyBorder="1"/>
    <xf numFmtId="166" fontId="10" fillId="6" borderId="8" xfId="3" applyNumberFormat="1" applyFont="1" applyFill="1" applyBorder="1" applyAlignment="1">
      <alignment horizontal="left" vertical="center"/>
    </xf>
    <xf numFmtId="0" fontId="0" fillId="6" borderId="7" xfId="0" applyFill="1" applyBorder="1"/>
    <xf numFmtId="0" fontId="10" fillId="6" borderId="0" xfId="0" applyFont="1" applyFill="1" applyBorder="1" applyAlignment="1">
      <alignment vertical="center"/>
    </xf>
    <xf numFmtId="0" fontId="0" fillId="6" borderId="0" xfId="0" applyFill="1" applyBorder="1"/>
    <xf numFmtId="0" fontId="0" fillId="6" borderId="6" xfId="0" applyFill="1" applyBorder="1" applyAlignment="1">
      <alignment horizontal="left"/>
    </xf>
    <xf numFmtId="0" fontId="0" fillId="6" borderId="6" xfId="0" applyFill="1" applyBorder="1"/>
    <xf numFmtId="166" fontId="0" fillId="5" borderId="10" xfId="0" applyNumberFormat="1" applyFill="1" applyBorder="1"/>
    <xf numFmtId="0" fontId="3" fillId="5" borderId="9" xfId="4" applyFill="1" applyBorder="1"/>
    <xf numFmtId="166" fontId="0" fillId="5" borderId="9" xfId="3" applyNumberFormat="1" applyFont="1" applyFill="1" applyBorder="1"/>
    <xf numFmtId="165" fontId="0" fillId="5" borderId="8" xfId="3" applyFont="1" applyFill="1" applyBorder="1" applyAlignment="1">
      <alignment horizontal="left" vertical="top"/>
    </xf>
    <xf numFmtId="166" fontId="0" fillId="5" borderId="7" xfId="3" applyNumberFormat="1" applyFont="1" applyFill="1" applyBorder="1"/>
    <xf numFmtId="165" fontId="3" fillId="5" borderId="0" xfId="3" applyFont="1" applyFill="1" applyBorder="1"/>
    <xf numFmtId="166" fontId="0" fillId="5" borderId="0" xfId="3" applyNumberFormat="1" applyFont="1" applyFill="1" applyBorder="1"/>
    <xf numFmtId="166" fontId="3" fillId="5" borderId="0" xfId="3" applyNumberFormat="1" applyFont="1" applyFill="1" applyBorder="1"/>
    <xf numFmtId="0" fontId="0" fillId="5" borderId="6" xfId="0" applyFill="1" applyBorder="1" applyAlignment="1">
      <alignment horizontal="left" vertical="top"/>
    </xf>
    <xf numFmtId="165" fontId="0" fillId="5" borderId="0" xfId="0" applyNumberFormat="1" applyFill="1" applyBorder="1"/>
    <xf numFmtId="165" fontId="0" fillId="6" borderId="7" xfId="0" applyNumberFormat="1" applyFill="1" applyBorder="1"/>
    <xf numFmtId="166" fontId="0" fillId="5" borderId="7" xfId="0" applyNumberFormat="1" applyFill="1" applyBorder="1"/>
    <xf numFmtId="165" fontId="0" fillId="5" borderId="0" xfId="3" applyFont="1" applyFill="1" applyBorder="1"/>
    <xf numFmtId="165" fontId="0" fillId="5" borderId="7" xfId="3" applyFont="1" applyFill="1" applyBorder="1"/>
    <xf numFmtId="0" fontId="0" fillId="5" borderId="6" xfId="0" applyFill="1" applyBorder="1"/>
    <xf numFmtId="0" fontId="3" fillId="6" borderId="0" xfId="4" applyFill="1" applyBorder="1"/>
    <xf numFmtId="165" fontId="0" fillId="6" borderId="0" xfId="3" applyFont="1" applyFill="1" applyBorder="1"/>
    <xf numFmtId="165" fontId="0" fillId="6" borderId="0" xfId="3" applyFont="1" applyFill="1" applyBorder="1" applyAlignment="1">
      <alignment horizontal="left" vertical="top"/>
    </xf>
    <xf numFmtId="166" fontId="3" fillId="5" borderId="7" xfId="3" applyNumberFormat="1" applyFont="1" applyFill="1" applyBorder="1"/>
    <xf numFmtId="166" fontId="0" fillId="5" borderId="10" xfId="3" applyNumberFormat="1" applyFont="1" applyFill="1" applyBorder="1"/>
    <xf numFmtId="0" fontId="0" fillId="6" borderId="8" xfId="0" applyFill="1" applyBorder="1"/>
    <xf numFmtId="0" fontId="0" fillId="5" borderId="9" xfId="0" applyFill="1" applyBorder="1"/>
    <xf numFmtId="0" fontId="0" fillId="5" borderId="11" xfId="0" applyFill="1" applyBorder="1"/>
    <xf numFmtId="0" fontId="0" fillId="5" borderId="12" xfId="0" applyFill="1" applyBorder="1"/>
    <xf numFmtId="0" fontId="0" fillId="5" borderId="5" xfId="0" applyFill="1" applyBorder="1"/>
    <xf numFmtId="0" fontId="0" fillId="5" borderId="14" xfId="0" applyFill="1" applyBorder="1"/>
    <xf numFmtId="0" fontId="0" fillId="5" borderId="8" xfId="0" applyFill="1" applyBorder="1"/>
    <xf numFmtId="167" fontId="0" fillId="5" borderId="0" xfId="0" applyNumberFormat="1" applyFill="1" applyBorder="1"/>
    <xf numFmtId="0" fontId="0" fillId="5" borderId="13" xfId="0" applyFill="1" applyBorder="1"/>
    <xf numFmtId="0" fontId="0" fillId="6" borderId="5" xfId="0" applyFill="1" applyBorder="1"/>
    <xf numFmtId="0" fontId="0" fillId="6" borderId="4" xfId="0" applyFill="1" applyBorder="1"/>
    <xf numFmtId="0" fontId="0" fillId="6" borderId="3" xfId="0" applyFill="1" applyBorder="1"/>
    <xf numFmtId="0" fontId="9" fillId="5" borderId="0" xfId="0" applyFont="1" applyFill="1" applyAlignment="1"/>
    <xf numFmtId="0" fontId="0" fillId="5" borderId="0" xfId="0" applyFont="1" applyFill="1"/>
    <xf numFmtId="0" fontId="2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0" fillId="5" borderId="0" xfId="0" applyFill="1" applyAlignment="1">
      <alignment wrapText="1"/>
    </xf>
    <xf numFmtId="0" fontId="7" fillId="5" borderId="0" xfId="2" applyFont="1" applyFill="1" applyBorder="1" applyAlignment="1">
      <alignment wrapText="1"/>
    </xf>
    <xf numFmtId="168" fontId="0" fillId="5" borderId="0" xfId="1" applyNumberFormat="1" applyFont="1" applyFill="1" applyBorder="1"/>
    <xf numFmtId="0" fontId="8" fillId="5" borderId="0" xfId="2" applyFont="1" applyFill="1" applyBorder="1" applyAlignment="1">
      <alignment wrapText="1"/>
    </xf>
    <xf numFmtId="0" fontId="2" fillId="5" borderId="0" xfId="0" applyFont="1" applyFill="1" applyBorder="1"/>
    <xf numFmtId="0" fontId="0" fillId="5" borderId="0" xfId="0" applyFont="1" applyFill="1" applyBorder="1"/>
    <xf numFmtId="2" fontId="0" fillId="5" borderId="0" xfId="0" applyNumberFormat="1" applyFill="1"/>
    <xf numFmtId="0" fontId="2" fillId="5" borderId="0" xfId="0" applyFont="1" applyFill="1"/>
    <xf numFmtId="0" fontId="3" fillId="5" borderId="0" xfId="2" applyFont="1" applyFill="1" applyBorder="1" applyAlignment="1">
      <alignment wrapText="1"/>
    </xf>
    <xf numFmtId="0" fontId="0" fillId="5" borderId="0" xfId="0" applyFill="1" applyAlignment="1">
      <alignment horizontal="left" wrapText="1"/>
    </xf>
    <xf numFmtId="3" fontId="0" fillId="5" borderId="0" xfId="0" applyNumberFormat="1" applyFill="1"/>
    <xf numFmtId="0" fontId="0" fillId="5" borderId="0" xfId="0" applyFill="1" applyAlignment="1">
      <alignment horizontal="left"/>
    </xf>
    <xf numFmtId="168" fontId="0" fillId="5" borderId="0" xfId="1" applyNumberFormat="1" applyFont="1" applyFill="1"/>
    <xf numFmtId="166" fontId="0" fillId="5" borderId="0" xfId="1" applyNumberFormat="1" applyFont="1" applyFill="1"/>
    <xf numFmtId="166" fontId="2" fillId="5" borderId="0" xfId="1" applyNumberFormat="1" applyFont="1" applyFill="1"/>
    <xf numFmtId="0" fontId="3" fillId="5" borderId="5" xfId="2" applyFill="1" applyBorder="1"/>
    <xf numFmtId="0" fontId="4" fillId="5" borderId="6" xfId="2" applyFont="1" applyFill="1" applyBorder="1" applyAlignment="1">
      <alignment wrapText="1"/>
    </xf>
    <xf numFmtId="0" fontId="4" fillId="5" borderId="7" xfId="2" applyFont="1" applyFill="1" applyBorder="1"/>
    <xf numFmtId="0" fontId="4" fillId="5" borderId="8" xfId="2" applyFont="1" applyFill="1" applyBorder="1" applyAlignment="1">
      <alignment wrapText="1"/>
    </xf>
    <xf numFmtId="0" fontId="4" fillId="5" borderId="10" xfId="2" applyFont="1" applyFill="1" applyBorder="1"/>
    <xf numFmtId="166" fontId="0" fillId="5" borderId="0" xfId="0" applyNumberFormat="1" applyFill="1"/>
    <xf numFmtId="168" fontId="0" fillId="5" borderId="0" xfId="0" applyNumberFormat="1" applyFill="1"/>
    <xf numFmtId="165" fontId="0" fillId="5" borderId="0" xfId="0" applyNumberFormat="1" applyFill="1"/>
    <xf numFmtId="4" fontId="0" fillId="5" borderId="0" xfId="0" applyNumberFormat="1" applyFill="1"/>
    <xf numFmtId="165" fontId="0" fillId="5" borderId="0" xfId="1" applyFont="1" applyFill="1"/>
    <xf numFmtId="0" fontId="0" fillId="5" borderId="15" xfId="0" applyFill="1" applyBorder="1"/>
    <xf numFmtId="167" fontId="0" fillId="5" borderId="16" xfId="0" applyNumberFormat="1" applyFill="1" applyBorder="1"/>
    <xf numFmtId="0" fontId="0" fillId="5" borderId="17" xfId="0" applyFill="1" applyBorder="1"/>
    <xf numFmtId="165" fontId="0" fillId="0" borderId="0" xfId="1" applyFont="1"/>
    <xf numFmtId="169" fontId="0" fillId="5" borderId="0" xfId="5" applyNumberFormat="1" applyFont="1" applyFill="1"/>
    <xf numFmtId="169" fontId="0" fillId="2" borderId="0" xfId="5" applyNumberFormat="1" applyFont="1" applyFill="1" applyAlignment="1">
      <alignment horizontal="right"/>
    </xf>
    <xf numFmtId="169" fontId="2" fillId="2" borderId="0" xfId="5" applyNumberFormat="1" applyFont="1" applyFill="1" applyAlignment="1">
      <alignment horizontal="right"/>
    </xf>
    <xf numFmtId="169" fontId="0" fillId="2" borderId="0" xfId="5" applyNumberFormat="1" applyFont="1" applyFill="1"/>
    <xf numFmtId="0" fontId="12" fillId="0" borderId="0" xfId="0" pivotButton="1" applyFont="1"/>
    <xf numFmtId="0" fontId="12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indent="1"/>
    </xf>
    <xf numFmtId="165" fontId="12" fillId="0" borderId="0" xfId="0" pivotButton="1" applyNumberFormat="1" applyFont="1"/>
    <xf numFmtId="165" fontId="12" fillId="0" borderId="0" xfId="0" applyNumberFormat="1" applyFont="1"/>
    <xf numFmtId="165" fontId="12" fillId="0" borderId="0" xfId="0" applyNumberFormat="1" applyFont="1" applyAlignment="1">
      <alignment horizontal="left"/>
    </xf>
    <xf numFmtId="168" fontId="12" fillId="0" borderId="0" xfId="0" applyNumberFormat="1" applyFont="1"/>
    <xf numFmtId="168" fontId="0" fillId="0" borderId="0" xfId="0" pivotButton="1" applyNumberFormat="1"/>
    <xf numFmtId="168" fontId="0" fillId="0" borderId="0" xfId="0" applyNumberFormat="1"/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left" indent="1"/>
    </xf>
    <xf numFmtId="0" fontId="0" fillId="5" borderId="0" xfId="0" applyFill="1" applyBorder="1" applyAlignment="1">
      <alignment horizontal="center"/>
    </xf>
    <xf numFmtId="169" fontId="2" fillId="5" borderId="0" xfId="5" applyNumberFormat="1" applyFont="1" applyFill="1"/>
    <xf numFmtId="166" fontId="2" fillId="5" borderId="0" xfId="1" applyNumberFormat="1" applyFont="1" applyFill="1" applyAlignment="1">
      <alignment wrapText="1"/>
    </xf>
    <xf numFmtId="0" fontId="0" fillId="5" borderId="0" xfId="0" applyFill="1"/>
    <xf numFmtId="0" fontId="0" fillId="5" borderId="0" xfId="0" applyFill="1"/>
    <xf numFmtId="0" fontId="0" fillId="5" borderId="0" xfId="0" applyFill="1"/>
    <xf numFmtId="0" fontId="0" fillId="5" borderId="0" xfId="0" applyFill="1"/>
    <xf numFmtId="0" fontId="2" fillId="2" borderId="0" xfId="0" applyFont="1" applyFill="1" applyAlignment="1">
      <alignment horizontal="center"/>
    </xf>
    <xf numFmtId="0" fontId="2" fillId="3" borderId="1" xfId="0" applyFont="1" applyFill="1" applyBorder="1"/>
    <xf numFmtId="0" fontId="2" fillId="3" borderId="2" xfId="0" applyFont="1" applyFill="1" applyBorder="1"/>
    <xf numFmtId="0" fontId="0" fillId="5" borderId="0" xfId="0" applyFill="1"/>
    <xf numFmtId="166" fontId="0" fillId="5" borderId="0" xfId="1" applyNumberFormat="1" applyFont="1" applyFill="1"/>
    <xf numFmtId="166" fontId="2" fillId="5" borderId="0" xfId="1" applyNumberFormat="1" applyFont="1" applyFill="1"/>
    <xf numFmtId="0" fontId="2" fillId="3" borderId="21" xfId="0" applyFont="1" applyFill="1" applyBorder="1"/>
    <xf numFmtId="169" fontId="0" fillId="5" borderId="0" xfId="5" applyNumberFormat="1" applyFont="1" applyFill="1"/>
    <xf numFmtId="169" fontId="0" fillId="5" borderId="0" xfId="5" applyNumberFormat="1" applyFont="1" applyFill="1" applyAlignment="1">
      <alignment wrapText="1"/>
    </xf>
    <xf numFmtId="9" fontId="2" fillId="5" borderId="0" xfId="5" applyNumberFormat="1" applyFont="1" applyFill="1"/>
    <xf numFmtId="9" fontId="2" fillId="5" borderId="0" xfId="5" applyNumberFormat="1" applyFont="1" applyFill="1" applyAlignment="1">
      <alignment wrapText="1"/>
    </xf>
    <xf numFmtId="3" fontId="0" fillId="5" borderId="0" xfId="5" applyNumberFormat="1" applyFont="1" applyFill="1"/>
    <xf numFmtId="3" fontId="2" fillId="5" borderId="0" xfId="5" applyNumberFormat="1" applyFont="1" applyFill="1"/>
    <xf numFmtId="0" fontId="2" fillId="2" borderId="0" xfId="0" applyFont="1" applyFill="1" applyAlignment="1">
      <alignment horizontal="center" vertical="center" wrapText="1"/>
    </xf>
    <xf numFmtId="164" fontId="0" fillId="5" borderId="0" xfId="0" applyNumberFormat="1" applyFill="1"/>
    <xf numFmtId="0" fontId="0" fillId="8" borderId="0" xfId="0" applyFill="1" applyBorder="1" applyAlignment="1">
      <alignment horizontal="center"/>
    </xf>
    <xf numFmtId="164" fontId="0" fillId="7" borderId="0" xfId="6" applyFont="1" applyFill="1" applyBorder="1"/>
    <xf numFmtId="164" fontId="0" fillId="7" borderId="7" xfId="6" applyFont="1" applyFill="1" applyBorder="1"/>
    <xf numFmtId="164" fontId="0" fillId="7" borderId="9" xfId="6" applyFont="1" applyFill="1" applyBorder="1"/>
    <xf numFmtId="164" fontId="0" fillId="7" borderId="10" xfId="6" applyFont="1" applyFill="1" applyBorder="1"/>
    <xf numFmtId="0" fontId="6" fillId="8" borderId="6" xfId="0" applyFont="1" applyFill="1" applyBorder="1" applyAlignment="1">
      <alignment horizontal="center"/>
    </xf>
    <xf numFmtId="0" fontId="6" fillId="8" borderId="8" xfId="0" applyFont="1" applyFill="1" applyBorder="1" applyAlignment="1">
      <alignment horizontal="center"/>
    </xf>
    <xf numFmtId="0" fontId="6" fillId="8" borderId="6" xfId="0" applyFont="1" applyFill="1" applyBorder="1"/>
    <xf numFmtId="0" fontId="6" fillId="8" borderId="0" xfId="0" applyFont="1" applyFill="1" applyBorder="1" applyAlignment="1">
      <alignment horizontal="center"/>
    </xf>
    <xf numFmtId="0" fontId="0" fillId="8" borderId="5" xfId="0" applyFill="1" applyBorder="1"/>
    <xf numFmtId="0" fontId="0" fillId="7" borderId="0" xfId="0" applyFill="1" applyBorder="1"/>
    <xf numFmtId="4" fontId="0" fillId="5" borderId="0" xfId="0" applyNumberFormat="1" applyFill="1" applyBorder="1"/>
    <xf numFmtId="164" fontId="0" fillId="7" borderId="11" xfId="6" applyFont="1" applyFill="1" applyBorder="1"/>
    <xf numFmtId="164" fontId="0" fillId="7" borderId="22" xfId="6" applyFont="1" applyFill="1" applyBorder="1"/>
    <xf numFmtId="164" fontId="0" fillId="7" borderId="23" xfId="6" applyFont="1" applyFill="1" applyBorder="1"/>
    <xf numFmtId="164" fontId="0" fillId="7" borderId="24" xfId="6" applyFont="1" applyFill="1" applyBorder="1"/>
    <xf numFmtId="164" fontId="0" fillId="5" borderId="0" xfId="6" applyFont="1" applyFill="1"/>
    <xf numFmtId="0" fontId="14" fillId="8" borderId="3" xfId="0" applyFont="1" applyFill="1" applyBorder="1" applyAlignment="1"/>
    <xf numFmtId="0" fontId="14" fillId="8" borderId="4" xfId="0" applyFont="1" applyFill="1" applyBorder="1" applyAlignment="1"/>
    <xf numFmtId="0" fontId="6" fillId="8" borderId="11" xfId="0" applyFont="1" applyFill="1" applyBorder="1" applyAlignment="1">
      <alignment horizontal="center"/>
    </xf>
    <xf numFmtId="164" fontId="0" fillId="5" borderId="0" xfId="6" applyFont="1" applyFill="1" applyBorder="1"/>
    <xf numFmtId="164" fontId="0" fillId="5" borderId="7" xfId="6" applyFont="1" applyFill="1" applyBorder="1"/>
    <xf numFmtId="168" fontId="0" fillId="5" borderId="9" xfId="1" applyNumberFormat="1" applyFont="1" applyFill="1" applyBorder="1"/>
    <xf numFmtId="164" fontId="0" fillId="5" borderId="9" xfId="6" applyFont="1" applyFill="1" applyBorder="1"/>
    <xf numFmtId="164" fontId="0" fillId="5" borderId="10" xfId="6" applyFont="1" applyFill="1" applyBorder="1"/>
    <xf numFmtId="168" fontId="0" fillId="5" borderId="0" xfId="1" applyNumberFormat="1" applyFont="1" applyFill="1" applyBorder="1" applyAlignment="1">
      <alignment horizontal="right"/>
    </xf>
    <xf numFmtId="168" fontId="0" fillId="5" borderId="9" xfId="1" applyNumberFormat="1" applyFont="1" applyFill="1" applyBorder="1" applyAlignment="1">
      <alignment horizontal="right"/>
    </xf>
    <xf numFmtId="168" fontId="0" fillId="5" borderId="0" xfId="1" applyNumberFormat="1" applyFont="1" applyFill="1" applyBorder="1" applyAlignment="1">
      <alignment horizontal="center"/>
    </xf>
    <xf numFmtId="168" fontId="0" fillId="5" borderId="0" xfId="0" applyNumberFormat="1" applyFill="1" applyBorder="1" applyAlignment="1">
      <alignment horizontal="center"/>
    </xf>
    <xf numFmtId="170" fontId="0" fillId="5" borderId="7" xfId="6" applyNumberFormat="1" applyFont="1" applyFill="1" applyBorder="1"/>
    <xf numFmtId="168" fontId="0" fillId="5" borderId="9" xfId="1" applyNumberFormat="1" applyFont="1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168" fontId="0" fillId="5" borderId="9" xfId="0" applyNumberFormat="1" applyFill="1" applyBorder="1" applyAlignment="1">
      <alignment horizontal="center"/>
    </xf>
    <xf numFmtId="170" fontId="0" fillId="5" borderId="10" xfId="6" applyNumberFormat="1" applyFont="1" applyFill="1" applyBorder="1"/>
    <xf numFmtId="0" fontId="0" fillId="8" borderId="7" xfId="0" applyFill="1" applyBorder="1"/>
    <xf numFmtId="0" fontId="6" fillId="8" borderId="7" xfId="0" applyFont="1" applyFill="1" applyBorder="1"/>
    <xf numFmtId="168" fontId="2" fillId="9" borderId="0" xfId="0" applyNumberFormat="1" applyFont="1" applyFill="1" applyBorder="1"/>
    <xf numFmtId="168" fontId="2" fillId="7" borderId="0" xfId="0" applyNumberFormat="1" applyFont="1" applyFill="1" applyBorder="1" applyAlignment="1">
      <alignment horizontal="left"/>
    </xf>
    <xf numFmtId="168" fontId="0" fillId="7" borderId="0" xfId="0" applyNumberFormat="1" applyFill="1" applyBorder="1" applyAlignment="1">
      <alignment horizontal="left" indent="1"/>
    </xf>
    <xf numFmtId="168" fontId="0" fillId="7" borderId="0" xfId="0" applyNumberFormat="1" applyFill="1" applyBorder="1"/>
    <xf numFmtId="0" fontId="2" fillId="9" borderId="0" xfId="0" applyNumberFormat="1" applyFont="1" applyFill="1" applyBorder="1" applyAlignment="1">
      <alignment horizontal="center"/>
    </xf>
    <xf numFmtId="168" fontId="0" fillId="7" borderId="0" xfId="0" applyNumberFormat="1" applyFont="1" applyFill="1" applyBorder="1"/>
    <xf numFmtId="168" fontId="0" fillId="7" borderId="11" xfId="0" applyNumberFormat="1" applyFont="1" applyFill="1" applyBorder="1"/>
    <xf numFmtId="170" fontId="0" fillId="7" borderId="0" xfId="6" applyNumberFormat="1" applyFont="1" applyFill="1" applyBorder="1"/>
    <xf numFmtId="0" fontId="2" fillId="9" borderId="11" xfId="0" applyNumberFormat="1" applyFont="1" applyFill="1" applyBorder="1" applyAlignment="1">
      <alignment horizontal="center"/>
    </xf>
    <xf numFmtId="0" fontId="6" fillId="8" borderId="6" xfId="0" applyFont="1" applyFill="1" applyBorder="1" applyAlignment="1">
      <alignment horizontal="right"/>
    </xf>
    <xf numFmtId="0" fontId="6" fillId="8" borderId="8" xfId="0" applyFont="1" applyFill="1" applyBorder="1" applyAlignment="1">
      <alignment horizontal="right"/>
    </xf>
    <xf numFmtId="0" fontId="0" fillId="8" borderId="6" xfId="0" applyFill="1" applyBorder="1" applyAlignment="1">
      <alignment horizontal="right"/>
    </xf>
    <xf numFmtId="0" fontId="0" fillId="8" borderId="8" xfId="0" applyFill="1" applyBorder="1" applyAlignment="1">
      <alignment horizontal="right"/>
    </xf>
    <xf numFmtId="168" fontId="2" fillId="10" borderId="0" xfId="0" applyNumberFormat="1" applyFont="1" applyFill="1" applyBorder="1"/>
    <xf numFmtId="0" fontId="2" fillId="10" borderId="0" xfId="0" applyNumberFormat="1" applyFont="1" applyFill="1" applyBorder="1" applyAlignment="1">
      <alignment horizontal="right"/>
    </xf>
    <xf numFmtId="168" fontId="2" fillId="5" borderId="0" xfId="0" applyNumberFormat="1" applyFont="1" applyFill="1" applyBorder="1" applyAlignment="1">
      <alignment horizontal="left"/>
    </xf>
    <xf numFmtId="168" fontId="0" fillId="5" borderId="0" xfId="0" applyNumberFormat="1" applyFont="1" applyFill="1" applyBorder="1"/>
    <xf numFmtId="170" fontId="0" fillId="5" borderId="0" xfId="0" applyNumberFormat="1" applyFill="1"/>
    <xf numFmtId="168" fontId="2" fillId="9" borderId="0" xfId="0" applyNumberFormat="1" applyFont="1" applyFill="1" applyBorder="1" applyAlignment="1">
      <alignment horizontal="center"/>
    </xf>
    <xf numFmtId="168" fontId="2" fillId="0" borderId="27" xfId="0" applyNumberFormat="1" applyFont="1" applyBorder="1" applyAlignment="1">
      <alignment horizontal="left"/>
    </xf>
    <xf numFmtId="168" fontId="2" fillId="0" borderId="27" xfId="0" applyNumberFormat="1" applyFont="1" applyBorder="1"/>
    <xf numFmtId="168" fontId="2" fillId="9" borderId="28" xfId="0" applyNumberFormat="1" applyFont="1" applyFill="1" applyBorder="1" applyAlignment="1">
      <alignment horizontal="left"/>
    </xf>
    <xf numFmtId="168" fontId="2" fillId="9" borderId="28" xfId="0" applyNumberFormat="1" applyFont="1" applyFill="1" applyBorder="1"/>
    <xf numFmtId="168" fontId="2" fillId="9" borderId="27" xfId="0" applyNumberFormat="1" applyFont="1" applyFill="1" applyBorder="1"/>
    <xf numFmtId="168" fontId="2" fillId="9" borderId="0" xfId="0" applyNumberFormat="1" applyFont="1" applyFill="1"/>
    <xf numFmtId="165" fontId="12" fillId="0" borderId="0" xfId="0" applyNumberFormat="1" applyFont="1" applyAlignment="1">
      <alignment horizontal="left" indent="1"/>
    </xf>
    <xf numFmtId="168" fontId="2" fillId="11" borderId="0" xfId="0" applyNumberFormat="1" applyFont="1" applyFill="1"/>
    <xf numFmtId="168" fontId="2" fillId="11" borderId="27" xfId="0" applyNumberFormat="1" applyFont="1" applyFill="1" applyBorder="1"/>
    <xf numFmtId="168" fontId="0" fillId="11" borderId="0" xfId="0" applyNumberFormat="1" applyFill="1"/>
    <xf numFmtId="0" fontId="0" fillId="5" borderId="13" xfId="0" applyFill="1" applyBorder="1" applyAlignment="1">
      <alignment horizontal="center"/>
    </xf>
    <xf numFmtId="167" fontId="0" fillId="5" borderId="0" xfId="0" applyNumberFormat="1" applyFill="1"/>
    <xf numFmtId="166" fontId="0" fillId="6" borderId="7" xfId="3" applyNumberFormat="1" applyFont="1" applyFill="1" applyBorder="1" applyAlignment="1"/>
    <xf numFmtId="0" fontId="0" fillId="5" borderId="0" xfId="0" applyFill="1"/>
    <xf numFmtId="167" fontId="0" fillId="5" borderId="26" xfId="0" applyNumberFormat="1" applyFill="1" applyBorder="1"/>
    <xf numFmtId="168" fontId="0" fillId="5" borderId="11" xfId="1" applyNumberFormat="1" applyFont="1" applyFill="1" applyBorder="1" applyAlignment="1">
      <alignment horizontal="center"/>
    </xf>
    <xf numFmtId="168" fontId="0" fillId="5" borderId="11" xfId="3" applyNumberFormat="1" applyFont="1" applyFill="1" applyBorder="1" applyAlignment="1">
      <alignment horizontal="center"/>
    </xf>
    <xf numFmtId="168" fontId="0" fillId="5" borderId="0" xfId="3" applyNumberFormat="1" applyFont="1" applyFill="1" applyBorder="1" applyAlignment="1"/>
    <xf numFmtId="168" fontId="0" fillId="5" borderId="0" xfId="1" applyNumberFormat="1" applyFont="1" applyFill="1" applyBorder="1" applyAlignment="1"/>
    <xf numFmtId="168" fontId="0" fillId="5" borderId="11" xfId="3" applyNumberFormat="1" applyFont="1" applyFill="1" applyBorder="1" applyAlignment="1"/>
    <xf numFmtId="168" fontId="0" fillId="5" borderId="7" xfId="0" applyNumberFormat="1" applyFill="1" applyBorder="1"/>
    <xf numFmtId="168" fontId="0" fillId="5" borderId="23" xfId="1" applyNumberFormat="1" applyFont="1" applyFill="1" applyBorder="1"/>
    <xf numFmtId="168" fontId="0" fillId="5" borderId="0" xfId="0" applyNumberFormat="1" applyFill="1" applyBorder="1"/>
    <xf numFmtId="168" fontId="0" fillId="5" borderId="11" xfId="0" applyNumberFormat="1" applyFill="1" applyBorder="1"/>
    <xf numFmtId="168" fontId="0" fillId="5" borderId="23" xfId="1" applyNumberFormat="1" applyFont="1" applyFill="1" applyBorder="1" applyAlignment="1">
      <alignment horizontal="center"/>
    </xf>
    <xf numFmtId="168" fontId="0" fillId="5" borderId="0" xfId="3" applyNumberFormat="1" applyFont="1" applyFill="1" applyBorder="1" applyAlignment="1">
      <alignment horizontal="center"/>
    </xf>
    <xf numFmtId="168" fontId="0" fillId="5" borderId="0" xfId="1" applyNumberFormat="1" applyFont="1" applyFill="1" applyBorder="1" applyAlignment="1">
      <alignment horizontal="center" vertical="center"/>
    </xf>
    <xf numFmtId="168" fontId="0" fillId="5" borderId="11" xfId="3" applyNumberFormat="1" applyFont="1" applyFill="1" applyBorder="1" applyAlignment="1">
      <alignment horizontal="center" vertical="center"/>
    </xf>
    <xf numFmtId="168" fontId="0" fillId="5" borderId="18" xfId="1" applyNumberFormat="1" applyFont="1" applyFill="1" applyBorder="1"/>
    <xf numFmtId="168" fontId="0" fillId="5" borderId="18" xfId="3" applyNumberFormat="1" applyFont="1" applyFill="1" applyBorder="1" applyAlignment="1">
      <alignment horizontal="center"/>
    </xf>
    <xf numFmtId="168" fontId="0" fillId="5" borderId="16" xfId="0" applyNumberFormat="1" applyFill="1" applyBorder="1"/>
    <xf numFmtId="168" fontId="0" fillId="5" borderId="19" xfId="1" applyNumberFormat="1" applyFont="1" applyFill="1" applyBorder="1"/>
    <xf numFmtId="168" fontId="0" fillId="5" borderId="17" xfId="0" applyNumberFormat="1" applyFill="1" applyBorder="1"/>
    <xf numFmtId="168" fontId="0" fillId="5" borderId="20" xfId="0" applyNumberFormat="1" applyFill="1" applyBorder="1"/>
    <xf numFmtId="168" fontId="0" fillId="5" borderId="9" xfId="0" applyNumberFormat="1" applyFill="1" applyBorder="1"/>
    <xf numFmtId="168" fontId="0" fillId="5" borderId="10" xfId="0" applyNumberFormat="1" applyFill="1" applyBorder="1"/>
    <xf numFmtId="0" fontId="4" fillId="5" borderId="0" xfId="2" applyFont="1" applyFill="1" applyBorder="1"/>
    <xf numFmtId="167" fontId="4" fillId="5" borderId="0" xfId="2" applyNumberFormat="1" applyFont="1" applyFill="1" applyBorder="1"/>
    <xf numFmtId="0" fontId="16" fillId="5" borderId="0" xfId="0" applyFont="1" applyFill="1" applyBorder="1"/>
    <xf numFmtId="0" fontId="17" fillId="5" borderId="7" xfId="0" applyFont="1" applyFill="1" applyBorder="1"/>
    <xf numFmtId="0" fontId="0" fillId="6" borderId="19" xfId="0" applyFill="1" applyBorder="1"/>
    <xf numFmtId="0" fontId="0" fillId="6" borderId="17" xfId="0" applyFill="1" applyBorder="1"/>
    <xf numFmtId="0" fontId="0" fillId="6" borderId="19" xfId="0" applyFill="1" applyBorder="1" applyAlignment="1">
      <alignment horizontal="center"/>
    </xf>
    <xf numFmtId="0" fontId="0" fillId="5" borderId="0" xfId="0" applyFill="1"/>
    <xf numFmtId="0" fontId="11" fillId="5" borderId="0" xfId="0" applyFont="1" applyFill="1"/>
    <xf numFmtId="0" fontId="0" fillId="5" borderId="0" xfId="0" applyNumberFormat="1" applyFill="1"/>
    <xf numFmtId="0" fontId="0" fillId="5" borderId="0" xfId="0" applyFill="1"/>
    <xf numFmtId="166" fontId="0" fillId="6" borderId="0" xfId="3" applyNumberFormat="1" applyFont="1" applyFill="1" applyAlignment="1"/>
    <xf numFmtId="166" fontId="0" fillId="6" borderId="0" xfId="0" applyNumberFormat="1" applyFill="1"/>
    <xf numFmtId="0" fontId="0" fillId="5" borderId="0" xfId="0" applyNumberFormat="1" applyFill="1"/>
    <xf numFmtId="168" fontId="0" fillId="6" borderId="19" xfId="0" applyNumberFormat="1" applyFill="1" applyBorder="1" applyAlignment="1"/>
    <xf numFmtId="170" fontId="2" fillId="7" borderId="0" xfId="6" applyNumberFormat="1" applyFont="1" applyFill="1" applyBorder="1"/>
    <xf numFmtId="170" fontId="2" fillId="7" borderId="0" xfId="6" applyNumberFormat="1" applyFont="1" applyFill="1" applyBorder="1" applyAlignment="1">
      <alignment horizontal="left" indent="1"/>
    </xf>
    <xf numFmtId="170" fontId="2" fillId="7" borderId="0" xfId="0" applyNumberFormat="1" applyFont="1" applyFill="1" applyBorder="1"/>
    <xf numFmtId="171" fontId="0" fillId="5" borderId="0" xfId="0" applyNumberFormat="1" applyFill="1"/>
    <xf numFmtId="168" fontId="18" fillId="5" borderId="0" xfId="0" applyNumberFormat="1" applyFont="1" applyFill="1"/>
    <xf numFmtId="0" fontId="18" fillId="5" borderId="0" xfId="0" applyFont="1" applyFill="1"/>
    <xf numFmtId="0" fontId="12" fillId="5" borderId="0" xfId="0" applyNumberFormat="1" applyFont="1" applyFill="1" applyAlignment="1">
      <alignment horizontal="left" indent="1"/>
    </xf>
    <xf numFmtId="0" fontId="12" fillId="5" borderId="0" xfId="0" applyNumberFormat="1" applyFont="1" applyFill="1"/>
    <xf numFmtId="0" fontId="12" fillId="5" borderId="0" xfId="0" applyFont="1" applyFill="1"/>
    <xf numFmtId="167" fontId="0" fillId="5" borderId="9" xfId="0" applyNumberFormat="1" applyFill="1" applyBorder="1"/>
    <xf numFmtId="0" fontId="0" fillId="5" borderId="29" xfId="0" applyFill="1" applyBorder="1"/>
    <xf numFmtId="168" fontId="0" fillId="5" borderId="29" xfId="0" applyNumberFormat="1" applyFill="1" applyBorder="1"/>
    <xf numFmtId="0" fontId="5" fillId="5" borderId="4" xfId="2" applyFont="1" applyFill="1" applyBorder="1" applyAlignment="1">
      <alignment horizontal="center"/>
    </xf>
    <xf numFmtId="0" fontId="19" fillId="5" borderId="3" xfId="2" applyFont="1" applyFill="1" applyBorder="1" applyAlignment="1">
      <alignment horizontal="center"/>
    </xf>
    <xf numFmtId="167" fontId="4" fillId="5" borderId="9" xfId="2" applyNumberFormat="1" applyFont="1" applyFill="1" applyBorder="1"/>
    <xf numFmtId="168" fontId="2" fillId="9" borderId="11" xfId="0" applyNumberFormat="1" applyFont="1" applyFill="1" applyBorder="1" applyAlignment="1">
      <alignment horizontal="center"/>
    </xf>
    <xf numFmtId="170" fontId="2" fillId="7" borderId="11" xfId="0" applyNumberFormat="1" applyFont="1" applyFill="1" applyBorder="1"/>
    <xf numFmtId="0" fontId="0" fillId="7" borderId="11" xfId="0" applyFill="1" applyBorder="1"/>
    <xf numFmtId="168" fontId="0" fillId="7" borderId="11" xfId="0" applyNumberFormat="1" applyFill="1" applyBorder="1"/>
    <xf numFmtId="170" fontId="2" fillId="7" borderId="11" xfId="6" applyNumberFormat="1" applyFont="1" applyFill="1" applyBorder="1"/>
    <xf numFmtId="170" fontId="2" fillId="7" borderId="11" xfId="6" applyNumberFormat="1" applyFont="1" applyFill="1" applyBorder="1" applyAlignment="1">
      <alignment horizontal="left" indent="1"/>
    </xf>
    <xf numFmtId="168" fontId="0" fillId="7" borderId="11" xfId="0" applyNumberFormat="1" applyFill="1" applyBorder="1" applyAlignment="1">
      <alignment horizontal="left" indent="1"/>
    </xf>
    <xf numFmtId="0" fontId="2" fillId="2" borderId="0" xfId="0" applyFont="1" applyFill="1" applyAlignment="1">
      <alignment horizontal="left" vertical="center" wrapText="1"/>
    </xf>
    <xf numFmtId="0" fontId="2" fillId="3" borderId="1" xfId="0" applyFont="1" applyFill="1" applyBorder="1" applyAlignment="1">
      <alignment horizontal="left"/>
    </xf>
    <xf numFmtId="0" fontId="2" fillId="3" borderId="21" xfId="0" applyFont="1" applyFill="1" applyBorder="1" applyAlignment="1">
      <alignment horizontal="left"/>
    </xf>
    <xf numFmtId="0" fontId="6" fillId="8" borderId="0" xfId="0" applyFont="1" applyFill="1" applyBorder="1" applyAlignment="1">
      <alignment horizontal="center"/>
    </xf>
    <xf numFmtId="0" fontId="6" fillId="8" borderId="11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/>
    </xf>
    <xf numFmtId="0" fontId="6" fillId="8" borderId="25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66" fontId="3" fillId="5" borderId="0" xfId="3" applyNumberFormat="1" applyFont="1" applyFill="1" applyBorder="1" applyAlignment="1">
      <alignment horizontal="left" vertical="center"/>
    </xf>
    <xf numFmtId="166" fontId="0" fillId="5" borderId="9" xfId="3" applyNumberFormat="1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165" fontId="0" fillId="5" borderId="0" xfId="3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66" fontId="3" fillId="5" borderId="0" xfId="3" applyNumberFormat="1" applyFont="1" applyFill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1" fillId="6" borderId="0" xfId="0" applyFont="1" applyFill="1" applyBorder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4" xfId="0" applyFill="1" applyBorder="1" applyAlignment="1"/>
    <xf numFmtId="0" fontId="0" fillId="5" borderId="13" xfId="0" applyFill="1" applyBorder="1" applyAlignment="1"/>
    <xf numFmtId="168" fontId="2" fillId="9" borderId="0" xfId="0" applyNumberFormat="1" applyFont="1" applyFill="1" applyBorder="1" applyAlignment="1">
      <alignment horizontal="center"/>
    </xf>
    <xf numFmtId="168" fontId="2" fillId="10" borderId="0" xfId="0" applyNumberFormat="1" applyFont="1" applyFill="1" applyBorder="1" applyAlignment="1">
      <alignment horizontal="center"/>
    </xf>
    <xf numFmtId="0" fontId="2" fillId="9" borderId="0" xfId="0" applyNumberFormat="1" applyFont="1" applyFill="1" applyBorder="1" applyAlignment="1">
      <alignment horizontal="center"/>
    </xf>
    <xf numFmtId="0" fontId="2" fillId="9" borderId="0" xfId="1" applyNumberFormat="1" applyFont="1" applyFill="1" applyBorder="1" applyAlignment="1">
      <alignment horizontal="center"/>
    </xf>
    <xf numFmtId="0" fontId="15" fillId="9" borderId="0" xfId="0" applyNumberFormat="1" applyFont="1" applyFill="1" applyBorder="1" applyAlignment="1">
      <alignment horizontal="center"/>
    </xf>
    <xf numFmtId="0" fontId="6" fillId="8" borderId="26" xfId="0" applyFont="1" applyFill="1" applyBorder="1" applyAlignment="1">
      <alignment horizontal="center"/>
    </xf>
    <xf numFmtId="0" fontId="6" fillId="8" borderId="11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14" fillId="8" borderId="3" xfId="0" applyFont="1" applyFill="1" applyBorder="1" applyAlignment="1">
      <alignment horizontal="center"/>
    </xf>
    <xf numFmtId="0" fontId="14" fillId="8" borderId="4" xfId="0" applyFont="1" applyFill="1" applyBorder="1" applyAlignment="1">
      <alignment horizontal="center"/>
    </xf>
    <xf numFmtId="0" fontId="14" fillId="8" borderId="5" xfId="0" applyFont="1" applyFill="1" applyBorder="1" applyAlignment="1">
      <alignment horizontal="center"/>
    </xf>
    <xf numFmtId="0" fontId="0" fillId="6" borderId="0" xfId="0" applyFill="1" applyAlignment="1">
      <alignment horizontal="center" vertical="center"/>
    </xf>
    <xf numFmtId="0" fontId="0" fillId="6" borderId="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17" xfId="0" applyFill="1" applyBorder="1" applyAlignment="1">
      <alignment horizontal="center"/>
    </xf>
  </cellXfs>
  <cellStyles count="8">
    <cellStyle name="Komma" xfId="1" builtinId="3"/>
    <cellStyle name="Komma 2" xfId="3"/>
    <cellStyle name="Komma 3" xfId="7"/>
    <cellStyle name="Normal" xfId="0" builtinId="0"/>
    <cellStyle name="Normal 2" xfId="2"/>
    <cellStyle name="Normal 2 2" xfId="4"/>
    <cellStyle name="Procent" xfId="5" builtinId="5"/>
    <cellStyle name="Valuta" xfId="6" builtinId="4"/>
  </cellStyles>
  <dxfs count="17">
    <dxf>
      <numFmt numFmtId="168" formatCode="_(* #,##0_);_(* \(#,##0\);_(* &quot;-&quot;??_);_(@_)"/>
    </dxf>
    <dxf>
      <font>
        <sz val="10"/>
      </font>
    </dxf>
    <dxf>
      <numFmt numFmtId="168" formatCode="_(* #,##0_);_(* \(#,##0\);_(* &quot;-&quot;??_);_(@_)"/>
    </dxf>
    <dxf>
      <font>
        <sz val="10"/>
      </font>
    </dxf>
    <dxf>
      <numFmt numFmtId="165" formatCode="_(* #,##0.00_);_(* \(#,##0.00\);_(* &quot;-&quot;??_);_(@_)"/>
    </dxf>
    <dxf>
      <font>
        <sz val="10"/>
      </font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30" formatCode="@"/>
    </dxf>
    <dxf>
      <numFmt numFmtId="30" formatCode="@"/>
    </dxf>
  </dxfs>
  <tableStyles count="0" defaultTableStyle="TableStyleMedium9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kadmin" refreshedDate="42481.454551504627" createdVersion="4" refreshedVersion="4" minRefreshableVersion="3" recordCount="4996">
  <cacheSource type="worksheet">
    <worksheetSource name="Table13"/>
  </cacheSource>
  <cacheFields count="25">
    <cacheField name="Niveau3" numFmtId="0">
      <sharedItems containsBlank="1" count="20">
        <s v="Administration"/>
        <s v="Afvikling"/>
        <s v="Andre kommunale ejendomme"/>
        <s v="Daginstitutioner"/>
        <s v="Pleje og omsorg"/>
        <s v="Flygtningebolig"/>
        <s v="Skoler"/>
        <s v="Spejderhytter"/>
        <s v="Fritidsklubber"/>
        <s v="Idrætsklubber"/>
        <s v="Museum"/>
        <s v="Forsamlingshuse"/>
        <s v="Idræt og Fritid"/>
        <s v="Kulturhuse"/>
        <s v="Plejecenter"/>
        <s v="Svømmehaller"/>
        <s v="Tekniske installationer"/>
        <s v="Udlejede ejendomme"/>
        <m/>
        <s v="Nye Ejendomme" u="1"/>
      </sharedItems>
    </cacheField>
    <cacheField name="BBRnummer" numFmtId="0">
      <sharedItems containsBlank="1"/>
    </cacheField>
    <cacheField name="Egenref" numFmtId="0">
      <sharedItems containsBlank="1"/>
    </cacheField>
    <cacheField name="KF_Bygningsnr" numFmtId="0">
      <sharedItems containsString="0" containsBlank="1" containsNumber="1" containsInteger="1" minValue="5244" maxValue="14590"/>
    </cacheField>
    <cacheField name="Bygningsnr" numFmtId="0">
      <sharedItems containsBlank="1"/>
    </cacheField>
    <cacheField name="Bygningsnavn" numFmtId="0">
      <sharedItems containsBlank="1"/>
    </cacheField>
    <cacheField name="Bygninger - NY" numFmtId="49">
      <sharedItems containsBlank="1" count="148">
        <s v="Farum Rådhus, RT2"/>
        <s v="Værløse Rådhus"/>
        <s v="Bjørnsholm"/>
        <s v="Hjortefarmen"/>
        <s v="Kollekollevej 35 TOM"/>
        <s v="Kollekollevej 37"/>
        <s v="Spejderhus, Kollekollevej 39"/>
        <s v="Spejderhus, Egedal"/>
        <s v="Røde Rust OPSAGT pr 1/3-2012"/>
        <s v="Tumlebo - OPSAGT 31/7/2011"/>
        <s v="Bybækskolen"/>
        <s v="Driftsgården"/>
        <s v="Skolelandbruget"/>
        <s v="Bygning 77, Sandet 17"/>
        <s v="Birkedal Børnehus"/>
        <s v="Familiehuset Villa Solhøj KV54"/>
        <s v="Bakkehuset"/>
        <s v="Bavnebo"/>
        <s v="Bifrost"/>
        <s v="Birkhøj (Valmuen)"/>
        <s v="Brudedalen Legestue, Brudedalen 54-58"/>
        <s v="Bøgely Ravnehusvej 20"/>
        <s v="Børnehusene Ryttergårdsvej 100 - 102"/>
        <s v="Børnehuset Åkanden / Skovbo Skovbovænget 75"/>
        <s v="Dalgården, Dalsø 107-109"/>
        <s v="Drivhuset Hvilebæksgårdsvej 17"/>
        <s v="Espebo Børnecenter"/>
        <s v="Farum Vejgård"/>
        <s v="Farum Vejgård, Stavnsholtvej 170"/>
        <s v="Farumsødal"/>
        <s v="Smedegade 19"/>
        <s v="Græshoppen"/>
        <s v="Kollekollevej 27 TOM"/>
        <s v="Hareskov Børnehus, Skovmose 55"/>
        <s v="Kildehuset"/>
        <s v="Kirke Værløse Børnehus"/>
        <s v="Kollekolle Børnehave"/>
        <s v="Krudthuset Børnehus"/>
        <s v="Mælkebøtten"/>
        <s v="Nordvænget"/>
        <s v="Syvstjerneskolen"/>
        <s v="Nordvænget Ryttergårdsvej 48"/>
        <s v="Nørreskoven"/>
        <s v="Paletten, tidl. Vallhalla Ryttergårdsvej 106"/>
        <s v="Røde Sol"/>
        <s v="Skovstjernen Børnehus, Skovlinien 23"/>
        <s v="Solbjerg Børnehus"/>
        <s v="Solsikken"/>
        <s v="Stavnsholt Børnehus, STA45"/>
        <s v="Søndersø Børnehus"/>
        <s v="Spejderhus, Sandet 2"/>
        <s v="Palægården Poppel Alle 19"/>
        <s v="Solvangskolen"/>
        <s v="Furesøbad"/>
        <s v="Regnbuen, Birkhøj 1"/>
        <s v="Skallepanden V M Amdrupvej 17"/>
        <s v="Musikskolen KV36"/>
        <s v="Familiehuset Ellegården Stavnsholtvej 168"/>
        <s v="Kærnehuset, Paltholmterrasserne 6A"/>
        <s v="Skovhuset Ballerupvej 60"/>
        <s v="Flygtnigebolig, Syvstjerne Vænge 10"/>
        <s v="Kirke Værløse Idrætanlæg, Lejr 21"/>
        <s v="Annexgården"/>
        <s v="Ellegården, Ladebygning, Stavnsholtvej 168"/>
        <s v="Forsamlingshus, Smedegade 5"/>
        <s v="Hovedvagten Kasernebygning"/>
        <s v="Jonstruphus -Jonstrupvangvej 159"/>
        <s v="Rørmosen Haveforening, RØR 4"/>
        <s v="Solvognen"/>
        <s v="Gasværket, Birke 14A"/>
        <s v="Pilehuset, STA39"/>
        <s v="Solbjerggård Fritidsklub"/>
        <s v="Tivolihuset, Hvilebækgårdsvej 19"/>
        <s v="Ungehuset, Klub Furesø"/>
        <s v="Farums Arkiver &amp; Museer Stavnholtvej 170"/>
        <s v="Farum Arena, STA41"/>
        <s v="Hareskov Hallen, Måne 8"/>
        <s v="Søndersøhallen, KV50"/>
        <s v="Værløsehallerne"/>
        <s v="Australsk Fodbold, Hvile 3A"/>
        <s v="Bådudlejningen - Fiskerhytten"/>
        <s v="Det Røde Hus, Poppel 14"/>
        <s v="Hareskov Idræt, Birke 15"/>
        <s v="Værløse Boldklub, Stiager 6"/>
        <s v="Værløse Tennis, LV77"/>
        <s v="Værløse Bold og Tennis"/>
        <s v="Lillestjernen, LV 91-93"/>
        <s v="Billen, Stavns 5"/>
        <s v="Hareskov Bibliotek"/>
        <s v="Kulturhuset Satelitten, BM46"/>
        <s v="Kulturhuset, Stavns 3"/>
        <m/>
        <s v="Værløse Bibliotek og Galaxen, BM48"/>
        <s v="Sygeplejeklinik Paltholm 13"/>
        <s v="Cornelen Stavnsholtvej 186"/>
        <s v="Mosegården Skovgårds Alle 37"/>
        <s v="Hareskovhvile, BM 118"/>
        <s v="Lysthuset, Lille Værløsevej 36A"/>
        <s v="Ryetvej 15"/>
        <s v="Sundhedshuset Gammelgårdsvej 88"/>
        <s v="Lyspunktet - Nygård 221A"/>
        <s v="Tandklinikken Nygaard, Nygård 209"/>
        <s v="Lillevang plejecenter"/>
        <s v="Plejehjemmet Søndersø"/>
        <s v="Skovgården"/>
        <s v="Solbjerghaven Plejecenter"/>
        <s v="Gedevasevang Plejehjem, Hestetang 30"/>
        <s v="Ryetbo Plejehjem"/>
        <s v="1.st. klasse huset, Hareskov Skole"/>
        <s v="Egeskolen, Jon 150/286"/>
        <s v="Hareskovskole"/>
        <s v="Lille Værløse skole"/>
        <s v="Lyngholmskolen"/>
        <s v="Solhøjskolen KV52"/>
        <s v="Stavnsholtskolen"/>
        <s v="Furesøskolen"/>
        <s v="Søndersøskolen"/>
        <s v="Sprogskolen, Hvedemarken 3-5"/>
        <s v="Ungdomsskolen, Farum"/>
        <s v="Ryetvej 17"/>
        <s v="Spejderhus Søvej 18"/>
        <s v="Spejderhytte Røde Orm"/>
        <s v="Farum Svømmehal"/>
        <s v="Værløse Svømmehal, KV60"/>
        <s v="Pumpestation Søndersø Bal 70R"/>
        <s v="Ballerupvej 29 - Udlejet"/>
        <s v="Ballerupvej 29A UDLEJET"/>
        <s v="Ballerupvej 31 UDLEJET"/>
        <s v="Farum Genbrug, Gammel 77-79"/>
        <s v="Langkærgård"/>
        <s v="TD-Bygning"/>
        <s v="Værløse Bio Bymidten 44"/>
        <s v="Farum Park"/>
        <s v="Overgangsboligerne Lillevangspark 8"/>
        <s v="Golfklub Kiosk"/>
        <s v="Fuglsang, Farum Hovedgade 84"/>
        <s v="Furesøgård - UDLEJET"/>
        <s v="Idræt Fritid"/>
        <s v="Idræt Klub"/>
        <s v="Lerstedet 1"/>
        <s v="Lille Bjørn, Kålund 24"/>
        <s v="Skomagerbakken P. E. Rasmunnens Vej 3"/>
        <s v="Solhøjgård - UDLEJET"/>
        <s v="Stenvadhallen"/>
        <s v="Poppelgården ungdomsboliger UDLEJET"/>
        <s v="Skovgården 2A" u="1"/>
        <s v="Skovgården 2" u="1"/>
        <s v="Skovgården, Skov 1" u="1"/>
      </sharedItems>
    </cacheField>
    <cacheField name="Indgår / indgår ikke" numFmtId="49">
      <sharedItems containsBlank="1" count="3">
        <s v="Indgår"/>
        <s v="Indgår ikke"/>
        <m/>
      </sharedItems>
    </cacheField>
    <cacheField name="Aar" numFmtId="0">
      <sharedItems containsString="0" containsBlank="1" containsNumber="1" containsInteger="1" minValue="2008" maxValue="2015" count="9">
        <n v="2015"/>
        <n v="2013"/>
        <n v="2012"/>
        <n v="2011"/>
        <n v="2010"/>
        <n v="2009"/>
        <n v="2008"/>
        <n v="2014"/>
        <m/>
      </sharedItems>
    </cacheField>
    <cacheField name="Forbrugt" numFmtId="165">
      <sharedItems containsString="0" containsBlank="1" containsNumber="1" minValue="-116295.28" maxValue="4149558.18"/>
    </cacheField>
    <cacheField name="Antal_poster" numFmtId="0">
      <sharedItems containsString="0" containsBlank="1" containsNumber="1" containsInteger="1" minValue="0" maxValue="24"/>
    </cacheField>
    <cacheField name="Sidst_Aflaest" numFmtId="0">
      <sharedItems containsBlank="1"/>
    </cacheField>
    <cacheField name="Afkoeling" numFmtId="0">
      <sharedItems containsString="0" containsBlank="1" containsNumber="1" containsInteger="1" minValue="0" maxValue="0"/>
    </cacheField>
    <cacheField name="Areal" numFmtId="0">
      <sharedItems containsString="0" containsBlank="1" containsNumber="1" containsInteger="1" minValue="0" maxValue="12237"/>
    </cacheField>
    <cacheField name="Noegletal" numFmtId="0">
      <sharedItems containsString="0" containsBlank="1" containsNumber="1" minValue="-178.339641" maxValue="20432012.899999999"/>
    </cacheField>
    <cacheField name="ForbrugsArt" numFmtId="0">
      <sharedItems containsString="0" containsBlank="1" containsNumber="1" containsInteger="1" minValue="1" maxValue="3"/>
    </cacheField>
    <cacheField name="Forsyning" numFmtId="0">
      <sharedItems containsBlank="1" count="12">
        <s v="Vand m3"/>
        <s v="Fjv. kWh"/>
        <s v="El kWh"/>
        <s v="Fjv. m3"/>
        <s v="N-gas m3"/>
        <s v="Fjv. MWh"/>
        <s v="N-gas2 m3"/>
        <s v="Fjv. GJ"/>
        <s v="Vand Liter"/>
        <s v="Solcelle (Forbrug)"/>
        <s v="Varmegenvinding kWh"/>
        <m/>
      </sharedItems>
    </cacheField>
    <cacheField name="KlimaKorrigeretKwh" numFmtId="165">
      <sharedItems containsString="0" containsBlank="1" containsNumber="1" minValue="-116295.28" maxValue="6158311.7999999998" count="4833">
        <n v="415.29"/>
        <n v="0"/>
        <n v="620.69000000000005"/>
        <n v="609.82000000000005"/>
        <n v="964.57"/>
        <n v="638.91999999999996"/>
        <n v="979.87"/>
        <n v="677.13"/>
        <n v="977.7"/>
        <n v="596.76"/>
        <n v="965.48"/>
        <n v="673.93"/>
        <n v="1135.1400000000001"/>
        <n v="642.53"/>
        <n v="226.24"/>
        <n v="546.16999999999996"/>
        <n v="477.29"/>
        <n v="369.55"/>
        <n v="489.89"/>
        <n v="603.41"/>
        <n v="690.34"/>
        <n v="228.22"/>
        <n v="516.95000000000005"/>
        <n v="522.17999999999995"/>
        <n v="560.95000000000005"/>
        <n v="546.6"/>
        <n v="565.62"/>
        <n v="533.9"/>
        <n v="891.61"/>
        <n v="212.55"/>
        <n v="270573.82"/>
        <n v="143576.94"/>
        <n v="252443.37"/>
        <n v="413994.57"/>
        <n v="181994.9"/>
        <n v="300746"/>
        <n v="1058175.3"/>
        <n v="231011.99"/>
        <n v="256615.88"/>
        <n v="283541.88"/>
        <n v="188240.01"/>
        <n v="230879.31"/>
        <n v="187388.96"/>
        <n v="300570.59999999998"/>
        <n v="274909.71999999997"/>
        <n v="240825.91"/>
        <n v="199266.76"/>
        <n v="268605.53999999998"/>
        <n v="454030.18"/>
        <n v="278355.18"/>
        <n v="220068.5"/>
        <n v="233724.53"/>
        <n v="411787.28"/>
        <n v="179516.26"/>
        <n v="228968.55"/>
        <n v="497315.52"/>
        <n v="150076.88"/>
        <n v="329778.32"/>
        <n v="251424.26"/>
        <n v="239554.09"/>
        <n v="452440.08"/>
        <n v="184641"/>
        <n v="122411.03"/>
        <n v="135453.51"/>
        <n v="152875.74"/>
        <n v="121841.34"/>
        <n v="113831.69"/>
        <n v="130873.11"/>
        <n v="118496.77"/>
        <n v="149302.91"/>
        <n v="161760.95999999999"/>
        <n v="148953.85999999999"/>
        <n v="243722.8"/>
        <n v="143880.32000000001"/>
        <n v="161194.9"/>
        <n v="262974.08000000002"/>
        <n v="228726.5"/>
        <n v="191558.04"/>
        <n v="168797.46"/>
        <n v="161509.57"/>
        <n v="161625.57"/>
        <n v="62891.67"/>
        <n v="44328.94"/>
        <n v="414339.3"/>
        <n v="77353.48"/>
        <n v="354205.72"/>
        <n v="94349.84"/>
        <n v="363640.61"/>
        <n v="38499.24"/>
        <n v="333483.59999999998"/>
        <n v="139838.37"/>
        <n v="193933.44"/>
        <n v="22660.31"/>
        <n v="124177.7"/>
        <n v="163200.82"/>
        <n v="43208.08"/>
        <n v="87968.24"/>
        <n v="39218.33"/>
        <n v="204726.99"/>
        <n v="45629.01"/>
        <n v="153385.26999999999"/>
        <n v="591.4"/>
        <n v="556.41"/>
        <n v="147742.20000000001"/>
        <n v="58535.82"/>
        <n v="5013.3999999999996"/>
        <n v="11594.17"/>
        <n v="95539.3"/>
        <n v="32.01"/>
        <n v="35.549999999999997"/>
        <n v="143.41"/>
        <n v="33.26"/>
        <n v="29.62"/>
        <n v="44.53"/>
        <n v="1.8"/>
        <n v="20.3"/>
        <n v="104.68"/>
        <n v="136.97999999999999"/>
        <n v="41.76"/>
        <n v="9.8699999999999992"/>
        <n v="12.82"/>
        <n v="1.6"/>
        <n v="18.3"/>
        <n v="310.10000000000002"/>
        <n v="166.98"/>
        <n v="159.57"/>
        <n v="73.989999999999995"/>
        <n v="84"/>
        <n v="1.0900000000000001"/>
        <n v="88.73"/>
        <n v="93.14"/>
        <n v="10.54"/>
        <n v="2345.9"/>
        <n v="36421.730000000003"/>
        <n v="61144.6"/>
        <n v="53153.47"/>
        <n v="65695.839999999997"/>
        <n v="68251.62"/>
        <n v="66555.77"/>
        <n v="54583.7"/>
        <n v="7.7"/>
        <n v="1165.55"/>
        <n v="21829.77"/>
        <n v="18274.759999999998"/>
        <n v="25826.39"/>
        <n v="23583.66"/>
        <n v="24604.799999999999"/>
        <n v="21404.97"/>
        <n v="5440.35"/>
        <n v="16376.77"/>
        <n v="21192.63"/>
        <n v="21271.77"/>
        <n v="18810.32"/>
        <n v="5.74"/>
        <n v="1621.89"/>
        <n v="4947.6400000000003"/>
        <n v="5290.14"/>
        <n v="4853.62"/>
        <n v="5893.82"/>
        <n v="5598.54"/>
        <n v="4947.09"/>
        <n v="51"/>
        <n v="4"/>
        <n v="3915.46"/>
        <n v="2223.39"/>
        <n v="1638.93"/>
        <n v="1588.63"/>
        <n v="1474.7"/>
        <n v="1630.03"/>
        <n v="795.98"/>
        <n v="5288.13"/>
        <n v="13106.5"/>
        <n v="15115.26"/>
        <n v="10252.43"/>
        <n v="36244.120000000003"/>
        <n v="33102.660000000003"/>
        <n v="28086.98"/>
        <n v="31061.34"/>
        <n v="29212.06"/>
        <n v="27496.95"/>
        <n v="562.30999999999995"/>
        <n v="295.95"/>
        <n v="646.01"/>
        <n v="3205.04"/>
        <n v="3138.37"/>
        <n v="508.98"/>
        <n v="3978.82"/>
        <n v="16118.98"/>
        <n v="17459.759999999998"/>
        <n v="61.8"/>
        <n v="18664.57"/>
        <n v="89.84"/>
        <n v="122.51"/>
        <n v="69.08"/>
        <n v="1.1000000000000001"/>
        <n v="5.46"/>
        <n v="55.54"/>
        <n v="99.74"/>
        <n v="497.46"/>
        <n v="735.58"/>
        <n v="434.42"/>
        <n v="336.4"/>
        <n v="501.06"/>
        <n v="635.45000000000005"/>
        <n v="960.7"/>
        <n v="1926.87"/>
        <n v="151569.49"/>
        <n v="1860.98"/>
        <n v="1727.76"/>
        <n v="1555.69"/>
        <n v="1509.57"/>
        <n v="1157.79"/>
        <n v="131.61000000000001"/>
        <n v="38.090000000000003"/>
        <n v="111.97"/>
        <n v="130.54"/>
        <n v="130.24"/>
        <n v="137.47999999999999"/>
        <n v="147.16"/>
        <n v="210.62"/>
        <n v="141.85"/>
        <n v="1031.78"/>
        <n v="743319.27"/>
        <n v="301881.03999999998"/>
        <n v="1104684.19"/>
        <n v="5946.78"/>
        <n v="147718.46"/>
        <n v="46034.720000000001"/>
        <n v="36854.44"/>
        <n v="1565.98"/>
        <n v="64274.91"/>
        <n v="22513.29"/>
        <n v="38993.75"/>
        <n v="701533"/>
        <n v="543744.22"/>
        <n v="683857.16"/>
        <n v="1306171.23"/>
        <n v="632152.22"/>
        <n v="940549.93"/>
        <n v="553953.25"/>
        <n v="585145.23"/>
        <n v="629426.46"/>
        <n v="1248279.81"/>
        <n v="772641.88"/>
        <n v="1379916.93"/>
        <n v="848651.36"/>
        <n v="1094981.8"/>
        <n v="25341.22"/>
        <n v="182025.49"/>
        <n v="170401.33"/>
        <n v="180324.99"/>
        <n v="169676.89"/>
        <n v="164943.85"/>
        <n v="436.47"/>
        <n v="159495"/>
        <n v="173324.66"/>
        <n v="166453.45000000001"/>
        <n v="167568.04999999999"/>
        <n v="159793.18"/>
        <n v="101544.66"/>
        <n v="193063.15"/>
        <n v="147820.74"/>
        <n v="85917.74"/>
        <n v="108181.67"/>
        <n v="229468.56"/>
        <n v="365467.65"/>
        <n v="152066.49"/>
        <n v="323.86"/>
        <n v="3149.36"/>
        <n v="60482"/>
        <n v="42046.65"/>
        <n v="40986.35"/>
        <n v="43041.07"/>
        <n v="41707.01"/>
        <n v="14635.76"/>
        <n v="31982.720000000001"/>
        <n v="4541.03"/>
        <n v="10560.63"/>
        <n v="31236.23"/>
        <n v="24142.04"/>
        <n v="30633.91"/>
        <n v="29048.26"/>
        <n v="3333.87"/>
        <n v="18133.689999999999"/>
        <n v="10038.75"/>
        <n v="10333"/>
        <n v="12026.14"/>
        <n v="9310.81"/>
        <n v="9901.52"/>
        <n v="10243.34"/>
        <n v="7547.76"/>
        <n v="125.39"/>
        <n v="3391.77"/>
        <n v="125.83"/>
        <n v="39838.67"/>
        <n v="13486"/>
        <n v="91.73"/>
        <n v="34467.69"/>
        <n v="247.55"/>
        <n v="242.19"/>
        <n v="237.22"/>
        <n v="191.77"/>
        <n v="305.60000000000002"/>
        <n v="286.5"/>
        <n v="138.1"/>
        <n v="367.9"/>
        <n v="453.1"/>
        <n v="571.20000000000005"/>
        <n v="515.54"/>
        <n v="549.29"/>
        <n v="424.23"/>
        <n v="14.98"/>
        <n v="46.48"/>
        <n v="73.430000000000007"/>
        <n v="95.11"/>
        <n v="121.35"/>
        <n v="174.75"/>
        <n v="158.05000000000001"/>
        <n v="182.9"/>
        <n v="568.20000000000005"/>
        <n v="523.70000000000005"/>
        <n v="595.4"/>
        <n v="526.29999999999995"/>
        <n v="61.99"/>
        <n v="525.65"/>
        <n v="118.44"/>
        <n v="540.04"/>
        <n v="46.56"/>
        <n v="165.25"/>
        <n v="343.49"/>
        <n v="349.14"/>
        <n v="383.55"/>
        <n v="347.69"/>
        <n v="84.9"/>
        <n v="122.46"/>
        <n v="39.880000000000003"/>
        <n v="106.74"/>
        <n v="146.86000000000001"/>
        <n v="233.34"/>
        <n v="122.72"/>
        <n v="106.54"/>
        <n v="126.27"/>
        <n v="232.84"/>
        <n v="691.9"/>
        <n v="615.9"/>
        <n v="478.5"/>
        <n v="475.1"/>
        <n v="543.19000000000005"/>
        <n v="684.19"/>
        <n v="167.74"/>
        <n v="404.13"/>
        <n v="424.72"/>
        <n v="419.28"/>
        <n v="379.38"/>
        <n v="378.39"/>
        <n v="404.61"/>
        <n v="167.85"/>
        <n v="422.6"/>
        <n v="475.3"/>
        <n v="678.1"/>
        <n v="607.02"/>
        <n v="408.85"/>
        <n v="328.63"/>
        <n v="197.7"/>
        <n v="326.3"/>
        <n v="475.8"/>
        <n v="437.7"/>
        <n v="428.5"/>
        <n v="569.54"/>
        <n v="617.34"/>
        <n v="563.30999999999995"/>
        <n v="-3.34"/>
        <n v="134.02000000000001"/>
        <n v="17206.64"/>
        <n v="57460.4"/>
        <n v="-2.13"/>
        <n v="300.83"/>
        <n v="15.28"/>
        <n v="398.87"/>
        <n v="52.19"/>
        <n v="353.71"/>
        <n v="26.26"/>
        <n v="436.66"/>
        <n v="13.68"/>
        <n v="278.41000000000003"/>
        <n v="28.92"/>
        <n v="247.99"/>
        <n v="364.6"/>
        <n v="39.86"/>
        <n v="962.2"/>
        <n v="903.6"/>
        <n v="776.4"/>
        <n v="371.37"/>
        <n v="351.24"/>
        <n v="460.6"/>
        <n v="149.5"/>
        <n v="8000.73"/>
        <n v="762.86"/>
        <n v="1097.74"/>
        <n v="1056.74"/>
        <n v="1151.74"/>
        <n v="1136.8599999999999"/>
        <n v="1160.51"/>
        <n v="393.58"/>
        <n v="4831.8999999999996"/>
        <n v="470.8"/>
        <n v="757.34"/>
        <n v="562.64"/>
        <n v="626.95000000000005"/>
        <n v="654.4"/>
        <n v="892.12"/>
        <n v="97.17"/>
        <n v="8815.18"/>
        <n v="254.09"/>
        <n v="243.22"/>
        <n v="276.04000000000002"/>
        <n v="281.17"/>
        <n v="303.89"/>
        <n v="302.29000000000002"/>
        <n v="152.26"/>
        <n v="695.5"/>
        <n v="665.5"/>
        <n v="424.55"/>
        <n v="409.78"/>
        <n v="355.94"/>
        <n v="322.83"/>
        <n v="126.73"/>
        <n v="376.5"/>
        <n v="278.05"/>
        <n v="325.45999999999998"/>
        <n v="272.95999999999998"/>
        <n v="294.47000000000003"/>
        <n v="363.23"/>
        <n v="210.2"/>
        <n v="393.2"/>
        <n v="558.6"/>
        <n v="467.5"/>
        <n v="464.81"/>
        <n v="511.83"/>
        <n v="511.58"/>
        <n v="67.5"/>
        <n v="521.9"/>
        <n v="174.6"/>
        <n v="170"/>
        <n v="152.9"/>
        <n v="195.51"/>
        <n v="221.33"/>
        <n v="199.3"/>
        <n v="168"/>
        <n v="140747.71"/>
        <n v="522.4"/>
        <n v="534.79999999999995"/>
        <n v="567.9"/>
        <n v="594.91999999999996"/>
        <n v="420.49"/>
        <n v="360.81"/>
        <n v="110.85"/>
        <n v="23984.880000000001"/>
        <n v="357.4"/>
        <n v="439.8"/>
        <n v="522.75"/>
        <n v="449.95"/>
        <n v="458.01"/>
        <n v="419.66"/>
        <n v="95.71"/>
        <n v="9493.36"/>
        <n v="284.36"/>
        <n v="287.02"/>
        <n v="334.25"/>
        <n v="415.36"/>
        <n v="382.23"/>
        <n v="411.25"/>
        <n v="113.4"/>
        <n v="392.62"/>
        <n v="269"/>
        <n v="287.60000000000002"/>
        <n v="304.10000000000002"/>
        <n v="372"/>
        <n v="288.06"/>
        <n v="311.19"/>
        <n v="180.17"/>
        <n v="65457.01"/>
        <n v="516.65"/>
        <n v="258.8"/>
        <n v="300.38"/>
        <n v="326.88"/>
        <n v="286.17"/>
        <n v="26981.13"/>
        <n v="108.53"/>
        <n v="128998.22"/>
        <n v="193.47"/>
        <n v="162.84"/>
        <n v="188.05"/>
        <n v="187.86"/>
        <n v="226.07"/>
        <n v="255.95"/>
        <n v="204.9"/>
        <n v="545.70000000000005"/>
        <n v="489.7"/>
        <n v="527.20000000000005"/>
        <n v="520.30999999999995"/>
        <n v="562.08000000000004"/>
        <n v="732.83"/>
        <n v="497.15"/>
        <n v="553.05999999999995"/>
        <n v="520.21"/>
        <n v="541.41999999999996"/>
        <n v="591.52"/>
        <n v="58.01"/>
        <n v="552.99"/>
        <n v="162.75"/>
        <n v="420.04"/>
        <n v="457.23"/>
        <n v="17.72"/>
        <n v="99.1"/>
        <n v="311.20999999999998"/>
        <n v="6766.92"/>
        <n v="880.43"/>
        <n v="958.24"/>
        <n v="1049.8"/>
        <n v="1111.04"/>
        <n v="1185.8399999999999"/>
        <n v="1319.73"/>
        <n v="489.5"/>
        <n v="10651.85"/>
        <n v="1336.7"/>
        <n v="1373.9"/>
        <n v="1071.2"/>
        <n v="1324.05"/>
        <n v="126.53"/>
        <n v="857.04"/>
        <n v="232.12"/>
        <n v="682.43"/>
        <n v="150.4"/>
        <n v="716.3"/>
        <n v="35686.629999999997"/>
        <n v="16509.560000000001"/>
        <n v="480.62"/>
        <n v="94387.36"/>
        <n v="16562.599999999999"/>
        <n v="76417.59"/>
        <n v="418.9"/>
        <n v="17402.560000000001"/>
        <n v="16994.47"/>
        <n v="433"/>
        <n v="21867.759999999998"/>
        <n v="16495.810000000001"/>
        <n v="-4.8099999999999996"/>
        <n v="313.75"/>
        <n v="39974.5"/>
        <n v="11429.03"/>
        <n v="31181.97"/>
        <n v="911.7"/>
        <n v="65902.320000000007"/>
        <n v="17555.98"/>
        <n v="35282"/>
        <n v="16579.490000000002"/>
        <n v="42755.66"/>
        <n v="40112.53"/>
        <n v="43088.33"/>
        <n v="42838.54"/>
        <n v="41110.04"/>
        <n v="41629.67"/>
        <n v="45916.34"/>
        <n v="47250.37"/>
        <n v="44465.760000000002"/>
        <n v="48056.92"/>
        <n v="45206.34"/>
        <n v="44827.18"/>
        <n v="62951"/>
        <n v="66574.94"/>
        <n v="64952.71"/>
        <n v="83300.929999999993"/>
        <n v="120166.53"/>
        <n v="123942.38"/>
        <n v="83087.899999999994"/>
        <n v="57450"/>
        <n v="438.16"/>
        <n v="2014.13"/>
        <n v="142602.53"/>
        <n v="120575.91"/>
        <n v="138576"/>
        <n v="113372.44"/>
        <n v="56448.46"/>
        <n v="111653.7"/>
        <n v="105172.58"/>
        <n v="105446.46"/>
        <n v="112439.13"/>
        <n v="111769.44"/>
        <n v="111833.93"/>
        <n v="103625.34"/>
        <n v="145495"/>
        <n v="17615.77"/>
        <n v="6295.43"/>
        <n v="150590.19"/>
        <n v="134388.18"/>
        <n v="31591.919999999998"/>
        <n v="187943.47"/>
        <n v="222818.75"/>
        <n v="171452.15"/>
        <n v="218050.95"/>
        <n v="62398"/>
        <n v="70414.75"/>
        <n v="18221.689999999999"/>
        <n v="65139.77"/>
        <n v="167996.17"/>
        <n v="60922.75"/>
        <n v="128926.54"/>
        <n v="58853.81"/>
        <n v="156998.01999999999"/>
        <n v="61956.54"/>
        <n v="118463.89"/>
        <n v="57005.77"/>
        <n v="100085.13"/>
        <n v="47526.96"/>
        <n v="81353.119999999995"/>
        <n v="49165"/>
        <n v="47406.400000000001"/>
        <n v="51739.43"/>
        <n v="52113.93"/>
        <n v="46846.06"/>
        <n v="50778.82"/>
        <n v="55057.48"/>
        <n v="96664"/>
        <n v="550.15"/>
        <n v="93010.7"/>
        <n v="101297.12"/>
        <n v="102849.96"/>
        <n v="104048.16"/>
        <n v="127590.21"/>
        <n v="101612.13"/>
        <n v="87408"/>
        <n v="40920.699999999997"/>
        <n v="98514.1"/>
        <n v="7224.8"/>
        <n v="93961.78"/>
        <n v="140448.54999999999"/>
        <n v="86403.9"/>
        <n v="69736.13"/>
        <n v="88908.4"/>
        <n v="85031.679999999993"/>
        <n v="93292.4"/>
        <n v="80623.740000000005"/>
        <n v="95768"/>
        <n v="81659.63"/>
        <n v="92767.25"/>
        <n v="77195.710000000006"/>
        <n v="55726"/>
        <n v="11185"/>
        <n v="62391.14"/>
        <n v="57145.9"/>
        <n v="63046.03"/>
        <n v="56885.38"/>
        <n v="88826.78"/>
        <n v="79234.98"/>
        <n v="111878"/>
        <n v="247729.83"/>
        <n v="173695.14"/>
        <n v="124227.2"/>
        <n v="136743.57999999999"/>
        <n v="108197.8"/>
        <n v="174921.46"/>
        <n v="144339.81"/>
        <n v="42700"/>
        <n v="19429.490000000002"/>
        <n v="29915.82"/>
        <n v="40059.440000000002"/>
        <n v="42269.42"/>
        <n v="35923.519999999997"/>
        <n v="41397.81"/>
        <n v="34483.71"/>
        <n v="42054.83"/>
        <n v="34466.07"/>
        <n v="35151.78"/>
        <n v="41306.71"/>
        <n v="42533.29"/>
        <n v="35395.769999999997"/>
        <n v="66431"/>
        <n v="69516.69"/>
        <n v="88499.55"/>
        <n v="72058.75"/>
        <n v="65217.29"/>
        <n v="92307.92"/>
        <n v="75128.73"/>
        <n v="122873"/>
        <n v="142993.72"/>
        <n v="152633.87"/>
        <n v="156279.5"/>
        <n v="150428.35999999999"/>
        <n v="150219.49"/>
        <n v="151792.07999999999"/>
        <n v="142387"/>
        <n v="253996.49"/>
        <n v="100974.14"/>
        <n v="102997.77"/>
        <n v="261156.92"/>
        <n v="102587.96"/>
        <n v="268911.63"/>
        <n v="100546.72"/>
        <n v="203339.42"/>
        <n v="193376.44"/>
        <n v="98139.36"/>
        <n v="103198.08"/>
        <n v="204695.99"/>
        <n v="58156"/>
        <n v="22695.64"/>
        <n v="55991.35"/>
        <n v="37709.81"/>
        <n v="58348.58"/>
        <n v="41212.800000000003"/>
        <n v="52871.37"/>
        <n v="38122.01"/>
        <n v="43369.24"/>
        <n v="37362.76"/>
        <n v="47184.01"/>
        <n v="37123.49"/>
        <n v="47579.3"/>
        <n v="35312.01"/>
        <n v="74284"/>
        <n v="75166.62"/>
        <n v="78813.600000000006"/>
        <n v="79340.34"/>
        <n v="67478.44"/>
        <n v="79639.03"/>
        <n v="62191.97"/>
        <n v="26522.959999999999"/>
        <n v="62934"/>
        <n v="75990.58"/>
        <n v="57477.74"/>
        <n v="84245.01"/>
        <n v="68420.429999999993"/>
        <n v="77754.740000000005"/>
        <n v="59121.01"/>
        <n v="79535.649999999994"/>
        <n v="66207.12"/>
        <n v="91973.99"/>
        <n v="137332.56"/>
        <n v="91921.87"/>
        <n v="110433.52"/>
        <n v="80409"/>
        <n v="73102.44"/>
        <n v="80100.34"/>
        <n v="80819.399999999994"/>
        <n v="74170.28"/>
        <n v="79111.77"/>
        <n v="73508.98"/>
        <n v="88163"/>
        <n v="105409.81"/>
        <n v="50485"/>
        <n v="267.25"/>
        <n v="93490.57"/>
        <n v="115842.87"/>
        <n v="97556.68"/>
        <n v="145016.93"/>
        <n v="108381.79"/>
        <n v="46544"/>
        <n v="24976.639999999999"/>
        <n v="72468.649999999994"/>
        <n v="52648.22"/>
        <n v="90711.54"/>
        <n v="70676.649999999994"/>
        <n v="75698"/>
        <n v="149251.75"/>
        <n v="58285.63"/>
        <n v="140997.62"/>
        <n v="54463.07"/>
        <n v="142718.74"/>
        <n v="111910.81"/>
        <n v="55004.88"/>
        <n v="46963.7"/>
        <n v="94730"/>
        <n v="117004.46"/>
        <n v="95565.3"/>
        <n v="98043.87"/>
        <n v="120903.84"/>
        <n v="99421.62"/>
        <n v="107318.55"/>
        <n v="103526.73"/>
        <n v="113781.34"/>
        <n v="112504.87"/>
        <n v="131592.32000000001"/>
        <n v="96841.81"/>
        <n v="111928.26"/>
        <n v="45084"/>
        <n v="42025.16"/>
        <n v="47372.57"/>
        <n v="48805.84"/>
        <n v="41089.1"/>
        <n v="47490.02"/>
        <n v="45307.07"/>
        <n v="53465"/>
        <n v="19107.28"/>
        <n v="35724.53"/>
        <n v="49439.76"/>
        <n v="34059.440000000002"/>
        <n v="48119.89"/>
        <n v="34294.269999999997"/>
        <n v="48856.05"/>
        <n v="50861.69"/>
        <n v="37809.57"/>
        <n v="32686.48"/>
        <n v="43921.54"/>
        <n v="32010"/>
        <n v="44866.44"/>
        <n v="73062.7"/>
        <n v="201661.29"/>
        <n v="235678.68"/>
        <n v="272596.89"/>
        <n v="202516.86"/>
        <n v="216123.25"/>
        <n v="131874.85999999999"/>
        <n v="41656"/>
        <n v="55929.96"/>
        <n v="62862.17"/>
        <n v="56393.27"/>
        <n v="92601.38"/>
        <n v="65571.48"/>
        <n v="76422.44"/>
        <n v="80398"/>
        <n v="93561.62"/>
        <n v="119933.27"/>
        <n v="130424.97"/>
        <n v="134840.21"/>
        <n v="127039.37"/>
        <n v="113698"/>
        <n v="61402"/>
        <n v="79244.94"/>
        <n v="84785.72"/>
        <n v="34367.32"/>
        <n v="41698.269999999997"/>
        <n v="74228.289999999994"/>
        <n v="66197.88"/>
        <n v="53610.49"/>
        <n v="70384.83"/>
        <n v="151946"/>
        <n v="152805.20000000001"/>
        <n v="155388.9"/>
        <n v="175865.5"/>
        <n v="155533.66"/>
        <n v="323256.90999999997"/>
        <n v="181796.37"/>
        <n v="180538.64"/>
        <n v="323710.83"/>
        <n v="313019.90999999997"/>
        <n v="128235.39"/>
        <n v="133447.95000000001"/>
        <n v="301288.67"/>
        <n v="200546"/>
        <n v="168485.84"/>
        <n v="190548.8"/>
        <n v="140668.29"/>
        <n v="91594.53"/>
        <n v="226106.9"/>
        <n v="304370.65999999997"/>
        <n v="177440.8"/>
        <n v="270.54000000000002"/>
        <n v="59249.89"/>
        <n v="10719.77"/>
        <n v="42096.15"/>
        <n v="31128.28"/>
        <n v="406.2"/>
        <n v="20145.169999999998"/>
        <n v="51346.45"/>
        <n v="322.22000000000003"/>
        <n v="67100.22"/>
        <n v="26746.46"/>
        <n v="32284.05"/>
        <n v="487.5"/>
        <n v="11747.22"/>
        <n v="171.5"/>
        <n v="30715.41"/>
        <n v="34334.26"/>
        <n v="40475.97"/>
        <n v="384.4"/>
        <n v="13310.79"/>
        <n v="31587.33"/>
        <n v="77998.61"/>
        <n v="336.7"/>
        <n v="53256.36"/>
        <n v="23936.21"/>
        <n v="284.10000000000002"/>
        <n v="98992.67"/>
        <n v="105831.62"/>
        <n v="29972.89"/>
        <n v="265.7"/>
        <n v="38840.92"/>
        <n v="11158.5"/>
        <n v="31088.12"/>
        <n v="419.53"/>
        <n v="43183.82"/>
        <n v="29563.03"/>
        <n v="159442.38"/>
        <n v="48734.9"/>
        <n v="208.99"/>
        <n v="9406.6299999999992"/>
        <n v="6226"/>
        <n v="21085"/>
        <n v="18219"/>
        <n v="22354"/>
        <n v="22052"/>
        <n v="26278"/>
        <n v="22906"/>
        <n v="7454.04"/>
        <n v="19393.689999999999"/>
        <n v="18246.97"/>
        <n v="19300.71"/>
        <n v="22489.42"/>
        <n v="25297.08"/>
        <n v="25049.98"/>
        <n v="2440.92"/>
        <n v="20665.3"/>
        <n v="16231.31"/>
        <n v="12715.22"/>
        <n v="15744.48"/>
        <n v="17057.41"/>
        <n v="19899.34"/>
        <n v="8948.67"/>
        <n v="25179.13"/>
        <n v="30812.3"/>
        <n v="43239.81"/>
        <n v="63828.35"/>
        <n v="51140.61"/>
        <n v="40861.050000000003"/>
        <n v="11327.43"/>
        <n v="23875.84"/>
        <n v="27210.83"/>
        <n v="28255.39"/>
        <n v="25014.77"/>
        <n v="20142.21"/>
        <n v="18979.419999999998"/>
        <n v="2680.11"/>
        <n v="7350.73"/>
        <n v="8131.45"/>
        <n v="10308.030000000001"/>
        <n v="8925.51"/>
        <n v="8814.2000000000007"/>
        <n v="9043.98"/>
        <n v="17637.43"/>
        <n v="36069.589999999997"/>
        <n v="28976.639999999999"/>
        <n v="23841.72"/>
        <n v="26984.74"/>
        <n v="27666.23"/>
        <n v="26956.06"/>
        <n v="7030.25"/>
        <n v="17614.95"/>
        <n v="18524.63"/>
        <n v="19365.59"/>
        <n v="20125.650000000001"/>
        <n v="18499.88"/>
        <n v="19422.48"/>
        <n v="6987.52"/>
        <n v="21659.93"/>
        <n v="16582.62"/>
        <n v="17003.560000000001"/>
        <n v="16946.39"/>
        <n v="20296.59"/>
        <n v="23406.3"/>
        <n v="5655.31"/>
        <n v="20987"/>
        <n v="19878.73"/>
        <n v="15676.4"/>
        <n v="5267.14"/>
        <n v="21863.7"/>
        <n v="24376.89"/>
        <n v="25730.91"/>
        <n v="5088.1400000000003"/>
        <n v="12096.39"/>
        <n v="15383.12"/>
        <n v="17141.59"/>
        <n v="16777.88"/>
        <n v="16581.240000000002"/>
        <n v="17098.05"/>
        <n v="7237.97"/>
        <n v="18965.349999999999"/>
        <n v="18135.84"/>
        <n v="18099.32"/>
        <n v="17306.2"/>
        <n v="19062.84"/>
        <n v="17530.96"/>
        <n v="8478.65"/>
        <n v="2786.78"/>
        <n v="751.1"/>
        <n v="15079.56"/>
        <n v="1680"/>
        <n v="8065.16"/>
        <n v="14018.63"/>
        <n v="1534.67"/>
        <n v="11463.35"/>
        <n v="15090.33"/>
        <n v="10016.83"/>
        <n v="1844.06"/>
        <n v="1639.49"/>
        <n v="13843.63"/>
        <n v="13211.14"/>
        <n v="13483.75"/>
        <n v="1415.92"/>
        <n v="12173.12"/>
        <n v="12524.95"/>
        <n v="1988.29"/>
        <n v="14503.17"/>
        <n v="5456.42"/>
        <n v="2938.01"/>
        <n v="7478.9"/>
        <n v="12378.82"/>
        <n v="14887.3"/>
        <n v="10139.19"/>
        <n v="15332.08"/>
        <n v="12025.53"/>
        <n v="13283.65"/>
        <n v="15591.93"/>
        <n v="11277.91"/>
        <n v="14686.82"/>
        <n v="14514.92"/>
        <n v="11229.53"/>
        <n v="4361.6099999999997"/>
        <n v="49397.73"/>
        <n v="10641.25"/>
        <n v="10942.42"/>
        <n v="12106.04"/>
        <n v="11263.68"/>
        <n v="11132.55"/>
        <n v="11183.22"/>
        <n v="9630.48"/>
        <n v="22189.57"/>
        <n v="23472.01"/>
        <n v="25990.66"/>
        <n v="30344.27"/>
        <n v="29250.16"/>
        <n v="25123.45"/>
        <n v="10339.98"/>
        <n v="479.7"/>
        <n v="33772.78"/>
        <n v="32840.6"/>
        <n v="33024.47"/>
        <n v="30342.21"/>
        <n v="24048.1"/>
        <n v="24467.63"/>
        <n v="5516.62"/>
        <n v="26480.69"/>
        <n v="11211.51"/>
        <n v="12190.41"/>
        <n v="12807.59"/>
        <n v="10692.38"/>
        <n v="2481.4899999999998"/>
        <n v="13756.1"/>
        <n v="14550.12"/>
        <n v="15949.43"/>
        <n v="28610.93"/>
        <n v="27144.05"/>
        <n v="29574.99"/>
        <n v="38538.370000000003"/>
        <n v="34533.25"/>
        <n v="30841.75"/>
        <n v="5863.9"/>
        <n v="11531.39"/>
        <n v="12713.38"/>
        <n v="14083.03"/>
        <n v="14720.11"/>
        <n v="14437.23"/>
        <n v="12727.53"/>
        <n v="15359.19"/>
        <n v="32002.53"/>
        <n v="7065.66"/>
        <n v="25335.62"/>
        <n v="33510.11"/>
        <n v="36074.47"/>
        <n v="36044.35"/>
        <n v="27045.41"/>
        <n v="9701.6299999999992"/>
        <n v="8937.3799999999992"/>
        <n v="77726.320000000007"/>
        <n v="22894.16"/>
        <n v="26278.82"/>
        <n v="24208.6"/>
        <n v="23328.880000000001"/>
        <n v="22078.639999999999"/>
        <n v="22232.46"/>
        <n v="10063.99"/>
        <m/>
        <n v="452.15"/>
        <n v="25050.89"/>
        <n v="25248.49"/>
        <n v="26910.55"/>
        <n v="28415.11"/>
        <n v="29909.25"/>
        <n v="29314.07"/>
        <n v="4487.93"/>
        <n v="29030.31"/>
        <n v="10375.9"/>
        <n v="10323.9"/>
        <n v="10788.5"/>
        <n v="12031.31"/>
        <n v="12804.3"/>
        <n v="12969.62"/>
        <n v="8828.35"/>
        <n v="31097.33"/>
        <n v="23652.01"/>
        <n v="25426.71"/>
        <n v="31330.09"/>
        <n v="27805.31"/>
        <n v="29113.47"/>
        <n v="3902.02"/>
        <n v="9511.19"/>
        <n v="10187.25"/>
        <n v="12867.66"/>
        <n v="11690"/>
        <n v="12166.63"/>
        <n v="11708.72"/>
        <n v="10831.77"/>
        <n v="28552.16"/>
        <n v="29762.29"/>
        <n v="29981.06"/>
        <n v="28781.26"/>
        <n v="32927.99"/>
        <n v="32153.61"/>
        <n v="12164.13"/>
        <n v="29597.45"/>
        <n v="32745.46"/>
        <n v="33037.65"/>
        <n v="6479.08"/>
        <n v="25155.53"/>
        <n v="28972.52"/>
        <n v="25485.09"/>
        <n v="38501.31"/>
        <n v="85541.8"/>
        <n v="92596"/>
        <n v="69031.789999999994"/>
        <n v="54069.17"/>
        <n v="64875.519999999997"/>
        <n v="71773.2"/>
        <n v="51449.57"/>
        <n v="94328.45"/>
        <n v="109093.75999999999"/>
        <n v="112098.68"/>
        <n v="130942.79"/>
        <n v="130679.94"/>
        <n v="152560.51"/>
        <n v="27631.37"/>
        <n v="47998.04"/>
        <n v="54145.37"/>
        <n v="58568.639999999999"/>
        <n v="53852.54"/>
        <n v="10362.83"/>
        <n v="67972.899999999994"/>
        <n v="44548.54"/>
        <n v="364.22"/>
        <n v="80405.679999999993"/>
        <n v="131494.65"/>
        <n v="891.85"/>
        <n v="145047.82999999999"/>
        <n v="99227.41"/>
        <n v="711.2"/>
        <n v="881.3"/>
        <n v="185502.3"/>
        <n v="1071.4000000000001"/>
        <n v="55196.98"/>
        <n v="5.3"/>
        <n v="44.99"/>
        <n v="45.12"/>
        <n v="217.54"/>
        <n v="8.24"/>
        <n v="87.75"/>
        <n v="186.58"/>
        <n v="1.25"/>
        <n v="11.38"/>
        <n v="77.66"/>
        <n v="32.520000000000003"/>
        <n v="180.56"/>
        <n v="12.13"/>
        <n v="111.25"/>
        <n v="1.57"/>
        <n v="7530.55"/>
        <n v="73185.47"/>
        <n v="76569"/>
        <n v="12809.04"/>
        <n v="59578.47"/>
        <n v="26883.26"/>
        <n v="46856.22"/>
        <n v="41003"/>
        <n v="15422.87"/>
        <n v="25990.69"/>
        <n v="29462.17"/>
        <n v="27819.53"/>
        <n v="30659.68"/>
        <n v="16480.25"/>
        <n v="19690.490000000002"/>
        <n v="8917.9599999999991"/>
        <n v="54390.28"/>
        <n v="2.75"/>
        <n v="411.77"/>
        <n v="91483"/>
        <n v="57138.86"/>
        <n v="0.13"/>
        <n v="122.53"/>
        <n v="887.16"/>
        <n v="7551.18"/>
        <n v="13218.23"/>
        <n v="3510.71"/>
        <n v="4290.55"/>
        <n v="7001.98"/>
        <n v="170.91"/>
        <n v="1058.8800000000001"/>
        <n v="2236.41"/>
        <n v="2701.55"/>
        <n v="3605.69"/>
        <n v="1626.98"/>
        <n v="4827.3900000000003"/>
        <n v="1219.8800000000001"/>
        <n v="354.61"/>
        <n v="83.83"/>
        <n v="10032.15"/>
        <n v="50069.58"/>
        <n v="17.739999999999998"/>
        <n v="14.01"/>
        <n v="99.39"/>
        <n v="86.21"/>
        <n v="78"/>
        <n v="37.08"/>
        <n v="59.6"/>
        <n v="58.91"/>
        <n v="40.97"/>
        <n v="139.22999999999999"/>
        <n v="120.15"/>
        <n v="63.76"/>
        <n v="120.43"/>
        <n v="143.84"/>
        <n v="202.08"/>
        <n v="14.55"/>
        <n v="45.74"/>
        <n v="44.12"/>
        <n v="37.950000000000003"/>
        <n v="44.05"/>
        <n v="56.15"/>
        <n v="60.75"/>
        <n v="3.22"/>
        <n v="35.979999999999997"/>
        <n v="0.41"/>
        <n v="43.68"/>
        <n v="128.55000000000001"/>
        <n v="37.26"/>
        <n v="130.84"/>
        <n v="181.05"/>
        <n v="152.75"/>
        <n v="210.92"/>
        <n v="233.09"/>
        <n v="1.71"/>
        <n v="131"/>
        <n v="123.27"/>
        <n v="10227.129999999999"/>
        <n v="17297.95"/>
        <n v="57928.73"/>
        <n v="49.37"/>
        <n v="120.87"/>
        <n v="58165.45"/>
        <n v="51121"/>
        <n v="54567.67"/>
        <n v="58770.32"/>
        <n v="65410.65"/>
        <n v="61328.65"/>
        <n v="59430.77"/>
        <n v="62461.18"/>
        <n v="93537"/>
        <n v="90943.56"/>
        <n v="90262.73"/>
        <n v="93953.49"/>
        <n v="113756.5"/>
        <n v="131753.78"/>
        <n v="94381.13"/>
        <n v="54683"/>
        <n v="54242.57"/>
        <n v="57819.18"/>
        <n v="60584.04"/>
        <n v="77150.259999999995"/>
        <n v="63813.21"/>
        <n v="85211.16"/>
        <n v="43859"/>
        <n v="45130.03"/>
        <n v="72016.92"/>
        <n v="69207.149999999994"/>
        <n v="87977.59"/>
        <n v="100768.21"/>
        <n v="94513.89"/>
        <n v="69890"/>
        <n v="81978.86"/>
        <n v="84209.24"/>
        <n v="67610.149999999994"/>
        <n v="111287.41"/>
        <n v="96053.1"/>
        <n v="86010.38"/>
        <n v="5.21"/>
        <n v="38775.54"/>
        <n v="19167.32"/>
        <n v="59526.17"/>
        <n v="99.72"/>
        <n v="23.71"/>
        <n v="165.53"/>
        <n v="3360.33"/>
        <n v="144.37"/>
        <n v="3892.39"/>
        <n v="2962.06"/>
        <n v="1001.13"/>
        <n v="10335.81"/>
        <n v="9648.67"/>
        <n v="6776.58"/>
        <n v="6633.34"/>
        <n v="6756.6"/>
        <n v="6901.37"/>
        <n v="25.28"/>
        <n v="707.93"/>
        <n v="10435.459999999999"/>
        <n v="17865.34"/>
        <n v="105.72"/>
        <n v="19552.25"/>
        <n v="193.71"/>
        <n v="21291.82"/>
        <n v="158.77000000000001"/>
        <n v="19960.36"/>
        <n v="3470.4"/>
        <n v="8897.26"/>
        <n v="140.1"/>
        <n v="1171.3900000000001"/>
        <n v="407.73"/>
        <n v="4594.16"/>
        <n v="5045.09"/>
        <n v="4860.66"/>
        <n v="4187.03"/>
        <n v="4838.1899999999996"/>
        <n v="725.62"/>
        <n v="12881.32"/>
        <n v="2457.59"/>
        <n v="1533.41"/>
        <n v="1876.26"/>
        <n v="3191.03"/>
        <n v="3951.15"/>
        <n v="5364.89"/>
        <n v="2281.39"/>
        <n v="14595.95"/>
        <n v="15834.53"/>
        <n v="18417"/>
        <n v="17934.22"/>
        <n v="19854.5"/>
        <n v="412.99"/>
        <n v="2597.13"/>
        <n v="3216.47"/>
        <n v="108.24"/>
        <n v="248.67"/>
        <n v="222.03"/>
        <n v="229.52"/>
        <n v="307.51"/>
        <n v="331.1"/>
        <n v="307.38"/>
        <n v="105.39"/>
        <n v="238.85"/>
        <n v="205.45"/>
        <n v="178.49"/>
        <n v="81.92"/>
        <n v="136.1"/>
        <n v="195.97"/>
        <n v="144.80000000000001"/>
        <n v="198.9"/>
        <n v="195.5"/>
        <n v="183.88"/>
        <n v="242.33"/>
        <n v="253.61"/>
        <n v="195.38"/>
        <n v="101.84"/>
        <n v="630.66999999999996"/>
        <n v="324.33999999999997"/>
        <n v="327.19"/>
        <n v="247.09"/>
        <n v="252.53"/>
        <n v="257.83999999999997"/>
        <n v="43.63"/>
        <n v="0.36"/>
        <n v="177.46"/>
        <n v="0.52"/>
        <n v="216.27"/>
        <n v="23.41"/>
        <n v="225.32"/>
        <n v="0.57999999999999996"/>
        <n v="198.57"/>
        <n v="44.33"/>
        <n v="215.33"/>
        <n v="152.37"/>
        <n v="191.39"/>
        <n v="65.64"/>
        <n v="20.149999999999999"/>
        <n v="217.57"/>
        <n v="212.22"/>
        <n v="224.37"/>
        <n v="291.33999999999997"/>
        <n v="316.04000000000002"/>
        <n v="409.38"/>
        <n v="59.56"/>
        <n v="131.77000000000001"/>
        <n v="212.16"/>
        <n v="162.69"/>
        <n v="232.89"/>
        <n v="294.3"/>
        <n v="335.42"/>
        <n v="19.809999999999999"/>
        <n v="56.4"/>
        <n v="52.96"/>
        <n v="271.68"/>
        <n v="150.56"/>
        <n v="128.74"/>
        <n v="156.61000000000001"/>
        <n v="67250"/>
        <n v="83125.95"/>
        <n v="98189.05"/>
        <n v="108536.8"/>
        <n v="88983.1"/>
        <n v="79607.850000000006"/>
        <n v="56161.72"/>
        <n v="114075"/>
        <n v="95507.69"/>
        <n v="99687.51"/>
        <n v="123684.71"/>
        <n v="95454.86"/>
        <n v="93415.52"/>
        <n v="101227.26"/>
        <n v="163.5"/>
        <n v="34183.919999999998"/>
        <n v="61650.5"/>
        <n v="72229"/>
        <n v="72519.429999999993"/>
        <n v="88366.49"/>
        <n v="78253.37"/>
        <n v="74366.27"/>
        <n v="109454.33"/>
        <n v="75686.86"/>
        <n v="18514"/>
        <n v="21633"/>
        <n v="24551.42"/>
        <n v="23513.85"/>
        <n v="23849.29"/>
        <n v="20215.88"/>
        <n v="20505.740000000002"/>
        <n v="59650"/>
        <n v="61941.19"/>
        <n v="75359.59"/>
        <n v="83191.94"/>
        <n v="80914.75"/>
        <n v="77913.19"/>
        <n v="78229.919999999998"/>
        <n v="17760"/>
        <n v="23734.7"/>
        <n v="24678.33"/>
        <n v="24763.22"/>
        <n v="23931.21"/>
        <n v="24541.9"/>
        <n v="25242.26"/>
        <n v="70127"/>
        <n v="40802.519999999997"/>
        <n v="59552.79"/>
        <n v="57987.6"/>
        <n v="65979.98"/>
        <n v="67747.78"/>
        <n v="79661.87"/>
        <n v="88827.51"/>
        <n v="99935.75"/>
        <n v="76290.28"/>
        <n v="110125.34"/>
        <n v="78898.990000000005"/>
        <n v="79461.100000000006"/>
        <n v="96201.55"/>
        <n v="88683"/>
        <n v="111100.78"/>
        <n v="108874.13"/>
        <n v="117127.13"/>
        <n v="134839.51"/>
        <n v="134836.17000000001"/>
        <n v="120498.33"/>
        <n v="49208"/>
        <n v="20776.509999999998"/>
        <n v="59743.57"/>
        <n v="78562.84"/>
        <n v="69006.39"/>
        <n v="100816.82"/>
        <n v="64031.27"/>
        <n v="78433.490000000005"/>
        <n v="54399.9"/>
        <n v="92344.21"/>
        <n v="56811.18"/>
        <n v="58254.33"/>
        <n v="55217.2"/>
        <n v="56488.78"/>
        <n v="65587.490000000005"/>
        <n v="64563.09"/>
        <n v="64325.67"/>
        <n v="506.74"/>
        <n v="17435.990000000002"/>
        <n v="60764.53"/>
        <n v="126.57"/>
        <n v="60151.33"/>
        <n v="27083.47"/>
        <n v="285.95999999999998"/>
        <n v="75968.83"/>
        <n v="22877.48"/>
        <n v="103003.98"/>
        <n v="10744.81"/>
        <n v="174.62"/>
        <n v="24782.42"/>
        <n v="31608.98"/>
        <n v="31963.55"/>
        <n v="35487.370000000003"/>
        <n v="39185.35"/>
        <n v="24439.66"/>
        <n v="14177.42"/>
        <n v="7489.67"/>
        <n v="10657.89"/>
        <n v="47313.2"/>
        <n v="26376.23"/>
        <n v="16415.38"/>
        <n v="17905.650000000001"/>
        <n v="22026.99"/>
        <n v="21321.62"/>
        <n v="21600.66"/>
        <n v="25326.78"/>
        <n v="9757.4699999999993"/>
        <n v="29950.400000000001"/>
        <n v="27922.44"/>
        <n v="30721.62"/>
        <n v="33158.370000000003"/>
        <n v="30978.78"/>
        <n v="35190.720000000001"/>
        <n v="64071.79"/>
        <n v="23362.55"/>
        <n v="23810.37"/>
        <n v="21492.46"/>
        <n v="17664.64"/>
        <n v="17177.59"/>
        <n v="21556.27"/>
        <n v="5870.99"/>
        <n v="255.05"/>
        <n v="15324.75"/>
        <n v="10797.81"/>
        <n v="15092.73"/>
        <n v="16747.939999999999"/>
        <n v="16588.419999999998"/>
        <n v="17879.13"/>
        <n v="11822.17"/>
        <n v="40186"/>
        <n v="14124.28"/>
        <n v="29664.19"/>
        <n v="23372.6"/>
        <n v="5336.72"/>
        <n v="28449.57"/>
        <n v="31913.55"/>
        <n v="28793.63"/>
        <n v="6456.18"/>
        <n v="11302.97"/>
        <n v="7731.72"/>
        <n v="14770.98"/>
        <n v="14417.23"/>
        <n v="8145.91"/>
        <n v="9414.6"/>
        <n v="11031.84"/>
        <n v="4492.22"/>
        <n v="15146"/>
        <n v="14241.54"/>
        <n v="16896.240000000002"/>
        <n v="16171.33"/>
        <n v="16681.11"/>
        <n v="9623.1"/>
        <n v="1827.69"/>
        <n v="49275"/>
        <n v="53783.32"/>
        <n v="67173.23"/>
        <n v="80884.58"/>
        <n v="54312.92"/>
        <n v="44589.83"/>
        <n v="197.56"/>
        <n v="42423.57"/>
        <n v="4468.49"/>
        <n v="60.31"/>
        <n v="25538.1"/>
        <n v="804.84"/>
        <n v="51.78"/>
        <n v="1468.25"/>
        <n v="161.22999999999999"/>
        <n v="1365.81"/>
        <n v="55.9"/>
        <n v="1284.1400000000001"/>
        <n v="1120.3499999999999"/>
        <n v="1059.58"/>
        <n v="1207.92"/>
        <n v="74.8"/>
        <n v="51.16"/>
        <n v="2.17"/>
        <n v="2.46"/>
        <n v="2.39"/>
        <n v="2.12"/>
        <n v="2.0099999999999998"/>
        <n v="327.26"/>
        <n v="50.6"/>
        <n v="793.62"/>
        <n v="179.61"/>
        <n v="1000.6"/>
        <n v="183.5"/>
        <n v="955.94"/>
        <n v="191.57"/>
        <n v="1002.09"/>
        <n v="347.29"/>
        <n v="1249.68"/>
        <n v="347.6"/>
        <n v="885.12"/>
        <n v="191.35"/>
        <n v="242.81"/>
        <n v="255.69"/>
        <n v="96.4"/>
        <n v="692.92"/>
        <n v="218.05"/>
        <n v="599.14"/>
        <n v="164.39"/>
        <n v="478.62"/>
        <n v="167.78"/>
        <n v="794.35"/>
        <n v="240.54"/>
        <n v="843.44"/>
        <n v="289.83999999999997"/>
        <n v="737.98"/>
        <n v="227.88"/>
        <n v="173.06"/>
        <n v="420.27"/>
        <n v="512.95000000000005"/>
        <n v="441.41"/>
        <n v="506.84"/>
        <n v="476.32"/>
        <n v="521.22"/>
        <n v="646.20000000000005"/>
        <n v="326.27"/>
        <n v="1456.76"/>
        <n v="734.41"/>
        <n v="1392.62"/>
        <n v="670.79"/>
        <n v="1390.64"/>
        <n v="435.27"/>
        <n v="1423.94"/>
        <n v="856.92"/>
        <n v="1577.89"/>
        <n v="927.5"/>
        <n v="1646.46"/>
        <n v="922.37"/>
        <n v="1590.07"/>
        <n v="168.52"/>
        <n v="239.51"/>
        <n v="245942.11"/>
        <n v="215632.05"/>
        <n v="223258.65"/>
        <n v="125241.32"/>
        <n v="172121.18"/>
        <n v="187382.39"/>
        <n v="269142"/>
        <n v="102063.32"/>
        <n v="182169.75"/>
        <n v="274360.27"/>
        <n v="208202.43"/>
        <n v="303640.21999999997"/>
        <n v="325906.74"/>
        <n v="223690.98"/>
        <n v="348750.98"/>
        <n v="242388.17"/>
        <n v="251043.73"/>
        <n v="328581.88"/>
        <n v="251965.78"/>
        <n v="366634.56"/>
        <n v="96327.3"/>
        <n v="165205"/>
        <n v="212472.2"/>
        <n v="208483.73"/>
        <n v="204110.52"/>
        <n v="196737.53"/>
        <n v="205669.67"/>
        <n v="211115.95"/>
        <n v="208205.91"/>
        <n v="210093.24"/>
        <n v="193921.2"/>
        <n v="177969.95"/>
        <n v="195213.17"/>
        <n v="168879.73"/>
        <n v="70072.710000000006"/>
        <n v="184978"/>
        <n v="856.95"/>
        <n v="180.29"/>
        <n v="136754.38"/>
        <n v="157887.53"/>
        <n v="181970.39"/>
        <n v="194813.97"/>
        <n v="187586.93"/>
        <n v="441751.16"/>
        <n v="186705.07"/>
        <n v="158079.66"/>
        <n v="202923.28"/>
        <n v="673061.24"/>
        <n v="149985.81"/>
        <n v="67158.039999999994"/>
        <n v="130166.32"/>
        <n v="1034832.41"/>
        <n v="1834473.02"/>
        <n v="1861056.61"/>
        <n v="1904744.47"/>
        <n v="2190382.91"/>
        <n v="1316645.1100000001"/>
        <n v="773232.5"/>
        <n v="1618260.37"/>
        <n v="2523128.27"/>
        <n v="233592"/>
        <n v="143090.87"/>
        <n v="48473.599999999999"/>
        <n v="137547.22"/>
        <n v="284953.06"/>
        <n v="311445.59000000003"/>
        <n v="313631.55"/>
        <n v="306787.76"/>
        <n v="119072.6"/>
        <n v="129772.1"/>
        <n v="222728.48"/>
        <n v="343913.7"/>
        <n v="401794.75"/>
        <n v="2.79"/>
        <n v="319737.28000000003"/>
        <n v="77124"/>
        <n v="51497.33"/>
        <n v="151151.85999999999"/>
        <n v="168575.4"/>
        <n v="95605.89"/>
        <n v="98207.4"/>
        <n v="296997.57"/>
        <n v="102556.29"/>
        <n v="202805.83"/>
        <n v="203329.13"/>
        <n v="102876.83"/>
        <n v="116492.47"/>
        <n v="90489.05"/>
        <n v="90694.84"/>
        <n v="82921.52"/>
        <n v="379712.55"/>
        <n v="285154"/>
        <n v="303919.93"/>
        <n v="338506.57"/>
        <n v="316500.11"/>
        <n v="378497.1"/>
        <n v="526615.93000000005"/>
        <n v="345788.76"/>
        <n v="620484.06999999995"/>
        <n v="447617.94"/>
        <n v="439952.57"/>
        <n v="608717.06000000006"/>
        <n v="431610.97"/>
        <n v="617911.16"/>
        <n v="92671.87"/>
        <n v="25656.45"/>
        <n v="263158.5"/>
        <n v="252452.75"/>
        <n v="229091.4"/>
        <n v="188340"/>
        <n v="199339.65"/>
        <n v="321521.27"/>
        <n v="138866.85"/>
        <n v="122987.65"/>
        <n v="131770.29999999999"/>
        <n v="127228.05"/>
        <n v="128382.35"/>
        <n v="57626.19"/>
        <n v="58042.13"/>
        <n v="83685.899999999994"/>
        <n v="84893.1"/>
        <n v="27368.25"/>
        <n v="54714.400000000001"/>
        <n v="91579.44"/>
        <n v="99991.62"/>
        <n v="96310.02"/>
        <n v="97723.77"/>
        <n v="85182.67"/>
        <n v="25936.36"/>
        <n v="33541.129999999997"/>
        <n v="27395.68"/>
        <n v="30540.720000000001"/>
        <n v="30080.240000000002"/>
        <n v="327708.12"/>
        <n v="338978.55"/>
        <n v="339281.68"/>
        <n v="331983.65999999997"/>
        <n v="327838.34999999998"/>
        <n v="218564.91"/>
        <n v="554.64"/>
        <n v="184.52"/>
        <n v="228247.22"/>
        <n v="79476.509999999995"/>
        <n v="317076.78000000003"/>
        <n v="378.95"/>
        <n v="1377.06"/>
        <n v="712.56"/>
        <n v="69739.88"/>
        <n v="282000.46999999997"/>
        <n v="165.13"/>
        <n v="6491.44"/>
        <n v="8260.4"/>
        <n v="6.26"/>
        <n v="7821.76"/>
        <n v="196.2"/>
        <n v="5946.13"/>
        <n v="59305.27"/>
        <n v="103.13"/>
        <n v="71586.8"/>
        <n v="132.51"/>
        <n v="142.87"/>
        <n v="139.79"/>
        <n v="263.42"/>
        <n v="235.3"/>
        <n v="99.23"/>
        <n v="21.06"/>
        <n v="8.5399999999999991"/>
        <n v="11.74"/>
        <n v="52.28"/>
        <n v="158.41"/>
        <n v="159.6"/>
        <n v="162.6"/>
        <n v="530.53"/>
        <n v="226.45"/>
        <n v="193.97"/>
        <n v="245.04"/>
        <n v="615"/>
        <n v="51.06"/>
        <n v="1144.8"/>
        <n v="358.82"/>
        <n v="1966.1"/>
        <n v="265.45999999999998"/>
        <n v="477.81"/>
        <n v="266.56"/>
        <n v="309.33"/>
        <n v="1940.38"/>
        <n v="271.81"/>
        <n v="1834.48"/>
        <n v="258.20999999999998"/>
        <n v="102.37"/>
        <n v="842.26"/>
        <n v="0.68"/>
        <n v="310.39999999999998"/>
        <n v="661.36"/>
        <n v="5.05"/>
        <n v="239.85"/>
        <n v="1813.82"/>
        <n v="3.15"/>
        <n v="393.51"/>
        <n v="1819.43"/>
        <n v="3.59"/>
        <n v="285.60000000000002"/>
        <n v="2035.88"/>
        <n v="6.53"/>
        <n v="373.85"/>
        <n v="2287.0100000000002"/>
        <n v="8.6199999999999992"/>
        <n v="328.78"/>
        <n v="2100.79"/>
        <n v="5.0199999999999996"/>
        <n v="59.65"/>
        <n v="296.47000000000003"/>
        <n v="315.47000000000003"/>
        <n v="514.64"/>
        <n v="530.96"/>
        <n v="603.91999999999996"/>
        <n v="566.9"/>
        <n v="57.52"/>
        <n v="191.9"/>
        <n v="200.06"/>
        <n v="194.46"/>
        <n v="145.16999999999999"/>
        <n v="207.72"/>
        <n v="216.03"/>
        <n v="2.4500000000000002"/>
        <n v="21.68"/>
        <n v="0.1"/>
        <n v="267.20999999999998"/>
        <n v="700.63"/>
        <n v="737.68"/>
        <n v="867.27"/>
        <n v="897.14"/>
        <n v="1097.1099999999999"/>
        <n v="1200.54"/>
        <n v="642.82000000000005"/>
        <n v="36.15"/>
        <n v="932.59"/>
        <n v="2.5499999999999998"/>
        <n v="1416.5"/>
        <n v="325.83"/>
        <n v="325.94"/>
        <n v="2252.7600000000002"/>
        <n v="3.62"/>
        <n v="87858.59"/>
        <n v="8894.9"/>
        <n v="48421.78"/>
        <n v="36415.230000000003"/>
        <n v="7992.42"/>
        <n v="118606.13"/>
        <n v="2209.75"/>
        <n v="66538.42"/>
        <n v="67768.39"/>
        <n v="177634.66"/>
        <n v="208.69"/>
        <n v="13453.27"/>
        <n v="72607.929999999993"/>
        <n v="6868"/>
        <n v="9023.92"/>
        <n v="12186.73"/>
        <n v="10751.6"/>
        <n v="9471.1299999999992"/>
        <n v="15629.71"/>
        <n v="13033.71"/>
        <n v="59995"/>
        <n v="33456.74"/>
        <n v="80504.22"/>
        <n v="60702.42"/>
        <n v="142013.07"/>
        <n v="68153.89"/>
        <n v="70548.55"/>
        <n v="40362.67"/>
        <n v="70995.679999999993"/>
        <n v="87899.23"/>
        <n v="89917.96"/>
        <n v="282515.42"/>
        <n v="265230.67"/>
        <n v="283582.40999999997"/>
        <n v="352000.24"/>
        <n v="300504.78999999998"/>
        <n v="283177.90000000002"/>
        <n v="95994.8"/>
        <n v="8776.77"/>
        <n v="7540.71"/>
        <n v="196253.54"/>
        <n v="202051.18"/>
        <n v="81037.13"/>
        <n v="8720.3799999999992"/>
        <n v="6134.38"/>
        <n v="7655.15"/>
        <n v="203653.98"/>
        <n v="83295.66"/>
        <n v="7244.67"/>
        <n v="9024.02"/>
        <n v="217664.68"/>
        <n v="92640.31"/>
        <n v="10877.31"/>
        <n v="7861.44"/>
        <n v="222199.14"/>
        <n v="93361.85"/>
        <n v="20172.43"/>
        <n v="67768.350000000006"/>
        <n v="3987.42"/>
        <n v="212817.23"/>
        <n v="4655.5"/>
        <n v="59152"/>
        <n v="77736.39"/>
        <n v="94315.31"/>
        <n v="88464.65"/>
        <n v="123519.85"/>
        <n v="117265.51"/>
        <n v="86384.01"/>
        <n v="53036"/>
        <n v="54584.52"/>
        <n v="56625.23"/>
        <n v="61726.81"/>
        <n v="89659.7"/>
        <n v="111873.94"/>
        <n v="79426.490000000005"/>
        <n v="32232"/>
        <n v="36740.61"/>
        <n v="33734.78"/>
        <n v="32914.44"/>
        <n v="26954.65"/>
        <n v="36772.99"/>
        <n v="44480.03"/>
        <n v="101936"/>
        <n v="110711.82"/>
        <n v="116902.64"/>
        <n v="121396.04"/>
        <n v="111925.8"/>
        <n v="199707.63"/>
        <n v="135032.91"/>
        <n v="74279.58"/>
        <n v="162.13"/>
        <n v="11133.04"/>
        <n v="76070.320000000007"/>
        <n v="17.37"/>
        <n v="1669.74"/>
        <n v="3268.96"/>
        <n v="6766.01"/>
        <n v="5960.66"/>
        <n v="6102.2"/>
        <n v="6134.42"/>
        <n v="6590.91"/>
        <n v="7183.1"/>
        <n v="4843.0600000000004"/>
        <n v="9048.2099999999991"/>
        <n v="12460.45"/>
        <n v="4718.93"/>
        <n v="4880.3900000000003"/>
        <n v="2025.8"/>
        <n v="6620.39"/>
        <n v="4783.41"/>
        <n v="6203.08"/>
        <n v="6522.85"/>
        <n v="8476.6200000000008"/>
        <n v="14396.89"/>
        <n v="20468.45"/>
        <n v="10794.16"/>
        <n v="3227.64"/>
        <n v="8477.59"/>
        <n v="55073.97"/>
        <n v="43978.239999999998"/>
        <n v="63544.93"/>
        <n v="38210.69"/>
        <n v="7506.76"/>
        <n v="69202.92"/>
        <n v="42798.03"/>
        <n v="7497.98"/>
        <n v="70223.77"/>
        <n v="39572.82"/>
        <n v="7601.35"/>
        <n v="7593.27"/>
        <n v="63919.85"/>
        <n v="42891.15"/>
        <n v="55416.92"/>
        <n v="44284.19"/>
        <n v="7190.55"/>
        <n v="24581.46"/>
        <n v="2406"/>
        <n v="490.64"/>
        <n v="105430.93"/>
        <n v="3331.39"/>
        <n v="114923.93"/>
        <n v="1708.62"/>
        <n v="122910.31"/>
        <n v="924"/>
        <n v="2044.64"/>
        <n v="1113"/>
        <n v="146109.71"/>
        <n v="2980.43"/>
        <n v="384"/>
        <n v="158843.04999999999"/>
        <n v="4572.59"/>
        <n v="1215"/>
        <n v="117311.39"/>
        <n v="2345.16"/>
        <n v="4053.82"/>
        <n v="14695.89"/>
        <n v="12294.21"/>
        <n v="9790.56"/>
        <n v="12505.92"/>
        <n v="13360.55"/>
        <n v="13203.23"/>
        <n v="3913.55"/>
        <n v="12708.84"/>
        <n v="12475.99"/>
        <n v="12867.88"/>
        <n v="14453.25"/>
        <n v="14953.93"/>
        <n v="16051.45"/>
        <n v="597.9"/>
        <n v="1522.36"/>
        <n v="1669.92"/>
        <n v="1423.62"/>
        <n v="1204.45"/>
        <n v="1157.8900000000001"/>
        <n v="1226.83"/>
        <n v="14145.31"/>
        <n v="44179.99"/>
        <n v="43335.44"/>
        <n v="46134.06"/>
        <n v="51099.22"/>
        <n v="53818.71"/>
        <n v="54268"/>
        <n v="7131.81"/>
        <n v="732.1"/>
        <n v="20102.38"/>
        <n v="19442.150000000001"/>
        <n v="19647.509999999998"/>
        <n v="20933.96"/>
        <n v="21786.86"/>
        <n v="21468.46"/>
        <n v="14386.94"/>
        <n v="80764.28"/>
        <n v="592.84"/>
        <n v="44961.96"/>
        <n v="1026.02"/>
        <n v="274.85000000000002"/>
        <n v="9059.99"/>
        <n v="10970.31"/>
        <n v="24.47"/>
        <n v="3774.41"/>
        <n v="28380.560000000001"/>
        <n v="13.92"/>
        <n v="23.98"/>
        <n v="50.46"/>
        <n v="18.010000000000002"/>
        <n v="31.2"/>
        <n v="13.11"/>
        <n v="14.91"/>
        <n v="2.6"/>
        <n v="22.7"/>
        <n v="4.55"/>
        <n v="38.590000000000003"/>
        <n v="5.63"/>
        <n v="31.18"/>
        <n v="5.73"/>
        <n v="34.020000000000003"/>
        <n v="3.36"/>
        <n v="57.37"/>
        <n v="6.11"/>
        <n v="50.97"/>
        <n v="10.83"/>
        <n v="31.23"/>
        <n v="75.739999999999995"/>
        <n v="74.37"/>
        <n v="67.83"/>
        <n v="76.59"/>
        <n v="77.39"/>
        <n v="75.69"/>
        <n v="1158.57"/>
        <n v="82.97"/>
        <n v="494.97"/>
        <n v="905629.67"/>
        <n v="284793.56"/>
        <n v="1071.67"/>
        <n v="1236.92"/>
        <n v="39.07"/>
        <n v="453.21"/>
        <n v="1145.8499999999999"/>
        <n v="85.91"/>
        <n v="111.36"/>
        <n v="1181.5899999999999"/>
        <n v="88.2"/>
        <n v="356.47"/>
        <n v="1095.46"/>
        <n v="506.33"/>
        <n v="1146.83"/>
        <n v="88.44"/>
        <n v="349.25"/>
        <n v="9.5500000000000007"/>
        <n v="68.430000000000007"/>
        <n v="33.549999999999997"/>
        <n v="32.72"/>
        <n v="27.44"/>
        <n v="48.07"/>
        <n v="30.35"/>
        <n v="4783.09"/>
        <n v="689.37"/>
        <n v="144626"/>
        <n v="547.37"/>
        <n v="499.94"/>
        <n v="440.55"/>
        <n v="535.61"/>
        <n v="481.07"/>
        <n v="37.04"/>
        <n v="5.96"/>
        <n v="69.94"/>
        <n v="19952.349999999999"/>
        <n v="19308.68"/>
        <n v="18174.27"/>
        <n v="34426"/>
        <n v="33415.31"/>
        <n v="34839.49"/>
        <n v="37864.35"/>
        <n v="35190.910000000003"/>
        <n v="39383.72"/>
        <n v="34424.36"/>
        <n v="40710.370000000003"/>
        <n v="45187.13"/>
        <n v="33632.269999999997"/>
        <n v="32054.75"/>
        <n v="3283596.95"/>
        <n v="48695.040000000001"/>
        <n v="50072.800000000003"/>
        <n v="6158311.7999999998"/>
        <n v="53693.24"/>
        <n v="4605778.6500000004"/>
        <n v="2351118.0499999998"/>
        <n v="294.29000000000002"/>
        <n v="83787"/>
        <n v="84606.69"/>
        <n v="112361.78"/>
        <n v="83565.42"/>
        <n v="167904.29"/>
        <n v="91060.98"/>
        <n v="97095.89"/>
        <n v="170880.51"/>
        <n v="112673.1"/>
        <n v="574982.61"/>
        <n v="528519.21"/>
        <n v="141027.85"/>
        <n v="142902.37"/>
        <n v="90696.93"/>
        <n v="39.630000000000003"/>
        <n v="641893.48"/>
        <n v="196.25"/>
        <n v="898785.13"/>
        <n v="1117780.17"/>
        <n v="946438.51"/>
        <n v="1153637.7"/>
        <n v="1019671.46"/>
        <n v="1050972.77"/>
        <n v="897174.01"/>
        <n v="966438"/>
        <n v="986834.73"/>
        <n v="1079800.6100000001"/>
        <n v="1018025.54"/>
        <n v="7066.08"/>
        <n v="10476.469999999999"/>
        <n v="18059.46"/>
        <n v="11191.66"/>
        <n v="23652"/>
        <n v="15795.3"/>
        <n v="15833.37"/>
        <n v="27709.45"/>
        <n v="13878.19"/>
        <n v="23871.35"/>
        <n v="25665.66"/>
        <n v="18833.810000000001"/>
        <n v="27424.89"/>
        <n v="20646.14"/>
        <n v="10987.37"/>
        <n v="12506.64"/>
        <n v="15065.35"/>
        <n v="12153.38"/>
        <n v="87396.66"/>
        <n v="194046.52"/>
        <n v="11426.96"/>
        <n v="241643.64"/>
        <n v="263972.46999999997"/>
        <n v="163406.82999999999"/>
        <n v="198080.21"/>
        <n v="153176.73000000001"/>
        <n v="142184.59"/>
        <n v="236151.86"/>
        <n v="136328.07"/>
        <n v="302876.03000000003"/>
        <n v="243959.08"/>
        <n v="23348.68"/>
        <n v="114467.23"/>
        <n v="120473.14"/>
        <n v="184596.78"/>
        <n v="19048.16"/>
        <n v="702245.57"/>
        <n v="203362.34"/>
        <n v="591086.09"/>
        <n v="203734.3"/>
        <n v="280346.83"/>
        <n v="227143.05"/>
        <n v="354522.77"/>
        <n v="203762.24"/>
        <n v="325615.57"/>
        <n v="30382.38"/>
        <n v="186149.29"/>
        <n v="297117.98"/>
        <n v="166438.66"/>
        <n v="91.44"/>
        <n v="86237.94"/>
        <n v="8617.6299999999992"/>
        <n v="1083814.53"/>
        <n v="1012676.02"/>
        <n v="175150.81"/>
        <n v="487.13"/>
        <n v="10.1"/>
        <n v="23.27"/>
        <n v="11214.91"/>
        <n v="10926.88"/>
        <n v="12325.68"/>
        <n v="1620.64"/>
        <n v="8235.68"/>
        <n v="7026.95"/>
        <n v="4970.7299999999996"/>
        <n v="8830.6200000000008"/>
        <n v="4617.54"/>
        <n v="4480.91"/>
        <n v="4796.0600000000004"/>
        <n v="24268.13"/>
        <n v="19742.47"/>
        <n v="14139.5"/>
        <n v="15337.26"/>
        <n v="15727.98"/>
        <n v="13634.12"/>
        <n v="3976.53"/>
        <n v="9634.75"/>
        <n v="11652.15"/>
        <n v="10606.52"/>
        <n v="8894.84"/>
        <n v="10683.87"/>
        <n v="14111.19"/>
        <n v="925711"/>
        <n v="60722.26"/>
        <n v="300655.03999999998"/>
        <n v="283081.15999999997"/>
        <n v="322591.24"/>
        <n v="311880.76"/>
        <n v="363484"/>
        <n v="11660.3"/>
        <n v="10646.06"/>
        <n v="9604.3799999999992"/>
        <n v="8037.29"/>
        <n v="12.89"/>
        <n v="5237.01"/>
        <n v="18794.14"/>
        <n v="7643.68"/>
        <n v="8007.35"/>
        <n v="17891.5"/>
        <n v="52816.87"/>
        <n v="14471.21"/>
        <n v="37439.769999999997"/>
        <n v="11897.73"/>
        <n v="468.3"/>
        <n v="151611.21"/>
        <n v="204640.45"/>
        <n v="114490.4"/>
        <n v="224242.07"/>
        <n v="220823.35"/>
        <n v="232691.51"/>
        <n v="226076.19"/>
        <n v="158929.26999999999"/>
        <n v="43644"/>
        <n v="26520"/>
        <n v="180789.15"/>
        <n v="276205.40999999997"/>
        <n v="4910.04"/>
        <n v="13858.84"/>
        <n v="185.91"/>
        <n v="159479"/>
        <n v="225801"/>
        <n v="45760.3"/>
        <n v="17737.07"/>
        <n v="45.47"/>
        <n v="11899.11"/>
        <n v="11341.11"/>
        <n v="20430.37"/>
        <n v="1.1599999999999999"/>
        <n v="1.1499999999999999"/>
        <n v="0.95"/>
        <n v="10.9"/>
        <n v="34.9"/>
        <n v="27.2"/>
        <n v="27.9"/>
        <n v="26.7"/>
        <n v="32.159999999999997"/>
        <n v="33.119999999999997"/>
        <n v="26.8"/>
        <n v="53.6"/>
        <n v="50.3"/>
        <n v="99.02"/>
        <n v="98.74"/>
        <n v="67.650000000000006"/>
        <n v="53.41"/>
        <n v="2413.34"/>
        <n v="54295"/>
        <n v="58333"/>
        <n v="72594.86"/>
        <n v="74780.350000000006"/>
        <n v="70176.509999999995"/>
        <n v="65866.91"/>
        <n v="67947.899999999994"/>
        <n v="66833.440000000002"/>
        <n v="104366"/>
        <n v="93361"/>
        <n v="101569.56"/>
        <n v="104654.65"/>
        <n v="124196.63"/>
        <n v="92169.32"/>
        <n v="91545.94"/>
        <n v="58738"/>
        <n v="57363.96"/>
        <n v="58117.05"/>
        <n v="54893.31"/>
        <n v="48721.04"/>
        <n v="56985.16"/>
        <n v="46017.47"/>
        <n v="30.27"/>
        <n v="75445"/>
        <n v="17135.84"/>
        <n v="92526.5"/>
        <n v="66.2"/>
        <n v="11559.85"/>
        <n v="17750.91"/>
        <n v="1668.59"/>
        <n v="16860.39"/>
        <n v="22278.44"/>
        <n v="21263.96"/>
        <n v="21438.43"/>
        <n v="17640.55"/>
        <n v="15419.47"/>
        <n v="11046.97"/>
        <n v="3369.07"/>
        <n v="4068.8"/>
        <n v="5728.29"/>
        <n v="5952.83"/>
        <n v="5755.93"/>
        <n v="10052.299999999999"/>
        <n v="771.6"/>
        <n v="14600.5"/>
        <n v="18779.22"/>
        <n v="16367.15"/>
        <n v="18189.990000000002"/>
        <n v="18464.72"/>
        <n v="5129.6099999999997"/>
        <n v="5056.97"/>
        <n v="11484.59"/>
        <n v="13191.31"/>
        <n v="23984.53"/>
        <n v="25331.54"/>
        <n v="22919.33"/>
        <n v="41.19"/>
        <n v="94.37"/>
        <n v="73.56"/>
        <n v="59.69"/>
        <n v="66.5"/>
        <n v="86.99"/>
        <n v="122.23"/>
        <n v="9.6"/>
        <n v="9.9"/>
        <n v="13.6"/>
        <n v="11.8"/>
        <n v="4.9000000000000004"/>
        <n v="11.06"/>
        <n v="30.79"/>
        <n v="56.19"/>
        <n v="127.59"/>
        <n v="180.3"/>
        <n v="185.69"/>
        <n v="209.82"/>
        <n v="202.35"/>
        <n v="170.6"/>
        <n v="24.03"/>
        <n v="24.69"/>
        <n v="40.85"/>
        <n v="41.8"/>
        <n v="50.49"/>
        <n v="109.32"/>
        <n v="139.53"/>
        <n v="4127.76"/>
        <n v="65.7"/>
        <n v="1.62"/>
        <n v="20.95"/>
        <n v="11.07"/>
        <n v="39"/>
        <n v="12.24"/>
        <n v="35.67"/>
        <n v="172.54"/>
        <n v="462.96"/>
        <n v="443.41"/>
        <n v="419.84"/>
        <n v="413.32"/>
        <n v="456.04"/>
        <n v="425"/>
        <n v="107.04"/>
        <n v="7678.83"/>
        <n v="89768.34"/>
        <n v="33.5"/>
        <n v="29877.1"/>
        <n v="2488.9499999999998"/>
        <n v="93232.83"/>
        <n v="132.69"/>
        <n v="52607.78"/>
        <n v="14268.89"/>
        <n v="40592"/>
        <n v="43306.74"/>
        <n v="46687.96"/>
        <n v="43953.8"/>
        <n v="54097.98"/>
        <n v="38641.339999999997"/>
        <n v="51333.81"/>
        <n v="30458"/>
        <n v="5686.6"/>
        <n v="21875.47"/>
        <n v="31540.18"/>
        <n v="30089.39"/>
        <n v="24242.62"/>
        <n v="44780.6"/>
        <n v="17194.79"/>
        <n v="50572"/>
        <n v="54449.69"/>
        <n v="57532.12"/>
        <n v="56308.53"/>
        <n v="52733.45"/>
        <n v="51214.65"/>
        <n v="52105.87"/>
        <n v="31643"/>
        <n v="30034.55"/>
        <n v="30663.3"/>
        <n v="36383.31"/>
        <n v="29917.4"/>
        <n v="30137.09"/>
        <n v="29728.16"/>
        <n v="32340.240000000002"/>
        <n v="3595.39"/>
        <n v="7623"/>
        <n v="13166.5"/>
        <n v="12436.01"/>
        <n v="4014.79"/>
        <n v="18307.63"/>
        <n v="21474.1"/>
        <n v="174273"/>
        <n v="196678.85"/>
        <n v="218475.82"/>
        <n v="199823.44"/>
        <n v="208446.02"/>
        <n v="252563.28"/>
        <n v="249460.13"/>
        <n v="13531.29"/>
        <n v="34.54"/>
        <n v="27136.25"/>
        <n v="3271.8"/>
        <n v="1822.05"/>
        <n v="84407.34"/>
        <n v="96568.14"/>
        <n v="56460.83"/>
        <n v="18661.39"/>
        <n v="177.1"/>
        <n v="7.68"/>
        <n v="10897.12"/>
        <n v="114.2"/>
        <n v="100853.96"/>
        <n v="435.6"/>
        <n v="5612.98"/>
        <n v="2551.34"/>
        <n v="15782.48"/>
        <n v="456.35"/>
        <n v="1997.25"/>
        <n v="15928.36"/>
        <n v="6262.72"/>
        <n v="7450.22"/>
        <n v="8039.65"/>
        <n v="4633.5"/>
        <n v="6491.98"/>
        <n v="5494.05"/>
        <n v="2772.75"/>
        <n v="2415.71"/>
        <n v="2692.88"/>
        <n v="2472.4699999999998"/>
        <n v="2464.35"/>
        <n v="2529.15"/>
        <n v="660"/>
        <n v="1539.18"/>
        <n v="13766.87"/>
        <n v="17283.87"/>
        <n v="18704.16"/>
        <n v="17244.75"/>
        <n v="16763.87"/>
        <n v="66480.53"/>
        <n v="11276"/>
        <n v="18186.66"/>
        <n v="11120.27"/>
        <n v="13130.54"/>
        <n v="11831.76"/>
        <n v="5273.79"/>
        <n v="17816.810000000001"/>
        <n v="899.17"/>
        <n v="16851.45"/>
        <n v="16465.150000000001"/>
        <n v="2337.4499999999998"/>
        <n v="6183.44"/>
        <n v="4949.09"/>
        <n v="4452.71"/>
        <n v="5549.41"/>
        <n v="6334.28"/>
        <n v="121153"/>
        <n v="1129.6500000000001"/>
        <n v="5256.14"/>
        <n v="6304.62"/>
        <n v="1682.01"/>
        <n v="647.4"/>
        <n v="278.43"/>
        <n v="1330.54"/>
        <n v="2421.84"/>
        <n v="1495.2"/>
        <n v="12929.01"/>
        <n v="83311.740000000005"/>
        <n v="88346.52"/>
        <n v="89047.83"/>
        <n v="96922.37"/>
        <n v="87653.03"/>
        <n v="338.28"/>
        <n v="24763.38"/>
        <n v="13943.42"/>
        <n v="15651.75"/>
        <n v="3673.65"/>
        <n v="3440.4"/>
        <n v="8039.72"/>
        <n v="7544.98"/>
        <n v="436.32"/>
        <n v="1170.3699999999999"/>
        <n v="972.37"/>
        <n v="999.98"/>
        <n v="1000.01"/>
        <n v="113036.76"/>
        <n v="1052.5999999999999"/>
        <n v="99690.32"/>
        <n v="1070.9000000000001"/>
        <n v="188.6"/>
        <n v="47.43"/>
        <n v="421.75"/>
        <n v="359.6"/>
        <n v="271269"/>
        <n v="36754.76"/>
        <n v="127.17"/>
        <n v="482.34"/>
        <n v="134.83000000000001"/>
        <n v="617.49"/>
        <n v="131.03"/>
        <n v="737.76"/>
        <n v="598.30999999999995"/>
        <n v="67.790000000000006"/>
        <n v="565.35"/>
        <n v="177.98"/>
        <n v="397.94"/>
        <n v="1027.5899999999999"/>
        <n v="1135.97"/>
        <n v="1437.95"/>
        <n v="1232.3"/>
        <n v="1206.97"/>
        <n v="1189.1099999999999"/>
        <n v="328727"/>
        <n v="327720.38"/>
        <n v="291866.88"/>
        <n v="356607.2"/>
        <n v="328223.05"/>
        <n v="545781.23"/>
        <n v="426158.84"/>
        <n v="322722.94"/>
        <n v="146223.15"/>
        <n v="1213.0999999999999"/>
        <n v="318106.82"/>
        <n v="96503.58"/>
        <n v="1283.2"/>
        <n v="335380.55"/>
        <n v="144373"/>
        <n v="147707.17000000001"/>
        <n v="152554.06"/>
        <n v="145544.67000000001"/>
        <n v="154440.67000000001"/>
        <n v="134845.35999999999"/>
        <n v="128041.38"/>
        <n v="222646"/>
        <n v="243500.19"/>
        <n v="258012.75"/>
        <n v="35488.11"/>
        <n v="273358.31"/>
        <n v="401613.68"/>
        <n v="356864.75"/>
        <n v="337982.56"/>
        <n v="122240.6"/>
        <n v="1199.45"/>
        <n v="3635.68"/>
        <n v="102465.44"/>
        <n v="1998.63"/>
        <n v="274848.5"/>
        <n v="76199.72"/>
        <n v="1221.8"/>
        <n v="964.65"/>
        <n v="61255.5"/>
        <n v="458.1"/>
        <n v="125.5"/>
        <n v="131436.28"/>
        <n v="99310.27"/>
        <n v="145977.14000000001"/>
        <n v="593.02"/>
        <n v="498.56"/>
        <n v="1017.12"/>
        <n v="237543.7"/>
        <n v="3402.05"/>
        <n v="69134.87"/>
        <n v="61434.17"/>
        <n v="152088.21"/>
        <n v="139013.6"/>
        <n v="12583.73"/>
        <n v="158033.66"/>
        <n v="151931.51"/>
        <n v="146941.92000000001"/>
        <n v="99969.58"/>
        <n v="1877.8"/>
        <n v="380042.69"/>
        <n v="82447.22"/>
        <n v="7666.93"/>
        <n v="1318.19"/>
        <n v="297984.33"/>
        <n v="114924.07"/>
        <n v="4167.2299999999996"/>
        <n v="4095.25"/>
        <n v="3534.62"/>
        <n v="3401.52"/>
        <n v="3328.23"/>
        <n v="83634.899999999994"/>
        <n v="77189.97"/>
        <n v="84537.99"/>
        <n v="84442.43"/>
        <n v="90784.09"/>
        <n v="1258.6600000000001"/>
        <n v="1394.38"/>
        <n v="1477.35"/>
        <n v="1439.16"/>
        <n v="1130.1300000000001"/>
        <n v="861.73"/>
        <n v="877.86"/>
        <n v="1393.39"/>
        <n v="1197.0899999999999"/>
        <n v="1061.4000000000001"/>
        <n v="56732.05"/>
        <n v="23829.47"/>
        <n v="59058.559999999998"/>
        <n v="4822.1499999999996"/>
        <n v="60087.73"/>
        <n v="69238.320000000007"/>
        <n v="72149.25"/>
        <n v="74970.539999999994"/>
        <n v="923.58"/>
        <n v="2207.9299999999998"/>
        <n v="2434.6799999999998"/>
        <n v="2392.27"/>
        <n v="2458.3200000000002"/>
        <n v="2471.64"/>
        <n v="2478.42"/>
        <n v="609.16"/>
        <n v="1620.92"/>
        <n v="1856"/>
        <n v="1624.98"/>
        <n v="1627.41"/>
        <n v="1490.88"/>
        <n v="450.17"/>
        <n v="2445.0700000000002"/>
        <n v="158956.34"/>
        <n v="63094.03"/>
        <n v="45050.37"/>
        <n v="306769.46999999997"/>
        <n v="543535.74"/>
        <n v="505382.52"/>
        <n v="636520.61"/>
        <n v="676099.28"/>
        <n v="582026.59"/>
        <n v="137693.22"/>
        <n v="203997.98"/>
        <n v="273634.02"/>
        <n v="280015.58"/>
        <n v="333548.14"/>
        <n v="321579.90999999997"/>
        <n v="69064.22"/>
        <n v="89035.08"/>
        <n v="201897.65"/>
        <n v="182074.68"/>
        <n v="182574.42"/>
        <n v="194395.38"/>
        <n v="246455.24"/>
        <n v="156053.45000000001"/>
        <n v="212357.7"/>
        <n v="611997.68000000005"/>
        <n v="1593.18"/>
        <n v="175358.79"/>
        <n v="26394.959999999999"/>
        <n v="44687.08"/>
        <n v="15396.8"/>
        <n v="63332.81"/>
        <n v="63921.13"/>
        <n v="64759.38"/>
        <n v="69390.03"/>
        <n v="62679.81"/>
        <n v="247343.13"/>
        <n v="501064.93"/>
        <n v="114054.19"/>
        <n v="640848.92000000004"/>
        <n v="20180.77"/>
        <n v="613576.9"/>
        <n v="695505.5"/>
        <n v="656511.49"/>
        <n v="647921.81000000006"/>
        <n v="125.3"/>
        <n v="59844.959999999999"/>
        <n v="84551.05"/>
        <n v="24.8"/>
        <n v="81.36"/>
        <n v="140.75"/>
        <n v="88.62"/>
        <n v="259.20999999999998"/>
        <n v="443.03"/>
        <n v="67.05"/>
        <n v="240.27"/>
        <n v="520.16"/>
        <n v="12.51"/>
        <n v="404.22"/>
        <n v="531.49"/>
        <n v="87.09"/>
        <n v="245.15"/>
        <n v="372.69"/>
        <n v="91.55"/>
        <n v="271.10000000000002"/>
        <n v="534.73"/>
        <n v="74.34"/>
        <n v="7.66"/>
        <n v="425.52"/>
        <n v="41.41"/>
        <n v="162.19999999999999"/>
        <n v="154.1"/>
        <n v="120.64"/>
        <n v="306.42"/>
        <n v="159.51"/>
        <n v="182.67"/>
        <n v="369.47"/>
        <n v="166.74"/>
        <n v="30"/>
        <n v="75.08"/>
        <n v="864.86"/>
        <n v="347.56"/>
        <n v="71.87"/>
        <n v="19"/>
        <n v="896.69"/>
        <n v="332.08"/>
        <n v="46.99"/>
        <n v="13.15"/>
        <n v="1298.4000000000001"/>
        <n v="380.9"/>
        <n v="63.19"/>
        <n v="337.68"/>
        <n v="967.96"/>
        <n v="374.63"/>
        <n v="53.93"/>
        <n v="27.18"/>
        <n v="927.79"/>
        <n v="325.20999999999998"/>
        <n v="94.88"/>
        <n v="24.55"/>
        <n v="1449.66"/>
        <n v="283.87"/>
        <n v="119.91"/>
        <n v="82.45"/>
        <n v="22.31"/>
        <n v="432.7"/>
        <n v="90.52"/>
        <n v="215.73"/>
        <n v="385.23"/>
        <n v="12593"/>
        <n v="43.4"/>
        <n v="1278.9000000000001"/>
        <n v="181.4"/>
        <n v="53.61"/>
        <n v="2364.09"/>
        <n v="204.26"/>
        <n v="51.29"/>
        <n v="397.89"/>
        <n v="191.79"/>
        <n v="6.9"/>
        <n v="542.9"/>
        <n v="224.27"/>
        <n v="17.13"/>
        <n v="417.16"/>
        <n v="272.83"/>
        <n v="30.7"/>
        <n v="501.98"/>
        <n v="218.92"/>
        <n v="131.78"/>
        <n v="153760.47"/>
        <n v="287.36"/>
        <n v="61.61"/>
        <n v="10.35"/>
        <n v="381.6"/>
        <n v="446.55"/>
        <n v="435.57"/>
        <n v="350.76"/>
        <n v="729.46"/>
        <n v="689.86"/>
        <n v="1022.21"/>
        <n v="1092.7"/>
        <n v="1748.76"/>
        <n v="541.51"/>
        <n v="384.5"/>
        <n v="639.79999999999995"/>
        <n v="1026"/>
        <n v="1153.81"/>
        <n v="989.91"/>
        <n v="1356.14"/>
        <n v="708.48"/>
        <n v="306.10000000000002"/>
        <n v="370"/>
        <n v="341.7"/>
        <n v="730.79"/>
        <n v="905.64"/>
        <n v="1291.95"/>
        <n v="754.98"/>
        <n v="184.19"/>
        <n v="297.25"/>
        <n v="286.11"/>
        <n v="301.13"/>
        <n v="341.5"/>
        <n v="321.75"/>
        <n v="285.85000000000002"/>
        <n v="71.7"/>
        <n v="155.94999999999999"/>
        <n v="271.42"/>
        <n v="221.53"/>
        <n v="184.39"/>
        <n v="212.17"/>
        <n v="242.93"/>
        <n v="36.08"/>
        <n v="242.06"/>
        <n v="274.8"/>
        <n v="266.54000000000002"/>
        <n v="290.62"/>
        <n v="277.94"/>
        <n v="298.05"/>
        <n v="16.190000000000001"/>
        <n v="26.1"/>
        <n v="42.41"/>
        <n v="45.99"/>
        <n v="55.83"/>
        <n v="111.03"/>
        <n v="114.9"/>
        <n v="851.65"/>
        <n v="1104.99"/>
        <n v="1240.31"/>
        <n v="1247.25"/>
        <n v="1429.95"/>
        <n v="1309.67"/>
        <n v="1042.7"/>
        <n v="49.9"/>
        <n v="39.81"/>
        <n v="2.54"/>
        <n v="98.71"/>
        <n v="102.38"/>
        <n v="34.97"/>
        <n v="265.22000000000003"/>
        <n v="6.67"/>
        <n v="19.36"/>
        <n v="11.65"/>
        <n v="13.88"/>
        <n v="6.14"/>
        <n v="54"/>
        <n v="13.25"/>
        <n v="739.55"/>
        <n v="129.88999999999999"/>
        <n v="1351.56"/>
        <n v="294.49"/>
        <n v="1352.45"/>
        <n v="286.47000000000003"/>
        <n v="1339.23"/>
        <n v="286.44"/>
        <n v="1400.89"/>
        <n v="444.44"/>
        <n v="456.52"/>
        <n v="1967.75"/>
        <n v="397.2"/>
        <n v="8.2899999999999991"/>
        <n v="36.35"/>
        <n v="23.97"/>
        <n v="85.06"/>
        <n v="22.66"/>
        <n v="65.819999999999993"/>
        <n v="19.63"/>
        <n v="53.09"/>
        <n v="25.35"/>
        <n v="101.06"/>
        <n v="29.8"/>
        <n v="30.86"/>
        <n v="88.68"/>
        <n v="551.99"/>
        <n v="1498.63"/>
        <n v="1513.88"/>
        <n v="1375.76"/>
        <n v="1609.5"/>
        <n v="1634.61"/>
        <n v="1530.07"/>
        <n v="433.82"/>
        <n v="1151.01"/>
        <n v="1165.83"/>
        <n v="1024.08"/>
        <n v="1198.06"/>
        <n v="1387.62"/>
        <n v="1442.75"/>
        <n v="8.8699999999999992"/>
        <n v="16.579999999999998"/>
        <n v="29.17"/>
        <n v="46.18"/>
        <n v="15.92"/>
        <n v="20.079999999999998"/>
        <n v="4.29"/>
        <n v="750.01"/>
        <n v="1777.58"/>
        <n v="1652.64"/>
        <n v="1979.08"/>
        <n v="1620.74"/>
        <n v="1623.84"/>
        <n v="1691.63"/>
        <n v="28.37"/>
        <n v="20176.22"/>
        <n v="63221.45"/>
        <n v="849.75"/>
        <n v="344.08"/>
        <n v="57.12"/>
        <n v="46.78"/>
        <n v="1255.9000000000001"/>
        <n v="250.86"/>
        <n v="303.51"/>
        <n v="58620"/>
        <n v="738576.82"/>
        <n v="5659.85"/>
        <n v="170431.86"/>
        <n v="1896.06"/>
        <n v="260471.35"/>
        <n v="35315"/>
        <n v="332973.82"/>
        <n v="69312.479999999996"/>
        <n v="485000"/>
        <n v="541156.37"/>
        <n v="572202.49"/>
        <n v="567606.04"/>
        <n v="893369.63"/>
        <n v="526273.94999999995"/>
        <n v="277073.8"/>
        <n v="353205.49"/>
        <n v="53668"/>
        <n v="60539.97"/>
        <n v="62221.61"/>
        <n v="64734.080000000002"/>
        <n v="66801.460000000006"/>
        <n v="58053.08"/>
        <n v="65914.539999999994"/>
        <n v="446433.06"/>
        <n v="51295.28"/>
        <n v="248775.7"/>
        <n v="397827.01"/>
        <n v="449873.56"/>
        <n v="380427.6"/>
        <n v="430283.55"/>
        <n v="46620"/>
        <n v="22869"/>
        <n v="721807.82"/>
        <n v="14110.89"/>
        <n v="221253.63"/>
        <n v="38218.51"/>
        <n v="68480"/>
        <n v="56553.2"/>
        <n v="880499.33"/>
        <n v="933858.15"/>
        <n v="51856.37"/>
        <n v="81370"/>
        <n v="61280.82"/>
        <n v="713579.35"/>
        <n v="84159.63"/>
        <n v="23010"/>
        <n v="16806.52"/>
        <n v="31120"/>
        <n v="18708.009999999998"/>
        <n v="766481.99"/>
        <n v="61012.7"/>
        <n v="48887.75"/>
        <n v="17860"/>
        <n v="10774.04"/>
        <n v="1143359.98"/>
        <n v="832816"/>
        <n v="35733"/>
        <n v="-2519.09"/>
        <n v="31637"/>
        <n v="37191"/>
        <n v="-17818.52"/>
        <n v="47485.02"/>
        <n v="33353.589999999997"/>
        <n v="67876.59"/>
        <n v="20657.650000000001"/>
        <n v="-116295.28"/>
        <n v="34591.65"/>
        <n v="272828"/>
        <n v="279051.15999999997"/>
        <n v="352367.15"/>
        <n v="405751.59"/>
        <n v="602624.80000000005"/>
        <n v="425137.9"/>
        <n v="368992.28"/>
        <n v="484540"/>
        <n v="555454.88"/>
        <n v="630422.37"/>
        <n v="684232.47"/>
        <n v="683919.44"/>
        <n v="613801.06999999995"/>
        <n v="260570.95"/>
        <n v="281763"/>
        <n v="324535.3"/>
        <n v="393763.8"/>
        <n v="379022.71"/>
        <n v="414613.16"/>
        <n v="348714.83"/>
        <n v="150653.70000000001"/>
        <n v="210729"/>
        <n v="220130.75"/>
        <n v="208055.05"/>
        <n v="203763.53"/>
        <n v="191478.73"/>
        <n v="206528.39"/>
        <n v="213117.84"/>
        <n v="79007"/>
        <n v="85479.02"/>
        <n v="87188.96"/>
        <n v="83628.06"/>
        <n v="88892.88"/>
        <n v="88710.8"/>
        <n v="92468.77"/>
        <n v="95230"/>
        <n v="108652.08"/>
        <n v="87435.1"/>
        <n v="97321.5"/>
        <n v="106248.98"/>
        <n v="91451.9"/>
        <n v="136919.22"/>
        <n v="24186.91"/>
        <n v="149226.06"/>
        <n v="3690.83"/>
        <n v="116587.47"/>
        <n v="252022.02"/>
        <n v="117088.86"/>
        <n v="255009.67"/>
        <n v="477072"/>
        <n v="229062.61"/>
        <n v="545553.12"/>
        <n v="580976.53"/>
        <n v="726940.83"/>
        <n v="561994.4"/>
        <n v="783332.32"/>
        <n v="638261.54"/>
        <n v="537449.47"/>
        <n v="713255.4"/>
        <n v="620827.46"/>
        <n v="633601.05000000005"/>
        <n v="562904.37"/>
        <n v="654694.76"/>
        <n v="26255"/>
        <n v="25761.84"/>
        <n v="28282.31"/>
        <n v="29500.55"/>
        <n v="23173.5"/>
        <n v="36503.449999999997"/>
        <n v="23631.53"/>
        <n v="17395"/>
        <n v="26905.3"/>
        <n v="43747.78"/>
        <n v="28458.71"/>
        <n v="36453.32"/>
        <n v="38911.86"/>
        <n v="32700.52"/>
        <n v="1441186"/>
        <n v="1413417.71"/>
        <n v="1592487.41"/>
        <n v="1662630.78"/>
        <n v="1655607.97"/>
        <n v="1884957.1"/>
        <n v="2041889.24"/>
        <n v="267442.71999999997"/>
        <n v="855655"/>
        <n v="447792.12"/>
        <n v="397826.99"/>
        <n v="509547.78"/>
        <n v="489871.99"/>
        <n v="435398.58"/>
        <n v="496722.33"/>
        <n v="121291.3"/>
        <n v="1009439.82"/>
        <n v="1061880.25"/>
        <n v="1280697.02"/>
        <n v="1525725"/>
        <n v="1118423.52"/>
        <n v="1182450.57"/>
        <n v="1276347.55"/>
        <n v="1241307.19"/>
        <n v="875522"/>
        <n v="856611.57"/>
        <n v="9186.34"/>
        <n v="300877.90000000002"/>
        <n v="321940.77"/>
        <n v="324895.94"/>
        <n v="917487.27"/>
        <n v="1265462.6599999999"/>
        <n v="1304232.3899999999"/>
        <n v="1146065.05"/>
        <n v="18233"/>
        <n v="19005.64"/>
        <n v="14911.34"/>
        <n v="9305.18"/>
        <n v="9641.08"/>
        <n v="16171.75"/>
        <n v="5681.25"/>
        <n v="456078.82"/>
        <n v="778236"/>
        <n v="1019473.36"/>
        <n v="897627.06"/>
        <n v="1269699.8400000001"/>
        <n v="918220.91"/>
        <n v="981624.53"/>
        <n v="1382331.48"/>
        <n v="959992.23"/>
        <n v="1115953.51"/>
        <n v="1030945.48"/>
        <n v="1207709.7"/>
        <n v="914104.63"/>
        <n v="1043625.02"/>
        <n v="288921.83"/>
        <n v="533919.86"/>
        <n v="750.96"/>
        <n v="660.6"/>
        <n v="337.8"/>
        <n v="308731.61"/>
        <n v="58118.17"/>
        <n v="220801.42"/>
        <n v="237319.17"/>
        <n v="446.02"/>
        <n v="162.49"/>
        <n v="9876.92"/>
        <n v="38751.71"/>
        <n v="157779.35999999999"/>
        <n v="552392.28"/>
        <n v="120.95"/>
        <n v="25.9"/>
        <n v="1381.41"/>
        <n v="66389.56"/>
        <n v="584293.34"/>
        <n v="92200.11"/>
        <n v="159172.20000000001"/>
        <n v="6023.46"/>
        <n v="67.39"/>
        <n v="28152.75"/>
        <n v="1950.51"/>
        <n v="312957.95"/>
        <n v="326354.89"/>
        <n v="13.38"/>
        <n v="190219.44"/>
        <n v="1743.44"/>
        <n v="317.54000000000002"/>
        <n v="16773.95"/>
        <n v="227324"/>
        <n v="504819.51"/>
        <n v="25.55"/>
        <n v="88.13"/>
        <n v="1530.31"/>
        <n v="461564.92"/>
        <n v="431913.15"/>
        <n v="131570.67000000001"/>
        <n v="514253.45"/>
        <n v="894514.33"/>
        <n v="943.26"/>
        <n v="2966.65"/>
        <n v="-1590.64"/>
        <n v="917751.24"/>
        <n v="1709"/>
        <n v="846112.91"/>
        <n v="236543.33"/>
        <n v="14117.16"/>
        <n v="4957"/>
        <n v="90437.48"/>
        <n v="118919.97"/>
        <n v="108923.1"/>
        <n v="102984.96000000001"/>
        <n v="81710.399999999994"/>
        <n v="30153.67"/>
        <n v="15086.48"/>
        <n v="86243.16"/>
        <n v="11867.13"/>
        <n v="12006.28"/>
        <n v="12242.7"/>
        <n v="12565.03"/>
        <n v="12884.55"/>
        <n v="5023.71"/>
        <n v="61236.36"/>
        <n v="60121.35"/>
        <n v="53848.94"/>
        <n v="72670.460000000006"/>
        <n v="74017.78"/>
        <n v="62175.19"/>
        <n v="174323.22"/>
        <n v="2141.29"/>
        <n v="162594.85"/>
        <n v="181504.63"/>
        <n v="218232.36"/>
        <n v="229054.33"/>
        <n v="248925.81"/>
        <n v="256603.32"/>
        <n v="59331.39"/>
        <n v="1952.57"/>
        <n v="2098.98"/>
        <n v="4681.32"/>
        <n v="5361.31"/>
        <n v="5222.07"/>
        <n v="9780.8700000000008"/>
        <n v="38841.730000000003"/>
        <n v="319573.8"/>
        <n v="366245.88"/>
        <n v="358148.07"/>
        <n v="372662.37"/>
        <n v="329525.78999999998"/>
        <n v="87631.7"/>
        <n v="151054.75"/>
        <n v="59815.97"/>
        <n v="59206.21"/>
        <n v="56026.2"/>
        <n v="54486.32"/>
        <n v="54788.88"/>
        <n v="6127.19"/>
        <n v="2568.38"/>
        <n v="10974.2"/>
        <n v="9567.1200000000008"/>
        <n v="9022.5499999999993"/>
        <n v="7359.31"/>
        <n v="6825.05"/>
        <n v="185903.96"/>
        <n v="20858.16"/>
        <n v="46931.62"/>
        <n v="51089.79"/>
        <n v="60836.28"/>
        <n v="55630.99"/>
        <n v="52911.32"/>
        <n v="239212.4"/>
        <n v="139222.93"/>
        <n v="92315.3"/>
        <n v="105786.63"/>
        <n v="118134.21"/>
        <n v="142863.92000000001"/>
        <n v="167829.08"/>
        <n v="247210.38"/>
        <n v="9754.02"/>
        <n v="152591.16"/>
        <n v="132369.60000000001"/>
        <n v="14665.02"/>
        <n v="68413.19"/>
        <n v="1228.25"/>
        <n v="6942.41"/>
        <n v="7633.63"/>
        <n v="4963.0200000000004"/>
        <n v="5121.58"/>
        <n v="5789.27"/>
        <n v="5002.12"/>
        <n v="7047.75"/>
        <n v="4661.21"/>
        <n v="21108.55"/>
        <n v="1550.01"/>
        <n v="2311.7800000000002"/>
        <n v="2856.28"/>
        <n v="3474.76"/>
        <n v="3231.22"/>
        <n v="84665.67"/>
        <n v="860"/>
        <n v="179286.64"/>
        <n v="213137.63"/>
        <n v="233814.17"/>
        <n v="249709.16"/>
        <n v="253384.8"/>
        <n v="102306.08"/>
        <n v="23503.439999999999"/>
        <n v="16000.57"/>
        <n v="17378.689999999999"/>
        <n v="20724.22"/>
        <n v="22612.33"/>
        <n v="21267.87"/>
        <n v="3980.65"/>
        <n v="8323.7099999999991"/>
        <n v="296276.99"/>
        <n v="423317.69"/>
        <n v="587872.5"/>
        <n v="584792.52"/>
        <n v="598843.44999999995"/>
        <n v="-602.84"/>
        <n v="38446.31"/>
        <n v="55954.97"/>
        <n v="-427.87"/>
        <n v="19556"/>
        <n v="29.21"/>
        <n v="1081"/>
        <n v="950.27"/>
        <n v="144451.42000000001"/>
        <n v="46.2"/>
        <n v="741.41"/>
        <n v="52492.71"/>
        <n v="8333.1299999999992"/>
        <n v="173155.25"/>
        <n v="32954.54"/>
        <n v="10769.73"/>
        <n v="8402.6"/>
        <n v="197978.77"/>
        <n v="5077.2700000000004"/>
        <n v="721.65"/>
        <n v="4036.28"/>
        <n v="208336.01"/>
        <n v="206271.23"/>
        <n v="2457.15"/>
        <n v="1708.21"/>
        <n v="3340.51"/>
        <n v="1450.17"/>
        <n v="281.89"/>
        <n v="483.58"/>
        <n v="3704.38"/>
        <n v="84176.47"/>
        <n v="9527.8799999999992"/>
        <n v="267396.07"/>
        <n v="319369.57"/>
        <n v="387591.37"/>
        <n v="568204.76"/>
        <n v="466601.06"/>
        <n v="68741.039999999994"/>
        <n v="99332.84"/>
        <n v="57918.1"/>
        <n v="1061.05"/>
        <n v="14954.97"/>
        <n v="19450.830000000002"/>
        <n v="22283.279999999999"/>
        <n v="20185.009999999998"/>
        <n v="16721.919999999998"/>
        <n v="3974.45"/>
        <n v="114095.87"/>
        <n v="429"/>
        <n v="5386.1"/>
        <n v="2823.85"/>
        <n v="3011.94"/>
        <n v="2173.35"/>
        <n v="2267.73"/>
        <n v="6956.85"/>
        <n v="2913.97"/>
        <n v="13.46"/>
        <n v="209.76"/>
        <n v="48.06"/>
        <n v="1.19"/>
        <n v="103.5"/>
        <n v="7"/>
        <n v="80.900000000000006"/>
        <n v="52.7"/>
        <n v="11.99"/>
        <n v="1.59"/>
        <n v="44.59"/>
        <n v="76.569999999999993"/>
        <n v="7.4"/>
        <n v="25.8"/>
        <n v="22.8"/>
        <n v="22.36"/>
        <n v="20.77"/>
        <n v="166.94"/>
        <n v="56.25"/>
        <n v="1.3"/>
        <n v="9.26"/>
        <n v="24.04"/>
        <n v="53.27"/>
        <n v="6.98"/>
        <n v="5.82"/>
        <n v="7.88"/>
        <n v="18531"/>
        <n v="17799"/>
        <n v="22487"/>
        <n v="17844.009999999998"/>
        <n v="2323.0700000000002"/>
        <n v="13800.9"/>
        <n v="18175.11"/>
        <n v="16155"/>
        <n v="32122.16"/>
        <n v="34740.18"/>
        <n v="24409.75"/>
        <n v="25188.04"/>
        <n v="26103.87"/>
        <n v="24835.61"/>
        <n v="10841"/>
        <n v="23840.52"/>
        <n v="38336.29"/>
        <n v="47304.92"/>
        <n v="25711.16"/>
        <n v="28238.59"/>
        <n v="19971.91"/>
        <n v="117.61"/>
        <n v="12914"/>
        <n v="8003.22"/>
        <n v="28.3"/>
        <n v="21158.99"/>
        <n v="7935.25"/>
        <n v="16.899999999999999"/>
        <n v="14525.01"/>
        <n v="1542223.23"/>
        <n v="6.94"/>
        <n v="1665.01"/>
        <n v="948.03"/>
        <n v="624.67999999999995"/>
        <n v="10504.58"/>
        <n v="13356.28"/>
        <n v="4128"/>
        <n v="1026.9000000000001"/>
        <n v="5745.49"/>
        <n v="9190.75"/>
        <n v="5813.69"/>
        <n v="4160.1899999999996"/>
        <n v="3164.27"/>
        <n v="2034.61"/>
        <n v="1200.08"/>
        <n v="2390.1799999999998"/>
        <n v="3617.26"/>
        <n v="10327.35"/>
        <n v="15998.19"/>
        <n v="13306.81"/>
        <n v="16760.68"/>
        <n v="21589.57"/>
        <n v="24180.55"/>
        <n v="21214.46"/>
        <n v="1122.96"/>
        <n v="2835.17"/>
        <n v="2082.44"/>
        <n v="1890.7"/>
        <n v="2110.15"/>
        <n v="2154.9"/>
        <n v="1482"/>
        <n v="825.97"/>
        <n v="5"/>
        <n v="31.01"/>
        <n v="8"/>
        <n v="10"/>
        <n v="17"/>
        <n v="1809.34"/>
        <n v="72.25"/>
        <n v="163.44"/>
        <n v="208.72"/>
        <n v="285.22000000000003"/>
        <n v="4163.13"/>
        <n v="371.14"/>
        <n v="515.73"/>
        <n v="700.48"/>
        <n v="708.84"/>
        <n v="4099.18"/>
        <n v="259.42"/>
        <n v="516.17999999999995"/>
        <n v="754.58"/>
        <n v="706.62"/>
        <n v="5630.71"/>
        <n v="216.72"/>
        <n v="499.13"/>
        <n v="707.88"/>
        <n v="638.89"/>
        <n v="7005.5"/>
        <n v="183.75"/>
        <n v="713.76"/>
        <n v="879.88"/>
        <n v="651.9"/>
        <n v="3525.4"/>
        <n v="159.78"/>
        <n v="598.1"/>
        <n v="804.5"/>
        <n v="797.47"/>
        <n v="4024"/>
        <n v="60.02"/>
        <n v="134.94999999999999"/>
        <n v="523.11"/>
        <n v="802.46"/>
        <n v="1330.17"/>
        <n v="66.19"/>
        <n v="66.819999999999993"/>
        <n v="5236.5"/>
        <n v="12138.7"/>
        <n v="11731.6"/>
        <n v="10732"/>
        <n v="11137"/>
        <n v="9340.4"/>
        <n v="10220.200000000001"/>
        <n v="211.21"/>
        <n v="452.05"/>
        <n v="447.57"/>
        <n v="433.85"/>
        <n v="452.31"/>
        <n v="114.83"/>
        <n v="677.94"/>
        <n v="324.70999999999998"/>
        <n v="165.76"/>
        <n v="346.26"/>
        <n v="1758.36"/>
        <n v="1036.52"/>
        <n v="569.53"/>
        <n v="91.92"/>
        <n v="366.41"/>
        <n v="1610.16"/>
        <n v="996.17"/>
        <n v="15.99"/>
        <n v="513.66999999999996"/>
        <n v="11"/>
        <n v="184.28"/>
        <n v="361.41"/>
        <n v="1670.92"/>
        <n v="950.79"/>
        <n v="465.2"/>
        <n v="1"/>
        <n v="459.18"/>
        <n v="360.41"/>
        <n v="1376.98"/>
        <n v="992.91"/>
        <n v="276.39999999999998"/>
        <n v="168.09"/>
        <n v="357.84"/>
        <n v="1523.45"/>
        <n v="1044.6199999999999"/>
        <n v="419.82"/>
        <n v="3237.67"/>
        <n v="223.56"/>
        <n v="332.65"/>
        <n v="1381.16"/>
        <n v="869.4"/>
        <n v="361.24"/>
        <n v="2393.4"/>
        <n v="6224.08"/>
        <n v="4142.3999999999996"/>
        <n v="12865.27"/>
        <n v="7323"/>
        <n v="14690"/>
        <n v="7531.9"/>
        <n v="12110.78"/>
        <n v="8587.2999999999993"/>
        <n v="14794.59"/>
        <n v="3715.19"/>
        <n v="7942.7"/>
        <n v="10509.71"/>
        <n v="13576.95"/>
        <n v="4559.1000000000004"/>
        <n v="9.01"/>
        <n v="3927.85"/>
        <n v="235.49"/>
        <n v="551.02"/>
        <n v="732.86"/>
        <n v="1857.46"/>
        <n v="14332.4"/>
        <n v="473"/>
        <n v="141320.34"/>
        <n v="115462.39999999999"/>
        <n v="548012.62"/>
        <n v="24166.55"/>
        <n v="4657.03"/>
        <n v="86167.13"/>
        <n v="9807.93"/>
        <n v="269085.56"/>
        <n v="9345.1"/>
        <n v="2641.4"/>
        <n v="1645752.38"/>
        <n v="32837.96"/>
        <n v="444492.65"/>
        <n v="22234.12"/>
        <n v="115921.14"/>
        <n v="25535.16"/>
        <n v="35134.67"/>
        <n v="1675.49"/>
        <n v="35669.870000000003"/>
        <n v="1330"/>
        <n v="1338890.55"/>
        <n v="20886.98"/>
        <n v="1095.75"/>
        <n v="29218.67"/>
        <n v="33889.5"/>
        <n v="99942.5"/>
        <n v="266461.24"/>
        <n v="1387.76"/>
        <n v="57359.48"/>
        <n v="1027.5"/>
        <n v="54257.47"/>
        <n v="7248.6"/>
        <n v="24751.91"/>
        <n v="5041.21"/>
        <n v="158122.99"/>
        <n v="127572.59"/>
        <n v="459253.1"/>
        <n v="41258.22"/>
        <n v="5634.87"/>
        <n v="116409.13"/>
        <n v="14669.97"/>
        <n v="270402.53999999998"/>
        <n v="9304.01"/>
        <n v="11693.17"/>
        <n v="166100.92000000001"/>
        <n v="17292.43"/>
        <n v="116777.99"/>
        <n v="14851.93"/>
        <n v="39845.480000000003"/>
        <n v="6226.97"/>
        <n v="119114.66"/>
        <n v="271053.03000000003"/>
        <n v="389674.23999999999"/>
        <n v="10780.33"/>
        <n v="143361.88"/>
        <n v="8430.6"/>
        <n v="121794.79"/>
        <n v="10064.43"/>
        <n v="39577.86"/>
        <n v="1376.44"/>
        <n v="120547.45"/>
        <n v="216851.22"/>
        <n v="338765.76"/>
        <n v="713.27"/>
        <n v="10769.94"/>
        <n v="133525.03"/>
        <n v="10618.31"/>
        <n v="180137.22"/>
        <n v="3770.35"/>
        <n v="3534.18"/>
        <n v="129715.67"/>
        <n v="94554.71"/>
        <n v="421641.27"/>
        <n v="41339.75"/>
        <n v="4577.6400000000003"/>
        <n v="140836.72"/>
        <n v="6086.23"/>
        <n v="185567.01"/>
        <n v="7013.94"/>
        <n v="4524.6099999999997"/>
        <n v="102626.16"/>
        <n v="74152.97"/>
        <n v="426388.65"/>
        <n v="37928.120000000003"/>
        <n v="97920.75"/>
        <n v="200817.6"/>
        <n v="430569.19"/>
        <n v="5144.5200000000004"/>
        <n v="136430.82"/>
        <n v="7071.82"/>
        <n v="92195.6"/>
        <n v="8347.9500000000007"/>
        <n v="36840.68"/>
        <n v="8439.61"/>
        <n v="1663752"/>
        <n v="673977.12"/>
        <n v="1109749.6100000001"/>
        <n v="1444354.88"/>
        <n v="1201893"/>
        <n v="1582818.84"/>
        <n v="1103266.3"/>
        <n v="1471162.23"/>
        <n v="1091174.6299999999"/>
        <n v="1409205.35"/>
        <n v="1482594.14"/>
        <n v="1258229.8999999999"/>
        <n v="1618985.05"/>
        <n v="1329199.71"/>
        <n v="13820.69"/>
        <n v="30782.57"/>
        <n v="28632.639999999999"/>
        <n v="27752.3"/>
        <n v="23266.84"/>
        <n v="46163.51"/>
        <n v="286581.36"/>
        <n v="4569.9399999999996"/>
        <n v="39787.410000000003"/>
        <n v="3729.56"/>
        <n v="13212.9"/>
        <n v="8838.4"/>
        <n v="8.64"/>
        <n v="4472.45"/>
        <n v="47455.89"/>
        <n v="39855.97"/>
        <n v="640761.97"/>
        <n v="18145.72"/>
        <n v="11320.65"/>
        <n v="4656.66"/>
        <n v="244974.22"/>
        <n v="101547.43"/>
        <n v="37143.89"/>
        <n v="443.15"/>
        <n v="301002"/>
        <n v="8006.61"/>
        <n v="68722.350000000006"/>
        <n v="518417.95"/>
        <n v="18818.04"/>
        <n v="6629.03"/>
        <n v="249199.4"/>
        <n v="205784.13"/>
        <n v="107597.31"/>
        <n v="1196.1500000000001"/>
        <n v="7821.23"/>
        <n v="862.67"/>
        <n v="241689.15"/>
        <n v="3724.63"/>
        <n v="25792.97"/>
        <n v="19213.53"/>
        <n v="159.04"/>
        <n v="1950.9"/>
        <n v="204500.14"/>
        <n v="127313.9"/>
        <n v="585183.72"/>
        <n v="6300.12"/>
        <n v="2048.34"/>
        <n v="246979.6"/>
        <n v="186832.45"/>
        <n v="4936.96"/>
        <n v="123580.02"/>
        <n v="61100.89"/>
        <n v="12879.67"/>
        <n v="15824.41"/>
        <n v="506.19"/>
        <n v="276928.15000000002"/>
        <n v="4360.3100000000004"/>
        <n v="416333.09"/>
        <n v="3992.56"/>
        <n v="10021.06"/>
        <n v="290811.59999999998"/>
        <n v="200717.67"/>
        <n v="194207.38"/>
        <n v="21889.52"/>
        <n v="16049.87"/>
        <n v="1578.49"/>
        <n v="309396.53999999998"/>
        <n v="315659.94"/>
        <n v="3569.61"/>
        <n v="359070.38"/>
        <n v="12233.52"/>
        <n v="6469.79"/>
        <n v="7134.74"/>
        <n v="227414.94"/>
        <n v="135861.69"/>
        <n v="11778.38"/>
        <n v="5403.14"/>
        <n v="5707.68"/>
        <n v="275518.52"/>
        <n v="4161.84"/>
        <n v="24621.42"/>
        <n v="315650.84999999998"/>
        <n v="20230.55"/>
        <n v="1257.28"/>
        <n v="269113.03000000003"/>
        <n v="176443.51"/>
        <n v="734439.46"/>
        <n v="1359686"/>
        <n v="1538712.46"/>
        <n v="1472330.67"/>
        <n v="1713592.28"/>
        <n v="1418072.83"/>
        <n v="1486302.59"/>
        <n v="1353337.2"/>
        <n v="1531389.06"/>
        <n v="1270657.57"/>
        <n v="1472977.51"/>
        <n v="1283197.5900000001"/>
        <n v="507852.49"/>
        <n v="726288.46"/>
        <n v="667461.11"/>
        <n v="9151.7800000000007"/>
        <n v="12684.01"/>
        <n v="388.49"/>
        <n v="13136"/>
        <n v="130"/>
        <n v="25897.5"/>
        <n v="1621.35"/>
        <n v="33257.660000000003"/>
        <n v="24976.5"/>
        <n v="1045.18"/>
        <n v="2915.4"/>
        <n v="2755.39"/>
        <n v="28401.93"/>
        <n v="20370.64"/>
        <n v="23081.21"/>
        <n v="3963.16"/>
        <n v="16267.89"/>
        <n v="22533.32"/>
        <n v="3705.69"/>
        <n v="27433.71"/>
        <n v="4460.6099999999997"/>
        <n v="18686.810000000001"/>
        <n v="22351.51"/>
        <n v="4038.79"/>
        <n v="36349.57"/>
        <n v="24160.29"/>
        <n v="6143.57"/>
        <n v="20689.77"/>
        <n v="5188.29"/>
        <n v="29639.759999999998"/>
        <n v="18813.36"/>
        <n v="24497.65"/>
        <n v="13853.53"/>
        <n v="12321.03"/>
        <n v="30234.639999999999"/>
        <n v="82"/>
        <n v="606"/>
        <n v="1428.01"/>
        <n v="983.01"/>
        <n v="1096"/>
        <n v="2291"/>
        <n v="2192"/>
        <n v="8509.0400000000009"/>
        <n v="307.47000000000003"/>
        <n v="17960.02"/>
        <n v="925.79"/>
        <n v="309"/>
        <n v="12221.36"/>
        <n v="7544.64"/>
        <n v="0.09"/>
        <n v="12856.6"/>
        <n v="14396.54"/>
        <n v="0.91"/>
        <n v="294.89"/>
        <n v="26202.14"/>
        <n v="185797.25"/>
        <n v="48270.35"/>
        <n v="10805.24"/>
        <n v="427718.65"/>
        <n v="22762.48"/>
        <n v="110680.69"/>
        <n v="20801.86"/>
        <n v="422386.95"/>
        <n v="120790.39999999999"/>
        <n v="19999.259999999998"/>
        <n v="455875.7"/>
        <n v="125866.47"/>
        <n v="26659.46"/>
        <n v="156734.53"/>
        <n v="577249.9"/>
        <n v="611497.69999999995"/>
        <n v="40448.160000000003"/>
        <n v="151971.21"/>
        <n v="43668.82"/>
        <n v="649559.6"/>
        <n v="165455.15"/>
        <n v="11018.72"/>
        <n v="20837.95"/>
        <n v="23652.61"/>
        <n v="23841.46"/>
        <n v="24729.85"/>
        <n v="27566.76"/>
        <n v="27271.24"/>
        <n v="16111.06"/>
        <n v="2163.88"/>
        <n v="3424.06"/>
        <n v="19581.29"/>
        <n v="10308.709999999999"/>
        <n v="2361.11"/>
        <n v="1107.53"/>
        <n v="23190.59"/>
        <n v="47160.66"/>
        <n v="25372.35"/>
        <n v="8492.92"/>
        <n v="9983.56"/>
        <n v="66477.67"/>
        <n v="16695.740000000002"/>
        <n v="6644.32"/>
        <n v="5050.92"/>
        <n v="3352.58"/>
        <n v="53348.68"/>
        <n v="47395.35"/>
        <n v="19488.09"/>
        <n v="2167.4299999999998"/>
        <n v="2661.6"/>
        <n v="12370.19"/>
        <n v="57464.79"/>
        <n v="21296.44"/>
        <n v="11750.4"/>
        <n v="8292.7000000000007"/>
        <n v="5957.32"/>
        <n v="50010.77"/>
        <n v="22085.51"/>
        <n v="10376.84"/>
        <n v="5471.94"/>
        <n v="2762.63"/>
        <n v="54162.42"/>
        <n v="54823.11"/>
        <n v="22596.69"/>
        <n v="10529.6"/>
        <n v="8770.6200000000008"/>
        <n v="20103.439999999999"/>
        <n v="55305.06"/>
        <n v="21222.34"/>
        <n v="22305.22"/>
        <n v="28071.31"/>
        <n v="2341.29"/>
        <n v="51514.879999999997"/>
        <n v="50543.360000000001"/>
        <n v="12955.66"/>
        <n v="5444"/>
        <n v="11011.25"/>
        <n v="28107.98"/>
        <n v="60316.4"/>
        <n v="19453.330000000002"/>
        <n v="39054.18"/>
        <n v="12802.42"/>
        <n v="3044.63"/>
        <n v="63874.45"/>
        <n v="58581.05"/>
        <n v="25365.61"/>
        <n v="11948.72"/>
        <n v="5833.14"/>
        <n v="30153"/>
        <n v="52905.96"/>
        <n v="19807.349999999999"/>
        <n v="7230.21"/>
        <n v="41958.49"/>
        <n v="11610.43"/>
        <n v="84398.19"/>
        <n v="25515.41"/>
        <n v="73325.350000000006"/>
        <n v="40863.06"/>
        <n v="4475.1400000000003"/>
        <n v="2384.67"/>
        <n v="28167.040000000001"/>
        <n v="25429.65"/>
        <n v="211619.68"/>
        <n v="440955.34"/>
        <n v="441422.13"/>
        <n v="483448.52"/>
        <n v="521742.78"/>
        <n v="560250.12"/>
        <n v="374960.01"/>
        <n v="218071.2"/>
        <n v="210738.97"/>
        <n v="1379009.42"/>
        <n v="1296847.1299999999"/>
        <n v="349.92"/>
        <n v="1865.21"/>
        <n v="902.44"/>
        <n v="562.45000000000005"/>
        <n v="4405.3999999999996"/>
        <n v="13068.72"/>
        <n v="636232.85"/>
        <n v="6100.54"/>
        <n v="45761.1"/>
        <n v="4265.34"/>
        <n v="131223.5"/>
        <n v="98178.81"/>
        <n v="37758.26"/>
        <n v="16708.02"/>
        <n v="38.68"/>
        <n v="142220.38"/>
        <n v="7070.57"/>
        <n v="4644.4399999999996"/>
        <n v="5694.26"/>
        <n v="9699.6"/>
        <n v="71016.53"/>
        <n v="27942.59"/>
        <n v="5051.3500000000004"/>
        <n v="3738.67"/>
        <n v="6038.62"/>
        <n v="40040.720000000001"/>
        <n v="496546.65"/>
        <n v="2712.87"/>
        <n v="300.52999999999997"/>
        <n v="1495.61"/>
        <n v="10497.57"/>
        <n v="361.2"/>
        <n v="74784.92"/>
        <n v="4012.98"/>
        <n v="11406"/>
        <n v="81.2"/>
        <n v="6323.73"/>
        <n v="26030.82"/>
        <n v="44"/>
        <n v="58.63"/>
        <n v="133.28"/>
        <n v="29.64"/>
        <n v="36.19"/>
        <n v="35.159999999999997"/>
        <n v="29.58"/>
        <n v="32.43"/>
        <n v="111.08"/>
        <n v="156.22999999999999"/>
        <n v="75"/>
        <n v="49.59"/>
        <n v="98.62"/>
        <n v="151.33000000000001"/>
        <n v="93.48"/>
        <n v="152.01"/>
        <n v="126.25"/>
        <n v="21.1"/>
        <n v="56.07"/>
        <n v="12.06"/>
        <n v="158.62"/>
        <n v="32.78"/>
        <n v="164.71"/>
        <n v="34.619999999999997"/>
        <n v="184.98"/>
        <n v="31.31"/>
        <n v="193.04"/>
        <n v="36.69"/>
        <n v="138.66999999999999"/>
        <n v="27.92"/>
        <n v="112.81"/>
        <n v="24.67"/>
        <n v="160.81"/>
        <n v="317.04000000000002"/>
        <n v="94.34"/>
        <n v="25299.73"/>
        <n v="35577.86"/>
        <n v="10886.35"/>
        <n v="32150.29"/>
        <n v="1646.49"/>
        <n v="10716.2"/>
        <n v="12789.31"/>
        <n v="13579.83"/>
        <n v="85154.12"/>
        <n v="40530.65"/>
        <n v="1870.62"/>
        <n v="3836.54"/>
        <n v="28158.080000000002"/>
        <n v="254318.43"/>
        <n v="8269.0400000000009"/>
        <n v="3267.23"/>
        <n v="6652.27"/>
        <n v="16578.2"/>
        <n v="209.04"/>
        <n v="12068.03"/>
        <n v="10425.129999999999"/>
        <n v="9211.0499999999993"/>
        <n v="11373.2"/>
        <n v="14242.16"/>
        <n v="5409.75"/>
        <n v="443081.13"/>
        <n v="17429.439999999999"/>
        <n v="24520.38"/>
        <n v="39691.39"/>
        <n v="11604.78"/>
        <n v="24018.32"/>
        <n v="34427.67"/>
        <n v="422.65"/>
        <n v="24517.19"/>
        <n v="20100.849999999999"/>
        <n v="21.04"/>
        <n v="46465.08"/>
        <n v="73563.98"/>
        <n v="35015.26"/>
        <n v="61311.71"/>
        <n v="28819.599999999999"/>
        <n v="69983.11"/>
        <n v="18518.310000000001"/>
        <n v="81.06"/>
        <n v="62.98"/>
        <n v="0.03"/>
        <n v="34546.65"/>
        <n v="32143.1"/>
        <n v="35073.56"/>
        <n v="37769.65"/>
        <n v="49379.98"/>
        <n v="9050.94"/>
        <n v="176.02"/>
        <n v="21749.34"/>
        <n v="64281.07"/>
        <n v="1213.28"/>
        <n v="3200.43"/>
        <n v="46056.93"/>
        <n v="1559"/>
        <n v="11720.29"/>
        <n v="75778.11"/>
        <n v="99264.83"/>
        <n v="3136.86"/>
        <n v="9655.59"/>
        <n v="75745.47"/>
        <n v="107483.21"/>
        <n v="8356.2900000000009"/>
        <n v="76289.460000000006"/>
        <n v="108764.39"/>
        <n v="10075.01"/>
        <n v="73268.639999999999"/>
        <n v="110484"/>
        <n v="4039.75"/>
        <n v="10809.78"/>
        <n v="112714.46"/>
        <n v="9349.01"/>
        <n v="11815.38"/>
        <n v="72472.12"/>
        <n v="115949.61"/>
        <n v="7994.54"/>
        <n v="10636.7"/>
        <n v="72781.58"/>
        <n v="4456.63"/>
        <n v="13226.75"/>
        <n v="12962.79"/>
        <n v="16597.87"/>
        <n v="21746.06"/>
        <n v="19558.12"/>
        <n v="17909.68"/>
        <n v="2163.91"/>
        <n v="969"/>
        <n v="308.88"/>
        <n v="93.33"/>
        <n v="229628.17"/>
        <n v="1767.29"/>
        <n v="1790.14"/>
        <n v="78649.320000000007"/>
        <n v="247667.78"/>
        <n v="331923.23"/>
        <n v="23392.23"/>
        <n v="252523.21"/>
        <n v="5568.24"/>
        <n v="67898.83"/>
        <n v="12103.55"/>
        <n v="46035.3"/>
        <n v="120238.57"/>
        <n v="147376.46"/>
        <n v="15587.21"/>
        <n v="149837.09"/>
        <n v="15176.83"/>
        <n v="151012.76"/>
        <n v="13141.63"/>
        <n v="147831.71"/>
        <n v="11687.97"/>
        <n v="126843.8"/>
        <n v="9762.44"/>
        <n v="6286.13"/>
        <n v="25666"/>
        <n v="619.03"/>
        <n v="210.22"/>
        <n v="33.06"/>
        <n v="2466.16"/>
        <n v="4871.3999999999996"/>
        <n v="704.08"/>
        <n v="1894.93"/>
        <n v="2759.33"/>
        <n v="5428.67"/>
        <n v="277.14999999999998"/>
        <n v="4738.24"/>
        <n v="5140.1400000000003"/>
        <n v="13415.42"/>
        <n v="2556.14"/>
        <n v="3935.94"/>
        <n v="4248.1099999999997"/>
        <n v="4419.3900000000003"/>
        <n v="11046.88"/>
        <n v="25328.19"/>
        <n v="22467.32"/>
        <n v="2127.21"/>
        <n v="27121.77"/>
        <n v="25069.89"/>
        <n v="21356.92"/>
        <n v="25727.79"/>
        <n v="2515.34"/>
        <n v="2619.65"/>
        <n v="2872.78"/>
        <n v="2810.63"/>
        <n v="2709.45"/>
        <n v="2207.4499999999998"/>
        <n v="1034.1400000000001"/>
        <n v="3306"/>
        <n v="3597.62"/>
        <n v="8019.74"/>
        <n v="10618.7"/>
        <n v="11087.89"/>
        <n v="9861.27"/>
        <n v="6322.03"/>
        <n v="5988.97"/>
        <n v="5941.84"/>
        <n v="5974.6"/>
        <n v="5986.79"/>
        <n v="3641.28"/>
        <n v="554"/>
        <n v="15090.88"/>
        <n v="19865.080000000002"/>
        <n v="69264.039999999994"/>
        <n v="1529.54"/>
        <n v="6769.71"/>
        <n v="358.28"/>
        <n v="14615.74"/>
        <n v="18681.21"/>
        <n v="67477.34"/>
        <n v="1632.84"/>
        <n v="645.61"/>
        <n v="6870.48"/>
        <n v="127.64"/>
        <n v="1468.45"/>
        <n v="3329.57"/>
        <n v="16463.2"/>
        <n v="62448.95"/>
        <n v="392.45"/>
        <n v="176.43"/>
        <n v="18553.490000000002"/>
        <n v="70345.039999999994"/>
        <n v="13629.53"/>
        <n v="63207.28"/>
        <n v="11289"/>
        <n v="67291.899999999994"/>
        <n v="16871.78"/>
        <n v="3852.4"/>
        <n v="36990.54"/>
        <n v="6976.49"/>
        <n v="11917.73"/>
        <n v="34503.19"/>
        <n v="29935.55"/>
        <n v="34942.959999999999"/>
        <n v="19145.95"/>
        <n v="17287.990000000002"/>
        <n v="173.93"/>
        <n v="78967.5"/>
        <n v="41464.589999999997"/>
        <n v="17341.77"/>
        <n v="453.99"/>
        <n v="110498.32"/>
        <n v="2256.81"/>
        <n v="22484.39"/>
        <n v="155.56"/>
        <n v="70960.67"/>
        <n v="63340.55"/>
        <n v="31512.98"/>
        <n v="161.05000000000001"/>
        <n v="60807.37"/>
        <n v="48643.99"/>
        <n v="38249.71"/>
        <n v="35035.47"/>
        <n v="27410.58"/>
        <n v="13338.28"/>
        <n v="34261.980000000003"/>
        <n v="26852.39"/>
        <n v="101.05"/>
        <n v="36059.839999999997"/>
        <n v="3395.44"/>
        <n v="284.04000000000002"/>
        <n v="12797.45"/>
        <n v="14479.16"/>
        <n v="240"/>
        <n v="394.14"/>
        <n v="128.91"/>
        <n v="12100.11"/>
        <n v="320.97000000000003"/>
        <n v="168913.63"/>
        <n v="11276.33"/>
        <n v="72954.58"/>
        <n v="26799.919999999998"/>
        <n v="62409.3"/>
        <n v="27479.83"/>
        <n v="62308.24"/>
        <n v="27137.15"/>
        <n v="65743.3"/>
        <n v="23279.59"/>
        <n v="56229.919999999998"/>
        <n v="20774.400000000001"/>
        <n v="56253.599999999999"/>
        <n v="20824.439999999999"/>
        <n v="171.7"/>
        <n v="271"/>
        <n v="318.89999999999998"/>
        <n v="597.48"/>
        <n v="639.63"/>
        <n v="632.91"/>
        <n v="666.09"/>
        <n v="4.01"/>
        <n v="12.12"/>
        <n v="6.12"/>
        <n v="0.28999999999999998"/>
        <n v="1.99"/>
        <n v="60.39"/>
        <n v="36.06"/>
        <n v="171.51"/>
        <n v="54.98"/>
        <n v="0.97"/>
        <n v="190.78"/>
        <n v="30.01"/>
        <n v="217.44"/>
        <n v="40.950000000000003"/>
        <n v="112.98"/>
        <n v="37.96"/>
        <n v="125"/>
        <n v="36.04"/>
        <n v="159.1"/>
        <n v="33.47"/>
        <n v="49.33"/>
        <n v="34.28"/>
        <n v="155.81"/>
        <n v="51.59"/>
        <n v="60.63"/>
        <n v="29.7"/>
        <n v="141"/>
        <n v="2"/>
        <n v="181.32"/>
        <n v="67.010000000000005"/>
        <n v="462.02"/>
        <n v="56.03"/>
        <n v="484"/>
        <n v="338.05"/>
        <n v="2695.7"/>
        <n v="35"/>
        <n v="2642.78"/>
        <n v="488.12"/>
        <n v="85.88"/>
        <n v="2068.7800000000002"/>
        <n v="2711.19"/>
        <n v="492.75"/>
        <n v="70.73"/>
        <n v="2147.71"/>
        <n v="3451.01"/>
        <n v="548.84"/>
        <n v="77.8"/>
        <n v="157"/>
        <n v="5676.01"/>
        <n v="2824.37"/>
        <n v="3244.6"/>
        <n v="585.70000000000005"/>
        <n v="66.77"/>
        <n v="250"/>
        <n v="2592.1299999999997"/>
        <n v="575.54"/>
        <n v="95.85"/>
        <n v="8641"/>
        <n v="93.01"/>
        <n v="3016.05"/>
        <n v="2344.6600000000003"/>
        <n v="653.9"/>
        <n v="92.58"/>
        <n v="3352.8"/>
        <n v="2606.3200000000002"/>
        <n v="292.58"/>
        <n v="11.59"/>
        <n v="1127.1500000000001"/>
        <n v="50.37"/>
        <n v="203.36"/>
        <n v="247.37"/>
        <n v="223.19"/>
        <n v="352.01"/>
        <n v="240.17"/>
        <n v="196.73"/>
        <n v="91.3"/>
        <n v="385.16"/>
        <n v="417.53"/>
        <n v="14388.53"/>
        <n v="612.1"/>
        <n v="531.07000000000005"/>
        <n v="359.24"/>
        <n v="406.32"/>
        <n v="52.13"/>
        <n v="136.71"/>
        <n v="129.1"/>
        <n v="151.59"/>
        <n v="162.44"/>
        <n v="150.57"/>
        <n v="170.8"/>
        <n v="65.23"/>
        <n v="184.54"/>
        <n v="172.84"/>
        <n v="176.38"/>
        <n v="212.72"/>
        <n v="234.8"/>
        <n v="5495.49"/>
        <n v="211.86"/>
        <n v="129.75"/>
        <n v="7.33"/>
        <n v="133.13"/>
        <n v="311.85000000000002"/>
        <n v="38.31"/>
        <n v="95.31"/>
        <n v="91.66"/>
        <n v="76.14"/>
        <n v="67.91"/>
        <n v="68.14"/>
        <n v="77.319999999999993"/>
        <n v="36.630000000000003"/>
        <n v="163.51"/>
        <n v="174.01"/>
        <n v="264.43"/>
        <n v="265.27999999999997"/>
        <n v="152.11000000000001"/>
        <n v="126.72"/>
        <n v="195.57"/>
        <n v="396.15"/>
        <n v="549.16"/>
        <n v="195.71"/>
        <n v="394.13"/>
        <n v="553.89"/>
        <n v="212.91"/>
        <n v="424.1"/>
        <n v="541.42999999999995"/>
        <n v="193.3"/>
        <n v="41.94"/>
        <n v="38.65"/>
        <n v="231.18"/>
        <n v="157.01"/>
        <n v="40730.26"/>
        <n v="84278.57"/>
        <n v="81237.91"/>
        <n v="56370.07"/>
        <n v="64454.43"/>
        <n v="153092.25"/>
        <n v="81017.06"/>
        <n v="62805.63"/>
        <n v="145441.82999999999"/>
        <n v="192226.54"/>
        <n v="244843.51"/>
        <n v="213988.82"/>
        <n v="244395.46"/>
        <n v="198374.59"/>
        <n v="175864.42"/>
        <n v="44535.11"/>
        <n v="28450.7"/>
        <n v="27706.54"/>
        <n v="60252.93"/>
        <n v="15747.53"/>
        <n v="6827.78"/>
        <n v="85950.95"/>
        <n v="79451.77"/>
        <n v="64699.81"/>
        <n v="13158.48"/>
        <n v="78521.259999999995"/>
        <n v="34646.65"/>
        <n v="15671.49"/>
        <n v="268387"/>
        <n v="209380.09"/>
        <n v="151510"/>
        <n v="249225.46"/>
        <n v="359760.67"/>
        <n v="269839.56"/>
        <n v="353083.74"/>
        <n v="318429.57"/>
        <n v="298692.96999999997"/>
        <n v="209739.61"/>
        <n v="233351.14"/>
        <n v="315405.76"/>
        <n v="250413.95"/>
        <n v="201651.39"/>
        <n v="175932.2"/>
        <n v="309620.09999999998"/>
        <n v="300708.17"/>
        <n v="210276.63"/>
        <n v="267978.37"/>
        <n v="3067.89"/>
        <n v="18095.830000000002"/>
        <n v="94.74"/>
        <n v="230936.59"/>
        <n v="281820.25"/>
        <n v="5866.99"/>
        <n v="53459.45"/>
        <n v="165.04"/>
        <n v="237371.54"/>
        <n v="329268.39"/>
        <n v="133902.63"/>
        <n v="90927.48"/>
        <n v="134.82"/>
        <n v="154.25"/>
        <n v="49937.05"/>
        <n v="83428.95"/>
        <n v="29139.26"/>
        <n v="4806.84"/>
        <n v="8151.39"/>
        <n v="6163.28"/>
        <n v="305.31"/>
        <n v="63984.99"/>
        <n v="84940.5"/>
        <n v="175.67"/>
        <n v="33.35"/>
        <n v="111934.53"/>
        <n v="5341.4"/>
        <n v="10000.64"/>
        <n v="81755.44"/>
        <n v="8746.99"/>
        <n v="525.76"/>
        <n v="14385.42"/>
        <n v="18252.68"/>
        <n v="66805.87"/>
        <n v="1854.14"/>
        <n v="2.94"/>
        <n v="6797.22"/>
        <n v="32842.160000000003"/>
        <n v="10758.14"/>
        <n v="83314.28"/>
        <n v="167995.1"/>
        <n v="137677.42000000001"/>
        <n v="39805.42"/>
        <n v="80792.320000000007"/>
        <n v="77773.350000000006"/>
        <n v="80456.179999999993"/>
        <n v="70016.86"/>
        <n v="81141.48"/>
        <n v="77965.55"/>
        <n v="59666.09"/>
        <n v="107240.93"/>
        <n v="100611.86"/>
        <n v="102687.24"/>
        <n v="111098.94"/>
        <n v="100171.06"/>
        <n v="103993.04"/>
        <n v="19940.14"/>
        <n v="16619.330000000002"/>
        <n v="24249.41"/>
        <n v="73359.77"/>
        <n v="381.01"/>
        <n v="63904.76"/>
        <n v="42545.87"/>
        <n v="65481.72"/>
        <n v="46045.71"/>
        <n v="53630.26"/>
        <n v="49089.9"/>
        <n v="60684.38"/>
        <n v="45160.45"/>
        <n v="9181.14"/>
        <n v="54917.46"/>
        <n v="50740.19"/>
        <n v="47986.92"/>
        <n v="47380.800000000003"/>
        <n v="119377.32"/>
        <n v="34099.93"/>
        <n v="68828.320000000007"/>
        <n v="46306.3"/>
        <n v="66918.259999999995"/>
        <n v="55096.639999999999"/>
        <n v="59401.88"/>
        <n v="62614.68"/>
        <n v="28768.23"/>
        <n v="52490.44"/>
        <n v="54281.9"/>
        <n v="57026.48"/>
        <n v="45465.86"/>
        <n v="56018.12"/>
        <n v="48240.98"/>
        <n v="172127.07"/>
        <n v="93376.3"/>
        <n v="236242.8"/>
        <n v="162760.04999999999"/>
        <n v="238957.64"/>
        <n v="173933.84"/>
        <n v="175411.87"/>
        <n v="75026.929999999993"/>
        <n v="78759.289999999994"/>
        <n v="167030.82999999999"/>
        <n v="140370.70000000001"/>
        <n v="459.43"/>
        <n v="153135.94"/>
        <n v="139379.10999999999"/>
        <n v="135021.98000000001"/>
        <n v="140907.85"/>
        <n v="10623.57"/>
        <n v="19433.66"/>
        <n v="19411.25"/>
        <n v="20469.330000000002"/>
        <n v="16293.35"/>
        <n v="25017.74"/>
        <n v="21473.71"/>
        <n v="27448.79"/>
        <n v="48459.74"/>
        <n v="47974.41"/>
        <n v="53450.54"/>
        <n v="41132.19"/>
        <n v="72125.009999999995"/>
        <n v="53368.65"/>
        <n v="85274.23"/>
        <n v="38396.67"/>
        <n v="177595.95"/>
        <n v="17629.68"/>
        <n v="3442.18"/>
        <n v="5049.8500000000004"/>
        <n v="31222.17"/>
        <n v="149024.53"/>
        <n v="2399.27"/>
        <n v="4482.74"/>
        <n v="138749.42000000001"/>
        <n v="34086.17"/>
        <n v="3249.25"/>
        <n v="10916.88"/>
        <n v="6569.4"/>
        <n v="177426.41"/>
        <n v="56930.57"/>
        <n v="84915.11"/>
        <n v="3304.15"/>
        <n v="2585.11"/>
        <n v="26296.29"/>
        <n v="1719.35"/>
        <n v="12678.82"/>
        <n v="8204.51"/>
        <n v="225.5"/>
        <n v="5725.5"/>
        <n v="19809.09"/>
        <n v="20849.23"/>
        <n v="20190.86"/>
        <n v="1057.9100000000001"/>
        <n v="5438.63"/>
        <n v="5411.26"/>
        <n v="5436.69"/>
        <n v="10529.71"/>
        <n v="3172"/>
        <n v="483.24"/>
        <n v="7736.5"/>
        <n v="5550.59"/>
        <n v="2836.38"/>
        <n v="7661.04"/>
        <n v="11067.84"/>
        <n v="14929.49"/>
        <n v="3692.72"/>
        <n v="2386.89"/>
        <n v="3253.16"/>
        <n v="2589.62"/>
        <n v="2235.14"/>
        <n v="18260.62"/>
        <n v="3619.88"/>
        <n v="20919.61"/>
        <n v="767.16"/>
        <n v="28833.94"/>
        <n v="274.17"/>
        <n v="21464.35"/>
        <n v="136.55000000000001"/>
        <n v="28144.09"/>
        <n v="37007"/>
        <n v="5693.09"/>
        <n v="496.08"/>
        <n v="807.8"/>
        <n v="30495.09"/>
        <n v="3536.57"/>
        <n v="4729.91"/>
        <n v="627.14"/>
        <n v="147.37"/>
        <n v="86528.66"/>
        <n v="15116.56"/>
        <n v="46047.73"/>
        <n v="523.54999999999995"/>
        <n v="3115.1"/>
        <n v="6217.41"/>
        <n v="344856.38"/>
        <n v="215993.83"/>
        <n v="10925.35"/>
        <n v="72430.570000000007"/>
        <n v="3062.4"/>
        <n v="16531.810000000001"/>
        <n v="12455.35"/>
        <n v="2898.45"/>
        <n v="4456.7299999999996"/>
        <n v="303.45999999999998"/>
        <n v="3733.27"/>
        <n v="55369.11"/>
        <n v="13118.56"/>
        <n v="76600.56"/>
        <n v="16625.34"/>
        <n v="1194.27"/>
        <n v="182614.43"/>
        <n v="10892.88"/>
        <n v="13789.49"/>
        <n v="3477.02"/>
        <n v="474.49"/>
        <n v="72354.12"/>
        <n v="8149.22"/>
        <n v="16673.169999999998"/>
        <n v="8599.17"/>
        <n v="13834.17"/>
        <n v="2580.46"/>
        <n v="16755.650000000001"/>
        <n v="977.79"/>
        <n v="16443"/>
        <n v="65108.38"/>
        <n v="8381.65"/>
        <n v="6509.14"/>
        <n v="15875.17"/>
        <n v="69579.679999999993"/>
        <n v="3117.53"/>
        <n v="16754.82"/>
        <n v="15299.1"/>
        <n v="8352.5400000000009"/>
        <n v="499.14"/>
        <n v="2566.7600000000002"/>
        <n v="14730.54"/>
        <n v="75484.98"/>
        <n v="15644.95"/>
        <n v="17824.86"/>
        <n v="2803.49"/>
        <n v="13593.9"/>
        <n v="218.18"/>
        <n v="10909.37"/>
        <n v="176987.23"/>
        <n v="35.75"/>
        <n v="393599"/>
        <n v="350696.5"/>
        <n v="209.9"/>
        <n v="396174.05"/>
        <n v="196184.72"/>
        <n v="27.71"/>
        <n v="192165.4"/>
        <n v="190385.94"/>
        <n v="199257.1"/>
        <n v="187328.23"/>
        <n v="199762.5"/>
        <n v="183184.93"/>
        <n v="150267"/>
        <n v="129162.33"/>
        <n v="65904"/>
        <n v="118440.35"/>
        <n v="51420"/>
        <n v="7829.26"/>
        <n v="19443.61"/>
        <n v="20352.98"/>
        <n v="22220.61"/>
        <n v="21769.21"/>
        <n v="22978.68"/>
        <n v="20158.45"/>
        <n v="12979.53"/>
        <n v="41870.959999999999"/>
        <n v="36637.75"/>
        <n v="36968.199999999997"/>
        <n v="40114.75"/>
        <n v="38960.339999999997"/>
        <n v="36758.17"/>
        <n v="25701.05"/>
        <n v="22783.279999999999"/>
        <n v="20490.990000000002"/>
        <n v="21909.87"/>
        <n v="20821.099999999999"/>
        <n v="19678.98"/>
        <n v="6225.38"/>
        <n v="26036.720000000001"/>
        <n v="17399.89"/>
        <n v="17670.7"/>
        <n v="16425.52"/>
        <n v="18915.11"/>
        <n v="20908.25"/>
        <n v="14700.75"/>
        <n v="20457.46"/>
        <n v="19443.72"/>
        <n v="22449.96"/>
        <n v="21537.14"/>
        <n v="20886.330000000002"/>
        <n v="25047.74"/>
        <n v="12895.43"/>
        <n v="191.51"/>
        <n v="30642.25"/>
        <n v="233.9"/>
        <n v="1130.07"/>
        <n v="33156.160000000003"/>
        <n v="407.49"/>
        <n v="30739.7"/>
        <n v="44.52"/>
        <n v="19106.310000000001"/>
        <n v="14461.45"/>
        <n v="14450.74"/>
        <n v="4811.7"/>
        <n v="15117.19"/>
        <n v="15700.17"/>
        <n v="17426.73"/>
        <n v="15334.16"/>
        <n v="13571.67"/>
        <n v="12756.34"/>
        <n v="1177.96"/>
        <n v="3265.91"/>
        <n v="3061.15"/>
        <n v="2818.18"/>
        <n v="2987.34"/>
        <n v="3128.17"/>
        <n v="3588.84"/>
        <n v="2105.69"/>
        <n v="5324.99"/>
        <n v="5225.03"/>
        <n v="6101.06"/>
        <n v="6083.71"/>
        <n v="5864.61"/>
        <n v="5936.11"/>
        <n v="11282.66"/>
        <n v="45887.09"/>
        <n v="42056.86"/>
        <n v="41902.07"/>
        <n v="42230.76"/>
        <n v="26340.48"/>
        <n v="46788.79"/>
        <n v="75322.509999999995"/>
        <n v="84136.24"/>
        <n v="91149.07"/>
        <n v="101960.32000000001"/>
        <n v="95124.39"/>
        <n v="91848.75"/>
      </sharedItems>
    </cacheField>
    <cacheField name="CO2KG" numFmtId="0">
      <sharedItems containsString="0" containsBlank="1" containsNumber="1" minValue="-746.02" maxValue="405220838.35000002"/>
    </cacheField>
    <cacheField name="Bimaaler" numFmtId="0">
      <sharedItems containsString="0" containsBlank="1" containsNumber="1" containsInteger="1" minValue="0" maxValue="1"/>
    </cacheField>
    <cacheField name="Maalernr" numFmtId="0">
      <sharedItems containsBlank="1"/>
    </cacheField>
    <cacheField name="Aftagenr" numFmtId="0">
      <sharedItems containsBlank="1"/>
    </cacheField>
    <cacheField name="Aflaest" numFmtId="0">
      <sharedItems containsString="0" containsBlank="1" containsNumber="1" minValue="-469391.20069999999" maxValue="1966990"/>
    </cacheField>
    <cacheField name="AfkoelingsMaalernr" numFmtId="0">
      <sharedItems containsString="0" containsBlank="1" containsNumber="1" containsInteger="1" minValue="0" maxValue="77834"/>
    </cacheField>
    <cacheField name="MaalerLinienr" numFmtId="0">
      <sharedItems containsString="0" containsBlank="1" containsNumber="1" containsInteger="1" minValue="56614" maxValue="972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kadmin" refreshedDate="42481.454627314815" createdVersion="4" refreshedVersion="4" minRefreshableVersion="3" recordCount="4995">
  <cacheSource type="worksheet">
    <worksheetSource ref="A3:Y4998" sheet="DATA-kopi"/>
  </cacheSource>
  <cacheFields count="25">
    <cacheField name="Niveau3" numFmtId="49">
      <sharedItems count="18">
        <s v="Administration"/>
        <s v="Afvikling"/>
        <s v="Andre kommunale ejendomme"/>
        <s v="Daginstitutioner"/>
        <s v="Pleje og omsorg"/>
        <s v="Flygtningebolig"/>
        <s v="Skoler"/>
        <s v="Spejderhytter"/>
        <s v="Fritidsklubber"/>
        <s v="Idrætsklubber"/>
        <s v="Museum"/>
        <s v="Forsamlingshuse"/>
        <s v="Idræt og Fritid"/>
        <s v="Kulturhuse"/>
        <s v="Plejecenter"/>
        <s v="Svømmehaller"/>
        <s v="Tekniske installationer"/>
        <s v="Udlejede ejendomme"/>
      </sharedItems>
    </cacheField>
    <cacheField name="BBRnummer" numFmtId="49">
      <sharedItems containsBlank="1"/>
    </cacheField>
    <cacheField name="Egenref" numFmtId="49">
      <sharedItems/>
    </cacheField>
    <cacheField name="KF_Bygningsnr" numFmtId="0">
      <sharedItems containsSemiMixedTypes="0" containsString="0" containsNumber="1" containsInteger="1" minValue="5244" maxValue="14590"/>
    </cacheField>
    <cacheField name="Bygningsnr" numFmtId="49">
      <sharedItems containsBlank="1"/>
    </cacheField>
    <cacheField name="Bygningsnavn" numFmtId="49">
      <sharedItems/>
    </cacheField>
    <cacheField name="Bygninger - NY" numFmtId="49">
      <sharedItems containsBlank="1" count="148">
        <s v="Farum Rådhus, RT2"/>
        <s v="Værløse Rådhus"/>
        <s v="Bjørnsholm"/>
        <s v="Hjortefarmen"/>
        <s v="Kollekollevej 35 TOM"/>
        <s v="Kollekollevej 37"/>
        <s v="Spejderhus, Kollekollevej 39"/>
        <s v="Spejderhus, Egedal"/>
        <s v="Røde Rust OPSAGT pr 1/3-2012"/>
        <s v="Tumlebo - OPSAGT 31/7/2011"/>
        <s v="Bybækskolen"/>
        <s v="Driftsgården"/>
        <s v="Skolelandbruget"/>
        <s v="Bygning 77, Sandet 17"/>
        <s v="Birkedal Børnehus"/>
        <s v="Familiehuset Villa Solhøj KV54"/>
        <s v="Bakkehuset"/>
        <s v="Bavnebo"/>
        <s v="Bifrost"/>
        <s v="Birkhøj (Valmuen)"/>
        <s v="Brudedalen Legestue, Brudedalen 54-58"/>
        <s v="Bøgely Ravnehusvej 20"/>
        <s v="Børnehusene Ryttergårdsvej 100 - 102"/>
        <s v="Børnehuset Åkanden / Skovbo Skovbovænget 75"/>
        <s v="Dalgården, Dalsø 107-109"/>
        <s v="Drivhuset Hvilebæksgårdsvej 17"/>
        <s v="Espebo Børnecenter"/>
        <s v="Farum Vejgård"/>
        <s v="Farum Vejgård, Stavnsholtvej 170"/>
        <s v="Farumsødal"/>
        <s v="Smedegade 19"/>
        <s v="Græshoppen"/>
        <s v="Kollekollevej 27 TOM"/>
        <s v="Hareskov Børnehus, Skovmose 55"/>
        <s v="Kildehuset"/>
        <s v="Kirke Værløse Børnehus"/>
        <s v="Kollekolle Børnehave"/>
        <s v="Krudthuset Børnehus"/>
        <s v="Mælkebøtten"/>
        <s v="Nordvænget"/>
        <s v="Syvstjerneskolen"/>
        <s v="Nordvænget Ryttergårdsvej 48"/>
        <s v="Nørreskoven"/>
        <s v="Paletten, tidl. Vallhalla Ryttergårdsvej 106"/>
        <s v="Røde Sol"/>
        <s v="Skovstjernen Børnehus, Skovlinien 23"/>
        <s v="Solbjerg Børnehus"/>
        <s v="Solsikken"/>
        <s v="Stavnsholt Børnehus, STA45"/>
        <s v="Søndersø Børnehus"/>
        <s v="Spejderhus, Sandet 2"/>
        <s v="Palægården Poppel Alle 19"/>
        <s v="Solvangskolen"/>
        <s v="Furesøbad"/>
        <s v="Regnbuen, Birkhøj 1"/>
        <s v="Skallepanden V M Amdrupvej 17"/>
        <s v="Musikskolen KV36"/>
        <s v="Familiehuset Ellegården Stavnsholtvej 168"/>
        <s v="Kærnehuset, Paltholmterrasserne 6A"/>
        <s v="Skovhuset Ballerupvej 60"/>
        <s v="Flygtnigebolig, Syvstjerne Vænge 10"/>
        <s v="Kirke Værløse Idrætanlæg, Lejr 21"/>
        <s v="Annexgården"/>
        <s v="Ellegården, Ladebygning, Stavnsholtvej 168"/>
        <s v="Forsamlingshus, Smedegade 5"/>
        <s v="Hovedvagten Kasernebygning"/>
        <s v="Jonstruphus -Jonstrupvangvej 159"/>
        <s v="Rørmosen Haveforening, RØR 4"/>
        <s v="Solvognen"/>
        <s v="Gasværket, Birke 14A"/>
        <s v="Pilehuset, STA39"/>
        <s v="Solbjerggård Fritidsklub"/>
        <s v="Tivolihuset, Hvilebækgårdsvej 19"/>
        <s v="Ungehuset, Klub Furesø"/>
        <s v="Farums Arkiver &amp; Museer Stavnholtvej 170"/>
        <s v="Farum Arena, STA41"/>
        <s v="Hareskov Hallen, Måne 8"/>
        <s v="Søndersøhallen, KV50"/>
        <s v="Værløsehallerne"/>
        <s v="Australsk Fodbold, Hvile 3A"/>
        <s v="Bådudlejningen - Fiskerhytten"/>
        <s v="Det Røde Hus, Poppel 14"/>
        <s v="Hareskov Idræt, Birke 15"/>
        <s v="Værløse Boldklub, Stiager 6"/>
        <s v="Værløse Tennis, LV77"/>
        <s v="Værløse Bold og Tennis"/>
        <s v="Lillestjernen, LV 91-93"/>
        <s v="Billen, Stavns 5"/>
        <s v="Hareskov Bibliotek"/>
        <s v="Kulturhuset Satelitten, BM46"/>
        <s v="Kulturhuset, Stavns 3"/>
        <m/>
        <s v="Værløse Bibliotek og Galaxen, BM48"/>
        <s v="Sygeplejeklinik Paltholm 13"/>
        <s v="Cornelen Stavnsholtvej 186"/>
        <s v="Mosegården Skovgårds Alle 37"/>
        <s v="Hareskovhvile, BM 118"/>
        <s v="Lysthuset, Lille Værløsevej 36A"/>
        <s v="Ryetvej 15"/>
        <s v="Sundhedshuset Gammelgårdsvej 88"/>
        <s v="Lyspunktet - Nygård 221A"/>
        <s v="Tandklinikken Nygaard, Nygård 209"/>
        <s v="Lillevang plejecenter"/>
        <s v="Plejehjemmet Søndersø"/>
        <s v="Skovgården"/>
        <s v="Solbjerghaven Plejecenter"/>
        <s v="Gedevasevang Plejehjem, Hestetang 30"/>
        <s v="Ryetbo Plejehjem"/>
        <s v="1.st. klasse huset, Hareskov Skole"/>
        <s v="Egeskolen, Jon 150/286"/>
        <s v="Hareskovskole"/>
        <s v="Lille Værløse skole"/>
        <s v="Lyngholmskolen"/>
        <s v="Solhøjskolen KV52"/>
        <s v="Stavnsholtskolen"/>
        <s v="Furesøskolen"/>
        <s v="Søndersøskolen"/>
        <s v="Sprogskolen, Hvedemarken 3-5"/>
        <s v="Ungdomsskolen, Farum"/>
        <s v="Ryetvej 17"/>
        <s v="Spejderhus Søvej 18"/>
        <s v="Spejderhytte Røde Orm"/>
        <s v="Farum Svømmehal"/>
        <s v="Værløse Svømmehal, KV60"/>
        <s v="Pumpestation Søndersø Bal 70R"/>
        <s v="Ballerupvej 29 - Udlejet"/>
        <s v="Ballerupvej 29A UDLEJET"/>
        <s v="Ballerupvej 31 UDLEJET"/>
        <s v="Farum Genbrug, Gammel 77-79"/>
        <s v="Langkærgård"/>
        <s v="TD-Bygning"/>
        <s v="Værløse Bio Bymidten 44"/>
        <s v="Farum Park"/>
        <s v="Overgangsboligerne Lillevangspark 8"/>
        <s v="Golfklub Kiosk"/>
        <s v="Fuglsang, Farum Hovedgade 84"/>
        <s v="Furesøgård - UDLEJET"/>
        <s v="Idræt Fritid"/>
        <s v="Idræt Klub"/>
        <s v="Lerstedet 1"/>
        <s v="Lille Bjørn, Kålund 24"/>
        <s v="Skomagerbakken P. E. Rasmunnens Vej 3"/>
        <s v="Solhøjgård - UDLEJET"/>
        <s v="Stenvadhallen"/>
        <s v="Poppelgården ungdomsboliger UDLEJET"/>
        <s v="Skovgården, Skov 1" u="1"/>
        <s v="Skovgården 2A" u="1"/>
        <s v="Skovgården 2" u="1"/>
      </sharedItems>
    </cacheField>
    <cacheField name="Indgår / indgår ikke" numFmtId="49">
      <sharedItems count="2">
        <s v="Indgår"/>
        <s v="Indgår ikke"/>
      </sharedItems>
    </cacheField>
    <cacheField name="Aar" numFmtId="0">
      <sharedItems containsSemiMixedTypes="0" containsString="0" containsNumber="1" containsInteger="1" minValue="2008" maxValue="2015" count="8">
        <n v="2015"/>
        <n v="2013"/>
        <n v="2012"/>
        <n v="2011"/>
        <n v="2010"/>
        <n v="2009"/>
        <n v="2008"/>
        <n v="2014"/>
      </sharedItems>
    </cacheField>
    <cacheField name="Forbrugt" numFmtId="165">
      <sharedItems containsString="0" containsBlank="1" containsNumber="1" minValue="-116295.28" maxValue="4149558.18"/>
    </cacheField>
    <cacheField name="Antal_poster" numFmtId="0">
      <sharedItems containsString="0" containsBlank="1" containsNumber="1" containsInteger="1" minValue="0" maxValue="24"/>
    </cacheField>
    <cacheField name="Sidst_Aflaest" numFmtId="49">
      <sharedItems containsBlank="1"/>
    </cacheField>
    <cacheField name="Afkoeling" numFmtId="0">
      <sharedItems containsString="0" containsBlank="1" containsNumber="1" containsInteger="1" minValue="0" maxValue="0"/>
    </cacheField>
    <cacheField name="Areal" numFmtId="0">
      <sharedItems containsString="0" containsBlank="1" containsNumber="1" containsInteger="1" minValue="0" maxValue="12237"/>
    </cacheField>
    <cacheField name="Noegletal" numFmtId="0">
      <sharedItems containsString="0" containsBlank="1" containsNumber="1" minValue="-178.339641" maxValue="20432012.899999999"/>
    </cacheField>
    <cacheField name="ForbrugsArt" numFmtId="0">
      <sharedItems containsSemiMixedTypes="0" containsString="0" containsNumber="1" containsInteger="1" minValue="1" maxValue="3"/>
    </cacheField>
    <cacheField name="Forsyning" numFmtId="49">
      <sharedItems count="11">
        <s v="Vand m3"/>
        <s v="Fjv. kWh"/>
        <s v="El kWh"/>
        <s v="Fjv. m3"/>
        <s v="N-gas m3"/>
        <s v="Fjv. MWh"/>
        <s v="N-gas2 m3"/>
        <s v="Fjv. GJ"/>
        <s v="Vand Liter"/>
        <s v="Solcelle (Forbrug)"/>
        <s v="Varmegenvinding kWh"/>
      </sharedItems>
    </cacheField>
    <cacheField name="KlimaKorrigeretKwh" numFmtId="165">
      <sharedItems containsString="0" containsBlank="1" containsNumber="1" minValue="-116295.28" maxValue="6158311.7999999998"/>
    </cacheField>
    <cacheField name="CO2KG" numFmtId="0">
      <sharedItems containsString="0" containsBlank="1" containsNumber="1" minValue="-746.02" maxValue="405220838.35000002"/>
    </cacheField>
    <cacheField name="Bimaaler" numFmtId="0">
      <sharedItems containsString="0" containsBlank="1" containsNumber="1" containsInteger="1" minValue="0" maxValue="1"/>
    </cacheField>
    <cacheField name="Maalernr" numFmtId="49">
      <sharedItems containsBlank="1"/>
    </cacheField>
    <cacheField name="Aftagenr" numFmtId="49">
      <sharedItems containsBlank="1"/>
    </cacheField>
    <cacheField name="Aflaest" numFmtId="0">
      <sharedItems containsString="0" containsBlank="1" containsNumber="1" minValue="-469391.20069999999" maxValue="1966990"/>
    </cacheField>
    <cacheField name="AfkoelingsMaalernr" numFmtId="0">
      <sharedItems containsString="0" containsBlank="1" containsNumber="1" containsInteger="1" minValue="0" maxValue="77834"/>
    </cacheField>
    <cacheField name="MaalerLinienr" numFmtId="0">
      <sharedItems containsString="0" containsBlank="1" containsNumber="1" containsInteger="1" minValue="56614" maxValue="972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6">
  <r>
    <x v="0"/>
    <s v="05048-2 / 00140-6"/>
    <s v="Farum Rådhus, RT2"/>
    <n v="5484"/>
    <m/>
    <s v="Farum Rådhus"/>
    <x v="0"/>
    <x v="0"/>
    <x v="0"/>
    <n v="883"/>
    <n v="5"/>
    <m/>
    <n v="0"/>
    <n v="5672"/>
    <n v="7.3216000000000003E-2"/>
    <n v="3"/>
    <x v="0"/>
    <x v="0"/>
    <n v="332.23"/>
    <n v="0"/>
    <s v="500085 Gl. Rå aut"/>
    <m/>
    <n v="415.29300000000001"/>
    <n v="0"/>
    <n v="57963"/>
  </r>
  <r>
    <x v="0"/>
    <s v="05048-2 / 00140-6"/>
    <s v="Farum Rådhus, RT2"/>
    <n v="5484"/>
    <m/>
    <s v="Farum Rådhus"/>
    <x v="0"/>
    <x v="0"/>
    <x v="0"/>
    <n v="0"/>
    <n v="5"/>
    <s v="2005-06-01"/>
    <n v="0"/>
    <n v="5672"/>
    <n v="0"/>
    <n v="3"/>
    <x v="0"/>
    <x v="1"/>
    <n v="0"/>
    <n v="0"/>
    <s v="990600 Ny Rå"/>
    <m/>
    <n v="0"/>
    <n v="0"/>
    <n v="57970"/>
  </r>
  <r>
    <x v="0"/>
    <s v="05048-2 / 00140-6"/>
    <s v="Farum Rådhus, RT2"/>
    <n v="5484"/>
    <m/>
    <s v="Farum Rådhus"/>
    <x v="0"/>
    <x v="0"/>
    <x v="1"/>
    <n v="620.69000000000005"/>
    <n v="12"/>
    <m/>
    <n v="0"/>
    <n v="5672"/>
    <n v="0.109428"/>
    <n v="3"/>
    <x v="0"/>
    <x v="2"/>
    <n v="496.55"/>
    <n v="0"/>
    <s v="500085 Gl. Rå aut"/>
    <m/>
    <n v="620.67899999999997"/>
    <n v="0"/>
    <n v="57963"/>
  </r>
  <r>
    <x v="0"/>
    <s v="05048-2 / 00140-6"/>
    <s v="Farum Rådhus, RT2"/>
    <n v="5484"/>
    <m/>
    <s v="Farum Rådhus"/>
    <x v="0"/>
    <x v="0"/>
    <x v="1"/>
    <n v="609.82000000000005"/>
    <n v="12"/>
    <s v="2005-06-01"/>
    <n v="0"/>
    <n v="5672"/>
    <n v="0.107512"/>
    <n v="3"/>
    <x v="0"/>
    <x v="3"/>
    <n v="487.85"/>
    <n v="0"/>
    <s v="990600 Ny Rå"/>
    <m/>
    <n v="609.82000000000005"/>
    <n v="0"/>
    <n v="57970"/>
  </r>
  <r>
    <x v="0"/>
    <s v="05048-2 / 00140-6"/>
    <s v="Farum Rådhus, RT2"/>
    <n v="5484"/>
    <m/>
    <s v="Farum Rådhus"/>
    <x v="0"/>
    <x v="0"/>
    <x v="2"/>
    <n v="964.57"/>
    <n v="12"/>
    <m/>
    <n v="0"/>
    <n v="5672"/>
    <n v="0.17005500000000001"/>
    <n v="3"/>
    <x v="0"/>
    <x v="4"/>
    <n v="771.65"/>
    <n v="0"/>
    <s v="500085 Gl. Rå aut"/>
    <m/>
    <n v="964.56700000000001"/>
    <n v="0"/>
    <n v="57963"/>
  </r>
  <r>
    <x v="0"/>
    <s v="05048-2 / 00140-6"/>
    <s v="Farum Rådhus, RT2"/>
    <n v="5484"/>
    <m/>
    <s v="Farum Rådhus"/>
    <x v="0"/>
    <x v="0"/>
    <x v="2"/>
    <n v="638.91999999999996"/>
    <n v="12"/>
    <s v="2005-06-01"/>
    <n v="0"/>
    <n v="5672"/>
    <n v="0.11264200000000001"/>
    <n v="3"/>
    <x v="0"/>
    <x v="5"/>
    <n v="511.14"/>
    <n v="0"/>
    <s v="990600 Ny Rå"/>
    <m/>
    <n v="638.91999999999996"/>
    <n v="0"/>
    <n v="57970"/>
  </r>
  <r>
    <x v="0"/>
    <s v="05048-2 / 00140-6"/>
    <s v="Farum Rådhus, RT2"/>
    <n v="5484"/>
    <m/>
    <s v="Farum Rådhus"/>
    <x v="0"/>
    <x v="0"/>
    <x v="3"/>
    <n v="979.87"/>
    <n v="12"/>
    <m/>
    <n v="0"/>
    <n v="5672"/>
    <n v="0.17275199999999999"/>
    <n v="3"/>
    <x v="0"/>
    <x v="6"/>
    <n v="783.86"/>
    <n v="0"/>
    <s v="500085 Gl. Rå aut"/>
    <m/>
    <n v="979.84609999999998"/>
    <n v="0"/>
    <n v="57963"/>
  </r>
  <r>
    <x v="0"/>
    <s v="05048-2 / 00140-6"/>
    <s v="Farum Rådhus, RT2"/>
    <n v="5484"/>
    <m/>
    <s v="Farum Rådhus"/>
    <x v="0"/>
    <x v="0"/>
    <x v="3"/>
    <n v="677.13"/>
    <n v="12"/>
    <s v="2005-06-01"/>
    <n v="0"/>
    <n v="5672"/>
    <n v="0.119379"/>
    <n v="3"/>
    <x v="0"/>
    <x v="7"/>
    <n v="541.69000000000005"/>
    <n v="0"/>
    <s v="990600 Ny Rå"/>
    <m/>
    <n v="677.12000999999998"/>
    <n v="0"/>
    <n v="57970"/>
  </r>
  <r>
    <x v="0"/>
    <s v="05048-2 / 00140-6"/>
    <s v="Farum Rådhus, RT2"/>
    <n v="5484"/>
    <m/>
    <s v="Farum Rådhus"/>
    <x v="0"/>
    <x v="0"/>
    <x v="4"/>
    <n v="977.7"/>
    <n v="12"/>
    <m/>
    <n v="0"/>
    <n v="5672"/>
    <n v="0.17237"/>
    <n v="3"/>
    <x v="0"/>
    <x v="8"/>
    <n v="782.17"/>
    <n v="0"/>
    <s v="500085 Gl. Rå aut"/>
    <m/>
    <n v="977.70609999999999"/>
    <n v="0"/>
    <n v="57963"/>
  </r>
  <r>
    <x v="0"/>
    <s v="05048-2 / 00140-6"/>
    <s v="Farum Rådhus, RT2"/>
    <n v="5484"/>
    <m/>
    <s v="Farum Rådhus"/>
    <x v="0"/>
    <x v="0"/>
    <x v="4"/>
    <n v="596.76"/>
    <n v="12"/>
    <s v="2005-06-01"/>
    <n v="0"/>
    <n v="5672"/>
    <n v="0.105209"/>
    <n v="3"/>
    <x v="0"/>
    <x v="9"/>
    <n v="477.42"/>
    <n v="0"/>
    <s v="990600 Ny Rå"/>
    <m/>
    <n v="596.76"/>
    <n v="0"/>
    <n v="57970"/>
  </r>
  <r>
    <x v="0"/>
    <s v="05048-2 / 00140-6"/>
    <s v="Farum Rådhus, RT2"/>
    <n v="5484"/>
    <m/>
    <s v="Farum Rådhus"/>
    <x v="0"/>
    <x v="0"/>
    <x v="5"/>
    <n v="965.48"/>
    <n v="12"/>
    <m/>
    <n v="0"/>
    <n v="5672"/>
    <n v="0.17021500000000001"/>
    <n v="3"/>
    <x v="0"/>
    <x v="10"/>
    <n v="772.36"/>
    <n v="0"/>
    <s v="500085 Gl. Rå aut"/>
    <m/>
    <n v="965.47500000000002"/>
    <n v="0"/>
    <n v="57963"/>
  </r>
  <r>
    <x v="0"/>
    <s v="05048-2 / 00140-6"/>
    <s v="Farum Rådhus, RT2"/>
    <n v="5484"/>
    <m/>
    <s v="Farum Rådhus"/>
    <x v="0"/>
    <x v="0"/>
    <x v="5"/>
    <n v="673.93"/>
    <n v="12"/>
    <s v="2005-06-01"/>
    <n v="0"/>
    <n v="5672"/>
    <n v="0.118814"/>
    <n v="3"/>
    <x v="0"/>
    <x v="11"/>
    <n v="539.14"/>
    <n v="0"/>
    <s v="990600 Ny Rå"/>
    <m/>
    <n v="673.93"/>
    <n v="0"/>
    <n v="57970"/>
  </r>
  <r>
    <x v="0"/>
    <s v="05048-2 / 00140-6"/>
    <s v="Farum Rådhus, RT2"/>
    <n v="5484"/>
    <m/>
    <s v="Farum Rådhus"/>
    <x v="0"/>
    <x v="0"/>
    <x v="6"/>
    <n v="1135.1400000000001"/>
    <n v="12"/>
    <m/>
    <n v="0"/>
    <n v="5672"/>
    <n v="0.200126"/>
    <n v="3"/>
    <x v="0"/>
    <x v="12"/>
    <n v="908.1"/>
    <n v="0"/>
    <s v="500085 Gl. Rå aut"/>
    <m/>
    <n v="1135.1379999999999"/>
    <n v="0"/>
    <n v="57963"/>
  </r>
  <r>
    <x v="0"/>
    <s v="05048-2 / 00140-6"/>
    <s v="Farum Rådhus, RT2"/>
    <n v="5484"/>
    <m/>
    <s v="Farum Rådhus"/>
    <x v="0"/>
    <x v="0"/>
    <x v="6"/>
    <n v="642.53"/>
    <n v="12"/>
    <s v="2005-06-01"/>
    <n v="0"/>
    <n v="5672"/>
    <n v="0.113279"/>
    <n v="3"/>
    <x v="0"/>
    <x v="13"/>
    <n v="514.02"/>
    <n v="0"/>
    <s v="990600 Ny Rå"/>
    <m/>
    <n v="642.53"/>
    <n v="0"/>
    <n v="57970"/>
  </r>
  <r>
    <x v="0"/>
    <m/>
    <s v="Værløse Rådhus"/>
    <n v="13925"/>
    <s v="0"/>
    <s v="Bygn B+C pav"/>
    <x v="1"/>
    <x v="0"/>
    <x v="0"/>
    <n v="641"/>
    <n v="5"/>
    <s v="2007-11-30"/>
    <n v="0"/>
    <n v="2349"/>
    <n v="9.6309000000000006E-2"/>
    <n v="3"/>
    <x v="0"/>
    <x v="14"/>
    <n v="180.99"/>
    <n v="0"/>
    <s v="Byg B-C 01PC502538"/>
    <m/>
    <n v="226.244"/>
    <n v="0"/>
    <n v="77030"/>
  </r>
  <r>
    <x v="0"/>
    <m/>
    <s v="Værløse Rådhus"/>
    <n v="13925"/>
    <s v="0"/>
    <s v="Bygn B+C pav"/>
    <x v="1"/>
    <x v="0"/>
    <x v="1"/>
    <n v="546.16999999999996"/>
    <n v="12"/>
    <s v="2007-11-30"/>
    <n v="0"/>
    <n v="2349"/>
    <n v="0.23250100000000001"/>
    <n v="3"/>
    <x v="0"/>
    <x v="15"/>
    <n v="436.9"/>
    <n v="0"/>
    <s v="Byg B-C 01PC502538"/>
    <m/>
    <n v="546.15200000000004"/>
    <n v="0"/>
    <n v="77030"/>
  </r>
  <r>
    <x v="0"/>
    <m/>
    <s v="Værløse Rådhus"/>
    <n v="13925"/>
    <s v="0"/>
    <s v="Bygn B+C pav"/>
    <x v="1"/>
    <x v="0"/>
    <x v="2"/>
    <n v="477.29"/>
    <n v="12"/>
    <s v="2007-11-30"/>
    <n v="0"/>
    <n v="2349"/>
    <n v="0.203179"/>
    <n v="3"/>
    <x v="0"/>
    <x v="16"/>
    <n v="381.84"/>
    <n v="0"/>
    <s v="Byg B-C 01PC502538"/>
    <m/>
    <n v="477.29500000000002"/>
    <n v="0"/>
    <n v="77030"/>
  </r>
  <r>
    <x v="0"/>
    <m/>
    <s v="Værløse Rådhus"/>
    <n v="13925"/>
    <s v="0"/>
    <s v="Bygn B+C pav"/>
    <x v="1"/>
    <x v="0"/>
    <x v="3"/>
    <n v="369.55"/>
    <n v="12"/>
    <s v="2007-11-30"/>
    <n v="0"/>
    <n v="2349"/>
    <n v="0.15731500000000001"/>
    <n v="3"/>
    <x v="0"/>
    <x v="17"/>
    <n v="295.64999999999998"/>
    <n v="0"/>
    <s v="Byg B-C 01PC502538"/>
    <m/>
    <n v="369.54264000000001"/>
    <n v="0"/>
    <n v="77030"/>
  </r>
  <r>
    <x v="0"/>
    <m/>
    <s v="Værløse Rådhus"/>
    <n v="13925"/>
    <s v="0"/>
    <s v="Bygn B+C pav"/>
    <x v="1"/>
    <x v="0"/>
    <x v="4"/>
    <n v="489.89"/>
    <n v="12"/>
    <s v="2007-11-30"/>
    <n v="0"/>
    <n v="2349"/>
    <n v="0.20854300000000001"/>
    <n v="3"/>
    <x v="0"/>
    <x v="18"/>
    <n v="391.92"/>
    <n v="0"/>
    <s v="Byg B-C 01PC502538"/>
    <m/>
    <n v="489.89836000000003"/>
    <n v="0"/>
    <n v="77030"/>
  </r>
  <r>
    <x v="0"/>
    <m/>
    <s v="Værløse Rådhus"/>
    <n v="13925"/>
    <s v="0"/>
    <s v="Bygn B+C pav"/>
    <x v="1"/>
    <x v="0"/>
    <x v="5"/>
    <n v="603.41"/>
    <n v="12"/>
    <s v="2007-11-30"/>
    <n v="0"/>
    <n v="2349"/>
    <n v="0.25686799999999999"/>
    <n v="3"/>
    <x v="0"/>
    <x v="19"/>
    <n v="482.72"/>
    <n v="0"/>
    <s v="Byg B-C 01PC502538"/>
    <m/>
    <n v="603.40599999999995"/>
    <n v="0"/>
    <n v="77030"/>
  </r>
  <r>
    <x v="0"/>
    <m/>
    <s v="Værløse Rådhus"/>
    <n v="13925"/>
    <s v="0"/>
    <s v="Bygn B+C pav"/>
    <x v="1"/>
    <x v="0"/>
    <x v="6"/>
    <n v="690.34"/>
    <n v="12"/>
    <s v="2007-11-30"/>
    <n v="0"/>
    <n v="2349"/>
    <n v="0.29387400000000002"/>
    <n v="3"/>
    <x v="0"/>
    <x v="20"/>
    <n v="552.29"/>
    <n v="0"/>
    <s v="Byg B-C 01PC502538"/>
    <m/>
    <n v="690.34500000000003"/>
    <n v="0"/>
    <n v="77030"/>
  </r>
  <r>
    <x v="0"/>
    <m/>
    <s v="Værløse Rådhus"/>
    <n v="9524"/>
    <m/>
    <s v="Værløse Rådhus Bygn A"/>
    <x v="1"/>
    <x v="0"/>
    <x v="0"/>
    <n v="590"/>
    <n v="5"/>
    <s v="2007-11-30"/>
    <n v="0"/>
    <n v="2899"/>
    <n v="7.8719999999999998E-2"/>
    <n v="3"/>
    <x v="0"/>
    <x v="21"/>
    <n v="182.59"/>
    <n v="0"/>
    <s v="Byg A 44860"/>
    <m/>
    <n v="228.22300000000001"/>
    <n v="0"/>
    <n v="77029"/>
  </r>
  <r>
    <x v="0"/>
    <m/>
    <s v="Værløse Rådhus"/>
    <n v="9524"/>
    <m/>
    <s v="Værløse Rådhus Bygn A"/>
    <x v="1"/>
    <x v="0"/>
    <x v="1"/>
    <n v="516.95000000000005"/>
    <n v="12"/>
    <s v="2007-11-30"/>
    <n v="0"/>
    <n v="2899"/>
    <n v="0.178313"/>
    <n v="3"/>
    <x v="0"/>
    <x v="22"/>
    <n v="413.56"/>
    <n v="0"/>
    <s v="Byg A 44860"/>
    <m/>
    <n v="516.94399999999996"/>
    <n v="0"/>
    <n v="77029"/>
  </r>
  <r>
    <x v="0"/>
    <m/>
    <s v="Værløse Rådhus"/>
    <n v="9524"/>
    <m/>
    <s v="Værløse Rådhus Bygn A"/>
    <x v="1"/>
    <x v="0"/>
    <x v="2"/>
    <n v="522.17999999999995"/>
    <n v="12"/>
    <s v="2007-11-30"/>
    <n v="0"/>
    <n v="2899"/>
    <n v="0.180117"/>
    <n v="3"/>
    <x v="0"/>
    <x v="23"/>
    <n v="417.75"/>
    <n v="0"/>
    <s v="Byg A 44860"/>
    <m/>
    <n v="522.17899999999997"/>
    <n v="0"/>
    <n v="77029"/>
  </r>
  <r>
    <x v="0"/>
    <m/>
    <s v="Værløse Rådhus"/>
    <n v="9524"/>
    <m/>
    <s v="Værløse Rådhus Bygn A"/>
    <x v="1"/>
    <x v="0"/>
    <x v="3"/>
    <n v="560.95000000000005"/>
    <n v="12"/>
    <s v="2007-11-30"/>
    <n v="0"/>
    <n v="2899"/>
    <n v="0.193491"/>
    <n v="3"/>
    <x v="0"/>
    <x v="24"/>
    <n v="448.74"/>
    <n v="0"/>
    <s v="Byg A 44860"/>
    <m/>
    <n v="560.94600000000003"/>
    <n v="0"/>
    <n v="77029"/>
  </r>
  <r>
    <x v="0"/>
    <m/>
    <s v="Værløse Rådhus"/>
    <n v="9524"/>
    <m/>
    <s v="Værløse Rådhus Bygn A"/>
    <x v="1"/>
    <x v="0"/>
    <x v="4"/>
    <n v="546.6"/>
    <n v="12"/>
    <s v="2007-11-30"/>
    <n v="0"/>
    <n v="2899"/>
    <n v="0.18854099999999999"/>
    <n v="3"/>
    <x v="0"/>
    <x v="25"/>
    <n v="437.29"/>
    <n v="0"/>
    <s v="Byg A 44860"/>
    <m/>
    <n v="546.59799999999996"/>
    <n v="0"/>
    <n v="77029"/>
  </r>
  <r>
    <x v="0"/>
    <m/>
    <s v="Værløse Rådhus"/>
    <n v="9524"/>
    <m/>
    <s v="Værløse Rådhus Bygn A"/>
    <x v="1"/>
    <x v="0"/>
    <x v="5"/>
    <n v="565.62"/>
    <n v="12"/>
    <s v="2007-11-30"/>
    <n v="0"/>
    <n v="2899"/>
    <n v="0.195101"/>
    <n v="3"/>
    <x v="0"/>
    <x v="26"/>
    <n v="452.49"/>
    <n v="0"/>
    <s v="Byg A 44860"/>
    <m/>
    <n v="565.62099999999998"/>
    <n v="0"/>
    <n v="77029"/>
  </r>
  <r>
    <x v="0"/>
    <m/>
    <s v="Værløse Rådhus"/>
    <n v="9524"/>
    <m/>
    <s v="Værløse Rådhus Bygn A"/>
    <x v="1"/>
    <x v="0"/>
    <x v="6"/>
    <n v="533.9"/>
    <n v="12"/>
    <s v="2007-11-30"/>
    <n v="0"/>
    <n v="2899"/>
    <n v="0.18415999999999999"/>
    <n v="3"/>
    <x v="0"/>
    <x v="27"/>
    <n v="427.11"/>
    <n v="0"/>
    <s v="Byg A 44860"/>
    <m/>
    <n v="533.89413999999999"/>
    <n v="0"/>
    <n v="77029"/>
  </r>
  <r>
    <x v="0"/>
    <s v="05048-2 / 00140-6"/>
    <s v="Farum Rådhus, RT2"/>
    <n v="5484"/>
    <m/>
    <s v="Farum Rådhus"/>
    <x v="0"/>
    <x v="0"/>
    <x v="7"/>
    <n v="891.61"/>
    <n v="12"/>
    <m/>
    <n v="0"/>
    <n v="5672"/>
    <n v="0.157192"/>
    <n v="3"/>
    <x v="0"/>
    <x v="28"/>
    <n v="713.26"/>
    <n v="0"/>
    <s v="500085 Gl. Rå aut"/>
    <m/>
    <n v="891.6"/>
    <n v="0"/>
    <n v="57963"/>
  </r>
  <r>
    <x v="0"/>
    <s v="05048-2 / 00140-6"/>
    <s v="Farum Rådhus, RT2"/>
    <n v="5484"/>
    <m/>
    <s v="Farum Rådhus"/>
    <x v="0"/>
    <x v="0"/>
    <x v="7"/>
    <n v="212.55"/>
    <n v="12"/>
    <s v="2005-06-01"/>
    <n v="0"/>
    <n v="5672"/>
    <n v="3.7471999999999998E-2"/>
    <n v="3"/>
    <x v="0"/>
    <x v="29"/>
    <n v="170.05"/>
    <n v="0"/>
    <s v="990600 Ny Rå"/>
    <m/>
    <n v="212.55"/>
    <n v="0"/>
    <n v="57970"/>
  </r>
  <r>
    <x v="0"/>
    <s v="05048-2 / 00140-6"/>
    <s v="Farum Rådhus, RT2"/>
    <n v="5484"/>
    <m/>
    <s v="Farum Rådhus"/>
    <x v="0"/>
    <x v="0"/>
    <x v="7"/>
    <n v="220979"/>
    <n v="12"/>
    <m/>
    <n v="0"/>
    <n v="5672"/>
    <n v="38.958939000000001"/>
    <n v="1"/>
    <x v="1"/>
    <x v="30"/>
    <n v="19150159.68"/>
    <n v="0"/>
    <s v="4747292 Gl-Rådh"/>
    <m/>
    <n v="220979.00013999999"/>
    <n v="0"/>
    <n v="57974"/>
  </r>
  <r>
    <x v="0"/>
    <s v="05048-2 / 00140-6"/>
    <s v="Farum Rådhus, RT2"/>
    <n v="5484"/>
    <m/>
    <s v="Farum Rådhus"/>
    <x v="0"/>
    <x v="0"/>
    <x v="7"/>
    <n v="117710.01"/>
    <n v="12"/>
    <s v="2005-06-01"/>
    <n v="0"/>
    <n v="5672"/>
    <n v="20.752455999999999"/>
    <n v="1"/>
    <x v="1"/>
    <x v="31"/>
    <n v="2391631.89"/>
    <n v="0"/>
    <s v="Ny Rådhus 4107811"/>
    <m/>
    <n v="117710.01"/>
    <n v="0"/>
    <n v="57962"/>
  </r>
  <r>
    <x v="0"/>
    <s v="05048-2 / 00140-6"/>
    <s v="Farum Rådhus, RT2"/>
    <n v="5484"/>
    <m/>
    <s v="Farum Rådhus"/>
    <x v="0"/>
    <x v="0"/>
    <x v="6"/>
    <n v="252443.37"/>
    <n v="12"/>
    <s v="2005-06-01"/>
    <n v="0"/>
    <n v="5672"/>
    <n v="44.506155999999997"/>
    <n v="2"/>
    <x v="2"/>
    <x v="32"/>
    <n v="118395.95"/>
    <n v="0"/>
    <s v="49312"/>
    <s v="5713131 74112462363"/>
    <n v="252443.37804000001"/>
    <n v="0"/>
    <n v="57961"/>
  </r>
  <r>
    <x v="0"/>
    <s v="05048-2 / 00140-6"/>
    <s v="Farum Rådhus, RT2"/>
    <n v="5484"/>
    <m/>
    <s v="Farum Rådhus"/>
    <x v="0"/>
    <x v="1"/>
    <x v="7"/>
    <n v="347160.49"/>
    <n v="12"/>
    <m/>
    <n v="0"/>
    <n v="5672"/>
    <n v="61.204931000000002"/>
    <n v="1"/>
    <x v="3"/>
    <x v="33"/>
    <n v="1390979.17"/>
    <n v="1"/>
    <s v="4747292 Gl-Rådhus"/>
    <m/>
    <n v="9950.1427800000001"/>
    <n v="0"/>
    <n v="58291"/>
  </r>
  <r>
    <x v="0"/>
    <s v="05048-2 / 00140-6"/>
    <s v="Farum Rådhus, RT2"/>
    <n v="5484"/>
    <m/>
    <s v="Farum Rådhus"/>
    <x v="0"/>
    <x v="1"/>
    <x v="7"/>
    <n v="146115.82999999999"/>
    <n v="12"/>
    <m/>
    <n v="0"/>
    <n v="5672"/>
    <n v="25.760446000000002"/>
    <n v="1"/>
    <x v="3"/>
    <x v="34"/>
    <n v="412984.7"/>
    <n v="1"/>
    <s v="Ny Rådhus 4107811"/>
    <m/>
    <n v="4187.8999999999996"/>
    <n v="0"/>
    <n v="58292"/>
  </r>
  <r>
    <x v="0"/>
    <s v="05048-2 / 00140-6"/>
    <s v="Farum Rådhus, RT2"/>
    <n v="5484"/>
    <m/>
    <s v="Farum Rådhus"/>
    <x v="0"/>
    <x v="0"/>
    <x v="0"/>
    <n v="259544"/>
    <n v="5"/>
    <m/>
    <n v="0"/>
    <n v="5672"/>
    <n v="27.169830999999999"/>
    <n v="1"/>
    <x v="1"/>
    <x v="35"/>
    <n v="32383831.899999999"/>
    <n v="0"/>
    <s v="4747292 Gl-Rådh"/>
    <m/>
    <n v="154110"/>
    <n v="0"/>
    <n v="57974"/>
  </r>
  <r>
    <x v="0"/>
    <s v="05048-2 / 00140-6"/>
    <s v="Farum Rådhus, RT2"/>
    <n v="5484"/>
    <m/>
    <s v="Farum Rådhus"/>
    <x v="0"/>
    <x v="1"/>
    <x v="0"/>
    <n v="937124.44"/>
    <n v="5"/>
    <m/>
    <n v="0"/>
    <n v="5672"/>
    <n v="165.216487"/>
    <n v="1"/>
    <x v="3"/>
    <x v="36"/>
    <n v="5610846.3899999997"/>
    <n v="1"/>
    <s v="4747292 Gl-Rådhus"/>
    <m/>
    <n v="26859.399000000001"/>
    <n v="0"/>
    <n v="58291"/>
  </r>
  <r>
    <x v="0"/>
    <s v="05048-2 / 00140-6"/>
    <s v="Farum Rådhus, RT2"/>
    <n v="5484"/>
    <m/>
    <s v="Farum Rådhus"/>
    <x v="0"/>
    <x v="0"/>
    <x v="0"/>
    <n v="0"/>
    <n v="5"/>
    <s v="2005-06-01"/>
    <n v="0"/>
    <n v="5672"/>
    <n v="0"/>
    <n v="1"/>
    <x v="1"/>
    <x v="1"/>
    <n v="0"/>
    <n v="0"/>
    <s v="Ny Rådhus 4107811"/>
    <m/>
    <n v="0"/>
    <n v="0"/>
    <n v="57962"/>
  </r>
  <r>
    <x v="0"/>
    <s v="05048-2 / 00140-6"/>
    <s v="Farum Rådhus, RT2"/>
    <n v="5484"/>
    <m/>
    <s v="Farum Rådhus"/>
    <x v="0"/>
    <x v="1"/>
    <x v="0"/>
    <n v="0"/>
    <n v="5"/>
    <m/>
    <n v="0"/>
    <n v="5672"/>
    <n v="0"/>
    <n v="1"/>
    <x v="3"/>
    <x v="1"/>
    <n v="0"/>
    <n v="1"/>
    <s v="Ny Rådhus 4107811"/>
    <m/>
    <n v="0"/>
    <n v="0"/>
    <n v="58292"/>
  </r>
  <r>
    <x v="0"/>
    <s v="05048-2 / 00140-6"/>
    <s v="Farum Rådhus, RT2"/>
    <n v="5484"/>
    <m/>
    <s v="Farum Rådhus"/>
    <x v="0"/>
    <x v="0"/>
    <x v="1"/>
    <n v="220880"/>
    <n v="12"/>
    <s v="2005-06-01"/>
    <n v="0"/>
    <n v="5672"/>
    <n v="38.941485"/>
    <n v="1"/>
    <x v="1"/>
    <x v="37"/>
    <n v="42737.22"/>
    <n v="0"/>
    <s v="Ny Rådhus 4107811"/>
    <m/>
    <n v="220880"/>
    <n v="0"/>
    <n v="57962"/>
  </r>
  <r>
    <x v="0"/>
    <s v="05048-2 / 00140-6"/>
    <s v="Farum Rådhus, RT2"/>
    <n v="5484"/>
    <m/>
    <s v="Farum Rådhus"/>
    <x v="0"/>
    <x v="0"/>
    <x v="1"/>
    <n v="242885"/>
    <n v="12"/>
    <m/>
    <n v="0"/>
    <n v="5672"/>
    <n v="42.821001000000003"/>
    <n v="1"/>
    <x v="1"/>
    <x v="38"/>
    <n v="47473.93"/>
    <n v="0"/>
    <s v="4747292 Gl-Rådh"/>
    <m/>
    <n v="242885"/>
    <n v="0"/>
    <n v="57974"/>
  </r>
  <r>
    <x v="0"/>
    <s v="05048-2 / 00140-6"/>
    <s v="Farum Rådhus, RT2"/>
    <n v="5484"/>
    <m/>
    <s v="Farum Rådhus"/>
    <x v="0"/>
    <x v="1"/>
    <x v="1"/>
    <n v="259402.44"/>
    <n v="12"/>
    <m/>
    <n v="0"/>
    <n v="5672"/>
    <n v="45.733051000000003"/>
    <n v="1"/>
    <x v="3"/>
    <x v="39"/>
    <n v="1503.44"/>
    <n v="1"/>
    <s v="4747292 Gl-Rådhus"/>
    <m/>
    <n v="7434.8649999999998"/>
    <n v="0"/>
    <n v="58291"/>
  </r>
  <r>
    <x v="0"/>
    <s v="05048-2 / 00140-6"/>
    <s v="Farum Rådhus, RT2"/>
    <n v="5484"/>
    <m/>
    <s v="Farum Rådhus"/>
    <x v="0"/>
    <x v="1"/>
    <x v="1"/>
    <n v="174533.75"/>
    <n v="12"/>
    <m/>
    <n v="0"/>
    <n v="5672"/>
    <n v="30.770568999999998"/>
    <n v="1"/>
    <x v="3"/>
    <x v="40"/>
    <n v="998.12"/>
    <n v="1"/>
    <s v="Ny Rådhus 4107811"/>
    <m/>
    <n v="5002.3999999999996"/>
    <n v="0"/>
    <n v="58292"/>
  </r>
  <r>
    <x v="0"/>
    <s v="05048-2 / 00140-6"/>
    <s v="Farum Rådhus, RT2"/>
    <n v="5484"/>
    <m/>
    <s v="Farum Rådhus"/>
    <x v="0"/>
    <x v="0"/>
    <x v="2"/>
    <n v="219560"/>
    <n v="12"/>
    <s v="2005-06-01"/>
    <n v="0"/>
    <n v="5672"/>
    <n v="38.708767000000002"/>
    <n v="1"/>
    <x v="1"/>
    <x v="41"/>
    <n v="42712.68"/>
    <n v="0"/>
    <s v="Ny Rådhus 4107811"/>
    <m/>
    <n v="219560"/>
    <n v="0"/>
    <n v="57962"/>
  </r>
  <r>
    <x v="0"/>
    <s v="05048-2 / 00140-6"/>
    <s v="Farum Rådhus, RT2"/>
    <n v="5484"/>
    <m/>
    <s v="Farum Rådhus"/>
    <x v="0"/>
    <x v="1"/>
    <x v="2"/>
    <n v="176477.12"/>
    <n v="12"/>
    <m/>
    <n v="0"/>
    <n v="5672"/>
    <n v="31.113188999999998"/>
    <n v="1"/>
    <x v="3"/>
    <x v="42"/>
    <n v="993.63"/>
    <n v="1"/>
    <s v="Ny Rådhus 4107811"/>
    <m/>
    <n v="5058.1000000000004"/>
    <n v="0"/>
    <n v="58292"/>
  </r>
  <r>
    <x v="0"/>
    <s v="05048-2 / 00140-6"/>
    <s v="Farum Rådhus, RT2"/>
    <n v="5484"/>
    <m/>
    <s v="Farum Rådhus"/>
    <x v="0"/>
    <x v="0"/>
    <x v="2"/>
    <n v="282805"/>
    <n v="12"/>
    <m/>
    <n v="0"/>
    <n v="5672"/>
    <n v="49.858958000000001"/>
    <n v="1"/>
    <x v="1"/>
    <x v="43"/>
    <n v="55605.57"/>
    <n v="0"/>
    <s v="4747292 Gl-Rådh"/>
    <m/>
    <n v="282805"/>
    <n v="0"/>
    <n v="57974"/>
  </r>
  <r>
    <x v="0"/>
    <s v="05048-2 / 00140-6"/>
    <s v="Farum Rådhus, RT2"/>
    <n v="5484"/>
    <m/>
    <s v="Farum Rådhus"/>
    <x v="0"/>
    <x v="1"/>
    <x v="2"/>
    <n v="263391.78000000003"/>
    <n v="12"/>
    <m/>
    <n v="0"/>
    <n v="5672"/>
    <n v="46.436377999999998"/>
    <n v="1"/>
    <x v="3"/>
    <x v="44"/>
    <n v="1457.68"/>
    <n v="1"/>
    <s v="4747292 Gl-Rådhus"/>
    <m/>
    <n v="7549.2049999999999"/>
    <n v="0"/>
    <n v="58291"/>
  </r>
  <r>
    <x v="0"/>
    <s v="05048-2 / 00140-6"/>
    <s v="Farum Rådhus, RT2"/>
    <n v="5484"/>
    <m/>
    <s v="Farum Rådhus"/>
    <x v="0"/>
    <x v="0"/>
    <x v="3"/>
    <n v="222130"/>
    <n v="12"/>
    <s v="2005-06-01"/>
    <n v="0"/>
    <n v="5672"/>
    <n v="39.161861999999999"/>
    <n v="1"/>
    <x v="1"/>
    <x v="45"/>
    <n v="44552.800000000003"/>
    <n v="0"/>
    <s v="Ny Rådhus 4107811"/>
    <m/>
    <n v="222129.99799999999"/>
    <n v="0"/>
    <n v="57962"/>
  </r>
  <r>
    <x v="0"/>
    <s v="05048-2 / 00140-6"/>
    <s v="Farum Rådhus, RT2"/>
    <n v="5484"/>
    <m/>
    <s v="Farum Rådhus"/>
    <x v="0"/>
    <x v="1"/>
    <x v="3"/>
    <n v="180796.48"/>
    <n v="12"/>
    <m/>
    <n v="0"/>
    <n v="5672"/>
    <n v="31.874697999999999"/>
    <n v="1"/>
    <x v="3"/>
    <x v="46"/>
    <n v="1056.5899999999999"/>
    <n v="1"/>
    <s v="Ny Rådhus 4107811"/>
    <m/>
    <n v="5181.8999000000003"/>
    <n v="0"/>
    <n v="58292"/>
  </r>
  <r>
    <x v="0"/>
    <s v="05048-2 / 00140-6"/>
    <s v="Farum Rådhus, RT2"/>
    <n v="5484"/>
    <m/>
    <s v="Farum Rådhus"/>
    <x v="0"/>
    <x v="0"/>
    <x v="3"/>
    <n v="243850"/>
    <n v="12"/>
    <m/>
    <n v="0"/>
    <n v="5672"/>
    <n v="42.991132"/>
    <n v="1"/>
    <x v="1"/>
    <x v="47"/>
    <n v="49692.04"/>
    <n v="0"/>
    <s v="4747292 Gl-Rådh"/>
    <m/>
    <n v="243850.008"/>
    <n v="0"/>
    <n v="57974"/>
  </r>
  <r>
    <x v="0"/>
    <s v="05048-2 / 00140-6"/>
    <s v="Farum Rådhus, RT2"/>
    <n v="5484"/>
    <m/>
    <s v="Farum Rådhus"/>
    <x v="0"/>
    <x v="1"/>
    <x v="3"/>
    <n v="384793.44"/>
    <n v="12"/>
    <m/>
    <n v="0"/>
    <n v="5672"/>
    <n v="67.839678000000006"/>
    <n v="1"/>
    <x v="3"/>
    <x v="48"/>
    <n v="2407.44"/>
    <n v="1"/>
    <s v="4747292 Gl-Rådhus"/>
    <m/>
    <n v="11028.76"/>
    <n v="0"/>
    <n v="58291"/>
  </r>
  <r>
    <x v="0"/>
    <s v="05048-2 / 00140-6"/>
    <s v="Farum Rådhus, RT2"/>
    <n v="5484"/>
    <m/>
    <s v="Farum Rådhus"/>
    <x v="0"/>
    <x v="0"/>
    <x v="4"/>
    <n v="305760"/>
    <n v="12"/>
    <s v="2005-06-01"/>
    <n v="0"/>
    <n v="5672"/>
    <n v="53.90596"/>
    <n v="1"/>
    <x v="1"/>
    <x v="49"/>
    <n v="51495.7"/>
    <n v="0"/>
    <s v="Ny Rådhus 4107811"/>
    <m/>
    <n v="305760"/>
    <n v="0"/>
    <n v="57962"/>
  </r>
  <r>
    <x v="0"/>
    <s v="05048-2 / 00140-6"/>
    <s v="Farum Rådhus, RT2"/>
    <n v="5484"/>
    <m/>
    <s v="Farum Rådhus"/>
    <x v="0"/>
    <x v="1"/>
    <x v="4"/>
    <n v="243532.21"/>
    <n v="12"/>
    <m/>
    <n v="0"/>
    <n v="5672"/>
    <n v="42.935105"/>
    <n v="1"/>
    <x v="3"/>
    <x v="50"/>
    <n v="1166.8900000000001"/>
    <n v="1"/>
    <s v="Ny Rådhus 4107811"/>
    <m/>
    <n v="6980.0006000000003"/>
    <n v="0"/>
    <n v="58292"/>
  </r>
  <r>
    <x v="0"/>
    <s v="05048-2 / 00140-6"/>
    <s v="Farum Rådhus, RT2"/>
    <n v="5484"/>
    <m/>
    <s v="Farum Rådhus"/>
    <x v="0"/>
    <x v="0"/>
    <x v="4"/>
    <n v="258639.99"/>
    <n v="12"/>
    <m/>
    <n v="0"/>
    <n v="5672"/>
    <n v="45.59863"/>
    <n v="1"/>
    <x v="1"/>
    <x v="51"/>
    <n v="43239.05"/>
    <n v="0"/>
    <s v="4747292 Gl-Rådh"/>
    <m/>
    <n v="258639.99"/>
    <n v="0"/>
    <n v="57974"/>
  </r>
  <r>
    <x v="0"/>
    <s v="05048-2 / 00140-6"/>
    <s v="Farum Rådhus, RT2"/>
    <n v="5484"/>
    <m/>
    <s v="Farum Rådhus"/>
    <x v="0"/>
    <x v="1"/>
    <x v="4"/>
    <n v="408333.72"/>
    <n v="12"/>
    <m/>
    <n v="0"/>
    <n v="5672"/>
    <n v="71.989866000000006"/>
    <n v="1"/>
    <x v="3"/>
    <x v="52"/>
    <n v="2183.46"/>
    <n v="1"/>
    <s v="4747292 Gl-Rådhus"/>
    <m/>
    <n v="11703.46"/>
    <n v="0"/>
    <n v="58291"/>
  </r>
  <r>
    <x v="0"/>
    <s v="05048-2 / 00140-6"/>
    <s v="Farum Rådhus, RT2"/>
    <n v="5484"/>
    <m/>
    <s v="Farum Rådhus"/>
    <x v="0"/>
    <x v="0"/>
    <x v="5"/>
    <n v="168781.01"/>
    <n v="12"/>
    <s v="2005-06-01"/>
    <n v="0"/>
    <n v="5672"/>
    <n v="29.756353000000001"/>
    <n v="1"/>
    <x v="1"/>
    <x v="53"/>
    <n v="33210.51"/>
    <n v="0"/>
    <s v="Ny Rådhus 4107811"/>
    <m/>
    <n v="168781.01"/>
    <n v="0"/>
    <n v="57962"/>
  </r>
  <r>
    <x v="0"/>
    <s v="05048-2 / 00140-6"/>
    <s v="Farum Rådhus, RT2"/>
    <n v="5484"/>
    <m/>
    <s v="Farum Rådhus"/>
    <x v="0"/>
    <x v="0"/>
    <x v="5"/>
    <n v="214100"/>
    <n v="12"/>
    <m/>
    <n v="0"/>
    <n v="5672"/>
    <n v="37.746161000000001"/>
    <n v="1"/>
    <x v="1"/>
    <x v="54"/>
    <n v="42359.18"/>
    <n v="0"/>
    <s v="4747292 Gl-Rådh"/>
    <m/>
    <n v="214100"/>
    <n v="0"/>
    <n v="57974"/>
  </r>
  <r>
    <x v="0"/>
    <s v="05048-2 / 00140-6"/>
    <s v="Farum Rådhus, RT2"/>
    <n v="5484"/>
    <m/>
    <s v="Farum Rådhus"/>
    <x v="0"/>
    <x v="1"/>
    <x v="5"/>
    <n v="386833.46"/>
    <n v="12"/>
    <m/>
    <n v="0"/>
    <n v="5672"/>
    <n v="68.199337"/>
    <n v="1"/>
    <x v="3"/>
    <x v="55"/>
    <n v="2636.96"/>
    <n v="1"/>
    <s v="4747292 Gl-Rådhus"/>
    <m/>
    <n v="11087.23"/>
    <n v="0"/>
    <n v="58291"/>
  </r>
  <r>
    <x v="0"/>
    <s v="05048-2 / 00140-6"/>
    <s v="Farum Rådhus, RT2"/>
    <n v="5484"/>
    <m/>
    <s v="Farum Rådhus"/>
    <x v="0"/>
    <x v="1"/>
    <x v="5"/>
    <n v="135017.10999999999"/>
    <n v="12"/>
    <m/>
    <n v="0"/>
    <n v="5672"/>
    <n v="23.803725"/>
    <n v="1"/>
    <x v="3"/>
    <x v="56"/>
    <n v="795.77"/>
    <n v="1"/>
    <s v="Ny Rådhus 4107811"/>
    <m/>
    <n v="3869.7935000000002"/>
    <n v="0"/>
    <n v="58292"/>
  </r>
  <r>
    <x v="0"/>
    <s v="05048-2 / 00140-6"/>
    <s v="Farum Rådhus, RT2"/>
    <n v="5484"/>
    <m/>
    <s v="Farum Rådhus"/>
    <x v="0"/>
    <x v="0"/>
    <x v="6"/>
    <n v="260588.98"/>
    <n v="12"/>
    <s v="2005-06-01"/>
    <n v="0"/>
    <n v="5672"/>
    <n v="45.942239999999998"/>
    <n v="1"/>
    <x v="1"/>
    <x v="57"/>
    <n v="61008.98"/>
    <n v="0"/>
    <s v="Ny Rådhus 4107811"/>
    <m/>
    <n v="260588.98"/>
    <n v="0"/>
    <n v="57962"/>
  </r>
  <r>
    <x v="0"/>
    <s v="05048-2 / 00140-6"/>
    <s v="Farum Rådhus, RT2"/>
    <n v="5484"/>
    <m/>
    <s v="Farum Rådhus"/>
    <x v="0"/>
    <x v="1"/>
    <x v="6"/>
    <n v="194525.95"/>
    <n v="12"/>
    <m/>
    <n v="0"/>
    <n v="5672"/>
    <n v="34.295225000000002"/>
    <n v="1"/>
    <x v="3"/>
    <x v="58"/>
    <n v="1333.14"/>
    <n v="1"/>
    <s v="Ny Rådhus 4107811"/>
    <m/>
    <n v="5575.4062000000004"/>
    <n v="0"/>
    <n v="58292"/>
  </r>
  <r>
    <x v="0"/>
    <s v="05048-2 / 00140-6"/>
    <s v="Farum Rådhus, RT2"/>
    <n v="5484"/>
    <m/>
    <s v="Farum Rådhus"/>
    <x v="0"/>
    <x v="0"/>
    <x v="6"/>
    <n v="206630"/>
    <n v="12"/>
    <m/>
    <n v="0"/>
    <n v="5672"/>
    <n v="36.429188000000003"/>
    <n v="1"/>
    <x v="1"/>
    <x v="59"/>
    <n v="44317.5"/>
    <n v="0"/>
    <s v="4747292 Gl-Rådh"/>
    <m/>
    <n v="206630.003"/>
    <n v="0"/>
    <n v="57974"/>
  </r>
  <r>
    <x v="0"/>
    <s v="05048-2 / 00140-6"/>
    <s v="Farum Rådhus, RT2"/>
    <n v="5484"/>
    <m/>
    <s v="Farum Rådhus"/>
    <x v="0"/>
    <x v="1"/>
    <x v="6"/>
    <n v="366067.26"/>
    <n v="12"/>
    <m/>
    <n v="0"/>
    <n v="5672"/>
    <n v="64.538223000000002"/>
    <n v="1"/>
    <x v="3"/>
    <x v="60"/>
    <n v="2399.0100000000002"/>
    <n v="1"/>
    <s v="4747292 Gl-Rådhus"/>
    <m/>
    <n v="10492.0399"/>
    <n v="0"/>
    <n v="58291"/>
  </r>
  <r>
    <x v="0"/>
    <m/>
    <s v="Værløse Rådhus"/>
    <n v="9524"/>
    <m/>
    <s v="Værløse Rådhus Bygn A"/>
    <x v="1"/>
    <x v="0"/>
    <x v="0"/>
    <n v="158410"/>
    <n v="5"/>
    <m/>
    <n v="0"/>
    <n v="2899"/>
    <n v="32.992997000000003"/>
    <n v="1"/>
    <x v="1"/>
    <x v="61"/>
    <n v="6975.24"/>
    <n v="0"/>
    <s v="7235797"/>
    <m/>
    <n v="95650"/>
    <n v="0"/>
    <n v="74459"/>
  </r>
  <r>
    <x v="0"/>
    <m/>
    <s v="Værløse Rådhus"/>
    <n v="9524"/>
    <m/>
    <s v="Værløse Rådhus Bygn A"/>
    <x v="1"/>
    <x v="1"/>
    <x v="0"/>
    <n v="107066.93"/>
    <n v="5"/>
    <m/>
    <n v="0"/>
    <n v="2899"/>
    <n v="36.931092"/>
    <n v="1"/>
    <x v="3"/>
    <x v="62"/>
    <n v="224.54"/>
    <n v="1"/>
    <m/>
    <m/>
    <n v="3068.7"/>
    <n v="74459"/>
    <n v="74460"/>
  </r>
  <r>
    <x v="0"/>
    <m/>
    <s v="Værløse Rådhus"/>
    <n v="9524"/>
    <m/>
    <s v="Værløse Rådhus Bygn A"/>
    <x v="1"/>
    <x v="0"/>
    <x v="1"/>
    <n v="129490"/>
    <n v="12"/>
    <m/>
    <n v="0"/>
    <n v="2899"/>
    <n v="44.665585"/>
    <n v="1"/>
    <x v="1"/>
    <x v="63"/>
    <n v="8669.02"/>
    <n v="0"/>
    <s v="7235797"/>
    <m/>
    <n v="129490"/>
    <n v="0"/>
    <n v="74459"/>
  </r>
  <r>
    <x v="0"/>
    <m/>
    <s v="Værløse Rådhus"/>
    <n v="9524"/>
    <m/>
    <s v="Værløse Rådhus Bygn A"/>
    <x v="1"/>
    <x v="1"/>
    <x v="1"/>
    <n v="145533.16"/>
    <n v="12"/>
    <m/>
    <n v="0"/>
    <n v="2899"/>
    <n v="50.199427"/>
    <n v="1"/>
    <x v="3"/>
    <x v="64"/>
    <n v="280.45"/>
    <n v="1"/>
    <m/>
    <m/>
    <n v="4171.2"/>
    <n v="74459"/>
    <n v="74460"/>
  </r>
  <r>
    <x v="0"/>
    <m/>
    <s v="Værløse Rådhus"/>
    <n v="9524"/>
    <m/>
    <s v="Værløse Rådhus Bygn A"/>
    <x v="1"/>
    <x v="0"/>
    <x v="2"/>
    <n v="116476.31"/>
    <n v="12"/>
    <m/>
    <n v="0"/>
    <n v="2899"/>
    <n v="40.176712999999999"/>
    <n v="1"/>
    <x v="1"/>
    <x v="65"/>
    <n v="22540.65"/>
    <n v="0"/>
    <s v="7235797"/>
    <m/>
    <n v="116476.31"/>
    <n v="0"/>
    <n v="74459"/>
  </r>
  <r>
    <x v="0"/>
    <m/>
    <s v="Værløse Rådhus"/>
    <n v="9524"/>
    <m/>
    <s v="Værløse Rådhus Bygn A"/>
    <x v="1"/>
    <x v="1"/>
    <x v="2"/>
    <n v="109589.48"/>
    <n v="12"/>
    <m/>
    <n v="0"/>
    <n v="2899"/>
    <n v="37.801206999999998"/>
    <n v="1"/>
    <x v="3"/>
    <x v="66"/>
    <n v="603.57000000000005"/>
    <n v="1"/>
    <m/>
    <m/>
    <n v="3141"/>
    <n v="74459"/>
    <n v="74460"/>
  </r>
  <r>
    <x v="0"/>
    <m/>
    <s v="Værløse Rådhus"/>
    <n v="9524"/>
    <m/>
    <s v="Værløse Rådhus Bygn A"/>
    <x v="1"/>
    <x v="0"/>
    <x v="3"/>
    <n v="121383.7"/>
    <n v="12"/>
    <m/>
    <n v="0"/>
    <n v="2899"/>
    <n v="41.869441999999999"/>
    <n v="1"/>
    <x v="1"/>
    <x v="67"/>
    <n v="24211.53"/>
    <n v="0"/>
    <s v="7235797"/>
    <m/>
    <n v="121383.7"/>
    <n v="0"/>
    <n v="74459"/>
  </r>
  <r>
    <x v="0"/>
    <m/>
    <s v="Værløse Rådhus"/>
    <n v="9524"/>
    <m/>
    <s v="Værløse Rådhus Bygn A"/>
    <x v="1"/>
    <x v="1"/>
    <x v="3"/>
    <n v="109812.78"/>
    <n v="12"/>
    <m/>
    <n v="0"/>
    <n v="2899"/>
    <n v="37.878231"/>
    <n v="1"/>
    <x v="3"/>
    <x v="68"/>
    <n v="628.30999999999995"/>
    <n v="1"/>
    <m/>
    <m/>
    <n v="3147.4"/>
    <n v="74459"/>
    <n v="74460"/>
  </r>
  <r>
    <x v="0"/>
    <m/>
    <s v="Værløse Rådhus"/>
    <n v="9524"/>
    <m/>
    <s v="Værløse Rådhus Bygn A"/>
    <x v="1"/>
    <x v="0"/>
    <x v="4"/>
    <n v="164070.01"/>
    <n v="12"/>
    <m/>
    <n v="0"/>
    <n v="2899"/>
    <n v="56.593428000000003"/>
    <n v="1"/>
    <x v="1"/>
    <x v="69"/>
    <n v="27621.02"/>
    <n v="0"/>
    <s v="7235797"/>
    <m/>
    <n v="164070.00099999999"/>
    <n v="0"/>
    <n v="74459"/>
  </r>
  <r>
    <x v="0"/>
    <m/>
    <s v="Værløse Rådhus"/>
    <n v="9524"/>
    <m/>
    <s v="Værløse Rådhus Bygn A"/>
    <x v="1"/>
    <x v="1"/>
    <x v="4"/>
    <n v="177010.94"/>
    <n v="12"/>
    <m/>
    <n v="0"/>
    <n v="2899"/>
    <n v="61.057203000000001"/>
    <n v="1"/>
    <x v="3"/>
    <x v="70"/>
    <n v="857.71"/>
    <n v="1"/>
    <m/>
    <m/>
    <n v="5073.3999999999996"/>
    <n v="74459"/>
    <n v="74460"/>
  </r>
  <r>
    <x v="0"/>
    <m/>
    <s v="Værløse Rådhus"/>
    <n v="9524"/>
    <m/>
    <s v="Værløse Rådhus Bygn A"/>
    <x v="1"/>
    <x v="0"/>
    <x v="5"/>
    <n v="140340"/>
    <n v="12"/>
    <m/>
    <n v="0"/>
    <n v="2899"/>
    <n v="48.408126000000003"/>
    <n v="1"/>
    <x v="1"/>
    <x v="71"/>
    <n v="27556.46"/>
    <n v="0"/>
    <s v="7235797"/>
    <m/>
    <n v="140340"/>
    <n v="0"/>
    <n v="74459"/>
  </r>
  <r>
    <x v="0"/>
    <m/>
    <s v="Værløse Rådhus"/>
    <n v="9524"/>
    <m/>
    <s v="Værløse Rådhus Bygn A"/>
    <x v="1"/>
    <x v="1"/>
    <x v="5"/>
    <n v="196210.9"/>
    <n v="12"/>
    <m/>
    <n v="0"/>
    <n v="2899"/>
    <n v="67.679935"/>
    <n v="1"/>
    <x v="3"/>
    <x v="72"/>
    <n v="1292.32"/>
    <n v="1"/>
    <m/>
    <m/>
    <n v="5623.7"/>
    <n v="74459"/>
    <n v="74460"/>
  </r>
  <r>
    <x v="0"/>
    <m/>
    <s v="Værløse Rådhus"/>
    <n v="9524"/>
    <m/>
    <s v="Værløse Rådhus Bygn A"/>
    <x v="1"/>
    <x v="0"/>
    <x v="6"/>
    <n v="126260"/>
    <n v="12"/>
    <m/>
    <n v="0"/>
    <n v="2899"/>
    <n v="43.551447000000003"/>
    <n v="1"/>
    <x v="1"/>
    <x v="73"/>
    <n v="26617.86"/>
    <n v="0"/>
    <s v="7235797"/>
    <m/>
    <n v="126260"/>
    <n v="0"/>
    <n v="74459"/>
  </r>
  <r>
    <x v="0"/>
    <m/>
    <s v="Værløse Rådhus"/>
    <n v="9524"/>
    <m/>
    <s v="Værløse Rådhus Bygn A"/>
    <x v="1"/>
    <x v="1"/>
    <x v="6"/>
    <n v="143038.53"/>
    <n v="12"/>
    <m/>
    <n v="0"/>
    <n v="2899"/>
    <n v="49.338943"/>
    <n v="1"/>
    <x v="3"/>
    <x v="74"/>
    <n v="854.73"/>
    <n v="1"/>
    <m/>
    <m/>
    <n v="4099.7"/>
    <n v="74459"/>
    <n v="74460"/>
  </r>
  <r>
    <x v="0"/>
    <s v="05048-2 / 00140-6"/>
    <s v="Farum Rådhus, RT2"/>
    <n v="5484"/>
    <m/>
    <s v="Farum Rådhus"/>
    <x v="0"/>
    <x v="0"/>
    <x v="5"/>
    <n v="262974.08000000002"/>
    <n v="12"/>
    <s v="2005-06-01"/>
    <n v="0"/>
    <n v="5672"/>
    <n v="46.362735999999998"/>
    <n v="2"/>
    <x v="2"/>
    <x v="75"/>
    <n v="123334.85"/>
    <n v="0"/>
    <s v="49312"/>
    <s v="5713131 74112462363"/>
    <n v="262974.05963999999"/>
    <n v="0"/>
    <n v="57961"/>
  </r>
  <r>
    <x v="0"/>
    <s v="05048-2 / 00140-6"/>
    <s v="Farum Rådhus, RT2"/>
    <n v="5484"/>
    <m/>
    <s v="Farum Rådhus"/>
    <x v="0"/>
    <x v="0"/>
    <x v="4"/>
    <n v="228726.5"/>
    <n v="12"/>
    <s v="2005-06-01"/>
    <n v="0"/>
    <n v="5672"/>
    <n v="40.324835"/>
    <n v="2"/>
    <x v="2"/>
    <x v="76"/>
    <n v="107272.74"/>
    <n v="0"/>
    <s v="49312"/>
    <s v="5713131 74112462363"/>
    <n v="228726.49609"/>
    <n v="0"/>
    <n v="57961"/>
  </r>
  <r>
    <x v="0"/>
    <s v="05048-2 / 00140-6"/>
    <s v="Farum Rådhus, RT2"/>
    <n v="5484"/>
    <m/>
    <s v="Farum Rådhus"/>
    <x v="0"/>
    <x v="0"/>
    <x v="3"/>
    <n v="191558.04"/>
    <n v="12"/>
    <s v="2005-06-01"/>
    <n v="0"/>
    <n v="5672"/>
    <n v="33.771977999999997"/>
    <n v="2"/>
    <x v="2"/>
    <x v="77"/>
    <n v="89840.72"/>
    <n v="0"/>
    <s v="49312"/>
    <s v="5713131 74112462363"/>
    <n v="191558.02997999999"/>
    <n v="0"/>
    <n v="57961"/>
  </r>
  <r>
    <x v="0"/>
    <s v="05048-2 / 00140-6"/>
    <s v="Farum Rådhus, RT2"/>
    <n v="5484"/>
    <m/>
    <s v="Farum Rådhus"/>
    <x v="0"/>
    <x v="0"/>
    <x v="2"/>
    <n v="168797.46"/>
    <n v="12"/>
    <s v="2005-06-01"/>
    <n v="0"/>
    <n v="5672"/>
    <n v="29.759253000000001"/>
    <n v="2"/>
    <x v="2"/>
    <x v="78"/>
    <n v="67518.98"/>
    <n v="0"/>
    <s v="49312"/>
    <s v="5713131 74112462363"/>
    <n v="168797.46"/>
    <n v="0"/>
    <n v="57961"/>
  </r>
  <r>
    <x v="0"/>
    <s v="05048-2 / 00140-6"/>
    <s v="Farum Rådhus, RT2"/>
    <n v="5484"/>
    <m/>
    <s v="Farum Rådhus"/>
    <x v="0"/>
    <x v="0"/>
    <x v="1"/>
    <n v="161509.57"/>
    <n v="12"/>
    <s v="2005-06-01"/>
    <n v="0"/>
    <n v="5672"/>
    <n v="28.474385999999999"/>
    <n v="2"/>
    <x v="2"/>
    <x v="79"/>
    <n v="64603.83"/>
    <n v="0"/>
    <s v="49312"/>
    <s v="5713131 74112462363"/>
    <n v="161509.57"/>
    <n v="0"/>
    <n v="57961"/>
  </r>
  <r>
    <x v="0"/>
    <s v="05048-2 / 00140-6"/>
    <s v="Farum Rådhus, RT2"/>
    <n v="5484"/>
    <m/>
    <s v="Farum Rådhus"/>
    <x v="0"/>
    <x v="0"/>
    <x v="7"/>
    <n v="161625.57"/>
    <n v="12"/>
    <s v="2005-06-01"/>
    <n v="0"/>
    <n v="5672"/>
    <n v="28.494837"/>
    <n v="2"/>
    <x v="2"/>
    <x v="80"/>
    <n v="64650.22"/>
    <n v="0"/>
    <s v="49312"/>
    <s v="5713131 74112462363"/>
    <n v="161625.568"/>
    <n v="0"/>
    <n v="57961"/>
  </r>
  <r>
    <x v="0"/>
    <s v="05048-2 / 00140-6"/>
    <s v="Farum Rådhus, RT2"/>
    <n v="5484"/>
    <m/>
    <s v="Farum Rådhus"/>
    <x v="0"/>
    <x v="0"/>
    <x v="0"/>
    <n v="142770"/>
    <n v="5"/>
    <s v="2005-06-01"/>
    <n v="0"/>
    <n v="5672"/>
    <n v="11.087897999999999"/>
    <n v="2"/>
    <x v="2"/>
    <x v="81"/>
    <n v="25156.65"/>
    <n v="0"/>
    <s v="49312"/>
    <s v="5713131 74112462363"/>
    <n v="62891.66"/>
    <n v="0"/>
    <n v="57961"/>
  </r>
  <r>
    <x v="0"/>
    <m/>
    <s v="Værløse Rådhus"/>
    <n v="13925"/>
    <s v="0"/>
    <s v="Bygn B+C pav"/>
    <x v="1"/>
    <x v="0"/>
    <x v="6"/>
    <n v="44328.94"/>
    <n v="12"/>
    <s v="2007-11-30"/>
    <n v="0"/>
    <n v="2349"/>
    <n v="18.870605000000001"/>
    <n v="2"/>
    <x v="2"/>
    <x v="82"/>
    <n v="20790.259999999998"/>
    <n v="0"/>
    <s v="024148"/>
    <s v="74110485920"/>
    <n v="44328.94"/>
    <n v="0"/>
    <n v="76856"/>
  </r>
  <r>
    <x v="0"/>
    <m/>
    <s v="Værløse Rådhus"/>
    <n v="9524"/>
    <m/>
    <s v="Værløse Rådhus Bygn A"/>
    <x v="1"/>
    <x v="0"/>
    <x v="6"/>
    <n v="414339.3"/>
    <n v="12"/>
    <s v="2007-11-30"/>
    <n v="0"/>
    <n v="2899"/>
    <n v="142.91997499999999"/>
    <n v="2"/>
    <x v="2"/>
    <x v="83"/>
    <n v="194325.13"/>
    <n v="0"/>
    <s v="0160016"/>
    <m/>
    <n v="414339.3"/>
    <n v="0"/>
    <n v="76870"/>
  </r>
  <r>
    <x v="0"/>
    <m/>
    <s v="Værløse Rådhus"/>
    <n v="13925"/>
    <s v="0"/>
    <s v="Bygn B+C pav"/>
    <x v="1"/>
    <x v="0"/>
    <x v="5"/>
    <n v="77353.48"/>
    <n v="12"/>
    <s v="2007-11-30"/>
    <n v="0"/>
    <n v="2349"/>
    <n v="32.928984999999997"/>
    <n v="2"/>
    <x v="2"/>
    <x v="84"/>
    <n v="36278.78"/>
    <n v="0"/>
    <s v="024148"/>
    <s v="74110485920"/>
    <n v="77353.48"/>
    <n v="0"/>
    <n v="76856"/>
  </r>
  <r>
    <x v="0"/>
    <m/>
    <s v="Værløse Rådhus"/>
    <n v="9524"/>
    <m/>
    <s v="Værløse Rådhus Bygn A"/>
    <x v="1"/>
    <x v="0"/>
    <x v="5"/>
    <n v="354205.72"/>
    <n v="12"/>
    <s v="2007-11-30"/>
    <n v="0"/>
    <n v="2899"/>
    <n v="122.17782"/>
    <n v="2"/>
    <x v="2"/>
    <x v="85"/>
    <n v="166122.48000000001"/>
    <n v="0"/>
    <s v="0160016"/>
    <m/>
    <n v="354205.72"/>
    <n v="0"/>
    <n v="76870"/>
  </r>
  <r>
    <x v="0"/>
    <m/>
    <s v="Værløse Rådhus"/>
    <n v="13925"/>
    <s v="0"/>
    <s v="Bygn B+C pav"/>
    <x v="1"/>
    <x v="0"/>
    <x v="4"/>
    <n v="94349.84"/>
    <n v="12"/>
    <s v="2007-11-30"/>
    <n v="0"/>
    <n v="2349"/>
    <n v="40.164250000000003"/>
    <n v="2"/>
    <x v="2"/>
    <x v="86"/>
    <n v="44250.07"/>
    <n v="0"/>
    <s v="024148"/>
    <s v="74110485920"/>
    <n v="94349.84"/>
    <n v="0"/>
    <n v="76856"/>
  </r>
  <r>
    <x v="0"/>
    <m/>
    <s v="Værløse Rådhus"/>
    <n v="9524"/>
    <m/>
    <s v="Værløse Rådhus Bygn A"/>
    <x v="1"/>
    <x v="0"/>
    <x v="4"/>
    <n v="363640.61"/>
    <n v="12"/>
    <s v="2007-11-30"/>
    <n v="0"/>
    <n v="2899"/>
    <n v="125.432241"/>
    <n v="2"/>
    <x v="2"/>
    <x v="87"/>
    <n v="170547.45"/>
    <n v="0"/>
    <s v="0160016"/>
    <m/>
    <n v="363640.61"/>
    <n v="0"/>
    <n v="76870"/>
  </r>
  <r>
    <x v="0"/>
    <m/>
    <s v="Værløse Rådhus"/>
    <n v="13925"/>
    <s v="0"/>
    <s v="Bygn B+C pav"/>
    <x v="1"/>
    <x v="0"/>
    <x v="3"/>
    <n v="38499.24"/>
    <n v="12"/>
    <s v="2007-11-30"/>
    <n v="0"/>
    <n v="2349"/>
    <n v="16.388930999999999"/>
    <n v="2"/>
    <x v="2"/>
    <x v="88"/>
    <n v="18056.14"/>
    <n v="0"/>
    <s v="024148"/>
    <s v="74110485920"/>
    <n v="38499.24"/>
    <n v="0"/>
    <n v="76856"/>
  </r>
  <r>
    <x v="0"/>
    <m/>
    <s v="Værløse Rådhus"/>
    <n v="9524"/>
    <m/>
    <s v="Værløse Rådhus Bygn A"/>
    <x v="1"/>
    <x v="0"/>
    <x v="3"/>
    <n v="333483.59999999998"/>
    <n v="12"/>
    <s v="2007-11-30"/>
    <n v="0"/>
    <n v="2899"/>
    <n v="115.03004300000001"/>
    <n v="2"/>
    <x v="2"/>
    <x v="89"/>
    <n v="156403.81"/>
    <n v="0"/>
    <s v="0160016"/>
    <m/>
    <n v="333483.59999999998"/>
    <n v="0"/>
    <n v="76870"/>
  </r>
  <r>
    <x v="0"/>
    <m/>
    <s v="Værløse Rådhus"/>
    <n v="13925"/>
    <s v="0"/>
    <s v="Bygn B+C pav"/>
    <x v="1"/>
    <x v="0"/>
    <x v="2"/>
    <n v="139838.37"/>
    <n v="12"/>
    <s v="2007-11-30"/>
    <n v="0"/>
    <n v="2349"/>
    <n v="59.528486999999998"/>
    <n v="2"/>
    <x v="2"/>
    <x v="90"/>
    <n v="55935.34"/>
    <n v="0"/>
    <s v="024148"/>
    <s v="74110485920"/>
    <n v="139838.37100000001"/>
    <n v="0"/>
    <n v="76856"/>
  </r>
  <r>
    <x v="0"/>
    <m/>
    <s v="Værløse Rådhus"/>
    <n v="9524"/>
    <m/>
    <s v="Værløse Rådhus Bygn A"/>
    <x v="1"/>
    <x v="0"/>
    <x v="2"/>
    <n v="193933.44"/>
    <n v="12"/>
    <s v="2007-11-30"/>
    <n v="0"/>
    <n v="2899"/>
    <n v="66.894360000000006"/>
    <n v="2"/>
    <x v="2"/>
    <x v="91"/>
    <n v="77573.37"/>
    <n v="0"/>
    <s v="0160016"/>
    <m/>
    <n v="193933.43272000001"/>
    <n v="0"/>
    <n v="76870"/>
  </r>
  <r>
    <x v="0"/>
    <m/>
    <s v="Værløse Rådhus"/>
    <n v="9524"/>
    <m/>
    <s v="Værløse Rådhus Bygn A"/>
    <x v="1"/>
    <x v="0"/>
    <x v="2"/>
    <n v="22660.31"/>
    <n v="7"/>
    <s v="2015-02-10"/>
    <n v="0"/>
    <n v="2899"/>
    <n v="7.816325"/>
    <n v="2"/>
    <x v="2"/>
    <x v="92"/>
    <n v="9064.1299999999992"/>
    <n v="0"/>
    <s v="aircon serverrum"/>
    <m/>
    <n v="22660.316279999999"/>
    <n v="0"/>
    <n v="92402"/>
  </r>
  <r>
    <x v="0"/>
    <m/>
    <s v="Værløse Rådhus"/>
    <n v="13925"/>
    <s v="0"/>
    <s v="Bygn B+C pav"/>
    <x v="1"/>
    <x v="0"/>
    <x v="1"/>
    <n v="124177.7"/>
    <n v="12"/>
    <s v="2007-11-30"/>
    <n v="0"/>
    <n v="2349"/>
    <n v="52.861818999999997"/>
    <n v="2"/>
    <x v="2"/>
    <x v="93"/>
    <n v="37253.31"/>
    <n v="0"/>
    <s v="024148"/>
    <s v="74110485920"/>
    <n v="124177.7"/>
    <n v="0"/>
    <n v="76856"/>
  </r>
  <r>
    <x v="0"/>
    <m/>
    <s v="Værløse Rådhus"/>
    <n v="9524"/>
    <m/>
    <s v="Værløse Rådhus Bygn A"/>
    <x v="1"/>
    <x v="0"/>
    <x v="1"/>
    <n v="163200.82"/>
    <n v="12"/>
    <s v="2007-11-30"/>
    <n v="0"/>
    <n v="2899"/>
    <n v="56.293615000000003"/>
    <n v="2"/>
    <x v="2"/>
    <x v="94"/>
    <n v="48960.25"/>
    <n v="0"/>
    <s v="0160016"/>
    <m/>
    <n v="163200.82185000001"/>
    <n v="0"/>
    <n v="76870"/>
  </r>
  <r>
    <x v="0"/>
    <m/>
    <s v="Værløse Rådhus"/>
    <n v="9524"/>
    <m/>
    <s v="Værløse Rådhus Bygn A"/>
    <x v="1"/>
    <x v="0"/>
    <x v="1"/>
    <n v="43208.08"/>
    <n v="8"/>
    <s v="2015-02-10"/>
    <n v="0"/>
    <n v="2899"/>
    <n v="14.903962999999999"/>
    <n v="2"/>
    <x v="2"/>
    <x v="95"/>
    <n v="12962.42"/>
    <n v="0"/>
    <s v="aircon serverrum"/>
    <m/>
    <n v="43208.078150000001"/>
    <n v="0"/>
    <n v="92402"/>
  </r>
  <r>
    <x v="0"/>
    <m/>
    <s v="Værløse Rådhus"/>
    <n v="13925"/>
    <s v="0"/>
    <s v="Bygn B+C pav"/>
    <x v="1"/>
    <x v="0"/>
    <x v="7"/>
    <n v="87968.24"/>
    <n v="12"/>
    <s v="2007-11-30"/>
    <n v="0"/>
    <n v="2349"/>
    <n v="37.447634999999998"/>
    <n v="2"/>
    <x v="2"/>
    <x v="96"/>
    <n v="26390.47"/>
    <n v="0"/>
    <s v="024148"/>
    <s v="74110485920"/>
    <n v="87968.24"/>
    <n v="0"/>
    <n v="76856"/>
  </r>
  <r>
    <x v="0"/>
    <m/>
    <s v="Værløse Rådhus"/>
    <n v="9524"/>
    <m/>
    <s v="Værløse Rådhus Bygn A"/>
    <x v="1"/>
    <x v="1"/>
    <x v="7"/>
    <n v="39218.33"/>
    <n v="2"/>
    <s v="2015-02-10"/>
    <n v="0"/>
    <n v="2899"/>
    <n v="13.527760000000001"/>
    <n v="2"/>
    <x v="2"/>
    <x v="97"/>
    <n v="11765.5"/>
    <n v="1"/>
    <s v="BI Serverrum"/>
    <m/>
    <n v="39218.330349999997"/>
    <n v="0"/>
    <n v="96538"/>
  </r>
  <r>
    <x v="0"/>
    <m/>
    <s v="Værløse Rådhus"/>
    <n v="9524"/>
    <m/>
    <s v="Værløse Rådhus Bygn A"/>
    <x v="1"/>
    <x v="0"/>
    <x v="7"/>
    <n v="204726.99"/>
    <n v="12"/>
    <s v="2007-11-30"/>
    <n v="0"/>
    <n v="2899"/>
    <n v="70.617429000000001"/>
    <n v="2"/>
    <x v="2"/>
    <x v="98"/>
    <n v="61418.09"/>
    <n v="0"/>
    <s v="0160016"/>
    <m/>
    <n v="204726.99176"/>
    <n v="0"/>
    <n v="76870"/>
  </r>
  <r>
    <x v="0"/>
    <m/>
    <s v="Værløse Rådhus"/>
    <n v="9524"/>
    <m/>
    <s v="Værløse Rådhus Bygn A"/>
    <x v="1"/>
    <x v="0"/>
    <x v="7"/>
    <n v="45629.01"/>
    <n v="6"/>
    <s v="2015-02-10"/>
    <n v="0"/>
    <n v="2899"/>
    <n v="15.739025"/>
    <n v="2"/>
    <x v="2"/>
    <x v="99"/>
    <n v="13688.71"/>
    <n v="0"/>
    <s v="aircon serverrum"/>
    <m/>
    <n v="45629.008240000003"/>
    <n v="0"/>
    <n v="92402"/>
  </r>
  <r>
    <x v="0"/>
    <m/>
    <s v="Værløse Rådhus"/>
    <n v="9524"/>
    <m/>
    <s v="Værløse Rådhus Bygn A"/>
    <x v="1"/>
    <x v="1"/>
    <x v="7"/>
    <n v="128970.89"/>
    <n v="12"/>
    <m/>
    <n v="0"/>
    <n v="2899"/>
    <n v="44.486525999999998"/>
    <n v="1"/>
    <x v="3"/>
    <x v="100"/>
    <n v="281.36"/>
    <n v="1"/>
    <m/>
    <m/>
    <n v="3696.5"/>
    <n v="74459"/>
    <n v="74460"/>
  </r>
  <r>
    <x v="0"/>
    <m/>
    <s v="Værløse Rådhus"/>
    <n v="13925"/>
    <s v="0"/>
    <s v="Bygn B+C pav"/>
    <x v="1"/>
    <x v="0"/>
    <x v="7"/>
    <n v="591.4"/>
    <n v="12"/>
    <s v="2007-11-30"/>
    <n v="0"/>
    <n v="2349"/>
    <n v="0.25175500000000001"/>
    <n v="3"/>
    <x v="0"/>
    <x v="101"/>
    <n v="473.13"/>
    <n v="0"/>
    <s v="Byg B-C 01PC502538"/>
    <m/>
    <n v="591.40499999999997"/>
    <n v="0"/>
    <n v="77030"/>
  </r>
  <r>
    <x v="0"/>
    <m/>
    <s v="Værløse Rådhus"/>
    <n v="9524"/>
    <m/>
    <s v="Værløse Rådhus Bygn A"/>
    <x v="1"/>
    <x v="0"/>
    <x v="7"/>
    <n v="556.41"/>
    <n v="12"/>
    <s v="2007-11-30"/>
    <n v="0"/>
    <n v="2899"/>
    <n v="0.19192500000000001"/>
    <n v="3"/>
    <x v="0"/>
    <x v="102"/>
    <n v="445.11"/>
    <n v="0"/>
    <s v="Byg A 44860"/>
    <m/>
    <n v="556.40800000000002"/>
    <n v="0"/>
    <n v="77029"/>
  </r>
  <r>
    <x v="0"/>
    <m/>
    <s v="Værløse Rådhus"/>
    <n v="9524"/>
    <m/>
    <s v="Værløse Rådhus Bygn A"/>
    <x v="1"/>
    <x v="0"/>
    <x v="7"/>
    <n v="125350"/>
    <n v="12"/>
    <m/>
    <n v="0"/>
    <n v="2899"/>
    <n v="39.788209999999999"/>
    <n v="1"/>
    <x v="1"/>
    <x v="103"/>
    <n v="8815.5"/>
    <n v="0"/>
    <s v="7235797"/>
    <m/>
    <n v="115350"/>
    <n v="0"/>
    <n v="74459"/>
  </r>
  <r>
    <x v="0"/>
    <m/>
    <s v="Værløse Rådhus"/>
    <n v="13925"/>
    <s v="0"/>
    <s v="Bygn B+C pav"/>
    <x v="1"/>
    <x v="0"/>
    <x v="0"/>
    <n v="93204"/>
    <n v="5"/>
    <s v="2007-11-30"/>
    <n v="0"/>
    <n v="2349"/>
    <n v="24.918402"/>
    <n v="2"/>
    <x v="2"/>
    <x v="104"/>
    <n v="17560.740000000002"/>
    <n v="0"/>
    <s v="024148"/>
    <s v="74110485920"/>
    <n v="58535.82"/>
    <n v="0"/>
    <n v="76856"/>
  </r>
  <r>
    <x v="0"/>
    <m/>
    <s v="Værløse Rådhus"/>
    <n v="9524"/>
    <m/>
    <s v="Værløse Rådhus Bygn A"/>
    <x v="1"/>
    <x v="0"/>
    <x v="0"/>
    <n v="0"/>
    <n v="2"/>
    <s v="2015-02-10"/>
    <n v="0"/>
    <n v="2899"/>
    <n v="1.729295"/>
    <n v="2"/>
    <x v="2"/>
    <x v="105"/>
    <n v="1504.02"/>
    <n v="0"/>
    <s v="aircon serverrum"/>
    <m/>
    <n v="5013.39732"/>
    <n v="0"/>
    <n v="92402"/>
  </r>
  <r>
    <x v="0"/>
    <m/>
    <s v="Værløse Rådhus"/>
    <n v="9524"/>
    <m/>
    <s v="Værløse Rådhus Bygn A"/>
    <x v="1"/>
    <x v="1"/>
    <x v="0"/>
    <n v="0"/>
    <n v="2"/>
    <s v="2015-02-10"/>
    <n v="0"/>
    <n v="2899"/>
    <n v="3.9992299999999998"/>
    <n v="2"/>
    <x v="2"/>
    <x v="106"/>
    <n v="3478.25"/>
    <n v="1"/>
    <s v="BI Serverrum"/>
    <m/>
    <n v="11594.16964"/>
    <n v="0"/>
    <n v="96538"/>
  </r>
  <r>
    <x v="0"/>
    <m/>
    <s v="Værløse Rådhus"/>
    <n v="9524"/>
    <m/>
    <s v="Værløse Rådhus Bygn A"/>
    <x v="1"/>
    <x v="0"/>
    <x v="0"/>
    <n v="246840"/>
    <n v="5"/>
    <s v="2007-11-30"/>
    <n v="0"/>
    <n v="2899"/>
    <n v="32.954813000000001"/>
    <n v="2"/>
    <x v="2"/>
    <x v="107"/>
    <n v="28661.79"/>
    <n v="0"/>
    <s v="0160016"/>
    <m/>
    <n v="95539.302679999993"/>
    <n v="0"/>
    <n v="76870"/>
  </r>
  <r>
    <x v="1"/>
    <m/>
    <s v="Bjørnsholm SOLGT 2014"/>
    <n v="10227"/>
    <m/>
    <s v="Bjørnsholm"/>
    <x v="2"/>
    <x v="1"/>
    <x v="1"/>
    <n v="32.01"/>
    <n v="4"/>
    <s v="2014-07-01"/>
    <n v="0"/>
    <n v="260"/>
    <n v="0.123068"/>
    <n v="3"/>
    <x v="0"/>
    <x v="108"/>
    <n v="25.63"/>
    <n v="0"/>
    <s v="44961"/>
    <m/>
    <n v="32.022880000000001"/>
    <n v="0"/>
    <n v="77470"/>
  </r>
  <r>
    <x v="1"/>
    <m/>
    <s v="Bjørnsholm SOLGT 2014"/>
    <n v="10227"/>
    <m/>
    <s v="Bjørnsholm"/>
    <x v="2"/>
    <x v="1"/>
    <x v="2"/>
    <n v="35.549999999999997"/>
    <n v="5"/>
    <s v="2014-07-01"/>
    <n v="0"/>
    <n v="260"/>
    <n v="0.13667799999999999"/>
    <n v="3"/>
    <x v="0"/>
    <x v="109"/>
    <n v="28.46"/>
    <n v="0"/>
    <s v="44961"/>
    <m/>
    <n v="35.555300000000003"/>
    <n v="0"/>
    <n v="77470"/>
  </r>
  <r>
    <x v="1"/>
    <m/>
    <s v="Bjørnsholm SOLGT 2014"/>
    <n v="10227"/>
    <m/>
    <s v="Bjørnsholm"/>
    <x v="2"/>
    <x v="1"/>
    <x v="3"/>
    <n v="143.41"/>
    <n v="2"/>
    <s v="2014-07-01"/>
    <n v="0"/>
    <n v="260"/>
    <n v="0.55136399999999997"/>
    <n v="3"/>
    <x v="0"/>
    <x v="110"/>
    <n v="114.7"/>
    <n v="0"/>
    <s v="44961"/>
    <m/>
    <n v="143.38570000000001"/>
    <n v="0"/>
    <n v="77470"/>
  </r>
  <r>
    <x v="1"/>
    <m/>
    <s v="Bjørnsholm SOLGT 2014"/>
    <n v="10227"/>
    <m/>
    <s v="Bjørnsholm"/>
    <x v="2"/>
    <x v="1"/>
    <x v="4"/>
    <n v="33.26"/>
    <n v="2"/>
    <s v="2014-07-01"/>
    <n v="0"/>
    <n v="260"/>
    <n v="0.12787299999999999"/>
    <n v="3"/>
    <x v="0"/>
    <x v="111"/>
    <n v="26.62"/>
    <n v="0"/>
    <s v="44961"/>
    <m/>
    <n v="33.23912"/>
    <n v="0"/>
    <n v="77470"/>
  </r>
  <r>
    <x v="1"/>
    <m/>
    <s v="Bjørnsholm SOLGT 2014"/>
    <n v="10227"/>
    <m/>
    <s v="Bjørnsholm"/>
    <x v="2"/>
    <x v="1"/>
    <x v="5"/>
    <n v="29.62"/>
    <n v="4"/>
    <s v="2014-07-01"/>
    <n v="0"/>
    <n v="260"/>
    <n v="0.11387899999999999"/>
    <n v="3"/>
    <x v="0"/>
    <x v="112"/>
    <n v="23.68"/>
    <n v="0"/>
    <s v="44961"/>
    <m/>
    <n v="29.61252"/>
    <n v="0"/>
    <n v="77470"/>
  </r>
  <r>
    <x v="1"/>
    <m/>
    <s v="Bjørnsholm SOLGT 2014"/>
    <n v="10227"/>
    <m/>
    <s v="Bjørnsholm"/>
    <x v="2"/>
    <x v="1"/>
    <x v="6"/>
    <n v="44.53"/>
    <n v="4"/>
    <s v="2014-07-01"/>
    <n v="0"/>
    <n v="260"/>
    <n v="0.17120299999999999"/>
    <n v="3"/>
    <x v="0"/>
    <x v="113"/>
    <n v="35.619999999999997"/>
    <n v="0"/>
    <s v="44961"/>
    <m/>
    <n v="44.516480000000001"/>
    <n v="0"/>
    <n v="77470"/>
  </r>
  <r>
    <x v="1"/>
    <s v="9232"/>
    <s v="Hjortefarmen, Trevang 161"/>
    <n v="13906"/>
    <s v="0"/>
    <s v="Hjortefarmen"/>
    <x v="3"/>
    <x v="1"/>
    <x v="2"/>
    <n v="1.8"/>
    <n v="2"/>
    <s v="2012-08-08"/>
    <n v="0"/>
    <n v="734"/>
    <n v="2.4510000000000001E-3"/>
    <n v="3"/>
    <x v="0"/>
    <x v="114"/>
    <n v="1.45"/>
    <n v="0"/>
    <s v="D007AA003808 NEDTAGET"/>
    <m/>
    <n v="1.8"/>
    <n v="0"/>
    <n v="92372"/>
  </r>
  <r>
    <x v="1"/>
    <s v="2427"/>
    <s v="Kollekollevej 35 TOM"/>
    <n v="13363"/>
    <s v="0"/>
    <s v="Kollekollevej 35 TOM"/>
    <x v="4"/>
    <x v="1"/>
    <x v="2"/>
    <n v="0"/>
    <n v="1"/>
    <s v="2012-01-22"/>
    <n v="0"/>
    <n v="87"/>
    <n v="0"/>
    <n v="3"/>
    <x v="0"/>
    <x v="1"/>
    <n v="0"/>
    <n v="0"/>
    <s v="NEDTAGET"/>
    <m/>
    <n v="0"/>
    <n v="0"/>
    <n v="89460"/>
  </r>
  <r>
    <x v="1"/>
    <s v="2427"/>
    <s v="Kollekollevej 35 TOM"/>
    <n v="13363"/>
    <s v="0"/>
    <s v="Kollekollevej 35 TOM"/>
    <x v="4"/>
    <x v="1"/>
    <x v="3"/>
    <n v="0"/>
    <n v="4"/>
    <s v="2012-01-22"/>
    <n v="0"/>
    <n v="87"/>
    <n v="0"/>
    <n v="3"/>
    <x v="0"/>
    <x v="1"/>
    <n v="0"/>
    <n v="0"/>
    <s v="NEDTAGET"/>
    <m/>
    <n v="0"/>
    <n v="0"/>
    <n v="89460"/>
  </r>
  <r>
    <x v="1"/>
    <m/>
    <s v="Kollekollevej 37 TOM"/>
    <n v="10322"/>
    <m/>
    <s v="Kollekollevej 37"/>
    <x v="5"/>
    <x v="1"/>
    <x v="1"/>
    <n v="20.3"/>
    <n v="7"/>
    <s v="2014-07-01"/>
    <n v="0"/>
    <n v="98"/>
    <n v="0.206931"/>
    <n v="3"/>
    <x v="0"/>
    <x v="115"/>
    <n v="16.25"/>
    <n v="0"/>
    <s v="44753"/>
    <m/>
    <n v="20.30256"/>
    <n v="0"/>
    <n v="77813"/>
  </r>
  <r>
    <x v="1"/>
    <m/>
    <s v="Kollekollevej 37 TOM"/>
    <n v="10322"/>
    <m/>
    <s v="Kollekollevej 37"/>
    <x v="5"/>
    <x v="1"/>
    <x v="2"/>
    <n v="104.68"/>
    <n v="4"/>
    <s v="2014-07-01"/>
    <n v="0"/>
    <n v="98"/>
    <n v="1.0670740000000001"/>
    <n v="3"/>
    <x v="0"/>
    <x v="116"/>
    <n v="83.74"/>
    <n v="0"/>
    <s v="44753"/>
    <m/>
    <n v="104.69745"/>
    <n v="0"/>
    <n v="77813"/>
  </r>
  <r>
    <x v="1"/>
    <m/>
    <s v="Kollekollevej 37 TOM"/>
    <n v="10322"/>
    <m/>
    <s v="Kollekollevej 37"/>
    <x v="5"/>
    <x v="1"/>
    <x v="3"/>
    <n v="136.97999999999999"/>
    <n v="4"/>
    <s v="2014-07-01"/>
    <n v="0"/>
    <n v="98"/>
    <n v="1.3963300000000001"/>
    <n v="3"/>
    <x v="0"/>
    <x v="117"/>
    <n v="109.56"/>
    <n v="0"/>
    <s v="44753"/>
    <m/>
    <n v="137.00002000000001"/>
    <n v="0"/>
    <n v="77813"/>
  </r>
  <r>
    <x v="1"/>
    <m/>
    <s v="Kollekollevej 37 TOM"/>
    <n v="10322"/>
    <m/>
    <s v="Kollekollevej 37"/>
    <x v="5"/>
    <x v="1"/>
    <x v="4"/>
    <n v="41.76"/>
    <n v="3"/>
    <s v="2014-07-01"/>
    <n v="0"/>
    <n v="98"/>
    <n v="0.42568800000000001"/>
    <n v="3"/>
    <x v="0"/>
    <x v="118"/>
    <n v="33.42"/>
    <n v="0"/>
    <s v="44753"/>
    <m/>
    <n v="41.76858"/>
    <n v="0"/>
    <n v="77813"/>
  </r>
  <r>
    <x v="1"/>
    <m/>
    <s v="Kollekollevej 37 TOM"/>
    <n v="10322"/>
    <m/>
    <s v="Kollekollevej 37"/>
    <x v="5"/>
    <x v="1"/>
    <x v="5"/>
    <n v="9.8699999999999992"/>
    <n v="3"/>
    <s v="2014-07-01"/>
    <n v="0"/>
    <n v="98"/>
    <n v="0.10061100000000001"/>
    <n v="3"/>
    <x v="0"/>
    <x v="119"/>
    <n v="7.89"/>
    <n v="0"/>
    <s v="44753"/>
    <m/>
    <n v="9.8697199999999992"/>
    <n v="0"/>
    <n v="77813"/>
  </r>
  <r>
    <x v="1"/>
    <m/>
    <s v="Kollekollevej 37 TOM"/>
    <n v="10322"/>
    <m/>
    <s v="Kollekollevej 37"/>
    <x v="5"/>
    <x v="1"/>
    <x v="6"/>
    <n v="12.82"/>
    <n v="3"/>
    <s v="2014-07-01"/>
    <n v="0"/>
    <n v="98"/>
    <n v="0.13068199999999999"/>
    <n v="3"/>
    <x v="0"/>
    <x v="120"/>
    <n v="10.27"/>
    <n v="0"/>
    <s v="44753"/>
    <m/>
    <n v="12.820729999999999"/>
    <n v="0"/>
    <n v="77813"/>
  </r>
  <r>
    <x v="1"/>
    <m/>
    <s v="Spejderhus, Alugod, Kollekollevej 39"/>
    <n v="10171"/>
    <m/>
    <s v="Spejderhus, Kollekollevej 39"/>
    <x v="6"/>
    <x v="0"/>
    <x v="0"/>
    <n v="2"/>
    <n v="5"/>
    <s v="2011-08-30"/>
    <n v="0"/>
    <n v="353"/>
    <n v="4.5310000000000003E-3"/>
    <n v="3"/>
    <x v="0"/>
    <x v="121"/>
    <n v="1.28"/>
    <n v="0"/>
    <s v="41215"/>
    <m/>
    <n v="1.6"/>
    <n v="0"/>
    <n v="77186"/>
  </r>
  <r>
    <x v="1"/>
    <m/>
    <s v="Spejderhus, Alugod, Kollekollevej 39"/>
    <n v="10171"/>
    <m/>
    <s v="Spejderhus, Kollekollevej 39"/>
    <x v="6"/>
    <x v="0"/>
    <x v="1"/>
    <n v="18.3"/>
    <n v="12"/>
    <s v="2011-08-30"/>
    <n v="0"/>
    <n v="353"/>
    <n v="5.1825999999999997E-2"/>
    <n v="3"/>
    <x v="0"/>
    <x v="122"/>
    <n v="14.64"/>
    <n v="0"/>
    <s v="41215"/>
    <m/>
    <n v="18.3"/>
    <n v="0"/>
    <n v="77186"/>
  </r>
  <r>
    <x v="1"/>
    <m/>
    <s v="Spejderhus, Alugod, Kollekollevej 39"/>
    <n v="10171"/>
    <m/>
    <s v="Spejderhus, Kollekollevej 39"/>
    <x v="6"/>
    <x v="0"/>
    <x v="2"/>
    <n v="310.10000000000002"/>
    <n v="12"/>
    <s v="2011-08-30"/>
    <n v="0"/>
    <n v="353"/>
    <n v="0.87822100000000003"/>
    <n v="3"/>
    <x v="0"/>
    <x v="123"/>
    <n v="248.08"/>
    <n v="0"/>
    <s v="41215"/>
    <m/>
    <n v="310.10000000000002"/>
    <n v="0"/>
    <n v="77186"/>
  </r>
  <r>
    <x v="1"/>
    <m/>
    <s v="Spejderhus, Alugod, Kollekollevej 39"/>
    <n v="10171"/>
    <m/>
    <s v="Spejderhus, Kollekollevej 39"/>
    <x v="6"/>
    <x v="0"/>
    <x v="3"/>
    <n v="166.98"/>
    <n v="7"/>
    <s v="2011-08-30"/>
    <n v="0"/>
    <n v="353"/>
    <n v="0.47289700000000001"/>
    <n v="3"/>
    <x v="0"/>
    <x v="124"/>
    <n v="133.58000000000001"/>
    <n v="0"/>
    <s v="41215"/>
    <m/>
    <n v="166.98177000000001"/>
    <n v="0"/>
    <n v="77186"/>
  </r>
  <r>
    <x v="1"/>
    <m/>
    <s v="Spejderhus, Alugod, Kollekollevej 39"/>
    <n v="10171"/>
    <m/>
    <s v="Spejderhus, Kollekollevej 39"/>
    <x v="6"/>
    <x v="0"/>
    <x v="4"/>
    <n v="159.57"/>
    <n v="2"/>
    <s v="2011-08-30"/>
    <n v="0"/>
    <n v="353"/>
    <n v="0.45191100000000001"/>
    <n v="3"/>
    <x v="0"/>
    <x v="125"/>
    <n v="127.65"/>
    <n v="0"/>
    <s v="41215"/>
    <m/>
    <n v="159.56614999999999"/>
    <n v="0"/>
    <n v="77186"/>
  </r>
  <r>
    <x v="1"/>
    <m/>
    <s v="Spejderhus, Alugod, Kollekollevej 39"/>
    <n v="10171"/>
    <m/>
    <s v="Spejderhus, Kollekollevej 39"/>
    <x v="6"/>
    <x v="0"/>
    <x v="5"/>
    <n v="73.989999999999995"/>
    <n v="3"/>
    <s v="2011-08-30"/>
    <n v="0"/>
    <n v="353"/>
    <n v="0.20954400000000001"/>
    <n v="3"/>
    <x v="0"/>
    <x v="126"/>
    <n v="59.22"/>
    <n v="0"/>
    <s v="41215"/>
    <m/>
    <n v="74.006619999999998"/>
    <n v="0"/>
    <n v="77186"/>
  </r>
  <r>
    <x v="1"/>
    <m/>
    <s v="Spejderhus, Alugod, Kollekollevej 39"/>
    <n v="10171"/>
    <m/>
    <s v="Spejderhus, Kollekollevej 39"/>
    <x v="6"/>
    <x v="0"/>
    <x v="6"/>
    <n v="84"/>
    <n v="4"/>
    <s v="2011-08-30"/>
    <n v="0"/>
    <n v="353"/>
    <n v="0.23789199999999999"/>
    <n v="3"/>
    <x v="0"/>
    <x v="127"/>
    <n v="67.2"/>
    <n v="0"/>
    <s v="41215"/>
    <m/>
    <n v="83.998260000000002"/>
    <n v="0"/>
    <n v="77186"/>
  </r>
  <r>
    <x v="1"/>
    <m/>
    <s v="Spejderhus, Egedal Solgt"/>
    <n v="10203"/>
    <m/>
    <s v="Spejderhus, Egedal"/>
    <x v="7"/>
    <x v="1"/>
    <x v="3"/>
    <n v="0"/>
    <n v="7"/>
    <s v="2011-12-31"/>
    <n v="0"/>
    <n v="178"/>
    <n v="0"/>
    <n v="3"/>
    <x v="0"/>
    <x v="1"/>
    <n v="0"/>
    <n v="0"/>
    <s v="NEDTAGET"/>
    <m/>
    <n v="0"/>
    <n v="0"/>
    <n v="77384"/>
  </r>
  <r>
    <x v="1"/>
    <m/>
    <s v="Spejderhus, Egedal Solgt"/>
    <n v="10203"/>
    <m/>
    <s v="Spejderhus, Egedal"/>
    <x v="7"/>
    <x v="1"/>
    <x v="4"/>
    <n v="1.0900000000000001"/>
    <n v="11"/>
    <s v="2011-12-31"/>
    <n v="0"/>
    <n v="178"/>
    <n v="6.1199999999999996E-3"/>
    <n v="3"/>
    <x v="0"/>
    <x v="128"/>
    <n v="0.87"/>
    <n v="0"/>
    <s v="NEDTAGET"/>
    <m/>
    <n v="1.08571"/>
    <n v="0"/>
    <n v="77384"/>
  </r>
  <r>
    <x v="1"/>
    <m/>
    <s v="Spejderhus, Egedal Solgt"/>
    <n v="10203"/>
    <m/>
    <s v="Spejderhus, Egedal"/>
    <x v="7"/>
    <x v="1"/>
    <x v="5"/>
    <n v="88.73"/>
    <n v="11"/>
    <s v="2011-12-31"/>
    <n v="0"/>
    <n v="178"/>
    <n v="0.49820300000000001"/>
    <n v="3"/>
    <x v="0"/>
    <x v="129"/>
    <n v="70.98"/>
    <n v="0"/>
    <s v="NEDTAGET"/>
    <m/>
    <n v="88.720730000000003"/>
    <n v="0"/>
    <n v="77384"/>
  </r>
  <r>
    <x v="1"/>
    <m/>
    <s v="Spejderhus, Egedal Solgt"/>
    <n v="10203"/>
    <m/>
    <s v="Spejderhus, Egedal"/>
    <x v="7"/>
    <x v="1"/>
    <x v="6"/>
    <n v="93.14"/>
    <n v="9"/>
    <s v="2011-12-31"/>
    <n v="0"/>
    <n v="178"/>
    <n v="0.52296399999999998"/>
    <n v="3"/>
    <x v="0"/>
    <x v="130"/>
    <n v="74.510000000000005"/>
    <n v="0"/>
    <s v="NEDTAGET"/>
    <m/>
    <n v="93.149600000000007"/>
    <n v="0"/>
    <n v="77384"/>
  </r>
  <r>
    <x v="1"/>
    <m/>
    <s v="Bjørnsholm SOLGT 2014"/>
    <n v="10227"/>
    <m/>
    <s v="Bjørnsholm"/>
    <x v="2"/>
    <x v="1"/>
    <x v="7"/>
    <n v="10.54"/>
    <n v="3"/>
    <s v="2014-07-01"/>
    <n v="0"/>
    <n v="260"/>
    <n v="4.0522000000000002E-2"/>
    <n v="3"/>
    <x v="0"/>
    <x v="131"/>
    <n v="8.42"/>
    <n v="0"/>
    <s v="44961"/>
    <m/>
    <n v="10.536110000000001"/>
    <n v="0"/>
    <n v="77470"/>
  </r>
  <r>
    <x v="1"/>
    <m/>
    <s v="Bjørnsholm SOLGT 2014"/>
    <n v="10227"/>
    <m/>
    <s v="Bjørnsholm"/>
    <x v="2"/>
    <x v="1"/>
    <x v="7"/>
    <n v="2345.9"/>
    <n v="3"/>
    <s v="2014-07-01"/>
    <n v="0"/>
    <n v="260"/>
    <n v="9.0192230000000002"/>
    <n v="2"/>
    <x v="2"/>
    <x v="132"/>
    <n v="703.75"/>
    <n v="0"/>
    <s v="595766"/>
    <s v="74110496490"/>
    <n v="2345.9117500000002"/>
    <n v="0"/>
    <n v="77469"/>
  </r>
  <r>
    <x v="1"/>
    <m/>
    <s v="Bjørnsholm SOLGT 2014"/>
    <n v="10227"/>
    <m/>
    <s v="Bjørnsholm"/>
    <x v="2"/>
    <x v="1"/>
    <x v="7"/>
    <n v="29516.400000000001"/>
    <n v="3"/>
    <s v="2014-07-01"/>
    <n v="0"/>
    <n v="260"/>
    <n v="113.480968"/>
    <n v="1"/>
    <x v="4"/>
    <x v="133"/>
    <n v="7702.52"/>
    <n v="0"/>
    <s v="29557"/>
    <s v="98001310111"/>
    <n v="2732.9999899999998"/>
    <n v="0"/>
    <n v="77471"/>
  </r>
  <r>
    <x v="1"/>
    <m/>
    <s v="Bjørnsholm SOLGT 2014"/>
    <n v="10227"/>
    <m/>
    <s v="Bjørnsholm"/>
    <x v="2"/>
    <x v="1"/>
    <x v="1"/>
    <n v="50828.77"/>
    <n v="5"/>
    <s v="2014-07-01"/>
    <n v="0"/>
    <n v="260"/>
    <n v="195.420107"/>
    <n v="1"/>
    <x v="4"/>
    <x v="134"/>
    <n v="12930.93"/>
    <n v="0"/>
    <s v="29557"/>
    <s v="98001310111"/>
    <n v="4706.3654999999999"/>
    <n v="0"/>
    <n v="77471"/>
  </r>
  <r>
    <x v="1"/>
    <m/>
    <s v="Bjørnsholm SOLGT 2014"/>
    <n v="10227"/>
    <m/>
    <s v="Bjørnsholm"/>
    <x v="2"/>
    <x v="1"/>
    <x v="2"/>
    <n v="47993.08"/>
    <n v="2"/>
    <s v="2014-07-01"/>
    <n v="0"/>
    <n v="260"/>
    <n v="184.51779999999999"/>
    <n v="1"/>
    <x v="4"/>
    <x v="135"/>
    <n v="11240.98"/>
    <n v="0"/>
    <s v="29557"/>
    <s v="98001310111"/>
    <n v="4443.80375"/>
    <n v="0"/>
    <n v="77471"/>
  </r>
  <r>
    <x v="1"/>
    <m/>
    <s v="Bjørnsholm SOLGT 2014"/>
    <n v="10227"/>
    <m/>
    <s v="Bjørnsholm"/>
    <x v="2"/>
    <x v="1"/>
    <x v="3"/>
    <n v="56080.76"/>
    <n v="2"/>
    <s v="2014-07-01"/>
    <n v="0"/>
    <n v="260"/>
    <n v="215.612302"/>
    <n v="1"/>
    <x v="4"/>
    <x v="136"/>
    <n v="13893.44"/>
    <n v="0"/>
    <s v="29557"/>
    <s v="98001310111"/>
    <n v="5192.6641099999997"/>
    <n v="0"/>
    <n v="77471"/>
  </r>
  <r>
    <x v="1"/>
    <m/>
    <s v="Bjørnsholm SOLGT 2014"/>
    <n v="10227"/>
    <m/>
    <s v="Bjørnsholm"/>
    <x v="2"/>
    <x v="1"/>
    <x v="4"/>
    <n v="60873.49"/>
    <n v="3"/>
    <s v="2014-07-01"/>
    <n v="0"/>
    <n v="260"/>
    <n v="234.038792"/>
    <n v="1"/>
    <x v="4"/>
    <x v="137"/>
    <n v="14433.96"/>
    <n v="0"/>
    <s v="29557"/>
    <s v="98001310111"/>
    <n v="5636.4326099999998"/>
    <n v="0"/>
    <n v="77471"/>
  </r>
  <r>
    <x v="1"/>
    <m/>
    <s v="Bjørnsholm SOLGT 2014"/>
    <n v="10227"/>
    <m/>
    <s v="Bjørnsholm"/>
    <x v="2"/>
    <x v="1"/>
    <x v="5"/>
    <n v="54911.44"/>
    <n v="4"/>
    <s v="2014-07-01"/>
    <n v="0"/>
    <n v="260"/>
    <n v="211.116647"/>
    <n v="1"/>
    <x v="4"/>
    <x v="138"/>
    <n v="14075.32"/>
    <n v="0"/>
    <s v="29557"/>
    <s v="98001310111"/>
    <n v="5084.3933900000002"/>
    <n v="0"/>
    <n v="77471"/>
  </r>
  <r>
    <x v="1"/>
    <m/>
    <s v="Bjørnsholm SOLGT 2014"/>
    <n v="10227"/>
    <m/>
    <s v="Bjørnsholm"/>
    <x v="2"/>
    <x v="1"/>
    <x v="6"/>
    <n v="47155.65"/>
    <n v="4"/>
    <s v="2014-07-01"/>
    <n v="0"/>
    <n v="260"/>
    <n v="181.29815400000001"/>
    <n v="1"/>
    <x v="4"/>
    <x v="139"/>
    <n v="11543.45"/>
    <n v="0"/>
    <s v="29557"/>
    <s v="98001310111"/>
    <n v="4366.2637299999997"/>
    <n v="0"/>
    <n v="77471"/>
  </r>
  <r>
    <x v="1"/>
    <s v="2427"/>
    <s v="Kollekollevej 35 TOM"/>
    <n v="13363"/>
    <s v="0"/>
    <s v="Kollekollevej 35 TOM"/>
    <x v="4"/>
    <x v="1"/>
    <x v="2"/>
    <n v="7.25"/>
    <n v="2"/>
    <s v="2012-07-09"/>
    <n v="0"/>
    <n v="87"/>
    <n v="8.3237000000000005E-2"/>
    <n v="1"/>
    <x v="4"/>
    <x v="140"/>
    <n v="1.63"/>
    <n v="0"/>
    <s v="NEDTAGET"/>
    <m/>
    <n v="0.67098000000000002"/>
    <n v="0"/>
    <n v="89461"/>
  </r>
  <r>
    <x v="1"/>
    <s v="2427"/>
    <s v="Kollekollevej 35 TOM"/>
    <n v="13363"/>
    <s v="0"/>
    <s v="Kollekollevej 35 TOM"/>
    <x v="4"/>
    <x v="1"/>
    <x v="3"/>
    <n v="0"/>
    <n v="4"/>
    <s v="2012-07-09"/>
    <n v="0"/>
    <n v="87"/>
    <n v="0"/>
    <n v="1"/>
    <x v="4"/>
    <x v="1"/>
    <n v="0"/>
    <n v="0"/>
    <s v="NEDTAGET"/>
    <m/>
    <n v="0"/>
    <n v="0"/>
    <n v="89461"/>
  </r>
  <r>
    <x v="1"/>
    <m/>
    <s v="Kollekollevej 37 TOM"/>
    <n v="10322"/>
    <m/>
    <s v="Kollekollevej 37"/>
    <x v="5"/>
    <x v="1"/>
    <x v="0"/>
    <n v="1165.55"/>
    <n v="1"/>
    <s v="2015-02-13"/>
    <n v="0"/>
    <n v="98"/>
    <n v="11.881243"/>
    <n v="1"/>
    <x v="4"/>
    <x v="141"/>
    <n v="246.49"/>
    <n v="0"/>
    <s v="HNG 1.522.623"/>
    <s v="98001314065"/>
    <n v="107.92157"/>
    <n v="0"/>
    <n v="77814"/>
  </r>
  <r>
    <x v="1"/>
    <m/>
    <s v="Kollekollevej 37 TOM"/>
    <n v="10322"/>
    <m/>
    <s v="Kollekollevej 37"/>
    <x v="5"/>
    <x v="1"/>
    <x v="1"/>
    <n v="21829.77"/>
    <n v="9"/>
    <s v="2015-02-13"/>
    <n v="0"/>
    <n v="98"/>
    <n v="222.525688"/>
    <n v="1"/>
    <x v="4"/>
    <x v="142"/>
    <n v="4616.6000000000004"/>
    <n v="0"/>
    <s v="HNG 1.522.623"/>
    <s v="98001314065"/>
    <n v="2021.2750599999999"/>
    <n v="0"/>
    <n v="77814"/>
  </r>
  <r>
    <x v="1"/>
    <m/>
    <s v="Kollekollevej 37 TOM"/>
    <n v="10322"/>
    <m/>
    <s v="Kollekollevej 37"/>
    <x v="5"/>
    <x v="1"/>
    <x v="2"/>
    <n v="18274.759999999998"/>
    <n v="5"/>
    <s v="2015-02-13"/>
    <n v="0"/>
    <n v="98"/>
    <n v="186.28705400000001"/>
    <n v="1"/>
    <x v="4"/>
    <x v="143"/>
    <n v="3864.79"/>
    <n v="0"/>
    <s v="HNG 1.522.623"/>
    <s v="98001314065"/>
    <n v="1692.1073100000001"/>
    <n v="0"/>
    <n v="77814"/>
  </r>
  <r>
    <x v="1"/>
    <m/>
    <s v="Kollekollevej 37 TOM"/>
    <n v="10322"/>
    <m/>
    <s v="Kollekollevej 37"/>
    <x v="5"/>
    <x v="1"/>
    <x v="3"/>
    <n v="25826.39"/>
    <n v="4"/>
    <s v="2015-02-13"/>
    <n v="0"/>
    <n v="98"/>
    <n v="263.26595300000002"/>
    <n v="1"/>
    <x v="4"/>
    <x v="144"/>
    <n v="5461.8"/>
    <n v="0"/>
    <s v="HNG 1.522.623"/>
    <s v="98001314065"/>
    <n v="2391.3333200000002"/>
    <n v="0"/>
    <n v="77814"/>
  </r>
  <r>
    <x v="1"/>
    <m/>
    <s v="Kollekollevej 37 TOM"/>
    <n v="10322"/>
    <m/>
    <s v="Kollekollevej 37"/>
    <x v="5"/>
    <x v="1"/>
    <x v="4"/>
    <n v="23583.66"/>
    <n v="5"/>
    <s v="2015-02-13"/>
    <n v="0"/>
    <n v="98"/>
    <n v="240.404281"/>
    <n v="1"/>
    <x v="4"/>
    <x v="145"/>
    <n v="4987.5200000000004"/>
    <n v="0"/>
    <s v="HNG 1.522.623"/>
    <s v="98001314065"/>
    <n v="2183.6735600000002"/>
    <n v="0"/>
    <n v="77814"/>
  </r>
  <r>
    <x v="1"/>
    <m/>
    <s v="Kollekollevej 37 TOM"/>
    <n v="10322"/>
    <m/>
    <s v="Kollekollevej 37"/>
    <x v="5"/>
    <x v="1"/>
    <x v="5"/>
    <n v="24604.799999999999"/>
    <n v="3"/>
    <s v="2015-02-13"/>
    <n v="0"/>
    <n v="98"/>
    <n v="250.813455"/>
    <n v="1"/>
    <x v="4"/>
    <x v="146"/>
    <n v="5203.4799999999996"/>
    <n v="0"/>
    <s v="HNG 1.522.623"/>
    <s v="98001314065"/>
    <n v="2278.2238699999998"/>
    <n v="0"/>
    <n v="77814"/>
  </r>
  <r>
    <x v="1"/>
    <m/>
    <s v="Kollekollevej 37 TOM"/>
    <n v="10322"/>
    <m/>
    <s v="Kollekollevej 37"/>
    <x v="5"/>
    <x v="1"/>
    <x v="6"/>
    <n v="21404.97"/>
    <n v="4"/>
    <s v="2015-02-13"/>
    <n v="0"/>
    <n v="98"/>
    <n v="218.195412"/>
    <n v="1"/>
    <x v="4"/>
    <x v="147"/>
    <n v="4526.76"/>
    <n v="0"/>
    <s v="HNG 1.522.623"/>
    <s v="98001314065"/>
    <n v="1981.94235"/>
    <n v="0"/>
    <n v="77814"/>
  </r>
  <r>
    <x v="1"/>
    <m/>
    <s v="Spejderhus, Egedal Solgt"/>
    <n v="10203"/>
    <m/>
    <s v="Spejderhus, Egedal"/>
    <x v="7"/>
    <x v="1"/>
    <x v="3"/>
    <n v="4311.17"/>
    <n v="7"/>
    <s v="2011-12-31"/>
    <n v="0"/>
    <n v="178"/>
    <n v="24.206457"/>
    <n v="1"/>
    <x v="5"/>
    <x v="148"/>
    <n v="1006.47"/>
    <n v="0"/>
    <s v="2762360/06"/>
    <m/>
    <n v="4.3111699999999997"/>
    <n v="0"/>
    <n v="77385"/>
  </r>
  <r>
    <x v="1"/>
    <m/>
    <s v="Spejderhus, Egedal Solgt"/>
    <n v="10203"/>
    <m/>
    <s v="Spejderhus, Egedal"/>
    <x v="7"/>
    <x v="1"/>
    <x v="4"/>
    <n v="17437.16"/>
    <n v="11"/>
    <s v="2011-12-31"/>
    <n v="0"/>
    <n v="178"/>
    <n v="97.906569000000005"/>
    <n v="1"/>
    <x v="5"/>
    <x v="149"/>
    <n v="3029.68"/>
    <n v="0"/>
    <s v="2762360/06"/>
    <m/>
    <n v="17.437159999999999"/>
    <n v="0"/>
    <n v="77385"/>
  </r>
  <r>
    <x v="1"/>
    <m/>
    <s v="Spejderhus, Egedal Solgt"/>
    <n v="10203"/>
    <m/>
    <s v="Spejderhus, Egedal"/>
    <x v="7"/>
    <x v="1"/>
    <x v="5"/>
    <n v="20048.61"/>
    <n v="11"/>
    <s v="2011-12-31"/>
    <n v="0"/>
    <n v="178"/>
    <n v="112.569399"/>
    <n v="1"/>
    <x v="5"/>
    <x v="150"/>
    <n v="3920.64"/>
    <n v="0"/>
    <s v="2762360/06"/>
    <m/>
    <n v="20.04861"/>
    <n v="0"/>
    <n v="77385"/>
  </r>
  <r>
    <x v="1"/>
    <m/>
    <s v="Spejderhus, Egedal Solgt"/>
    <n v="10203"/>
    <m/>
    <s v="Spejderhus, Egedal"/>
    <x v="7"/>
    <x v="1"/>
    <x v="6"/>
    <n v="18532.240000000002"/>
    <n v="9"/>
    <s v="2011-12-31"/>
    <n v="0"/>
    <n v="178"/>
    <n v="104.055249"/>
    <n v="1"/>
    <x v="5"/>
    <x v="151"/>
    <n v="3935.25"/>
    <n v="0"/>
    <s v="2762360/06"/>
    <m/>
    <n v="18.532240000000002"/>
    <n v="0"/>
    <n v="77385"/>
  </r>
  <r>
    <x v="1"/>
    <m/>
    <s v="Kollekollevej 37 TOM"/>
    <n v="10322"/>
    <m/>
    <s v="Kollekollevej 37"/>
    <x v="5"/>
    <x v="1"/>
    <x v="7"/>
    <n v="18810.32"/>
    <n v="4"/>
    <s v="2015-02-13"/>
    <n v="0"/>
    <n v="98"/>
    <n v="191.74638100000001"/>
    <n v="1"/>
    <x v="4"/>
    <x v="152"/>
    <n v="3978.04"/>
    <n v="0"/>
    <s v="HNG 1.522.623"/>
    <s v="98001314065"/>
    <n v="1741.69606"/>
    <n v="0"/>
    <n v="77814"/>
  </r>
  <r>
    <x v="1"/>
    <m/>
    <s v="Kollekollevej 37 TOM"/>
    <n v="10322"/>
    <m/>
    <s v="Kollekollevej 37"/>
    <x v="5"/>
    <x v="1"/>
    <x v="7"/>
    <n v="5.74"/>
    <n v="3"/>
    <s v="2014-07-01"/>
    <n v="0"/>
    <n v="98"/>
    <n v="5.8511000000000001E-2"/>
    <n v="3"/>
    <x v="0"/>
    <x v="153"/>
    <n v="4.59"/>
    <n v="0"/>
    <s v="44753"/>
    <m/>
    <n v="5.7430000000000003"/>
    <n v="0"/>
    <n v="77813"/>
  </r>
  <r>
    <x v="1"/>
    <m/>
    <s v="Kollekollevej 37 TOM"/>
    <n v="10322"/>
    <m/>
    <s v="Kollekollevej 37"/>
    <x v="5"/>
    <x v="1"/>
    <x v="7"/>
    <n v="1621.89"/>
    <n v="2"/>
    <s v="2014-07-01"/>
    <n v="0"/>
    <n v="98"/>
    <n v="16.533027000000001"/>
    <n v="2"/>
    <x v="2"/>
    <x v="154"/>
    <n v="486.56"/>
    <n v="0"/>
    <s v="375314-32607"/>
    <s v="74113159491"/>
    <n v="1621.8823600000001"/>
    <n v="0"/>
    <n v="77812"/>
  </r>
  <r>
    <x v="1"/>
    <m/>
    <s v="Bjørnsholm SOLGT 2014"/>
    <n v="10227"/>
    <m/>
    <s v="Bjørnsholm"/>
    <x v="2"/>
    <x v="1"/>
    <x v="1"/>
    <n v="4947.6400000000003"/>
    <n v="6"/>
    <s v="2014-07-01"/>
    <n v="0"/>
    <n v="260"/>
    <n v="19.022068000000001"/>
    <n v="2"/>
    <x v="2"/>
    <x v="155"/>
    <n v="1484.28"/>
    <n v="0"/>
    <s v="595766"/>
    <s v="74110496490"/>
    <n v="4947.6596799999998"/>
    <n v="0"/>
    <n v="77469"/>
  </r>
  <r>
    <x v="1"/>
    <m/>
    <s v="Bjørnsholm SOLGT 2014"/>
    <n v="10227"/>
    <m/>
    <s v="Bjørnsholm"/>
    <x v="2"/>
    <x v="1"/>
    <x v="2"/>
    <n v="5290.14"/>
    <n v="5"/>
    <s v="2014-07-01"/>
    <n v="0"/>
    <n v="260"/>
    <n v="20.338868999999999"/>
    <n v="2"/>
    <x v="2"/>
    <x v="156"/>
    <n v="2116.0500000000002"/>
    <n v="0"/>
    <s v="595766"/>
    <s v="74110496490"/>
    <n v="5290.1428699999997"/>
    <n v="0"/>
    <n v="77469"/>
  </r>
  <r>
    <x v="1"/>
    <m/>
    <s v="Bjørnsholm SOLGT 2014"/>
    <n v="10227"/>
    <m/>
    <s v="Bjørnsholm"/>
    <x v="2"/>
    <x v="1"/>
    <x v="3"/>
    <n v="4853.62"/>
    <n v="5"/>
    <s v="2014-07-01"/>
    <n v="0"/>
    <n v="260"/>
    <n v="18.660592000000001"/>
    <n v="2"/>
    <x v="2"/>
    <x v="157"/>
    <n v="2276.33"/>
    <n v="0"/>
    <s v="595766"/>
    <s v="74110496490"/>
    <n v="4853.6190399999996"/>
    <n v="0"/>
    <n v="77469"/>
  </r>
  <r>
    <x v="1"/>
    <m/>
    <s v="Bjørnsholm SOLGT 2014"/>
    <n v="10227"/>
    <m/>
    <s v="Bjørnsholm"/>
    <x v="2"/>
    <x v="1"/>
    <x v="4"/>
    <n v="5893.82"/>
    <n v="3"/>
    <s v="2014-07-01"/>
    <n v="0"/>
    <n v="260"/>
    <n v="22.659822999999999"/>
    <n v="2"/>
    <x v="2"/>
    <x v="158"/>
    <n v="2764.17"/>
    <n v="0"/>
    <s v="595766"/>
    <s v="74110496490"/>
    <n v="5893.7943299999997"/>
    <n v="0"/>
    <n v="77469"/>
  </r>
  <r>
    <x v="1"/>
    <m/>
    <s v="Bjørnsholm SOLGT 2014"/>
    <n v="10227"/>
    <m/>
    <s v="Bjørnsholm"/>
    <x v="2"/>
    <x v="1"/>
    <x v="5"/>
    <n v="5598.54"/>
    <n v="4"/>
    <s v="2014-07-01"/>
    <n v="0"/>
    <n v="260"/>
    <n v="21.524567000000001"/>
    <n v="2"/>
    <x v="2"/>
    <x v="159"/>
    <n v="2625.73"/>
    <n v="0"/>
    <s v="595766"/>
    <s v="74110496490"/>
    <n v="5598.5316899999998"/>
    <n v="0"/>
    <n v="77469"/>
  </r>
  <r>
    <x v="1"/>
    <m/>
    <s v="Bjørnsholm SOLGT 2014"/>
    <n v="10227"/>
    <m/>
    <s v="Bjørnsholm"/>
    <x v="2"/>
    <x v="1"/>
    <x v="6"/>
    <n v="4947.09"/>
    <n v="4"/>
    <s v="2014-07-01"/>
    <n v="0"/>
    <n v="260"/>
    <n v="19.019953000000001"/>
    <n v="2"/>
    <x v="2"/>
    <x v="160"/>
    <n v="2320.19"/>
    <n v="0"/>
    <s v="595766"/>
    <s v="74110496490"/>
    <n v="4947.0878899999998"/>
    <n v="0"/>
    <n v="77469"/>
  </r>
  <r>
    <x v="1"/>
    <s v="9232"/>
    <s v="Hjortefarmen, Trevang 161"/>
    <n v="13906"/>
    <s v="0"/>
    <s v="Hjortefarmen"/>
    <x v="3"/>
    <x v="1"/>
    <x v="1"/>
    <n v="0"/>
    <n v="3"/>
    <s v="2013-04-08"/>
    <n v="0"/>
    <n v="734"/>
    <n v="0"/>
    <n v="2"/>
    <x v="2"/>
    <x v="1"/>
    <n v="0"/>
    <n v="0"/>
    <s v="254494 NEDTAGET"/>
    <s v="74111465433"/>
    <n v="0"/>
    <n v="0"/>
    <n v="92371"/>
  </r>
  <r>
    <x v="1"/>
    <s v="9232"/>
    <s v="Hjortefarmen, Trevang 161"/>
    <n v="13906"/>
    <s v="0"/>
    <s v="Hjortefarmen"/>
    <x v="3"/>
    <x v="1"/>
    <x v="2"/>
    <n v="51"/>
    <n v="4"/>
    <s v="2013-04-08"/>
    <n v="0"/>
    <n v="734"/>
    <n v="6.9472000000000006E-2"/>
    <n v="2"/>
    <x v="2"/>
    <x v="161"/>
    <n v="20.399999999999999"/>
    <n v="0"/>
    <s v="254494 NEDTAGET"/>
    <s v="74111465433"/>
    <n v="51"/>
    <n v="0"/>
    <n v="92371"/>
  </r>
  <r>
    <x v="1"/>
    <s v="2427"/>
    <s v="Kollekollevej 35 TOM"/>
    <n v="13363"/>
    <s v="0"/>
    <s v="Kollekollevej 35 TOM"/>
    <x v="4"/>
    <x v="1"/>
    <x v="1"/>
    <n v="0"/>
    <n v="1"/>
    <s v="2013-01-14"/>
    <n v="0"/>
    <n v="87"/>
    <n v="0"/>
    <n v="2"/>
    <x v="2"/>
    <x v="1"/>
    <n v="0"/>
    <n v="0"/>
    <s v="NEDTAGET 10/1/2014"/>
    <s v="74114229582"/>
    <n v="0"/>
    <n v="0"/>
    <n v="89459"/>
  </r>
  <r>
    <x v="1"/>
    <s v="2427"/>
    <s v="Kollekollevej 35 TOM"/>
    <n v="13363"/>
    <s v="0"/>
    <s v="Kollekollevej 35 TOM"/>
    <x v="4"/>
    <x v="1"/>
    <x v="2"/>
    <n v="4"/>
    <n v="3"/>
    <s v="2013-01-14"/>
    <n v="0"/>
    <n v="87"/>
    <n v="4.5924E-2"/>
    <n v="2"/>
    <x v="2"/>
    <x v="162"/>
    <n v="1.6"/>
    <n v="0"/>
    <s v="NEDTAGET 10/1/2014"/>
    <s v="74114229582"/>
    <n v="4"/>
    <n v="0"/>
    <n v="89459"/>
  </r>
  <r>
    <x v="1"/>
    <s v="2427"/>
    <s v="Kollekollevej 35 TOM"/>
    <n v="13363"/>
    <s v="0"/>
    <s v="Kollekollevej 35 TOM"/>
    <x v="4"/>
    <x v="1"/>
    <x v="3"/>
    <n v="0"/>
    <n v="6"/>
    <s v="2013-01-14"/>
    <n v="0"/>
    <n v="87"/>
    <n v="0"/>
    <n v="2"/>
    <x v="2"/>
    <x v="1"/>
    <n v="0"/>
    <n v="0"/>
    <s v="NEDTAGET 10/1/2014"/>
    <s v="74114229582"/>
    <n v="0"/>
    <n v="0"/>
    <n v="89459"/>
  </r>
  <r>
    <x v="1"/>
    <m/>
    <s v="Kollekollevej 37 TOM"/>
    <n v="10322"/>
    <m/>
    <s v="Kollekollevej 37"/>
    <x v="5"/>
    <x v="1"/>
    <x v="1"/>
    <n v="3915.46"/>
    <n v="7"/>
    <s v="2014-07-01"/>
    <n v="0"/>
    <n v="98"/>
    <n v="39.912945000000001"/>
    <n v="2"/>
    <x v="2"/>
    <x v="163"/>
    <n v="1174.6199999999999"/>
    <n v="0"/>
    <s v="375314-32607"/>
    <s v="74113159491"/>
    <n v="3915.4509699999999"/>
    <n v="0"/>
    <n v="77812"/>
  </r>
  <r>
    <x v="1"/>
    <m/>
    <s v="Kollekollevej 37 TOM"/>
    <n v="10322"/>
    <m/>
    <s v="Kollekollevej 37"/>
    <x v="5"/>
    <x v="1"/>
    <x v="2"/>
    <n v="2223.39"/>
    <n v="3"/>
    <s v="2014-07-01"/>
    <n v="0"/>
    <n v="98"/>
    <n v="22.664525000000001"/>
    <n v="2"/>
    <x v="2"/>
    <x v="164"/>
    <n v="889.37"/>
    <n v="0"/>
    <s v="375314-32607"/>
    <s v="74113159491"/>
    <n v="2223.3939300000002"/>
    <n v="0"/>
    <n v="77812"/>
  </r>
  <r>
    <x v="1"/>
    <m/>
    <s v="Kollekollevej 37 TOM"/>
    <n v="10322"/>
    <m/>
    <s v="Kollekollevej 37"/>
    <x v="5"/>
    <x v="1"/>
    <x v="3"/>
    <n v="1638.93"/>
    <n v="4"/>
    <s v="2014-07-01"/>
    <n v="0"/>
    <n v="98"/>
    <n v="16.706727000000001"/>
    <n v="2"/>
    <x v="2"/>
    <x v="165"/>
    <n v="768.67"/>
    <n v="0"/>
    <s v="375314-32607"/>
    <s v="74113159491"/>
    <n v="1638.9394199999999"/>
    <n v="0"/>
    <n v="77812"/>
  </r>
  <r>
    <x v="1"/>
    <m/>
    <s v="Kollekollevej 37 TOM"/>
    <n v="10322"/>
    <m/>
    <s v="Kollekollevej 37"/>
    <x v="5"/>
    <x v="1"/>
    <x v="4"/>
    <n v="1588.63"/>
    <n v="3"/>
    <s v="2014-07-01"/>
    <n v="0"/>
    <n v="98"/>
    <n v="16.193985000000001"/>
    <n v="2"/>
    <x v="2"/>
    <x v="166"/>
    <n v="745.07"/>
    <n v="0"/>
    <s v="375314-32607"/>
    <s v="74113159491"/>
    <n v="1588.62672"/>
    <n v="0"/>
    <n v="77812"/>
  </r>
  <r>
    <x v="1"/>
    <m/>
    <s v="Kollekollevej 37 TOM"/>
    <n v="10322"/>
    <m/>
    <s v="Kollekollevej 37"/>
    <x v="5"/>
    <x v="1"/>
    <x v="5"/>
    <n v="1474.7"/>
    <n v="3"/>
    <s v="2014-07-01"/>
    <n v="0"/>
    <n v="98"/>
    <n v="15.032619"/>
    <n v="2"/>
    <x v="2"/>
    <x v="167"/>
    <n v="691.66"/>
    <n v="0"/>
    <s v="375314-32607"/>
    <s v="74113159491"/>
    <n v="1474.7066199999999"/>
    <n v="0"/>
    <n v="77812"/>
  </r>
  <r>
    <x v="1"/>
    <m/>
    <s v="Kollekollevej 37 TOM"/>
    <n v="10322"/>
    <m/>
    <s v="Kollekollevej 37"/>
    <x v="5"/>
    <x v="1"/>
    <x v="6"/>
    <n v="1630.03"/>
    <n v="4"/>
    <s v="2014-07-01"/>
    <n v="0"/>
    <n v="98"/>
    <n v="16.616004"/>
    <n v="2"/>
    <x v="2"/>
    <x v="168"/>
    <n v="764.5"/>
    <n v="0"/>
    <s v="375314-32607"/>
    <s v="74113159491"/>
    <n v="1630.03279"/>
    <n v="0"/>
    <n v="77812"/>
  </r>
  <r>
    <x v="1"/>
    <m/>
    <s v="Røde Rust OPSAGT pr 1/3-2012"/>
    <n v="5948"/>
    <m/>
    <s v="Røde Rust"/>
    <x v="8"/>
    <x v="1"/>
    <x v="3"/>
    <n v="795.98"/>
    <n v="2"/>
    <s v="2011-10-10"/>
    <n v="0"/>
    <n v="393"/>
    <n v="2.0248789999999999"/>
    <n v="2"/>
    <x v="2"/>
    <x v="169"/>
    <n v="373.34"/>
    <n v="0"/>
    <s v="414291/1097815-38075"/>
    <s v="74111661767"/>
    <n v="796.00001999999995"/>
    <n v="0"/>
    <n v="59962"/>
  </r>
  <r>
    <x v="1"/>
    <m/>
    <s v="Røde Rust OPSAGT pr 1/3-2012"/>
    <n v="5948"/>
    <m/>
    <s v="Røde Rust"/>
    <x v="8"/>
    <x v="1"/>
    <x v="4"/>
    <n v="5288.13"/>
    <n v="3"/>
    <s v="2011-10-10"/>
    <n v="0"/>
    <n v="393"/>
    <n v="13.452378"/>
    <n v="2"/>
    <x v="2"/>
    <x v="170"/>
    <n v="2480.14"/>
    <n v="0"/>
    <s v="414291/1097815-38075"/>
    <s v="74111661767"/>
    <n v="5288.125"/>
    <n v="0"/>
    <n v="59962"/>
  </r>
  <r>
    <x v="1"/>
    <m/>
    <s v="Røde Rust OPSAGT pr 1/3-2012"/>
    <n v="5948"/>
    <m/>
    <s v="Røde Rust"/>
    <x v="8"/>
    <x v="1"/>
    <x v="5"/>
    <n v="13106.5"/>
    <n v="3"/>
    <s v="2011-10-10"/>
    <n v="0"/>
    <n v="393"/>
    <n v="33.341388000000002"/>
    <n v="2"/>
    <x v="2"/>
    <x v="171"/>
    <n v="6146.95"/>
    <n v="0"/>
    <s v="414291/1097815-38075"/>
    <s v="74111661767"/>
    <n v="13106.483109999999"/>
    <n v="0"/>
    <n v="59962"/>
  </r>
  <r>
    <x v="1"/>
    <m/>
    <s v="Røde Rust OPSAGT pr 1/3-2012"/>
    <n v="5948"/>
    <m/>
    <s v="Røde Rust"/>
    <x v="8"/>
    <x v="1"/>
    <x v="6"/>
    <n v="15115.26"/>
    <n v="9"/>
    <s v="2011-10-10"/>
    <n v="0"/>
    <n v="393"/>
    <n v="38.451436999999999"/>
    <n v="2"/>
    <x v="2"/>
    <x v="172"/>
    <n v="7089.05"/>
    <n v="0"/>
    <s v="414291/1097815-38075"/>
    <s v="74111661767"/>
    <n v="15115.2714"/>
    <n v="0"/>
    <n v="59962"/>
  </r>
  <r>
    <x v="1"/>
    <m/>
    <s v="Spejderhus, Alugod, Kollekollevej 39"/>
    <n v="10171"/>
    <m/>
    <s v="Spejderhus, Kollekollevej 39"/>
    <x v="6"/>
    <x v="0"/>
    <x v="0"/>
    <n v="10252"/>
    <n v="5"/>
    <s v="2012-10-31"/>
    <n v="0"/>
    <n v="353"/>
    <n v="29.035485000000001"/>
    <n v="2"/>
    <x v="2"/>
    <x v="173"/>
    <n v="3075.73"/>
    <n v="0"/>
    <s v="136073"/>
    <s v="74110498135"/>
    <n v="10252.429"/>
    <n v="0"/>
    <n v="77185"/>
  </r>
  <r>
    <x v="1"/>
    <m/>
    <s v="Spejderhus, Alugod, Kollekollevej 39"/>
    <n v="10171"/>
    <m/>
    <s v="Spejderhus, Kollekollevej 39"/>
    <x v="6"/>
    <x v="0"/>
    <x v="1"/>
    <n v="36244.120000000003"/>
    <n v="12"/>
    <s v="2012-10-31"/>
    <n v="0"/>
    <n v="353"/>
    <n v="102.645482"/>
    <n v="2"/>
    <x v="2"/>
    <x v="174"/>
    <n v="10873.23"/>
    <n v="0"/>
    <s v="136073"/>
    <s v="74110498135"/>
    <n v="36244.122300000003"/>
    <n v="0"/>
    <n v="77185"/>
  </r>
  <r>
    <x v="1"/>
    <m/>
    <s v="Spejderhus, Alugod, Kollekollevej 39"/>
    <n v="10171"/>
    <m/>
    <s v="Spejderhus, Kollekollevej 39"/>
    <x v="6"/>
    <x v="0"/>
    <x v="2"/>
    <n v="33102.660000000003"/>
    <n v="10"/>
    <s v="2012-10-31"/>
    <n v="0"/>
    <n v="353"/>
    <n v="93.748683"/>
    <n v="2"/>
    <x v="2"/>
    <x v="175"/>
    <n v="13241.08"/>
    <n v="0"/>
    <s v="136073"/>
    <s v="74110498135"/>
    <n v="33102.665289999997"/>
    <n v="0"/>
    <n v="77185"/>
  </r>
  <r>
    <x v="1"/>
    <m/>
    <s v="Spejderhus, Alugod, Kollekollevej 39"/>
    <n v="10171"/>
    <m/>
    <s v="Spejderhus, Kollekollevej 39"/>
    <x v="6"/>
    <x v="0"/>
    <x v="3"/>
    <n v="28086.98"/>
    <n v="1"/>
    <s v="2012-10-31"/>
    <n v="0"/>
    <n v="353"/>
    <n v="79.543981000000002"/>
    <n v="2"/>
    <x v="2"/>
    <x v="176"/>
    <n v="13172.79"/>
    <n v="0"/>
    <s v="136073"/>
    <s v="74110498135"/>
    <n v="28087.001120000001"/>
    <n v="0"/>
    <n v="77185"/>
  </r>
  <r>
    <x v="1"/>
    <m/>
    <s v="Spejderhus, Alugod, Kollekollevej 39"/>
    <n v="10171"/>
    <m/>
    <s v="Spejderhus, Kollekollevej 39"/>
    <x v="6"/>
    <x v="0"/>
    <x v="4"/>
    <n v="31061.34"/>
    <n v="3"/>
    <s v="2012-10-31"/>
    <n v="0"/>
    <n v="353"/>
    <n v="87.967544000000004"/>
    <n v="2"/>
    <x v="2"/>
    <x v="177"/>
    <n v="14567.75"/>
    <n v="0"/>
    <s v="136073"/>
    <s v="74110498135"/>
    <n v="31061.353360000001"/>
    <n v="0"/>
    <n v="77185"/>
  </r>
  <r>
    <x v="1"/>
    <m/>
    <s v="Spejderhus, Alugod, Kollekollevej 39"/>
    <n v="10171"/>
    <m/>
    <s v="Spejderhus, Kollekollevej 39"/>
    <x v="6"/>
    <x v="0"/>
    <x v="5"/>
    <n v="29212.06"/>
    <n v="3"/>
    <s v="2012-10-31"/>
    <n v="0"/>
    <n v="353"/>
    <n v="82.730273999999994"/>
    <n v="2"/>
    <x v="2"/>
    <x v="178"/>
    <n v="13700.43"/>
    <n v="0"/>
    <s v="136073"/>
    <s v="74110498135"/>
    <n v="29212.031230000001"/>
    <n v="0"/>
    <n v="77185"/>
  </r>
  <r>
    <x v="1"/>
    <m/>
    <s v="Spejderhus, Alugod, Kollekollevej 39"/>
    <n v="10171"/>
    <m/>
    <s v="Spejderhus, Kollekollevej 39"/>
    <x v="6"/>
    <x v="0"/>
    <x v="6"/>
    <n v="27496.95"/>
    <n v="4"/>
    <s v="2012-10-31"/>
    <n v="0"/>
    <n v="353"/>
    <n v="77.872981999999993"/>
    <n v="2"/>
    <x v="2"/>
    <x v="179"/>
    <n v="12896.06"/>
    <n v="0"/>
    <s v="136073"/>
    <s v="74110498135"/>
    <n v="27496.952809999999"/>
    <n v="0"/>
    <n v="77185"/>
  </r>
  <r>
    <x v="1"/>
    <m/>
    <s v="Spejderhus, Egedal Solgt"/>
    <n v="10203"/>
    <m/>
    <s v="Spejderhus, Egedal"/>
    <x v="7"/>
    <x v="1"/>
    <x v="2"/>
    <n v="562.30999999999995"/>
    <n v="1"/>
    <s v="2012-11-30"/>
    <n v="0"/>
    <n v="178"/>
    <n v="3.1572710000000002"/>
    <n v="2"/>
    <x v="2"/>
    <x v="180"/>
    <n v="224.94"/>
    <n v="0"/>
    <s v="388648"/>
    <s v="74110492454"/>
    <n v="562.31637999999998"/>
    <n v="0"/>
    <n v="77383"/>
  </r>
  <r>
    <x v="1"/>
    <m/>
    <s v="Spejderhus, Egedal Solgt"/>
    <n v="10203"/>
    <m/>
    <s v="Spejderhus, Egedal"/>
    <x v="7"/>
    <x v="1"/>
    <x v="3"/>
    <n v="295.95"/>
    <n v="7"/>
    <s v="2012-11-30"/>
    <n v="0"/>
    <n v="178"/>
    <n v="1.6617059999999999"/>
    <n v="2"/>
    <x v="2"/>
    <x v="181"/>
    <n v="138.80000000000001"/>
    <n v="0"/>
    <s v="388648"/>
    <s v="74110492454"/>
    <n v="295.95632000000001"/>
    <n v="0"/>
    <n v="77383"/>
  </r>
  <r>
    <x v="1"/>
    <m/>
    <s v="Spejderhus, Egedal Solgt"/>
    <n v="10203"/>
    <m/>
    <s v="Spejderhus, Egedal"/>
    <x v="7"/>
    <x v="1"/>
    <x v="4"/>
    <n v="646.01"/>
    <n v="11"/>
    <s v="2012-11-30"/>
    <n v="0"/>
    <n v="178"/>
    <n v="3.6272310000000001"/>
    <n v="2"/>
    <x v="2"/>
    <x v="182"/>
    <n v="302.97000000000003"/>
    <n v="0"/>
    <s v="388648"/>
    <s v="74110492454"/>
    <n v="646.01297999999997"/>
    <n v="0"/>
    <n v="77383"/>
  </r>
  <r>
    <x v="1"/>
    <m/>
    <s v="Spejderhus, Egedal Solgt"/>
    <n v="10203"/>
    <m/>
    <s v="Spejderhus, Egedal"/>
    <x v="7"/>
    <x v="1"/>
    <x v="5"/>
    <n v="3205.04"/>
    <n v="11"/>
    <s v="2012-11-30"/>
    <n v="0"/>
    <n v="178"/>
    <n v="17.995732"/>
    <n v="2"/>
    <x v="2"/>
    <x v="183"/>
    <n v="1503.16"/>
    <n v="0"/>
    <s v="388648"/>
    <s v="74110492454"/>
    <n v="3205.0368400000002"/>
    <n v="0"/>
    <n v="77383"/>
  </r>
  <r>
    <x v="1"/>
    <m/>
    <s v="Spejderhus, Egedal Solgt"/>
    <n v="10203"/>
    <m/>
    <s v="Spejderhus, Egedal"/>
    <x v="7"/>
    <x v="1"/>
    <x v="6"/>
    <n v="3138.37"/>
    <n v="9"/>
    <s v="2012-11-30"/>
    <n v="0"/>
    <n v="178"/>
    <n v="17.621392"/>
    <n v="2"/>
    <x v="2"/>
    <x v="184"/>
    <n v="1471.89"/>
    <n v="0"/>
    <s v="388648"/>
    <s v="74110492454"/>
    <n v="3138.3587400000001"/>
    <n v="0"/>
    <n v="77383"/>
  </r>
  <r>
    <x v="1"/>
    <m/>
    <s v="Tumlebo - OPSAGT 31/7/2011"/>
    <n v="5947"/>
    <m/>
    <s v="Tumlebo"/>
    <x v="9"/>
    <x v="1"/>
    <x v="3"/>
    <n v="508.98"/>
    <n v="3"/>
    <s v="2011-11-09"/>
    <n v="0"/>
    <n v="489"/>
    <n v="1.040646"/>
    <n v="2"/>
    <x v="2"/>
    <x v="185"/>
    <n v="238.73"/>
    <n v="0"/>
    <s v="337918"/>
    <s v="74111798173"/>
    <n v="509"/>
    <n v="0"/>
    <n v="59959"/>
  </r>
  <r>
    <x v="1"/>
    <m/>
    <s v="Tumlebo - OPSAGT 31/7/2011"/>
    <n v="5947"/>
    <m/>
    <s v="Tumlebo"/>
    <x v="9"/>
    <x v="0"/>
    <x v="4"/>
    <n v="3978.82"/>
    <n v="3"/>
    <s v="2011-11-09"/>
    <n v="0"/>
    <n v="489"/>
    <n v="8.1349820000000008"/>
    <n v="2"/>
    <x v="2"/>
    <x v="186"/>
    <n v="1866.05"/>
    <n v="0"/>
    <s v="337918"/>
    <s v="74111798173"/>
    <n v="3978.83401"/>
    <n v="0"/>
    <n v="59959"/>
  </r>
  <r>
    <x v="1"/>
    <m/>
    <s v="Tumlebo - OPSAGT 31/7/2011"/>
    <n v="5947"/>
    <m/>
    <s v="Tumlebo"/>
    <x v="9"/>
    <x v="0"/>
    <x v="5"/>
    <n v="16118.98"/>
    <n v="2"/>
    <s v="2011-11-09"/>
    <n v="0"/>
    <n v="489"/>
    <n v="32.956409000000001"/>
    <n v="2"/>
    <x v="2"/>
    <x v="187"/>
    <n v="7559.79"/>
    <n v="0"/>
    <s v="337918"/>
    <s v="74111798173"/>
    <n v="16118.99458"/>
    <n v="0"/>
    <n v="59959"/>
  </r>
  <r>
    <x v="1"/>
    <m/>
    <s v="Tumlebo - OPSAGT 31/7/2011"/>
    <n v="5947"/>
    <m/>
    <s v="Tumlebo"/>
    <x v="9"/>
    <x v="0"/>
    <x v="6"/>
    <n v="17459.759999999998"/>
    <n v="3"/>
    <s v="2011-11-09"/>
    <n v="0"/>
    <n v="489"/>
    <n v="35.69773"/>
    <n v="2"/>
    <x v="2"/>
    <x v="188"/>
    <n v="8188.64"/>
    <n v="0"/>
    <s v="337918"/>
    <s v="74111798173"/>
    <n v="17459.786810000001"/>
    <n v="0"/>
    <n v="59959"/>
  </r>
  <r>
    <x v="1"/>
    <m/>
    <s v="Spejderhus, Alugod, Kollekollevej 39"/>
    <n v="10171"/>
    <m/>
    <s v="Spejderhus, Kollekollevej 39"/>
    <x v="6"/>
    <x v="0"/>
    <x v="7"/>
    <n v="61.8"/>
    <n v="12"/>
    <s v="2011-08-30"/>
    <n v="0"/>
    <n v="353"/>
    <n v="0.17502100000000001"/>
    <n v="3"/>
    <x v="0"/>
    <x v="189"/>
    <n v="49.44"/>
    <n v="0"/>
    <s v="41215"/>
    <m/>
    <n v="61.8"/>
    <n v="0"/>
    <n v="77186"/>
  </r>
  <r>
    <x v="1"/>
    <m/>
    <s v="Spejderhus, Alugod, Kollekollevej 39"/>
    <n v="10171"/>
    <m/>
    <s v="Spejderhus, Kollekollevej 39"/>
    <x v="6"/>
    <x v="0"/>
    <x v="7"/>
    <n v="18664.57"/>
    <n v="11"/>
    <s v="2012-10-31"/>
    <n v="0"/>
    <n v="353"/>
    <n v="52.859161"/>
    <n v="2"/>
    <x v="2"/>
    <x v="190"/>
    <n v="5599.36"/>
    <n v="0"/>
    <s v="136073"/>
    <s v="74110498135"/>
    <n v="18664.554100000001"/>
    <n v="0"/>
    <n v="77185"/>
  </r>
  <r>
    <x v="2"/>
    <s v="04272-2"/>
    <s v="Bybækskolen"/>
    <n v="5478"/>
    <m/>
    <s v="Bimåler BV"/>
    <x v="10"/>
    <x v="0"/>
    <x v="0"/>
    <n v="0"/>
    <n v="5"/>
    <m/>
    <n v="0"/>
    <n v="0"/>
    <n v="0"/>
    <n v="3"/>
    <x v="0"/>
    <x v="1"/>
    <n v="0"/>
    <n v="1"/>
    <s v="BV 02"/>
    <m/>
    <n v="0"/>
    <n v="0"/>
    <n v="58275"/>
  </r>
  <r>
    <x v="2"/>
    <s v="04272-2"/>
    <s v="Bybækskolen"/>
    <n v="5478"/>
    <m/>
    <s v="Bimåler BV"/>
    <x v="10"/>
    <x v="0"/>
    <x v="0"/>
    <n v="0"/>
    <n v="5"/>
    <m/>
    <n v="0"/>
    <n v="0"/>
    <n v="898.4"/>
    <n v="3"/>
    <x v="0"/>
    <x v="191"/>
    <n v="71.87"/>
    <n v="1"/>
    <s v="BV 01"/>
    <m/>
    <n v="89.84"/>
    <n v="0"/>
    <n v="58276"/>
  </r>
  <r>
    <x v="2"/>
    <s v="04272-2"/>
    <s v="Bybækskolen"/>
    <n v="5478"/>
    <m/>
    <s v="Bimåler BV"/>
    <x v="10"/>
    <x v="0"/>
    <x v="1"/>
    <n v="0"/>
    <n v="12"/>
    <m/>
    <n v="0"/>
    <n v="0"/>
    <n v="0"/>
    <n v="3"/>
    <x v="0"/>
    <x v="1"/>
    <n v="0"/>
    <n v="1"/>
    <s v="BV 02"/>
    <m/>
    <n v="0"/>
    <n v="0"/>
    <n v="58275"/>
  </r>
  <r>
    <x v="2"/>
    <s v="04272-2"/>
    <s v="Bybækskolen"/>
    <n v="5478"/>
    <m/>
    <s v="Bimåler BV"/>
    <x v="10"/>
    <x v="0"/>
    <x v="1"/>
    <n v="122.51"/>
    <n v="12"/>
    <m/>
    <n v="0"/>
    <n v="0"/>
    <n v="1225.0999999999999"/>
    <n v="3"/>
    <x v="0"/>
    <x v="192"/>
    <n v="98"/>
    <n v="1"/>
    <s v="BV 01"/>
    <m/>
    <n v="122.51"/>
    <n v="0"/>
    <n v="58276"/>
  </r>
  <r>
    <x v="2"/>
    <s v="04272-2"/>
    <s v="Bybækskolen"/>
    <n v="5478"/>
    <m/>
    <s v="Bimåler BV"/>
    <x v="10"/>
    <x v="0"/>
    <x v="2"/>
    <n v="0"/>
    <n v="12"/>
    <m/>
    <n v="0"/>
    <n v="0"/>
    <n v="0"/>
    <n v="3"/>
    <x v="0"/>
    <x v="1"/>
    <n v="0"/>
    <n v="1"/>
    <s v="BV 02"/>
    <m/>
    <n v="0"/>
    <n v="0"/>
    <n v="58275"/>
  </r>
  <r>
    <x v="2"/>
    <s v="04272-2"/>
    <s v="Bybækskolen"/>
    <n v="5478"/>
    <m/>
    <s v="Bimåler BV"/>
    <x v="10"/>
    <x v="0"/>
    <x v="2"/>
    <n v="69.08"/>
    <n v="12"/>
    <m/>
    <n v="0"/>
    <n v="0"/>
    <n v="690.8"/>
    <n v="3"/>
    <x v="0"/>
    <x v="193"/>
    <n v="55.27"/>
    <n v="1"/>
    <s v="BV 01"/>
    <m/>
    <n v="69.08"/>
    <n v="0"/>
    <n v="58276"/>
  </r>
  <r>
    <x v="2"/>
    <s v="04272-2"/>
    <s v="Bybækskolen"/>
    <n v="5478"/>
    <m/>
    <s v="Bimåler BV"/>
    <x v="10"/>
    <x v="0"/>
    <x v="3"/>
    <n v="0"/>
    <n v="12"/>
    <m/>
    <n v="0"/>
    <n v="0"/>
    <n v="0"/>
    <n v="3"/>
    <x v="0"/>
    <x v="1"/>
    <n v="0"/>
    <n v="1"/>
    <s v="BV 02"/>
    <m/>
    <n v="0"/>
    <n v="0"/>
    <n v="58275"/>
  </r>
  <r>
    <x v="2"/>
    <s v="04272-2"/>
    <s v="Bybækskolen"/>
    <n v="5478"/>
    <m/>
    <s v="Bimåler BV"/>
    <x v="10"/>
    <x v="0"/>
    <x v="3"/>
    <n v="1.1000000000000001"/>
    <n v="12"/>
    <m/>
    <n v="0"/>
    <n v="0"/>
    <n v="11"/>
    <n v="3"/>
    <x v="0"/>
    <x v="194"/>
    <n v="0.88"/>
    <n v="1"/>
    <s v="BV 01"/>
    <m/>
    <n v="1.1000000000000001"/>
    <n v="0"/>
    <n v="58276"/>
  </r>
  <r>
    <x v="2"/>
    <s v="04272-2"/>
    <s v="Bybækskolen"/>
    <n v="5478"/>
    <m/>
    <s v="Bimåler BV"/>
    <x v="10"/>
    <x v="0"/>
    <x v="4"/>
    <n v="0"/>
    <n v="12"/>
    <m/>
    <n v="0"/>
    <n v="0"/>
    <n v="0"/>
    <n v="3"/>
    <x v="0"/>
    <x v="1"/>
    <n v="0"/>
    <n v="1"/>
    <s v="BV 02"/>
    <m/>
    <n v="0"/>
    <n v="0"/>
    <n v="58275"/>
  </r>
  <r>
    <x v="2"/>
    <s v="04272-2"/>
    <s v="Bybækskolen"/>
    <n v="5478"/>
    <m/>
    <s v="Bimåler BV"/>
    <x v="10"/>
    <x v="0"/>
    <x v="4"/>
    <n v="5.46"/>
    <n v="12"/>
    <m/>
    <n v="0"/>
    <n v="0"/>
    <n v="54.6"/>
    <n v="3"/>
    <x v="0"/>
    <x v="195"/>
    <n v="4.3600000000000003"/>
    <n v="1"/>
    <s v="BV 01"/>
    <m/>
    <n v="5.46"/>
    <n v="0"/>
    <n v="58276"/>
  </r>
  <r>
    <x v="2"/>
    <s v="04272-2"/>
    <s v="Bybækskolen"/>
    <n v="5478"/>
    <m/>
    <s v="Bimåler BV"/>
    <x v="10"/>
    <x v="0"/>
    <x v="5"/>
    <n v="0"/>
    <n v="12"/>
    <m/>
    <n v="0"/>
    <n v="0"/>
    <n v="0"/>
    <n v="3"/>
    <x v="0"/>
    <x v="1"/>
    <n v="0"/>
    <n v="1"/>
    <s v="BV 02"/>
    <m/>
    <n v="0"/>
    <n v="0"/>
    <n v="58275"/>
  </r>
  <r>
    <x v="2"/>
    <s v="04272-2"/>
    <s v="Bybækskolen"/>
    <n v="5478"/>
    <m/>
    <s v="Bimåler BV"/>
    <x v="10"/>
    <x v="0"/>
    <x v="5"/>
    <n v="55.54"/>
    <n v="12"/>
    <m/>
    <n v="0"/>
    <n v="0"/>
    <n v="555.4"/>
    <n v="3"/>
    <x v="0"/>
    <x v="196"/>
    <n v="44.43"/>
    <n v="1"/>
    <s v="BV 01"/>
    <m/>
    <n v="55.54"/>
    <n v="0"/>
    <n v="58276"/>
  </r>
  <r>
    <x v="2"/>
    <s v="04272-2"/>
    <s v="Bybækskolen"/>
    <n v="5478"/>
    <m/>
    <s v="Bimåler BV"/>
    <x v="10"/>
    <x v="0"/>
    <x v="6"/>
    <n v="0"/>
    <n v="12"/>
    <m/>
    <n v="0"/>
    <n v="0"/>
    <n v="0"/>
    <n v="3"/>
    <x v="0"/>
    <x v="1"/>
    <n v="0"/>
    <n v="1"/>
    <s v="BV 02"/>
    <m/>
    <n v="0"/>
    <n v="0"/>
    <n v="58275"/>
  </r>
  <r>
    <x v="2"/>
    <s v="04272-2"/>
    <s v="Bybækskolen"/>
    <n v="5478"/>
    <m/>
    <s v="Bimåler BV"/>
    <x v="10"/>
    <x v="0"/>
    <x v="6"/>
    <n v="99.74"/>
    <n v="12"/>
    <m/>
    <n v="0"/>
    <n v="0"/>
    <n v="997.4"/>
    <n v="3"/>
    <x v="0"/>
    <x v="197"/>
    <n v="79.81"/>
    <n v="1"/>
    <s v="BV 01"/>
    <m/>
    <n v="99.74"/>
    <n v="0"/>
    <n v="58276"/>
  </r>
  <r>
    <x v="2"/>
    <s v="04272-2"/>
    <s v="Bybækskolen"/>
    <n v="5477"/>
    <m/>
    <s v="Bybækskolen"/>
    <x v="10"/>
    <x v="0"/>
    <x v="0"/>
    <n v="957"/>
    <n v="5"/>
    <s v="2005-06-01"/>
    <n v="0"/>
    <n v="9829"/>
    <n v="5.0610000000000002E-2"/>
    <n v="3"/>
    <x v="0"/>
    <x v="198"/>
    <n v="397.97"/>
    <n v="0"/>
    <s v="10012218"/>
    <m/>
    <n v="497.46"/>
    <n v="0"/>
    <n v="57922"/>
  </r>
  <r>
    <x v="2"/>
    <s v="04272-2"/>
    <s v="Bybækskolen"/>
    <n v="5477"/>
    <m/>
    <s v="Bybækskolen"/>
    <x v="10"/>
    <x v="0"/>
    <x v="1"/>
    <n v="735.58"/>
    <n v="12"/>
    <s v="2005-06-01"/>
    <n v="0"/>
    <n v="9829"/>
    <n v="7.4836E-2"/>
    <n v="3"/>
    <x v="0"/>
    <x v="199"/>
    <n v="588.47"/>
    <n v="0"/>
    <s v="10012218"/>
    <m/>
    <n v="735.58"/>
    <n v="0"/>
    <n v="57922"/>
  </r>
  <r>
    <x v="2"/>
    <s v="04272-2"/>
    <s v="Bybækskolen"/>
    <n v="5477"/>
    <m/>
    <s v="Bybækskolen"/>
    <x v="10"/>
    <x v="0"/>
    <x v="2"/>
    <n v="434.42"/>
    <n v="12"/>
    <s v="2005-06-01"/>
    <n v="0"/>
    <n v="9829"/>
    <n v="4.4197E-2"/>
    <n v="3"/>
    <x v="0"/>
    <x v="200"/>
    <n v="347.56"/>
    <n v="0"/>
    <s v="10012218"/>
    <m/>
    <n v="434.42"/>
    <n v="0"/>
    <n v="57922"/>
  </r>
  <r>
    <x v="2"/>
    <s v="04272-2"/>
    <s v="Bybækskolen"/>
    <n v="5477"/>
    <m/>
    <s v="Bybækskolen"/>
    <x v="10"/>
    <x v="0"/>
    <x v="3"/>
    <n v="336.4"/>
    <n v="12"/>
    <s v="2005-06-01"/>
    <n v="0"/>
    <n v="9829"/>
    <n v="3.4223999999999997E-2"/>
    <n v="3"/>
    <x v="0"/>
    <x v="201"/>
    <n v="269.11"/>
    <n v="0"/>
    <s v="10012218"/>
    <m/>
    <n v="336.4"/>
    <n v="0"/>
    <n v="57922"/>
  </r>
  <r>
    <x v="2"/>
    <s v="04272-2"/>
    <s v="Bybækskolen"/>
    <n v="5477"/>
    <m/>
    <s v="Bybækskolen"/>
    <x v="10"/>
    <x v="0"/>
    <x v="4"/>
    <n v="501.06"/>
    <n v="12"/>
    <s v="2005-06-01"/>
    <n v="0"/>
    <n v="9829"/>
    <n v="5.0977000000000001E-2"/>
    <n v="3"/>
    <x v="0"/>
    <x v="202"/>
    <n v="400.84"/>
    <n v="0"/>
    <s v="10012218"/>
    <m/>
    <n v="501.06"/>
    <n v="0"/>
    <n v="57922"/>
  </r>
  <r>
    <x v="2"/>
    <s v="04272-2"/>
    <s v="Bybækskolen"/>
    <n v="5477"/>
    <m/>
    <s v="Bybækskolen"/>
    <x v="10"/>
    <x v="0"/>
    <x v="5"/>
    <n v="635.45000000000005"/>
    <n v="12"/>
    <s v="2005-06-01"/>
    <n v="0"/>
    <n v="9829"/>
    <n v="6.4648999999999998E-2"/>
    <n v="3"/>
    <x v="0"/>
    <x v="203"/>
    <n v="508.38"/>
    <n v="0"/>
    <s v="10012218"/>
    <m/>
    <n v="635.45000000000005"/>
    <n v="0"/>
    <n v="57922"/>
  </r>
  <r>
    <x v="2"/>
    <s v="04272-2"/>
    <s v="Bybækskolen"/>
    <n v="5477"/>
    <m/>
    <s v="Bybækskolen"/>
    <x v="10"/>
    <x v="0"/>
    <x v="6"/>
    <n v="960.7"/>
    <n v="12"/>
    <s v="2005-06-01"/>
    <n v="0"/>
    <n v="9829"/>
    <n v="9.7739999999999994E-2"/>
    <n v="3"/>
    <x v="0"/>
    <x v="204"/>
    <n v="768.56"/>
    <n v="0"/>
    <s v="10012218"/>
    <m/>
    <n v="960.7"/>
    <n v="0"/>
    <n v="57922"/>
  </r>
  <r>
    <x v="2"/>
    <m/>
    <s v="Driftsgården"/>
    <n v="10123"/>
    <m/>
    <s v="Bygning 3"/>
    <x v="11"/>
    <x v="0"/>
    <x v="1"/>
    <n v="1926.87"/>
    <n v="12"/>
    <m/>
    <n v="0"/>
    <n v="1413"/>
    <n v="1.3635759999999999"/>
    <n v="3"/>
    <x v="0"/>
    <x v="205"/>
    <n v="1541.49"/>
    <n v="0"/>
    <m/>
    <m/>
    <n v="1926.8779999999999"/>
    <n v="0"/>
    <n v="76937"/>
  </r>
  <r>
    <x v="2"/>
    <m/>
    <s v="Driftsgården"/>
    <n v="10124"/>
    <m/>
    <s v="Bygning 1"/>
    <x v="11"/>
    <x v="0"/>
    <x v="1"/>
    <n v="145518.56"/>
    <n v="12"/>
    <s v="2008-01-31"/>
    <n v="0"/>
    <n v="780"/>
    <n v="186.538341"/>
    <n v="1"/>
    <x v="4"/>
    <x v="206"/>
    <n v="32054.16"/>
    <n v="0"/>
    <s v="Afmeldt 1203849"/>
    <s v="98004052476"/>
    <n v="13473.94"/>
    <n v="0"/>
    <n v="77796"/>
  </r>
  <r>
    <x v="2"/>
    <m/>
    <s v="Driftsgården"/>
    <n v="10123"/>
    <m/>
    <s v="Bygning 3"/>
    <x v="11"/>
    <x v="0"/>
    <x v="2"/>
    <n v="1860.98"/>
    <n v="12"/>
    <m/>
    <n v="0"/>
    <n v="1413"/>
    <n v="1.316948"/>
    <n v="3"/>
    <x v="0"/>
    <x v="207"/>
    <n v="1488.79"/>
    <n v="0"/>
    <m/>
    <m/>
    <n v="1860.991"/>
    <n v="0"/>
    <n v="76937"/>
  </r>
  <r>
    <x v="2"/>
    <m/>
    <s v="Driftsgården"/>
    <n v="10123"/>
    <m/>
    <s v="Bygning 3"/>
    <x v="11"/>
    <x v="0"/>
    <x v="3"/>
    <n v="1727.76"/>
    <n v="12"/>
    <m/>
    <n v="0"/>
    <n v="1413"/>
    <n v="1.2226729999999999"/>
    <n v="3"/>
    <x v="0"/>
    <x v="208"/>
    <n v="1382.19"/>
    <n v="0"/>
    <m/>
    <m/>
    <n v="1727.742"/>
    <n v="0"/>
    <n v="76937"/>
  </r>
  <r>
    <x v="2"/>
    <m/>
    <s v="Driftsgården"/>
    <n v="10123"/>
    <m/>
    <s v="Bygning 3"/>
    <x v="11"/>
    <x v="0"/>
    <x v="4"/>
    <n v="1555.69"/>
    <n v="12"/>
    <m/>
    <n v="0"/>
    <n v="1413"/>
    <n v="1.100905"/>
    <n v="3"/>
    <x v="0"/>
    <x v="209"/>
    <n v="1244.55"/>
    <n v="0"/>
    <m/>
    <m/>
    <n v="1555.6949999999999"/>
    <n v="0"/>
    <n v="76937"/>
  </r>
  <r>
    <x v="2"/>
    <m/>
    <s v="Driftsgården"/>
    <n v="10123"/>
    <m/>
    <s v="Bygning 3"/>
    <x v="11"/>
    <x v="0"/>
    <x v="5"/>
    <n v="1509.57"/>
    <n v="12"/>
    <m/>
    <n v="0"/>
    <n v="1413"/>
    <n v="1.068268"/>
    <n v="3"/>
    <x v="0"/>
    <x v="210"/>
    <n v="1207.67"/>
    <n v="0"/>
    <m/>
    <m/>
    <n v="1509.58"/>
    <n v="0"/>
    <n v="76937"/>
  </r>
  <r>
    <x v="2"/>
    <m/>
    <s v="Driftsgården"/>
    <n v="10123"/>
    <m/>
    <s v="Bygning 3"/>
    <x v="11"/>
    <x v="0"/>
    <x v="6"/>
    <n v="1157.79"/>
    <n v="12"/>
    <m/>
    <n v="0"/>
    <n v="1413"/>
    <n v="0.819326"/>
    <n v="3"/>
    <x v="0"/>
    <x v="211"/>
    <n v="926.22"/>
    <n v="0"/>
    <m/>
    <m/>
    <n v="1157.7850000000001"/>
    <n v="0"/>
    <n v="76937"/>
  </r>
  <r>
    <x v="2"/>
    <m/>
    <s v="Driftsgården"/>
    <n v="10123"/>
    <m/>
    <s v="Bygning 3"/>
    <x v="11"/>
    <x v="0"/>
    <x v="6"/>
    <n v="131.61000000000001"/>
    <n v="1"/>
    <s v="2008-01-31"/>
    <n v="0"/>
    <n v="1413"/>
    <n v="9.3134999999999996E-2"/>
    <n v="3"/>
    <x v="0"/>
    <x v="212"/>
    <n v="105.29"/>
    <n v="0"/>
    <s v="00WPE016273"/>
    <m/>
    <n v="131.6129"/>
    <n v="0"/>
    <n v="77799"/>
  </r>
  <r>
    <x v="2"/>
    <s v="03972-1"/>
    <s v="Skolelandbruget"/>
    <n v="6070"/>
    <m/>
    <s v="Skolelandbruget"/>
    <x v="12"/>
    <x v="0"/>
    <x v="0"/>
    <n v="105"/>
    <n v="5"/>
    <s v="2015-05-06"/>
    <n v="0"/>
    <n v="800"/>
    <n v="4.7606000000000002E-2"/>
    <n v="3"/>
    <x v="0"/>
    <x v="213"/>
    <n v="30.48"/>
    <n v="0"/>
    <s v="-04104875"/>
    <m/>
    <n v="38.092570000000002"/>
    <n v="0"/>
    <n v="60881"/>
  </r>
  <r>
    <x v="2"/>
    <s v="03972-1"/>
    <s v="Skolelandbruget"/>
    <n v="6070"/>
    <m/>
    <s v="Skolelandbruget"/>
    <x v="12"/>
    <x v="0"/>
    <x v="1"/>
    <n v="111.97"/>
    <n v="12"/>
    <s v="2015-05-06"/>
    <n v="0"/>
    <n v="800"/>
    <n v="0.13994500000000001"/>
    <n v="3"/>
    <x v="0"/>
    <x v="214"/>
    <n v="89.58"/>
    <n v="0"/>
    <s v="-04104875"/>
    <m/>
    <n v="111.96766"/>
    <n v="0"/>
    <n v="60881"/>
  </r>
  <r>
    <x v="2"/>
    <s v="03972-1"/>
    <s v="Skolelandbruget"/>
    <n v="6070"/>
    <m/>
    <s v="Skolelandbruget"/>
    <x v="12"/>
    <x v="0"/>
    <x v="2"/>
    <n v="130.54"/>
    <n v="12"/>
    <s v="2015-05-06"/>
    <n v="0"/>
    <n v="800"/>
    <n v="0.16315399999999999"/>
    <n v="3"/>
    <x v="0"/>
    <x v="215"/>
    <n v="104.43"/>
    <n v="0"/>
    <s v="-04104875"/>
    <m/>
    <n v="130.54799"/>
    <n v="0"/>
    <n v="60881"/>
  </r>
  <r>
    <x v="2"/>
    <s v="03972-1"/>
    <s v="Skolelandbruget"/>
    <n v="6070"/>
    <m/>
    <s v="Skolelandbruget"/>
    <x v="12"/>
    <x v="0"/>
    <x v="3"/>
    <n v="130.24"/>
    <n v="12"/>
    <s v="2015-05-06"/>
    <n v="0"/>
    <n v="800"/>
    <n v="0.16277900000000001"/>
    <n v="3"/>
    <x v="0"/>
    <x v="216"/>
    <n v="104.19"/>
    <n v="0"/>
    <s v="-04104875"/>
    <m/>
    <n v="130.23769999999999"/>
    <n v="0"/>
    <n v="60881"/>
  </r>
  <r>
    <x v="2"/>
    <s v="03972-1"/>
    <s v="Skolelandbruget"/>
    <n v="6070"/>
    <m/>
    <s v="Skolelandbruget"/>
    <x v="12"/>
    <x v="0"/>
    <x v="4"/>
    <n v="137.47999999999999"/>
    <n v="12"/>
    <s v="2015-05-06"/>
    <n v="0"/>
    <n v="800"/>
    <n v="0.17182800000000001"/>
    <n v="3"/>
    <x v="0"/>
    <x v="217"/>
    <n v="109.97"/>
    <n v="0"/>
    <s v="-04104875"/>
    <m/>
    <n v="137.47457"/>
    <n v="0"/>
    <n v="60881"/>
  </r>
  <r>
    <x v="2"/>
    <s v="03972-1"/>
    <s v="Skolelandbruget"/>
    <n v="6070"/>
    <m/>
    <s v="Skolelandbruget"/>
    <x v="12"/>
    <x v="0"/>
    <x v="5"/>
    <n v="147.16"/>
    <n v="12"/>
    <s v="2015-05-06"/>
    <n v="0"/>
    <n v="800"/>
    <n v="0.18392700000000001"/>
    <n v="3"/>
    <x v="0"/>
    <x v="218"/>
    <n v="117.72"/>
    <n v="0"/>
    <s v="-04104875"/>
    <m/>
    <n v="147.14938000000001"/>
    <n v="0"/>
    <n v="60881"/>
  </r>
  <r>
    <x v="2"/>
    <s v="03972-1"/>
    <s v="Skolelandbruget"/>
    <n v="6070"/>
    <m/>
    <s v="Skolelandbruget"/>
    <x v="12"/>
    <x v="0"/>
    <x v="6"/>
    <n v="210.62"/>
    <n v="11"/>
    <s v="2015-05-06"/>
    <n v="0"/>
    <n v="800"/>
    <n v="0.26324199999999998"/>
    <n v="3"/>
    <x v="0"/>
    <x v="219"/>
    <n v="168.5"/>
    <n v="0"/>
    <s v="-04104875"/>
    <m/>
    <n v="210.61574999999999"/>
    <n v="0"/>
    <n v="60881"/>
  </r>
  <r>
    <x v="2"/>
    <s v="04272-2"/>
    <s v="Bybækskolen"/>
    <n v="5478"/>
    <m/>
    <s v="Bimåler BV"/>
    <x v="10"/>
    <x v="0"/>
    <x v="7"/>
    <n v="0"/>
    <n v="12"/>
    <m/>
    <n v="0"/>
    <n v="0"/>
    <n v="0"/>
    <n v="3"/>
    <x v="0"/>
    <x v="1"/>
    <n v="0"/>
    <n v="1"/>
    <s v="BV 02"/>
    <m/>
    <n v="0"/>
    <n v="0"/>
    <n v="58275"/>
  </r>
  <r>
    <x v="2"/>
    <s v="04272-2"/>
    <s v="Bybækskolen"/>
    <n v="5478"/>
    <m/>
    <s v="Bimåler BV"/>
    <x v="10"/>
    <x v="0"/>
    <x v="7"/>
    <n v="141.85"/>
    <n v="12"/>
    <m/>
    <n v="0"/>
    <n v="0"/>
    <n v="1418.5"/>
    <n v="3"/>
    <x v="0"/>
    <x v="220"/>
    <n v="113.46"/>
    <n v="1"/>
    <s v="BV 01"/>
    <m/>
    <n v="141.85"/>
    <n v="0"/>
    <n v="58276"/>
  </r>
  <r>
    <x v="2"/>
    <s v="04272-2"/>
    <s v="Bybækskolen"/>
    <n v="5477"/>
    <m/>
    <s v="Bybækskolen"/>
    <x v="10"/>
    <x v="0"/>
    <x v="7"/>
    <n v="1031.78"/>
    <n v="12"/>
    <s v="2005-06-01"/>
    <n v="0"/>
    <n v="9829"/>
    <n v="0.10497099999999999"/>
    <n v="3"/>
    <x v="0"/>
    <x v="221"/>
    <n v="825.42"/>
    <n v="0"/>
    <s v="10012218"/>
    <m/>
    <n v="1031.78"/>
    <n v="0"/>
    <n v="57922"/>
  </r>
  <r>
    <x v="2"/>
    <s v="04272-2"/>
    <s v="Bybækskolen"/>
    <n v="5477"/>
    <m/>
    <s v="Bybækskolen"/>
    <x v="10"/>
    <x v="0"/>
    <x v="7"/>
    <n v="611620"/>
    <n v="12"/>
    <s v="2005-06-01"/>
    <n v="0"/>
    <n v="9829"/>
    <n v="62.225431999999998"/>
    <n v="1"/>
    <x v="1"/>
    <x v="222"/>
    <n v="51271821.479999997"/>
    <n v="0"/>
    <s v="4107844"/>
    <m/>
    <n v="611620"/>
    <n v="0"/>
    <n v="57921"/>
  </r>
  <r>
    <x v="2"/>
    <s v="04272-2"/>
    <s v="Bybækskolen"/>
    <n v="5477"/>
    <m/>
    <s v="Bybækskolen"/>
    <x v="10"/>
    <x v="0"/>
    <x v="6"/>
    <n v="301881.03999999998"/>
    <n v="12"/>
    <s v="2005-06-01"/>
    <n v="0"/>
    <n v="9829"/>
    <n v="30.712987999999999"/>
    <n v="2"/>
    <x v="2"/>
    <x v="223"/>
    <n v="141582.22"/>
    <n v="0"/>
    <s v="70-011153/459113"/>
    <s v="74111762860"/>
    <n v="301881.05482999998"/>
    <n v="0"/>
    <n v="57920"/>
  </r>
  <r>
    <x v="2"/>
    <s v="04272-2"/>
    <s v="Bybækskolen"/>
    <n v="5477"/>
    <m/>
    <s v="Bybækskolen"/>
    <x v="10"/>
    <x v="1"/>
    <x v="7"/>
    <n v="908172.75"/>
    <n v="12"/>
    <s v="2005-06-01"/>
    <n v="0"/>
    <n v="9829"/>
    <n v="92.396327999999997"/>
    <n v="1"/>
    <x v="3"/>
    <x v="224"/>
    <n v="1651210.03"/>
    <n v="1"/>
    <s v="4107844"/>
    <m/>
    <n v="26029.599999999999"/>
    <n v="0"/>
    <n v="58277"/>
  </r>
  <r>
    <x v="2"/>
    <m/>
    <s v="Bygning 77, Sandet 17"/>
    <n v="14276"/>
    <s v="347"/>
    <s v="Bygning 77"/>
    <x v="13"/>
    <x v="0"/>
    <x v="7"/>
    <n v="5946.78"/>
    <n v="3"/>
    <s v="2015-01-26"/>
    <n v="0"/>
    <n v="315"/>
    <n v="18.872675000000001"/>
    <n v="2"/>
    <x v="2"/>
    <x v="225"/>
    <n v="1784.03"/>
    <n v="0"/>
    <s v="3100847"/>
    <s v="74115958559"/>
    <n v="5946.7746500000003"/>
    <n v="0"/>
    <n v="94519"/>
  </r>
  <r>
    <x v="2"/>
    <m/>
    <s v="Driftsgården"/>
    <n v="10123"/>
    <m/>
    <s v="Bygning 3"/>
    <x v="11"/>
    <x v="0"/>
    <x v="1"/>
    <n v="141946.78"/>
    <n v="12"/>
    <s v="2010-11-30"/>
    <n v="0"/>
    <n v="1413"/>
    <n v="100.450626"/>
    <n v="1"/>
    <x v="4"/>
    <x v="226"/>
    <n v="31239.73"/>
    <n v="0"/>
    <s v="3101250"/>
    <s v="98004376794"/>
    <n v="13143.22"/>
    <n v="0"/>
    <n v="77798"/>
  </r>
  <r>
    <x v="2"/>
    <m/>
    <s v="Driftsgården"/>
    <n v="10124"/>
    <m/>
    <s v="Bygning 1"/>
    <x v="11"/>
    <x v="0"/>
    <x v="1"/>
    <n v="46034.720000000001"/>
    <n v="12"/>
    <m/>
    <n v="0"/>
    <n v="780"/>
    <n v="59.011305999999998"/>
    <n v="2"/>
    <x v="2"/>
    <x v="227"/>
    <n v="13810.42"/>
    <n v="0"/>
    <m/>
    <m/>
    <n v="46034.724000000002"/>
    <n v="0"/>
    <n v="76939"/>
  </r>
  <r>
    <x v="2"/>
    <m/>
    <s v="Driftsgården"/>
    <n v="10123"/>
    <m/>
    <s v="Bygning 3"/>
    <x v="11"/>
    <x v="0"/>
    <x v="1"/>
    <n v="36854.44"/>
    <n v="12"/>
    <m/>
    <n v="0"/>
    <n v="1413"/>
    <n v="26.080559999999998"/>
    <n v="2"/>
    <x v="2"/>
    <x v="228"/>
    <n v="11056.33"/>
    <n v="0"/>
    <s v="60319 36312"/>
    <s v="74115285587"/>
    <n v="36854.442000000003"/>
    <n v="0"/>
    <n v="76936"/>
  </r>
  <r>
    <x v="2"/>
    <m/>
    <s v="Driftsgården"/>
    <n v="10123"/>
    <m/>
    <s v="Bygning 3"/>
    <x v="11"/>
    <x v="0"/>
    <x v="7"/>
    <n v="1565.98"/>
    <n v="12"/>
    <m/>
    <n v="0"/>
    <n v="1413"/>
    <n v="1.108187"/>
    <n v="3"/>
    <x v="0"/>
    <x v="229"/>
    <n v="1252.79"/>
    <n v="0"/>
    <m/>
    <m/>
    <n v="1565.9749999999999"/>
    <n v="0"/>
    <n v="76937"/>
  </r>
  <r>
    <x v="2"/>
    <m/>
    <s v="Driftsgården"/>
    <n v="10124"/>
    <m/>
    <s v="Bygning 1"/>
    <x v="11"/>
    <x v="0"/>
    <x v="7"/>
    <n v="51336"/>
    <n v="10"/>
    <s v="2014-04-30"/>
    <n v="0"/>
    <n v="780"/>
    <n v="65.806946999999994"/>
    <n v="1"/>
    <x v="1"/>
    <x v="230"/>
    <n v="4113.58"/>
    <n v="0"/>
    <s v="69271170"/>
    <m/>
    <n v="51336"/>
    <n v="0"/>
    <n v="96143"/>
  </r>
  <r>
    <x v="2"/>
    <m/>
    <s v="Driftsgården"/>
    <n v="10123"/>
    <m/>
    <s v="Bygning 3"/>
    <x v="11"/>
    <x v="0"/>
    <x v="7"/>
    <n v="19234"/>
    <n v="8"/>
    <s v="2014-08-31"/>
    <n v="0"/>
    <n v="1413"/>
    <n v="13.611209000000001"/>
    <n v="1"/>
    <x v="1"/>
    <x v="231"/>
    <n v="1440.86"/>
    <n v="0"/>
    <s v="69271176"/>
    <m/>
    <n v="19234"/>
    <n v="0"/>
    <n v="96273"/>
  </r>
  <r>
    <x v="2"/>
    <m/>
    <s v="Driftsgården"/>
    <n v="10124"/>
    <m/>
    <s v="Bygning 1"/>
    <x v="11"/>
    <x v="0"/>
    <x v="7"/>
    <n v="38993.75"/>
    <n v="12"/>
    <m/>
    <n v="0"/>
    <n v="780"/>
    <n v="49.985577999999997"/>
    <n v="2"/>
    <x v="2"/>
    <x v="232"/>
    <n v="11698.15"/>
    <n v="0"/>
    <m/>
    <m/>
    <n v="38993.771999999997"/>
    <n v="0"/>
    <n v="76939"/>
  </r>
  <r>
    <x v="2"/>
    <s v="04272-2"/>
    <s v="Bybækskolen"/>
    <n v="5477"/>
    <m/>
    <s v="Bybækskolen"/>
    <x v="10"/>
    <x v="0"/>
    <x v="0"/>
    <n v="602020"/>
    <n v="5"/>
    <s v="2005-06-01"/>
    <n v="0"/>
    <n v="9829"/>
    <n v="39.213152000000001"/>
    <n v="1"/>
    <x v="1"/>
    <x v="233"/>
    <n v="80862933.900000006"/>
    <n v="0"/>
    <s v="4107844"/>
    <m/>
    <n v="385430"/>
    <n v="0"/>
    <n v="57921"/>
  </r>
  <r>
    <x v="2"/>
    <s v="04272-2"/>
    <s v="Bybækskolen"/>
    <n v="5477"/>
    <m/>
    <s v="Bybækskolen"/>
    <x v="10"/>
    <x v="1"/>
    <x v="0"/>
    <n v="484001.05"/>
    <n v="5"/>
    <s v="2005-06-01"/>
    <n v="0"/>
    <n v="9829"/>
    <n v="49.241644000000001"/>
    <n v="1"/>
    <x v="3"/>
    <x v="234"/>
    <n v="2883137.87"/>
    <n v="1"/>
    <s v="4107844"/>
    <m/>
    <n v="13872.2"/>
    <n v="0"/>
    <n v="58277"/>
  </r>
  <r>
    <x v="2"/>
    <s v="04272-2"/>
    <s v="Bybækskolen"/>
    <n v="5477"/>
    <m/>
    <s v="Bybækskolen"/>
    <x v="10"/>
    <x v="0"/>
    <x v="1"/>
    <n v="645550"/>
    <n v="12"/>
    <s v="2005-06-01"/>
    <n v="0"/>
    <n v="9829"/>
    <n v="65.677426999999994"/>
    <n v="1"/>
    <x v="1"/>
    <x v="235"/>
    <n v="126513.58"/>
    <n v="0"/>
    <s v="4107844"/>
    <m/>
    <n v="645550"/>
    <n v="0"/>
    <n v="57921"/>
  </r>
  <r>
    <x v="2"/>
    <s v="04272-2"/>
    <s v="Bybækskolen"/>
    <n v="5477"/>
    <m/>
    <s v="Bybækskolen"/>
    <x v="10"/>
    <x v="1"/>
    <x v="1"/>
    <n v="1068963.31"/>
    <n v="12"/>
    <s v="2005-06-01"/>
    <n v="0"/>
    <n v="9829"/>
    <n v="108.754953"/>
    <n v="1"/>
    <x v="3"/>
    <x v="236"/>
    <n v="6925.82"/>
    <n v="1"/>
    <s v="4107844"/>
    <m/>
    <n v="30638.1"/>
    <n v="0"/>
    <n v="58277"/>
  </r>
  <r>
    <x v="2"/>
    <s v="04272-2"/>
    <s v="Bybækskolen"/>
    <n v="5477"/>
    <m/>
    <s v="Bybækskolen"/>
    <x v="10"/>
    <x v="0"/>
    <x v="2"/>
    <n v="603580"/>
    <n v="12"/>
    <s v="2005-06-01"/>
    <n v="0"/>
    <n v="9829"/>
    <n v="61.407452999999997"/>
    <n v="1"/>
    <x v="1"/>
    <x v="237"/>
    <n v="116948.18"/>
    <n v="0"/>
    <s v="4107844"/>
    <m/>
    <n v="603580"/>
    <n v="0"/>
    <n v="57921"/>
  </r>
  <r>
    <x v="2"/>
    <s v="04272-2"/>
    <s v="Bybækskolen"/>
    <n v="5477"/>
    <m/>
    <s v="Bybækskolen"/>
    <x v="10"/>
    <x v="1"/>
    <x v="2"/>
    <n v="876482.16"/>
    <n v="12"/>
    <s v="2005-06-01"/>
    <n v="0"/>
    <n v="9829"/>
    <n v="89.172167999999999"/>
    <n v="1"/>
    <x v="3"/>
    <x v="238"/>
    <n v="4987.1499999999996"/>
    <n v="1"/>
    <s v="4107844"/>
    <m/>
    <n v="25121.3"/>
    <n v="0"/>
    <n v="58277"/>
  </r>
  <r>
    <x v="2"/>
    <s v="04272-2"/>
    <s v="Bybækskolen"/>
    <n v="5477"/>
    <m/>
    <s v="Bybækskolen"/>
    <x v="10"/>
    <x v="0"/>
    <x v="3"/>
    <n v="505700"/>
    <n v="12"/>
    <s v="2005-06-01"/>
    <n v="0"/>
    <n v="9829"/>
    <n v="51.449266999999999"/>
    <n v="1"/>
    <x v="1"/>
    <x v="239"/>
    <n v="102481.36"/>
    <n v="0"/>
    <s v="4107844"/>
    <m/>
    <n v="505700"/>
    <n v="0"/>
    <n v="57921"/>
  </r>
  <r>
    <x v="2"/>
    <s v="04272-2"/>
    <s v="Bybækskolen"/>
    <n v="5477"/>
    <m/>
    <s v="Bybækskolen"/>
    <x v="10"/>
    <x v="1"/>
    <x v="3"/>
    <n v="532759.82999999996"/>
    <n v="12"/>
    <s v="2005-06-01"/>
    <n v="0"/>
    <n v="9829"/>
    <n v="54.202300000000001"/>
    <n v="1"/>
    <x v="3"/>
    <x v="240"/>
    <n v="3102.65"/>
    <n v="1"/>
    <s v="4107844"/>
    <m/>
    <n v="15269.7"/>
    <n v="0"/>
    <n v="58277"/>
  </r>
  <r>
    <x v="2"/>
    <s v="04272-2"/>
    <s v="Bybækskolen"/>
    <n v="5477"/>
    <m/>
    <s v="Bybækskolen"/>
    <x v="10"/>
    <x v="0"/>
    <x v="4"/>
    <n v="697655.01"/>
    <n v="12"/>
    <s v="2005-06-01"/>
    <n v="0"/>
    <n v="9829"/>
    <n v="70.978522999999996"/>
    <n v="1"/>
    <x v="1"/>
    <x v="241"/>
    <n v="116443.89"/>
    <n v="0"/>
    <s v="4107844"/>
    <m/>
    <n v="697655.01"/>
    <n v="0"/>
    <n v="57921"/>
  </r>
  <r>
    <x v="2"/>
    <s v="04272-2"/>
    <s v="Bybækskolen"/>
    <n v="5477"/>
    <m/>
    <s v="Bybækskolen"/>
    <x v="10"/>
    <x v="1"/>
    <x v="4"/>
    <n v="1338687.44"/>
    <n v="12"/>
    <s v="2005-06-01"/>
    <n v="0"/>
    <n v="9829"/>
    <n v="136.19633899999999"/>
    <n v="1"/>
    <x v="3"/>
    <x v="242"/>
    <n v="6618.85"/>
    <n v="1"/>
    <s v="4107844"/>
    <m/>
    <n v="38368.800000000003"/>
    <n v="0"/>
    <n v="58277"/>
  </r>
  <r>
    <x v="2"/>
    <s v="04272-2"/>
    <s v="Bybækskolen"/>
    <n v="5477"/>
    <m/>
    <s v="Bybækskolen"/>
    <x v="10"/>
    <x v="0"/>
    <x v="5"/>
    <n v="723465"/>
    <n v="12"/>
    <s v="2005-06-01"/>
    <n v="0"/>
    <n v="9829"/>
    <n v="73.604399000000001"/>
    <n v="1"/>
    <x v="1"/>
    <x v="243"/>
    <n v="142938.75"/>
    <n v="0"/>
    <s v="4107844"/>
    <m/>
    <n v="723465"/>
    <n v="0"/>
    <n v="57921"/>
  </r>
  <r>
    <x v="2"/>
    <s v="04272-2"/>
    <s v="Bybækskolen"/>
    <n v="5477"/>
    <m/>
    <s v="Bybækskolen"/>
    <x v="10"/>
    <x v="1"/>
    <x v="5"/>
    <n v="1148456.68"/>
    <n v="12"/>
    <s v="2005-06-01"/>
    <n v="0"/>
    <n v="9829"/>
    <n v="116.842506"/>
    <n v="1"/>
    <x v="3"/>
    <x v="244"/>
    <n v="7316.84"/>
    <n v="1"/>
    <s v="4107844"/>
    <m/>
    <n v="32916.5"/>
    <n v="0"/>
    <n v="58277"/>
  </r>
  <r>
    <x v="2"/>
    <s v="04272-2"/>
    <s v="Bybækskolen"/>
    <n v="5477"/>
    <m/>
    <s v="Bybækskolen"/>
    <x v="10"/>
    <x v="0"/>
    <x v="6"/>
    <n v="732640"/>
    <n v="12"/>
    <s v="2005-06-01"/>
    <n v="0"/>
    <n v="9829"/>
    <n v="74.537851000000003"/>
    <n v="1"/>
    <x v="1"/>
    <x v="245"/>
    <n v="157000.5"/>
    <n v="0"/>
    <s v="4107844"/>
    <m/>
    <n v="732640"/>
    <n v="0"/>
    <n v="57921"/>
  </r>
  <r>
    <x v="2"/>
    <s v="04272-2"/>
    <s v="Bybækskolen"/>
    <n v="5477"/>
    <m/>
    <s v="Bybækskolen"/>
    <x v="10"/>
    <x v="1"/>
    <x v="6"/>
    <n v="942820.28"/>
    <n v="12"/>
    <s v="2005-06-01"/>
    <n v="0"/>
    <n v="9829"/>
    <n v="95.921323000000001"/>
    <n v="1"/>
    <x v="3"/>
    <x v="246"/>
    <n v="5806.01"/>
    <n v="1"/>
    <s v="4107844"/>
    <m/>
    <n v="27022.65"/>
    <n v="0"/>
    <n v="58277"/>
  </r>
  <r>
    <x v="2"/>
    <m/>
    <s v="Driftsgården"/>
    <n v="10123"/>
    <m/>
    <s v="Bygning 3"/>
    <x v="11"/>
    <x v="0"/>
    <x v="7"/>
    <n v="25341.22"/>
    <n v="12"/>
    <m/>
    <n v="0"/>
    <n v="1413"/>
    <n v="17.933069"/>
    <n v="2"/>
    <x v="2"/>
    <x v="247"/>
    <n v="7602.37"/>
    <n v="0"/>
    <s v="60319 36312"/>
    <s v="74115285587"/>
    <n v="25341.221000000001"/>
    <n v="0"/>
    <n v="76936"/>
  </r>
  <r>
    <x v="3"/>
    <m/>
    <s v="Birkedal Børnehus, Kollekolle 75"/>
    <n v="9980"/>
    <m/>
    <s v="Birkedal Børnehus"/>
    <x v="14"/>
    <x v="0"/>
    <x v="7"/>
    <n v="0"/>
    <n v="12"/>
    <s v="2010-10-31"/>
    <n v="0"/>
    <n v="961"/>
    <n v="0"/>
    <n v="1"/>
    <x v="4"/>
    <x v="1"/>
    <n v="0"/>
    <n v="0"/>
    <s v="NEDTAGET 3100633"/>
    <s v="98001314126"/>
    <n v="0"/>
    <n v="0"/>
    <n v="76422"/>
  </r>
  <r>
    <x v="4"/>
    <m/>
    <s v="Familiehuset Villa Solhøj KV54"/>
    <n v="10318"/>
    <m/>
    <s v="Villa Solhøj"/>
    <x v="15"/>
    <x v="0"/>
    <x v="7"/>
    <n v="0"/>
    <n v="12"/>
    <s v="2010-10-31"/>
    <n v="0"/>
    <n v="170"/>
    <n v="0"/>
    <n v="1"/>
    <x v="4"/>
    <x v="1"/>
    <n v="0"/>
    <n v="0"/>
    <s v="AFMELDT"/>
    <s v="98004052360"/>
    <n v="0"/>
    <n v="0"/>
    <n v="77794"/>
  </r>
  <r>
    <x v="2"/>
    <m/>
    <s v="Driftsgården"/>
    <n v="10124"/>
    <m/>
    <s v="Bygning 1"/>
    <x v="11"/>
    <x v="0"/>
    <x v="2"/>
    <n v="172210.53"/>
    <n v="12"/>
    <s v="2008-01-31"/>
    <n v="0"/>
    <n v="780"/>
    <n v="220.75442799999999"/>
    <n v="1"/>
    <x v="4"/>
    <x v="248"/>
    <n v="38495.019999999997"/>
    <n v="0"/>
    <s v="Afmeldt 1203849"/>
    <s v="98004052476"/>
    <n v="15945.42"/>
    <n v="0"/>
    <n v="77796"/>
  </r>
  <r>
    <x v="2"/>
    <m/>
    <s v="Driftsgården"/>
    <n v="10124"/>
    <m/>
    <s v="Bygning 1"/>
    <x v="11"/>
    <x v="0"/>
    <x v="3"/>
    <n v="157370.88"/>
    <n v="12"/>
    <s v="2008-01-31"/>
    <n v="0"/>
    <n v="780"/>
    <n v="201.731675"/>
    <n v="1"/>
    <x v="4"/>
    <x v="249"/>
    <n v="36036.730000000003"/>
    <n v="0"/>
    <s v="Afmeldt 1203849"/>
    <s v="98004052476"/>
    <n v="14571.379300000001"/>
    <n v="0"/>
    <n v="77796"/>
  </r>
  <r>
    <x v="2"/>
    <m/>
    <s v="Driftsgården"/>
    <n v="10124"/>
    <m/>
    <s v="Bygning 1"/>
    <x v="11"/>
    <x v="0"/>
    <x v="4"/>
    <n v="197710.85"/>
    <n v="12"/>
    <s v="2008-01-31"/>
    <n v="0"/>
    <n v="780"/>
    <n v="253.44295600000001"/>
    <n v="1"/>
    <x v="4"/>
    <x v="250"/>
    <n v="38135.4"/>
    <n v="0"/>
    <s v="Afmeldt 1203849"/>
    <s v="98004052476"/>
    <n v="18306.560000000001"/>
    <n v="0"/>
    <n v="77796"/>
  </r>
  <r>
    <x v="2"/>
    <m/>
    <s v="Driftsgården"/>
    <n v="10124"/>
    <m/>
    <s v="Bygning 1"/>
    <x v="11"/>
    <x v="0"/>
    <x v="5"/>
    <n v="159637.4"/>
    <n v="12"/>
    <s v="2008-01-31"/>
    <n v="0"/>
    <n v="780"/>
    <n v="204.63709700000001"/>
    <n v="1"/>
    <x v="4"/>
    <x v="251"/>
    <n v="35883.51"/>
    <n v="0"/>
    <s v="Afmeldt 1203849"/>
    <s v="98004052476"/>
    <n v="14781.24"/>
    <n v="0"/>
    <n v="77796"/>
  </r>
  <r>
    <x v="2"/>
    <m/>
    <s v="Driftsgården"/>
    <n v="10124"/>
    <m/>
    <s v="Bygning 1"/>
    <x v="11"/>
    <x v="0"/>
    <x v="6"/>
    <n v="145926.57999999999"/>
    <n v="12"/>
    <s v="2008-01-31"/>
    <n v="0"/>
    <n v="780"/>
    <n v="187.061376"/>
    <n v="1"/>
    <x v="4"/>
    <x v="252"/>
    <n v="34882.57"/>
    <n v="0"/>
    <s v="Afmeldt 1203849"/>
    <s v="98004052476"/>
    <n v="13511.71968"/>
    <n v="0"/>
    <n v="77796"/>
  </r>
  <r>
    <x v="2"/>
    <m/>
    <s v="Driftsgården"/>
    <n v="10123"/>
    <m/>
    <s v="Bygning 3"/>
    <x v="11"/>
    <x v="0"/>
    <x v="0"/>
    <n v="1173"/>
    <n v="5"/>
    <m/>
    <n v="0"/>
    <n v="1413"/>
    <n v="0.30887399999999998"/>
    <n v="3"/>
    <x v="0"/>
    <x v="253"/>
    <n v="349.17"/>
    <n v="0"/>
    <m/>
    <m/>
    <n v="436.471"/>
    <n v="0"/>
    <n v="76937"/>
  </r>
  <r>
    <x v="2"/>
    <m/>
    <s v="Driftsgården"/>
    <n v="10124"/>
    <m/>
    <s v="Bygning 1"/>
    <x v="11"/>
    <x v="0"/>
    <x v="0"/>
    <n v="132978"/>
    <n v="5"/>
    <s v="2014-04-30"/>
    <n v="0"/>
    <n v="780"/>
    <n v="97.827201000000002"/>
    <n v="1"/>
    <x v="1"/>
    <x v="254"/>
    <n v="5574.27"/>
    <n v="0"/>
    <s v="69271170"/>
    <m/>
    <n v="76315"/>
    <n v="0"/>
    <n v="96143"/>
  </r>
  <r>
    <x v="2"/>
    <m/>
    <s v="Driftsgården"/>
    <n v="10124"/>
    <m/>
    <s v="Bygning 1"/>
    <x v="11"/>
    <x v="0"/>
    <x v="0"/>
    <n v="0"/>
    <n v="5"/>
    <s v="2008-01-31"/>
    <n v="0"/>
    <n v="780"/>
    <n v="0"/>
    <n v="1"/>
    <x v="4"/>
    <x v="1"/>
    <n v="0"/>
    <n v="0"/>
    <s v="Afmeldt 1203849"/>
    <s v="98004052476"/>
    <n v="0"/>
    <n v="0"/>
    <n v="77796"/>
  </r>
  <r>
    <x v="2"/>
    <m/>
    <s v="Driftsgården"/>
    <n v="10123"/>
    <m/>
    <s v="Bygning 3"/>
    <x v="11"/>
    <x v="0"/>
    <x v="2"/>
    <n v="166566.24"/>
    <n v="12"/>
    <s v="2010-11-30"/>
    <n v="0"/>
    <n v="1413"/>
    <n v="117.87293099999999"/>
    <n v="1"/>
    <x v="4"/>
    <x v="255"/>
    <n v="36654.959999999999"/>
    <n v="0"/>
    <s v="3101250"/>
    <s v="98004376794"/>
    <n v="15422.8"/>
    <n v="0"/>
    <n v="77798"/>
  </r>
  <r>
    <x v="2"/>
    <m/>
    <s v="Driftsgården"/>
    <n v="10123"/>
    <m/>
    <s v="Bygning 3"/>
    <x v="11"/>
    <x v="0"/>
    <x v="3"/>
    <n v="155086.26999999999"/>
    <n v="12"/>
    <s v="2010-11-30"/>
    <n v="0"/>
    <n v="1413"/>
    <n v="109.74897"/>
    <n v="1"/>
    <x v="4"/>
    <x v="256"/>
    <n v="35201.81"/>
    <n v="0"/>
    <s v="3101250"/>
    <s v="98004376794"/>
    <n v="14359.84"/>
    <n v="0"/>
    <n v="77798"/>
  </r>
  <r>
    <x v="2"/>
    <m/>
    <s v="Driftsgården"/>
    <n v="10123"/>
    <m/>
    <s v="Bygning 3"/>
    <x v="11"/>
    <x v="0"/>
    <x v="4"/>
    <n v="155407.25"/>
    <n v="6"/>
    <s v="2010-11-30"/>
    <n v="0"/>
    <n v="1413"/>
    <n v="109.976116"/>
    <n v="1"/>
    <x v="4"/>
    <x v="257"/>
    <n v="35437.53"/>
    <n v="0"/>
    <s v="3101250"/>
    <s v="98004376794"/>
    <n v="14389.560289999999"/>
    <n v="0"/>
    <n v="77798"/>
  </r>
  <r>
    <x v="2"/>
    <m/>
    <s v="Driftsgården"/>
    <n v="10123"/>
    <m/>
    <s v="Bygning 3"/>
    <x v="11"/>
    <x v="0"/>
    <x v="5"/>
    <n v="115035.66"/>
    <n v="0"/>
    <s v="2010-11-30"/>
    <n v="0"/>
    <n v="1413"/>
    <n v="81.406594999999996"/>
    <n v="1"/>
    <x v="4"/>
    <x v="258"/>
    <n v="33793.300000000003"/>
    <n v="0"/>
    <s v="3101250"/>
    <s v="98004376794"/>
    <n v="10651.45119"/>
    <n v="0"/>
    <n v="77798"/>
  </r>
  <r>
    <x v="2"/>
    <m/>
    <s v="Driftsgården"/>
    <n v="10123"/>
    <m/>
    <s v="Bygning 3"/>
    <x v="11"/>
    <x v="0"/>
    <x v="6"/>
    <n v="82761.7"/>
    <n v="2"/>
    <s v="2010-11-30"/>
    <n v="0"/>
    <n v="1413"/>
    <n v="58.567475000000002"/>
    <n v="1"/>
    <x v="4"/>
    <x v="259"/>
    <n v="21474.82"/>
    <n v="0"/>
    <s v="3101250"/>
    <s v="98004376794"/>
    <n v="7663.1224099999999"/>
    <n v="0"/>
    <n v="77798"/>
  </r>
  <r>
    <x v="2"/>
    <s v="04272-2"/>
    <s v="Bybækskolen"/>
    <n v="5477"/>
    <m/>
    <s v="Bybækskolen"/>
    <x v="10"/>
    <x v="0"/>
    <x v="5"/>
    <n v="193063.15"/>
    <n v="12"/>
    <s v="2005-06-01"/>
    <n v="0"/>
    <n v="9829"/>
    <n v="19.641995999999999"/>
    <n v="2"/>
    <x v="2"/>
    <x v="260"/>
    <n v="90546.57"/>
    <n v="0"/>
    <s v="70-011153/459113"/>
    <s v="74111762860"/>
    <n v="193063.12723000001"/>
    <n v="0"/>
    <n v="57920"/>
  </r>
  <r>
    <x v="2"/>
    <s v="04272-2"/>
    <s v="Bybækskolen"/>
    <n v="5477"/>
    <m/>
    <s v="Bybækskolen"/>
    <x v="10"/>
    <x v="0"/>
    <x v="4"/>
    <n v="147820.74"/>
    <n v="12"/>
    <s v="2005-06-01"/>
    <n v="0"/>
    <n v="9829"/>
    <n v="15.039092"/>
    <n v="2"/>
    <x v="2"/>
    <x v="261"/>
    <n v="69327.91"/>
    <n v="0"/>
    <s v="70-011153/459113"/>
    <s v="74111762860"/>
    <n v="147820.73063000001"/>
    <n v="0"/>
    <n v="57920"/>
  </r>
  <r>
    <x v="2"/>
    <s v="04272-2"/>
    <s v="Bybækskolen"/>
    <n v="5477"/>
    <m/>
    <s v="Bybækskolen"/>
    <x v="10"/>
    <x v="0"/>
    <x v="3"/>
    <n v="85917.74"/>
    <n v="12"/>
    <s v="2005-06-01"/>
    <n v="0"/>
    <n v="9829"/>
    <n v="8.7411600000000007"/>
    <n v="2"/>
    <x v="2"/>
    <x v="262"/>
    <n v="40295.42"/>
    <n v="0"/>
    <s v="70-011153/459113"/>
    <s v="74111762860"/>
    <n v="85917.719670000006"/>
    <n v="0"/>
    <n v="57920"/>
  </r>
  <r>
    <x v="2"/>
    <s v="04272-2"/>
    <s v="Bybækskolen"/>
    <n v="5477"/>
    <m/>
    <s v="Bybækskolen"/>
    <x v="10"/>
    <x v="0"/>
    <x v="2"/>
    <n v="108181.67"/>
    <n v="12"/>
    <s v="2005-06-01"/>
    <n v="0"/>
    <n v="9829"/>
    <n v="11.006264"/>
    <n v="2"/>
    <x v="2"/>
    <x v="263"/>
    <n v="43272.66"/>
    <n v="0"/>
    <s v="70-011153/459113"/>
    <s v="74111762860"/>
    <n v="108181.671"/>
    <n v="0"/>
    <n v="57920"/>
  </r>
  <r>
    <x v="2"/>
    <s v="04272-2"/>
    <s v="Bybækskolen"/>
    <n v="5477"/>
    <m/>
    <s v="Bybækskolen"/>
    <x v="10"/>
    <x v="0"/>
    <x v="1"/>
    <n v="229468.56"/>
    <n v="12"/>
    <s v="2005-06-01"/>
    <n v="0"/>
    <n v="9829"/>
    <n v="23.345835999999998"/>
    <n v="2"/>
    <x v="2"/>
    <x v="264"/>
    <n v="91787.4"/>
    <n v="0"/>
    <s v="70-011153/459113"/>
    <s v="74111762860"/>
    <n v="229468.56299999999"/>
    <n v="0"/>
    <n v="57920"/>
  </r>
  <r>
    <x v="2"/>
    <s v="04272-2"/>
    <s v="Bybækskolen"/>
    <n v="5477"/>
    <m/>
    <s v="Bybækskolen"/>
    <x v="10"/>
    <x v="0"/>
    <x v="7"/>
    <n v="365467.65"/>
    <n v="12"/>
    <s v="2005-06-01"/>
    <n v="0"/>
    <n v="9829"/>
    <n v="37.182208000000003"/>
    <n v="2"/>
    <x v="2"/>
    <x v="265"/>
    <n v="146187.04999999999"/>
    <n v="0"/>
    <s v="70-011153/459113"/>
    <s v="74111762860"/>
    <n v="365467.65"/>
    <n v="0"/>
    <n v="57920"/>
  </r>
  <r>
    <x v="2"/>
    <s v="04272-2"/>
    <s v="Bybækskolen"/>
    <n v="5477"/>
    <m/>
    <s v="Bybækskolen"/>
    <x v="10"/>
    <x v="0"/>
    <x v="0"/>
    <n v="261201"/>
    <n v="5"/>
    <s v="2005-06-01"/>
    <n v="0"/>
    <n v="9829"/>
    <n v="15.471049000000001"/>
    <n v="2"/>
    <x v="2"/>
    <x v="266"/>
    <n v="60826.6"/>
    <n v="0"/>
    <s v="70-011153/459113"/>
    <s v="74111762860"/>
    <n v="152066.49"/>
    <n v="0"/>
    <n v="57920"/>
  </r>
  <r>
    <x v="2"/>
    <m/>
    <s v="Bygning 77, Sandet 17"/>
    <n v="14276"/>
    <s v="347"/>
    <s v="Bygning 77"/>
    <x v="13"/>
    <x v="0"/>
    <x v="0"/>
    <n v="4605"/>
    <n v="1"/>
    <s v="2015-01-26"/>
    <n v="0"/>
    <n v="315"/>
    <n v="1.0278"/>
    <n v="2"/>
    <x v="2"/>
    <x v="267"/>
    <n v="97.16"/>
    <n v="0"/>
    <s v="3100847"/>
    <s v="74115958559"/>
    <n v="323.86363999999998"/>
    <n v="0"/>
    <n v="94519"/>
  </r>
  <r>
    <x v="2"/>
    <m/>
    <s v="Bygning 77, Sandet 17"/>
    <n v="14276"/>
    <s v="347"/>
    <s v="Bygning 77"/>
    <x v="13"/>
    <x v="0"/>
    <x v="1"/>
    <n v="3149.36"/>
    <n v="3"/>
    <s v="2015-01-26"/>
    <n v="0"/>
    <n v="315"/>
    <n v="9.9947949999999999"/>
    <n v="2"/>
    <x v="2"/>
    <x v="268"/>
    <n v="944.8"/>
    <n v="0"/>
    <s v="3100847"/>
    <s v="74115958559"/>
    <n v="3149.3616999999999"/>
    <n v="0"/>
    <n v="94519"/>
  </r>
  <r>
    <x v="2"/>
    <m/>
    <s v="Driftsgården"/>
    <n v="10123"/>
    <m/>
    <s v="Bygning 3"/>
    <x v="11"/>
    <x v="0"/>
    <x v="0"/>
    <n v="52351"/>
    <n v="5"/>
    <s v="2014-08-31"/>
    <n v="0"/>
    <n v="1413"/>
    <n v="20.462812"/>
    <n v="1"/>
    <x v="1"/>
    <x v="269"/>
    <n v="2086.31"/>
    <n v="0"/>
    <s v="69271176"/>
    <m/>
    <n v="28916"/>
    <n v="0"/>
    <n v="96273"/>
  </r>
  <r>
    <x v="2"/>
    <m/>
    <s v="Driftsgården"/>
    <n v="10123"/>
    <m/>
    <s v="Bygning 3"/>
    <x v="11"/>
    <x v="0"/>
    <x v="0"/>
    <n v="0"/>
    <n v="5"/>
    <s v="2010-11-30"/>
    <n v="0"/>
    <n v="1413"/>
    <n v="3.6719999999999999E-3"/>
    <n v="1"/>
    <x v="4"/>
    <x v="1"/>
    <n v="1.1000000000000001"/>
    <n v="0"/>
    <s v="3101250"/>
    <s v="98004376794"/>
    <n v="0.48"/>
    <n v="0"/>
    <n v="77798"/>
  </r>
  <r>
    <x v="2"/>
    <m/>
    <s v="Driftsgården"/>
    <n v="10124"/>
    <m/>
    <s v="Bygning 1"/>
    <x v="11"/>
    <x v="0"/>
    <x v="2"/>
    <n v="42046.65"/>
    <n v="12"/>
    <m/>
    <n v="0"/>
    <n v="780"/>
    <n v="53.899051"/>
    <n v="2"/>
    <x v="2"/>
    <x v="270"/>
    <n v="16818.66"/>
    <n v="0"/>
    <m/>
    <m/>
    <n v="42046.631999999998"/>
    <n v="0"/>
    <n v="76939"/>
  </r>
  <r>
    <x v="2"/>
    <m/>
    <s v="Driftsgården"/>
    <n v="10124"/>
    <m/>
    <s v="Bygning 1"/>
    <x v="11"/>
    <x v="0"/>
    <x v="3"/>
    <n v="40986.35"/>
    <n v="12"/>
    <m/>
    <n v="0"/>
    <n v="780"/>
    <n v="52.539866000000004"/>
    <n v="2"/>
    <x v="2"/>
    <x v="271"/>
    <n v="19222.59"/>
    <n v="0"/>
    <m/>
    <m/>
    <n v="40986.336000000003"/>
    <n v="0"/>
    <n v="76939"/>
  </r>
  <r>
    <x v="2"/>
    <m/>
    <s v="Driftsgården"/>
    <n v="10124"/>
    <m/>
    <s v="Bygning 1"/>
    <x v="11"/>
    <x v="0"/>
    <x v="4"/>
    <n v="43041.07"/>
    <n v="12"/>
    <m/>
    <n v="0"/>
    <n v="780"/>
    <n v="55.173785000000002"/>
    <n v="2"/>
    <x v="2"/>
    <x v="272"/>
    <n v="20186.27"/>
    <n v="0"/>
    <m/>
    <m/>
    <n v="43041.06"/>
    <n v="0"/>
    <n v="76939"/>
  </r>
  <r>
    <x v="2"/>
    <m/>
    <s v="Driftsgården"/>
    <n v="10124"/>
    <m/>
    <s v="Bygning 1"/>
    <x v="11"/>
    <x v="0"/>
    <x v="5"/>
    <n v="41707.01"/>
    <n v="12"/>
    <m/>
    <n v="0"/>
    <n v="780"/>
    <n v="53.463670999999998"/>
    <n v="2"/>
    <x v="2"/>
    <x v="273"/>
    <n v="19560.580000000002"/>
    <n v="0"/>
    <m/>
    <m/>
    <n v="41707.008000000002"/>
    <n v="0"/>
    <n v="76939"/>
  </r>
  <r>
    <x v="2"/>
    <m/>
    <s v="Driftsgården"/>
    <n v="10124"/>
    <m/>
    <s v="Bygning 1"/>
    <x v="11"/>
    <x v="0"/>
    <x v="6"/>
    <n v="14635.76"/>
    <n v="3"/>
    <s v="2008-04-22"/>
    <n v="0"/>
    <n v="780"/>
    <n v="18.761389000000001"/>
    <n v="2"/>
    <x v="2"/>
    <x v="274"/>
    <n v="6864.17"/>
    <n v="0"/>
    <s v="283667-51099"/>
    <m/>
    <n v="14635.753059999999"/>
    <n v="0"/>
    <n v="77436"/>
  </r>
  <r>
    <x v="2"/>
    <m/>
    <s v="Driftsgården"/>
    <n v="10124"/>
    <m/>
    <s v="Bygning 1"/>
    <x v="11"/>
    <x v="0"/>
    <x v="6"/>
    <n v="31982.720000000001"/>
    <n v="12"/>
    <m/>
    <n v="0"/>
    <n v="780"/>
    <n v="40.99823"/>
    <n v="2"/>
    <x v="2"/>
    <x v="275"/>
    <n v="14999.89"/>
    <n v="0"/>
    <m/>
    <m/>
    <n v="31982.712"/>
    <n v="0"/>
    <n v="76939"/>
  </r>
  <r>
    <x v="2"/>
    <m/>
    <s v="Driftsgården"/>
    <n v="10124"/>
    <m/>
    <s v="Bygning 1"/>
    <x v="11"/>
    <x v="0"/>
    <x v="0"/>
    <n v="26541"/>
    <n v="5"/>
    <m/>
    <n v="0"/>
    <n v="780"/>
    <n v="5.8210870000000003"/>
    <n v="2"/>
    <x v="2"/>
    <x v="276"/>
    <n v="1362.31"/>
    <n v="0"/>
    <m/>
    <m/>
    <n v="4541.0280000000002"/>
    <n v="0"/>
    <n v="76939"/>
  </r>
  <r>
    <x v="2"/>
    <m/>
    <s v="Driftsgården"/>
    <n v="10123"/>
    <m/>
    <s v="Bygning 3"/>
    <x v="11"/>
    <x v="0"/>
    <x v="0"/>
    <n v="23444"/>
    <n v="5"/>
    <m/>
    <n v="0"/>
    <n v="1413"/>
    <n v="7.4733770000000002"/>
    <n v="2"/>
    <x v="2"/>
    <x v="277"/>
    <n v="3168.19"/>
    <n v="0"/>
    <s v="60319 36312"/>
    <s v="74115285587"/>
    <n v="10560.624"/>
    <n v="0"/>
    <n v="76936"/>
  </r>
  <r>
    <x v="2"/>
    <m/>
    <s v="Driftsgården"/>
    <n v="10123"/>
    <m/>
    <s v="Bygning 3"/>
    <x v="11"/>
    <x v="0"/>
    <x v="2"/>
    <n v="31236.23"/>
    <n v="12"/>
    <m/>
    <n v="0"/>
    <n v="1413"/>
    <n v="22.104755000000001"/>
    <n v="2"/>
    <x v="2"/>
    <x v="278"/>
    <n v="12494.51"/>
    <n v="0"/>
    <s v="60319 36312"/>
    <s v="74115285587"/>
    <n v="31236.223999999998"/>
    <n v="0"/>
    <n v="76936"/>
  </r>
  <r>
    <x v="2"/>
    <m/>
    <s v="Driftsgården"/>
    <n v="10123"/>
    <m/>
    <s v="Bygning 3"/>
    <x v="11"/>
    <x v="0"/>
    <x v="3"/>
    <n v="24142.04"/>
    <n v="12"/>
    <m/>
    <n v="0"/>
    <n v="1413"/>
    <n v="17.084451999999999"/>
    <n v="2"/>
    <x v="2"/>
    <x v="279"/>
    <n v="11322.63"/>
    <n v="0"/>
    <s v="60319 36312"/>
    <s v="74115285587"/>
    <n v="24142.043000000001"/>
    <n v="0"/>
    <n v="76936"/>
  </r>
  <r>
    <x v="2"/>
    <m/>
    <s v="Driftsgården"/>
    <n v="10123"/>
    <m/>
    <s v="Bygning 3"/>
    <x v="11"/>
    <x v="0"/>
    <x v="4"/>
    <n v="30633.91"/>
    <n v="12"/>
    <m/>
    <n v="0"/>
    <n v="1413"/>
    <n v="21.678515000000001"/>
    <n v="2"/>
    <x v="2"/>
    <x v="280"/>
    <n v="14367.31"/>
    <n v="0"/>
    <s v="60319 36312"/>
    <s v="74115285587"/>
    <n v="30633.913"/>
    <n v="0"/>
    <n v="76936"/>
  </r>
  <r>
    <x v="2"/>
    <m/>
    <s v="Driftsgården"/>
    <n v="10123"/>
    <m/>
    <s v="Bygning 3"/>
    <x v="11"/>
    <x v="0"/>
    <x v="5"/>
    <n v="29048.26"/>
    <n v="12"/>
    <m/>
    <n v="0"/>
    <n v="1413"/>
    <n v="20.556407"/>
    <n v="2"/>
    <x v="2"/>
    <x v="281"/>
    <n v="13623.64"/>
    <n v="0"/>
    <s v="60319 36312"/>
    <s v="74115285587"/>
    <n v="29048.272000000001"/>
    <n v="0"/>
    <n v="76936"/>
  </r>
  <r>
    <x v="2"/>
    <m/>
    <s v="Driftsgården"/>
    <n v="10123"/>
    <m/>
    <s v="Bygning 3"/>
    <x v="11"/>
    <x v="0"/>
    <x v="6"/>
    <n v="3333.87"/>
    <n v="1"/>
    <s v="2008-01-31"/>
    <n v="0"/>
    <n v="1413"/>
    <n v="2.3592590000000002"/>
    <n v="2"/>
    <x v="2"/>
    <x v="282"/>
    <n v="1563.59"/>
    <n v="0"/>
    <s v="283667-51099"/>
    <m/>
    <n v="3333.8709699999999"/>
    <n v="0"/>
    <n v="77797"/>
  </r>
  <r>
    <x v="2"/>
    <m/>
    <s v="Driftsgården"/>
    <n v="10123"/>
    <m/>
    <s v="Bygning 3"/>
    <x v="11"/>
    <x v="0"/>
    <x v="6"/>
    <n v="18133.689999999999"/>
    <n v="12"/>
    <m/>
    <n v="0"/>
    <n v="1413"/>
    <n v="12.832559"/>
    <n v="2"/>
    <x v="2"/>
    <x v="283"/>
    <n v="8504.69"/>
    <n v="0"/>
    <s v="60319 36312"/>
    <s v="74115285587"/>
    <n v="18133.698700000001"/>
    <n v="0"/>
    <n v="76936"/>
  </r>
  <r>
    <x v="2"/>
    <s v="03972-1"/>
    <s v="Skolelandbruget"/>
    <n v="6070"/>
    <m/>
    <s v="Skolelandbruget"/>
    <x v="12"/>
    <x v="0"/>
    <x v="6"/>
    <n v="10038.75"/>
    <n v="11"/>
    <s v="2015-05-06"/>
    <n v="0"/>
    <n v="800"/>
    <n v="12.546868999999999"/>
    <n v="2"/>
    <x v="2"/>
    <x v="284"/>
    <n v="4708.18"/>
    <n v="0"/>
    <s v="815868"/>
    <s v="74115165162"/>
    <n v="10038.763419999999"/>
    <n v="0"/>
    <n v="60879"/>
  </r>
  <r>
    <x v="2"/>
    <s v="03972-1"/>
    <s v="Skolelandbruget"/>
    <n v="6070"/>
    <m/>
    <s v="Skolelandbruget"/>
    <x v="12"/>
    <x v="0"/>
    <x v="5"/>
    <n v="10333"/>
    <n v="12"/>
    <s v="2015-05-06"/>
    <n v="0"/>
    <n v="800"/>
    <n v="12.914635000000001"/>
    <n v="2"/>
    <x v="2"/>
    <x v="285"/>
    <n v="4846.1899999999996"/>
    <n v="0"/>
    <s v="815868"/>
    <s v="74115165162"/>
    <n v="10332.990470000001"/>
    <n v="0"/>
    <n v="60879"/>
  </r>
  <r>
    <x v="2"/>
    <s v="03972-1"/>
    <s v="Skolelandbruget"/>
    <n v="6070"/>
    <m/>
    <s v="Skolelandbruget"/>
    <x v="12"/>
    <x v="0"/>
    <x v="4"/>
    <n v="12026.14"/>
    <n v="12"/>
    <s v="2015-05-06"/>
    <n v="0"/>
    <n v="800"/>
    <n v="15.030796"/>
    <n v="2"/>
    <x v="2"/>
    <x v="286"/>
    <n v="5640.25"/>
    <n v="0"/>
    <s v="815868"/>
    <s v="74115165162"/>
    <n v="12026.14285"/>
    <n v="0"/>
    <n v="60879"/>
  </r>
  <r>
    <x v="2"/>
    <s v="03972-1"/>
    <s v="Skolelandbruget"/>
    <n v="6070"/>
    <m/>
    <s v="Skolelandbruget"/>
    <x v="12"/>
    <x v="0"/>
    <x v="3"/>
    <n v="9310.81"/>
    <n v="11"/>
    <s v="2015-05-06"/>
    <n v="0"/>
    <n v="800"/>
    <n v="11.637057"/>
    <n v="2"/>
    <x v="2"/>
    <x v="287"/>
    <n v="4366.78"/>
    <n v="0"/>
    <s v="815868"/>
    <s v="74115165162"/>
    <n v="9310.8140299999995"/>
    <n v="0"/>
    <n v="60879"/>
  </r>
  <r>
    <x v="2"/>
    <s v="03972-1"/>
    <s v="Skolelandbruget"/>
    <n v="6070"/>
    <m/>
    <s v="Skolelandbruget"/>
    <x v="12"/>
    <x v="0"/>
    <x v="2"/>
    <n v="9901.52"/>
    <n v="12"/>
    <s v="2015-05-06"/>
    <n v="0"/>
    <n v="800"/>
    <n v="12.375353"/>
    <n v="2"/>
    <x v="2"/>
    <x v="288"/>
    <n v="3960.6"/>
    <n v="0"/>
    <s v="815868"/>
    <s v="74115165162"/>
    <n v="9901.5192999999999"/>
    <n v="0"/>
    <n v="60879"/>
  </r>
  <r>
    <x v="2"/>
    <s v="03972-1"/>
    <s v="Skolelandbruget"/>
    <n v="6070"/>
    <m/>
    <s v="Skolelandbruget"/>
    <x v="12"/>
    <x v="0"/>
    <x v="1"/>
    <n v="10243.34"/>
    <n v="12"/>
    <s v="2015-05-06"/>
    <n v="0"/>
    <n v="800"/>
    <n v="12.802574"/>
    <n v="2"/>
    <x v="2"/>
    <x v="289"/>
    <n v="4097.34"/>
    <n v="0"/>
    <s v="815868"/>
    <s v="74115165162"/>
    <n v="10243.333339999999"/>
    <n v="0"/>
    <n v="60879"/>
  </r>
  <r>
    <x v="2"/>
    <s v="03972-1"/>
    <s v="Skolelandbruget"/>
    <n v="6070"/>
    <m/>
    <s v="Skolelandbruget"/>
    <x v="12"/>
    <x v="0"/>
    <x v="7"/>
    <n v="7547.76"/>
    <n v="12"/>
    <s v="2015-05-06"/>
    <n v="0"/>
    <n v="800"/>
    <n v="9.4335199999999997"/>
    <n v="2"/>
    <x v="2"/>
    <x v="290"/>
    <n v="3019.09"/>
    <n v="0"/>
    <s v="815868"/>
    <s v="74115165162"/>
    <n v="7547.7619000000004"/>
    <n v="0"/>
    <n v="60879"/>
  </r>
  <r>
    <x v="2"/>
    <s v="03972-1"/>
    <s v="Skolelandbruget"/>
    <n v="6070"/>
    <m/>
    <s v="Skolelandbruget"/>
    <x v="12"/>
    <x v="0"/>
    <x v="7"/>
    <n v="125.39"/>
    <n v="12"/>
    <s v="2015-05-06"/>
    <n v="0"/>
    <n v="800"/>
    <n v="0.156717"/>
    <n v="3"/>
    <x v="0"/>
    <x v="291"/>
    <n v="100.28"/>
    <n v="0"/>
    <s v="-04104875"/>
    <m/>
    <n v="125.37174"/>
    <n v="0"/>
    <n v="60881"/>
  </r>
  <r>
    <x v="2"/>
    <s v="03972-1"/>
    <s v="Skolelandbruget"/>
    <n v="6070"/>
    <m/>
    <s v="Skolelandbruget"/>
    <x v="12"/>
    <x v="0"/>
    <x v="0"/>
    <n v="7387"/>
    <n v="5"/>
    <s v="2015-05-06"/>
    <n v="0"/>
    <n v="800"/>
    <n v="4.2391819999999996"/>
    <n v="2"/>
    <x v="2"/>
    <x v="292"/>
    <n v="1356.7"/>
    <n v="0"/>
    <s v="815868"/>
    <s v="74115165162"/>
    <n v="3391.7714299999998"/>
    <n v="0"/>
    <n v="60879"/>
  </r>
  <r>
    <x v="3"/>
    <s v="04859-3"/>
    <s v="Bakkehuset, Hvilebækgårdsvej 5"/>
    <n v="5244"/>
    <m/>
    <s v="Bakkehuset"/>
    <x v="16"/>
    <x v="0"/>
    <x v="7"/>
    <n v="125.83"/>
    <n v="12"/>
    <s v="2005-07-01"/>
    <n v="0"/>
    <n v="560"/>
    <n v="0.22465599999999999"/>
    <n v="3"/>
    <x v="0"/>
    <x v="293"/>
    <n v="100.67"/>
    <n v="0"/>
    <s v="BK 24201918"/>
    <m/>
    <n v="125.842"/>
    <n v="0"/>
    <n v="56615"/>
  </r>
  <r>
    <x v="3"/>
    <s v="04859-3"/>
    <s v="Bakkehuset, Hvilebækgårdsvej 5"/>
    <n v="5244"/>
    <m/>
    <s v="Bakkehuset"/>
    <x v="16"/>
    <x v="0"/>
    <x v="7"/>
    <n v="33612"/>
    <n v="12"/>
    <s v="2005-09-20"/>
    <n v="0"/>
    <n v="560"/>
    <n v="57.332619000000001"/>
    <n v="1"/>
    <x v="1"/>
    <x v="294"/>
    <n v="2409822.5699999998"/>
    <n v="0"/>
    <s v="4813499"/>
    <m/>
    <n v="32112"/>
    <n v="0"/>
    <n v="56614"/>
  </r>
  <r>
    <x v="3"/>
    <s v="04859-3"/>
    <s v="Bakkehuset, Hvilebækgårdsvej 5"/>
    <n v="5244"/>
    <m/>
    <s v="Bakkehuset"/>
    <x v="16"/>
    <x v="0"/>
    <x v="7"/>
    <n v="13486"/>
    <n v="12"/>
    <s v="2005-07-01"/>
    <n v="0"/>
    <n v="560"/>
    <n v="24.077843000000001"/>
    <n v="2"/>
    <x v="2"/>
    <x v="295"/>
    <n v="5394.4"/>
    <n v="0"/>
    <s v="BM"/>
    <m/>
    <n v="13486"/>
    <n v="0"/>
    <n v="57569"/>
  </r>
  <r>
    <x v="3"/>
    <s v="04859-3"/>
    <s v="Bakkehuset, Hvilebækgårdsvej 5"/>
    <n v="5244"/>
    <m/>
    <s v="Bakkehuset"/>
    <x v="16"/>
    <x v="0"/>
    <x v="0"/>
    <n v="238"/>
    <n v="5"/>
    <s v="2005-07-01"/>
    <n v="0"/>
    <n v="560"/>
    <n v="0.163774"/>
    <n v="3"/>
    <x v="0"/>
    <x v="296"/>
    <n v="73.38"/>
    <n v="0"/>
    <s v="BK 24201918"/>
    <m/>
    <n v="91.72"/>
    <n v="0"/>
    <n v="56615"/>
  </r>
  <r>
    <x v="3"/>
    <s v="04859-3"/>
    <s v="Bakkehuset, Hvilebækgårdsvej 5"/>
    <n v="5244"/>
    <m/>
    <s v="Bakkehuset"/>
    <x v="16"/>
    <x v="1"/>
    <x v="7"/>
    <n v="28913.34"/>
    <n v="12"/>
    <s v="2005-09-20"/>
    <n v="0"/>
    <n v="560"/>
    <n v="51.621746000000002"/>
    <n v="1"/>
    <x v="3"/>
    <x v="297"/>
    <n v="64543.48"/>
    <n v="1"/>
    <s v="4813499"/>
    <m/>
    <n v="828.7"/>
    <n v="0"/>
    <n v="56993"/>
  </r>
  <r>
    <x v="3"/>
    <s v="04859-3"/>
    <s v="Bakkehuset, Hvilebækgårdsvej 5"/>
    <n v="5244"/>
    <m/>
    <s v="Bakkehuset"/>
    <x v="16"/>
    <x v="0"/>
    <x v="1"/>
    <n v="247.55"/>
    <n v="12"/>
    <s v="2005-07-01"/>
    <n v="0"/>
    <n v="560"/>
    <n v="0.44197399999999998"/>
    <n v="3"/>
    <x v="0"/>
    <x v="298"/>
    <n v="198.06"/>
    <n v="0"/>
    <s v="BK 24201918"/>
    <m/>
    <n v="247.54599999999999"/>
    <n v="0"/>
    <n v="56615"/>
  </r>
  <r>
    <x v="3"/>
    <s v="04859-3"/>
    <s v="Bakkehuset, Hvilebækgårdsvej 5"/>
    <n v="5244"/>
    <m/>
    <s v="Bakkehuset"/>
    <x v="16"/>
    <x v="0"/>
    <x v="2"/>
    <n v="242.19"/>
    <n v="12"/>
    <s v="2005-07-01"/>
    <n v="0"/>
    <n v="560"/>
    <n v="0.43240400000000001"/>
    <n v="3"/>
    <x v="0"/>
    <x v="299"/>
    <n v="193.76"/>
    <n v="0"/>
    <s v="BK 24201918"/>
    <m/>
    <n v="242.20599999999999"/>
    <n v="0"/>
    <n v="56615"/>
  </r>
  <r>
    <x v="3"/>
    <s v="04859-3"/>
    <s v="Bakkehuset, Hvilebækgårdsvej 5"/>
    <n v="5244"/>
    <m/>
    <s v="Bakkehuset"/>
    <x v="16"/>
    <x v="0"/>
    <x v="3"/>
    <n v="237.22"/>
    <n v="12"/>
    <s v="2005-07-01"/>
    <n v="0"/>
    <n v="560"/>
    <n v="0.42353099999999999"/>
    <n v="3"/>
    <x v="0"/>
    <x v="300"/>
    <n v="189.78"/>
    <n v="0"/>
    <s v="BK 24201918"/>
    <m/>
    <n v="237.22499999999999"/>
    <n v="0"/>
    <n v="56615"/>
  </r>
  <r>
    <x v="3"/>
    <s v="04859-3"/>
    <s v="Bakkehuset, Hvilebækgårdsvej 5"/>
    <n v="5244"/>
    <m/>
    <s v="Bakkehuset"/>
    <x v="16"/>
    <x v="0"/>
    <x v="4"/>
    <n v="191.77"/>
    <n v="12"/>
    <s v="2005-07-01"/>
    <n v="0"/>
    <n v="560"/>
    <n v="0.34238499999999999"/>
    <n v="3"/>
    <x v="0"/>
    <x v="301"/>
    <n v="153.38"/>
    <n v="0"/>
    <s v="BK 24201918"/>
    <m/>
    <n v="191.751"/>
    <n v="0"/>
    <n v="56615"/>
  </r>
  <r>
    <x v="3"/>
    <s v="04859-3"/>
    <s v="Bakkehuset, Hvilebækgårdsvej 5"/>
    <n v="5244"/>
    <m/>
    <s v="Bakkehuset"/>
    <x v="16"/>
    <x v="0"/>
    <x v="5"/>
    <n v="305.60000000000002"/>
    <n v="12"/>
    <s v="2005-07-01"/>
    <n v="0"/>
    <n v="560"/>
    <n v="0.54561599999999999"/>
    <n v="3"/>
    <x v="0"/>
    <x v="302"/>
    <n v="244.46"/>
    <n v="0"/>
    <s v="BK 24201918"/>
    <m/>
    <n v="305.59100000000001"/>
    <n v="0"/>
    <n v="56615"/>
  </r>
  <r>
    <x v="3"/>
    <s v="04859-3"/>
    <s v="Bakkehuset, Hvilebækgårdsvej 5"/>
    <n v="5244"/>
    <m/>
    <s v="Bakkehuset"/>
    <x v="16"/>
    <x v="0"/>
    <x v="6"/>
    <n v="286.5"/>
    <n v="12"/>
    <s v="2005-07-01"/>
    <n v="0"/>
    <n v="560"/>
    <n v="0.51151500000000005"/>
    <n v="3"/>
    <x v="0"/>
    <x v="303"/>
    <n v="229.2"/>
    <n v="0"/>
    <s v="BK 24201918"/>
    <m/>
    <n v="286.5"/>
    <n v="0"/>
    <n v="56615"/>
  </r>
  <r>
    <x v="3"/>
    <m/>
    <s v="Bavnebo"/>
    <n v="9965"/>
    <m/>
    <s v="Bavnebo"/>
    <x v="17"/>
    <x v="0"/>
    <x v="0"/>
    <n v="353"/>
    <n v="5"/>
    <s v="2010-01-31"/>
    <n v="0"/>
    <n v="715"/>
    <n v="0.19311900000000001"/>
    <n v="3"/>
    <x v="0"/>
    <x v="304"/>
    <n v="110.48"/>
    <n v="0"/>
    <m/>
    <m/>
    <n v="138.1"/>
    <n v="0"/>
    <n v="76373"/>
  </r>
  <r>
    <x v="3"/>
    <m/>
    <s v="Bavnebo"/>
    <n v="9965"/>
    <m/>
    <s v="Bavnebo"/>
    <x v="17"/>
    <x v="0"/>
    <x v="1"/>
    <n v="367.9"/>
    <n v="12"/>
    <s v="2010-01-31"/>
    <n v="0"/>
    <n v="715"/>
    <n v="0.51447299999999996"/>
    <n v="3"/>
    <x v="0"/>
    <x v="305"/>
    <n v="294.32"/>
    <n v="0"/>
    <m/>
    <m/>
    <n v="367.9"/>
    <n v="0"/>
    <n v="76373"/>
  </r>
  <r>
    <x v="3"/>
    <m/>
    <s v="Bavnebo"/>
    <n v="9965"/>
    <m/>
    <s v="Bavnebo"/>
    <x v="17"/>
    <x v="0"/>
    <x v="2"/>
    <n v="453.1"/>
    <n v="12"/>
    <s v="2010-01-31"/>
    <n v="0"/>
    <n v="715"/>
    <n v="0.63361699999999999"/>
    <n v="3"/>
    <x v="0"/>
    <x v="306"/>
    <n v="362.48"/>
    <n v="0"/>
    <m/>
    <m/>
    <n v="453.1"/>
    <n v="0"/>
    <n v="76373"/>
  </r>
  <r>
    <x v="3"/>
    <m/>
    <s v="Bavnebo"/>
    <n v="9965"/>
    <m/>
    <s v="Bavnebo"/>
    <x v="17"/>
    <x v="0"/>
    <x v="3"/>
    <n v="571.20000000000005"/>
    <n v="12"/>
    <s v="2010-01-31"/>
    <n v="0"/>
    <n v="715"/>
    <n v="0.79876899999999995"/>
    <n v="3"/>
    <x v="0"/>
    <x v="307"/>
    <n v="456.96"/>
    <n v="0"/>
    <m/>
    <m/>
    <n v="571.20000000000005"/>
    <n v="0"/>
    <n v="76373"/>
  </r>
  <r>
    <x v="3"/>
    <m/>
    <s v="Bavnebo"/>
    <n v="9965"/>
    <m/>
    <s v="Bavnebo"/>
    <x v="17"/>
    <x v="0"/>
    <x v="4"/>
    <n v="515.54"/>
    <n v="12"/>
    <s v="2010-01-31"/>
    <n v="0"/>
    <n v="715"/>
    <n v="0.72093399999999996"/>
    <n v="3"/>
    <x v="0"/>
    <x v="308"/>
    <n v="412.44"/>
    <n v="0"/>
    <m/>
    <m/>
    <n v="515.54444000000001"/>
    <n v="0"/>
    <n v="76373"/>
  </r>
  <r>
    <x v="3"/>
    <m/>
    <s v="Bavnebo"/>
    <n v="9965"/>
    <m/>
    <s v="Bavnebo"/>
    <x v="17"/>
    <x v="0"/>
    <x v="5"/>
    <n v="549.29"/>
    <n v="5"/>
    <s v="2010-01-31"/>
    <n v="0"/>
    <n v="715"/>
    <n v="0.76812999999999998"/>
    <n v="3"/>
    <x v="0"/>
    <x v="309"/>
    <n v="439.42"/>
    <n v="0"/>
    <m/>
    <m/>
    <n v="549.28126999999995"/>
    <n v="0"/>
    <n v="76373"/>
  </r>
  <r>
    <x v="3"/>
    <m/>
    <s v="Bavnebo"/>
    <n v="9965"/>
    <m/>
    <s v="Bavnebo"/>
    <x v="17"/>
    <x v="0"/>
    <x v="6"/>
    <n v="424.23"/>
    <n v="5"/>
    <s v="2010-01-31"/>
    <n v="0"/>
    <n v="715"/>
    <n v="0.59324500000000002"/>
    <n v="3"/>
    <x v="0"/>
    <x v="310"/>
    <n v="339.37"/>
    <n v="0"/>
    <m/>
    <m/>
    <n v="424.22831000000002"/>
    <n v="0"/>
    <n v="76373"/>
  </r>
  <r>
    <x v="3"/>
    <s v="004757-0"/>
    <s v="Bifrost Nordtoftevej 56c"/>
    <n v="5251"/>
    <m/>
    <s v="Bifrost"/>
    <x v="18"/>
    <x v="0"/>
    <x v="0"/>
    <n v="36"/>
    <n v="5"/>
    <s v="2005-05-01"/>
    <n v="0"/>
    <n v="375"/>
    <n v="3.9935999999999999E-2"/>
    <n v="3"/>
    <x v="0"/>
    <x v="311"/>
    <n v="11.98"/>
    <n v="0"/>
    <s v="BK 98392292"/>
    <m/>
    <n v="14.981999999999999"/>
    <n v="0"/>
    <n v="56682"/>
  </r>
  <r>
    <x v="3"/>
    <s v="004757-0"/>
    <s v="Bifrost Nordtoftevej 56c"/>
    <n v="5251"/>
    <m/>
    <s v="Bifrost"/>
    <x v="18"/>
    <x v="0"/>
    <x v="1"/>
    <n v="46.48"/>
    <n v="12"/>
    <s v="2005-05-01"/>
    <n v="0"/>
    <n v="375"/>
    <n v="0.123913"/>
    <n v="3"/>
    <x v="0"/>
    <x v="312"/>
    <n v="37.17"/>
    <n v="0"/>
    <s v="BK 98392292"/>
    <m/>
    <n v="46.472000000000001"/>
    <n v="0"/>
    <n v="56682"/>
  </r>
  <r>
    <x v="3"/>
    <s v="004757-0"/>
    <s v="Bifrost Nordtoftevej 56c"/>
    <n v="5251"/>
    <m/>
    <s v="Bifrost"/>
    <x v="18"/>
    <x v="0"/>
    <x v="2"/>
    <n v="73.430000000000007"/>
    <n v="12"/>
    <s v="2005-05-01"/>
    <n v="0"/>
    <n v="375"/>
    <n v="0.19576099999999999"/>
    <n v="3"/>
    <x v="0"/>
    <x v="313"/>
    <n v="58.75"/>
    <n v="0"/>
    <s v="BK 98392292"/>
    <m/>
    <n v="73.430999999999997"/>
    <n v="0"/>
    <n v="56682"/>
  </r>
  <r>
    <x v="3"/>
    <s v="004757-0"/>
    <s v="Bifrost Nordtoftevej 56c"/>
    <n v="5251"/>
    <m/>
    <s v="Bifrost"/>
    <x v="18"/>
    <x v="0"/>
    <x v="3"/>
    <n v="95.11"/>
    <n v="12"/>
    <s v="2005-05-01"/>
    <n v="0"/>
    <n v="375"/>
    <n v="0.25355899999999998"/>
    <n v="3"/>
    <x v="0"/>
    <x v="314"/>
    <n v="76.069999999999993"/>
    <n v="0"/>
    <s v="BK 98392292"/>
    <m/>
    <n v="95.11"/>
    <n v="0"/>
    <n v="56682"/>
  </r>
  <r>
    <x v="3"/>
    <s v="004757-0"/>
    <s v="Bifrost Nordtoftevej 56c"/>
    <n v="5251"/>
    <m/>
    <s v="Bifrost"/>
    <x v="18"/>
    <x v="0"/>
    <x v="4"/>
    <n v="121.35"/>
    <n v="12"/>
    <s v="2005-05-01"/>
    <n v="0"/>
    <n v="375"/>
    <n v="0.323513"/>
    <n v="3"/>
    <x v="0"/>
    <x v="315"/>
    <n v="97.07"/>
    <n v="0"/>
    <s v="BK 98392292"/>
    <m/>
    <n v="121.342"/>
    <n v="0"/>
    <n v="56682"/>
  </r>
  <r>
    <x v="3"/>
    <s v="004757-0"/>
    <s v="Bifrost Nordtoftevej 56c"/>
    <n v="5251"/>
    <m/>
    <s v="Bifrost"/>
    <x v="18"/>
    <x v="0"/>
    <x v="5"/>
    <n v="174.75"/>
    <n v="12"/>
    <s v="2005-05-01"/>
    <n v="0"/>
    <n v="375"/>
    <n v="0.46587499999999998"/>
    <n v="3"/>
    <x v="0"/>
    <x v="316"/>
    <n v="139.78"/>
    <n v="0"/>
    <s v="BK 98392292"/>
    <m/>
    <n v="174.73599999999999"/>
    <n v="0"/>
    <n v="56682"/>
  </r>
  <r>
    <x v="3"/>
    <s v="004757-0"/>
    <s v="Bifrost Nordtoftevej 56c"/>
    <n v="5251"/>
    <m/>
    <s v="Bifrost"/>
    <x v="18"/>
    <x v="0"/>
    <x v="6"/>
    <n v="158.05000000000001"/>
    <n v="12"/>
    <s v="2005-05-01"/>
    <n v="0"/>
    <n v="375"/>
    <n v="0.42135400000000001"/>
    <n v="3"/>
    <x v="0"/>
    <x v="317"/>
    <n v="126.44"/>
    <n v="0"/>
    <s v="BK 98392292"/>
    <m/>
    <n v="158.05099999999999"/>
    <n v="0"/>
    <n v="56682"/>
  </r>
  <r>
    <x v="3"/>
    <m/>
    <s v="Birkedal Børnehus, Kollekolle 75"/>
    <n v="9980"/>
    <m/>
    <s v="Birkedal Børnehus"/>
    <x v="14"/>
    <x v="0"/>
    <x v="0"/>
    <n v="460"/>
    <n v="5"/>
    <s v="2010-10-31"/>
    <n v="0"/>
    <n v="961"/>
    <n v="0.190302"/>
    <n v="3"/>
    <x v="0"/>
    <x v="318"/>
    <n v="146.32"/>
    <n v="0"/>
    <s v="41223"/>
    <m/>
    <n v="182.9"/>
    <n v="0"/>
    <n v="76421"/>
  </r>
  <r>
    <x v="3"/>
    <m/>
    <s v="Birkedal Børnehus, Kollekolle 75"/>
    <n v="9980"/>
    <m/>
    <s v="Birkedal Børnehus"/>
    <x v="14"/>
    <x v="0"/>
    <x v="1"/>
    <n v="568.20000000000005"/>
    <n v="12"/>
    <s v="2010-10-31"/>
    <n v="0"/>
    <n v="961"/>
    <n v="0.59119699999999997"/>
    <n v="3"/>
    <x v="0"/>
    <x v="319"/>
    <n v="454.56"/>
    <n v="0"/>
    <s v="41223"/>
    <m/>
    <n v="568.20000000000005"/>
    <n v="0"/>
    <n v="76421"/>
  </r>
  <r>
    <x v="3"/>
    <m/>
    <s v="Birkedal Børnehus, Kollekolle 75"/>
    <n v="9980"/>
    <m/>
    <s v="Birkedal Børnehus"/>
    <x v="14"/>
    <x v="0"/>
    <x v="2"/>
    <n v="523.70000000000005"/>
    <n v="12"/>
    <s v="2010-10-31"/>
    <n v="0"/>
    <n v="961"/>
    <n v="0.54489600000000005"/>
    <n v="3"/>
    <x v="0"/>
    <x v="320"/>
    <n v="418.96"/>
    <n v="0"/>
    <s v="41223"/>
    <m/>
    <n v="523.70000000000005"/>
    <n v="0"/>
    <n v="76421"/>
  </r>
  <r>
    <x v="3"/>
    <m/>
    <s v="Birkedal Børnehus, Kollekolle 75"/>
    <n v="9980"/>
    <m/>
    <s v="Birkedal Børnehus"/>
    <x v="14"/>
    <x v="0"/>
    <x v="3"/>
    <n v="595.4"/>
    <n v="12"/>
    <s v="2010-10-31"/>
    <n v="0"/>
    <n v="961"/>
    <n v="0.61949799999999999"/>
    <n v="3"/>
    <x v="0"/>
    <x v="321"/>
    <n v="476.32"/>
    <n v="0"/>
    <s v="41223"/>
    <m/>
    <n v="595.4"/>
    <n v="0"/>
    <n v="76421"/>
  </r>
  <r>
    <x v="3"/>
    <m/>
    <s v="Birkedal Børnehus, Kollekolle 75"/>
    <n v="9980"/>
    <m/>
    <s v="Birkedal Børnehus"/>
    <x v="14"/>
    <x v="0"/>
    <x v="4"/>
    <n v="526.29999999999995"/>
    <n v="6"/>
    <s v="2010-10-31"/>
    <n v="0"/>
    <n v="961"/>
    <n v="0.547601"/>
    <n v="3"/>
    <x v="0"/>
    <x v="322"/>
    <n v="421.04"/>
    <n v="0"/>
    <s v="41223"/>
    <m/>
    <n v="526.30002000000002"/>
    <n v="0"/>
    <n v="76421"/>
  </r>
  <r>
    <x v="3"/>
    <m/>
    <s v="Birkedal Børnehus, Kollekolle 75"/>
    <n v="9980"/>
    <m/>
    <s v="Birkedal Børnehus"/>
    <x v="14"/>
    <x v="0"/>
    <x v="4"/>
    <n v="61.99"/>
    <n v="3"/>
    <s v="2010-07-08"/>
    <n v="0"/>
    <n v="961"/>
    <n v="6.4499000000000001E-2"/>
    <n v="3"/>
    <x v="0"/>
    <x v="323"/>
    <n v="0"/>
    <n v="1"/>
    <s v="Varmt vand"/>
    <m/>
    <n v="62"/>
    <n v="0"/>
    <n v="78372"/>
  </r>
  <r>
    <x v="3"/>
    <m/>
    <s v="Birkedal Børnehus, Kollekolle 75"/>
    <n v="9980"/>
    <m/>
    <s v="Birkedal Børnehus"/>
    <x v="14"/>
    <x v="0"/>
    <x v="5"/>
    <n v="525.65"/>
    <n v="9"/>
    <s v="2010-10-31"/>
    <n v="0"/>
    <n v="961"/>
    <n v="0.54692499999999999"/>
    <n v="3"/>
    <x v="0"/>
    <x v="324"/>
    <n v="420.55"/>
    <n v="0"/>
    <s v="41223"/>
    <m/>
    <n v="525.67647999999997"/>
    <n v="0"/>
    <n v="76421"/>
  </r>
  <r>
    <x v="3"/>
    <m/>
    <s v="Birkedal Børnehus, Kollekolle 75"/>
    <n v="9980"/>
    <m/>
    <s v="Birkedal Børnehus"/>
    <x v="14"/>
    <x v="0"/>
    <x v="5"/>
    <n v="118.44"/>
    <n v="10"/>
    <s v="2010-07-08"/>
    <n v="0"/>
    <n v="961"/>
    <n v="0.123233"/>
    <n v="3"/>
    <x v="0"/>
    <x v="325"/>
    <n v="0"/>
    <n v="1"/>
    <s v="Varmt vand"/>
    <m/>
    <n v="118.44119000000001"/>
    <n v="0"/>
    <n v="78372"/>
  </r>
  <r>
    <x v="3"/>
    <m/>
    <s v="Birkedal Børnehus, Kollekolle 75"/>
    <n v="9980"/>
    <m/>
    <s v="Birkedal Børnehus"/>
    <x v="14"/>
    <x v="0"/>
    <x v="6"/>
    <n v="540.04"/>
    <n v="4"/>
    <s v="2010-10-31"/>
    <n v="0"/>
    <n v="961"/>
    <n v="0.56189699999999998"/>
    <n v="3"/>
    <x v="0"/>
    <x v="326"/>
    <n v="432.05"/>
    <n v="0"/>
    <s v="41223"/>
    <m/>
    <n v="540.03543999999999"/>
    <n v="0"/>
    <n v="76421"/>
  </r>
  <r>
    <x v="3"/>
    <m/>
    <s v="Birkedal Børnehus, Kollekolle 75"/>
    <n v="9980"/>
    <m/>
    <s v="Birkedal Børnehus"/>
    <x v="14"/>
    <x v="0"/>
    <x v="6"/>
    <n v="46.56"/>
    <n v="4"/>
    <s v="2010-07-08"/>
    <n v="0"/>
    <n v="961"/>
    <n v="4.8444000000000001E-2"/>
    <n v="3"/>
    <x v="0"/>
    <x v="327"/>
    <n v="0"/>
    <n v="1"/>
    <s v="Varmt vand"/>
    <m/>
    <n v="46.558819999999997"/>
    <n v="0"/>
    <n v="78372"/>
  </r>
  <r>
    <x v="3"/>
    <s v="???"/>
    <s v="Birkhøj (Valmuen)"/>
    <n v="5278"/>
    <m/>
    <s v="Birkhøj (Valmuen)"/>
    <x v="19"/>
    <x v="0"/>
    <x v="0"/>
    <n v="395"/>
    <n v="5"/>
    <s v="2005-05-01"/>
    <n v="0"/>
    <n v="760"/>
    <n v="0.21740499999999999"/>
    <n v="3"/>
    <x v="0"/>
    <x v="328"/>
    <n v="132.19999999999999"/>
    <n v="0"/>
    <s v="BK 4093455"/>
    <m/>
    <n v="165.25399999999999"/>
    <n v="0"/>
    <n v="56875"/>
  </r>
  <r>
    <x v="3"/>
    <s v="???"/>
    <s v="Birkhøj (Valmuen)"/>
    <n v="5278"/>
    <m/>
    <s v="Birkhøj (Valmuen)"/>
    <x v="19"/>
    <x v="0"/>
    <x v="1"/>
    <n v="343.49"/>
    <n v="12"/>
    <s v="2005-05-01"/>
    <n v="0"/>
    <n v="760"/>
    <n v="0.451901"/>
    <n v="3"/>
    <x v="0"/>
    <x v="329"/>
    <n v="274.77"/>
    <n v="0"/>
    <s v="BK 4093455"/>
    <m/>
    <n v="343.48500000000001"/>
    <n v="0"/>
    <n v="56875"/>
  </r>
  <r>
    <x v="3"/>
    <s v="???"/>
    <s v="Birkhøj (Valmuen)"/>
    <n v="5278"/>
    <m/>
    <s v="Birkhøj (Valmuen)"/>
    <x v="19"/>
    <x v="0"/>
    <x v="2"/>
    <n v="349.14"/>
    <n v="12"/>
    <s v="2005-05-01"/>
    <n v="0"/>
    <n v="760"/>
    <n v="0.45933400000000002"/>
    <n v="3"/>
    <x v="0"/>
    <x v="330"/>
    <n v="279.32"/>
    <n v="0"/>
    <s v="BK 4093455"/>
    <m/>
    <n v="349.14800000000002"/>
    <n v="0"/>
    <n v="56875"/>
  </r>
  <r>
    <x v="3"/>
    <s v="???"/>
    <s v="Birkhøj (Valmuen)"/>
    <n v="5278"/>
    <m/>
    <s v="Birkhøj (Valmuen)"/>
    <x v="19"/>
    <x v="0"/>
    <x v="3"/>
    <n v="383.55"/>
    <n v="12"/>
    <s v="2005-05-01"/>
    <n v="0"/>
    <n v="760"/>
    <n v="0.50460400000000005"/>
    <n v="3"/>
    <x v="0"/>
    <x v="331"/>
    <n v="306.86"/>
    <n v="0"/>
    <s v="BK 4093455"/>
    <m/>
    <n v="383.56400000000002"/>
    <n v="0"/>
    <n v="56875"/>
  </r>
  <r>
    <x v="3"/>
    <s v="???"/>
    <s v="Birkhøj (Valmuen)"/>
    <n v="5278"/>
    <m/>
    <s v="Birkhøj (Valmuen)"/>
    <x v="19"/>
    <x v="0"/>
    <x v="4"/>
    <n v="347.69"/>
    <n v="12"/>
    <s v="2005-05-01"/>
    <n v="0"/>
    <n v="760"/>
    <n v="0.457426"/>
    <n v="3"/>
    <x v="0"/>
    <x v="332"/>
    <n v="278.14999999999998"/>
    <n v="0"/>
    <s v="BK 4093455"/>
    <m/>
    <n v="347.69"/>
    <n v="0"/>
    <n v="56875"/>
  </r>
  <r>
    <x v="3"/>
    <s v="???"/>
    <s v="Birkhøj (Valmuen)"/>
    <n v="5278"/>
    <m/>
    <s v="Birkhøj (Valmuen)"/>
    <x v="19"/>
    <x v="0"/>
    <x v="5"/>
    <n v="84.9"/>
    <n v="12"/>
    <s v="2005-05-01"/>
    <n v="0"/>
    <n v="760"/>
    <n v="0.111695"/>
    <n v="3"/>
    <x v="0"/>
    <x v="333"/>
    <n v="67.92"/>
    <n v="0"/>
    <s v="BK 4093455"/>
    <m/>
    <n v="84.891000000000005"/>
    <n v="0"/>
    <n v="56875"/>
  </r>
  <r>
    <x v="3"/>
    <s v="???"/>
    <s v="Birkhøj (Valmuen)"/>
    <n v="5278"/>
    <m/>
    <s v="Birkhøj (Valmuen)"/>
    <x v="19"/>
    <x v="0"/>
    <x v="6"/>
    <n v="122.46"/>
    <n v="12"/>
    <s v="2005-05-01"/>
    <n v="0"/>
    <n v="760"/>
    <n v="0.16111"/>
    <n v="3"/>
    <x v="0"/>
    <x v="334"/>
    <n v="97.96"/>
    <n v="0"/>
    <s v="BK 4093455"/>
    <m/>
    <n v="122.473"/>
    <n v="0"/>
    <n v="56875"/>
  </r>
  <r>
    <x v="3"/>
    <s v="03322-7"/>
    <s v="Brudedalen Legestue, Brudedalen 54-58"/>
    <n v="5276"/>
    <m/>
    <s v="Legestuen"/>
    <x v="20"/>
    <x v="0"/>
    <x v="0"/>
    <n v="97"/>
    <n v="5"/>
    <s v="2005-10-03"/>
    <n v="0"/>
    <n v="284"/>
    <n v="0.140373"/>
    <n v="3"/>
    <x v="0"/>
    <x v="335"/>
    <n v="31.9"/>
    <n v="0"/>
    <s v="BK 99105981"/>
    <m/>
    <n v="39.872"/>
    <n v="0"/>
    <n v="56863"/>
  </r>
  <r>
    <x v="3"/>
    <s v="03322-7"/>
    <s v="Brudedalen Legestue, Brudedalen 54-58"/>
    <n v="5276"/>
    <m/>
    <s v="Legestuen"/>
    <x v="20"/>
    <x v="0"/>
    <x v="1"/>
    <n v="106.74"/>
    <n v="12"/>
    <s v="2005-10-03"/>
    <n v="0"/>
    <n v="284"/>
    <n v="0.37571199999999999"/>
    <n v="3"/>
    <x v="0"/>
    <x v="336"/>
    <n v="85.4"/>
    <n v="0"/>
    <s v="BK 99105981"/>
    <m/>
    <n v="106.74299999999999"/>
    <n v="0"/>
    <n v="56863"/>
  </r>
  <r>
    <x v="3"/>
    <s v="03322-7"/>
    <s v="Brudedalen Legestue, Brudedalen 54-58"/>
    <n v="5276"/>
    <m/>
    <s v="Legestuen"/>
    <x v="20"/>
    <x v="0"/>
    <x v="2"/>
    <n v="146.86000000000001"/>
    <n v="12"/>
    <s v="2005-10-03"/>
    <n v="0"/>
    <n v="284"/>
    <n v="0.51693"/>
    <n v="3"/>
    <x v="0"/>
    <x v="337"/>
    <n v="117.5"/>
    <n v="0"/>
    <s v="BK 99105981"/>
    <m/>
    <n v="146.87700000000001"/>
    <n v="0"/>
    <n v="56863"/>
  </r>
  <r>
    <x v="3"/>
    <s v="03322-7"/>
    <s v="Brudedalen Legestue, Brudedalen 54-58"/>
    <n v="5276"/>
    <m/>
    <s v="Legestuen"/>
    <x v="20"/>
    <x v="0"/>
    <x v="3"/>
    <n v="233.34"/>
    <n v="12"/>
    <s v="2005-10-03"/>
    <n v="0"/>
    <n v="284"/>
    <n v="0.82133"/>
    <n v="3"/>
    <x v="0"/>
    <x v="338"/>
    <n v="186.68"/>
    <n v="0"/>
    <s v="BK 99105981"/>
    <m/>
    <n v="233.32900000000001"/>
    <n v="0"/>
    <n v="56863"/>
  </r>
  <r>
    <x v="3"/>
    <s v="03322-7"/>
    <s v="Brudedalen Legestue, Brudedalen 54-58"/>
    <n v="5276"/>
    <m/>
    <s v="Legestuen"/>
    <x v="20"/>
    <x v="0"/>
    <x v="4"/>
    <n v="122.72"/>
    <n v="12"/>
    <s v="2005-10-03"/>
    <n v="0"/>
    <n v="284"/>
    <n v="0.43196000000000001"/>
    <n v="3"/>
    <x v="0"/>
    <x v="339"/>
    <n v="98.17"/>
    <n v="0"/>
    <s v="BK 99105981"/>
    <m/>
    <n v="122.73399999999999"/>
    <n v="0"/>
    <n v="56863"/>
  </r>
  <r>
    <x v="3"/>
    <s v="03322-7"/>
    <s v="Brudedalen Legestue, Brudedalen 54-58"/>
    <n v="5276"/>
    <m/>
    <s v="Legestuen"/>
    <x v="20"/>
    <x v="0"/>
    <x v="5"/>
    <n v="106.54"/>
    <n v="12"/>
    <s v="2005-10-03"/>
    <n v="0"/>
    <n v="284"/>
    <n v="0.37500800000000001"/>
    <n v="3"/>
    <x v="0"/>
    <x v="340"/>
    <n v="85.21"/>
    <n v="0"/>
    <s v="BK 99105981"/>
    <m/>
    <n v="106.523"/>
    <n v="0"/>
    <n v="56863"/>
  </r>
  <r>
    <x v="3"/>
    <s v="03322-7"/>
    <s v="Brudedalen Legestue, Brudedalen 54-58"/>
    <n v="5276"/>
    <m/>
    <s v="Legestuen"/>
    <x v="20"/>
    <x v="0"/>
    <x v="6"/>
    <n v="126.27"/>
    <n v="12"/>
    <s v="2005-10-03"/>
    <n v="0"/>
    <n v="284"/>
    <n v="0.44445600000000002"/>
    <n v="3"/>
    <x v="0"/>
    <x v="341"/>
    <n v="101.03"/>
    <n v="0"/>
    <s v="BK 99105981"/>
    <m/>
    <n v="126.27800000000001"/>
    <n v="0"/>
    <n v="56863"/>
  </r>
  <r>
    <x v="3"/>
    <m/>
    <s v="Bøgely Ravnehusvej 20"/>
    <n v="9970"/>
    <m/>
    <s v="Bøgely"/>
    <x v="21"/>
    <x v="0"/>
    <x v="0"/>
    <n v="534"/>
    <n v="5"/>
    <s v="2009-12-31"/>
    <n v="0"/>
    <n v="864"/>
    <n v="0.269459"/>
    <n v="3"/>
    <x v="0"/>
    <x v="342"/>
    <n v="186.28"/>
    <n v="0"/>
    <m/>
    <m/>
    <n v="232.84399999999999"/>
    <n v="0"/>
    <n v="76388"/>
  </r>
  <r>
    <x v="3"/>
    <m/>
    <s v="Bøgely Ravnehusvej 20"/>
    <n v="9970"/>
    <m/>
    <s v="Bøgely"/>
    <x v="21"/>
    <x v="0"/>
    <x v="1"/>
    <n v="691.9"/>
    <n v="12"/>
    <s v="2009-12-31"/>
    <n v="0"/>
    <n v="864"/>
    <n v="0.80071700000000001"/>
    <n v="3"/>
    <x v="0"/>
    <x v="343"/>
    <n v="553.52"/>
    <n v="0"/>
    <m/>
    <m/>
    <n v="691.9"/>
    <n v="0"/>
    <n v="76388"/>
  </r>
  <r>
    <x v="3"/>
    <m/>
    <s v="Bøgely Ravnehusvej 20"/>
    <n v="9970"/>
    <m/>
    <s v="Bøgely"/>
    <x v="21"/>
    <x v="0"/>
    <x v="2"/>
    <n v="615.9"/>
    <n v="12"/>
    <s v="2009-12-31"/>
    <n v="0"/>
    <n v="796"/>
    <n v="0.77364599999999994"/>
    <n v="3"/>
    <x v="0"/>
    <x v="344"/>
    <n v="492.72"/>
    <n v="0"/>
    <m/>
    <m/>
    <n v="615.9"/>
    <n v="0"/>
    <n v="76388"/>
  </r>
  <r>
    <x v="3"/>
    <m/>
    <s v="Bøgely Ravnehusvej 20"/>
    <n v="9970"/>
    <m/>
    <s v="Bøgely"/>
    <x v="21"/>
    <x v="0"/>
    <x v="3"/>
    <n v="478.5"/>
    <n v="12"/>
    <s v="2009-12-31"/>
    <n v="0"/>
    <n v="774"/>
    <n v="0.61813700000000005"/>
    <n v="3"/>
    <x v="0"/>
    <x v="345"/>
    <n v="382.8"/>
    <n v="0"/>
    <m/>
    <m/>
    <n v="478.5"/>
    <n v="0"/>
    <n v="76388"/>
  </r>
  <r>
    <x v="3"/>
    <m/>
    <s v="Bøgely Ravnehusvej 20"/>
    <n v="9970"/>
    <m/>
    <s v="Bøgely"/>
    <x v="21"/>
    <x v="0"/>
    <x v="4"/>
    <n v="475.1"/>
    <n v="12"/>
    <s v="2009-12-31"/>
    <n v="0"/>
    <n v="774"/>
    <n v="0.61374399999999996"/>
    <n v="3"/>
    <x v="0"/>
    <x v="346"/>
    <n v="380.08"/>
    <n v="0"/>
    <m/>
    <m/>
    <n v="475.1"/>
    <n v="0"/>
    <n v="76388"/>
  </r>
  <r>
    <x v="3"/>
    <m/>
    <s v="Bøgely Ravnehusvej 20"/>
    <n v="9970"/>
    <m/>
    <s v="Bøgely"/>
    <x v="21"/>
    <x v="0"/>
    <x v="5"/>
    <n v="543.19000000000005"/>
    <n v="11"/>
    <s v="2009-12-31"/>
    <n v="0"/>
    <n v="774"/>
    <n v="0.70170500000000002"/>
    <n v="3"/>
    <x v="0"/>
    <x v="347"/>
    <n v="434.55"/>
    <n v="0"/>
    <m/>
    <m/>
    <n v="543.20001000000002"/>
    <n v="0"/>
    <n v="76388"/>
  </r>
  <r>
    <x v="3"/>
    <m/>
    <s v="Bøgely Ravnehusvej 20"/>
    <n v="9970"/>
    <m/>
    <s v="Bøgely"/>
    <x v="21"/>
    <x v="0"/>
    <x v="6"/>
    <n v="684.19"/>
    <n v="7"/>
    <s v="2009-12-31"/>
    <n v="0"/>
    <n v="774"/>
    <n v="0.88385199999999997"/>
    <n v="3"/>
    <x v="0"/>
    <x v="348"/>
    <n v="547.34"/>
    <n v="0"/>
    <m/>
    <m/>
    <n v="684.16980000000001"/>
    <n v="0"/>
    <n v="76388"/>
  </r>
  <r>
    <x v="3"/>
    <s v="02558-5"/>
    <s v="Børnehusene Ryttergårdsvej 100 - 102"/>
    <n v="5252"/>
    <m/>
    <s v="Børnehusene Ryttergårdsvej 100 - 102"/>
    <x v="22"/>
    <x v="0"/>
    <x v="0"/>
    <n v="476"/>
    <n v="5"/>
    <s v="2005-05-01"/>
    <n v="0"/>
    <n v="752"/>
    <n v="0.223028"/>
    <n v="3"/>
    <x v="0"/>
    <x v="349"/>
    <n v="134.19"/>
    <n v="0"/>
    <s v="BK 99100253"/>
    <m/>
    <n v="167.73699999999999"/>
    <n v="0"/>
    <n v="56689"/>
  </r>
  <r>
    <x v="3"/>
    <s v="02558-5"/>
    <s v="Børnehusene Ryttergårdsvej 100 - 102"/>
    <n v="5252"/>
    <m/>
    <s v="Børnehusene Ryttergårdsvej 100 - 102"/>
    <x v="22"/>
    <x v="0"/>
    <x v="1"/>
    <n v="404.13"/>
    <n v="12"/>
    <s v="2005-05-01"/>
    <n v="0"/>
    <n v="752"/>
    <n v="0.53733500000000001"/>
    <n v="3"/>
    <x v="0"/>
    <x v="350"/>
    <n v="323.29000000000002"/>
    <n v="0"/>
    <s v="BK 99100253"/>
    <m/>
    <n v="404.12700000000001"/>
    <n v="0"/>
    <n v="56689"/>
  </r>
  <r>
    <x v="3"/>
    <s v="02558-5"/>
    <s v="Børnehusene Ryttergårdsvej 100 - 102"/>
    <n v="5252"/>
    <m/>
    <s v="Børnehusene Ryttergårdsvej 100 - 102"/>
    <x v="22"/>
    <x v="0"/>
    <x v="2"/>
    <n v="424.72"/>
    <n v="12"/>
    <s v="2005-05-01"/>
    <n v="0"/>
    <n v="752"/>
    <n v="0.56471199999999999"/>
    <n v="3"/>
    <x v="0"/>
    <x v="351"/>
    <n v="339.77"/>
    <n v="0"/>
    <s v="BK 99100253"/>
    <m/>
    <n v="424.71800000000002"/>
    <n v="0"/>
    <n v="56689"/>
  </r>
  <r>
    <x v="3"/>
    <s v="02558-5"/>
    <s v="Børnehusene Ryttergårdsvej 100 - 102"/>
    <n v="5252"/>
    <m/>
    <s v="Børnehusene Ryttergårdsvej 100 - 102"/>
    <x v="22"/>
    <x v="0"/>
    <x v="3"/>
    <n v="419.28"/>
    <n v="12"/>
    <s v="2005-05-01"/>
    <n v="0"/>
    <n v="752"/>
    <n v="0.55747899999999995"/>
    <n v="3"/>
    <x v="0"/>
    <x v="352"/>
    <n v="335.45"/>
    <n v="0"/>
    <s v="BK 99100253"/>
    <m/>
    <n v="419.291"/>
    <n v="0"/>
    <n v="56689"/>
  </r>
  <r>
    <x v="3"/>
    <s v="02558-5"/>
    <s v="Børnehusene Ryttergårdsvej 100 - 102"/>
    <n v="5252"/>
    <m/>
    <s v="Børnehusene Ryttergårdsvej 100 - 102"/>
    <x v="22"/>
    <x v="0"/>
    <x v="4"/>
    <n v="379.38"/>
    <n v="12"/>
    <s v="2005-05-01"/>
    <n v="0"/>
    <n v="752"/>
    <n v="0.50442699999999996"/>
    <n v="3"/>
    <x v="0"/>
    <x v="353"/>
    <n v="303.5"/>
    <n v="0"/>
    <s v="BK 99100253"/>
    <m/>
    <n v="379.36700000000002"/>
    <n v="0"/>
    <n v="56689"/>
  </r>
  <r>
    <x v="3"/>
    <s v="02558-5"/>
    <s v="Børnehusene Ryttergårdsvej 100 - 102"/>
    <n v="5252"/>
    <m/>
    <s v="Børnehusene Ryttergårdsvej 100 - 102"/>
    <x v="22"/>
    <x v="0"/>
    <x v="5"/>
    <n v="378.39"/>
    <n v="12"/>
    <s v="2005-05-01"/>
    <n v="0"/>
    <n v="752"/>
    <n v="0.50311099999999997"/>
    <n v="3"/>
    <x v="0"/>
    <x v="354"/>
    <n v="302.72000000000003"/>
    <n v="0"/>
    <s v="BK 99100253"/>
    <m/>
    <n v="378.40199999999999"/>
    <n v="0"/>
    <n v="56689"/>
  </r>
  <r>
    <x v="3"/>
    <s v="02558-5"/>
    <s v="Børnehusene Ryttergårdsvej 100 - 102"/>
    <n v="5252"/>
    <m/>
    <s v="Børnehusene Ryttergårdsvej 100 - 102"/>
    <x v="22"/>
    <x v="0"/>
    <x v="6"/>
    <n v="404.61"/>
    <n v="12"/>
    <s v="2005-05-01"/>
    <n v="0"/>
    <n v="752"/>
    <n v="0.53797300000000003"/>
    <n v="3"/>
    <x v="0"/>
    <x v="355"/>
    <n v="323.69"/>
    <n v="0"/>
    <s v="BK 99100253"/>
    <m/>
    <n v="404.62799999999999"/>
    <n v="0"/>
    <n v="56689"/>
  </r>
  <r>
    <x v="3"/>
    <m/>
    <s v="Børnehuset Åkanden / Skovbo Skovbovænget 75"/>
    <n v="9977"/>
    <m/>
    <s v="Åkanden/Skovbo"/>
    <x v="23"/>
    <x v="0"/>
    <x v="0"/>
    <n v="438"/>
    <n v="5"/>
    <s v="2010-10-31"/>
    <n v="0"/>
    <n v="487"/>
    <n v="0.34459000000000001"/>
    <n v="3"/>
    <x v="0"/>
    <x v="356"/>
    <n v="134.27000000000001"/>
    <n v="0"/>
    <m/>
    <m/>
    <n v="167.846"/>
    <n v="0"/>
    <n v="76403"/>
  </r>
  <r>
    <x v="3"/>
    <m/>
    <s v="Børnehuset Åkanden / Skovbo Skovbovænget 75"/>
    <n v="9977"/>
    <m/>
    <s v="Åkanden/Skovbo"/>
    <x v="23"/>
    <x v="0"/>
    <x v="1"/>
    <n v="422.6"/>
    <n v="12"/>
    <s v="2010-10-31"/>
    <n v="0"/>
    <n v="487"/>
    <n v="0.86758299999999999"/>
    <n v="3"/>
    <x v="0"/>
    <x v="357"/>
    <n v="338.08"/>
    <n v="0"/>
    <m/>
    <m/>
    <n v="422.6"/>
    <n v="0"/>
    <n v="76403"/>
  </r>
  <r>
    <x v="3"/>
    <m/>
    <s v="Børnehuset Åkanden / Skovbo Skovbovænget 75"/>
    <n v="9977"/>
    <m/>
    <s v="Åkanden/Skovbo"/>
    <x v="23"/>
    <x v="0"/>
    <x v="2"/>
    <n v="475.3"/>
    <n v="12"/>
    <s v="2010-10-31"/>
    <n v="0"/>
    <n v="487"/>
    <n v="0.97577400000000003"/>
    <n v="3"/>
    <x v="0"/>
    <x v="358"/>
    <n v="380.24"/>
    <n v="0"/>
    <m/>
    <m/>
    <n v="475.3"/>
    <n v="0"/>
    <n v="76403"/>
  </r>
  <r>
    <x v="3"/>
    <m/>
    <s v="Børnehuset Åkanden / Skovbo Skovbovænget 75"/>
    <n v="9977"/>
    <m/>
    <s v="Åkanden/Skovbo"/>
    <x v="23"/>
    <x v="0"/>
    <x v="3"/>
    <n v="678.1"/>
    <n v="12"/>
    <s v="2010-10-31"/>
    <n v="0"/>
    <n v="487"/>
    <n v="1.3921159999999999"/>
    <n v="3"/>
    <x v="0"/>
    <x v="359"/>
    <n v="542.48"/>
    <n v="0"/>
    <m/>
    <m/>
    <n v="678.1"/>
    <n v="0"/>
    <n v="76403"/>
  </r>
  <r>
    <x v="3"/>
    <m/>
    <s v="Børnehuset Åkanden / Skovbo Skovbovænget 75"/>
    <n v="9977"/>
    <m/>
    <s v="Åkanden/Skovbo"/>
    <x v="23"/>
    <x v="0"/>
    <x v="4"/>
    <n v="607.02"/>
    <n v="5"/>
    <s v="2010-10-31"/>
    <n v="0"/>
    <n v="487"/>
    <n v="1.246191"/>
    <n v="3"/>
    <x v="0"/>
    <x v="360"/>
    <n v="485.61"/>
    <n v="0"/>
    <m/>
    <m/>
    <n v="607.00908000000004"/>
    <n v="0"/>
    <n v="76403"/>
  </r>
  <r>
    <x v="3"/>
    <m/>
    <s v="Børnehuset Åkanden / Skovbo Skovbovænget 75"/>
    <n v="9977"/>
    <m/>
    <s v="Åkanden/Skovbo"/>
    <x v="23"/>
    <x v="0"/>
    <x v="5"/>
    <n v="408.85"/>
    <n v="6"/>
    <s v="2010-10-31"/>
    <n v="0"/>
    <n v="487"/>
    <n v="0.83935499999999996"/>
    <n v="3"/>
    <x v="0"/>
    <x v="361"/>
    <n v="327.06"/>
    <n v="0"/>
    <m/>
    <m/>
    <n v="408.84384"/>
    <n v="0"/>
    <n v="76403"/>
  </r>
  <r>
    <x v="3"/>
    <m/>
    <s v="Børnehuset Åkanden / Skovbo Skovbovænget 75"/>
    <n v="9977"/>
    <m/>
    <s v="Åkanden/Skovbo"/>
    <x v="23"/>
    <x v="0"/>
    <x v="6"/>
    <n v="328.63"/>
    <n v="8"/>
    <s v="2010-10-31"/>
    <n v="0"/>
    <n v="487"/>
    <n v="0.67466599999999999"/>
    <n v="3"/>
    <x v="0"/>
    <x v="362"/>
    <n v="262.92"/>
    <n v="0"/>
    <m/>
    <m/>
    <n v="328.63828999999998"/>
    <n v="0"/>
    <n v="76403"/>
  </r>
  <r>
    <x v="3"/>
    <m/>
    <s v="Dalgården, Dalsø 107-109"/>
    <n v="10018"/>
    <m/>
    <s v="Dalgården"/>
    <x v="24"/>
    <x v="0"/>
    <x v="0"/>
    <n v="462"/>
    <n v="5"/>
    <s v="2010-01-31"/>
    <n v="0"/>
    <n v="838"/>
    <n v="0.23588999999999999"/>
    <n v="3"/>
    <x v="0"/>
    <x v="363"/>
    <n v="158.16"/>
    <n v="0"/>
    <s v="02pc5012--"/>
    <m/>
    <n v="197.7"/>
    <n v="0"/>
    <n v="76529"/>
  </r>
  <r>
    <x v="3"/>
    <m/>
    <s v="Bavnebo"/>
    <n v="9965"/>
    <m/>
    <s v="Bavnebo"/>
    <x v="17"/>
    <x v="0"/>
    <x v="7"/>
    <n v="326.3"/>
    <n v="12"/>
    <s v="2010-01-31"/>
    <n v="0"/>
    <n v="715"/>
    <n v="0.45629900000000001"/>
    <n v="3"/>
    <x v="0"/>
    <x v="364"/>
    <n v="261.04000000000002"/>
    <n v="0"/>
    <m/>
    <m/>
    <n v="326.29998999999998"/>
    <n v="0"/>
    <n v="76373"/>
  </r>
  <r>
    <x v="3"/>
    <m/>
    <s v="Dalgården, Dalsø 107-109"/>
    <n v="10018"/>
    <m/>
    <s v="Dalgården"/>
    <x v="24"/>
    <x v="0"/>
    <x v="1"/>
    <n v="475.8"/>
    <n v="12"/>
    <s v="2010-01-31"/>
    <n v="0"/>
    <n v="838"/>
    <n v="0.56771199999999999"/>
    <n v="3"/>
    <x v="0"/>
    <x v="365"/>
    <n v="380.64"/>
    <n v="0"/>
    <s v="02pc5012--"/>
    <m/>
    <n v="475.8"/>
    <n v="0"/>
    <n v="76529"/>
  </r>
  <r>
    <x v="3"/>
    <m/>
    <s v="Dalgården, Dalsø 107-109"/>
    <n v="10018"/>
    <m/>
    <s v="Dalgården"/>
    <x v="24"/>
    <x v="0"/>
    <x v="2"/>
    <n v="437.7"/>
    <n v="12"/>
    <s v="2010-01-31"/>
    <n v="0"/>
    <n v="838"/>
    <n v="0.52225200000000005"/>
    <n v="3"/>
    <x v="0"/>
    <x v="366"/>
    <n v="350.16"/>
    <n v="0"/>
    <s v="02pc5012--"/>
    <m/>
    <n v="437.7"/>
    <n v="0"/>
    <n v="76529"/>
  </r>
  <r>
    <x v="3"/>
    <m/>
    <s v="Dalgården, Dalsø 107-109"/>
    <n v="10018"/>
    <m/>
    <s v="Dalgården"/>
    <x v="24"/>
    <x v="0"/>
    <x v="3"/>
    <n v="428.5"/>
    <n v="12"/>
    <s v="2010-01-31"/>
    <n v="0"/>
    <n v="838"/>
    <n v="0.51127500000000003"/>
    <n v="3"/>
    <x v="0"/>
    <x v="367"/>
    <n v="342.8"/>
    <n v="0"/>
    <s v="02pc5012--"/>
    <m/>
    <n v="428.5"/>
    <n v="0"/>
    <n v="76529"/>
  </r>
  <r>
    <x v="3"/>
    <m/>
    <s v="Dalgården, Dalsø 107-109"/>
    <n v="10018"/>
    <m/>
    <s v="Dalgården"/>
    <x v="24"/>
    <x v="0"/>
    <x v="4"/>
    <n v="569.54"/>
    <n v="12"/>
    <s v="2010-01-31"/>
    <n v="0"/>
    <n v="838"/>
    <n v="0.67956000000000005"/>
    <n v="3"/>
    <x v="0"/>
    <x v="368"/>
    <n v="455.63"/>
    <n v="0"/>
    <s v="02pc5012--"/>
    <m/>
    <n v="569.54142000000002"/>
    <n v="0"/>
    <n v="76529"/>
  </r>
  <r>
    <x v="3"/>
    <m/>
    <s v="Dalgården, Dalsø 107-109"/>
    <n v="10018"/>
    <m/>
    <s v="Dalgården"/>
    <x v="24"/>
    <x v="0"/>
    <x v="5"/>
    <n v="617.34"/>
    <n v="3"/>
    <s v="2010-01-31"/>
    <n v="0"/>
    <n v="838"/>
    <n v="0.73659399999999997"/>
    <n v="3"/>
    <x v="0"/>
    <x v="369"/>
    <n v="493.86"/>
    <n v="0"/>
    <s v="02pc5012--"/>
    <m/>
    <n v="617.34520999999995"/>
    <n v="0"/>
    <n v="76529"/>
  </r>
  <r>
    <x v="3"/>
    <m/>
    <s v="Dalgården, Dalsø 107-109"/>
    <n v="10018"/>
    <m/>
    <s v="Dalgården"/>
    <x v="24"/>
    <x v="0"/>
    <x v="6"/>
    <n v="563.30999999999995"/>
    <n v="5"/>
    <s v="2010-01-31"/>
    <n v="0"/>
    <n v="838"/>
    <n v="0.67212700000000003"/>
    <n v="3"/>
    <x v="0"/>
    <x v="370"/>
    <n v="450.65"/>
    <n v="0"/>
    <s v="02pc5012--"/>
    <m/>
    <n v="563.31335000000001"/>
    <n v="0"/>
    <n v="76529"/>
  </r>
  <r>
    <x v="3"/>
    <s v="04730-9"/>
    <s v="Drivhuset Hvilebæksgårdsvej 17"/>
    <n v="5486"/>
    <m/>
    <s v="Drivhuset"/>
    <x v="25"/>
    <x v="0"/>
    <x v="0"/>
    <n v="0"/>
    <n v="5"/>
    <s v="2005-05-01"/>
    <n v="0"/>
    <n v="417"/>
    <n v="-8.0070000000000002E-3"/>
    <n v="3"/>
    <x v="0"/>
    <x v="371"/>
    <n v="-2.65"/>
    <n v="0"/>
    <s v="3090080"/>
    <m/>
    <n v="-3.3170000000000002"/>
    <n v="0"/>
    <n v="57985"/>
  </r>
  <r>
    <x v="3"/>
    <s v="04730-9"/>
    <s v="Drivhuset Hvilebæksgårdsvej 17"/>
    <n v="5486"/>
    <m/>
    <s v="Drivhuset"/>
    <x v="25"/>
    <x v="0"/>
    <x v="0"/>
    <n v="288"/>
    <n v="5"/>
    <s v="2005-05-01"/>
    <n v="0"/>
    <n v="417"/>
    <n v="0.32131300000000002"/>
    <n v="3"/>
    <x v="0"/>
    <x v="372"/>
    <n v="107.21"/>
    <n v="0"/>
    <s v="03485049"/>
    <m/>
    <n v="134.01599999999999"/>
    <n v="0"/>
    <n v="60151"/>
  </r>
  <r>
    <x v="3"/>
    <m/>
    <s v="Bavnebo"/>
    <n v="9965"/>
    <m/>
    <s v="Bavnebo"/>
    <x v="17"/>
    <x v="0"/>
    <x v="7"/>
    <n v="17206.64"/>
    <n v="12"/>
    <s v="2010-01-31"/>
    <n v="0"/>
    <n v="715"/>
    <n v="24.061865000000001"/>
    <n v="2"/>
    <x v="2"/>
    <x v="373"/>
    <n v="5161.99"/>
    <n v="0"/>
    <m/>
    <s v="74110485999"/>
    <n v="17206.644"/>
    <n v="0"/>
    <n v="76372"/>
  </r>
  <r>
    <x v="3"/>
    <m/>
    <s v="Bavnebo"/>
    <n v="9965"/>
    <m/>
    <s v="Bavnebo"/>
    <x v="17"/>
    <x v="0"/>
    <x v="7"/>
    <n v="48470"/>
    <n v="12"/>
    <s v="2010-10-31"/>
    <n v="0"/>
    <n v="715"/>
    <n v="67.780728999999994"/>
    <n v="1"/>
    <x v="5"/>
    <x v="374"/>
    <n v="3677.46"/>
    <n v="0"/>
    <m/>
    <m/>
    <n v="48.47"/>
    <n v="0"/>
    <n v="76374"/>
  </r>
  <r>
    <x v="3"/>
    <s v="04730-9"/>
    <s v="Drivhuset Hvilebæksgårdsvej 17"/>
    <n v="5486"/>
    <m/>
    <s v="Drivhuset"/>
    <x v="25"/>
    <x v="0"/>
    <x v="1"/>
    <n v="-2.13"/>
    <n v="12"/>
    <s v="2005-05-01"/>
    <n v="0"/>
    <n v="417"/>
    <n v="-5.1060000000000003E-3"/>
    <n v="3"/>
    <x v="0"/>
    <x v="375"/>
    <n v="-1.7"/>
    <n v="0"/>
    <s v="3090080"/>
    <m/>
    <n v="-2.1419999999999999"/>
    <n v="0"/>
    <n v="57985"/>
  </r>
  <r>
    <x v="3"/>
    <s v="04730-9"/>
    <s v="Drivhuset Hvilebæksgårdsvej 17"/>
    <n v="5486"/>
    <m/>
    <s v="Drivhuset"/>
    <x v="25"/>
    <x v="0"/>
    <x v="1"/>
    <n v="300.83"/>
    <n v="12"/>
    <s v="2005-05-01"/>
    <n v="0"/>
    <n v="417"/>
    <n v="0.72124100000000002"/>
    <n v="3"/>
    <x v="0"/>
    <x v="376"/>
    <n v="240.68"/>
    <n v="0"/>
    <s v="03485049"/>
    <m/>
    <n v="300.82900000000001"/>
    <n v="0"/>
    <n v="60151"/>
  </r>
  <r>
    <x v="3"/>
    <s v="04730-9"/>
    <s v="Drivhuset Hvilebæksgårdsvej 17"/>
    <n v="5486"/>
    <m/>
    <s v="Drivhuset"/>
    <x v="25"/>
    <x v="0"/>
    <x v="2"/>
    <n v="15.28"/>
    <n v="12"/>
    <s v="2005-05-01"/>
    <n v="0"/>
    <n v="417"/>
    <n v="3.6632999999999999E-2"/>
    <n v="3"/>
    <x v="0"/>
    <x v="377"/>
    <n v="12.25"/>
    <n v="0"/>
    <s v="3090080"/>
    <m/>
    <n v="15.294"/>
    <n v="0"/>
    <n v="57985"/>
  </r>
  <r>
    <x v="3"/>
    <s v="04730-9"/>
    <s v="Drivhuset Hvilebæksgårdsvej 17"/>
    <n v="5486"/>
    <m/>
    <s v="Drivhuset"/>
    <x v="25"/>
    <x v="0"/>
    <x v="2"/>
    <n v="398.87"/>
    <n v="12"/>
    <s v="2005-05-01"/>
    <n v="0"/>
    <n v="417"/>
    <n v="0.95629299999999995"/>
    <n v="3"/>
    <x v="0"/>
    <x v="378"/>
    <n v="319.11"/>
    <n v="0"/>
    <s v="03485049"/>
    <m/>
    <n v="398.87599999999998"/>
    <n v="0"/>
    <n v="60151"/>
  </r>
  <r>
    <x v="3"/>
    <s v="04730-9"/>
    <s v="Drivhuset Hvilebæksgårdsvej 17"/>
    <n v="5486"/>
    <m/>
    <s v="Drivhuset"/>
    <x v="25"/>
    <x v="0"/>
    <x v="3"/>
    <n v="52.19"/>
    <n v="12"/>
    <s v="2005-05-01"/>
    <n v="0"/>
    <n v="417"/>
    <n v="0.12512499999999999"/>
    <n v="3"/>
    <x v="0"/>
    <x v="379"/>
    <n v="41.75"/>
    <n v="0"/>
    <s v="3090080"/>
    <m/>
    <n v="52.195999999999998"/>
    <n v="0"/>
    <n v="57985"/>
  </r>
  <r>
    <x v="3"/>
    <s v="04730-9"/>
    <s v="Drivhuset Hvilebæksgårdsvej 17"/>
    <n v="5486"/>
    <m/>
    <s v="Drivhuset"/>
    <x v="25"/>
    <x v="0"/>
    <x v="3"/>
    <n v="353.71"/>
    <n v="12"/>
    <s v="2005-05-01"/>
    <n v="0"/>
    <n v="417"/>
    <n v="0.84802200000000005"/>
    <n v="3"/>
    <x v="0"/>
    <x v="380"/>
    <n v="282.98"/>
    <n v="0"/>
    <s v="03485049"/>
    <m/>
    <n v="353.71100000000001"/>
    <n v="0"/>
    <n v="60151"/>
  </r>
  <r>
    <x v="3"/>
    <s v="04730-9"/>
    <s v="Drivhuset Hvilebæksgårdsvej 17"/>
    <n v="5486"/>
    <m/>
    <s v="Drivhuset"/>
    <x v="25"/>
    <x v="0"/>
    <x v="4"/>
    <n v="26.26"/>
    <n v="12"/>
    <s v="2005-05-01"/>
    <n v="0"/>
    <n v="417"/>
    <n v="6.2958E-2"/>
    <n v="3"/>
    <x v="0"/>
    <x v="381"/>
    <n v="21.02"/>
    <n v="0"/>
    <s v="3090080"/>
    <m/>
    <n v="26.265000000000001"/>
    <n v="0"/>
    <n v="57985"/>
  </r>
  <r>
    <x v="3"/>
    <s v="04730-9"/>
    <s v="Drivhuset Hvilebæksgårdsvej 17"/>
    <n v="5486"/>
    <m/>
    <s v="Drivhuset"/>
    <x v="25"/>
    <x v="0"/>
    <x v="4"/>
    <n v="436.66"/>
    <n v="12"/>
    <s v="2005-05-01"/>
    <n v="0"/>
    <n v="417"/>
    <n v="1.0468949999999999"/>
    <n v="3"/>
    <x v="0"/>
    <x v="382"/>
    <n v="349.32"/>
    <n v="0"/>
    <s v="03485049"/>
    <m/>
    <n v="436.661"/>
    <n v="0"/>
    <n v="60151"/>
  </r>
  <r>
    <x v="3"/>
    <s v="04730-9"/>
    <s v="Drivhuset Hvilebæksgårdsvej 17"/>
    <n v="5486"/>
    <m/>
    <s v="Drivhuset"/>
    <x v="25"/>
    <x v="0"/>
    <x v="5"/>
    <n v="13.68"/>
    <n v="12"/>
    <s v="2005-05-01"/>
    <n v="0"/>
    <n v="417"/>
    <n v="3.2797E-2"/>
    <n v="3"/>
    <x v="0"/>
    <x v="383"/>
    <n v="11.01"/>
    <n v="0"/>
    <s v="3090080"/>
    <m/>
    <n v="13.733000000000001"/>
    <n v="0"/>
    <n v="57985"/>
  </r>
  <r>
    <x v="3"/>
    <s v="04730-9"/>
    <s v="Drivhuset Hvilebæksgårdsvej 17"/>
    <n v="5486"/>
    <m/>
    <s v="Drivhuset"/>
    <x v="25"/>
    <x v="0"/>
    <x v="5"/>
    <n v="278.41000000000003"/>
    <n v="12"/>
    <s v="2005-05-01"/>
    <n v="0"/>
    <n v="417"/>
    <n v="0.667489"/>
    <n v="3"/>
    <x v="0"/>
    <x v="384"/>
    <n v="222.7"/>
    <n v="0"/>
    <s v="03485049"/>
    <m/>
    <n v="278.39299999999997"/>
    <n v="0"/>
    <n v="60151"/>
  </r>
  <r>
    <x v="3"/>
    <s v="04730-9"/>
    <s v="Drivhuset Hvilebæksgårdsvej 17"/>
    <n v="5486"/>
    <m/>
    <s v="Drivhuset"/>
    <x v="25"/>
    <x v="0"/>
    <x v="6"/>
    <n v="28.92"/>
    <n v="12"/>
    <s v="2005-05-01"/>
    <n v="0"/>
    <n v="417"/>
    <n v="6.9334999999999994E-2"/>
    <n v="3"/>
    <x v="0"/>
    <x v="385"/>
    <n v="23.14"/>
    <n v="0"/>
    <s v="3090080"/>
    <m/>
    <n v="28.911999999999999"/>
    <n v="0"/>
    <n v="57985"/>
  </r>
  <r>
    <x v="3"/>
    <s v="04730-9"/>
    <s v="Drivhuset Hvilebæksgårdsvej 17"/>
    <n v="5486"/>
    <m/>
    <s v="Drivhuset"/>
    <x v="25"/>
    <x v="0"/>
    <x v="6"/>
    <n v="247.99"/>
    <n v="12"/>
    <s v="2005-05-01"/>
    <n v="0"/>
    <n v="417"/>
    <n v="0.594557"/>
    <n v="3"/>
    <x v="0"/>
    <x v="386"/>
    <n v="198.4"/>
    <n v="0"/>
    <s v="03485049"/>
    <m/>
    <n v="248.00899999999999"/>
    <n v="0"/>
    <n v="60151"/>
  </r>
  <r>
    <x v="3"/>
    <m/>
    <s v="Espebo Børnecenter"/>
    <n v="10058"/>
    <m/>
    <s v="Espebo Børnecenter"/>
    <x v="26"/>
    <x v="0"/>
    <x v="0"/>
    <n v="1064"/>
    <n v="5"/>
    <s v="2010-08-30"/>
    <n v="0"/>
    <n v="692"/>
    <n v="0.52680199999999999"/>
    <n v="3"/>
    <x v="0"/>
    <x v="387"/>
    <n v="291.68"/>
    <n v="0"/>
    <m/>
    <m/>
    <n v="364.6"/>
    <n v="0"/>
    <n v="76685"/>
  </r>
  <r>
    <x v="3"/>
    <s v="004757-0"/>
    <s v="Bifrost Nordtoftevej 56c"/>
    <n v="5251"/>
    <m/>
    <s v="Bifrost"/>
    <x v="18"/>
    <x v="0"/>
    <x v="7"/>
    <n v="39.86"/>
    <n v="12"/>
    <s v="2005-05-01"/>
    <n v="0"/>
    <n v="375"/>
    <n v="0.106264"/>
    <n v="3"/>
    <x v="0"/>
    <x v="388"/>
    <n v="31.87"/>
    <n v="0"/>
    <s v="BK 98392292"/>
    <m/>
    <n v="39.847999999999999"/>
    <n v="0"/>
    <n v="56682"/>
  </r>
  <r>
    <x v="3"/>
    <m/>
    <s v="Espebo Børnecenter"/>
    <n v="10058"/>
    <m/>
    <s v="Espebo Børnecenter"/>
    <x v="26"/>
    <x v="0"/>
    <x v="1"/>
    <n v="962.2"/>
    <n v="12"/>
    <s v="2010-08-30"/>
    <n v="0"/>
    <n v="692"/>
    <n v="1.390261"/>
    <n v="3"/>
    <x v="0"/>
    <x v="389"/>
    <n v="769.76"/>
    <n v="0"/>
    <m/>
    <m/>
    <n v="962.2"/>
    <n v="0"/>
    <n v="76685"/>
  </r>
  <r>
    <x v="3"/>
    <m/>
    <s v="Espebo Børnecenter"/>
    <n v="10058"/>
    <m/>
    <s v="Espebo Børnecenter"/>
    <x v="26"/>
    <x v="0"/>
    <x v="2"/>
    <n v="903.6"/>
    <n v="12"/>
    <s v="2010-08-30"/>
    <n v="0"/>
    <n v="692"/>
    <n v="1.3055909999999999"/>
    <n v="3"/>
    <x v="0"/>
    <x v="390"/>
    <n v="722.88"/>
    <n v="0"/>
    <m/>
    <m/>
    <n v="903.6"/>
    <n v="0"/>
    <n v="76685"/>
  </r>
  <r>
    <x v="3"/>
    <m/>
    <s v="Espebo Børnecenter"/>
    <n v="10058"/>
    <m/>
    <s v="Espebo Børnecenter"/>
    <x v="26"/>
    <x v="0"/>
    <x v="3"/>
    <n v="776.4"/>
    <n v="12"/>
    <s v="2010-08-30"/>
    <n v="0"/>
    <n v="692"/>
    <n v="1.1218030000000001"/>
    <n v="3"/>
    <x v="0"/>
    <x v="391"/>
    <n v="621.12"/>
    <n v="0"/>
    <m/>
    <m/>
    <n v="776.4"/>
    <n v="0"/>
    <n v="76685"/>
  </r>
  <r>
    <x v="3"/>
    <m/>
    <s v="Espebo Børnecenter"/>
    <n v="10058"/>
    <m/>
    <s v="Espebo Børnecenter"/>
    <x v="26"/>
    <x v="0"/>
    <x v="4"/>
    <n v="371.37"/>
    <n v="6"/>
    <s v="2010-08-30"/>
    <n v="0"/>
    <n v="692"/>
    <n v="0.53658399999999995"/>
    <n v="3"/>
    <x v="0"/>
    <x v="392"/>
    <n v="297.10000000000002"/>
    <n v="0"/>
    <m/>
    <m/>
    <n v="371.37975"/>
    <n v="0"/>
    <n v="76685"/>
  </r>
  <r>
    <x v="3"/>
    <m/>
    <s v="Espebo Børnecenter"/>
    <n v="10058"/>
    <m/>
    <s v="Espebo Børnecenter"/>
    <x v="26"/>
    <x v="0"/>
    <x v="5"/>
    <n v="351.24"/>
    <n v="5"/>
    <s v="2010-08-30"/>
    <n v="0"/>
    <n v="692"/>
    <n v="0.507498"/>
    <n v="3"/>
    <x v="0"/>
    <x v="393"/>
    <n v="281"/>
    <n v="0"/>
    <m/>
    <m/>
    <n v="351.25229999999999"/>
    <n v="0"/>
    <n v="76685"/>
  </r>
  <r>
    <x v="3"/>
    <m/>
    <s v="Espebo Børnecenter"/>
    <n v="10058"/>
    <m/>
    <s v="Espebo Børnecenter"/>
    <x v="26"/>
    <x v="0"/>
    <x v="6"/>
    <n v="460.6"/>
    <n v="4"/>
    <s v="2010-08-30"/>
    <n v="0"/>
    <n v="692"/>
    <n v="0.66551000000000005"/>
    <n v="3"/>
    <x v="0"/>
    <x v="394"/>
    <n v="368.48"/>
    <n v="0"/>
    <m/>
    <m/>
    <n v="460.59796"/>
    <n v="0"/>
    <n v="76685"/>
  </r>
  <r>
    <x v="3"/>
    <s v="03971-3"/>
    <s v="Farum Vejgård, Stavnsholtvej 170"/>
    <n v="5428"/>
    <m/>
    <s v="Farum Vejgård"/>
    <x v="27"/>
    <x v="0"/>
    <x v="0"/>
    <n v="383"/>
    <n v="5"/>
    <s v="2013-05-07"/>
    <n v="0"/>
    <n v="679"/>
    <n v="0.22014400000000001"/>
    <n v="3"/>
    <x v="0"/>
    <x v="395"/>
    <n v="119.62"/>
    <n v="0"/>
    <s v="4093459"/>
    <m/>
    <n v="149.50700000000001"/>
    <n v="0"/>
    <n v="57404"/>
  </r>
  <r>
    <x v="3"/>
    <s v="004757-0"/>
    <s v="Bifrost Nordtoftevej 56c"/>
    <n v="5251"/>
    <m/>
    <s v="Bifrost"/>
    <x v="18"/>
    <x v="0"/>
    <x v="7"/>
    <n v="8000.73"/>
    <n v="12"/>
    <s v="2005-05-01"/>
    <n v="0"/>
    <n v="375"/>
    <n v="21.329592000000002"/>
    <n v="2"/>
    <x v="2"/>
    <x v="396"/>
    <n v="3200.29"/>
    <n v="0"/>
    <s v="670761"/>
    <s v="74112842813"/>
    <n v="8000.7338"/>
    <n v="0"/>
    <n v="56680"/>
  </r>
  <r>
    <x v="3"/>
    <s v="03971-3"/>
    <s v="Farum Vejgård, Stavnsholtvej 170"/>
    <n v="5428"/>
    <m/>
    <s v="Farum Vejgård"/>
    <x v="27"/>
    <x v="0"/>
    <x v="1"/>
    <n v="762.86"/>
    <n v="13"/>
    <s v="2013-05-07"/>
    <n v="0"/>
    <n v="679"/>
    <n v="1.1233390000000001"/>
    <n v="3"/>
    <x v="0"/>
    <x v="397"/>
    <n v="610.28"/>
    <n v="0"/>
    <s v="4093459"/>
    <m/>
    <n v="762.84789999999998"/>
    <n v="0"/>
    <n v="57404"/>
  </r>
  <r>
    <x v="3"/>
    <s v="03971-3"/>
    <s v="Farum Vejgård, Stavnsholtvej 170"/>
    <n v="5428"/>
    <m/>
    <s v="Farum Vejgård"/>
    <x v="27"/>
    <x v="0"/>
    <x v="2"/>
    <n v="1097.74"/>
    <n v="12"/>
    <s v="2013-05-07"/>
    <n v="0"/>
    <n v="679"/>
    <n v="1.6164620000000001"/>
    <n v="3"/>
    <x v="0"/>
    <x v="398"/>
    <n v="878.18"/>
    <n v="0"/>
    <s v="4093459"/>
    <m/>
    <n v="1097.7440099999999"/>
    <n v="0"/>
    <n v="57404"/>
  </r>
  <r>
    <x v="3"/>
    <s v="03971-3"/>
    <s v="Farum Vejgård, Stavnsholtvej 170"/>
    <n v="5428"/>
    <m/>
    <s v="Farum Vejgård"/>
    <x v="27"/>
    <x v="0"/>
    <x v="3"/>
    <n v="1056.74"/>
    <n v="12"/>
    <s v="2013-05-07"/>
    <n v="0"/>
    <n v="679"/>
    <n v="1.5560879999999999"/>
    <n v="3"/>
    <x v="0"/>
    <x v="399"/>
    <n v="845.37"/>
    <n v="0"/>
    <s v="4093459"/>
    <m/>
    <n v="1056.73153"/>
    <n v="0"/>
    <n v="57404"/>
  </r>
  <r>
    <x v="3"/>
    <s v="03971-3"/>
    <s v="Farum Vejgård, Stavnsholtvej 170"/>
    <n v="5428"/>
    <m/>
    <s v="Farum Vejgård"/>
    <x v="28"/>
    <x v="0"/>
    <x v="4"/>
    <n v="1151.74"/>
    <n v="12"/>
    <s v="2013-05-07"/>
    <n v="0"/>
    <n v="679"/>
    <n v="1.6959789999999999"/>
    <n v="3"/>
    <x v="0"/>
    <x v="400"/>
    <n v="921.37"/>
    <n v="0"/>
    <s v="4093459"/>
    <m/>
    <n v="1151.7295300000001"/>
    <n v="0"/>
    <n v="57404"/>
  </r>
  <r>
    <x v="3"/>
    <s v="03971-3"/>
    <s v="Farum Vejgård, Stavnsholtvej 170"/>
    <n v="5428"/>
    <m/>
    <s v="Farum Vejgård"/>
    <x v="28"/>
    <x v="0"/>
    <x v="5"/>
    <n v="1136.8599999999999"/>
    <n v="12"/>
    <s v="2013-05-07"/>
    <n v="0"/>
    <n v="679"/>
    <n v="1.6740679999999999"/>
    <n v="3"/>
    <x v="0"/>
    <x v="401"/>
    <n v="909.47"/>
    <n v="0"/>
    <s v="4093459"/>
    <m/>
    <n v="1136.84853"/>
    <n v="0"/>
    <n v="57404"/>
  </r>
  <r>
    <x v="3"/>
    <s v="03971-3"/>
    <s v="Farum Vejgård, Stavnsholtvej 170"/>
    <n v="5428"/>
    <m/>
    <s v="Farum Vejgård"/>
    <x v="28"/>
    <x v="0"/>
    <x v="6"/>
    <n v="1160.51"/>
    <n v="12"/>
    <s v="2013-05-07"/>
    <n v="0"/>
    <n v="679"/>
    <n v="1.7088939999999999"/>
    <n v="3"/>
    <x v="0"/>
    <x v="402"/>
    <n v="928.43"/>
    <n v="0"/>
    <s v="4093459"/>
    <m/>
    <n v="1160.5120099999999"/>
    <n v="0"/>
    <n v="57404"/>
  </r>
  <r>
    <x v="3"/>
    <s v="00005-1"/>
    <s v="Farumsødal"/>
    <n v="5262"/>
    <m/>
    <s v="Farumsødal"/>
    <x v="29"/>
    <x v="0"/>
    <x v="0"/>
    <n v="690"/>
    <n v="5"/>
    <s v="2012-01-25"/>
    <n v="0"/>
    <n v="874"/>
    <n v="0.450268"/>
    <n v="3"/>
    <x v="0"/>
    <x v="403"/>
    <n v="314.87"/>
    <n v="0"/>
    <s v="06202446"/>
    <m/>
    <n v="393.57900000000001"/>
    <n v="0"/>
    <n v="56739"/>
  </r>
  <r>
    <x v="5"/>
    <m/>
    <s v="Smedegade 19"/>
    <n v="13961"/>
    <s v="0"/>
    <s v="Smedegade 19"/>
    <x v="30"/>
    <x v="0"/>
    <x v="7"/>
    <n v="4071.04"/>
    <n v="3"/>
    <s v="2014-11-04"/>
    <n v="0"/>
    <n v="214"/>
    <n v="19.014665999999998"/>
    <n v="1"/>
    <x v="4"/>
    <x v="404"/>
    <n v="1021.86"/>
    <n v="0"/>
    <s v="1540873"/>
    <s v="5715151-980-0129757-3"/>
    <n v="376.94700999999998"/>
    <n v="0"/>
    <n v="92684"/>
  </r>
  <r>
    <x v="3"/>
    <s v="00005-1"/>
    <s v="Farumsødal"/>
    <n v="5262"/>
    <m/>
    <s v="Farumsødal"/>
    <x v="29"/>
    <x v="0"/>
    <x v="1"/>
    <n v="470.8"/>
    <n v="12"/>
    <s v="2012-01-25"/>
    <n v="0"/>
    <n v="874"/>
    <n v="0.53861099999999995"/>
    <n v="3"/>
    <x v="0"/>
    <x v="405"/>
    <n v="376.65"/>
    <n v="0"/>
    <s v="06202446"/>
    <m/>
    <n v="470.79500000000002"/>
    <n v="0"/>
    <n v="56739"/>
  </r>
  <r>
    <x v="3"/>
    <s v="00005-1"/>
    <s v="Farumsødal"/>
    <n v="5262"/>
    <m/>
    <s v="Farumsødal"/>
    <x v="29"/>
    <x v="0"/>
    <x v="2"/>
    <n v="757.34"/>
    <n v="12"/>
    <s v="2012-01-25"/>
    <n v="0"/>
    <n v="874"/>
    <n v="0.86642200000000003"/>
    <n v="3"/>
    <x v="0"/>
    <x v="406"/>
    <n v="605.87"/>
    <n v="0"/>
    <s v="06202446"/>
    <m/>
    <n v="757.34900000000005"/>
    <n v="0"/>
    <n v="56739"/>
  </r>
  <r>
    <x v="3"/>
    <s v="00005-1"/>
    <s v="Farumsødal"/>
    <n v="5262"/>
    <m/>
    <s v="Farumsødal"/>
    <x v="29"/>
    <x v="0"/>
    <x v="3"/>
    <n v="562.64"/>
    <n v="2"/>
    <s v="2012-01-25"/>
    <n v="0"/>
    <n v="874"/>
    <n v="0.643679"/>
    <n v="3"/>
    <x v="0"/>
    <x v="407"/>
    <n v="450.12"/>
    <n v="0"/>
    <s v="06202446"/>
    <m/>
    <n v="562.64130999999998"/>
    <n v="0"/>
    <n v="56739"/>
  </r>
  <r>
    <x v="3"/>
    <s v="00005-1"/>
    <s v="Farumsødal"/>
    <n v="5262"/>
    <m/>
    <s v="Farumsødal"/>
    <x v="29"/>
    <x v="0"/>
    <x v="4"/>
    <n v="626.95000000000005"/>
    <n v="1"/>
    <s v="2012-01-25"/>
    <n v="0"/>
    <n v="874"/>
    <n v="0.717252"/>
    <n v="3"/>
    <x v="0"/>
    <x v="408"/>
    <n v="501.53"/>
    <n v="0"/>
    <s v="06202446"/>
    <m/>
    <n v="626.91502000000003"/>
    <n v="0"/>
    <n v="56739"/>
  </r>
  <r>
    <x v="3"/>
    <s v="00005-1"/>
    <s v="Farumsødal"/>
    <n v="5262"/>
    <m/>
    <s v="Farumsødal"/>
    <x v="29"/>
    <x v="0"/>
    <x v="5"/>
    <n v="654.4"/>
    <n v="1"/>
    <s v="2012-01-25"/>
    <n v="0"/>
    <n v="874"/>
    <n v="0.74865499999999996"/>
    <n v="3"/>
    <x v="0"/>
    <x v="409"/>
    <n v="523.52"/>
    <n v="0"/>
    <s v="06202446"/>
    <m/>
    <n v="654.42148999999995"/>
    <n v="0"/>
    <n v="56739"/>
  </r>
  <r>
    <x v="3"/>
    <s v="00005-1"/>
    <s v="Farumsødal"/>
    <n v="5262"/>
    <m/>
    <s v="Farumsødal"/>
    <x v="29"/>
    <x v="0"/>
    <x v="6"/>
    <n v="892.12"/>
    <n v="1"/>
    <s v="2012-01-25"/>
    <n v="0"/>
    <n v="874"/>
    <n v="1.020615"/>
    <n v="3"/>
    <x v="0"/>
    <x v="410"/>
    <n v="713.7"/>
    <n v="0"/>
    <s v="06202446"/>
    <m/>
    <n v="892.10973000000001"/>
    <n v="0"/>
    <n v="56739"/>
  </r>
  <r>
    <x v="3"/>
    <s v="00731-5"/>
    <s v="Græshoppen"/>
    <n v="5264"/>
    <m/>
    <s v="Græshoppen"/>
    <x v="31"/>
    <x v="0"/>
    <x v="0"/>
    <n v="225"/>
    <n v="5"/>
    <s v="2005-07-01"/>
    <n v="0"/>
    <n v="333"/>
    <n v="0.29171399999999997"/>
    <n v="3"/>
    <x v="0"/>
    <x v="411"/>
    <n v="77.739999999999995"/>
    <n v="0"/>
    <s v="BK 4016436"/>
    <m/>
    <n v="97.171999999999997"/>
    <n v="0"/>
    <n v="56769"/>
  </r>
  <r>
    <x v="5"/>
    <m/>
    <s v="Kollekollevej 27 TOM"/>
    <n v="10271"/>
    <m/>
    <s v="Kollekollevej 27"/>
    <x v="32"/>
    <x v="0"/>
    <x v="7"/>
    <n v="7381.07"/>
    <n v="4"/>
    <s v="2015-02-12"/>
    <n v="0"/>
    <n v="123"/>
    <n v="59.959950999999997"/>
    <n v="1"/>
    <x v="4"/>
    <x v="412"/>
    <n v="1864.24"/>
    <n v="0"/>
    <s v="HNG16.03.587"/>
    <s v="98001314041"/>
    <n v="683.43129999999996"/>
    <n v="0"/>
    <n v="77658"/>
  </r>
  <r>
    <x v="3"/>
    <s v="00731-5"/>
    <s v="Græshoppen"/>
    <n v="5264"/>
    <m/>
    <s v="Græshoppen"/>
    <x v="31"/>
    <x v="0"/>
    <x v="1"/>
    <n v="254.09"/>
    <n v="12"/>
    <s v="2005-07-01"/>
    <n v="0"/>
    <n v="333"/>
    <n v="0.76280300000000001"/>
    <n v="3"/>
    <x v="0"/>
    <x v="413"/>
    <n v="203.27"/>
    <n v="0"/>
    <s v="BK 4016436"/>
    <m/>
    <n v="254.09100000000001"/>
    <n v="0"/>
    <n v="56769"/>
  </r>
  <r>
    <x v="3"/>
    <s v="00731-5"/>
    <s v="Græshoppen"/>
    <n v="5264"/>
    <m/>
    <s v="Græshoppen"/>
    <x v="31"/>
    <x v="0"/>
    <x v="2"/>
    <n v="243.22"/>
    <n v="12"/>
    <s v="2005-07-01"/>
    <n v="0"/>
    <n v="333"/>
    <n v="0.73017100000000001"/>
    <n v="3"/>
    <x v="0"/>
    <x v="414"/>
    <n v="194.57"/>
    <n v="0"/>
    <s v="BK 4016436"/>
    <m/>
    <n v="243.22399999999999"/>
    <n v="0"/>
    <n v="56769"/>
  </r>
  <r>
    <x v="3"/>
    <s v="00731-5"/>
    <s v="Græshoppen"/>
    <n v="5264"/>
    <m/>
    <s v="Græshoppen"/>
    <x v="31"/>
    <x v="0"/>
    <x v="3"/>
    <n v="276.04000000000002"/>
    <n v="12"/>
    <s v="2005-07-01"/>
    <n v="0"/>
    <n v="333"/>
    <n v="0.82869999999999999"/>
    <n v="3"/>
    <x v="0"/>
    <x v="415"/>
    <n v="220.83"/>
    <n v="0"/>
    <s v="BK 4016436"/>
    <m/>
    <n v="276.03899000000001"/>
    <n v="0"/>
    <n v="56769"/>
  </r>
  <r>
    <x v="3"/>
    <s v="00731-5"/>
    <s v="Græshoppen"/>
    <n v="5264"/>
    <m/>
    <s v="Græshoppen"/>
    <x v="31"/>
    <x v="0"/>
    <x v="4"/>
    <n v="281.17"/>
    <n v="12"/>
    <s v="2005-07-01"/>
    <n v="0"/>
    <n v="333"/>
    <n v="0.84409999999999996"/>
    <n v="3"/>
    <x v="0"/>
    <x v="416"/>
    <n v="224.93"/>
    <n v="0"/>
    <s v="BK 4016436"/>
    <m/>
    <n v="281.16800000000001"/>
    <n v="0"/>
    <n v="56769"/>
  </r>
  <r>
    <x v="3"/>
    <s v="00731-5"/>
    <s v="Græshoppen"/>
    <n v="5264"/>
    <m/>
    <s v="Græshoppen"/>
    <x v="31"/>
    <x v="0"/>
    <x v="5"/>
    <n v="303.89"/>
    <n v="12"/>
    <s v="2005-07-01"/>
    <n v="0"/>
    <n v="333"/>
    <n v="0.91230800000000001"/>
    <n v="3"/>
    <x v="0"/>
    <x v="417"/>
    <n v="243.11"/>
    <n v="0"/>
    <s v="BK 4016436"/>
    <m/>
    <n v="303.88099999999997"/>
    <n v="0"/>
    <n v="56769"/>
  </r>
  <r>
    <x v="3"/>
    <s v="00731-5"/>
    <s v="Græshoppen"/>
    <n v="5264"/>
    <m/>
    <s v="Græshoppen"/>
    <x v="31"/>
    <x v="0"/>
    <x v="6"/>
    <n v="302.29000000000002"/>
    <n v="12"/>
    <s v="2005-07-01"/>
    <n v="0"/>
    <n v="333"/>
    <n v="0.90750500000000001"/>
    <n v="3"/>
    <x v="0"/>
    <x v="418"/>
    <n v="241.85"/>
    <n v="0"/>
    <s v="BK 4016436"/>
    <m/>
    <n v="302.3"/>
    <n v="0"/>
    <n v="56769"/>
  </r>
  <r>
    <x v="3"/>
    <m/>
    <s v="Hareskov Børnehus, Skovmose 55"/>
    <n v="9957"/>
    <m/>
    <s v="Hareskov Børnehus"/>
    <x v="33"/>
    <x v="0"/>
    <x v="0"/>
    <n v="322"/>
    <n v="5"/>
    <s v="2011-12-31"/>
    <n v="0"/>
    <n v="646"/>
    <n v="0.23566000000000001"/>
    <n v="3"/>
    <x v="0"/>
    <x v="419"/>
    <n v="121.81"/>
    <n v="0"/>
    <m/>
    <m/>
    <n v="152.262"/>
    <n v="0"/>
    <n v="76342"/>
  </r>
  <r>
    <x v="3"/>
    <m/>
    <s v="Hareskov Børnehus, Skovmose 55"/>
    <n v="9957"/>
    <m/>
    <s v="Hareskov Børnehus"/>
    <x v="33"/>
    <x v="0"/>
    <x v="1"/>
    <n v="695.5"/>
    <n v="12"/>
    <s v="2011-12-31"/>
    <n v="0"/>
    <n v="646"/>
    <n v="1.0764579999999999"/>
    <n v="3"/>
    <x v="0"/>
    <x v="420"/>
    <n v="556.4"/>
    <n v="0"/>
    <m/>
    <m/>
    <n v="695.5"/>
    <n v="0"/>
    <n v="76342"/>
  </r>
  <r>
    <x v="3"/>
    <m/>
    <s v="Hareskov Børnehus, Skovmose 55"/>
    <n v="9957"/>
    <m/>
    <s v="Hareskov Børnehus"/>
    <x v="33"/>
    <x v="0"/>
    <x v="2"/>
    <n v="665.5"/>
    <n v="12"/>
    <s v="2011-12-31"/>
    <n v="0"/>
    <n v="646"/>
    <n v="1.0300260000000001"/>
    <n v="3"/>
    <x v="0"/>
    <x v="421"/>
    <n v="532.4"/>
    <n v="0"/>
    <m/>
    <m/>
    <n v="665.5"/>
    <n v="0"/>
    <n v="76342"/>
  </r>
  <r>
    <x v="3"/>
    <m/>
    <s v="Hareskov Børnehus, Skovmose 55"/>
    <n v="9957"/>
    <m/>
    <s v="Hareskov Børnehus"/>
    <x v="33"/>
    <x v="0"/>
    <x v="3"/>
    <n v="424.55"/>
    <n v="7"/>
    <s v="2011-12-31"/>
    <n v="0"/>
    <n v="646"/>
    <n v="0.65709600000000001"/>
    <n v="3"/>
    <x v="0"/>
    <x v="422"/>
    <n v="339.63"/>
    <n v="0"/>
    <m/>
    <m/>
    <n v="424.52940000000001"/>
    <n v="0"/>
    <n v="76342"/>
  </r>
  <r>
    <x v="3"/>
    <m/>
    <s v="Hareskov Børnehus, Skovmose 55"/>
    <n v="9957"/>
    <m/>
    <s v="Hareskov Børnehus"/>
    <x v="33"/>
    <x v="0"/>
    <x v="4"/>
    <n v="409.78"/>
    <n v="3"/>
    <s v="2011-12-31"/>
    <n v="0"/>
    <n v="646"/>
    <n v="0.63423600000000002"/>
    <n v="3"/>
    <x v="0"/>
    <x v="423"/>
    <n v="327.85"/>
    <n v="0"/>
    <m/>
    <m/>
    <n v="409.79201999999998"/>
    <n v="0"/>
    <n v="76342"/>
  </r>
  <r>
    <x v="3"/>
    <m/>
    <s v="Hareskov Børnehus, Skovmose 55"/>
    <n v="9957"/>
    <m/>
    <s v="Hareskov Børnehus"/>
    <x v="33"/>
    <x v="0"/>
    <x v="5"/>
    <n v="355.94"/>
    <n v="4"/>
    <s v="2011-12-31"/>
    <n v="0"/>
    <n v="646"/>
    <n v="0.55090499999999998"/>
    <n v="3"/>
    <x v="0"/>
    <x v="424"/>
    <n v="284.77999999999997"/>
    <n v="0"/>
    <m/>
    <m/>
    <n v="355.95445000000001"/>
    <n v="0"/>
    <n v="76342"/>
  </r>
  <r>
    <x v="3"/>
    <m/>
    <s v="Hareskov Børnehus, Skovmose 55"/>
    <n v="9957"/>
    <m/>
    <s v="Hareskov Børnehus"/>
    <x v="33"/>
    <x v="0"/>
    <x v="6"/>
    <n v="322.83"/>
    <n v="5"/>
    <s v="2011-12-31"/>
    <n v="0"/>
    <n v="646"/>
    <n v="0.49965900000000002"/>
    <n v="3"/>
    <x v="0"/>
    <x v="425"/>
    <n v="258.24"/>
    <n v="0"/>
    <m/>
    <m/>
    <n v="322.82515000000001"/>
    <n v="0"/>
    <n v="76342"/>
  </r>
  <r>
    <x v="3"/>
    <s v="01215-7"/>
    <s v="Kildehuset, Hoved 41"/>
    <n v="5269"/>
    <m/>
    <s v="Kildehuset"/>
    <x v="34"/>
    <x v="0"/>
    <x v="0"/>
    <n v="306"/>
    <n v="5"/>
    <s v="2005-06-01"/>
    <n v="0"/>
    <n v="607"/>
    <n v="0.20874599999999999"/>
    <n v="3"/>
    <x v="0"/>
    <x v="426"/>
    <n v="101.39"/>
    <n v="0"/>
    <s v="BK 500368"/>
    <m/>
    <n v="126.736"/>
    <n v="0"/>
    <n v="56820"/>
  </r>
  <r>
    <x v="3"/>
    <s v="01215-7"/>
    <s v="Kildehuset, Hoved 41"/>
    <n v="5269"/>
    <m/>
    <s v="Kildehuset"/>
    <x v="34"/>
    <x v="0"/>
    <x v="1"/>
    <n v="376.5"/>
    <n v="12"/>
    <s v="2005-06-01"/>
    <n v="0"/>
    <n v="607"/>
    <n v="0.62016099999999996"/>
    <n v="3"/>
    <x v="0"/>
    <x v="427"/>
    <n v="301.18"/>
    <n v="0"/>
    <s v="BK 500368"/>
    <m/>
    <n v="376.49599999999998"/>
    <n v="0"/>
    <n v="56820"/>
  </r>
  <r>
    <x v="3"/>
    <s v="01215-7"/>
    <s v="Kildehuset, Hoved 41"/>
    <n v="5269"/>
    <m/>
    <s v="Kildehuset"/>
    <x v="34"/>
    <x v="0"/>
    <x v="2"/>
    <n v="278.05"/>
    <n v="12"/>
    <s v="2005-06-01"/>
    <n v="0"/>
    <n v="607"/>
    <n v="0.45799699999999999"/>
    <n v="3"/>
    <x v="0"/>
    <x v="428"/>
    <n v="222.45"/>
    <n v="0"/>
    <s v="BK 500368"/>
    <m/>
    <n v="278.06200000000001"/>
    <n v="0"/>
    <n v="56820"/>
  </r>
  <r>
    <x v="3"/>
    <s v="01215-7"/>
    <s v="Kildehuset, Hoved 41"/>
    <n v="5269"/>
    <m/>
    <s v="Kildehuset"/>
    <x v="34"/>
    <x v="0"/>
    <x v="3"/>
    <n v="325.45999999999998"/>
    <n v="12"/>
    <s v="2005-06-01"/>
    <n v="0"/>
    <n v="607"/>
    <n v="0.53608900000000004"/>
    <n v="3"/>
    <x v="0"/>
    <x v="429"/>
    <n v="260.37"/>
    <n v="0"/>
    <s v="BK 500368"/>
    <m/>
    <n v="325.46199999999999"/>
    <n v="0"/>
    <n v="56820"/>
  </r>
  <r>
    <x v="3"/>
    <s v="01215-7"/>
    <s v="Kildehuset, Hoved 41"/>
    <n v="5269"/>
    <m/>
    <s v="Kildehuset"/>
    <x v="34"/>
    <x v="0"/>
    <x v="4"/>
    <n v="272.95999999999998"/>
    <n v="12"/>
    <s v="2005-06-01"/>
    <n v="0"/>
    <n v="607"/>
    <n v="0.44961200000000001"/>
    <n v="3"/>
    <x v="0"/>
    <x v="430"/>
    <n v="218.36"/>
    <n v="0"/>
    <s v="BK 500368"/>
    <m/>
    <n v="272.96048999999999"/>
    <n v="0"/>
    <n v="56820"/>
  </r>
  <r>
    <x v="3"/>
    <s v="01215-7"/>
    <s v="Kildehuset, Hoved 41"/>
    <n v="5269"/>
    <m/>
    <s v="Kildehuset"/>
    <x v="34"/>
    <x v="0"/>
    <x v="5"/>
    <n v="294.47000000000003"/>
    <n v="12"/>
    <s v="2005-06-01"/>
    <n v="0"/>
    <n v="607"/>
    <n v="0.485043"/>
    <n v="3"/>
    <x v="0"/>
    <x v="431"/>
    <n v="235.59"/>
    <n v="0"/>
    <s v="BK 500368"/>
    <m/>
    <n v="294.47751"/>
    <n v="0"/>
    <n v="56820"/>
  </r>
  <r>
    <x v="3"/>
    <s v="01215-7"/>
    <s v="Kildehuset, Hoved 41"/>
    <n v="5269"/>
    <m/>
    <s v="Kildehuset"/>
    <x v="34"/>
    <x v="0"/>
    <x v="6"/>
    <n v="363.23"/>
    <n v="12"/>
    <s v="2005-06-01"/>
    <n v="0"/>
    <n v="607"/>
    <n v="0.59830300000000003"/>
    <n v="3"/>
    <x v="0"/>
    <x v="432"/>
    <n v="290.58"/>
    <n v="0"/>
    <s v="BK 500368"/>
    <m/>
    <n v="363.23700000000002"/>
    <n v="0"/>
    <n v="56820"/>
  </r>
  <r>
    <x v="3"/>
    <m/>
    <s v="Kirke Værløse Børnehus, BY27"/>
    <n v="10017"/>
    <m/>
    <s v="Kirke Værløse Børnehus"/>
    <x v="35"/>
    <x v="0"/>
    <x v="0"/>
    <n v="606"/>
    <n v="5"/>
    <s v="2010-10-31"/>
    <n v="0"/>
    <n v="602"/>
    <n v="0.349111"/>
    <n v="3"/>
    <x v="0"/>
    <x v="433"/>
    <n v="168.16"/>
    <n v="0"/>
    <m/>
    <m/>
    <n v="210.2"/>
    <n v="0"/>
    <n v="76520"/>
  </r>
  <r>
    <x v="3"/>
    <m/>
    <s v="Kirke Værløse Børnehus, BY27"/>
    <n v="10017"/>
    <m/>
    <s v="Kirke Værløse Børnehus"/>
    <x v="35"/>
    <x v="0"/>
    <x v="1"/>
    <n v="393.2"/>
    <n v="12"/>
    <s v="2010-10-31"/>
    <n v="0"/>
    <n v="602"/>
    <n v="0.65304700000000004"/>
    <n v="3"/>
    <x v="0"/>
    <x v="434"/>
    <n v="314.56"/>
    <n v="0"/>
    <m/>
    <m/>
    <n v="393.2"/>
    <n v="0"/>
    <n v="76520"/>
  </r>
  <r>
    <x v="3"/>
    <m/>
    <s v="Kirke Værløse Børnehus, BY27"/>
    <n v="10017"/>
    <m/>
    <s v="Kirke Værløse Børnehus"/>
    <x v="35"/>
    <x v="0"/>
    <x v="2"/>
    <n v="558.6"/>
    <n v="12"/>
    <s v="2010-10-31"/>
    <n v="0"/>
    <n v="602"/>
    <n v="0.92775200000000002"/>
    <n v="3"/>
    <x v="0"/>
    <x v="435"/>
    <n v="446.88"/>
    <n v="0"/>
    <m/>
    <m/>
    <n v="558.6"/>
    <n v="0"/>
    <n v="76520"/>
  </r>
  <r>
    <x v="3"/>
    <m/>
    <s v="Kirke Værløse Børnehus, BY27"/>
    <n v="10017"/>
    <m/>
    <s v="Kirke Værløse Børnehus"/>
    <x v="35"/>
    <x v="0"/>
    <x v="3"/>
    <n v="467.5"/>
    <n v="12"/>
    <s v="2010-10-31"/>
    <n v="0"/>
    <n v="602"/>
    <n v="0.77644899999999994"/>
    <n v="3"/>
    <x v="0"/>
    <x v="436"/>
    <n v="374"/>
    <n v="0"/>
    <m/>
    <m/>
    <n v="467.5"/>
    <n v="0"/>
    <n v="76520"/>
  </r>
  <r>
    <x v="3"/>
    <m/>
    <s v="Kirke Værløse Børnehus, BY27"/>
    <n v="10017"/>
    <m/>
    <s v="Kirke Værløse Børnehus"/>
    <x v="35"/>
    <x v="0"/>
    <x v="4"/>
    <n v="464.81"/>
    <n v="9"/>
    <s v="2010-10-31"/>
    <n v="0"/>
    <n v="602"/>
    <n v="0.77198100000000003"/>
    <n v="3"/>
    <x v="0"/>
    <x v="437"/>
    <n v="371.86"/>
    <n v="0"/>
    <m/>
    <m/>
    <n v="464.81333999999998"/>
    <n v="0"/>
    <n v="76520"/>
  </r>
  <r>
    <x v="3"/>
    <m/>
    <s v="Kirke Værløse Børnehus, BY27"/>
    <n v="10017"/>
    <m/>
    <s v="Kirke Værløse Børnehus"/>
    <x v="35"/>
    <x v="0"/>
    <x v="5"/>
    <n v="511.83"/>
    <n v="11"/>
    <s v="2010-10-31"/>
    <n v="0"/>
    <n v="602"/>
    <n v="0.850074"/>
    <n v="3"/>
    <x v="0"/>
    <x v="438"/>
    <n v="409.47"/>
    <n v="0"/>
    <m/>
    <m/>
    <n v="511.82979"/>
    <n v="0"/>
    <n v="76520"/>
  </r>
  <r>
    <x v="3"/>
    <m/>
    <s v="Kirke Værløse Børnehus, BY27"/>
    <n v="10017"/>
    <m/>
    <s v="Kirke Værløse Børnehus"/>
    <x v="35"/>
    <x v="0"/>
    <x v="6"/>
    <n v="511.58"/>
    <n v="9"/>
    <s v="2010-10-31"/>
    <n v="0"/>
    <n v="602"/>
    <n v="0.84965900000000005"/>
    <n v="3"/>
    <x v="0"/>
    <x v="439"/>
    <n v="409.28"/>
    <n v="0"/>
    <m/>
    <m/>
    <n v="511.58373"/>
    <n v="0"/>
    <n v="76520"/>
  </r>
  <r>
    <x v="3"/>
    <m/>
    <s v="Kollekolle Børnehave"/>
    <n v="10164"/>
    <m/>
    <s v="Kollekolle Børnehave"/>
    <x v="36"/>
    <x v="0"/>
    <x v="0"/>
    <n v="164"/>
    <n v="5"/>
    <s v="2010-10-31"/>
    <n v="0"/>
    <n v="219"/>
    <n v="0.30807800000000002"/>
    <n v="3"/>
    <x v="0"/>
    <x v="440"/>
    <n v="54"/>
    <n v="0"/>
    <m/>
    <m/>
    <n v="67.5"/>
    <n v="0"/>
    <n v="77154"/>
  </r>
  <r>
    <x v="3"/>
    <m/>
    <s v="Birkedal Børnehus, Kollekolle 75"/>
    <n v="9980"/>
    <m/>
    <s v="Birkedal Børnehus"/>
    <x v="14"/>
    <x v="0"/>
    <x v="7"/>
    <n v="521.9"/>
    <n v="12"/>
    <s v="2010-10-31"/>
    <n v="0"/>
    <n v="961"/>
    <n v="0.54302300000000003"/>
    <n v="3"/>
    <x v="0"/>
    <x v="441"/>
    <n v="417.52"/>
    <n v="0"/>
    <s v="41223"/>
    <m/>
    <n v="521.9"/>
    <n v="0"/>
    <n v="76421"/>
  </r>
  <r>
    <x v="3"/>
    <m/>
    <s v="Kollekolle Børnehave"/>
    <n v="10164"/>
    <m/>
    <s v="Kollekolle Børnehave"/>
    <x v="36"/>
    <x v="0"/>
    <x v="1"/>
    <n v="174.6"/>
    <n v="12"/>
    <s v="2010-10-31"/>
    <n v="0"/>
    <n v="219"/>
    <n v="0.79689600000000005"/>
    <n v="3"/>
    <x v="0"/>
    <x v="442"/>
    <n v="139.68"/>
    <n v="0"/>
    <m/>
    <m/>
    <n v="174.6"/>
    <n v="0"/>
    <n v="77154"/>
  </r>
  <r>
    <x v="3"/>
    <m/>
    <s v="Kollekolle Børnehave"/>
    <n v="10164"/>
    <m/>
    <s v="Kollekolle Børnehave"/>
    <x v="36"/>
    <x v="0"/>
    <x v="2"/>
    <n v="170"/>
    <n v="12"/>
    <s v="2010-10-31"/>
    <n v="0"/>
    <n v="219"/>
    <n v="0.77590099999999995"/>
    <n v="3"/>
    <x v="0"/>
    <x v="443"/>
    <n v="136"/>
    <n v="0"/>
    <m/>
    <m/>
    <n v="170"/>
    <n v="0"/>
    <n v="77154"/>
  </r>
  <r>
    <x v="3"/>
    <m/>
    <s v="Kollekolle Børnehave"/>
    <n v="10164"/>
    <m/>
    <s v="Kollekolle Børnehave"/>
    <x v="36"/>
    <x v="0"/>
    <x v="3"/>
    <n v="152.9"/>
    <n v="12"/>
    <s v="2010-10-31"/>
    <n v="0"/>
    <n v="219"/>
    <n v="0.69785399999999997"/>
    <n v="3"/>
    <x v="0"/>
    <x v="444"/>
    <n v="122.32"/>
    <n v="0"/>
    <m/>
    <m/>
    <n v="152.9"/>
    <n v="0"/>
    <n v="77154"/>
  </r>
  <r>
    <x v="3"/>
    <m/>
    <s v="Kollekolle Børnehave"/>
    <n v="10164"/>
    <m/>
    <s v="Kollekolle Børnehave"/>
    <x v="36"/>
    <x v="0"/>
    <x v="4"/>
    <n v="195.51"/>
    <n v="12"/>
    <s v="2010-10-31"/>
    <n v="0"/>
    <n v="219"/>
    <n v="0.89233200000000001"/>
    <n v="3"/>
    <x v="0"/>
    <x v="445"/>
    <n v="156.41999999999999"/>
    <n v="0"/>
    <m/>
    <m/>
    <n v="195.51669000000001"/>
    <n v="0"/>
    <n v="77154"/>
  </r>
  <r>
    <x v="3"/>
    <m/>
    <s v="Kollekolle Børnehave"/>
    <n v="10164"/>
    <m/>
    <s v="Kollekolle Børnehave"/>
    <x v="36"/>
    <x v="0"/>
    <x v="5"/>
    <n v="221.33"/>
    <n v="11"/>
    <s v="2010-10-31"/>
    <n v="0"/>
    <n v="219"/>
    <n v="1.010178"/>
    <n v="3"/>
    <x v="0"/>
    <x v="446"/>
    <n v="177.09"/>
    <n v="0"/>
    <m/>
    <m/>
    <n v="221.35167000000001"/>
    <n v="0"/>
    <n v="77154"/>
  </r>
  <r>
    <x v="3"/>
    <m/>
    <s v="Kollekolle Børnehave"/>
    <n v="10164"/>
    <m/>
    <s v="Kollekolle Børnehave"/>
    <x v="36"/>
    <x v="0"/>
    <x v="6"/>
    <n v="199.3"/>
    <n v="3"/>
    <s v="2010-10-31"/>
    <n v="0"/>
    <n v="219"/>
    <n v="0.90963000000000005"/>
    <n v="3"/>
    <x v="0"/>
    <x v="447"/>
    <n v="159.41999999999999"/>
    <n v="0"/>
    <m/>
    <m/>
    <n v="199.28515999999999"/>
    <n v="0"/>
    <n v="77154"/>
  </r>
  <r>
    <x v="3"/>
    <m/>
    <s v="Krudthuset Børnehus, Bringe 26"/>
    <n v="10169"/>
    <m/>
    <s v="Krudthuset Børnehus"/>
    <x v="37"/>
    <x v="0"/>
    <x v="0"/>
    <n v="416"/>
    <n v="5"/>
    <s v="2010-10-31"/>
    <n v="0"/>
    <n v="721"/>
    <n v="0.23297699999999999"/>
    <n v="3"/>
    <x v="0"/>
    <x v="448"/>
    <n v="134.4"/>
    <n v="0"/>
    <s v="00PC500627"/>
    <m/>
    <n v="168"/>
    <n v="0"/>
    <n v="77181"/>
  </r>
  <r>
    <x v="3"/>
    <m/>
    <s v="Birkedal Børnehus, Kollekolle 75"/>
    <n v="9980"/>
    <m/>
    <s v="Birkedal Børnehus"/>
    <x v="14"/>
    <x v="0"/>
    <x v="7"/>
    <n v="117494.5"/>
    <n v="12"/>
    <m/>
    <n v="0"/>
    <n v="961"/>
    <n v="122.25002600000001"/>
    <n v="1"/>
    <x v="1"/>
    <x v="449"/>
    <n v="9007.86"/>
    <n v="0"/>
    <m/>
    <m/>
    <n v="117494.5"/>
    <n v="0"/>
    <n v="93381"/>
  </r>
  <r>
    <x v="3"/>
    <m/>
    <s v="Krudthuset Børnehus, Bringe 26"/>
    <n v="10169"/>
    <m/>
    <s v="Krudthuset Børnehus"/>
    <x v="37"/>
    <x v="0"/>
    <x v="1"/>
    <n v="522.4"/>
    <n v="12"/>
    <s v="2010-10-31"/>
    <n v="0"/>
    <n v="721"/>
    <n v="0.72444799999999998"/>
    <n v="3"/>
    <x v="0"/>
    <x v="450"/>
    <n v="417.92"/>
    <n v="0"/>
    <s v="00PC500627"/>
    <m/>
    <n v="522.4"/>
    <n v="0"/>
    <n v="77181"/>
  </r>
  <r>
    <x v="3"/>
    <m/>
    <s v="Krudthuset Børnehus, Bringe 26"/>
    <n v="10169"/>
    <m/>
    <s v="Krudthuset Børnehus"/>
    <x v="37"/>
    <x v="0"/>
    <x v="2"/>
    <n v="534.79999999999995"/>
    <n v="12"/>
    <s v="2010-10-31"/>
    <n v="0"/>
    <n v="721"/>
    <n v="0.74164399999999997"/>
    <n v="3"/>
    <x v="0"/>
    <x v="451"/>
    <n v="427.84"/>
    <n v="0"/>
    <s v="00PC500627"/>
    <m/>
    <n v="534.79999999999995"/>
    <n v="0"/>
    <n v="77181"/>
  </r>
  <r>
    <x v="3"/>
    <m/>
    <s v="Krudthuset Børnehus, Bringe 26"/>
    <n v="10169"/>
    <m/>
    <s v="Krudthuset Børnehus"/>
    <x v="37"/>
    <x v="0"/>
    <x v="3"/>
    <n v="567.9"/>
    <n v="12"/>
    <s v="2010-10-31"/>
    <n v="0"/>
    <n v="721"/>
    <n v="0.78754599999999997"/>
    <n v="3"/>
    <x v="0"/>
    <x v="452"/>
    <n v="454.32"/>
    <n v="0"/>
    <s v="00PC500627"/>
    <m/>
    <n v="567.9"/>
    <n v="0"/>
    <n v="77181"/>
  </r>
  <r>
    <x v="3"/>
    <m/>
    <s v="Krudthuset Børnehus, Bringe 26"/>
    <n v="10169"/>
    <m/>
    <s v="Krudthuset Børnehus"/>
    <x v="37"/>
    <x v="0"/>
    <x v="4"/>
    <n v="594.91999999999996"/>
    <n v="6"/>
    <s v="2010-10-31"/>
    <n v="0"/>
    <n v="721"/>
    <n v="0.825017"/>
    <n v="3"/>
    <x v="0"/>
    <x v="453"/>
    <n v="475.93"/>
    <n v="0"/>
    <s v="00PC500627"/>
    <m/>
    <n v="594.92643999999996"/>
    <n v="0"/>
    <n v="77181"/>
  </r>
  <r>
    <x v="3"/>
    <m/>
    <s v="Krudthuset Børnehus, Bringe 26"/>
    <n v="10169"/>
    <m/>
    <s v="Krudthuset Børnehus"/>
    <x v="37"/>
    <x v="0"/>
    <x v="5"/>
    <n v="420.49"/>
    <n v="4"/>
    <s v="2010-10-31"/>
    <n v="0"/>
    <n v="721"/>
    <n v="0.58312299999999995"/>
    <n v="3"/>
    <x v="0"/>
    <x v="454"/>
    <n v="336.39"/>
    <n v="0"/>
    <s v="00PC500627"/>
    <m/>
    <n v="420.51819999999998"/>
    <n v="0"/>
    <n v="77181"/>
  </r>
  <r>
    <x v="3"/>
    <m/>
    <s v="Krudthuset Børnehus, Bringe 26"/>
    <n v="10169"/>
    <m/>
    <s v="Krudthuset Børnehus"/>
    <x v="37"/>
    <x v="0"/>
    <x v="6"/>
    <n v="360.81"/>
    <n v="6"/>
    <s v="2010-10-31"/>
    <n v="0"/>
    <n v="721"/>
    <n v="0.50036000000000003"/>
    <n v="3"/>
    <x v="0"/>
    <x v="455"/>
    <n v="288.64999999999998"/>
    <n v="0"/>
    <s v="00PC500627"/>
    <m/>
    <n v="360.80219"/>
    <n v="0"/>
    <n v="77181"/>
  </r>
  <r>
    <x v="3"/>
    <s v="04730-9"/>
    <s v="Mælkebøtten, Hvilebækgårdsvej 15"/>
    <n v="5447"/>
    <m/>
    <s v="Mælkebøtten"/>
    <x v="38"/>
    <x v="0"/>
    <x v="0"/>
    <n v="263"/>
    <n v="5"/>
    <s v="2005-04-01"/>
    <n v="0"/>
    <n v="480"/>
    <n v="0.23088900000000001"/>
    <n v="3"/>
    <x v="0"/>
    <x v="456"/>
    <n v="88.68"/>
    <n v="0"/>
    <m/>
    <m/>
    <n v="110.84699999999999"/>
    <n v="0"/>
    <n v="57507"/>
  </r>
  <r>
    <x v="3"/>
    <m/>
    <s v="Birkedal Børnehus, Kollekolle 75"/>
    <n v="9980"/>
    <m/>
    <s v="Birkedal Børnehus"/>
    <x v="14"/>
    <x v="0"/>
    <x v="7"/>
    <n v="23984.880000000001"/>
    <n v="12"/>
    <s v="2011-11-30"/>
    <n v="0"/>
    <n v="961"/>
    <n v="24.955653999999999"/>
    <n v="2"/>
    <x v="2"/>
    <x v="457"/>
    <n v="7195.46"/>
    <n v="0"/>
    <s v="36312"/>
    <s v="74110497862"/>
    <n v="23984.864000000001"/>
    <n v="0"/>
    <n v="76420"/>
  </r>
  <r>
    <x v="3"/>
    <s v="04730-9"/>
    <s v="Mælkebøtten, Hvilebækgårdsvej 15"/>
    <n v="5447"/>
    <m/>
    <s v="Mælkebøtten"/>
    <x v="38"/>
    <x v="0"/>
    <x v="1"/>
    <n v="357.4"/>
    <n v="12"/>
    <s v="2005-04-01"/>
    <n v="0"/>
    <n v="480"/>
    <n v="0.74442799999999998"/>
    <n v="3"/>
    <x v="0"/>
    <x v="458"/>
    <n v="285.93"/>
    <n v="0"/>
    <m/>
    <m/>
    <n v="357.41699999999997"/>
    <n v="0"/>
    <n v="57507"/>
  </r>
  <r>
    <x v="3"/>
    <s v="04730-9"/>
    <s v="Mælkebøtten, Hvilebækgårdsvej 15"/>
    <n v="5447"/>
    <m/>
    <s v="Mælkebøtten"/>
    <x v="38"/>
    <x v="0"/>
    <x v="2"/>
    <n v="439.8"/>
    <n v="12"/>
    <s v="2005-04-01"/>
    <n v="0"/>
    <n v="480"/>
    <n v="0.91605899999999996"/>
    <n v="3"/>
    <x v="0"/>
    <x v="459"/>
    <n v="351.82"/>
    <n v="0"/>
    <m/>
    <m/>
    <n v="439.803"/>
    <n v="0"/>
    <n v="57507"/>
  </r>
  <r>
    <x v="3"/>
    <s v="04730-9"/>
    <s v="Mælkebøtten, Hvilebækgårdsvej 15"/>
    <n v="5447"/>
    <m/>
    <s v="Mælkebøtten"/>
    <x v="38"/>
    <x v="0"/>
    <x v="3"/>
    <n v="522.75"/>
    <n v="12"/>
    <s v="2005-04-01"/>
    <n v="0"/>
    <n v="480"/>
    <n v="1.088835"/>
    <n v="3"/>
    <x v="0"/>
    <x v="460"/>
    <n v="418.19"/>
    <n v="0"/>
    <m/>
    <m/>
    <n v="522.74800000000005"/>
    <n v="0"/>
    <n v="57507"/>
  </r>
  <r>
    <x v="3"/>
    <s v="04730-9"/>
    <s v="Mælkebøtten, Hvilebækgårdsvej 15"/>
    <n v="5447"/>
    <m/>
    <s v="Mælkebøtten"/>
    <x v="38"/>
    <x v="0"/>
    <x v="4"/>
    <n v="449.95"/>
    <n v="12"/>
    <s v="2005-04-01"/>
    <n v="0"/>
    <n v="480"/>
    <n v="0.93720000000000003"/>
    <n v="3"/>
    <x v="0"/>
    <x v="461"/>
    <n v="359.96"/>
    <n v="0"/>
    <m/>
    <m/>
    <n v="449.94600000000003"/>
    <n v="0"/>
    <n v="57507"/>
  </r>
  <r>
    <x v="3"/>
    <s v="04730-9"/>
    <s v="Mælkebøtten, Hvilebækgårdsvej 15"/>
    <n v="5447"/>
    <m/>
    <s v="Mælkebøtten"/>
    <x v="38"/>
    <x v="0"/>
    <x v="5"/>
    <n v="458.01"/>
    <n v="12"/>
    <s v="2005-04-01"/>
    <n v="0"/>
    <n v="480"/>
    <n v="0.95398799999999995"/>
    <n v="3"/>
    <x v="0"/>
    <x v="462"/>
    <n v="366.38"/>
    <n v="0"/>
    <m/>
    <m/>
    <n v="457.99400000000003"/>
    <n v="0"/>
    <n v="57507"/>
  </r>
  <r>
    <x v="3"/>
    <s v="04730-9"/>
    <s v="Mælkebøtten, Hvilebækgårdsvej 15"/>
    <n v="5447"/>
    <m/>
    <s v="Mælkebøtten"/>
    <x v="38"/>
    <x v="0"/>
    <x v="6"/>
    <n v="419.66"/>
    <n v="12"/>
    <s v="2005-04-01"/>
    <n v="0"/>
    <n v="480"/>
    <n v="0.87410900000000002"/>
    <n v="3"/>
    <x v="0"/>
    <x v="463"/>
    <n v="335.73"/>
    <n v="0"/>
    <m/>
    <m/>
    <n v="419.66199999999998"/>
    <n v="0"/>
    <n v="57507"/>
  </r>
  <r>
    <x v="3"/>
    <s v="04196-6"/>
    <s v="Nordvænget Ryttergårdsvej 48"/>
    <n v="5272"/>
    <m/>
    <s v="Nordvænget"/>
    <x v="39"/>
    <x v="0"/>
    <x v="0"/>
    <n v="230"/>
    <n v="5"/>
    <s v="2005-02-01"/>
    <n v="0"/>
    <n v="541"/>
    <n v="0.17688000000000001"/>
    <n v="3"/>
    <x v="0"/>
    <x v="464"/>
    <n v="76.569999999999993"/>
    <n v="0"/>
    <s v="BK 04016458"/>
    <m/>
    <n v="95.713999999999999"/>
    <n v="0"/>
    <n v="56838"/>
  </r>
  <r>
    <x v="6"/>
    <m/>
    <s v="Syvstjerneskolen, Skov 1"/>
    <n v="9223"/>
    <m/>
    <s v="Syvstjerneskolen"/>
    <x v="40"/>
    <x v="0"/>
    <x v="7"/>
    <n v="7996.21"/>
    <n v="24"/>
    <s v="2010-11-29"/>
    <n v="0"/>
    <n v="7936"/>
    <n v="1.007574"/>
    <n v="1"/>
    <x v="4"/>
    <x v="465"/>
    <n v="2007.67"/>
    <n v="0"/>
    <s v="AFMELDT"/>
    <s v="98001315369"/>
    <n v="740.39"/>
    <n v="0"/>
    <n v="77843"/>
  </r>
  <r>
    <x v="3"/>
    <s v="04196-6"/>
    <s v="Nordvænget Ryttergårdsvej 48"/>
    <n v="5272"/>
    <m/>
    <s v="Nordvænget"/>
    <x v="39"/>
    <x v="0"/>
    <x v="1"/>
    <n v="284.36"/>
    <n v="12"/>
    <s v="2005-02-01"/>
    <n v="0"/>
    <n v="541"/>
    <n v="0.52552200000000004"/>
    <n v="3"/>
    <x v="0"/>
    <x v="466"/>
    <n v="227.48"/>
    <n v="0"/>
    <s v="BK 04016458"/>
    <m/>
    <n v="284.34399999999999"/>
    <n v="0"/>
    <n v="56838"/>
  </r>
  <r>
    <x v="3"/>
    <s v="04196-6"/>
    <s v="Nordvænget Ryttergårdsvej 48"/>
    <n v="5272"/>
    <m/>
    <s v="Nordvænget"/>
    <x v="39"/>
    <x v="0"/>
    <x v="2"/>
    <n v="287.02"/>
    <n v="12"/>
    <s v="2005-02-01"/>
    <n v="0"/>
    <n v="541"/>
    <n v="0.53043700000000005"/>
    <n v="3"/>
    <x v="0"/>
    <x v="467"/>
    <n v="229.61"/>
    <n v="0"/>
    <s v="BK 04016458"/>
    <m/>
    <n v="287.02499999999998"/>
    <n v="0"/>
    <n v="56838"/>
  </r>
  <r>
    <x v="3"/>
    <s v="04196-6"/>
    <s v="Nordvænget Ryttergårdsvej 48"/>
    <n v="5272"/>
    <m/>
    <s v="Nordvænget"/>
    <x v="39"/>
    <x v="0"/>
    <x v="3"/>
    <n v="334.25"/>
    <n v="12"/>
    <s v="2005-02-01"/>
    <n v="0"/>
    <n v="541"/>
    <n v="0.61772300000000002"/>
    <n v="3"/>
    <x v="0"/>
    <x v="468"/>
    <n v="267.39"/>
    <n v="0"/>
    <s v="BK 04016458"/>
    <m/>
    <n v="334.24900000000002"/>
    <n v="0"/>
    <n v="56838"/>
  </r>
  <r>
    <x v="3"/>
    <s v="04196-6"/>
    <s v="Nordvænget Ryttergårdsvej 48"/>
    <n v="5272"/>
    <m/>
    <s v="Nordvænget"/>
    <x v="39"/>
    <x v="0"/>
    <x v="4"/>
    <n v="415.36"/>
    <n v="12"/>
    <s v="2005-02-01"/>
    <n v="0"/>
    <n v="541"/>
    <n v="0.767621"/>
    <n v="3"/>
    <x v="0"/>
    <x v="469"/>
    <n v="332.3"/>
    <n v="0"/>
    <s v="BK 04016458"/>
    <m/>
    <n v="415.35399999999998"/>
    <n v="0"/>
    <n v="56838"/>
  </r>
  <r>
    <x v="3"/>
    <s v="04196-6"/>
    <s v="Nordvænget Ryttergårdsvej 48"/>
    <n v="5272"/>
    <m/>
    <s v="Nordvænget"/>
    <x v="39"/>
    <x v="0"/>
    <x v="5"/>
    <n v="382.23"/>
    <n v="12"/>
    <s v="2005-02-01"/>
    <n v="0"/>
    <n v="541"/>
    <n v="0.70639399999999997"/>
    <n v="3"/>
    <x v="0"/>
    <x v="470"/>
    <n v="305.8"/>
    <n v="0"/>
    <s v="BK 04016458"/>
    <m/>
    <n v="382.23700000000002"/>
    <n v="0"/>
    <n v="56838"/>
  </r>
  <r>
    <x v="3"/>
    <s v="04196-6"/>
    <s v="Nordvænget Ryttergårdsvej 48"/>
    <n v="5272"/>
    <m/>
    <s v="Nordvænget"/>
    <x v="41"/>
    <x v="0"/>
    <x v="6"/>
    <n v="411.25"/>
    <n v="12"/>
    <s v="2005-02-01"/>
    <n v="0"/>
    <n v="541"/>
    <n v="0.76002499999999995"/>
    <n v="3"/>
    <x v="0"/>
    <x v="471"/>
    <n v="328.97"/>
    <n v="0"/>
    <s v="BK 04016458"/>
    <m/>
    <n v="411.22800000000001"/>
    <n v="0"/>
    <n v="56838"/>
  </r>
  <r>
    <x v="3"/>
    <m/>
    <s v="Nørreskoven, Højloft Vænge 46"/>
    <n v="9952"/>
    <m/>
    <s v="Nørreskoven"/>
    <x v="42"/>
    <x v="0"/>
    <x v="0"/>
    <n v="303"/>
    <n v="5"/>
    <s v="2010-10-31"/>
    <n v="0"/>
    <n v="473"/>
    <n v="0.23969499999999999"/>
    <n v="3"/>
    <x v="0"/>
    <x v="472"/>
    <n v="90.72"/>
    <n v="0"/>
    <s v="44083"/>
    <m/>
    <n v="113.4"/>
    <n v="0"/>
    <n v="76305"/>
  </r>
  <r>
    <x v="3"/>
    <s v="???"/>
    <s v="Birkhøj (Valmuen)"/>
    <n v="5278"/>
    <m/>
    <s v="Birkhøj (Valmuen)"/>
    <x v="19"/>
    <x v="0"/>
    <x v="7"/>
    <n v="392.62"/>
    <n v="12"/>
    <s v="2005-05-01"/>
    <n v="0"/>
    <n v="760"/>
    <n v="0.51653700000000002"/>
    <n v="3"/>
    <x v="0"/>
    <x v="473"/>
    <n v="314.10000000000002"/>
    <n v="0"/>
    <s v="BK 4093455"/>
    <m/>
    <n v="392.62900000000002"/>
    <n v="0"/>
    <n v="56875"/>
  </r>
  <r>
    <x v="3"/>
    <m/>
    <s v="Nørreskoven, Højloft Vænge 46"/>
    <n v="9952"/>
    <m/>
    <s v="Nørreskoven"/>
    <x v="42"/>
    <x v="0"/>
    <x v="1"/>
    <n v="269"/>
    <n v="12"/>
    <s v="2010-10-31"/>
    <n v="0"/>
    <n v="473"/>
    <n v="0.56859000000000004"/>
    <n v="3"/>
    <x v="0"/>
    <x v="474"/>
    <n v="215.2"/>
    <n v="0"/>
    <s v="44083"/>
    <m/>
    <n v="269"/>
    <n v="0"/>
    <n v="76305"/>
  </r>
  <r>
    <x v="3"/>
    <m/>
    <s v="Nørreskoven, Højloft Vænge 46"/>
    <n v="9952"/>
    <m/>
    <s v="Nørreskoven"/>
    <x v="42"/>
    <x v="0"/>
    <x v="2"/>
    <n v="287.60000000000002"/>
    <n v="12"/>
    <s v="2010-10-31"/>
    <n v="0"/>
    <n v="473"/>
    <n v="0.60790500000000003"/>
    <n v="3"/>
    <x v="0"/>
    <x v="475"/>
    <n v="230.08"/>
    <n v="0"/>
    <s v="44083"/>
    <m/>
    <n v="287.60000000000002"/>
    <n v="0"/>
    <n v="76305"/>
  </r>
  <r>
    <x v="3"/>
    <m/>
    <s v="Nørreskoven, Højloft Vænge 46"/>
    <n v="9952"/>
    <m/>
    <s v="Nørreskoven"/>
    <x v="42"/>
    <x v="0"/>
    <x v="3"/>
    <n v="304.10000000000002"/>
    <n v="12"/>
    <s v="2010-10-31"/>
    <n v="0"/>
    <n v="473"/>
    <n v="0.64278100000000005"/>
    <n v="3"/>
    <x v="0"/>
    <x v="476"/>
    <n v="243.28"/>
    <n v="0"/>
    <s v="44083"/>
    <m/>
    <n v="304.10000000000002"/>
    <n v="0"/>
    <n v="76305"/>
  </r>
  <r>
    <x v="3"/>
    <m/>
    <s v="Nørreskoven, Højloft Vænge 46"/>
    <n v="9952"/>
    <m/>
    <s v="Nørreskoven"/>
    <x v="42"/>
    <x v="0"/>
    <x v="4"/>
    <n v="372"/>
    <n v="7"/>
    <s v="2010-10-31"/>
    <n v="0"/>
    <n v="473"/>
    <n v="0.78630299999999997"/>
    <n v="3"/>
    <x v="0"/>
    <x v="477"/>
    <n v="297.58999999999997"/>
    <n v="0"/>
    <s v="44083"/>
    <m/>
    <n v="372.00000999999997"/>
    <n v="0"/>
    <n v="76305"/>
  </r>
  <r>
    <x v="3"/>
    <m/>
    <s v="Nørreskoven, Højloft Vænge 46"/>
    <n v="9952"/>
    <m/>
    <s v="Nørreskoven"/>
    <x v="42"/>
    <x v="0"/>
    <x v="5"/>
    <n v="288.06"/>
    <n v="8"/>
    <s v="2010-10-31"/>
    <n v="0"/>
    <n v="473"/>
    <n v="0.608877"/>
    <n v="3"/>
    <x v="0"/>
    <x v="478"/>
    <n v="230.43"/>
    <n v="0"/>
    <s v="44083"/>
    <m/>
    <n v="288.05441999999999"/>
    <n v="0"/>
    <n v="76305"/>
  </r>
  <r>
    <x v="3"/>
    <m/>
    <s v="Nørreskoven, Højloft Vænge 46"/>
    <n v="9952"/>
    <m/>
    <s v="Nørreskoven"/>
    <x v="42"/>
    <x v="0"/>
    <x v="6"/>
    <n v="311.19"/>
    <n v="3"/>
    <s v="2010-10-31"/>
    <n v="0"/>
    <n v="473"/>
    <n v="0.65776699999999999"/>
    <n v="3"/>
    <x v="0"/>
    <x v="479"/>
    <n v="248.94"/>
    <n v="0"/>
    <s v="44083"/>
    <m/>
    <n v="311.15983999999997"/>
    <n v="0"/>
    <n v="76305"/>
  </r>
  <r>
    <x v="3"/>
    <s v="02587-9"/>
    <s v="Paletten, tidl. Vallhalla Ryttergårdsvej 106"/>
    <n v="5277"/>
    <m/>
    <s v="Paletten, tidl. Vallhalla"/>
    <x v="43"/>
    <x v="0"/>
    <x v="0"/>
    <n v="455"/>
    <n v="5"/>
    <s v="2005-05-01"/>
    <n v="0"/>
    <n v="585"/>
    <n v="0.30792999999999998"/>
    <n v="3"/>
    <x v="0"/>
    <x v="480"/>
    <n v="144.13999999999999"/>
    <n v="0"/>
    <s v="BK 4093466"/>
    <m/>
    <n v="180.166"/>
    <n v="0"/>
    <n v="56869"/>
  </r>
  <r>
    <x v="3"/>
    <s v="???"/>
    <s v="Birkhøj (Valmuen)"/>
    <n v="5278"/>
    <m/>
    <s v="Birkhøj (Valmuen)"/>
    <x v="19"/>
    <x v="0"/>
    <x v="7"/>
    <n v="55019"/>
    <n v="12"/>
    <s v="2005-09-30"/>
    <n v="0"/>
    <n v="760"/>
    <n v="72.383895999999993"/>
    <n v="1"/>
    <x v="1"/>
    <x v="481"/>
    <n v="5097789.57"/>
    <n v="0"/>
    <s v="4813498"/>
    <m/>
    <n v="55019"/>
    <n v="0"/>
    <n v="56874"/>
  </r>
  <r>
    <x v="3"/>
    <s v="02587-9"/>
    <s v="Paletten, tidl. Vallhalla Ryttergårdsvej 106"/>
    <n v="5277"/>
    <m/>
    <s v="Paletten, tidl. Vallhalla"/>
    <x v="43"/>
    <x v="0"/>
    <x v="1"/>
    <n v="516.65"/>
    <n v="12"/>
    <s v="2005-05-01"/>
    <n v="0"/>
    <n v="585"/>
    <n v="0.88301099999999999"/>
    <n v="3"/>
    <x v="0"/>
    <x v="482"/>
    <n v="413.32"/>
    <n v="0"/>
    <s v="BK 4093466"/>
    <m/>
    <n v="516.66300000000001"/>
    <n v="0"/>
    <n v="56869"/>
  </r>
  <r>
    <x v="3"/>
    <s v="02587-9"/>
    <s v="Paletten, tidl. Vallhalla Ryttergårdsvej 106"/>
    <n v="5277"/>
    <m/>
    <s v="Paletten, tidl. Vallhalla"/>
    <x v="43"/>
    <x v="0"/>
    <x v="2"/>
    <n v="258.8"/>
    <n v="12"/>
    <s v="2005-05-01"/>
    <n v="0"/>
    <n v="585"/>
    <n v="0.44231700000000002"/>
    <n v="3"/>
    <x v="0"/>
    <x v="483"/>
    <n v="207.04"/>
    <n v="0"/>
    <s v="BK 4093466"/>
    <m/>
    <n v="258.80700000000002"/>
    <n v="0"/>
    <n v="56869"/>
  </r>
  <r>
    <x v="3"/>
    <s v="02587-9"/>
    <s v="Paletten, tidl. Vallhalla Ryttergårdsvej 106"/>
    <n v="5277"/>
    <m/>
    <s v="Paletten, tidl. Vallhalla"/>
    <x v="43"/>
    <x v="0"/>
    <x v="3"/>
    <n v="300.38"/>
    <n v="12"/>
    <s v="2005-05-01"/>
    <n v="0"/>
    <n v="585"/>
    <n v="0.51338200000000001"/>
    <n v="3"/>
    <x v="0"/>
    <x v="484"/>
    <n v="240.31"/>
    <n v="0"/>
    <s v="BK 4093466"/>
    <m/>
    <n v="300.38499000000002"/>
    <n v="0"/>
    <n v="56869"/>
  </r>
  <r>
    <x v="3"/>
    <s v="02587-9"/>
    <s v="Paletten, tidl. Vallhalla Ryttergårdsvej 106"/>
    <n v="5277"/>
    <m/>
    <s v="Paletten, tidl. Vallhalla"/>
    <x v="43"/>
    <x v="0"/>
    <x v="4"/>
    <n v="326.88"/>
    <n v="12"/>
    <s v="2005-05-01"/>
    <n v="0"/>
    <n v="585"/>
    <n v="0.55867299999999998"/>
    <n v="3"/>
    <x v="0"/>
    <x v="485"/>
    <n v="261.48"/>
    <n v="0"/>
    <s v="BK 4093466"/>
    <m/>
    <n v="326.85500000000002"/>
    <n v="0"/>
    <n v="56869"/>
  </r>
  <r>
    <x v="3"/>
    <s v="02587-9"/>
    <s v="Paletten, tidl. Vallhalla Ryttergårdsvej 106"/>
    <n v="5277"/>
    <m/>
    <s v="Paletten, tidl. Vallhalla"/>
    <x v="43"/>
    <x v="0"/>
    <x v="5"/>
    <n v="286.17"/>
    <n v="12"/>
    <s v="2005-05-01"/>
    <n v="0"/>
    <n v="585"/>
    <n v="0.489095"/>
    <n v="3"/>
    <x v="0"/>
    <x v="486"/>
    <n v="228.93"/>
    <n v="0"/>
    <s v="BK 4093466"/>
    <m/>
    <n v="286.17399999999998"/>
    <n v="0"/>
    <n v="56869"/>
  </r>
  <r>
    <x v="3"/>
    <s v="02587-9"/>
    <s v="Paletten, tidl. Vallhalla Ryttergårdsvej 106"/>
    <n v="5277"/>
    <m/>
    <s v="Paletten, tidl. Vallhalla"/>
    <x v="43"/>
    <x v="0"/>
    <x v="6"/>
    <n v="254.09"/>
    <n v="12"/>
    <s v="2005-05-01"/>
    <n v="0"/>
    <n v="585"/>
    <n v="0.43426700000000001"/>
    <n v="3"/>
    <x v="0"/>
    <x v="413"/>
    <n v="203.26"/>
    <n v="0"/>
    <s v="BK 4093466"/>
    <m/>
    <n v="254.083"/>
    <n v="0"/>
    <n v="56869"/>
  </r>
  <r>
    <x v="3"/>
    <s v="???"/>
    <s v="Birkhøj (Valmuen)"/>
    <n v="5278"/>
    <m/>
    <s v="Birkhøj (Valmuen)"/>
    <x v="19"/>
    <x v="0"/>
    <x v="7"/>
    <n v="26981.13"/>
    <n v="12"/>
    <s v="2005-05-01"/>
    <n v="0"/>
    <n v="760"/>
    <n v="35.496816000000003"/>
    <n v="2"/>
    <x v="2"/>
    <x v="487"/>
    <n v="10792.45"/>
    <n v="0"/>
    <s v="783388"/>
    <s v="74114297154"/>
    <n v="26981.129000000001"/>
    <n v="0"/>
    <n v="56873"/>
  </r>
  <r>
    <x v="3"/>
    <s v="01789-2"/>
    <s v="Røde Sol, Lindegårdsvej 2"/>
    <n v="5247"/>
    <m/>
    <s v="Røde Sol"/>
    <x v="44"/>
    <x v="0"/>
    <x v="0"/>
    <n v="258"/>
    <n v="5"/>
    <s v="2005-05-01"/>
    <n v="0"/>
    <n v="284"/>
    <n v="0.38201299999999999"/>
    <n v="3"/>
    <x v="0"/>
    <x v="488"/>
    <n v="86.84"/>
    <n v="0"/>
    <s v="BK 98400170"/>
    <m/>
    <n v="108.53700000000001"/>
    <n v="0"/>
    <n v="56638"/>
  </r>
  <r>
    <x v="3"/>
    <s v="???"/>
    <s v="Birkhøj (Valmuen)"/>
    <n v="5278"/>
    <m/>
    <s v="Birkhøj (Valmuen)"/>
    <x v="19"/>
    <x v="1"/>
    <x v="7"/>
    <n v="106995.09"/>
    <n v="12"/>
    <s v="2005-09-30"/>
    <n v="0"/>
    <n v="760"/>
    <n v="140.76449099999999"/>
    <n v="1"/>
    <x v="3"/>
    <x v="489"/>
    <n v="255909.48"/>
    <n v="1"/>
    <s v="4813498"/>
    <m/>
    <n v="3066.64"/>
    <n v="0"/>
    <n v="56994"/>
  </r>
  <r>
    <x v="3"/>
    <s v="01789-2"/>
    <s v="Røde Sol, Lindegårdsvej 2"/>
    <n v="5247"/>
    <m/>
    <s v="Røde Sol"/>
    <x v="44"/>
    <x v="0"/>
    <x v="1"/>
    <n v="193.47"/>
    <n v="12"/>
    <s v="2005-05-01"/>
    <n v="0"/>
    <n v="284"/>
    <n v="0.68099200000000004"/>
    <n v="3"/>
    <x v="0"/>
    <x v="490"/>
    <n v="154.77000000000001"/>
    <n v="0"/>
    <s v="BK 98400170"/>
    <m/>
    <n v="193.477"/>
    <n v="0"/>
    <n v="56638"/>
  </r>
  <r>
    <x v="3"/>
    <s v="01789-2"/>
    <s v="Røde Sol, Lindegårdsvej 2"/>
    <n v="5247"/>
    <m/>
    <s v="Røde Sol"/>
    <x v="44"/>
    <x v="0"/>
    <x v="2"/>
    <n v="162.84"/>
    <n v="12"/>
    <s v="2005-05-01"/>
    <n v="0"/>
    <n v="284"/>
    <n v="0.57317799999999997"/>
    <n v="3"/>
    <x v="0"/>
    <x v="491"/>
    <n v="130.28"/>
    <n v="0"/>
    <s v="BK 98400170"/>
    <m/>
    <n v="162.83199999999999"/>
    <n v="0"/>
    <n v="56638"/>
  </r>
  <r>
    <x v="3"/>
    <s v="01789-2"/>
    <s v="Røde Sol, Lindegårdsvej 2"/>
    <n v="5247"/>
    <m/>
    <s v="Røde Sol"/>
    <x v="44"/>
    <x v="0"/>
    <x v="3"/>
    <n v="188.05"/>
    <n v="12"/>
    <s v="2005-05-01"/>
    <n v="0"/>
    <n v="284"/>
    <n v="0.661914"/>
    <n v="3"/>
    <x v="0"/>
    <x v="492"/>
    <n v="150.46"/>
    <n v="0"/>
    <s v="BK 98400170"/>
    <m/>
    <n v="188.06"/>
    <n v="0"/>
    <n v="56638"/>
  </r>
  <r>
    <x v="3"/>
    <s v="01789-2"/>
    <s v="Røde Sol, Lindegårdsvej 2"/>
    <n v="5247"/>
    <m/>
    <s v="Røde Sol"/>
    <x v="44"/>
    <x v="0"/>
    <x v="4"/>
    <n v="187.86"/>
    <n v="12"/>
    <s v="2005-05-01"/>
    <n v="0"/>
    <n v="284"/>
    <n v="0.661246"/>
    <n v="3"/>
    <x v="0"/>
    <x v="493"/>
    <n v="150.27000000000001"/>
    <n v="0"/>
    <s v="BK 98400170"/>
    <m/>
    <n v="187.84759"/>
    <n v="0"/>
    <n v="56638"/>
  </r>
  <r>
    <x v="3"/>
    <s v="01789-2"/>
    <s v="Røde Sol, Lindegårdsvej 2"/>
    <n v="5247"/>
    <m/>
    <s v="Røde Sol"/>
    <x v="44"/>
    <x v="0"/>
    <x v="5"/>
    <n v="226.07"/>
    <n v="12"/>
    <s v="2005-05-01"/>
    <n v="0"/>
    <n v="284"/>
    <n v="0.79574"/>
    <n v="3"/>
    <x v="0"/>
    <x v="494"/>
    <n v="180.85"/>
    <n v="0"/>
    <s v="BK 98400170"/>
    <m/>
    <n v="226.04942"/>
    <n v="0"/>
    <n v="56638"/>
  </r>
  <r>
    <x v="3"/>
    <s v="01789-2"/>
    <s v="Røde Sol, Lindegårdsvej 2"/>
    <n v="5247"/>
    <m/>
    <s v="Røde Sol"/>
    <x v="44"/>
    <x v="0"/>
    <x v="6"/>
    <n v="255.95"/>
    <n v="12"/>
    <s v="2005-05-01"/>
    <n v="0"/>
    <n v="284"/>
    <n v="0.90091500000000002"/>
    <n v="3"/>
    <x v="0"/>
    <x v="495"/>
    <n v="204.75"/>
    <n v="0"/>
    <s v="BK 98400170"/>
    <m/>
    <n v="255.946"/>
    <n v="0"/>
    <n v="56638"/>
  </r>
  <r>
    <x v="3"/>
    <m/>
    <s v="Skovstjernen Børnehus, Skovlinien 23"/>
    <n v="10019"/>
    <m/>
    <s v="Skovstjernen Børnehus"/>
    <x v="45"/>
    <x v="0"/>
    <x v="0"/>
    <n v="586"/>
    <n v="5"/>
    <s v="2010-10-31"/>
    <n v="0"/>
    <n v="598"/>
    <n v="0.342584"/>
    <n v="3"/>
    <x v="0"/>
    <x v="496"/>
    <n v="163.92"/>
    <n v="0"/>
    <s v="44340"/>
    <m/>
    <n v="204.9"/>
    <n v="0"/>
    <n v="76532"/>
  </r>
  <r>
    <x v="3"/>
    <m/>
    <s v="Skovstjernen Børnehus, Skovlinien 23"/>
    <n v="10019"/>
    <m/>
    <s v="Skovstjernen Børnehus"/>
    <x v="45"/>
    <x v="0"/>
    <x v="1"/>
    <n v="545.70000000000005"/>
    <n v="12"/>
    <s v="2010-10-31"/>
    <n v="0"/>
    <n v="598"/>
    <n v="0.91238900000000001"/>
    <n v="3"/>
    <x v="0"/>
    <x v="497"/>
    <n v="436.56"/>
    <n v="0"/>
    <s v="44340"/>
    <m/>
    <n v="545.70000000000005"/>
    <n v="0"/>
    <n v="76532"/>
  </r>
  <r>
    <x v="3"/>
    <m/>
    <s v="Skovstjernen Børnehus, Skovlinien 23"/>
    <n v="10019"/>
    <m/>
    <s v="Skovstjernen Børnehus"/>
    <x v="45"/>
    <x v="0"/>
    <x v="2"/>
    <n v="489.7"/>
    <n v="12"/>
    <s v="2010-10-31"/>
    <n v="0"/>
    <n v="598"/>
    <n v="0.81875900000000001"/>
    <n v="3"/>
    <x v="0"/>
    <x v="498"/>
    <n v="391.76"/>
    <n v="0"/>
    <s v="44340"/>
    <m/>
    <n v="489.7"/>
    <n v="0"/>
    <n v="76532"/>
  </r>
  <r>
    <x v="3"/>
    <m/>
    <s v="Skovstjernen Børnehus, Skovlinien 23"/>
    <n v="10019"/>
    <m/>
    <s v="Skovstjernen Børnehus"/>
    <x v="45"/>
    <x v="0"/>
    <x v="3"/>
    <n v="527.20000000000005"/>
    <n v="12"/>
    <s v="2010-10-31"/>
    <n v="0"/>
    <n v="598"/>
    <n v="0.88145700000000005"/>
    <n v="3"/>
    <x v="0"/>
    <x v="499"/>
    <n v="421.76"/>
    <n v="0"/>
    <s v="44340"/>
    <m/>
    <n v="527.20000000000005"/>
    <n v="0"/>
    <n v="76532"/>
  </r>
  <r>
    <x v="3"/>
    <m/>
    <s v="Skovstjernen Børnehus, Skovlinien 23"/>
    <n v="10019"/>
    <m/>
    <s v="Skovstjernen Børnehus"/>
    <x v="45"/>
    <x v="0"/>
    <x v="4"/>
    <n v="520.30999999999995"/>
    <n v="5"/>
    <s v="2010-10-31"/>
    <n v="0"/>
    <n v="598"/>
    <n v="0.86993799999999999"/>
    <n v="3"/>
    <x v="0"/>
    <x v="500"/>
    <n v="416.25"/>
    <n v="0"/>
    <s v="44340"/>
    <m/>
    <n v="520.32155999999998"/>
    <n v="0"/>
    <n v="76532"/>
  </r>
  <r>
    <x v="3"/>
    <m/>
    <s v="Skovstjernen Børnehus, Skovlinien 23"/>
    <n v="10019"/>
    <m/>
    <s v="Skovstjernen Børnehus"/>
    <x v="45"/>
    <x v="0"/>
    <x v="5"/>
    <n v="562.08000000000004"/>
    <n v="6"/>
    <s v="2010-10-31"/>
    <n v="0"/>
    <n v="598"/>
    <n v="0.93977500000000003"/>
    <n v="3"/>
    <x v="0"/>
    <x v="501"/>
    <n v="449.66"/>
    <n v="0"/>
    <s v="44340"/>
    <m/>
    <n v="562.07844999999998"/>
    <n v="0"/>
    <n v="76532"/>
  </r>
  <r>
    <x v="3"/>
    <m/>
    <s v="Skovstjernen Børnehus, Skovlinien 23"/>
    <n v="10019"/>
    <m/>
    <s v="Skovstjernen Børnehus"/>
    <x v="45"/>
    <x v="0"/>
    <x v="6"/>
    <n v="732.83"/>
    <n v="5"/>
    <s v="2010-10-31"/>
    <n v="0"/>
    <n v="598"/>
    <n v="1.225263"/>
    <n v="3"/>
    <x v="0"/>
    <x v="502"/>
    <n v="586.27"/>
    <n v="0"/>
    <s v="44340"/>
    <m/>
    <n v="732.82378000000006"/>
    <n v="0"/>
    <n v="76532"/>
  </r>
  <r>
    <x v="3"/>
    <m/>
    <s v="Solbjerg Børnehus"/>
    <n v="10056"/>
    <m/>
    <s v="Solbjerg Børnehus"/>
    <x v="46"/>
    <x v="0"/>
    <x v="1"/>
    <n v="497.15"/>
    <n v="5"/>
    <s v="2014-12-10"/>
    <n v="0"/>
    <n v="836"/>
    <n v="0.59460500000000005"/>
    <n v="3"/>
    <x v="0"/>
    <x v="503"/>
    <n v="397.7"/>
    <n v="0"/>
    <s v="0219"/>
    <m/>
    <n v="497.13540999999998"/>
    <n v="0"/>
    <n v="83881"/>
  </r>
  <r>
    <x v="3"/>
    <m/>
    <s v="Solbjerg Børnehus"/>
    <n v="10056"/>
    <m/>
    <s v="Solbjerg Børnehus"/>
    <x v="46"/>
    <x v="0"/>
    <x v="2"/>
    <n v="553.05999999999995"/>
    <n v="3"/>
    <s v="2014-12-10"/>
    <n v="0"/>
    <n v="836"/>
    <n v="0.66147500000000004"/>
    <n v="3"/>
    <x v="0"/>
    <x v="504"/>
    <n v="442.47"/>
    <n v="0"/>
    <s v="0219"/>
    <m/>
    <n v="553.07282999999995"/>
    <n v="0"/>
    <n v="83881"/>
  </r>
  <r>
    <x v="3"/>
    <m/>
    <s v="Solbjerg Børnehus"/>
    <n v="10056"/>
    <m/>
    <s v="Solbjerg Børnehus"/>
    <x v="46"/>
    <x v="0"/>
    <x v="3"/>
    <n v="520.21"/>
    <n v="1"/>
    <s v="2014-12-10"/>
    <n v="0"/>
    <n v="836"/>
    <n v="0.62218600000000002"/>
    <n v="3"/>
    <x v="0"/>
    <x v="505"/>
    <n v="416.18"/>
    <n v="0"/>
    <s v="0219"/>
    <m/>
    <n v="520.19826"/>
    <n v="0"/>
    <n v="83881"/>
  </r>
  <r>
    <x v="3"/>
    <m/>
    <s v="Solbjerg Børnehus"/>
    <n v="10056"/>
    <m/>
    <s v="Solbjerg Børnehus"/>
    <x v="46"/>
    <x v="0"/>
    <x v="4"/>
    <n v="541.41999999999996"/>
    <n v="8"/>
    <s v="2014-12-10"/>
    <n v="0"/>
    <n v="836"/>
    <n v="0.64755399999999996"/>
    <n v="3"/>
    <x v="0"/>
    <x v="506"/>
    <n v="433.14"/>
    <n v="0"/>
    <s v="0219"/>
    <m/>
    <n v="541.43832999999995"/>
    <n v="0"/>
    <n v="83881"/>
  </r>
  <r>
    <x v="3"/>
    <m/>
    <s v="Solbjerg Børnehus"/>
    <n v="10056"/>
    <m/>
    <s v="Solbjerg Børnehus"/>
    <x v="46"/>
    <x v="0"/>
    <x v="5"/>
    <n v="591.52"/>
    <n v="6"/>
    <s v="2009-11-25"/>
    <n v="0"/>
    <n v="836"/>
    <n v="0.70747499999999997"/>
    <n v="3"/>
    <x v="0"/>
    <x v="507"/>
    <n v="473.2"/>
    <n v="0"/>
    <m/>
    <m/>
    <n v="591.52630999999997"/>
    <n v="0"/>
    <n v="76677"/>
  </r>
  <r>
    <x v="3"/>
    <m/>
    <s v="Solbjerg Børnehus"/>
    <n v="10056"/>
    <m/>
    <s v="Solbjerg Børnehus"/>
    <x v="46"/>
    <x v="0"/>
    <x v="5"/>
    <n v="58.01"/>
    <n v="2"/>
    <s v="2014-12-10"/>
    <n v="0"/>
    <n v="836"/>
    <n v="6.9380999999999998E-2"/>
    <n v="3"/>
    <x v="0"/>
    <x v="508"/>
    <n v="46.42"/>
    <n v="0"/>
    <s v="0219"/>
    <m/>
    <n v="58.0137"/>
    <n v="0"/>
    <n v="83881"/>
  </r>
  <r>
    <x v="3"/>
    <m/>
    <s v="Solbjerg Børnehus"/>
    <n v="10056"/>
    <m/>
    <s v="Solbjerg Børnehus"/>
    <x v="46"/>
    <x v="0"/>
    <x v="6"/>
    <n v="552.99"/>
    <n v="5"/>
    <s v="2009-11-25"/>
    <n v="0"/>
    <n v="836"/>
    <n v="0.66139199999999998"/>
    <n v="3"/>
    <x v="0"/>
    <x v="509"/>
    <n v="442.41"/>
    <n v="0"/>
    <m/>
    <m/>
    <n v="553.00702000000001"/>
    <n v="0"/>
    <n v="76677"/>
  </r>
  <r>
    <x v="3"/>
    <m/>
    <s v="Solsikken"/>
    <n v="5950"/>
    <m/>
    <s v="Solsikken"/>
    <x v="47"/>
    <x v="0"/>
    <x v="0"/>
    <n v="391"/>
    <n v="5"/>
    <m/>
    <n v="0"/>
    <n v="500"/>
    <n v="0.325434"/>
    <n v="3"/>
    <x v="0"/>
    <x v="510"/>
    <n v="130.19999999999999"/>
    <n v="0"/>
    <s v="??"/>
    <m/>
    <n v="162.74798999999999"/>
    <n v="0"/>
    <n v="90554"/>
  </r>
  <r>
    <x v="3"/>
    <m/>
    <s v="Solsikken"/>
    <n v="5950"/>
    <m/>
    <s v="Solsikken"/>
    <x v="47"/>
    <x v="0"/>
    <x v="1"/>
    <n v="420.04"/>
    <n v="12"/>
    <m/>
    <n v="0"/>
    <n v="500"/>
    <n v="0.83991199999999999"/>
    <n v="3"/>
    <x v="0"/>
    <x v="511"/>
    <n v="336.02"/>
    <n v="0"/>
    <s v="??"/>
    <m/>
    <n v="420.03399999999999"/>
    <n v="0"/>
    <n v="90554"/>
  </r>
  <r>
    <x v="3"/>
    <m/>
    <s v="Solsikken"/>
    <n v="5950"/>
    <m/>
    <s v="Solsikken"/>
    <x v="47"/>
    <x v="0"/>
    <x v="2"/>
    <n v="457.23"/>
    <n v="12"/>
    <m/>
    <n v="0"/>
    <n v="500"/>
    <n v="0.91427700000000001"/>
    <n v="3"/>
    <x v="0"/>
    <x v="512"/>
    <n v="365.79"/>
    <n v="0"/>
    <s v="??"/>
    <m/>
    <n v="457.23200000000003"/>
    <n v="0"/>
    <n v="90554"/>
  </r>
  <r>
    <x v="3"/>
    <m/>
    <s v="Solsikken"/>
    <n v="5950"/>
    <m/>
    <s v="Solsikken"/>
    <x v="47"/>
    <x v="0"/>
    <x v="3"/>
    <n v="17.72"/>
    <n v="1"/>
    <m/>
    <n v="0"/>
    <n v="500"/>
    <n v="3.5431999999999998E-2"/>
    <n v="3"/>
    <x v="0"/>
    <x v="513"/>
    <n v="14.17"/>
    <n v="0"/>
    <s v="??"/>
    <m/>
    <n v="17.716999999999999"/>
    <n v="0"/>
    <n v="90554"/>
  </r>
  <r>
    <x v="3"/>
    <s v="03322-7"/>
    <s v="Brudedalen Legestue, Brudedalen 54-58"/>
    <n v="5276"/>
    <m/>
    <s v="Legestuen"/>
    <x v="20"/>
    <x v="0"/>
    <x v="7"/>
    <n v="99.1"/>
    <n v="12"/>
    <s v="2005-10-03"/>
    <n v="0"/>
    <n v="284"/>
    <n v="0.34882000000000002"/>
    <n v="3"/>
    <x v="0"/>
    <x v="514"/>
    <n v="79.27"/>
    <n v="0"/>
    <s v="BK 99105981"/>
    <m/>
    <n v="99.099980000000002"/>
    <n v="0"/>
    <n v="56863"/>
  </r>
  <r>
    <x v="3"/>
    <s v="039955-1"/>
    <s v="Stavnsholt Børnehus, STA45"/>
    <n v="5279"/>
    <m/>
    <s v="Majtræet/Sommerfuglen/Tusindben/Guldsmeden"/>
    <x v="48"/>
    <x v="0"/>
    <x v="0"/>
    <n v="806"/>
    <n v="5"/>
    <s v="2005-05-01"/>
    <n v="0"/>
    <n v="1603"/>
    <n v="0.19413"/>
    <n v="3"/>
    <x v="0"/>
    <x v="515"/>
    <n v="248.97"/>
    <n v="0"/>
    <s v="BK 99600178"/>
    <m/>
    <n v="311.21899999999999"/>
    <n v="0"/>
    <n v="56883"/>
  </r>
  <r>
    <x v="3"/>
    <s v="03322-7"/>
    <s v="Brudedalen Legestue, Brudedalen 54-58"/>
    <n v="5276"/>
    <m/>
    <s v="Legestuen"/>
    <x v="20"/>
    <x v="0"/>
    <x v="7"/>
    <n v="6766.92"/>
    <n v="12"/>
    <s v="2005-10-03"/>
    <n v="0"/>
    <n v="284"/>
    <n v="23.818795999999999"/>
    <n v="2"/>
    <x v="2"/>
    <x v="516"/>
    <n v="2706.76"/>
    <n v="0"/>
    <s v="1015049"/>
    <m/>
    <n v="6766.92"/>
    <n v="0"/>
    <n v="56861"/>
  </r>
  <r>
    <x v="3"/>
    <s v="039955-1"/>
    <s v="Stavnsholt Børnehus, STA45"/>
    <n v="5279"/>
    <m/>
    <s v="Majtræet/Sommerfuglen/Tusindben/Guldsmeden"/>
    <x v="48"/>
    <x v="0"/>
    <x v="1"/>
    <n v="880.43"/>
    <n v="12"/>
    <s v="2005-05-01"/>
    <n v="0"/>
    <n v="1603"/>
    <n v="0.54920400000000003"/>
    <n v="3"/>
    <x v="0"/>
    <x v="517"/>
    <n v="704.33"/>
    <n v="0"/>
    <s v="BK 99600178"/>
    <m/>
    <n v="880.41800000000001"/>
    <n v="0"/>
    <n v="56883"/>
  </r>
  <r>
    <x v="3"/>
    <s v="039955-1"/>
    <s v="Stavnsholt Børnehus, STA45"/>
    <n v="5279"/>
    <m/>
    <s v="Majtræet/Sommerfuglen/Tusindben/Guldsmeden"/>
    <x v="48"/>
    <x v="0"/>
    <x v="2"/>
    <n v="958.24"/>
    <n v="12"/>
    <s v="2005-05-01"/>
    <n v="0"/>
    <n v="1603"/>
    <n v="0.59774099999999997"/>
    <n v="3"/>
    <x v="0"/>
    <x v="518"/>
    <n v="766.58"/>
    <n v="0"/>
    <s v="BK 99600178"/>
    <m/>
    <n v="958.23400000000004"/>
    <n v="0"/>
    <n v="56883"/>
  </r>
  <r>
    <x v="3"/>
    <s v="039955-1"/>
    <s v="Stavnsholt Børnehus, STA45"/>
    <n v="5279"/>
    <m/>
    <s v="Majtræet/Sommerfuglen/Tusindben/Guldsmeden"/>
    <x v="48"/>
    <x v="0"/>
    <x v="3"/>
    <n v="1049.8"/>
    <n v="12"/>
    <s v="2005-05-01"/>
    <n v="0"/>
    <n v="1603"/>
    <n v="0.65485599999999999"/>
    <n v="3"/>
    <x v="0"/>
    <x v="519"/>
    <n v="839.85"/>
    <n v="0"/>
    <s v="BK 99600178"/>
    <m/>
    <n v="1049.799"/>
    <n v="0"/>
    <n v="56883"/>
  </r>
  <r>
    <x v="3"/>
    <s v="039955-1"/>
    <s v="Stavnsholt Børnehus, STA45"/>
    <n v="5279"/>
    <m/>
    <s v="Majtræet/Sommerfuglen/Tusindben/Guldsmeden"/>
    <x v="48"/>
    <x v="0"/>
    <x v="4"/>
    <n v="1111.04"/>
    <n v="12"/>
    <s v="2005-05-01"/>
    <n v="0"/>
    <n v="1603"/>
    <n v="0.69305700000000003"/>
    <n v="3"/>
    <x v="0"/>
    <x v="520"/>
    <n v="888.83"/>
    <n v="0"/>
    <s v="BK 99600178"/>
    <m/>
    <n v="1111.038"/>
    <n v="0"/>
    <n v="56883"/>
  </r>
  <r>
    <x v="3"/>
    <s v="039955-1"/>
    <s v="Stavnsholt Børnehus, STA45"/>
    <n v="5279"/>
    <m/>
    <s v="Majtræet/Sommerfuglen/Tusindben/Guldsmeden"/>
    <x v="48"/>
    <x v="0"/>
    <x v="5"/>
    <n v="1185.8399999999999"/>
    <n v="12"/>
    <s v="2005-05-01"/>
    <n v="0"/>
    <n v="1603"/>
    <n v="0.73971600000000004"/>
    <n v="3"/>
    <x v="0"/>
    <x v="521"/>
    <n v="948.65"/>
    <n v="0"/>
    <s v="BK 99600178"/>
    <m/>
    <n v="1185.836"/>
    <n v="0"/>
    <n v="56883"/>
  </r>
  <r>
    <x v="3"/>
    <s v="039955-1"/>
    <s v="Stavnsholt Børnehus, STA45"/>
    <n v="5279"/>
    <m/>
    <s v="Majtræet/Sommerfuglen/Tusindben/Guldsmeden"/>
    <x v="48"/>
    <x v="0"/>
    <x v="6"/>
    <n v="1319.73"/>
    <n v="12"/>
    <s v="2005-05-01"/>
    <n v="0"/>
    <n v="1603"/>
    <n v="0.82323599999999997"/>
    <n v="3"/>
    <x v="0"/>
    <x v="522"/>
    <n v="1055.79"/>
    <n v="0"/>
    <s v="BK 99600178"/>
    <m/>
    <n v="1319.731"/>
    <n v="0"/>
    <n v="56883"/>
  </r>
  <r>
    <x v="3"/>
    <m/>
    <s v="Søndersø Børnehus"/>
    <n v="10209"/>
    <m/>
    <s v="Søndersø Børnehus"/>
    <x v="49"/>
    <x v="0"/>
    <x v="0"/>
    <n v="1321"/>
    <n v="5"/>
    <s v="2010-07-31"/>
    <n v="0"/>
    <n v="1839"/>
    <n v="0.26616200000000001"/>
    <n v="3"/>
    <x v="0"/>
    <x v="523"/>
    <n v="391.6"/>
    <n v="0"/>
    <s v="00PC502503"/>
    <m/>
    <n v="489.5"/>
    <n v="0"/>
    <n v="77417"/>
  </r>
  <r>
    <x v="7"/>
    <m/>
    <s v="Spejderhus, Sandet 2"/>
    <n v="10202"/>
    <m/>
    <s v="Spejderhus, Sandet 2"/>
    <x v="50"/>
    <x v="0"/>
    <x v="7"/>
    <n v="8995.9699999999993"/>
    <n v="12"/>
    <s v="2013-05-07"/>
    <n v="0"/>
    <n v="123"/>
    <n v="73.078553999999997"/>
    <n v="1"/>
    <x v="4"/>
    <x v="524"/>
    <n v="2252.66"/>
    <n v="0"/>
    <s v="02186"/>
    <s v="98003449000"/>
    <n v="832.96"/>
    <n v="0"/>
    <n v="77352"/>
  </r>
  <r>
    <x v="3"/>
    <m/>
    <s v="Søndersø Børnehus"/>
    <n v="10209"/>
    <m/>
    <s v="Søndersø Børnehus"/>
    <x v="49"/>
    <x v="0"/>
    <x v="1"/>
    <n v="1336.7"/>
    <n v="12"/>
    <s v="2010-07-31"/>
    <n v="0"/>
    <n v="1839"/>
    <n v="0.72682199999999997"/>
    <n v="3"/>
    <x v="0"/>
    <x v="525"/>
    <n v="1069.3599999999999"/>
    <n v="0"/>
    <s v="00PC502503"/>
    <m/>
    <n v="1336.7"/>
    <n v="0"/>
    <n v="77417"/>
  </r>
  <r>
    <x v="3"/>
    <m/>
    <s v="Søndersø Børnehus"/>
    <n v="10209"/>
    <m/>
    <s v="Søndersø Børnehus"/>
    <x v="49"/>
    <x v="0"/>
    <x v="2"/>
    <n v="1373.9"/>
    <n v="12"/>
    <s v="2010-07-31"/>
    <n v="0"/>
    <n v="1839"/>
    <n v="0.74704999999999999"/>
    <n v="3"/>
    <x v="0"/>
    <x v="526"/>
    <n v="1099.1199999999999"/>
    <n v="0"/>
    <s v="00PC502503"/>
    <m/>
    <n v="1373.9"/>
    <n v="0"/>
    <n v="77417"/>
  </r>
  <r>
    <x v="3"/>
    <m/>
    <s v="Søndersø Børnehus"/>
    <n v="10209"/>
    <m/>
    <s v="Søndersø Børnehus"/>
    <x v="49"/>
    <x v="0"/>
    <x v="3"/>
    <n v="1071.2"/>
    <n v="12"/>
    <s v="2010-07-31"/>
    <n v="0"/>
    <n v="1839"/>
    <n v="0.58245800000000003"/>
    <n v="3"/>
    <x v="0"/>
    <x v="527"/>
    <n v="856.96"/>
    <n v="0"/>
    <s v="00PC502503"/>
    <m/>
    <n v="1071.2"/>
    <n v="0"/>
    <n v="77417"/>
  </r>
  <r>
    <x v="3"/>
    <m/>
    <s v="Søndersø Børnehus"/>
    <n v="10209"/>
    <m/>
    <s v="Søndersø Børnehus"/>
    <x v="49"/>
    <x v="0"/>
    <x v="4"/>
    <n v="1324.05"/>
    <n v="9"/>
    <s v="2010-07-31"/>
    <n v="0"/>
    <n v="1839"/>
    <n v="0.71994400000000003"/>
    <n v="3"/>
    <x v="0"/>
    <x v="528"/>
    <n v="1059.25"/>
    <n v="0"/>
    <s v="00PC502503"/>
    <m/>
    <n v="1324.0461499999999"/>
    <n v="0"/>
    <n v="77417"/>
  </r>
  <r>
    <x v="3"/>
    <m/>
    <s v="Søndersø Børnehus"/>
    <n v="10209"/>
    <m/>
    <s v="Søndersø Børnehus"/>
    <x v="49"/>
    <x v="0"/>
    <x v="4"/>
    <n v="126.53"/>
    <n v="1"/>
    <s v="2010-07-12"/>
    <n v="0"/>
    <n v="1839"/>
    <n v="6.8798999999999999E-2"/>
    <n v="3"/>
    <x v="0"/>
    <x v="529"/>
    <n v="0"/>
    <n v="1"/>
    <s v="Varmt vand."/>
    <m/>
    <n v="126.54546999999999"/>
    <n v="0"/>
    <n v="77423"/>
  </r>
  <r>
    <x v="3"/>
    <m/>
    <s v="Søndersø Børnehus"/>
    <n v="10209"/>
    <m/>
    <s v="Søndersø Børnehus"/>
    <x v="49"/>
    <x v="0"/>
    <x v="5"/>
    <n v="857.04"/>
    <n v="3"/>
    <s v="2010-07-31"/>
    <n v="0"/>
    <n v="1839"/>
    <n v="0.46600999999999998"/>
    <n v="3"/>
    <x v="0"/>
    <x v="530"/>
    <n v="685.64"/>
    <n v="0"/>
    <s v="00PC502503"/>
    <m/>
    <n v="857.02049999999997"/>
    <n v="0"/>
    <n v="77417"/>
  </r>
  <r>
    <x v="3"/>
    <m/>
    <s v="Søndersø Børnehus"/>
    <n v="10209"/>
    <m/>
    <s v="Søndersø Børnehus"/>
    <x v="49"/>
    <x v="0"/>
    <x v="5"/>
    <n v="232.12"/>
    <n v="3"/>
    <s v="2010-07-12"/>
    <n v="0"/>
    <n v="1839"/>
    <n v="0.12621299999999999"/>
    <n v="3"/>
    <x v="0"/>
    <x v="531"/>
    <n v="0"/>
    <n v="1"/>
    <s v="Varmt vand."/>
    <m/>
    <n v="232.14420999999999"/>
    <n v="0"/>
    <n v="77423"/>
  </r>
  <r>
    <x v="3"/>
    <m/>
    <s v="Søndersø Børnehus"/>
    <n v="10209"/>
    <m/>
    <s v="Søndersø Børnehus"/>
    <x v="49"/>
    <x v="0"/>
    <x v="6"/>
    <n v="682.43"/>
    <n v="8"/>
    <s v="2010-07-31"/>
    <n v="0"/>
    <n v="1839"/>
    <n v="0.37106699999999998"/>
    <n v="3"/>
    <x v="0"/>
    <x v="532"/>
    <n v="545.94000000000005"/>
    <n v="0"/>
    <s v="00PC502503"/>
    <m/>
    <n v="682.43334000000004"/>
    <n v="0"/>
    <n v="77417"/>
  </r>
  <r>
    <x v="3"/>
    <m/>
    <s v="Søndersø Børnehus"/>
    <n v="10209"/>
    <m/>
    <s v="Søndersø Børnehus"/>
    <x v="49"/>
    <x v="0"/>
    <x v="6"/>
    <n v="150.4"/>
    <n v="4"/>
    <s v="2010-07-12"/>
    <n v="0"/>
    <n v="1839"/>
    <n v="8.1779000000000004E-2"/>
    <n v="3"/>
    <x v="0"/>
    <x v="533"/>
    <n v="0"/>
    <n v="1"/>
    <s v="Varmt vand."/>
    <m/>
    <n v="150.43535"/>
    <n v="0"/>
    <n v="77423"/>
  </r>
  <r>
    <x v="3"/>
    <m/>
    <s v="Bøgely Ravnehusvej 20"/>
    <n v="9970"/>
    <m/>
    <s v="Bøgely"/>
    <x v="21"/>
    <x v="0"/>
    <x v="7"/>
    <n v="716.3"/>
    <n v="12"/>
    <s v="2009-12-31"/>
    <n v="0"/>
    <n v="864"/>
    <n v="0.82895399999999997"/>
    <n v="3"/>
    <x v="0"/>
    <x v="534"/>
    <n v="573.04"/>
    <n v="0"/>
    <m/>
    <m/>
    <n v="716.3"/>
    <n v="0"/>
    <n v="76388"/>
  </r>
  <r>
    <x v="3"/>
    <m/>
    <s v="Bøgely Ravnehusvej 20"/>
    <n v="9970"/>
    <m/>
    <s v="Bøgely"/>
    <x v="21"/>
    <x v="0"/>
    <x v="7"/>
    <n v="35686.629999999997"/>
    <n v="12"/>
    <m/>
    <n v="0"/>
    <n v="864"/>
    <n v="41.299188999999998"/>
    <n v="2"/>
    <x v="2"/>
    <x v="535"/>
    <n v="10705.98"/>
    <n v="0"/>
    <s v="86458"/>
    <m/>
    <n v="35686.629000000001"/>
    <n v="0"/>
    <n v="90986"/>
  </r>
  <r>
    <x v="8"/>
    <m/>
    <s v="Palægården Poppel Alle 19"/>
    <n v="10237"/>
    <m/>
    <s v="Børnehaven"/>
    <x v="51"/>
    <x v="0"/>
    <x v="7"/>
    <n v="13907.27"/>
    <n v="12"/>
    <s v="2010-11-09"/>
    <n v="0"/>
    <n v="0"/>
    <n v="139072.70000000001"/>
    <n v="1"/>
    <x v="4"/>
    <x v="536"/>
    <n v="3491.47"/>
    <n v="0"/>
    <s v="175906/96"/>
    <s v="98004884565"/>
    <n v="1287.71"/>
    <n v="0"/>
    <n v="77527"/>
  </r>
  <r>
    <x v="3"/>
    <s v="02558-5"/>
    <s v="Børnehusene Ryttergårdsvej 100 - 102"/>
    <n v="5252"/>
    <m/>
    <s v="Børnehusene Ryttergårdsvej 100 - 102"/>
    <x v="22"/>
    <x v="0"/>
    <x v="7"/>
    <n v="480.62"/>
    <n v="12"/>
    <s v="2005-05-01"/>
    <n v="0"/>
    <n v="752"/>
    <n v="0.63903699999999997"/>
    <n v="3"/>
    <x v="0"/>
    <x v="537"/>
    <n v="384.49"/>
    <n v="0"/>
    <s v="BK 99100253"/>
    <m/>
    <n v="480.61700000000002"/>
    <n v="0"/>
    <n v="56689"/>
  </r>
  <r>
    <x v="3"/>
    <s v="02558-5"/>
    <s v="Børnehusene Ryttergårdsvej 100 - 102"/>
    <n v="5252"/>
    <m/>
    <s v="Børnehusene Ryttergårdsvej 100 - 102"/>
    <x v="22"/>
    <x v="0"/>
    <x v="7"/>
    <n v="78918.67"/>
    <n v="12"/>
    <s v="2005-09-01"/>
    <n v="0"/>
    <n v="752"/>
    <n v="104.93108599999999"/>
    <n v="1"/>
    <x v="1"/>
    <x v="538"/>
    <n v="6680258.6500000004"/>
    <n v="0"/>
    <s v="4824612"/>
    <m/>
    <n v="78918.667000000001"/>
    <n v="0"/>
    <n v="56688"/>
  </r>
  <r>
    <x v="3"/>
    <s v="02558-5"/>
    <s v="Børnehusene Ryttergårdsvej 100 - 102"/>
    <n v="5252"/>
    <m/>
    <s v="Børnehusene Ryttergårdsvej 100 - 102"/>
    <x v="22"/>
    <x v="0"/>
    <x v="7"/>
    <n v="16562.599999999999"/>
    <n v="12"/>
    <s v="2005-05-01"/>
    <n v="0"/>
    <n v="752"/>
    <n v="22.021805000000001"/>
    <n v="2"/>
    <x v="2"/>
    <x v="539"/>
    <n v="6625.03"/>
    <n v="0"/>
    <s v="1019276"/>
    <s v="74111624557"/>
    <n v="16562.594000000001"/>
    <n v="0"/>
    <n v="56687"/>
  </r>
  <r>
    <x v="3"/>
    <s v="02558-5"/>
    <s v="Børnehusene Ryttergårdsvej 100 - 102"/>
    <n v="5252"/>
    <m/>
    <s v="Børnehusene Ryttergårdsvej 100 - 102"/>
    <x v="22"/>
    <x v="1"/>
    <x v="7"/>
    <n v="64264.34"/>
    <n v="12"/>
    <s v="2005-09-01"/>
    <n v="0"/>
    <n v="752"/>
    <n v="85.446535999999995"/>
    <n v="1"/>
    <x v="3"/>
    <x v="540"/>
    <n v="158624.79"/>
    <n v="1"/>
    <s v="4824612"/>
    <m/>
    <n v="1841.9132999999999"/>
    <n v="0"/>
    <n v="56995"/>
  </r>
  <r>
    <x v="3"/>
    <m/>
    <s v="Børnehuset Åkanden / Skovbo Skovbovænget 75"/>
    <n v="9977"/>
    <m/>
    <s v="Åkanden/Skovbo"/>
    <x v="23"/>
    <x v="0"/>
    <x v="7"/>
    <n v="418.9"/>
    <n v="12"/>
    <s v="2010-10-31"/>
    <n v="0"/>
    <n v="487"/>
    <n v="0.85998699999999995"/>
    <n v="3"/>
    <x v="0"/>
    <x v="541"/>
    <n v="335.12"/>
    <n v="0"/>
    <m/>
    <m/>
    <n v="418.9"/>
    <n v="0"/>
    <n v="76403"/>
  </r>
  <r>
    <x v="3"/>
    <m/>
    <s v="Børnehuset Åkanden / Skovbo Skovbovænget 75"/>
    <n v="9977"/>
    <m/>
    <s v="Åkanden/Skovbo"/>
    <x v="23"/>
    <x v="0"/>
    <x v="7"/>
    <n v="17402.560000000001"/>
    <n v="12"/>
    <s v="2010-06-30"/>
    <n v="0"/>
    <n v="487"/>
    <n v="35.726872999999998"/>
    <n v="2"/>
    <x v="2"/>
    <x v="542"/>
    <n v="5220.7700000000004"/>
    <n v="0"/>
    <m/>
    <s v="74112335858"/>
    <n v="17402.569"/>
    <n v="0"/>
    <n v="76402"/>
  </r>
  <r>
    <x v="6"/>
    <s v="02576-3"/>
    <s v="Solvangskolen Pedelbolig, Nord 60"/>
    <n v="6369"/>
    <m/>
    <s v="Solvangskolen Pedelbolig"/>
    <x v="52"/>
    <x v="0"/>
    <x v="7"/>
    <n v="14289.14"/>
    <n v="12"/>
    <s v="2013-05-07"/>
    <n v="0"/>
    <n v="110"/>
    <n v="129.783287"/>
    <n v="1"/>
    <x v="4"/>
    <x v="543"/>
    <n v="3594"/>
    <n v="0"/>
    <s v="1129273"/>
    <s v="98001998845"/>
    <n v="1323.07"/>
    <n v="0"/>
    <n v="62719"/>
  </r>
  <r>
    <x v="3"/>
    <m/>
    <s v="Dalgården, Dalsø 107-109"/>
    <n v="10018"/>
    <m/>
    <s v="Dalgården"/>
    <x v="24"/>
    <x v="0"/>
    <x v="7"/>
    <n v="433"/>
    <n v="12"/>
    <s v="2010-01-31"/>
    <n v="0"/>
    <n v="838"/>
    <n v="0.51664399999999999"/>
    <n v="3"/>
    <x v="0"/>
    <x v="544"/>
    <n v="346.4"/>
    <n v="0"/>
    <s v="02pc5012--"/>
    <m/>
    <n v="433"/>
    <n v="0"/>
    <n v="76529"/>
  </r>
  <r>
    <x v="3"/>
    <m/>
    <s v="Dalgården, Dalsø 107-109"/>
    <n v="10018"/>
    <m/>
    <s v="Dalgården"/>
    <x v="24"/>
    <x v="0"/>
    <x v="7"/>
    <n v="21867.759999999998"/>
    <n v="12"/>
    <m/>
    <n v="0"/>
    <n v="838"/>
    <n v="26.092065000000002"/>
    <n v="2"/>
    <x v="2"/>
    <x v="545"/>
    <n v="6560.33"/>
    <n v="0"/>
    <s v="49491"/>
    <s v="74110486026"/>
    <n v="21867.766"/>
    <n v="0"/>
    <n v="90991"/>
  </r>
  <r>
    <x v="9"/>
    <s v="06157-9"/>
    <s v="Furesøbad"/>
    <n v="6031"/>
    <m/>
    <s v="Manuel aflæsning"/>
    <x v="53"/>
    <x v="0"/>
    <x v="7"/>
    <n v="14533.84"/>
    <n v="5"/>
    <s v="2015-05-05"/>
    <n v="0"/>
    <n v="0"/>
    <n v="145338.4"/>
    <n v="1"/>
    <x v="4"/>
    <x v="546"/>
    <n v="3488.55"/>
    <n v="1"/>
    <s v="-1528401"/>
    <m/>
    <n v="1345.72666"/>
    <n v="0"/>
    <n v="60685"/>
  </r>
  <r>
    <x v="3"/>
    <s v="04730-9"/>
    <s v="Drivhuset Hvilebæksgårdsvej 17"/>
    <n v="5486"/>
    <m/>
    <s v="Drivhuset"/>
    <x v="25"/>
    <x v="0"/>
    <x v="7"/>
    <n v="-4.8099999999999996"/>
    <n v="12"/>
    <s v="2005-05-01"/>
    <n v="0"/>
    <n v="417"/>
    <n v="-1.1532000000000001E-2"/>
    <n v="3"/>
    <x v="0"/>
    <x v="547"/>
    <n v="-3.89"/>
    <n v="0"/>
    <s v="3090080"/>
    <m/>
    <n v="-4.8490000000000002"/>
    <n v="0"/>
    <n v="57985"/>
  </r>
  <r>
    <x v="3"/>
    <s v="04730-9"/>
    <s v="Drivhuset Hvilebæksgårdsvej 17"/>
    <n v="5486"/>
    <m/>
    <s v="Drivhuset"/>
    <x v="25"/>
    <x v="0"/>
    <x v="7"/>
    <n v="313.75"/>
    <n v="12"/>
    <s v="2005-05-01"/>
    <n v="0"/>
    <n v="417"/>
    <n v="0.75221700000000002"/>
    <n v="3"/>
    <x v="0"/>
    <x v="548"/>
    <n v="250.99"/>
    <n v="0"/>
    <s v="03485049"/>
    <m/>
    <n v="313.74700000000001"/>
    <n v="0"/>
    <n v="60151"/>
  </r>
  <r>
    <x v="3"/>
    <s v="04730-9"/>
    <s v="Drivhuset Hvilebæksgårdsvej 17"/>
    <n v="5486"/>
    <m/>
    <s v="Drivhuset"/>
    <x v="25"/>
    <x v="0"/>
    <x v="7"/>
    <n v="33659"/>
    <n v="12"/>
    <s v="2005-05-01"/>
    <n v="0"/>
    <n v="417"/>
    <n v="80.697674000000006"/>
    <n v="1"/>
    <x v="1"/>
    <x v="549"/>
    <n v="2824541.41"/>
    <n v="0"/>
    <s v="4824615"/>
    <m/>
    <n v="33659"/>
    <n v="0"/>
    <n v="57986"/>
  </r>
  <r>
    <x v="3"/>
    <s v="04730-9"/>
    <s v="Drivhuset Hvilebæksgårdsvej 17"/>
    <n v="5486"/>
    <m/>
    <s v="Drivhuset"/>
    <x v="25"/>
    <x v="0"/>
    <x v="7"/>
    <n v="11429.03"/>
    <n v="12"/>
    <s v="2005-05-01"/>
    <n v="0"/>
    <n v="417"/>
    <n v="27.401174000000001"/>
    <n v="2"/>
    <x v="2"/>
    <x v="550"/>
    <n v="4571.62"/>
    <n v="0"/>
    <s v="72002"/>
    <s v="74111841077"/>
    <n v="11429.038200000001"/>
    <n v="0"/>
    <n v="57981"/>
  </r>
  <r>
    <x v="3"/>
    <s v="04730-9"/>
    <s v="Drivhuset Hvilebæksgårdsvej 17"/>
    <n v="5486"/>
    <m/>
    <s v="Drivhuset"/>
    <x v="25"/>
    <x v="1"/>
    <x v="7"/>
    <n v="26308.45"/>
    <n v="12"/>
    <m/>
    <n v="0"/>
    <n v="417"/>
    <n v="63.074682000000003"/>
    <n v="1"/>
    <x v="3"/>
    <x v="551"/>
    <n v="63372.480000000003"/>
    <n v="1"/>
    <s v="4824615"/>
    <m/>
    <n v="754.04"/>
    <n v="0"/>
    <n v="57988"/>
  </r>
  <r>
    <x v="3"/>
    <m/>
    <s v="Espebo Børnecenter"/>
    <n v="10058"/>
    <m/>
    <s v="Espebo Børnecenter"/>
    <x v="26"/>
    <x v="0"/>
    <x v="7"/>
    <n v="911.7"/>
    <n v="12"/>
    <s v="2010-08-30"/>
    <n v="0"/>
    <n v="692"/>
    <n v="1.3172950000000001"/>
    <n v="3"/>
    <x v="0"/>
    <x v="552"/>
    <n v="729.36"/>
    <n v="0"/>
    <m/>
    <m/>
    <n v="911.69997999999998"/>
    <n v="0"/>
    <n v="76685"/>
  </r>
  <r>
    <x v="3"/>
    <m/>
    <s v="Espebo Børnecenter"/>
    <n v="10058"/>
    <m/>
    <s v="Espebo Børnecenter"/>
    <x v="26"/>
    <x v="0"/>
    <x v="7"/>
    <n v="55763"/>
    <n v="12"/>
    <s v="2012-08-01"/>
    <n v="0"/>
    <n v="692"/>
    <n v="80.570725999999993"/>
    <n v="1"/>
    <x v="1"/>
    <x v="553"/>
    <n v="4217.76"/>
    <n v="0"/>
    <s v="7260018"/>
    <m/>
    <n v="55762.999900000003"/>
    <n v="0"/>
    <n v="76686"/>
  </r>
  <r>
    <x v="3"/>
    <m/>
    <s v="Espebo Børnecenter"/>
    <n v="10058"/>
    <m/>
    <s v="Espebo Børnecenter"/>
    <x v="26"/>
    <x v="0"/>
    <x v="7"/>
    <n v="17555.98"/>
    <n v="12"/>
    <s v="2010-10-31"/>
    <n v="0"/>
    <n v="692"/>
    <n v="25.366247000000001"/>
    <n v="2"/>
    <x v="2"/>
    <x v="554"/>
    <n v="5266.79"/>
    <n v="0"/>
    <m/>
    <s v="74111889819"/>
    <n v="17555.982"/>
    <n v="0"/>
    <n v="76684"/>
  </r>
  <r>
    <x v="3"/>
    <s v="04859-3"/>
    <s v="Bakkehuset, Hvilebækgårdsvej 5"/>
    <n v="5244"/>
    <m/>
    <s v="Bakkehuset"/>
    <x v="16"/>
    <x v="0"/>
    <x v="0"/>
    <n v="30353"/>
    <n v="5"/>
    <s v="2005-09-20"/>
    <n v="0"/>
    <n v="560"/>
    <n v="30.976610999999998"/>
    <n v="1"/>
    <x v="1"/>
    <x v="555"/>
    <n v="3637736.4"/>
    <n v="0"/>
    <s v="4813499"/>
    <m/>
    <n v="17350"/>
    <n v="0"/>
    <n v="56614"/>
  </r>
  <r>
    <x v="3"/>
    <s v="04859-3"/>
    <s v="Bakkehuset, Hvilebækgårdsvej 5"/>
    <n v="5244"/>
    <m/>
    <s v="Bakkehuset"/>
    <x v="16"/>
    <x v="1"/>
    <x v="0"/>
    <n v="14736.84"/>
    <n v="5"/>
    <s v="2005-09-20"/>
    <n v="0"/>
    <n v="560"/>
    <n v="26.311087000000001"/>
    <n v="1"/>
    <x v="3"/>
    <x v="556"/>
    <n v="87910.74"/>
    <n v="1"/>
    <s v="4813499"/>
    <m/>
    <n v="422.38"/>
    <n v="0"/>
    <n v="56993"/>
  </r>
  <r>
    <x v="3"/>
    <s v="04859-3"/>
    <s v="Bakkehuset, Hvilebækgårdsvej 5"/>
    <n v="5244"/>
    <m/>
    <s v="Bakkehuset"/>
    <x v="16"/>
    <x v="0"/>
    <x v="1"/>
    <n v="41148"/>
    <n v="12"/>
    <s v="2005-09-20"/>
    <n v="0"/>
    <n v="560"/>
    <n v="73.465451999999999"/>
    <n v="1"/>
    <x v="1"/>
    <x v="557"/>
    <n v="7909.79"/>
    <n v="0"/>
    <s v="4813499"/>
    <m/>
    <n v="41148"/>
    <n v="0"/>
    <n v="56614"/>
  </r>
  <r>
    <x v="3"/>
    <s v="04859-3"/>
    <s v="Bakkehuset, Hvilebækgårdsvej 5"/>
    <n v="5244"/>
    <m/>
    <s v="Bakkehuset"/>
    <x v="16"/>
    <x v="1"/>
    <x v="1"/>
    <n v="38466.04"/>
    <n v="12"/>
    <s v="2005-09-20"/>
    <n v="0"/>
    <n v="560"/>
    <n v="68.677092999999999"/>
    <n v="1"/>
    <x v="3"/>
    <x v="558"/>
    <n v="212.69"/>
    <n v="1"/>
    <s v="4813499"/>
    <m/>
    <n v="1102.4949999999999"/>
    <n v="0"/>
    <n v="56993"/>
  </r>
  <r>
    <x v="3"/>
    <s v="04859-3"/>
    <s v="Bakkehuset, Hvilebækgårdsvej 5"/>
    <n v="5244"/>
    <m/>
    <s v="Bakkehuset"/>
    <x v="16"/>
    <x v="0"/>
    <x v="2"/>
    <n v="41133"/>
    <n v="12"/>
    <s v="2005-09-20"/>
    <n v="0"/>
    <n v="560"/>
    <n v="73.438670999999999"/>
    <n v="1"/>
    <x v="1"/>
    <x v="559"/>
    <n v="7971.36"/>
    <n v="0"/>
    <s v="4813499"/>
    <m/>
    <n v="41133"/>
    <n v="0"/>
    <n v="56614"/>
  </r>
  <r>
    <x v="3"/>
    <s v="04859-3"/>
    <s v="Bakkehuset, Hvilebækgårdsvej 5"/>
    <n v="5244"/>
    <m/>
    <s v="Bakkehuset"/>
    <x v="16"/>
    <x v="1"/>
    <x v="2"/>
    <n v="40856.71"/>
    <n v="12"/>
    <s v="2005-09-20"/>
    <n v="0"/>
    <n v="560"/>
    <n v="72.945384000000004"/>
    <n v="1"/>
    <x v="3"/>
    <x v="560"/>
    <n v="227.17"/>
    <n v="1"/>
    <s v="4813499"/>
    <m/>
    <n v="1171.0150000000001"/>
    <n v="0"/>
    <n v="56993"/>
  </r>
  <r>
    <x v="3"/>
    <s v="04859-3"/>
    <s v="Bakkehuset, Hvilebækgårdsvej 5"/>
    <n v="5244"/>
    <m/>
    <s v="Bakkehuset"/>
    <x v="16"/>
    <x v="0"/>
    <x v="3"/>
    <n v="37893"/>
    <n v="12"/>
    <s v="2005-09-20"/>
    <n v="0"/>
    <n v="560"/>
    <n v="67.653989999999993"/>
    <n v="1"/>
    <x v="1"/>
    <x v="561"/>
    <n v="7605.35"/>
    <n v="0"/>
    <s v="4813499"/>
    <m/>
    <n v="37893"/>
    <n v="0"/>
    <n v="56614"/>
  </r>
  <r>
    <x v="3"/>
    <s v="04859-3"/>
    <s v="Bakkehuset, Hvilebækgårdsvej 5"/>
    <n v="5244"/>
    <m/>
    <s v="Bakkehuset"/>
    <x v="16"/>
    <x v="1"/>
    <x v="3"/>
    <n v="38109.99"/>
    <n v="12"/>
    <s v="2005-09-20"/>
    <n v="0"/>
    <n v="560"/>
    <n v="68.041403000000003"/>
    <n v="1"/>
    <x v="3"/>
    <x v="562"/>
    <n v="220.74"/>
    <n v="1"/>
    <s v="4813499"/>
    <m/>
    <n v="1092.29"/>
    <n v="0"/>
    <n v="56993"/>
  </r>
  <r>
    <x v="3"/>
    <s v="04859-3"/>
    <s v="Bakkehuset, Hvilebækgårdsvej 5"/>
    <n v="5244"/>
    <m/>
    <s v="Bakkehuset"/>
    <x v="16"/>
    <x v="0"/>
    <x v="4"/>
    <n v="50296"/>
    <n v="12"/>
    <s v="2005-09-20"/>
    <n v="0"/>
    <n v="560"/>
    <n v="89.798249999999996"/>
    <n v="1"/>
    <x v="1"/>
    <x v="563"/>
    <n v="8494.52"/>
    <n v="0"/>
    <s v="4813499"/>
    <m/>
    <n v="50296"/>
    <n v="0"/>
    <n v="56614"/>
  </r>
  <r>
    <x v="3"/>
    <s v="04859-3"/>
    <s v="Bakkehuset, Hvilebækgårdsvej 5"/>
    <n v="5244"/>
    <m/>
    <s v="Bakkehuset"/>
    <x v="16"/>
    <x v="1"/>
    <x v="4"/>
    <n v="51497.29"/>
    <n v="12"/>
    <s v="2005-09-20"/>
    <n v="0"/>
    <n v="560"/>
    <n v="91.943027999999998"/>
    <n v="1"/>
    <x v="3"/>
    <x v="564"/>
    <n v="250.55"/>
    <n v="1"/>
    <s v="4813499"/>
    <m/>
    <n v="1475.99"/>
    <n v="0"/>
    <n v="56993"/>
  </r>
  <r>
    <x v="3"/>
    <s v="04859-3"/>
    <s v="Bakkehuset, Hvilebækgårdsvej 5"/>
    <n v="5244"/>
    <m/>
    <s v="Bakkehuset"/>
    <x v="16"/>
    <x v="0"/>
    <x v="5"/>
    <n v="42437"/>
    <n v="12"/>
    <s v="2005-09-20"/>
    <n v="0"/>
    <n v="560"/>
    <n v="75.766827000000006"/>
    <n v="1"/>
    <x v="1"/>
    <x v="565"/>
    <n v="8226.18"/>
    <n v="0"/>
    <s v="4813499"/>
    <m/>
    <n v="42437"/>
    <n v="0"/>
    <n v="56614"/>
  </r>
  <r>
    <x v="3"/>
    <s v="04859-3"/>
    <s v="Bakkehuset, Hvilebækgårdsvej 5"/>
    <n v="5244"/>
    <m/>
    <s v="Bakkehuset"/>
    <x v="16"/>
    <x v="1"/>
    <x v="5"/>
    <n v="44488.59"/>
    <n v="12"/>
    <s v="2005-09-20"/>
    <n v="0"/>
    <n v="560"/>
    <n v="79.429726000000002"/>
    <n v="1"/>
    <x v="3"/>
    <x v="566"/>
    <n v="254.82"/>
    <n v="1"/>
    <s v="4813499"/>
    <m/>
    <n v="1275.1099999999999"/>
    <n v="0"/>
    <n v="56993"/>
  </r>
  <r>
    <x v="3"/>
    <s v="04859-3"/>
    <s v="Bakkehuset, Hvilebækgårdsvej 5"/>
    <n v="5244"/>
    <m/>
    <s v="Bakkehuset"/>
    <x v="16"/>
    <x v="0"/>
    <x v="6"/>
    <n v="39623"/>
    <n v="12"/>
    <s v="2005-09-20"/>
    <n v="0"/>
    <n v="560"/>
    <n v="70.742723999999995"/>
    <n v="1"/>
    <x v="1"/>
    <x v="567"/>
    <n v="8363.17"/>
    <n v="0"/>
    <s v="4813499"/>
    <m/>
    <n v="39623"/>
    <n v="0"/>
    <n v="56614"/>
  </r>
  <r>
    <x v="3"/>
    <s v="04859-3"/>
    <s v="Bakkehuset, Hvilebækgårdsvej 5"/>
    <n v="5244"/>
    <m/>
    <s v="Bakkehuset"/>
    <x v="16"/>
    <x v="1"/>
    <x v="6"/>
    <n v="39489.919999999998"/>
    <n v="12"/>
    <s v="2005-09-20"/>
    <n v="0"/>
    <n v="560"/>
    <n v="70.505123999999995"/>
    <n v="1"/>
    <x v="3"/>
    <x v="568"/>
    <n v="237.68"/>
    <n v="1"/>
    <s v="4813499"/>
    <m/>
    <n v="1131.8399999999999"/>
    <n v="0"/>
    <n v="56993"/>
  </r>
  <r>
    <x v="3"/>
    <m/>
    <s v="Bavnebo"/>
    <n v="9965"/>
    <m/>
    <s v="Bavnebo"/>
    <x v="17"/>
    <x v="0"/>
    <x v="0"/>
    <n v="55520"/>
    <n v="5"/>
    <s v="2010-10-31"/>
    <n v="0"/>
    <n v="715"/>
    <n v="44.091735"/>
    <n v="1"/>
    <x v="5"/>
    <x v="569"/>
    <n v="2277.6999999999998"/>
    <n v="0"/>
    <m/>
    <m/>
    <n v="31.53"/>
    <n v="0"/>
    <n v="76374"/>
  </r>
  <r>
    <x v="3"/>
    <m/>
    <s v="Bavnebo"/>
    <n v="9965"/>
    <m/>
    <s v="Bavnebo"/>
    <x v="17"/>
    <x v="0"/>
    <x v="1"/>
    <n v="63760"/>
    <n v="12"/>
    <s v="2010-10-31"/>
    <n v="0"/>
    <n v="715"/>
    <n v="89.162353999999993"/>
    <n v="1"/>
    <x v="5"/>
    <x v="570"/>
    <n v="4260.79"/>
    <n v="0"/>
    <m/>
    <m/>
    <n v="63.76"/>
    <n v="0"/>
    <n v="76374"/>
  </r>
  <r>
    <x v="3"/>
    <m/>
    <s v="Bavnebo"/>
    <n v="9965"/>
    <m/>
    <s v="Bavnebo"/>
    <x v="17"/>
    <x v="0"/>
    <x v="2"/>
    <n v="61850"/>
    <n v="12"/>
    <s v="2010-10-31"/>
    <n v="0"/>
    <n v="715"/>
    <n v="86.491399000000001"/>
    <n v="1"/>
    <x v="5"/>
    <x v="571"/>
    <n v="12016.26"/>
    <n v="0"/>
    <m/>
    <m/>
    <n v="61.85"/>
    <n v="0"/>
    <n v="76374"/>
  </r>
  <r>
    <x v="3"/>
    <m/>
    <s v="Bavnebo"/>
    <n v="9965"/>
    <m/>
    <s v="Bavnebo"/>
    <x v="17"/>
    <x v="0"/>
    <x v="3"/>
    <n v="75940"/>
    <n v="12"/>
    <s v="2010-10-31"/>
    <n v="0"/>
    <n v="715"/>
    <n v="106.194937"/>
    <n v="1"/>
    <x v="5"/>
    <x v="572"/>
    <n v="15410.68"/>
    <n v="0"/>
    <m/>
    <m/>
    <n v="75.94"/>
    <n v="0"/>
    <n v="76374"/>
  </r>
  <r>
    <x v="3"/>
    <m/>
    <s v="Bavnebo"/>
    <n v="9965"/>
    <m/>
    <s v="Bavnebo"/>
    <x v="17"/>
    <x v="0"/>
    <x v="4"/>
    <n v="94808.36"/>
    <n v="5"/>
    <s v="2010-10-31"/>
    <n v="0"/>
    <n v="715"/>
    <n v="132.58056199999999"/>
    <n v="1"/>
    <x v="5"/>
    <x v="573"/>
    <n v="22230.81"/>
    <n v="0"/>
    <m/>
    <m/>
    <n v="94.808359999999993"/>
    <n v="0"/>
    <n v="76374"/>
  </r>
  <r>
    <x v="3"/>
    <m/>
    <s v="Bavnebo"/>
    <n v="9965"/>
    <m/>
    <s v="Bavnebo"/>
    <x v="17"/>
    <x v="0"/>
    <x v="5"/>
    <n v="91735.94"/>
    <n v="5"/>
    <s v="2010-10-31"/>
    <n v="0"/>
    <n v="715"/>
    <n v="128.28407200000001"/>
    <n v="1"/>
    <x v="5"/>
    <x v="574"/>
    <n v="22929.34"/>
    <n v="0"/>
    <m/>
    <m/>
    <n v="91.735939999999999"/>
    <n v="0"/>
    <n v="76374"/>
  </r>
  <r>
    <x v="3"/>
    <m/>
    <s v="Bavnebo"/>
    <n v="9965"/>
    <m/>
    <s v="Bavnebo"/>
    <x v="17"/>
    <x v="0"/>
    <x v="6"/>
    <n v="70326.37"/>
    <n v="5"/>
    <s v="2010-10-31"/>
    <n v="0"/>
    <n v="715"/>
    <n v="98.344803999999996"/>
    <n v="1"/>
    <x v="5"/>
    <x v="575"/>
    <n v="15371.26"/>
    <n v="0"/>
    <m/>
    <m/>
    <n v="70.326369999999997"/>
    <n v="0"/>
    <n v="76374"/>
  </r>
  <r>
    <x v="3"/>
    <s v="004757-0"/>
    <s v="Bifrost Nordtoftevej 56c"/>
    <n v="5251"/>
    <m/>
    <s v="Bifrost"/>
    <x v="18"/>
    <x v="0"/>
    <x v="0"/>
    <n v="48962"/>
    <n v="5"/>
    <s v="2014-04-30"/>
    <n v="0"/>
    <n v="375"/>
    <n v="64.633857000000006"/>
    <n v="1"/>
    <x v="4"/>
    <x v="576"/>
    <n v="5674.72"/>
    <n v="0"/>
    <s v="1203721"/>
    <s v="98004825483"/>
    <n v="2244.83"/>
    <n v="0"/>
    <n v="56681"/>
  </r>
  <r>
    <x v="3"/>
    <s v="03971-3"/>
    <s v="Farum Vejgård, Stavnsholtvej 170"/>
    <n v="5428"/>
    <m/>
    <s v="Farum Vejgård"/>
    <x v="27"/>
    <x v="0"/>
    <x v="7"/>
    <n v="438.16"/>
    <n v="12"/>
    <s v="2013-05-07"/>
    <n v="0"/>
    <n v="679"/>
    <n v="0.64520599999999995"/>
    <n v="3"/>
    <x v="0"/>
    <x v="577"/>
    <n v="350.55"/>
    <n v="0"/>
    <s v="4093459"/>
    <m/>
    <n v="438.18"/>
    <n v="0"/>
    <n v="57404"/>
  </r>
  <r>
    <x v="3"/>
    <s v="03971-3"/>
    <s v="Farum Vejgård, Stavnsholtvej 170"/>
    <n v="5428"/>
    <m/>
    <s v="Farum Vejgård"/>
    <x v="28"/>
    <x v="0"/>
    <x v="7"/>
    <n v="2014.13"/>
    <n v="12"/>
    <s v="2005-05-01"/>
    <n v="0"/>
    <n v="679"/>
    <n v="2.965881"/>
    <n v="2"/>
    <x v="2"/>
    <x v="578"/>
    <n v="805.67"/>
    <n v="0"/>
    <s v="1011580 (2)"/>
    <m/>
    <n v="2014.13"/>
    <n v="0"/>
    <n v="57564"/>
  </r>
  <r>
    <x v="3"/>
    <s v="004757-0"/>
    <s v="Bifrost Nordtoftevej 56c"/>
    <n v="5251"/>
    <m/>
    <s v="Bifrost"/>
    <x v="18"/>
    <x v="0"/>
    <x v="1"/>
    <n v="111889.04"/>
    <n v="3"/>
    <s v="2014-04-30"/>
    <n v="0"/>
    <n v="375"/>
    <n v="298.29122899999999"/>
    <n v="1"/>
    <x v="4"/>
    <x v="579"/>
    <n v="30157.79"/>
    <n v="0"/>
    <s v="1203721"/>
    <s v="98004825483"/>
    <n v="10360.09504"/>
    <n v="0"/>
    <n v="56681"/>
  </r>
  <r>
    <x v="3"/>
    <s v="004757-0"/>
    <s v="Bifrost Nordtoftevej 56c"/>
    <n v="5251"/>
    <m/>
    <s v="Bifrost"/>
    <x v="18"/>
    <x v="0"/>
    <x v="1"/>
    <n v="85364.91"/>
    <n v="5"/>
    <s v="2014-05-19"/>
    <n v="0"/>
    <n v="375"/>
    <n v="227.579072"/>
    <n v="1"/>
    <x v="4"/>
    <x v="580"/>
    <n v="25499.57"/>
    <n v="1"/>
    <s v="Kontrol"/>
    <m/>
    <n v="7904.1583600000004"/>
    <n v="0"/>
    <n v="94892"/>
  </r>
  <r>
    <x v="3"/>
    <s v="004757-0"/>
    <s v="Bifrost Nordtoftevej 56c"/>
    <n v="5251"/>
    <m/>
    <s v="Bifrost"/>
    <x v="18"/>
    <x v="0"/>
    <x v="2"/>
    <n v="121531.83"/>
    <n v="3"/>
    <s v="2014-04-30"/>
    <n v="0"/>
    <n v="375"/>
    <n v="323.99847999999997"/>
    <n v="1"/>
    <x v="4"/>
    <x v="581"/>
    <n v="29306.240000000002"/>
    <n v="0"/>
    <s v="1203721"/>
    <s v="98004825483"/>
    <n v="11252.945739999999"/>
    <n v="0"/>
    <n v="56681"/>
  </r>
  <r>
    <x v="3"/>
    <s v="004757-0"/>
    <s v="Bifrost Nordtoftevej 56c"/>
    <n v="5251"/>
    <m/>
    <s v="Bifrost"/>
    <x v="18"/>
    <x v="0"/>
    <x v="2"/>
    <n v="102134.57"/>
    <n v="0"/>
    <s v="2014-05-19"/>
    <n v="0"/>
    <n v="375"/>
    <n v="272.28624300000001"/>
    <n v="1"/>
    <x v="4"/>
    <x v="582"/>
    <n v="23976.18"/>
    <n v="1"/>
    <s v="Kontrol"/>
    <m/>
    <n v="9456.9036500000002"/>
    <n v="0"/>
    <n v="94892"/>
  </r>
  <r>
    <x v="3"/>
    <s v="004757-0"/>
    <s v="Bifrost Nordtoftevej 56c"/>
    <n v="5251"/>
    <m/>
    <s v="Bifrost"/>
    <x v="18"/>
    <x v="0"/>
    <x v="3"/>
    <n v="49130.55"/>
    <n v="3"/>
    <s v="2014-04-30"/>
    <n v="0"/>
    <n v="375"/>
    <n v="130.979872"/>
    <n v="1"/>
    <x v="4"/>
    <x v="583"/>
    <n v="11937.81"/>
    <n v="0"/>
    <s v="1203721"/>
    <s v="98004825483"/>
    <n v="4549.1273499999998"/>
    <n v="0"/>
    <n v="56681"/>
  </r>
  <r>
    <x v="3"/>
    <s v="004757-0"/>
    <s v="Bifrost Nordtoftevej 56c"/>
    <n v="5251"/>
    <m/>
    <s v="Bifrost"/>
    <x v="18"/>
    <x v="0"/>
    <x v="3"/>
    <n v="95262.75"/>
    <n v="1"/>
    <s v="2014-05-19"/>
    <n v="0"/>
    <n v="375"/>
    <n v="253.966275"/>
    <n v="1"/>
    <x v="4"/>
    <x v="584"/>
    <n v="23612.7"/>
    <n v="1"/>
    <s v="Kontrol"/>
    <m/>
    <n v="8820.6249499999994"/>
    <n v="0"/>
    <n v="94892"/>
  </r>
  <r>
    <x v="3"/>
    <s v="004757-0"/>
    <s v="Bifrost Nordtoftevej 56c"/>
    <n v="5251"/>
    <m/>
    <s v="Bifrost"/>
    <x v="18"/>
    <x v="0"/>
    <x v="4"/>
    <n v="79859.55"/>
    <n v="1"/>
    <s v="2014-04-30"/>
    <n v="0"/>
    <n v="375"/>
    <n v="212.90202600000001"/>
    <n v="1"/>
    <x v="4"/>
    <x v="585"/>
    <n v="22242.04"/>
    <n v="0"/>
    <s v="1203721"/>
    <s v="98004825483"/>
    <n v="7394.4022000000004"/>
    <n v="0"/>
    <n v="56681"/>
  </r>
  <r>
    <x v="3"/>
    <s v="004757-0"/>
    <s v="Bifrost Nordtoftevej 56c"/>
    <n v="5251"/>
    <m/>
    <s v="Bifrost"/>
    <x v="18"/>
    <x v="0"/>
    <x v="4"/>
    <n v="79899.67"/>
    <n v="1"/>
    <s v="2014-05-19"/>
    <n v="0"/>
    <n v="375"/>
    <n v="213.008984"/>
    <n v="1"/>
    <x v="4"/>
    <x v="586"/>
    <n v="22299.97"/>
    <n v="1"/>
    <s v="Kontrol"/>
    <m/>
    <n v="7398.12086"/>
    <n v="0"/>
    <n v="94892"/>
  </r>
  <r>
    <x v="3"/>
    <s v="004757-0"/>
    <s v="Bifrost Nordtoftevej 56c"/>
    <n v="5251"/>
    <m/>
    <s v="Bifrost"/>
    <x v="18"/>
    <x v="0"/>
    <x v="5"/>
    <n v="78080.23"/>
    <n v="1"/>
    <s v="2014-04-30"/>
    <n v="0"/>
    <n v="375"/>
    <n v="208.15843699999999"/>
    <n v="1"/>
    <x v="4"/>
    <x v="587"/>
    <n v="23778.799999999999"/>
    <n v="0"/>
    <s v="1203721"/>
    <s v="98004825483"/>
    <n v="7229.6479399999998"/>
    <n v="0"/>
    <n v="56681"/>
  </r>
  <r>
    <x v="3"/>
    <s v="004757-0"/>
    <s v="Bifrost Nordtoftevej 56c"/>
    <n v="5251"/>
    <m/>
    <s v="Bifrost"/>
    <x v="18"/>
    <x v="0"/>
    <x v="5"/>
    <n v="77666.149999999994"/>
    <n v="1"/>
    <s v="2014-05-19"/>
    <n v="0"/>
    <n v="375"/>
    <n v="207.054518"/>
    <n v="1"/>
    <x v="4"/>
    <x v="588"/>
    <n v="23637.16"/>
    <n v="1"/>
    <s v="Kontrol"/>
    <m/>
    <n v="7191.3100899999999"/>
    <n v="0"/>
    <n v="94892"/>
  </r>
  <r>
    <x v="3"/>
    <s v="004757-0"/>
    <s v="Bifrost Nordtoftevej 56c"/>
    <n v="5251"/>
    <m/>
    <s v="Bifrost"/>
    <x v="18"/>
    <x v="0"/>
    <x v="6"/>
    <n v="89296.03"/>
    <n v="1"/>
    <s v="2014-04-30"/>
    <n v="0"/>
    <n v="375"/>
    <n v="238.05926400000001"/>
    <n v="1"/>
    <x v="4"/>
    <x v="589"/>
    <n v="23650.799999999999"/>
    <n v="0"/>
    <s v="1203721"/>
    <s v="98004825483"/>
    <n v="8268.1485799999991"/>
    <n v="0"/>
    <n v="56681"/>
  </r>
  <r>
    <x v="3"/>
    <s v="004757-0"/>
    <s v="Bifrost Nordtoftevej 56c"/>
    <n v="5251"/>
    <m/>
    <s v="Bifrost"/>
    <x v="18"/>
    <x v="0"/>
    <x v="6"/>
    <n v="82206.98"/>
    <n v="1"/>
    <s v="2014-05-19"/>
    <n v="0"/>
    <n v="375"/>
    <n v="219.16016999999999"/>
    <n v="1"/>
    <x v="4"/>
    <x v="590"/>
    <n v="21914.83"/>
    <n v="1"/>
    <s v="Kontrol"/>
    <m/>
    <n v="7611.75533"/>
    <n v="0"/>
    <n v="94892"/>
  </r>
  <r>
    <x v="3"/>
    <m/>
    <s v="Birkedal Børnehus, Kollekolle 75"/>
    <n v="9980"/>
    <m/>
    <s v="Birkedal Børnehus"/>
    <x v="14"/>
    <x v="0"/>
    <x v="0"/>
    <n v="128392"/>
    <n v="5"/>
    <m/>
    <n v="0"/>
    <n v="961"/>
    <n v="71.384871000000004"/>
    <n v="1"/>
    <x v="1"/>
    <x v="591"/>
    <n v="4915.2700000000004"/>
    <n v="0"/>
    <m/>
    <m/>
    <n v="68608.001000000004"/>
    <n v="0"/>
    <n v="93381"/>
  </r>
  <r>
    <x v="3"/>
    <m/>
    <s v="Birkedal Børnehus, Kollekolle 75"/>
    <n v="9980"/>
    <m/>
    <s v="Birkedal Børnehus"/>
    <x v="14"/>
    <x v="0"/>
    <x v="0"/>
    <n v="0"/>
    <n v="5"/>
    <s v="2010-10-31"/>
    <n v="0"/>
    <n v="961"/>
    <n v="0"/>
    <n v="1"/>
    <x v="4"/>
    <x v="1"/>
    <n v="0"/>
    <n v="0"/>
    <s v="NEDTAGET 3100633"/>
    <s v="98001314126"/>
    <n v="0"/>
    <n v="0"/>
    <n v="76422"/>
  </r>
  <r>
    <x v="3"/>
    <s v="03971-3"/>
    <s v="Farum Vejgård, Stavnsholtvej 170"/>
    <n v="5428"/>
    <m/>
    <s v="Farum Vejgård"/>
    <x v="28"/>
    <x v="0"/>
    <x v="7"/>
    <n v="17615.77"/>
    <n v="12"/>
    <s v="2005-05-01"/>
    <n v="0"/>
    <n v="679"/>
    <n v="25.939876000000002"/>
    <n v="2"/>
    <x v="2"/>
    <x v="592"/>
    <n v="7046.3"/>
    <n v="0"/>
    <s v="1019188"/>
    <m/>
    <n v="17615.766"/>
    <n v="0"/>
    <n v="57402"/>
  </r>
  <r>
    <x v="3"/>
    <s v="03971-3"/>
    <s v="Farum Vejgård, Stavnsholtvej 170"/>
    <n v="5428"/>
    <m/>
    <s v="Farum Vejgård"/>
    <x v="28"/>
    <x v="0"/>
    <x v="7"/>
    <n v="6295.43"/>
    <n v="12"/>
    <s v="2005-05-01"/>
    <n v="0"/>
    <n v="679"/>
    <n v="9.2702539999999996"/>
    <n v="2"/>
    <x v="2"/>
    <x v="593"/>
    <n v="2518.1799999999998"/>
    <n v="0"/>
    <s v="1004350 (1)"/>
    <m/>
    <n v="6295.43"/>
    <n v="0"/>
    <n v="57563"/>
  </r>
  <r>
    <x v="3"/>
    <m/>
    <s v="Birkedal Børnehus, Kollekolle 75"/>
    <n v="9980"/>
    <m/>
    <s v="Birkedal Børnehus"/>
    <x v="14"/>
    <x v="0"/>
    <x v="1"/>
    <n v="143436.5"/>
    <n v="12"/>
    <m/>
    <n v="0"/>
    <n v="961"/>
    <n v="149.24201400000001"/>
    <n v="1"/>
    <x v="1"/>
    <x v="594"/>
    <n v="9637.77"/>
    <n v="0"/>
    <m/>
    <m/>
    <n v="143436.5"/>
    <n v="0"/>
    <n v="93381"/>
  </r>
  <r>
    <x v="3"/>
    <m/>
    <s v="Birkedal Børnehus, Kollekolle 75"/>
    <n v="9980"/>
    <m/>
    <s v="Birkedal Børnehus"/>
    <x v="14"/>
    <x v="0"/>
    <x v="1"/>
    <n v="0"/>
    <n v="12"/>
    <s v="2010-10-31"/>
    <n v="0"/>
    <n v="961"/>
    <n v="0"/>
    <n v="1"/>
    <x v="4"/>
    <x v="1"/>
    <n v="0"/>
    <n v="0"/>
    <s v="NEDTAGET 3100633"/>
    <s v="98001314126"/>
    <n v="0"/>
    <n v="0"/>
    <n v="76422"/>
  </r>
  <r>
    <x v="3"/>
    <m/>
    <s v="Birkedal Børnehus, Kollekolle 75"/>
    <n v="9980"/>
    <m/>
    <s v="Birkedal Børnehus"/>
    <x v="14"/>
    <x v="0"/>
    <x v="2"/>
    <n v="122020.77"/>
    <n v="12"/>
    <s v="2010-10-31"/>
    <n v="0"/>
    <n v="961"/>
    <n v="126.95949400000001"/>
    <n v="1"/>
    <x v="4"/>
    <x v="595"/>
    <n v="28420.61"/>
    <n v="0"/>
    <s v="NEDTAGET 3100633"/>
    <s v="98001314126"/>
    <n v="11298.22"/>
    <n v="0"/>
    <n v="76422"/>
  </r>
  <r>
    <x v="3"/>
    <m/>
    <s v="Birkedal Børnehus, Kollekolle 75"/>
    <n v="9980"/>
    <m/>
    <s v="Birkedal Børnehus"/>
    <x v="14"/>
    <x v="0"/>
    <x v="2"/>
    <n v="32242"/>
    <n v="2"/>
    <m/>
    <n v="0"/>
    <n v="961"/>
    <n v="33.546976999999998"/>
    <n v="1"/>
    <x v="1"/>
    <x v="596"/>
    <n v="2021.88"/>
    <n v="0"/>
    <m/>
    <m/>
    <n v="32242"/>
    <n v="0"/>
    <n v="93381"/>
  </r>
  <r>
    <x v="3"/>
    <m/>
    <s v="Birkedal Børnehus, Kollekolle 75"/>
    <n v="9980"/>
    <m/>
    <s v="Birkedal Børnehus"/>
    <x v="14"/>
    <x v="0"/>
    <x v="3"/>
    <n v="170714.29"/>
    <n v="12"/>
    <s v="2010-10-31"/>
    <n v="0"/>
    <n v="961"/>
    <n v="177.62385800000001"/>
    <n v="1"/>
    <x v="4"/>
    <x v="597"/>
    <n v="39746.57"/>
    <n v="0"/>
    <s v="NEDTAGET 3100633"/>
    <s v="98001314126"/>
    <n v="15806.88"/>
    <n v="0"/>
    <n v="76422"/>
  </r>
  <r>
    <x v="3"/>
    <m/>
    <s v="Birkedal Børnehus, Kollekolle 75"/>
    <n v="9980"/>
    <m/>
    <s v="Birkedal Børnehus"/>
    <x v="14"/>
    <x v="0"/>
    <x v="4"/>
    <n v="211147.95"/>
    <n v="6"/>
    <s v="2010-10-31"/>
    <n v="0"/>
    <n v="961"/>
    <n v="219.69404800000001"/>
    <n v="1"/>
    <x v="4"/>
    <x v="598"/>
    <n v="47122.04"/>
    <n v="0"/>
    <s v="NEDTAGET 3100633"/>
    <s v="98001314126"/>
    <n v="19550.736440000001"/>
    <n v="0"/>
    <n v="76422"/>
  </r>
  <r>
    <x v="3"/>
    <m/>
    <s v="Birkedal Børnehus, Kollekolle 75"/>
    <n v="9980"/>
    <m/>
    <s v="Birkedal Børnehus"/>
    <x v="14"/>
    <x v="0"/>
    <x v="5"/>
    <n v="149074.48000000001"/>
    <n v="7"/>
    <s v="2010-10-31"/>
    <n v="0"/>
    <n v="961"/>
    <n v="155.10818800000001"/>
    <n v="1"/>
    <x v="4"/>
    <x v="599"/>
    <n v="36258.949999999997"/>
    <n v="0"/>
    <s v="NEDTAGET 3100633"/>
    <s v="98001314126"/>
    <n v="13803.19356"/>
    <n v="0"/>
    <n v="76422"/>
  </r>
  <r>
    <x v="3"/>
    <m/>
    <s v="Birkedal Børnehus, Kollekolle 75"/>
    <n v="9980"/>
    <m/>
    <s v="Birkedal Børnehus"/>
    <x v="14"/>
    <x v="0"/>
    <x v="6"/>
    <n v="183372.55"/>
    <n v="5"/>
    <s v="2010-10-31"/>
    <n v="0"/>
    <n v="961"/>
    <n v="190.794454"/>
    <n v="1"/>
    <x v="4"/>
    <x v="600"/>
    <n v="46113.73"/>
    <n v="0"/>
    <s v="NEDTAGET 3100633"/>
    <s v="98001314126"/>
    <n v="16978.9375"/>
    <n v="0"/>
    <n v="76422"/>
  </r>
  <r>
    <x v="3"/>
    <s v="???"/>
    <s v="Birkhøj (Valmuen)"/>
    <n v="5278"/>
    <m/>
    <s v="Birkhøj (Valmuen)"/>
    <x v="19"/>
    <x v="0"/>
    <x v="0"/>
    <n v="54169"/>
    <n v="5"/>
    <s v="2005-09-30"/>
    <n v="0"/>
    <n v="760"/>
    <n v="40.122351999999999"/>
    <n v="1"/>
    <x v="1"/>
    <x v="601"/>
    <n v="6343015.4500000002"/>
    <n v="0"/>
    <s v="4813498"/>
    <m/>
    <n v="30497"/>
    <n v="0"/>
    <n v="56874"/>
  </r>
  <r>
    <x v="3"/>
    <s v="???"/>
    <s v="Birkhøj (Valmuen)"/>
    <n v="5278"/>
    <m/>
    <s v="Birkhøj (Valmuen)"/>
    <x v="19"/>
    <x v="1"/>
    <x v="0"/>
    <n v="64058.75"/>
    <n v="5"/>
    <s v="2005-09-30"/>
    <n v="0"/>
    <n v="760"/>
    <n v="84.276739000000006"/>
    <n v="1"/>
    <x v="3"/>
    <x v="602"/>
    <n v="373365.69"/>
    <n v="1"/>
    <s v="4813498"/>
    <m/>
    <n v="1836.02"/>
    <n v="0"/>
    <n v="56994"/>
  </r>
  <r>
    <x v="8"/>
    <m/>
    <s v="Palægården Poppel Alle 19"/>
    <n v="10238"/>
    <m/>
    <s v="Miniklub"/>
    <x v="51"/>
    <x v="0"/>
    <x v="7"/>
    <n v="15340.32"/>
    <n v="12"/>
    <s v="2010-10-31"/>
    <n v="0"/>
    <n v="0"/>
    <n v="153403.20000000001"/>
    <n v="1"/>
    <x v="4"/>
    <x v="603"/>
    <n v="355.99"/>
    <n v="0"/>
    <s v="176901/96"/>
    <s v="98004884589"/>
    <n v="1420.4"/>
    <n v="0"/>
    <n v="77528"/>
  </r>
  <r>
    <x v="3"/>
    <s v="???"/>
    <s v="Birkhøj (Valmuen)"/>
    <n v="5278"/>
    <m/>
    <s v="Birkhøj (Valmuen)"/>
    <x v="19"/>
    <x v="0"/>
    <x v="1"/>
    <n v="61179"/>
    <n v="12"/>
    <s v="2005-09-30"/>
    <n v="0"/>
    <n v="760"/>
    <n v="80.488093000000006"/>
    <n v="1"/>
    <x v="1"/>
    <x v="604"/>
    <n v="12050.86"/>
    <n v="0"/>
    <s v="4813498"/>
    <m/>
    <n v="61179"/>
    <n v="0"/>
    <n v="56874"/>
  </r>
  <r>
    <x v="3"/>
    <s v="???"/>
    <s v="Birkhøj (Valmuen)"/>
    <n v="5278"/>
    <m/>
    <s v="Birkhøj (Valmuen)"/>
    <x v="19"/>
    <x v="1"/>
    <x v="1"/>
    <n v="149574.10999999999"/>
    <n v="12"/>
    <s v="2005-09-30"/>
    <n v="0"/>
    <n v="760"/>
    <n v="196.78214700000001"/>
    <n v="1"/>
    <x v="3"/>
    <x v="605"/>
    <n v="890.79"/>
    <n v="1"/>
    <s v="4813498"/>
    <m/>
    <n v="4287.0200000000004"/>
    <n v="0"/>
    <n v="56994"/>
  </r>
  <r>
    <x v="3"/>
    <s v="???"/>
    <s v="Birkhøj (Valmuen)"/>
    <n v="5278"/>
    <m/>
    <s v="Birkhøj (Valmuen)"/>
    <x v="19"/>
    <x v="0"/>
    <x v="2"/>
    <n v="58697"/>
    <n v="12"/>
    <s v="2005-09-30"/>
    <n v="0"/>
    <n v="760"/>
    <n v="77.222733000000005"/>
    <n v="1"/>
    <x v="1"/>
    <x v="606"/>
    <n v="11270.73"/>
    <n v="0"/>
    <s v="4813498"/>
    <m/>
    <n v="58697"/>
    <n v="0"/>
    <n v="56874"/>
  </r>
  <r>
    <x v="3"/>
    <s v="???"/>
    <s v="Birkhøj (Valmuen)"/>
    <n v="5278"/>
    <m/>
    <s v="Birkhøj (Valmuen)"/>
    <x v="19"/>
    <x v="1"/>
    <x v="2"/>
    <n v="122467.39"/>
    <n v="12"/>
    <s v="2005-09-30"/>
    <n v="0"/>
    <n v="760"/>
    <n v="161.120102"/>
    <n v="1"/>
    <x v="3"/>
    <x v="607"/>
    <n v="683.62"/>
    <n v="1"/>
    <s v="4813498"/>
    <m/>
    <n v="3510.1"/>
    <n v="0"/>
    <n v="56994"/>
  </r>
  <r>
    <x v="3"/>
    <s v="???"/>
    <s v="Birkhøj (Valmuen)"/>
    <n v="5278"/>
    <m/>
    <s v="Birkhøj (Valmuen)"/>
    <x v="19"/>
    <x v="0"/>
    <x v="3"/>
    <n v="54662"/>
    <n v="12"/>
    <s v="2005-09-30"/>
    <n v="0"/>
    <n v="760"/>
    <n v="71.914220999999998"/>
    <n v="1"/>
    <x v="1"/>
    <x v="608"/>
    <n v="10887.94"/>
    <n v="0"/>
    <s v="4813498"/>
    <m/>
    <n v="54662"/>
    <n v="0"/>
    <n v="56874"/>
  </r>
  <r>
    <x v="3"/>
    <s v="???"/>
    <s v="Birkhøj (Valmuen)"/>
    <n v="5278"/>
    <m/>
    <s v="Birkhøj (Valmuen)"/>
    <x v="19"/>
    <x v="1"/>
    <x v="3"/>
    <n v="146237.6"/>
    <n v="12"/>
    <s v="2005-09-30"/>
    <n v="0"/>
    <n v="760"/>
    <n v="192.39257900000001"/>
    <n v="1"/>
    <x v="3"/>
    <x v="609"/>
    <n v="832.48"/>
    <n v="1"/>
    <s v="4813498"/>
    <m/>
    <n v="4191.3900000000003"/>
    <n v="0"/>
    <n v="56994"/>
  </r>
  <r>
    <x v="3"/>
    <s v="???"/>
    <s v="Birkhøj (Valmuen)"/>
    <n v="5278"/>
    <m/>
    <s v="Birkhøj (Valmuen)"/>
    <x v="19"/>
    <x v="0"/>
    <x v="4"/>
    <n v="68160"/>
    <n v="12"/>
    <s v="2005-09-30"/>
    <n v="0"/>
    <n v="760"/>
    <n v="89.672410999999997"/>
    <n v="1"/>
    <x v="1"/>
    <x v="610"/>
    <n v="11461.95"/>
    <n v="0"/>
    <s v="4813498"/>
    <m/>
    <n v="68160"/>
    <n v="0"/>
    <n v="56874"/>
  </r>
  <r>
    <x v="3"/>
    <s v="???"/>
    <s v="Birkhøj (Valmuen)"/>
    <n v="5278"/>
    <m/>
    <s v="Birkhøj (Valmuen)"/>
    <x v="19"/>
    <x v="1"/>
    <x v="4"/>
    <n v="128615.71"/>
    <n v="12"/>
    <s v="2005-09-30"/>
    <n v="0"/>
    <n v="760"/>
    <n v="169.208933"/>
    <n v="1"/>
    <x v="3"/>
    <x v="611"/>
    <n v="628.14"/>
    <n v="1"/>
    <s v="4813498"/>
    <m/>
    <n v="3686.32"/>
    <n v="0"/>
    <n v="56994"/>
  </r>
  <r>
    <x v="3"/>
    <s v="???"/>
    <s v="Birkhøj (Valmuen)"/>
    <n v="5278"/>
    <m/>
    <s v="Birkhøj (Valmuen)"/>
    <x v="19"/>
    <x v="0"/>
    <x v="5"/>
    <n v="54494"/>
    <n v="12"/>
    <s v="2005-09-30"/>
    <n v="0"/>
    <n v="760"/>
    <n v="71.693197999999995"/>
    <n v="1"/>
    <x v="1"/>
    <x v="612"/>
    <n v="10546.07"/>
    <n v="0"/>
    <s v="4813498"/>
    <m/>
    <n v="54494"/>
    <n v="0"/>
    <n v="56874"/>
  </r>
  <r>
    <x v="3"/>
    <s v="???"/>
    <s v="Birkhøj (Valmuen)"/>
    <n v="5278"/>
    <m/>
    <s v="Birkhøj (Valmuen)"/>
    <x v="19"/>
    <x v="1"/>
    <x v="5"/>
    <n v="91812.69"/>
    <n v="12"/>
    <s v="2005-09-30"/>
    <n v="0"/>
    <n v="760"/>
    <n v="120.790277"/>
    <n v="1"/>
    <x v="3"/>
    <x v="613"/>
    <n v="530.69000000000005"/>
    <n v="1"/>
    <s v="4813498"/>
    <m/>
    <n v="2631.49"/>
    <n v="0"/>
    <n v="56994"/>
  </r>
  <r>
    <x v="3"/>
    <s v="???"/>
    <s v="Birkhøj (Valmuen)"/>
    <n v="5278"/>
    <m/>
    <s v="Birkhøj (Valmuen)"/>
    <x v="19"/>
    <x v="0"/>
    <x v="6"/>
    <n v="42005"/>
    <n v="12"/>
    <s v="2005-09-30"/>
    <n v="0"/>
    <n v="760"/>
    <n v="55.262464999999999"/>
    <n v="1"/>
    <x v="1"/>
    <x v="614"/>
    <n v="8792.49"/>
    <n v="0"/>
    <s v="4813498"/>
    <m/>
    <n v="42005"/>
    <n v="0"/>
    <n v="56874"/>
  </r>
  <r>
    <x v="3"/>
    <s v="???"/>
    <s v="Birkhøj (Valmuen)"/>
    <n v="5278"/>
    <m/>
    <s v="Birkhøj (Valmuen)"/>
    <x v="19"/>
    <x v="1"/>
    <x v="6"/>
    <n v="68805.52"/>
    <n v="12"/>
    <s v="2005-09-30"/>
    <n v="0"/>
    <n v="760"/>
    <n v="90.521668000000005"/>
    <n v="1"/>
    <x v="3"/>
    <x v="615"/>
    <n v="431.36"/>
    <n v="1"/>
    <s v="4813498"/>
    <m/>
    <n v="1972.07"/>
    <n v="0"/>
    <n v="56994"/>
  </r>
  <r>
    <x v="3"/>
    <s v="03322-7"/>
    <s v="Brudedalen Legestue, Brudedalen 54-58"/>
    <n v="5276"/>
    <m/>
    <s v="Legestuen"/>
    <x v="20"/>
    <x v="0"/>
    <x v="0"/>
    <n v="42909"/>
    <n v="5"/>
    <s v="2005-10-03"/>
    <n v="0"/>
    <n v="284"/>
    <n v="81.901336999999998"/>
    <n v="1"/>
    <x v="4"/>
    <x v="616"/>
    <n v="5522.17"/>
    <n v="0"/>
    <s v="1153166"/>
    <m/>
    <n v="2154.46"/>
    <n v="0"/>
    <n v="56862"/>
  </r>
  <r>
    <x v="3"/>
    <s v="03322-7"/>
    <s v="Brudedalen Legestue, Brudedalen 54-58"/>
    <n v="5276"/>
    <m/>
    <s v="Legestuen"/>
    <x v="20"/>
    <x v="0"/>
    <x v="1"/>
    <n v="45184.29"/>
    <n v="12"/>
    <s v="2005-10-03"/>
    <n v="0"/>
    <n v="284"/>
    <n v="159.043611"/>
    <n v="1"/>
    <x v="4"/>
    <x v="617"/>
    <n v="10025.58"/>
    <n v="0"/>
    <s v="1153166"/>
    <m/>
    <n v="4183.7299999999996"/>
    <n v="0"/>
    <n v="56862"/>
  </r>
  <r>
    <x v="3"/>
    <s v="03322-7"/>
    <s v="Brudedalen Legestue, Brudedalen 54-58"/>
    <n v="5276"/>
    <m/>
    <s v="Legestuen"/>
    <x v="20"/>
    <x v="0"/>
    <x v="2"/>
    <n v="49078.78"/>
    <n v="12"/>
    <s v="2005-10-03"/>
    <n v="0"/>
    <n v="284"/>
    <n v="172.751777"/>
    <n v="1"/>
    <x v="4"/>
    <x v="618"/>
    <n v="10941.94"/>
    <n v="0"/>
    <s v="1153166"/>
    <m/>
    <n v="4544.33"/>
    <n v="0"/>
    <n v="56862"/>
  </r>
  <r>
    <x v="3"/>
    <s v="03322-7"/>
    <s v="Brudedalen Legestue, Brudedalen 54-58"/>
    <n v="5276"/>
    <m/>
    <s v="Legestuen"/>
    <x v="20"/>
    <x v="0"/>
    <x v="3"/>
    <n v="47592.45"/>
    <n v="12"/>
    <s v="2005-10-03"/>
    <n v="0"/>
    <n v="284"/>
    <n v="167.52006299999999"/>
    <n v="1"/>
    <x v="4"/>
    <x v="619"/>
    <n v="11021.14"/>
    <n v="0"/>
    <s v="1153166"/>
    <m/>
    <n v="4406.71"/>
    <n v="0"/>
    <n v="56862"/>
  </r>
  <r>
    <x v="3"/>
    <s v="03322-7"/>
    <s v="Brudedalen Legestue, Brudedalen 54-58"/>
    <n v="5276"/>
    <m/>
    <s v="Legestuen"/>
    <x v="20"/>
    <x v="0"/>
    <x v="4"/>
    <n v="51607.81"/>
    <n v="12"/>
    <s v="2005-10-03"/>
    <n v="0"/>
    <n v="284"/>
    <n v="181.65367800000001"/>
    <n v="1"/>
    <x v="4"/>
    <x v="620"/>
    <n v="9907.07"/>
    <n v="0"/>
    <s v="1153166"/>
    <m/>
    <n v="4778.5"/>
    <n v="0"/>
    <n v="56862"/>
  </r>
  <r>
    <x v="3"/>
    <s v="03322-7"/>
    <s v="Brudedalen Legestue, Brudedalen 54-58"/>
    <n v="5276"/>
    <m/>
    <s v="Legestuen"/>
    <x v="20"/>
    <x v="0"/>
    <x v="5"/>
    <n v="47704.14"/>
    <n v="12"/>
    <s v="2005-10-03"/>
    <n v="0"/>
    <n v="284"/>
    <n v="167.91319899999999"/>
    <n v="1"/>
    <x v="4"/>
    <x v="621"/>
    <n v="10738.8"/>
    <n v="0"/>
    <s v="1153166"/>
    <m/>
    <n v="4417.05"/>
    <n v="0"/>
    <n v="56862"/>
  </r>
  <r>
    <x v="3"/>
    <s v="03322-7"/>
    <s v="Brudedalen Legestue, Brudedalen 54-58"/>
    <n v="5276"/>
    <m/>
    <s v="Legestuen"/>
    <x v="20"/>
    <x v="0"/>
    <x v="6"/>
    <n v="48384.33"/>
    <n v="12"/>
    <s v="2005-10-03"/>
    <n v="0"/>
    <n v="284"/>
    <n v="170.307391"/>
    <n v="1"/>
    <x v="4"/>
    <x v="622"/>
    <n v="11643.63"/>
    <n v="0"/>
    <s v="1153166"/>
    <m/>
    <n v="4480.03"/>
    <n v="0"/>
    <n v="56862"/>
  </r>
  <r>
    <x v="3"/>
    <m/>
    <s v="Bøgely Ravnehusvej 20"/>
    <n v="9970"/>
    <m/>
    <s v="Bøgely"/>
    <x v="21"/>
    <x v="0"/>
    <x v="0"/>
    <n v="85341"/>
    <n v="5"/>
    <s v="2010-10-31"/>
    <n v="0"/>
    <n v="864"/>
    <n v="56.520401999999997"/>
    <n v="1"/>
    <x v="6"/>
    <x v="623"/>
    <n v="11166.12"/>
    <n v="0"/>
    <s v="1503037"/>
    <s v="98003479854"/>
    <n v="4360.6499999999996"/>
    <n v="0"/>
    <n v="76389"/>
  </r>
  <r>
    <x v="3"/>
    <s v="00005-1"/>
    <s v="Farumsødal"/>
    <n v="5262"/>
    <m/>
    <s v="Farumsødal"/>
    <x v="29"/>
    <x v="0"/>
    <x v="7"/>
    <n v="550.15"/>
    <n v="12"/>
    <s v="2012-01-25"/>
    <n v="0"/>
    <n v="874"/>
    <n v="0.62939000000000001"/>
    <n v="3"/>
    <x v="0"/>
    <x v="624"/>
    <n v="440.11"/>
    <n v="0"/>
    <s v="06202446"/>
    <m/>
    <n v="550.13699999999994"/>
    <n v="0"/>
    <n v="56739"/>
  </r>
  <r>
    <x v="3"/>
    <m/>
    <s v="Bøgely Ravnehusvej 20"/>
    <n v="9970"/>
    <m/>
    <s v="Bøgely"/>
    <x v="21"/>
    <x v="0"/>
    <x v="1"/>
    <n v="88422.77"/>
    <n v="12"/>
    <s v="2010-10-31"/>
    <n v="0"/>
    <n v="864"/>
    <n v="102.329325"/>
    <n v="1"/>
    <x v="6"/>
    <x v="625"/>
    <n v="18967.55"/>
    <n v="0"/>
    <s v="1503037"/>
    <s v="98003479854"/>
    <n v="7894.89"/>
    <n v="0"/>
    <n v="76389"/>
  </r>
  <r>
    <x v="3"/>
    <m/>
    <s v="Bøgely Ravnehusvej 20"/>
    <n v="9970"/>
    <m/>
    <s v="Bøgely"/>
    <x v="21"/>
    <x v="0"/>
    <x v="2"/>
    <n v="96278.02"/>
    <n v="12"/>
    <s v="2010-10-31"/>
    <n v="0"/>
    <n v="796"/>
    <n v="120.937093"/>
    <n v="1"/>
    <x v="6"/>
    <x v="626"/>
    <n v="20657.39"/>
    <n v="0"/>
    <s v="1503037"/>
    <s v="98003479854"/>
    <n v="8596.25"/>
    <n v="0"/>
    <n v="76389"/>
  </r>
  <r>
    <x v="3"/>
    <m/>
    <s v="Bøgely Ravnehusvej 20"/>
    <n v="9970"/>
    <m/>
    <s v="Bøgely"/>
    <x v="21"/>
    <x v="0"/>
    <x v="3"/>
    <n v="93820.71"/>
    <n v="12"/>
    <s v="2010-10-31"/>
    <n v="0"/>
    <n v="774"/>
    <n v="121.19972799999999"/>
    <n v="1"/>
    <x v="6"/>
    <x v="627"/>
    <n v="20974.04"/>
    <n v="0"/>
    <s v="1503037"/>
    <s v="98003479854"/>
    <n v="8376.85"/>
    <n v="0"/>
    <n v="76389"/>
  </r>
  <r>
    <x v="3"/>
    <m/>
    <s v="Bøgely Ravnehusvej 20"/>
    <n v="9970"/>
    <m/>
    <s v="Bøgely"/>
    <x v="21"/>
    <x v="0"/>
    <x v="4"/>
    <n v="112439.13"/>
    <n v="10"/>
    <s v="2010-10-31"/>
    <n v="0"/>
    <n v="774"/>
    <n v="145.25142700000001"/>
    <n v="1"/>
    <x v="6"/>
    <x v="628"/>
    <n v="21218.38"/>
    <n v="0"/>
    <s v="1503037"/>
    <s v="98003479854"/>
    <n v="10039.207119999999"/>
    <n v="0"/>
    <n v="76389"/>
  </r>
  <r>
    <x v="3"/>
    <m/>
    <s v="Bøgely Ravnehusvej 20"/>
    <n v="9970"/>
    <m/>
    <s v="Bøgely"/>
    <x v="21"/>
    <x v="0"/>
    <x v="5"/>
    <n v="111555.51"/>
    <n v="10"/>
    <s v="2010-10-31"/>
    <n v="0"/>
    <n v="774"/>
    <n v="144.10994700000001"/>
    <n v="1"/>
    <x v="6"/>
    <x v="629"/>
    <n v="26019.33"/>
    <n v="0"/>
    <s v="1503037"/>
    <s v="98003479854"/>
    <n v="9960.3131400000002"/>
    <n v="0"/>
    <n v="76389"/>
  </r>
  <r>
    <x v="3"/>
    <m/>
    <s v="Bøgely Ravnehusvej 20"/>
    <n v="9970"/>
    <m/>
    <s v="Bøgely"/>
    <x v="21"/>
    <x v="0"/>
    <x v="6"/>
    <n v="89635.83"/>
    <n v="7"/>
    <s v="2010-10-31"/>
    <n v="0"/>
    <n v="774"/>
    <n v="115.793605"/>
    <n v="1"/>
    <x v="6"/>
    <x v="630"/>
    <n v="20721.62"/>
    <n v="0"/>
    <s v="1503037"/>
    <s v="98003479854"/>
    <n v="8003.20046"/>
    <n v="0"/>
    <n v="76389"/>
  </r>
  <r>
    <x v="3"/>
    <s v="02558-5"/>
    <s v="Børnehusene Ryttergårdsvej 100 - 102"/>
    <n v="5252"/>
    <m/>
    <s v="Børnehusene Ryttergårdsvej 100 - 102"/>
    <x v="22"/>
    <x v="0"/>
    <x v="0"/>
    <n v="75411"/>
    <n v="5"/>
    <s v="2005-09-01"/>
    <n v="0"/>
    <n v="752"/>
    <n v="58.800691"/>
    <n v="1"/>
    <x v="1"/>
    <x v="631"/>
    <n v="9223162.0500000007"/>
    <n v="0"/>
    <s v="4824612"/>
    <m/>
    <n v="44224"/>
    <n v="0"/>
    <n v="56688"/>
  </r>
  <r>
    <x v="3"/>
    <s v="02558-5"/>
    <s v="Børnehusene Ryttergårdsvej 100 - 102"/>
    <n v="5252"/>
    <m/>
    <s v="Børnehusene Ryttergårdsvej 100 - 102"/>
    <x v="22"/>
    <x v="1"/>
    <x v="0"/>
    <n v="36214.080000000002"/>
    <n v="5"/>
    <s v="2005-09-01"/>
    <n v="0"/>
    <n v="752"/>
    <n v="48.150618000000001"/>
    <n v="1"/>
    <x v="3"/>
    <x v="632"/>
    <n v="216977.07"/>
    <n v="1"/>
    <s v="4824612"/>
    <m/>
    <n v="1037.95"/>
    <n v="0"/>
    <n v="56995"/>
  </r>
  <r>
    <x v="3"/>
    <s v="00005-1"/>
    <s v="Farumsødal"/>
    <n v="5262"/>
    <m/>
    <s v="Farumsødal"/>
    <x v="29"/>
    <x v="0"/>
    <x v="7"/>
    <n v="84000"/>
    <n v="12"/>
    <m/>
    <n v="0"/>
    <n v="874"/>
    <n v="72.074133000000003"/>
    <n v="1"/>
    <x v="1"/>
    <x v="633"/>
    <n v="2935067.66"/>
    <n v="0"/>
    <s v="Nr. ???"/>
    <m/>
    <n v="63000"/>
    <n v="0"/>
    <n v="56738"/>
  </r>
  <r>
    <x v="3"/>
    <s v="00005-1"/>
    <s v="Farumsødal"/>
    <n v="5262"/>
    <m/>
    <s v="Farumsødal"/>
    <x v="29"/>
    <x v="0"/>
    <x v="7"/>
    <n v="7224.8"/>
    <n v="12"/>
    <s v="2012-01-22"/>
    <n v="0"/>
    <n v="874"/>
    <n v="8.2654150000000008"/>
    <n v="2"/>
    <x v="2"/>
    <x v="634"/>
    <n v="2889.93"/>
    <n v="0"/>
    <s v="1019281 nr. 2"/>
    <s v="74112646756"/>
    <n v="7224.8119999999999"/>
    <n v="0"/>
    <n v="56759"/>
  </r>
  <r>
    <x v="3"/>
    <s v="02558-5"/>
    <s v="Børnehusene Ryttergårdsvej 100 - 102"/>
    <n v="5252"/>
    <m/>
    <s v="Børnehusene Ryttergårdsvej 100 - 102"/>
    <x v="22"/>
    <x v="0"/>
    <x v="1"/>
    <n v="89896"/>
    <n v="12"/>
    <s v="2005-09-01"/>
    <n v="0"/>
    <n v="752"/>
    <n v="119.526658"/>
    <n v="1"/>
    <x v="1"/>
    <x v="635"/>
    <n v="17382.919999999998"/>
    <n v="0"/>
    <s v="4824612"/>
    <m/>
    <n v="89896"/>
    <n v="0"/>
    <n v="56688"/>
  </r>
  <r>
    <x v="3"/>
    <s v="02558-5"/>
    <s v="Børnehusene Ryttergårdsvej 100 - 102"/>
    <n v="5252"/>
    <m/>
    <s v="Børnehusene Ryttergårdsvej 100 - 102"/>
    <x v="22"/>
    <x v="1"/>
    <x v="1"/>
    <n v="115503.35"/>
    <n v="12"/>
    <s v="2005-09-01"/>
    <n v="0"/>
    <n v="752"/>
    <n v="153.57445799999999"/>
    <n v="1"/>
    <x v="3"/>
    <x v="636"/>
    <n v="744.72"/>
    <n v="1"/>
    <s v="4824612"/>
    <m/>
    <n v="3310.5"/>
    <n v="0"/>
    <n v="56995"/>
  </r>
  <r>
    <x v="3"/>
    <s v="02558-5"/>
    <s v="Børnehusene Ryttergårdsvej 100 - 102"/>
    <n v="5252"/>
    <m/>
    <s v="Børnehusene Ryttergårdsvej 100 - 102"/>
    <x v="22"/>
    <x v="0"/>
    <x v="2"/>
    <n v="82264"/>
    <n v="12"/>
    <s v="2005-09-01"/>
    <n v="0"/>
    <n v="752"/>
    <n v="109.379071"/>
    <n v="1"/>
    <x v="1"/>
    <x v="637"/>
    <n v="15984.73"/>
    <n v="0"/>
    <s v="4824612"/>
    <m/>
    <n v="82264"/>
    <n v="0"/>
    <n v="56688"/>
  </r>
  <r>
    <x v="3"/>
    <s v="02558-5"/>
    <s v="Børnehusene Ryttergårdsvej 100 - 102"/>
    <n v="5252"/>
    <m/>
    <s v="Børnehusene Ryttergårdsvej 100 - 102"/>
    <x v="22"/>
    <x v="1"/>
    <x v="2"/>
    <n v="67110.91"/>
    <n v="12"/>
    <s v="2005-09-01"/>
    <n v="0"/>
    <n v="752"/>
    <n v="89.231364999999997"/>
    <n v="1"/>
    <x v="3"/>
    <x v="638"/>
    <n v="369.76"/>
    <n v="1"/>
    <s v="4824612"/>
    <m/>
    <n v="1923.5000299999999"/>
    <n v="0"/>
    <n v="56995"/>
  </r>
  <r>
    <x v="3"/>
    <s v="02558-5"/>
    <s v="Børnehusene Ryttergårdsvej 100 - 102"/>
    <n v="5252"/>
    <m/>
    <s v="Børnehusene Ryttergårdsvej 100 - 102"/>
    <x v="22"/>
    <x v="0"/>
    <x v="3"/>
    <n v="81811.5"/>
    <n v="12"/>
    <s v="2005-09-01"/>
    <n v="0"/>
    <n v="752"/>
    <n v="108.777423"/>
    <n v="1"/>
    <x v="1"/>
    <x v="639"/>
    <n v="16448.05"/>
    <n v="0"/>
    <s v="4824612"/>
    <m/>
    <n v="81811.5"/>
    <n v="0"/>
    <n v="56688"/>
  </r>
  <r>
    <x v="3"/>
    <s v="02558-5"/>
    <s v="Børnehusene Ryttergårdsvej 100 - 102"/>
    <n v="5252"/>
    <m/>
    <s v="Børnehusene Ryttergårdsvej 100 - 102"/>
    <x v="22"/>
    <x v="1"/>
    <x v="3"/>
    <n v="80148.97"/>
    <n v="12"/>
    <s v="2005-09-01"/>
    <n v="0"/>
    <n v="752"/>
    <n v="106.56690500000001"/>
    <n v="1"/>
    <x v="3"/>
    <x v="640"/>
    <n v="450.87"/>
    <n v="1"/>
    <s v="4824612"/>
    <m/>
    <n v="2297.19"/>
    <n v="0"/>
    <n v="56995"/>
  </r>
  <r>
    <x v="3"/>
    <s v="02558-5"/>
    <s v="Børnehusene Ryttergårdsvej 100 - 102"/>
    <n v="5252"/>
    <m/>
    <s v="Børnehusene Ryttergårdsvej 100 - 102"/>
    <x v="22"/>
    <x v="0"/>
    <x v="4"/>
    <n v="102172.5"/>
    <n v="12"/>
    <s v="2005-09-01"/>
    <n v="0"/>
    <n v="752"/>
    <n v="135.84962100000001"/>
    <n v="1"/>
    <x v="1"/>
    <x v="641"/>
    <n v="17259.09"/>
    <n v="0"/>
    <s v="4824612"/>
    <m/>
    <n v="102172.5"/>
    <n v="0"/>
    <n v="56688"/>
  </r>
  <r>
    <x v="3"/>
    <s v="02558-5"/>
    <s v="Børnehusene Ryttergårdsvej 100 - 102"/>
    <n v="5252"/>
    <m/>
    <s v="Børnehusene Ryttergårdsvej 100 - 102"/>
    <x v="22"/>
    <x v="1"/>
    <x v="4"/>
    <n v="88428.71"/>
    <n v="12"/>
    <s v="2005-09-01"/>
    <n v="0"/>
    <n v="752"/>
    <n v="117.575734"/>
    <n v="1"/>
    <x v="3"/>
    <x v="642"/>
    <n v="427.49"/>
    <n v="1"/>
    <s v="4824612"/>
    <m/>
    <n v="2534.5"/>
    <n v="0"/>
    <n v="56995"/>
  </r>
  <r>
    <x v="3"/>
    <s v="02558-5"/>
    <s v="Børnehusene Ryttergårdsvej 100 - 102"/>
    <n v="5252"/>
    <m/>
    <s v="Børnehusene Ryttergårdsvej 100 - 102"/>
    <x v="22"/>
    <x v="0"/>
    <x v="5"/>
    <n v="89614"/>
    <n v="12"/>
    <s v="2005-09-01"/>
    <n v="0"/>
    <n v="752"/>
    <n v="119.151708"/>
    <n v="1"/>
    <x v="1"/>
    <x v="643"/>
    <n v="17717.07"/>
    <n v="0"/>
    <s v="4824612"/>
    <m/>
    <n v="89614"/>
    <n v="0"/>
    <n v="56688"/>
  </r>
  <r>
    <x v="3"/>
    <s v="02558-5"/>
    <s v="Børnehusene Ryttergårdsvej 100 - 102"/>
    <n v="5252"/>
    <m/>
    <s v="Børnehusene Ryttergårdsvej 100 - 102"/>
    <x v="22"/>
    <x v="1"/>
    <x v="5"/>
    <n v="76805.45"/>
    <n v="12"/>
    <s v="2005-09-01"/>
    <n v="0"/>
    <n v="752"/>
    <n v="102.121326"/>
    <n v="1"/>
    <x v="3"/>
    <x v="644"/>
    <n v="432.99"/>
    <n v="1"/>
    <s v="4824612"/>
    <m/>
    <n v="2201.36"/>
    <n v="0"/>
    <n v="56995"/>
  </r>
  <r>
    <x v="3"/>
    <s v="02558-5"/>
    <s v="Børnehusene Ryttergårdsvej 100 - 102"/>
    <n v="5252"/>
    <m/>
    <s v="Børnehusene Ryttergårdsvej 100 - 102"/>
    <x v="22"/>
    <x v="0"/>
    <x v="6"/>
    <n v="81558"/>
    <n v="12"/>
    <s v="2005-09-01"/>
    <n v="0"/>
    <n v="752"/>
    <n v="108.440366"/>
    <n v="1"/>
    <x v="1"/>
    <x v="645"/>
    <n v="17161.91"/>
    <n v="0"/>
    <s v="4824612"/>
    <m/>
    <n v="81558"/>
    <n v="0"/>
    <n v="56688"/>
  </r>
  <r>
    <x v="3"/>
    <s v="02558-5"/>
    <s v="Børnehusene Ryttergårdsvej 100 - 102"/>
    <n v="5252"/>
    <m/>
    <s v="Børnehusene Ryttergårdsvej 100 - 102"/>
    <x v="22"/>
    <x v="1"/>
    <x v="6"/>
    <n v="68228.789999999994"/>
    <n v="12"/>
    <s v="2005-09-01"/>
    <n v="0"/>
    <n v="752"/>
    <n v="90.717709999999997"/>
    <n v="1"/>
    <x v="3"/>
    <x v="646"/>
    <n v="409.33"/>
    <n v="1"/>
    <s v="4824612"/>
    <m/>
    <n v="1955.54"/>
    <n v="0"/>
    <n v="56995"/>
  </r>
  <r>
    <x v="3"/>
    <m/>
    <s v="Børnehuset Åkanden / Skovbo Skovbovænget 75"/>
    <n v="9977"/>
    <m/>
    <s v="Åkanden/Skovbo"/>
    <x v="23"/>
    <x v="0"/>
    <x v="0"/>
    <n v="48244"/>
    <n v="5"/>
    <s v="2010-09-30"/>
    <n v="0"/>
    <n v="487"/>
    <n v="54.552576000000002"/>
    <n v="1"/>
    <x v="6"/>
    <x v="647"/>
    <n v="6116.31"/>
    <n v="0"/>
    <s v="1170668"/>
    <s v="98004724939"/>
    <n v="2372.5500000000002"/>
    <n v="0"/>
    <n v="76406"/>
  </r>
  <r>
    <x v="3"/>
    <s v="00005-1"/>
    <s v="Farumsødal"/>
    <n v="5262"/>
    <m/>
    <s v="Farumsødal"/>
    <x v="29"/>
    <x v="0"/>
    <x v="7"/>
    <n v="11185"/>
    <n v="12"/>
    <s v="2005-04-30"/>
    <n v="0"/>
    <n v="874"/>
    <n v="12.796018"/>
    <n v="2"/>
    <x v="2"/>
    <x v="648"/>
    <n v="4474.0200000000004"/>
    <n v="0"/>
    <s v="072049 nr 1"/>
    <s v="74112646763"/>
    <n v="11185.0041"/>
    <n v="0"/>
    <n v="56737"/>
  </r>
  <r>
    <x v="3"/>
    <m/>
    <s v="Børnehuset Åkanden / Skovbo Skovbovænget 75"/>
    <n v="9977"/>
    <m/>
    <s v="Åkanden/Skovbo"/>
    <x v="23"/>
    <x v="0"/>
    <x v="1"/>
    <n v="58476.97"/>
    <n v="12"/>
    <s v="2010-09-30"/>
    <n v="0"/>
    <n v="487"/>
    <n v="120.05126199999999"/>
    <n v="1"/>
    <x v="6"/>
    <x v="649"/>
    <n v="12723.33"/>
    <n v="0"/>
    <s v="1170668"/>
    <s v="98004724939"/>
    <n v="5221.16"/>
    <n v="0"/>
    <n v="76406"/>
  </r>
  <r>
    <x v="3"/>
    <m/>
    <s v="Børnehuset Åkanden / Skovbo Skovbovænget 75"/>
    <n v="9977"/>
    <m/>
    <s v="Åkanden/Skovbo"/>
    <x v="23"/>
    <x v="0"/>
    <x v="2"/>
    <n v="54554.52"/>
    <n v="12"/>
    <s v="2010-09-30"/>
    <n v="0"/>
    <n v="487"/>
    <n v="111.998603"/>
    <n v="1"/>
    <x v="6"/>
    <x v="650"/>
    <n v="11653.69"/>
    <n v="0"/>
    <s v="1170668"/>
    <s v="98004724939"/>
    <n v="4870.9399999999996"/>
    <n v="0"/>
    <n v="76406"/>
  </r>
  <r>
    <x v="3"/>
    <m/>
    <s v="Børnehuset Åkanden / Skovbo Skovbovænget 75"/>
    <n v="9977"/>
    <m/>
    <s v="Åkanden/Skovbo"/>
    <x v="23"/>
    <x v="0"/>
    <x v="3"/>
    <n v="57742.62"/>
    <n v="12"/>
    <s v="2010-09-30"/>
    <n v="0"/>
    <n v="487"/>
    <n v="118.543666"/>
    <n v="1"/>
    <x v="6"/>
    <x v="651"/>
    <n v="12856.89"/>
    <n v="0"/>
    <s v="1170668"/>
    <s v="98004724939"/>
    <n v="5155.59"/>
    <n v="0"/>
    <n v="76406"/>
  </r>
  <r>
    <x v="3"/>
    <m/>
    <s v="Børnehuset Åkanden / Skovbo Skovbovænget 75"/>
    <n v="9977"/>
    <m/>
    <s v="Åkanden/Skovbo"/>
    <x v="23"/>
    <x v="0"/>
    <x v="4"/>
    <n v="58016.56"/>
    <n v="6"/>
    <s v="2010-09-30"/>
    <n v="0"/>
    <n v="487"/>
    <n v="119.106056"/>
    <n v="1"/>
    <x v="6"/>
    <x v="652"/>
    <n v="11600.55"/>
    <n v="0"/>
    <s v="1170668"/>
    <s v="98004724939"/>
    <n v="5180.05026"/>
    <n v="0"/>
    <n v="76406"/>
  </r>
  <r>
    <x v="3"/>
    <m/>
    <s v="Børnehuset Åkanden / Skovbo Skovbovænget 75"/>
    <n v="9977"/>
    <m/>
    <s v="Åkanden/Skovbo"/>
    <x v="23"/>
    <x v="0"/>
    <x v="5"/>
    <n v="65161.13"/>
    <n v="5"/>
    <s v="2010-09-30"/>
    <n v="0"/>
    <n v="487"/>
    <n v="133.773619"/>
    <n v="1"/>
    <x v="6"/>
    <x v="653"/>
    <n v="18114.32"/>
    <n v="0"/>
    <s v="1170668"/>
    <s v="98004724939"/>
    <n v="5817.9585800000004"/>
    <n v="0"/>
    <n v="76406"/>
  </r>
  <r>
    <x v="3"/>
    <m/>
    <s v="Børnehuset Åkanden / Skovbo Skovbovænget 75"/>
    <n v="9977"/>
    <m/>
    <s v="Åkanden/Skovbo"/>
    <x v="23"/>
    <x v="0"/>
    <x v="6"/>
    <n v="69646.789999999994"/>
    <n v="9"/>
    <s v="2010-09-30"/>
    <n v="0"/>
    <n v="487"/>
    <n v="142.982529"/>
    <n v="1"/>
    <x v="6"/>
    <x v="654"/>
    <n v="16158.28"/>
    <n v="0"/>
    <s v="1170668"/>
    <s v="98004724939"/>
    <n v="6218.4643400000004"/>
    <n v="0"/>
    <n v="76406"/>
  </r>
  <r>
    <x v="3"/>
    <m/>
    <s v="Dalgården, Dalsø 107-109"/>
    <n v="10018"/>
    <m/>
    <s v="Dalgården"/>
    <x v="24"/>
    <x v="0"/>
    <x v="0"/>
    <n v="95813"/>
    <n v="5"/>
    <s v="2014-02-28"/>
    <n v="0"/>
    <n v="838"/>
    <n v="70.209401999999997"/>
    <n v="1"/>
    <x v="4"/>
    <x v="655"/>
    <n v="14087.91"/>
    <n v="0"/>
    <m/>
    <s v="98003447822"/>
    <n v="5448.38"/>
    <n v="0"/>
    <n v="76530"/>
  </r>
  <r>
    <x v="3"/>
    <s v="00005-1"/>
    <s v="Farumsødal"/>
    <n v="5262"/>
    <m/>
    <s v="Farumsødal"/>
    <x v="29"/>
    <x v="1"/>
    <x v="7"/>
    <n v="200369.78"/>
    <n v="12"/>
    <m/>
    <n v="0"/>
    <n v="874"/>
    <n v="229.22981300000001"/>
    <n v="1"/>
    <x v="3"/>
    <x v="656"/>
    <n v="286065.23"/>
    <n v="1"/>
    <s v="Nr. ???"/>
    <m/>
    <n v="5742.9"/>
    <n v="0"/>
    <n v="56997"/>
  </r>
  <r>
    <x v="3"/>
    <m/>
    <s v="Dalgården, Dalsø 107-109"/>
    <n v="10018"/>
    <m/>
    <s v="Dalgården"/>
    <x v="24"/>
    <x v="0"/>
    <x v="1"/>
    <n v="121317.87"/>
    <n v="3"/>
    <s v="2014-02-28"/>
    <n v="0"/>
    <n v="838"/>
    <n v="144.753454"/>
    <n v="1"/>
    <x v="4"/>
    <x v="657"/>
    <n v="36733.31"/>
    <n v="0"/>
    <m/>
    <s v="98003447822"/>
    <n v="11233.134330000001"/>
    <n v="0"/>
    <n v="76530"/>
  </r>
  <r>
    <x v="3"/>
    <m/>
    <s v="Dalgården, Dalsø 107-109"/>
    <n v="10018"/>
    <m/>
    <s v="Dalgården"/>
    <x v="24"/>
    <x v="0"/>
    <x v="2"/>
    <n v="111918.94"/>
    <n v="2"/>
    <s v="2014-02-28"/>
    <n v="0"/>
    <n v="838"/>
    <n v="133.53888499999999"/>
    <n v="1"/>
    <x v="4"/>
    <x v="658"/>
    <n v="26271.74"/>
    <n v="0"/>
    <m/>
    <s v="98003447822"/>
    <n v="10362.865680000001"/>
    <n v="0"/>
    <n v="76530"/>
  </r>
  <r>
    <x v="3"/>
    <m/>
    <s v="Dalgården, Dalsø 107-109"/>
    <n v="10018"/>
    <m/>
    <s v="Dalgården"/>
    <x v="24"/>
    <x v="0"/>
    <x v="3"/>
    <n v="117013.17"/>
    <n v="1"/>
    <s v="2014-02-28"/>
    <n v="0"/>
    <n v="838"/>
    <n v="139.61719299999999"/>
    <n v="1"/>
    <x v="4"/>
    <x v="659"/>
    <n v="28918.75"/>
    <n v="0"/>
    <m/>
    <s v="98003447822"/>
    <n v="10834.553980000001"/>
    <n v="0"/>
    <n v="76530"/>
  </r>
  <r>
    <x v="3"/>
    <m/>
    <s v="Dalgården, Dalsø 107-109"/>
    <n v="10018"/>
    <m/>
    <s v="Dalgården"/>
    <x v="24"/>
    <x v="0"/>
    <x v="4"/>
    <n v="107652.92"/>
    <n v="4"/>
    <s v="2014-02-28"/>
    <n v="0"/>
    <n v="838"/>
    <n v="128.44877600000001"/>
    <n v="1"/>
    <x v="4"/>
    <x v="660"/>
    <n v="22881.82"/>
    <n v="0"/>
    <m/>
    <s v="98003447822"/>
    <n v="9967.8613800000003"/>
    <n v="0"/>
    <n v="76530"/>
  </r>
  <r>
    <x v="3"/>
    <m/>
    <s v="Dalgården, Dalsø 107-109"/>
    <n v="10018"/>
    <m/>
    <s v="Dalgården"/>
    <x v="24"/>
    <x v="0"/>
    <x v="5"/>
    <n v="126630.93"/>
    <n v="3"/>
    <s v="2014-02-28"/>
    <n v="0"/>
    <n v="838"/>
    <n v="151.09286399999999"/>
    <n v="1"/>
    <x v="4"/>
    <x v="661"/>
    <n v="36992.660000000003"/>
    <n v="0"/>
    <m/>
    <s v="98003447822"/>
    <n v="11725.084639999999"/>
    <n v="0"/>
    <n v="76530"/>
  </r>
  <r>
    <x v="3"/>
    <m/>
    <s v="Dalgården, Dalsø 107-109"/>
    <n v="10018"/>
    <m/>
    <s v="Dalgården"/>
    <x v="24"/>
    <x v="0"/>
    <x v="6"/>
    <n v="123695.84"/>
    <n v="5"/>
    <s v="2014-02-28"/>
    <n v="0"/>
    <n v="838"/>
    <n v="147.590788"/>
    <n v="1"/>
    <x v="4"/>
    <x v="662"/>
    <n v="30525.200000000001"/>
    <n v="0"/>
    <m/>
    <s v="98003447822"/>
    <n v="11453.320009999999"/>
    <n v="0"/>
    <n v="76530"/>
  </r>
  <r>
    <x v="3"/>
    <s v="04730-9"/>
    <s v="Drivhuset Hvilebæksgårdsvej 17"/>
    <n v="5486"/>
    <m/>
    <s v="Drivhuset"/>
    <x v="25"/>
    <x v="0"/>
    <x v="0"/>
    <n v="37453"/>
    <n v="5"/>
    <s v="2005-05-01"/>
    <n v="0"/>
    <n v="417"/>
    <n v="52.093023000000002"/>
    <n v="1"/>
    <x v="1"/>
    <x v="663"/>
    <n v="4512481.1500000004"/>
    <n v="0"/>
    <s v="4824615"/>
    <m/>
    <n v="21728"/>
    <n v="0"/>
    <n v="57986"/>
  </r>
  <r>
    <x v="3"/>
    <s v="04730-9"/>
    <s v="Drivhuset Hvilebæksgårdsvej 17"/>
    <n v="5486"/>
    <m/>
    <s v="Drivhuset"/>
    <x v="25"/>
    <x v="1"/>
    <x v="0"/>
    <n v="17340.34"/>
    <n v="5"/>
    <m/>
    <n v="0"/>
    <n v="417"/>
    <n v="41.573579000000002"/>
    <n v="1"/>
    <x v="3"/>
    <x v="664"/>
    <n v="103022.52"/>
    <n v="1"/>
    <s v="4824615"/>
    <m/>
    <n v="497"/>
    <n v="0"/>
    <n v="57988"/>
  </r>
  <r>
    <x v="3"/>
    <s v="04730-9"/>
    <s v="Drivhuset Hvilebæksgårdsvej 17"/>
    <n v="5486"/>
    <m/>
    <s v="Drivhuset"/>
    <x v="25"/>
    <x v="1"/>
    <x v="1"/>
    <n v="28671.21"/>
    <n v="12"/>
    <m/>
    <n v="0"/>
    <n v="417"/>
    <n v="68.739414999999994"/>
    <n v="1"/>
    <x v="3"/>
    <x v="665"/>
    <n v="158.63999999999999"/>
    <n v="1"/>
    <s v="4824615"/>
    <m/>
    <n v="821.76"/>
    <n v="0"/>
    <n v="57988"/>
  </r>
  <r>
    <x v="3"/>
    <s v="04730-9"/>
    <s v="Drivhuset Hvilebæksgårdsvej 17"/>
    <n v="5486"/>
    <m/>
    <s v="Drivhuset"/>
    <x v="25"/>
    <x v="0"/>
    <x v="1"/>
    <n v="38396"/>
    <n v="12"/>
    <s v="2005-05-01"/>
    <n v="0"/>
    <n v="417"/>
    <n v="92.054663000000005"/>
    <n v="1"/>
    <x v="1"/>
    <x v="666"/>
    <n v="7410.98"/>
    <n v="0"/>
    <s v="4824615"/>
    <m/>
    <n v="38396"/>
    <n v="0"/>
    <n v="57986"/>
  </r>
  <r>
    <x v="3"/>
    <s v="04730-9"/>
    <s v="Drivhuset Hvilebæksgårdsvej 17"/>
    <n v="5486"/>
    <m/>
    <s v="Drivhuset"/>
    <x v="25"/>
    <x v="0"/>
    <x v="2"/>
    <n v="40280"/>
    <n v="12"/>
    <s v="2005-05-01"/>
    <n v="0"/>
    <n v="417"/>
    <n v="96.571565000000007"/>
    <n v="1"/>
    <x v="1"/>
    <x v="667"/>
    <n v="7819.85"/>
    <n v="0"/>
    <s v="4824615"/>
    <m/>
    <n v="40280"/>
    <n v="0"/>
    <n v="57986"/>
  </r>
  <r>
    <x v="3"/>
    <s v="04730-9"/>
    <s v="Drivhuset Hvilebæksgårdsvej 17"/>
    <n v="5486"/>
    <m/>
    <s v="Drivhuset"/>
    <x v="25"/>
    <x v="1"/>
    <x v="2"/>
    <n v="34332.46"/>
    <n v="12"/>
    <m/>
    <n v="0"/>
    <n v="417"/>
    <n v="82.312298999999996"/>
    <n v="1"/>
    <x v="3"/>
    <x v="668"/>
    <n v="190.48"/>
    <n v="1"/>
    <s v="4824615"/>
    <m/>
    <n v="984.01999000000001"/>
    <n v="0"/>
    <n v="57988"/>
  </r>
  <r>
    <x v="3"/>
    <s v="04730-9"/>
    <s v="Drivhuset Hvilebæksgårdsvej 17"/>
    <n v="5486"/>
    <m/>
    <s v="Drivhuset"/>
    <x v="25"/>
    <x v="0"/>
    <x v="3"/>
    <n v="38159"/>
    <n v="12"/>
    <s v="2005-05-01"/>
    <n v="0"/>
    <n v="417"/>
    <n v="91.486453999999995"/>
    <n v="1"/>
    <x v="1"/>
    <x v="669"/>
    <n v="7658.58"/>
    <n v="0"/>
    <s v="4824615"/>
    <m/>
    <n v="38159"/>
    <n v="0"/>
    <n v="57986"/>
  </r>
  <r>
    <x v="3"/>
    <s v="04730-9"/>
    <s v="Drivhuset Hvilebæksgårdsvej 17"/>
    <n v="5486"/>
    <m/>
    <s v="Drivhuset"/>
    <x v="25"/>
    <x v="1"/>
    <x v="3"/>
    <n v="31893.98"/>
    <n v="12"/>
    <m/>
    <n v="0"/>
    <n v="417"/>
    <n v="76.466026999999997"/>
    <n v="1"/>
    <x v="3"/>
    <x v="670"/>
    <n v="182.84"/>
    <n v="1"/>
    <s v="4824615"/>
    <m/>
    <n v="914.13"/>
    <n v="0"/>
    <n v="57988"/>
  </r>
  <r>
    <x v="3"/>
    <s v="04730-9"/>
    <s v="Drivhuset Hvilebæksgårdsvej 17"/>
    <n v="5486"/>
    <m/>
    <s v="Drivhuset"/>
    <x v="25"/>
    <x v="0"/>
    <x v="4"/>
    <n v="45976"/>
    <n v="12"/>
    <s v="2005-05-01"/>
    <n v="0"/>
    <n v="417"/>
    <n v="110.227763"/>
    <n v="1"/>
    <x v="1"/>
    <x v="671"/>
    <n v="7780.13"/>
    <n v="0"/>
    <s v="4824615"/>
    <m/>
    <n v="45976"/>
    <n v="0"/>
    <n v="57986"/>
  </r>
  <r>
    <x v="3"/>
    <s v="04730-9"/>
    <s v="Drivhuset Hvilebæksgårdsvej 17"/>
    <n v="5486"/>
    <m/>
    <s v="Drivhuset"/>
    <x v="25"/>
    <x v="1"/>
    <x v="4"/>
    <n v="37869.599999999999"/>
    <n v="12"/>
    <m/>
    <n v="0"/>
    <n v="417"/>
    <n v="90.792614999999998"/>
    <n v="1"/>
    <x v="3"/>
    <x v="672"/>
    <n v="182.75"/>
    <n v="1"/>
    <s v="4824615"/>
    <m/>
    <n v="1085.4000000000001"/>
    <n v="0"/>
    <n v="57988"/>
  </r>
  <r>
    <x v="3"/>
    <s v="04730-9"/>
    <s v="Drivhuset Hvilebæksgårdsvej 17"/>
    <n v="5486"/>
    <m/>
    <s v="Drivhuset"/>
    <x v="25"/>
    <x v="1"/>
    <x v="5"/>
    <n v="33123.51"/>
    <n v="12"/>
    <m/>
    <n v="0"/>
    <n v="417"/>
    <n v="79.413832999999997"/>
    <n v="1"/>
    <x v="3"/>
    <x v="673"/>
    <n v="186.39"/>
    <n v="1"/>
    <s v="4824615"/>
    <m/>
    <n v="949.37"/>
    <n v="0"/>
    <n v="57988"/>
  </r>
  <r>
    <x v="3"/>
    <s v="04730-9"/>
    <s v="Drivhuset Hvilebæksgårdsvej 17"/>
    <n v="5486"/>
    <m/>
    <s v="Drivhuset"/>
    <x v="25"/>
    <x v="0"/>
    <x v="5"/>
    <n v="38847"/>
    <n v="12"/>
    <s v="2005-05-01"/>
    <n v="0"/>
    <n v="417"/>
    <n v="93.135937999999996"/>
    <n v="1"/>
    <x v="1"/>
    <x v="674"/>
    <n v="7641.74"/>
    <n v="0"/>
    <s v="4824615"/>
    <m/>
    <n v="38847"/>
    <n v="0"/>
    <n v="57986"/>
  </r>
  <r>
    <x v="3"/>
    <s v="04730-9"/>
    <s v="Drivhuset Hvilebæksgårdsvej 17"/>
    <n v="5486"/>
    <m/>
    <s v="Drivhuset"/>
    <x v="25"/>
    <x v="0"/>
    <x v="6"/>
    <n v="37473"/>
    <n v="12"/>
    <s v="2005-05-01"/>
    <n v="0"/>
    <n v="417"/>
    <n v="89.841763999999998"/>
    <n v="1"/>
    <x v="1"/>
    <x v="675"/>
    <n v="7868.66"/>
    <n v="0"/>
    <s v="4824615"/>
    <m/>
    <n v="37473"/>
    <n v="0"/>
    <n v="57986"/>
  </r>
  <r>
    <x v="3"/>
    <s v="04730-9"/>
    <s v="Drivhuset Hvilebæksgårdsvej 17"/>
    <n v="5486"/>
    <m/>
    <s v="Drivhuset"/>
    <x v="25"/>
    <x v="1"/>
    <x v="6"/>
    <n v="31264.58"/>
    <n v="12"/>
    <m/>
    <n v="0"/>
    <n v="417"/>
    <n v="74.957036000000002"/>
    <n v="1"/>
    <x v="3"/>
    <x v="676"/>
    <n v="187.68"/>
    <n v="1"/>
    <s v="4824615"/>
    <m/>
    <n v="896.09"/>
    <n v="0"/>
    <n v="57988"/>
  </r>
  <r>
    <x v="3"/>
    <m/>
    <s v="Espebo Børnecenter"/>
    <n v="10058"/>
    <m/>
    <s v="Espebo Børnecenter"/>
    <x v="26"/>
    <x v="0"/>
    <x v="0"/>
    <n v="57355"/>
    <n v="5"/>
    <s v="2012-08-01"/>
    <n v="0"/>
    <n v="692"/>
    <n v="50.411790000000003"/>
    <n v="1"/>
    <x v="1"/>
    <x v="677"/>
    <n v="2523.31"/>
    <n v="0"/>
    <s v="7260018"/>
    <m/>
    <n v="34890"/>
    <n v="0"/>
    <n v="76686"/>
  </r>
  <r>
    <x v="3"/>
    <m/>
    <s v="Espebo Børnecenter"/>
    <n v="10058"/>
    <m/>
    <s v="Espebo Børnecenter"/>
    <x v="26"/>
    <x v="0"/>
    <x v="1"/>
    <n v="66610"/>
    <n v="12"/>
    <s v="2012-08-01"/>
    <n v="0"/>
    <n v="692"/>
    <n v="96.243317000000005"/>
    <n v="1"/>
    <x v="1"/>
    <x v="678"/>
    <n v="4449.04"/>
    <n v="0"/>
    <s v="7260018"/>
    <m/>
    <n v="66610"/>
    <n v="0"/>
    <n v="76686"/>
  </r>
  <r>
    <x v="3"/>
    <m/>
    <s v="Espebo Børnecenter"/>
    <n v="10058"/>
    <m/>
    <s v="Espebo Børnecenter"/>
    <x v="26"/>
    <x v="0"/>
    <x v="2"/>
    <n v="85356.76"/>
    <n v="7"/>
    <s v="2012-08-01"/>
    <n v="0"/>
    <n v="692"/>
    <n v="123.330096"/>
    <n v="1"/>
    <x v="1"/>
    <x v="679"/>
    <n v="16372.43"/>
    <n v="0"/>
    <s v="7260018"/>
    <m/>
    <n v="85356.769539999994"/>
    <n v="0"/>
    <n v="76686"/>
  </r>
  <r>
    <x v="3"/>
    <m/>
    <s v="Espebo Børnecenter"/>
    <n v="10058"/>
    <m/>
    <s v="Espebo Børnecenter"/>
    <x v="26"/>
    <x v="0"/>
    <x v="3"/>
    <n v="66438.23"/>
    <n v="12"/>
    <s v="2012-08-01"/>
    <n v="0"/>
    <n v="692"/>
    <n v="95.995130000000003"/>
    <n v="1"/>
    <x v="1"/>
    <x v="680"/>
    <n v="13330.86"/>
    <n v="0"/>
    <s v="7260018"/>
    <m/>
    <n v="66438.230450000003"/>
    <n v="0"/>
    <n v="76686"/>
  </r>
  <r>
    <x v="3"/>
    <m/>
    <s v="Espebo Børnecenter"/>
    <n v="10058"/>
    <m/>
    <s v="Espebo Børnecenter"/>
    <x v="26"/>
    <x v="0"/>
    <x v="4"/>
    <n v="71531.58"/>
    <n v="5"/>
    <s v="2012-08-01"/>
    <n v="0"/>
    <n v="692"/>
    <n v="103.354399"/>
    <n v="1"/>
    <x v="1"/>
    <x v="681"/>
    <n v="12065.2"/>
    <n v="0"/>
    <s v="7260018"/>
    <m/>
    <n v="71531.577529999995"/>
    <n v="0"/>
    <n v="76686"/>
  </r>
  <r>
    <x v="3"/>
    <m/>
    <s v="Espebo Børnecenter"/>
    <n v="10058"/>
    <m/>
    <s v="Espebo Børnecenter"/>
    <x v="26"/>
    <x v="0"/>
    <x v="5"/>
    <n v="73294.289999999994"/>
    <n v="4"/>
    <s v="2012-08-01"/>
    <n v="0"/>
    <n v="692"/>
    <n v="105.90130000000001"/>
    <n v="1"/>
    <x v="1"/>
    <x v="682"/>
    <n v="17076.97"/>
    <n v="0"/>
    <s v="7260018"/>
    <m/>
    <n v="73294.286540000001"/>
    <n v="0"/>
    <n v="76686"/>
  </r>
  <r>
    <x v="3"/>
    <m/>
    <s v="Espebo Børnecenter"/>
    <n v="10058"/>
    <m/>
    <s v="Espebo Børnecenter"/>
    <x v="26"/>
    <x v="0"/>
    <x v="6"/>
    <n v="64822"/>
    <n v="4"/>
    <s v="2012-08-01"/>
    <n v="0"/>
    <n v="692"/>
    <n v="93.659875"/>
    <n v="1"/>
    <x v="1"/>
    <x v="683"/>
    <n v="13898.82"/>
    <n v="0"/>
    <s v="7260018"/>
    <m/>
    <n v="64821.995929999997"/>
    <n v="0"/>
    <n v="76686"/>
  </r>
  <r>
    <x v="3"/>
    <s v="03971-3"/>
    <s v="Farum Vejgård, Stavnsholtvej 170"/>
    <n v="5428"/>
    <m/>
    <s v="Farum Vejgård"/>
    <x v="28"/>
    <x v="0"/>
    <x v="0"/>
    <n v="107438"/>
    <n v="5"/>
    <s v="2006-03-15"/>
    <n v="0"/>
    <n v="679"/>
    <n v="91.926432000000005"/>
    <n v="1"/>
    <x v="4"/>
    <x v="684"/>
    <n v="14866.72"/>
    <n v="0"/>
    <s v="1204444"/>
    <s v="98001985524"/>
    <n v="5780.3"/>
    <n v="0"/>
    <n v="57403"/>
  </r>
  <r>
    <x v="3"/>
    <s v="03971-3"/>
    <s v="Farum Vejgård, Stavnsholtvej 170"/>
    <n v="5428"/>
    <m/>
    <s v="Farum Vejgård"/>
    <x v="28"/>
    <x v="0"/>
    <x v="1"/>
    <n v="136911.82"/>
    <n v="12"/>
    <s v="2006-03-15"/>
    <n v="0"/>
    <n v="679"/>
    <n v="201.60774499999999"/>
    <n v="1"/>
    <x v="4"/>
    <x v="685"/>
    <n v="30240.52"/>
    <n v="0"/>
    <s v="1204444"/>
    <s v="98001985524"/>
    <n v="12677.02"/>
    <n v="0"/>
    <n v="57403"/>
  </r>
  <r>
    <x v="3"/>
    <s v="03971-3"/>
    <s v="Farum Vejgård, Stavnsholtvej 170"/>
    <n v="5428"/>
    <m/>
    <s v="Farum Vejgård"/>
    <x v="28"/>
    <x v="0"/>
    <x v="2"/>
    <n v="145074.03"/>
    <n v="12"/>
    <s v="2006-03-15"/>
    <n v="0"/>
    <n v="679"/>
    <n v="213.626903"/>
    <n v="1"/>
    <x v="4"/>
    <x v="686"/>
    <n v="32279.23"/>
    <n v="0"/>
    <s v="1204444"/>
    <s v="98001985524"/>
    <n v="13432.78"/>
    <n v="0"/>
    <n v="57403"/>
  </r>
  <r>
    <x v="3"/>
    <s v="03971-3"/>
    <s v="Farum Vejgård, Stavnsholtvej 170"/>
    <n v="5428"/>
    <m/>
    <s v="Farum Vejgård"/>
    <x v="28"/>
    <x v="0"/>
    <x v="3"/>
    <n v="142132.87"/>
    <n v="12"/>
    <s v="2006-03-15"/>
    <n v="0"/>
    <n v="679"/>
    <n v="209.29593499999999"/>
    <n v="1"/>
    <x v="4"/>
    <x v="687"/>
    <n v="33050.230000000003"/>
    <n v="0"/>
    <s v="1204444"/>
    <s v="98001985524"/>
    <n v="13160.45"/>
    <n v="0"/>
    <n v="57403"/>
  </r>
  <r>
    <x v="3"/>
    <s v="03971-3"/>
    <s v="Farum Vejgård, Stavnsholtvej 170"/>
    <n v="5428"/>
    <m/>
    <s v="Farum Vejgård"/>
    <x v="28"/>
    <x v="0"/>
    <x v="4"/>
    <n v="164258.17000000001"/>
    <n v="12"/>
    <s v="2006-03-15"/>
    <n v="0"/>
    <n v="679"/>
    <n v="241.876262"/>
    <n v="1"/>
    <x v="4"/>
    <x v="688"/>
    <n v="31812.799999999999"/>
    <n v="0"/>
    <s v="1204444"/>
    <s v="98001985524"/>
    <n v="15209.09"/>
    <n v="0"/>
    <n v="57403"/>
  </r>
  <r>
    <x v="3"/>
    <s v="03971-3"/>
    <s v="Farum Vejgård, Stavnsholtvej 170"/>
    <n v="5428"/>
    <m/>
    <s v="Farum Vejgård"/>
    <x v="28"/>
    <x v="0"/>
    <x v="5"/>
    <n v="138080.16"/>
    <n v="12"/>
    <s v="2006-03-15"/>
    <n v="0"/>
    <n v="679"/>
    <n v="203.328169"/>
    <n v="1"/>
    <x v="4"/>
    <x v="689"/>
    <n v="31768.62"/>
    <n v="0"/>
    <s v="1204444"/>
    <s v="98001985524"/>
    <n v="12785.2"/>
    <n v="0"/>
    <n v="57403"/>
  </r>
  <r>
    <x v="3"/>
    <s v="03971-3"/>
    <s v="Farum Vejgård, Stavnsholtvej 170"/>
    <n v="5428"/>
    <m/>
    <s v="Farum Vejgård"/>
    <x v="28"/>
    <x v="0"/>
    <x v="6"/>
    <n v="132190.35999999999"/>
    <n v="12"/>
    <s v="2006-03-15"/>
    <n v="0"/>
    <n v="679"/>
    <n v="194.65522000000001"/>
    <n v="1"/>
    <x v="4"/>
    <x v="690"/>
    <n v="32101.22"/>
    <n v="0"/>
    <s v="1204444"/>
    <s v="98001985524"/>
    <n v="12239.85"/>
    <n v="0"/>
    <n v="57403"/>
  </r>
  <r>
    <x v="3"/>
    <s v="00005-1"/>
    <s v="Farumsødal"/>
    <n v="5262"/>
    <m/>
    <s v="Farumsødal"/>
    <x v="29"/>
    <x v="0"/>
    <x v="0"/>
    <n v="103594"/>
    <n v="5"/>
    <m/>
    <n v="0"/>
    <n v="874"/>
    <n v="0"/>
    <n v="1"/>
    <x v="1"/>
    <x v="691"/>
    <n v="0"/>
    <n v="0"/>
    <s v="Nr. ???"/>
    <m/>
    <n v="0"/>
    <n v="0"/>
    <n v="56738"/>
  </r>
  <r>
    <x v="3"/>
    <s v="00005-1"/>
    <s v="Farumsødal"/>
    <n v="5262"/>
    <m/>
    <s v="Farumsødal"/>
    <x v="29"/>
    <x v="1"/>
    <x v="0"/>
    <n v="0"/>
    <n v="5"/>
    <m/>
    <n v="0"/>
    <n v="874"/>
    <n v="0"/>
    <n v="1"/>
    <x v="3"/>
    <x v="1"/>
    <n v="0"/>
    <n v="1"/>
    <s v="Nr. ???"/>
    <m/>
    <n v="0"/>
    <n v="0"/>
    <n v="56997"/>
  </r>
  <r>
    <x v="3"/>
    <s v="00005-1"/>
    <s v="Farumsødal"/>
    <n v="5262"/>
    <m/>
    <s v="Farumsødal"/>
    <x v="29"/>
    <x v="1"/>
    <x v="1"/>
    <n v="240451.42"/>
    <n v="12"/>
    <m/>
    <n v="0"/>
    <n v="874"/>
    <n v="275.084566"/>
    <n v="1"/>
    <x v="3"/>
    <x v="692"/>
    <n v="1346.8"/>
    <n v="1"/>
    <s v="Nr. ???"/>
    <m/>
    <n v="6891.7"/>
    <n v="0"/>
    <n v="56997"/>
  </r>
  <r>
    <x v="3"/>
    <s v="00005-1"/>
    <s v="Farumsødal"/>
    <n v="5262"/>
    <m/>
    <s v="Farumsødal"/>
    <x v="29"/>
    <x v="0"/>
    <x v="1"/>
    <n v="97180"/>
    <n v="12"/>
    <m/>
    <n v="0"/>
    <n v="874"/>
    <n v="111.17721"/>
    <n v="1"/>
    <x v="1"/>
    <x v="693"/>
    <n v="18680.22"/>
    <n v="0"/>
    <s v="Nr. ???"/>
    <m/>
    <n v="97180"/>
    <n v="0"/>
    <n v="56738"/>
  </r>
  <r>
    <x v="3"/>
    <s v="00005-1"/>
    <s v="Farumsødal"/>
    <n v="5262"/>
    <m/>
    <s v="Farumsødal"/>
    <x v="29"/>
    <x v="0"/>
    <x v="2"/>
    <n v="97550"/>
    <n v="12"/>
    <m/>
    <n v="0"/>
    <n v="874"/>
    <n v="111.600503"/>
    <n v="1"/>
    <x v="1"/>
    <x v="694"/>
    <n v="19054.599999999999"/>
    <n v="0"/>
    <s v="Nr. ???"/>
    <m/>
    <n v="97550"/>
    <n v="0"/>
    <n v="56738"/>
  </r>
  <r>
    <x v="3"/>
    <s v="00005-1"/>
    <s v="Farumsødal"/>
    <n v="5262"/>
    <m/>
    <s v="Farumsødal"/>
    <x v="29"/>
    <x v="1"/>
    <x v="2"/>
    <n v="247530.59"/>
    <n v="12"/>
    <m/>
    <n v="0"/>
    <n v="874"/>
    <n v="283.18337700000001"/>
    <n v="1"/>
    <x v="3"/>
    <x v="695"/>
    <n v="1384.75"/>
    <n v="1"/>
    <s v="Nr. ???"/>
    <m/>
    <n v="7094.6"/>
    <n v="0"/>
    <n v="56997"/>
  </r>
  <r>
    <x v="3"/>
    <s v="00005-1"/>
    <s v="Farumsødal"/>
    <n v="5262"/>
    <m/>
    <s v="Farumsødal"/>
    <x v="29"/>
    <x v="0"/>
    <x v="3"/>
    <n v="94420"/>
    <n v="12"/>
    <m/>
    <n v="0"/>
    <n v="874"/>
    <n v="108.019677"/>
    <n v="1"/>
    <x v="1"/>
    <x v="696"/>
    <n v="18978.77"/>
    <n v="0"/>
    <s v="Nr. ???"/>
    <m/>
    <n v="94420"/>
    <n v="0"/>
    <n v="56738"/>
  </r>
  <r>
    <x v="3"/>
    <s v="00005-1"/>
    <s v="Farumsødal"/>
    <n v="5262"/>
    <m/>
    <s v="Farumsødal"/>
    <x v="29"/>
    <x v="1"/>
    <x v="3"/>
    <n v="245018.52"/>
    <n v="12"/>
    <m/>
    <n v="0"/>
    <n v="874"/>
    <n v="280.309484"/>
    <n v="1"/>
    <x v="3"/>
    <x v="697"/>
    <n v="1425.87"/>
    <n v="1"/>
    <s v="Nr. ???"/>
    <m/>
    <n v="7022.6"/>
    <n v="0"/>
    <n v="56997"/>
  </r>
  <r>
    <x v="3"/>
    <s v="00005-1"/>
    <s v="Farumsødal"/>
    <n v="5262"/>
    <m/>
    <s v="Farumsødal"/>
    <x v="29"/>
    <x v="0"/>
    <x v="4"/>
    <n v="110630"/>
    <n v="12"/>
    <m/>
    <n v="0"/>
    <n v="874"/>
    <n v="126.564466"/>
    <n v="1"/>
    <x v="1"/>
    <x v="698"/>
    <n v="18601.14"/>
    <n v="0"/>
    <s v="Nr. ???"/>
    <m/>
    <n v="110630"/>
    <n v="0"/>
    <n v="56738"/>
  </r>
  <r>
    <x v="3"/>
    <s v="00005-1"/>
    <s v="Farumsødal"/>
    <n v="5262"/>
    <m/>
    <s v="Farumsødal"/>
    <x v="29"/>
    <x v="1"/>
    <x v="4"/>
    <n v="223561.15"/>
    <n v="12"/>
    <m/>
    <n v="0"/>
    <n v="874"/>
    <n v="255.761526"/>
    <n v="1"/>
    <x v="3"/>
    <x v="699"/>
    <n v="1078.17"/>
    <n v="1"/>
    <s v="Nr. ???"/>
    <m/>
    <n v="6407.6"/>
    <n v="0"/>
    <n v="56997"/>
  </r>
  <r>
    <x v="3"/>
    <s v="00005-1"/>
    <s v="Farumsødal"/>
    <n v="5262"/>
    <m/>
    <s v="Farumsødal"/>
    <x v="29"/>
    <x v="1"/>
    <x v="5"/>
    <n v="182279.32"/>
    <n v="12"/>
    <m/>
    <n v="0"/>
    <n v="874"/>
    <n v="208.533714"/>
    <n v="1"/>
    <x v="3"/>
    <x v="700"/>
    <n v="1025.3499999999999"/>
    <n v="1"/>
    <s v="Nr. ???"/>
    <m/>
    <n v="5224.3999999999996"/>
    <n v="0"/>
    <n v="56997"/>
  </r>
  <r>
    <x v="3"/>
    <s v="00005-1"/>
    <s v="Farumsødal"/>
    <n v="5262"/>
    <m/>
    <s v="Farumsødal"/>
    <x v="29"/>
    <x v="0"/>
    <x v="5"/>
    <n v="92790"/>
    <n v="12"/>
    <m/>
    <n v="0"/>
    <n v="874"/>
    <n v="106.15490200000001"/>
    <n v="1"/>
    <x v="1"/>
    <x v="701"/>
    <n v="18155.78"/>
    <n v="0"/>
    <s v="Nr. ???"/>
    <m/>
    <n v="92790"/>
    <n v="0"/>
    <n v="56738"/>
  </r>
  <r>
    <x v="3"/>
    <s v="00005-1"/>
    <s v="Farumsødal"/>
    <n v="5262"/>
    <m/>
    <s v="Farumsødal"/>
    <x v="29"/>
    <x v="0"/>
    <x v="6"/>
    <n v="89680"/>
    <n v="12"/>
    <m/>
    <n v="0"/>
    <n v="874"/>
    <n v="102.59695600000001"/>
    <n v="1"/>
    <x v="1"/>
    <x v="702"/>
    <n v="19091.650000000001"/>
    <n v="0"/>
    <s v="Nr. ???"/>
    <m/>
    <n v="89680"/>
    <n v="0"/>
    <n v="56738"/>
  </r>
  <r>
    <x v="3"/>
    <s v="00005-1"/>
    <s v="Farumsødal"/>
    <n v="5262"/>
    <m/>
    <s v="Farumsødal"/>
    <x v="29"/>
    <x v="1"/>
    <x v="6"/>
    <n v="179313.67"/>
    <n v="12"/>
    <m/>
    <n v="0"/>
    <n v="874"/>
    <n v="205.14090999999999"/>
    <n v="1"/>
    <x v="3"/>
    <x v="703"/>
    <n v="1085.3699999999999"/>
    <n v="1"/>
    <s v="Nr. ???"/>
    <m/>
    <n v="5139.3999999999996"/>
    <n v="0"/>
    <n v="56997"/>
  </r>
  <r>
    <x v="3"/>
    <s v="00731-5"/>
    <s v="Græshoppen"/>
    <n v="5264"/>
    <m/>
    <s v="Græshoppen"/>
    <x v="31"/>
    <x v="0"/>
    <x v="0"/>
    <n v="50995"/>
    <n v="5"/>
    <s v="2005-07-01"/>
    <n v="0"/>
    <n v="333"/>
    <n v="85.827078"/>
    <n v="1"/>
    <x v="1"/>
    <x v="704"/>
    <n v="5910711.1500000004"/>
    <n v="0"/>
    <s v="4107805"/>
    <m/>
    <n v="28589"/>
    <n v="0"/>
    <n v="56768"/>
  </r>
  <r>
    <x v="3"/>
    <s v="00731-5"/>
    <s v="Græshoppen"/>
    <n v="5264"/>
    <m/>
    <s v="Græshoppen"/>
    <x v="31"/>
    <x v="1"/>
    <x v="0"/>
    <n v="20271.099999999999"/>
    <n v="5"/>
    <s v="2005-07-01"/>
    <n v="0"/>
    <n v="333"/>
    <n v="60.855899000000001"/>
    <n v="1"/>
    <x v="3"/>
    <x v="705"/>
    <n v="120340.88"/>
    <n v="1"/>
    <s v="4107805"/>
    <m/>
    <n v="581"/>
    <n v="0"/>
    <n v="56998"/>
  </r>
  <r>
    <x v="3"/>
    <s v="00731-5"/>
    <s v="Græshoppen"/>
    <n v="5264"/>
    <m/>
    <s v="Græshoppen"/>
    <x v="31"/>
    <x v="0"/>
    <x v="1"/>
    <n v="53955"/>
    <n v="12"/>
    <s v="2005-07-01"/>
    <n v="0"/>
    <n v="333"/>
    <n v="161.97838400000001"/>
    <n v="1"/>
    <x v="1"/>
    <x v="706"/>
    <n v="10358.4"/>
    <n v="0"/>
    <s v="4107805"/>
    <m/>
    <n v="53955"/>
    <n v="0"/>
    <n v="56768"/>
  </r>
  <r>
    <x v="3"/>
    <s v="00731-5"/>
    <s v="Græshoppen"/>
    <n v="5264"/>
    <m/>
    <s v="Græshoppen"/>
    <x v="31"/>
    <x v="1"/>
    <x v="1"/>
    <n v="36479.08"/>
    <n v="12"/>
    <s v="2005-07-01"/>
    <n v="0"/>
    <n v="333"/>
    <n v="109.51389899999999"/>
    <n v="1"/>
    <x v="3"/>
    <x v="707"/>
    <n v="199.93"/>
    <n v="1"/>
    <s v="4107805"/>
    <m/>
    <n v="1045.5450000000001"/>
    <n v="0"/>
    <n v="56998"/>
  </r>
  <r>
    <x v="3"/>
    <s v="00731-5"/>
    <s v="Græshoppen"/>
    <n v="5264"/>
    <m/>
    <s v="Græshoppen"/>
    <x v="31"/>
    <x v="0"/>
    <x v="2"/>
    <n v="55626"/>
    <n v="12"/>
    <s v="2005-07-01"/>
    <n v="0"/>
    <n v="333"/>
    <n v="166.99489600000001"/>
    <n v="1"/>
    <x v="1"/>
    <x v="708"/>
    <n v="10794.5"/>
    <n v="0"/>
    <s v="4107805"/>
    <m/>
    <n v="55626"/>
    <n v="0"/>
    <n v="56768"/>
  </r>
  <r>
    <x v="3"/>
    <s v="00731-5"/>
    <s v="Græshoppen"/>
    <n v="5264"/>
    <m/>
    <s v="Græshoppen"/>
    <x v="31"/>
    <x v="1"/>
    <x v="2"/>
    <n v="39378.43"/>
    <n v="12"/>
    <s v="2005-07-01"/>
    <n v="0"/>
    <n v="333"/>
    <n v="118.218042"/>
    <n v="1"/>
    <x v="3"/>
    <x v="709"/>
    <n v="218.52"/>
    <n v="1"/>
    <s v="4107805"/>
    <m/>
    <n v="1128.645"/>
    <n v="0"/>
    <n v="56998"/>
  </r>
  <r>
    <x v="3"/>
    <s v="00731-5"/>
    <s v="Græshoppen"/>
    <n v="5264"/>
    <m/>
    <s v="Græshoppen"/>
    <x v="31"/>
    <x v="0"/>
    <x v="3"/>
    <n v="48171"/>
    <n v="12"/>
    <s v="2005-07-01"/>
    <n v="0"/>
    <n v="333"/>
    <n v="144.61422899999999"/>
    <n v="1"/>
    <x v="1"/>
    <x v="710"/>
    <n v="9781.2099999999991"/>
    <n v="0"/>
    <s v="4107805"/>
    <m/>
    <n v="48171"/>
    <n v="0"/>
    <n v="56768"/>
  </r>
  <r>
    <x v="3"/>
    <s v="00731-5"/>
    <s v="Græshoppen"/>
    <n v="5264"/>
    <m/>
    <s v="Græshoppen"/>
    <x v="31"/>
    <x v="1"/>
    <x v="3"/>
    <n v="34934.67"/>
    <n v="12"/>
    <s v="2005-07-01"/>
    <n v="0"/>
    <n v="333"/>
    <n v="104.877424"/>
    <n v="1"/>
    <x v="3"/>
    <x v="711"/>
    <n v="202.14"/>
    <n v="1"/>
    <s v="4107805"/>
    <m/>
    <n v="1001.28"/>
    <n v="0"/>
    <n v="56998"/>
  </r>
  <r>
    <x v="3"/>
    <s v="00731-5"/>
    <s v="Græshoppen"/>
    <n v="5264"/>
    <m/>
    <s v="Græshoppen"/>
    <x v="31"/>
    <x v="0"/>
    <x v="4"/>
    <n v="47197"/>
    <n v="12"/>
    <s v="2005-07-01"/>
    <n v="0"/>
    <n v="333"/>
    <n v="141.69018299999999"/>
    <n v="1"/>
    <x v="1"/>
    <x v="712"/>
    <n v="8023.31"/>
    <n v="0"/>
    <s v="4107805"/>
    <m/>
    <n v="47197"/>
    <n v="0"/>
    <n v="56768"/>
  </r>
  <r>
    <x v="3"/>
    <s v="00731-5"/>
    <s v="Græshoppen"/>
    <n v="5264"/>
    <m/>
    <s v="Græshoppen"/>
    <x v="31"/>
    <x v="1"/>
    <x v="4"/>
    <n v="40825.14"/>
    <n v="12"/>
    <s v="2005-07-01"/>
    <n v="0"/>
    <n v="333"/>
    <n v="122.561212"/>
    <n v="1"/>
    <x v="3"/>
    <x v="713"/>
    <n v="198.13"/>
    <n v="1"/>
    <s v="4107805"/>
    <m/>
    <n v="1170.1099999999999"/>
    <n v="0"/>
    <n v="56998"/>
  </r>
  <r>
    <x v="3"/>
    <s v="00731-5"/>
    <s v="Græshoppen"/>
    <n v="5264"/>
    <m/>
    <s v="Græshoppen"/>
    <x v="31"/>
    <x v="0"/>
    <x v="5"/>
    <n v="44027"/>
    <n v="12"/>
    <s v="2005-07-01"/>
    <n v="0"/>
    <n v="333"/>
    <n v="132.17352099999999"/>
    <n v="1"/>
    <x v="1"/>
    <x v="714"/>
    <n v="8729.0300000000007"/>
    <n v="0"/>
    <s v="4107805"/>
    <m/>
    <n v="44027"/>
    <n v="0"/>
    <n v="56768"/>
  </r>
  <r>
    <x v="3"/>
    <s v="00731-5"/>
    <s v="Græshoppen"/>
    <n v="5264"/>
    <m/>
    <s v="Græshoppen"/>
    <x v="31"/>
    <x v="1"/>
    <x v="5"/>
    <n v="34763.03"/>
    <n v="12"/>
    <s v="2005-07-01"/>
    <n v="0"/>
    <n v="333"/>
    <n v="104.362143"/>
    <n v="1"/>
    <x v="3"/>
    <x v="715"/>
    <n v="196.85"/>
    <n v="1"/>
    <s v="4107805"/>
    <m/>
    <n v="996.36"/>
    <n v="0"/>
    <n v="56998"/>
  </r>
  <r>
    <x v="3"/>
    <s v="00731-5"/>
    <s v="Græshoppen"/>
    <n v="5264"/>
    <m/>
    <s v="Græshoppen"/>
    <x v="31"/>
    <x v="0"/>
    <x v="6"/>
    <n v="41864"/>
    <n v="12"/>
    <s v="2005-07-01"/>
    <n v="0"/>
    <n v="333"/>
    <n v="125.679975"/>
    <n v="1"/>
    <x v="1"/>
    <x v="716"/>
    <n v="8802.16"/>
    <n v="0"/>
    <s v="4107805"/>
    <m/>
    <n v="41864"/>
    <n v="0"/>
    <n v="56768"/>
  </r>
  <r>
    <x v="3"/>
    <s v="00731-5"/>
    <s v="Græshoppen"/>
    <n v="5264"/>
    <m/>
    <s v="Græshoppen"/>
    <x v="31"/>
    <x v="1"/>
    <x v="6"/>
    <n v="31220.28"/>
    <n v="12"/>
    <s v="2005-07-01"/>
    <n v="0"/>
    <n v="333"/>
    <n v="93.726448000000005"/>
    <n v="1"/>
    <x v="3"/>
    <x v="717"/>
    <n v="187.23"/>
    <n v="1"/>
    <s v="4107805"/>
    <m/>
    <n v="894.82"/>
    <n v="0"/>
    <n v="56998"/>
  </r>
  <r>
    <x v="3"/>
    <m/>
    <s v="Hareskov Børnehus, Skovmose 55"/>
    <n v="9957"/>
    <m/>
    <s v="Hareskov Børnehus"/>
    <x v="33"/>
    <x v="0"/>
    <x v="0"/>
    <n v="66285"/>
    <n v="5"/>
    <s v="2011-12-31"/>
    <n v="0"/>
    <n v="646"/>
    <n v="56.442160000000001"/>
    <n v="1"/>
    <x v="4"/>
    <x v="718"/>
    <n v="8653.7000000000007"/>
    <n v="0"/>
    <s v="HNG16.04.677"/>
    <s v="98004052711"/>
    <n v="3376.6"/>
    <n v="0"/>
    <n v="76350"/>
  </r>
  <r>
    <x v="3"/>
    <m/>
    <s v="Hareskov Børnehus, Skovmose 55"/>
    <n v="9957"/>
    <m/>
    <s v="Hareskov Børnehus"/>
    <x v="33"/>
    <x v="0"/>
    <x v="1"/>
    <n v="66663.87"/>
    <n v="12"/>
    <s v="2011-12-31"/>
    <n v="0"/>
    <n v="646"/>
    <n v="103.178873"/>
    <n v="1"/>
    <x v="4"/>
    <x v="719"/>
    <n v="15896.36"/>
    <n v="0"/>
    <s v="HNG16.04.677"/>
    <s v="98004052711"/>
    <n v="6172.58"/>
    <n v="0"/>
    <n v="76350"/>
  </r>
  <r>
    <x v="3"/>
    <m/>
    <s v="Hareskov Børnehus, Skovmose 55"/>
    <n v="9957"/>
    <m/>
    <s v="Hareskov Børnehus"/>
    <x v="33"/>
    <x v="0"/>
    <x v="2"/>
    <n v="74521.929999999993"/>
    <n v="12"/>
    <s v="2011-12-31"/>
    <n v="0"/>
    <n v="646"/>
    <n v="115.34117000000001"/>
    <n v="1"/>
    <x v="4"/>
    <x v="720"/>
    <n v="16667.61"/>
    <n v="0"/>
    <s v="HNG16.04.677"/>
    <s v="98004052711"/>
    <n v="6900.18"/>
    <n v="0"/>
    <n v="76350"/>
  </r>
  <r>
    <x v="3"/>
    <m/>
    <s v="Hareskov Børnehus, Skovmose 55"/>
    <n v="9957"/>
    <m/>
    <s v="Hareskov Børnehus"/>
    <x v="33"/>
    <x v="0"/>
    <x v="3"/>
    <n v="66764.800000000003"/>
    <n v="6"/>
    <s v="2011-12-31"/>
    <n v="0"/>
    <n v="646"/>
    <n v="103.335087"/>
    <n v="1"/>
    <x v="4"/>
    <x v="721"/>
    <n v="16779.009999999998"/>
    <n v="0"/>
    <s v="HNG16.04.677"/>
    <s v="98004052711"/>
    <n v="6181.9270699999997"/>
    <n v="0"/>
    <n v="76350"/>
  </r>
  <r>
    <x v="3"/>
    <m/>
    <s v="Hareskov Børnehus, Skovmose 55"/>
    <n v="9957"/>
    <m/>
    <s v="Hareskov Børnehus"/>
    <x v="33"/>
    <x v="0"/>
    <x v="4"/>
    <n v="57378.37"/>
    <n v="3"/>
    <s v="2011-12-31"/>
    <n v="0"/>
    <n v="646"/>
    <n v="88.807258000000004"/>
    <n v="1"/>
    <x v="4"/>
    <x v="722"/>
    <n v="14270.43"/>
    <n v="0"/>
    <s v="HNG16.04.677"/>
    <s v="98004052711"/>
    <n v="5312.8092800000004"/>
    <n v="0"/>
    <n v="76350"/>
  </r>
  <r>
    <x v="3"/>
    <m/>
    <s v="Hareskov Børnehus, Skovmose 55"/>
    <n v="9957"/>
    <m/>
    <s v="Hareskov Børnehus"/>
    <x v="33"/>
    <x v="0"/>
    <x v="5"/>
    <n v="56713.21"/>
    <n v="4"/>
    <s v="2011-12-31"/>
    <n v="0"/>
    <n v="646"/>
    <n v="87.777758000000006"/>
    <n v="1"/>
    <x v="4"/>
    <x v="723"/>
    <n v="16842.169999999998"/>
    <n v="0"/>
    <s v="HNG16.04.677"/>
    <s v="98004052711"/>
    <n v="5251.2221200000004"/>
    <n v="0"/>
    <n v="76350"/>
  </r>
  <r>
    <x v="3"/>
    <m/>
    <s v="Hareskov Børnehus, Skovmose 55"/>
    <n v="9957"/>
    <m/>
    <s v="Hareskov Børnehus"/>
    <x v="33"/>
    <x v="0"/>
    <x v="6"/>
    <n v="53618.29"/>
    <n v="7"/>
    <s v="2011-12-31"/>
    <n v="0"/>
    <n v="646"/>
    <n v="82.987601999999995"/>
    <n v="1"/>
    <x v="4"/>
    <x v="724"/>
    <n v="13152.44"/>
    <n v="0"/>
    <s v="HNG16.04.677"/>
    <s v="98004052711"/>
    <n v="4964.6577100000004"/>
    <n v="0"/>
    <n v="76350"/>
  </r>
  <r>
    <x v="3"/>
    <s v="01215-7"/>
    <s v="Kildehuset, Hoved 41"/>
    <n v="5269"/>
    <m/>
    <s v="Kildehuset"/>
    <x v="34"/>
    <x v="1"/>
    <x v="0"/>
    <n v="23523.18"/>
    <n v="5"/>
    <s v="2005-06-01"/>
    <n v="0"/>
    <n v="607"/>
    <n v="38.746796000000003"/>
    <n v="1"/>
    <x v="3"/>
    <x v="725"/>
    <n v="140634.79"/>
    <n v="1"/>
    <s v="4824618"/>
    <m/>
    <n v="674.21"/>
    <n v="0"/>
    <n v="57001"/>
  </r>
  <r>
    <x v="3"/>
    <s v="01215-7"/>
    <s v="Kildehuset, Hoved 41"/>
    <n v="5269"/>
    <m/>
    <s v="Kildehuset"/>
    <x v="34"/>
    <x v="0"/>
    <x v="0"/>
    <n v="54740"/>
    <n v="5"/>
    <s v="2005-06-01"/>
    <n v="0"/>
    <n v="607"/>
    <n v="51.986493000000003"/>
    <n v="1"/>
    <x v="1"/>
    <x v="726"/>
    <n v="6601351.2999999998"/>
    <n v="0"/>
    <s v="4824618"/>
    <m/>
    <n v="31561"/>
    <n v="0"/>
    <n v="56816"/>
  </r>
  <r>
    <x v="3"/>
    <s v="01215-7"/>
    <s v="Kildehuset, Hoved 41"/>
    <n v="5269"/>
    <m/>
    <s v="Kildehuset"/>
    <x v="34"/>
    <x v="0"/>
    <x v="1"/>
    <n v="72341"/>
    <n v="12"/>
    <s v="2005-06-01"/>
    <n v="0"/>
    <n v="607"/>
    <n v="119.158293"/>
    <n v="1"/>
    <x v="1"/>
    <x v="727"/>
    <n v="14058.25"/>
    <n v="0"/>
    <s v="4824618"/>
    <m/>
    <n v="72341"/>
    <n v="0"/>
    <n v="56816"/>
  </r>
  <r>
    <x v="3"/>
    <s v="01215-7"/>
    <s v="Kildehuset, Hoved 41"/>
    <n v="5269"/>
    <m/>
    <s v="Kildehuset"/>
    <x v="34"/>
    <x v="1"/>
    <x v="1"/>
    <n v="54975.82"/>
    <n v="12"/>
    <s v="2005-06-01"/>
    <n v="0"/>
    <n v="607"/>
    <n v="90.554800999999998"/>
    <n v="1"/>
    <x v="3"/>
    <x v="728"/>
    <n v="304.77999999999997"/>
    <n v="1"/>
    <s v="4824618"/>
    <m/>
    <n v="1575.69"/>
    <n v="0"/>
    <n v="57001"/>
  </r>
  <r>
    <x v="3"/>
    <s v="01215-7"/>
    <s v="Kildehuset, Hoved 41"/>
    <n v="5269"/>
    <m/>
    <s v="Kildehuset"/>
    <x v="34"/>
    <x v="0"/>
    <x v="2"/>
    <n v="79779"/>
    <n v="12"/>
    <s v="2005-06-01"/>
    <n v="0"/>
    <n v="607"/>
    <n v="131.40998099999999"/>
    <n v="1"/>
    <x v="1"/>
    <x v="729"/>
    <n v="15585.33"/>
    <n v="0"/>
    <s v="4824618"/>
    <m/>
    <n v="79779"/>
    <n v="0"/>
    <n v="56816"/>
  </r>
  <r>
    <x v="3"/>
    <s v="01215-7"/>
    <s v="Kildehuset, Hoved 41"/>
    <n v="5269"/>
    <m/>
    <s v="Kildehuset"/>
    <x v="34"/>
    <x v="1"/>
    <x v="2"/>
    <n v="63907.67"/>
    <n v="12"/>
    <s v="2005-06-01"/>
    <n v="0"/>
    <n v="607"/>
    <n v="105.267122"/>
    <n v="1"/>
    <x v="3"/>
    <x v="730"/>
    <n v="362.8"/>
    <n v="1"/>
    <s v="4824618"/>
    <m/>
    <n v="1831.69"/>
    <n v="0"/>
    <n v="57001"/>
  </r>
  <r>
    <x v="3"/>
    <s v="01215-7"/>
    <s v="Kildehuset, Hoved 41"/>
    <n v="5269"/>
    <m/>
    <s v="Kildehuset"/>
    <x v="34"/>
    <x v="0"/>
    <x v="3"/>
    <n v="71199"/>
    <n v="12"/>
    <s v="2005-06-01"/>
    <n v="0"/>
    <n v="607"/>
    <n v="117.277219"/>
    <n v="1"/>
    <x v="1"/>
    <x v="731"/>
    <n v="14384.64"/>
    <n v="0"/>
    <s v="4824618"/>
    <m/>
    <n v="71199"/>
    <n v="0"/>
    <n v="56816"/>
  </r>
  <r>
    <x v="3"/>
    <s v="01215-7"/>
    <s v="Kildehuset, Hoved 41"/>
    <n v="5269"/>
    <m/>
    <s v="Kildehuset"/>
    <x v="34"/>
    <x v="1"/>
    <x v="3"/>
    <n v="54244.89"/>
    <n v="12"/>
    <s v="2005-06-01"/>
    <n v="0"/>
    <n v="607"/>
    <n v="89.350830999999999"/>
    <n v="1"/>
    <x v="3"/>
    <x v="732"/>
    <n v="313.49"/>
    <n v="1"/>
    <s v="4824618"/>
    <m/>
    <n v="1554.74"/>
    <n v="0"/>
    <n v="57001"/>
  </r>
  <r>
    <x v="3"/>
    <s v="01215-7"/>
    <s v="Kildehuset, Hoved 41"/>
    <n v="5269"/>
    <m/>
    <s v="Kildehuset"/>
    <x v="34"/>
    <x v="0"/>
    <x v="4"/>
    <n v="86983.99"/>
    <n v="12"/>
    <s v="2005-06-01"/>
    <n v="0"/>
    <n v="607"/>
    <n v="143.277861"/>
    <n v="1"/>
    <x v="1"/>
    <x v="733"/>
    <n v="14714.08"/>
    <n v="0"/>
    <s v="4824618"/>
    <m/>
    <n v="86983.994999999995"/>
    <n v="0"/>
    <n v="56816"/>
  </r>
  <r>
    <x v="3"/>
    <s v="01215-7"/>
    <s v="Kildehuset, Hoved 41"/>
    <n v="5269"/>
    <m/>
    <s v="Kildehuset"/>
    <x v="34"/>
    <x v="1"/>
    <x v="4"/>
    <n v="72277.789999999994"/>
    <n v="12"/>
    <s v="2005-06-01"/>
    <n v="0"/>
    <n v="607"/>
    <n v="119.054175"/>
    <n v="1"/>
    <x v="3"/>
    <x v="734"/>
    <n v="351.06"/>
    <n v="1"/>
    <s v="4824618"/>
    <m/>
    <n v="2071.59"/>
    <n v="0"/>
    <n v="57001"/>
  </r>
  <r>
    <x v="3"/>
    <s v="01215-7"/>
    <s v="Kildehuset, Hoved 41"/>
    <n v="5269"/>
    <m/>
    <s v="Kildehuset"/>
    <x v="34"/>
    <x v="0"/>
    <x v="5"/>
    <n v="86158"/>
    <n v="12"/>
    <s v="2005-06-01"/>
    <n v="0"/>
    <n v="607"/>
    <n v="141.91731100000001"/>
    <n v="1"/>
    <x v="1"/>
    <x v="735"/>
    <n v="17015.21"/>
    <n v="0"/>
    <s v="4824618"/>
    <m/>
    <n v="86158"/>
    <n v="0"/>
    <n v="56816"/>
  </r>
  <r>
    <x v="3"/>
    <s v="01215-7"/>
    <s v="Kildehuset, Hoved 41"/>
    <n v="5269"/>
    <m/>
    <s v="Kildehuset"/>
    <x v="34"/>
    <x v="1"/>
    <x v="5"/>
    <n v="128916.12"/>
    <n v="12"/>
    <s v="2005-06-01"/>
    <n v="0"/>
    <n v="607"/>
    <n v="212.34742199999999"/>
    <n v="1"/>
    <x v="3"/>
    <x v="736"/>
    <n v="728.19"/>
    <n v="1"/>
    <s v="4824618"/>
    <m/>
    <n v="3694.93"/>
    <n v="0"/>
    <n v="57001"/>
  </r>
  <r>
    <x v="3"/>
    <s v="01215-7"/>
    <s v="Kildehuset, Hoved 41"/>
    <n v="5269"/>
    <m/>
    <s v="Kildehuset"/>
    <x v="34"/>
    <x v="0"/>
    <x v="6"/>
    <n v="80843"/>
    <n v="12"/>
    <s v="2005-06-01"/>
    <n v="0"/>
    <n v="607"/>
    <n v="133.162576"/>
    <n v="1"/>
    <x v="1"/>
    <x v="737"/>
    <n v="17005.54"/>
    <n v="0"/>
    <s v="4824618"/>
    <m/>
    <n v="80843"/>
    <n v="0"/>
    <n v="56816"/>
  </r>
  <r>
    <x v="3"/>
    <s v="01215-7"/>
    <s v="Kildehuset, Hoved 41"/>
    <n v="5269"/>
    <m/>
    <s v="Kildehuset"/>
    <x v="34"/>
    <x v="1"/>
    <x v="6"/>
    <n v="99257.87"/>
    <n v="12"/>
    <s v="2005-06-01"/>
    <n v="0"/>
    <n v="607"/>
    <n v="163.495091"/>
    <n v="1"/>
    <x v="3"/>
    <x v="738"/>
    <n v="585.54999999999995"/>
    <n v="1"/>
    <s v="4824618"/>
    <m/>
    <n v="2844.88"/>
    <n v="0"/>
    <n v="57001"/>
  </r>
  <r>
    <x v="3"/>
    <m/>
    <s v="Kirke Værløse Børnehus, BY27"/>
    <n v="10017"/>
    <m/>
    <s v="Kirke Værløse Børnehus"/>
    <x v="35"/>
    <x v="0"/>
    <x v="0"/>
    <n v="71078"/>
    <n v="5"/>
    <s v="2010-10-31"/>
    <n v="0"/>
    <n v="602"/>
    <n v="64.603752999999998"/>
    <n v="1"/>
    <x v="4"/>
    <x v="739"/>
    <n v="9222.4699999999993"/>
    <n v="0"/>
    <m/>
    <s v="98003838729"/>
    <n v="3601.66"/>
    <n v="0"/>
    <n v="76521"/>
  </r>
  <r>
    <x v="3"/>
    <m/>
    <s v="Kirke Værløse Børnehus, BY27"/>
    <n v="10017"/>
    <m/>
    <s v="Kirke Værløse Børnehus"/>
    <x v="35"/>
    <x v="0"/>
    <x v="1"/>
    <n v="69490.12"/>
    <n v="12"/>
    <s v="2010-10-31"/>
    <n v="0"/>
    <n v="602"/>
    <n v="115.412921"/>
    <n v="1"/>
    <x v="4"/>
    <x v="740"/>
    <n v="15459.79"/>
    <n v="0"/>
    <m/>
    <s v="98003838729"/>
    <n v="6434.27"/>
    <n v="0"/>
    <n v="76521"/>
  </r>
  <r>
    <x v="3"/>
    <m/>
    <s v="Kirke Værløse Børnehus, BY27"/>
    <n v="10017"/>
    <m/>
    <s v="Kirke Værløse Børnehus"/>
    <x v="35"/>
    <x v="0"/>
    <x v="2"/>
    <n v="76214.53"/>
    <n v="12"/>
    <s v="2010-10-31"/>
    <n v="0"/>
    <n v="602"/>
    <n v="126.581182"/>
    <n v="1"/>
    <x v="4"/>
    <x v="741"/>
    <n v="16939.740000000002"/>
    <n v="0"/>
    <m/>
    <s v="98003838729"/>
    <n v="7056.9"/>
    <n v="0"/>
    <n v="76521"/>
  </r>
  <r>
    <x v="3"/>
    <m/>
    <s v="Kirke Værløse Børnehus, BY27"/>
    <n v="10017"/>
    <m/>
    <s v="Kirke Værløse Børnehus"/>
    <x v="35"/>
    <x v="0"/>
    <x v="3"/>
    <n v="73262.66"/>
    <n v="12"/>
    <s v="2010-10-31"/>
    <n v="0"/>
    <n v="602"/>
    <n v="121.678558"/>
    <n v="1"/>
    <x v="4"/>
    <x v="742"/>
    <n v="17091.82"/>
    <n v="0"/>
    <m/>
    <s v="98003838729"/>
    <n v="6783.58"/>
    <n v="0"/>
    <n v="76521"/>
  </r>
  <r>
    <x v="3"/>
    <m/>
    <s v="Kirke Værløse Børnehus, BY27"/>
    <n v="10017"/>
    <m/>
    <s v="Kirke Værløse Børnehus"/>
    <x v="35"/>
    <x v="0"/>
    <x v="4"/>
    <n v="80934.39"/>
    <n v="14"/>
    <s v="2010-10-31"/>
    <n v="0"/>
    <n v="602"/>
    <n v="134.42017899999999"/>
    <n v="1"/>
    <x v="4"/>
    <x v="743"/>
    <n v="15685.64"/>
    <n v="0"/>
    <m/>
    <s v="98003838729"/>
    <n v="7493.92479"/>
    <n v="0"/>
    <n v="76521"/>
  </r>
  <r>
    <x v="3"/>
    <m/>
    <s v="Kirke Værløse Børnehus, BY27"/>
    <n v="10017"/>
    <m/>
    <s v="Kirke Værløse Børnehus"/>
    <x v="35"/>
    <x v="0"/>
    <x v="5"/>
    <n v="73894.62"/>
    <n v="12"/>
    <s v="2010-10-31"/>
    <n v="0"/>
    <n v="602"/>
    <n v="122.728151"/>
    <n v="1"/>
    <x v="4"/>
    <x v="744"/>
    <n v="16730.669999999998"/>
    <n v="0"/>
    <m/>
    <s v="98003838729"/>
    <n v="6842.0951999999997"/>
    <n v="0"/>
    <n v="76521"/>
  </r>
  <r>
    <x v="3"/>
    <m/>
    <s v="Kirke Værløse Børnehus, BY27"/>
    <n v="10017"/>
    <m/>
    <s v="Kirke Værløse Børnehus"/>
    <x v="35"/>
    <x v="0"/>
    <x v="6"/>
    <n v="64529.24"/>
    <n v="9"/>
    <s v="2010-10-31"/>
    <n v="0"/>
    <n v="602"/>
    <n v="107.173625"/>
    <n v="1"/>
    <x v="4"/>
    <x v="745"/>
    <n v="15545.78"/>
    <n v="0"/>
    <m/>
    <s v="98003838729"/>
    <n v="5974.9293100000004"/>
    <n v="0"/>
    <n v="76521"/>
  </r>
  <r>
    <x v="3"/>
    <m/>
    <s v="Krudthuset Børnehus, Bringe 26"/>
    <n v="10169"/>
    <m/>
    <s v="Krudthuset Børnehus"/>
    <x v="37"/>
    <x v="0"/>
    <x v="0"/>
    <n v="77418"/>
    <n v="5"/>
    <s v="2012-06-30"/>
    <n v="0"/>
    <n v="721"/>
    <n v="62.369295999999999"/>
    <n v="1"/>
    <x v="6"/>
    <x v="746"/>
    <n v="10340.39"/>
    <n v="0"/>
    <s v="16.30.409"/>
    <s v="98003449017"/>
    <n v="4015.58"/>
    <n v="0"/>
    <n v="77182"/>
  </r>
  <r>
    <x v="3"/>
    <m/>
    <s v="Krudthuset Børnehus, Bringe 26"/>
    <n v="10169"/>
    <m/>
    <s v="Krudthuset Børnehus"/>
    <x v="37"/>
    <x v="0"/>
    <x v="1"/>
    <n v="83193.279999999999"/>
    <n v="4"/>
    <s v="2014-11-24"/>
    <n v="0"/>
    <n v="721"/>
    <n v="115.369962"/>
    <n v="1"/>
    <x v="4"/>
    <x v="747"/>
    <n v="22292.22"/>
    <n v="1"/>
    <s v="Kontrol"/>
    <m/>
    <n v="7703.0826399999996"/>
    <n v="0"/>
    <n v="94891"/>
  </r>
  <r>
    <x v="3"/>
    <m/>
    <s v="Krudthuset Børnehus, Bringe 26"/>
    <n v="10169"/>
    <m/>
    <s v="Krudthuset Børnehus"/>
    <x v="37"/>
    <x v="0"/>
    <x v="1"/>
    <n v="44036.73"/>
    <n v="12"/>
    <s v="2012-06-30"/>
    <n v="0"/>
    <n v="721"/>
    <n v="61.068824999999997"/>
    <n v="1"/>
    <x v="6"/>
    <x v="748"/>
    <n v="10295.34"/>
    <n v="0"/>
    <s v="16.30.409"/>
    <s v="98003449017"/>
    <n v="3931.85"/>
    <n v="0"/>
    <n v="77182"/>
  </r>
  <r>
    <x v="3"/>
    <m/>
    <s v="Krudthuset Børnehus, Bringe 26"/>
    <n v="10169"/>
    <m/>
    <s v="Krudthuset Børnehus"/>
    <x v="37"/>
    <x v="0"/>
    <x v="2"/>
    <n v="281.95"/>
    <n v="1"/>
    <s v="2014-11-24"/>
    <n v="0"/>
    <n v="721"/>
    <n v="0.39099899999999999"/>
    <n v="1"/>
    <x v="4"/>
    <x v="749"/>
    <n v="56.52"/>
    <n v="1"/>
    <s v="Kontrol"/>
    <m/>
    <n v="26.106059999999999"/>
    <n v="0"/>
    <n v="94891"/>
  </r>
  <r>
    <x v="3"/>
    <m/>
    <s v="Krudthuset Børnehus, Bringe 26"/>
    <n v="10169"/>
    <m/>
    <s v="Krudthuset Børnehus"/>
    <x v="37"/>
    <x v="0"/>
    <x v="2"/>
    <n v="87377.01"/>
    <n v="10"/>
    <s v="2012-06-30"/>
    <n v="0"/>
    <n v="721"/>
    <n v="121.171834"/>
    <n v="1"/>
    <x v="6"/>
    <x v="750"/>
    <n v="19065.400000000001"/>
    <n v="0"/>
    <s v="16.30.409"/>
    <s v="98003449017"/>
    <n v="7801.5181000000002"/>
    <n v="0"/>
    <n v="77182"/>
  </r>
  <r>
    <x v="3"/>
    <m/>
    <s v="Krudthuset Børnehus, Bringe 26"/>
    <n v="10169"/>
    <m/>
    <s v="Krudthuset Børnehus"/>
    <x v="37"/>
    <x v="0"/>
    <x v="3"/>
    <n v="99458.21"/>
    <n v="7"/>
    <s v="2012-06-30"/>
    <n v="0"/>
    <n v="721"/>
    <n v="137.92568199999999"/>
    <n v="1"/>
    <x v="6"/>
    <x v="751"/>
    <n v="23623.66"/>
    <n v="0"/>
    <s v="16.30.409"/>
    <s v="98003449017"/>
    <n v="8880.1985700000005"/>
    <n v="0"/>
    <n v="77182"/>
  </r>
  <r>
    <x v="3"/>
    <m/>
    <s v="Krudthuset Børnehus, Bringe 26"/>
    <n v="10169"/>
    <m/>
    <s v="Krudthuset Børnehus"/>
    <x v="37"/>
    <x v="0"/>
    <x v="4"/>
    <n v="95307.23"/>
    <n v="3"/>
    <s v="2012-06-30"/>
    <n v="0"/>
    <n v="721"/>
    <n v="132.16922700000001"/>
    <n v="1"/>
    <x v="6"/>
    <x v="752"/>
    <n v="19894.62"/>
    <n v="0"/>
    <s v="16.30.409"/>
    <s v="98003449017"/>
    <n v="8509.5734300000004"/>
    <n v="0"/>
    <n v="77182"/>
  </r>
  <r>
    <x v="3"/>
    <m/>
    <s v="Krudthuset Børnehus, Bringe 26"/>
    <n v="10169"/>
    <m/>
    <s v="Krudthuset Børnehus"/>
    <x v="37"/>
    <x v="0"/>
    <x v="5"/>
    <n v="104141.8"/>
    <n v="4"/>
    <s v="2012-06-30"/>
    <n v="0"/>
    <n v="721"/>
    <n v="144.42074600000001"/>
    <n v="1"/>
    <x v="6"/>
    <x v="753"/>
    <n v="29573.09"/>
    <n v="0"/>
    <s v="16.30.409"/>
    <s v="98003449017"/>
    <n v="9298.3752899999999"/>
    <n v="0"/>
    <n v="77182"/>
  </r>
  <r>
    <x v="3"/>
    <m/>
    <s v="Krudthuset Børnehus, Bringe 26"/>
    <n v="10169"/>
    <m/>
    <s v="Krudthuset Børnehus"/>
    <x v="37"/>
    <x v="0"/>
    <x v="6"/>
    <n v="90836.91"/>
    <n v="6"/>
    <s v="2012-06-30"/>
    <n v="0"/>
    <n v="721"/>
    <n v="125.96992"/>
    <n v="1"/>
    <x v="6"/>
    <x v="754"/>
    <n v="22102.15"/>
    <n v="0"/>
    <s v="16.30.409"/>
    <s v="98003449017"/>
    <n v="8110.4395500000001"/>
    <n v="0"/>
    <n v="77182"/>
  </r>
  <r>
    <x v="3"/>
    <s v="04730-9"/>
    <s v="Mælkebøtten, Hvilebækgårdsvej 15"/>
    <n v="5447"/>
    <m/>
    <s v="Mælkebøtten"/>
    <x v="38"/>
    <x v="0"/>
    <x v="0"/>
    <n v="40371"/>
    <n v="5"/>
    <s v="2005-07-27"/>
    <n v="0"/>
    <n v="480"/>
    <n v="43.851280000000003"/>
    <n v="1"/>
    <x v="1"/>
    <x v="755"/>
    <n v="4320068.2"/>
    <n v="0"/>
    <s v="4824616"/>
    <m/>
    <n v="21053"/>
    <n v="0"/>
    <n v="57508"/>
  </r>
  <r>
    <x v="3"/>
    <s v="04730-9"/>
    <s v="Mælkebøtten, Hvilebækgårdsvej 15"/>
    <n v="5447"/>
    <m/>
    <s v="Mælkebøtten"/>
    <x v="38"/>
    <x v="1"/>
    <x v="0"/>
    <n v="22733.97"/>
    <n v="5"/>
    <s v="2005-07-27"/>
    <n v="0"/>
    <n v="480"/>
    <n v="47.352572000000002"/>
    <n v="1"/>
    <x v="3"/>
    <x v="756"/>
    <n v="132435.60999999999"/>
    <n v="1"/>
    <s v="4824616"/>
    <m/>
    <n v="651.59"/>
    <n v="0"/>
    <n v="57509"/>
  </r>
  <r>
    <x v="3"/>
    <s v="04730-9"/>
    <s v="Mælkebøtten, Hvilebækgårdsvej 15"/>
    <n v="5447"/>
    <m/>
    <s v="Mælkebøtten"/>
    <x v="38"/>
    <x v="1"/>
    <x v="1"/>
    <n v="61754.6"/>
    <n v="12"/>
    <s v="2005-07-27"/>
    <n v="0"/>
    <n v="480"/>
    <n v="128.62861899999999"/>
    <n v="1"/>
    <x v="3"/>
    <x v="757"/>
    <n v="384.26"/>
    <n v="1"/>
    <s v="4824616"/>
    <m/>
    <n v="1769.98"/>
    <n v="0"/>
    <n v="57509"/>
  </r>
  <r>
    <x v="3"/>
    <s v="04730-9"/>
    <s v="Mælkebøtten, Hvilebækgårdsvej 15"/>
    <n v="5447"/>
    <m/>
    <s v="Mælkebøtten"/>
    <x v="38"/>
    <x v="0"/>
    <x v="1"/>
    <n v="49588.13"/>
    <n v="12"/>
    <s v="2005-07-27"/>
    <n v="0"/>
    <n v="480"/>
    <n v="103.287086"/>
    <n v="1"/>
    <x v="1"/>
    <x v="758"/>
    <n v="9739.9"/>
    <n v="0"/>
    <s v="4824616"/>
    <m/>
    <n v="49588.13"/>
    <n v="0"/>
    <n v="57508"/>
  </r>
  <r>
    <x v="3"/>
    <s v="04730-9"/>
    <s v="Mælkebøtten, Hvilebækgårdsvej 15"/>
    <n v="5447"/>
    <m/>
    <s v="Mælkebøtten"/>
    <x v="38"/>
    <x v="1"/>
    <x v="2"/>
    <n v="85748.79"/>
    <n v="12"/>
    <s v="2005-07-27"/>
    <n v="0"/>
    <n v="480"/>
    <n v="178.60610199999999"/>
    <n v="1"/>
    <x v="3"/>
    <x v="759"/>
    <n v="480.99"/>
    <n v="1"/>
    <s v="4824616"/>
    <m/>
    <n v="2457.69"/>
    <n v="0"/>
    <n v="57509"/>
  </r>
  <r>
    <x v="3"/>
    <s v="04730-9"/>
    <s v="Mælkebøtten, Hvilebækgårdsvej 15"/>
    <n v="5447"/>
    <m/>
    <s v="Mælkebøtten"/>
    <x v="38"/>
    <x v="0"/>
    <x v="2"/>
    <n v="67154.5"/>
    <n v="12"/>
    <s v="2005-07-27"/>
    <n v="0"/>
    <n v="480"/>
    <n v="139.87606700000001"/>
    <n v="1"/>
    <x v="1"/>
    <x v="760"/>
    <n v="13075.18"/>
    <n v="0"/>
    <s v="4824616"/>
    <m/>
    <n v="67154.5"/>
    <n v="0"/>
    <n v="57508"/>
  </r>
  <r>
    <x v="3"/>
    <s v="04730-9"/>
    <s v="Mælkebøtten, Hvilebækgårdsvej 15"/>
    <n v="5447"/>
    <m/>
    <s v="Mælkebøtten"/>
    <x v="38"/>
    <x v="0"/>
    <x v="3"/>
    <n v="68779.3"/>
    <n v="12"/>
    <s v="2005-07-27"/>
    <n v="0"/>
    <n v="480"/>
    <n v="143.26036199999999"/>
    <n v="1"/>
    <x v="1"/>
    <x v="761"/>
    <n v="14004.13"/>
    <n v="0"/>
    <s v="4824616"/>
    <m/>
    <n v="68779.3"/>
    <n v="0"/>
    <n v="57508"/>
  </r>
  <r>
    <x v="3"/>
    <s v="04730-9"/>
    <s v="Mælkebøtten, Hvilebækgårdsvej 15"/>
    <n v="5447"/>
    <m/>
    <s v="Mælkebøtten"/>
    <x v="38"/>
    <x v="1"/>
    <x v="3"/>
    <n v="132768.65"/>
    <n v="12"/>
    <s v="2005-07-27"/>
    <n v="0"/>
    <n v="480"/>
    <n v="276.54374000000001"/>
    <n v="1"/>
    <x v="3"/>
    <x v="762"/>
    <n v="791.39"/>
    <n v="1"/>
    <s v="4824616"/>
    <m/>
    <n v="3805.35"/>
    <n v="0"/>
    <n v="57509"/>
  </r>
  <r>
    <x v="3"/>
    <s v="04730-9"/>
    <s v="Mælkebøtten, Hvilebækgårdsvej 15"/>
    <n v="5447"/>
    <m/>
    <s v="Mælkebøtten"/>
    <x v="38"/>
    <x v="0"/>
    <x v="4"/>
    <n v="63711.199999999997"/>
    <n v="12"/>
    <s v="2005-07-27"/>
    <n v="0"/>
    <n v="480"/>
    <n v="132.70401899999999"/>
    <n v="1"/>
    <x v="1"/>
    <x v="763"/>
    <n v="10782.85"/>
    <n v="0"/>
    <s v="4824616"/>
    <m/>
    <n v="63711.197"/>
    <n v="0"/>
    <n v="57508"/>
  </r>
  <r>
    <x v="3"/>
    <s v="04730-9"/>
    <s v="Mælkebøtten, Hvilebækgårdsvej 15"/>
    <n v="5447"/>
    <m/>
    <s v="Mælkebøtten"/>
    <x v="38"/>
    <x v="1"/>
    <x v="4"/>
    <n v="115538.94"/>
    <n v="12"/>
    <s v="2005-07-27"/>
    <n v="0"/>
    <n v="480"/>
    <n v="240.65598800000001"/>
    <n v="1"/>
    <x v="3"/>
    <x v="764"/>
    <n v="747.62"/>
    <n v="1"/>
    <s v="4824616"/>
    <m/>
    <n v="3311.52"/>
    <n v="0"/>
    <n v="57509"/>
  </r>
  <r>
    <x v="3"/>
    <s v="04730-9"/>
    <s v="Mælkebøtten, Hvilebækgårdsvej 15"/>
    <n v="5447"/>
    <m/>
    <s v="Mælkebøtten"/>
    <x v="38"/>
    <x v="0"/>
    <x v="5"/>
    <n v="51270"/>
    <n v="12"/>
    <s v="2005-07-27"/>
    <n v="0"/>
    <n v="480"/>
    <n v="106.790252"/>
    <n v="1"/>
    <x v="1"/>
    <x v="765"/>
    <n v="10075.68"/>
    <n v="0"/>
    <s v="4824616"/>
    <m/>
    <n v="51270"/>
    <n v="0"/>
    <n v="57508"/>
  </r>
  <r>
    <x v="3"/>
    <s v="04730-9"/>
    <s v="Mælkebøtten, Hvilebækgårdsvej 15"/>
    <n v="5447"/>
    <m/>
    <s v="Mælkebøtten"/>
    <x v="38"/>
    <x v="1"/>
    <x v="5"/>
    <n v="104041.28"/>
    <n v="12"/>
    <s v="2005-07-27"/>
    <n v="0"/>
    <n v="480"/>
    <n v="216.70751899999999"/>
    <n v="1"/>
    <x v="3"/>
    <x v="766"/>
    <n v="756.76"/>
    <n v="1"/>
    <s v="4824616"/>
    <m/>
    <n v="2981.98"/>
    <n v="0"/>
    <n v="57509"/>
  </r>
  <r>
    <x v="3"/>
    <s v="04730-9"/>
    <s v="Mælkebøtten, Hvilebækgårdsvej 15"/>
    <n v="5447"/>
    <m/>
    <s v="Mælkebøtten"/>
    <x v="38"/>
    <x v="1"/>
    <x v="6"/>
    <n v="90750.29"/>
    <n v="12"/>
    <s v="2005-07-27"/>
    <n v="0"/>
    <n v="480"/>
    <n v="189.02372399999999"/>
    <n v="1"/>
    <x v="3"/>
    <x v="767"/>
    <n v="593.39"/>
    <n v="1"/>
    <s v="4824616"/>
    <m/>
    <n v="2601.04"/>
    <n v="0"/>
    <n v="57509"/>
  </r>
  <r>
    <x v="3"/>
    <s v="04730-9"/>
    <s v="Mælkebøtten, Hvilebækgårdsvej 15"/>
    <n v="5447"/>
    <m/>
    <s v="Mælkebøtten"/>
    <x v="38"/>
    <x v="0"/>
    <x v="6"/>
    <n v="48162"/>
    <n v="12"/>
    <s v="2005-07-27"/>
    <n v="0"/>
    <n v="480"/>
    <n v="100.31659999999999"/>
    <n v="1"/>
    <x v="1"/>
    <x v="768"/>
    <n v="10175.9"/>
    <n v="0"/>
    <s v="4824616"/>
    <m/>
    <n v="48162"/>
    <n v="0"/>
    <n v="57508"/>
  </r>
  <r>
    <x v="3"/>
    <s v="04196-6"/>
    <s v="Nordvænget Ryttergårdsvej 48"/>
    <n v="5272"/>
    <m/>
    <s v="Nordvænget"/>
    <x v="41"/>
    <x v="1"/>
    <x v="0"/>
    <n v="42302.03"/>
    <n v="5"/>
    <s v="2005-08-01"/>
    <n v="0"/>
    <n v="541"/>
    <n v="78.177841000000001"/>
    <n v="1"/>
    <x v="3"/>
    <x v="769"/>
    <n v="249019.33"/>
    <n v="1"/>
    <s v="4824619"/>
    <m/>
    <n v="1212.4399000000001"/>
    <n v="0"/>
    <n v="57003"/>
  </r>
  <r>
    <x v="3"/>
    <s v="04196-6"/>
    <s v="Nordvænget Ryttergårdsvej 48"/>
    <n v="5272"/>
    <m/>
    <s v="Nordvænget"/>
    <x v="41"/>
    <x v="0"/>
    <x v="0"/>
    <n v="84219"/>
    <n v="5"/>
    <s v="2005-08-01"/>
    <n v="0"/>
    <n v="541"/>
    <n v="86.684549000000004"/>
    <n v="1"/>
    <x v="1"/>
    <x v="770"/>
    <n v="9649200.4000000004"/>
    <n v="0"/>
    <s v="4824619"/>
    <m/>
    <n v="46905.004000000001"/>
    <n v="0"/>
    <n v="56837"/>
  </r>
  <r>
    <x v="3"/>
    <s v="04196-6"/>
    <s v="Nordvænget Ryttergårdsvej 48"/>
    <n v="5272"/>
    <m/>
    <s v="Nordvænget"/>
    <x v="41"/>
    <x v="1"/>
    <x v="1"/>
    <n v="110109.34"/>
    <n v="12"/>
    <s v="2005-08-01"/>
    <n v="0"/>
    <n v="541"/>
    <n v="203.49166500000001"/>
    <n v="1"/>
    <x v="3"/>
    <x v="771"/>
    <n v="620.38"/>
    <n v="1"/>
    <s v="4824619"/>
    <m/>
    <n v="3155.8999800000001"/>
    <n v="0"/>
    <n v="57003"/>
  </r>
  <r>
    <x v="3"/>
    <s v="04196-6"/>
    <s v="Nordvænget Ryttergårdsvej 48"/>
    <n v="5272"/>
    <m/>
    <s v="Nordvænget"/>
    <x v="41"/>
    <x v="0"/>
    <x v="1"/>
    <n v="91957"/>
    <n v="12"/>
    <s v="2005-08-01"/>
    <n v="0"/>
    <n v="541"/>
    <n v="169.944557"/>
    <n v="1"/>
    <x v="1"/>
    <x v="772"/>
    <n v="17679.580000000002"/>
    <n v="0"/>
    <s v="4824619"/>
    <m/>
    <n v="91956.999819999997"/>
    <n v="0"/>
    <n v="56837"/>
  </r>
  <r>
    <x v="3"/>
    <s v="04196-6"/>
    <s v="Nordvænget Ryttergårdsvej 48"/>
    <n v="5272"/>
    <m/>
    <s v="Nordvænget"/>
    <x v="41"/>
    <x v="0"/>
    <x v="2"/>
    <n v="93801"/>
    <n v="12"/>
    <s v="2005-08-01"/>
    <n v="0"/>
    <n v="541"/>
    <n v="173.35243"/>
    <n v="1"/>
    <x v="1"/>
    <x v="773"/>
    <n v="18138.099999999999"/>
    <n v="0"/>
    <s v="4824619"/>
    <m/>
    <n v="93801"/>
    <n v="0"/>
    <n v="56837"/>
  </r>
  <r>
    <x v="3"/>
    <s v="04196-6"/>
    <s v="Nordvænget Ryttergårdsvej 48"/>
    <n v="5272"/>
    <m/>
    <s v="Nordvænget"/>
    <x v="41"/>
    <x v="1"/>
    <x v="2"/>
    <n v="113767.9"/>
    <n v="12"/>
    <s v="2005-08-01"/>
    <n v="0"/>
    <n v="541"/>
    <n v="210.25300300000001"/>
    <n v="1"/>
    <x v="3"/>
    <x v="774"/>
    <n v="641.07000000000005"/>
    <n v="1"/>
    <s v="4824619"/>
    <m/>
    <n v="3260.76"/>
    <n v="0"/>
    <n v="57003"/>
  </r>
  <r>
    <x v="3"/>
    <s v="04196-6"/>
    <s v="Nordvænget Ryttergårdsvej 48"/>
    <n v="5272"/>
    <m/>
    <s v="Nordvænget"/>
    <x v="41"/>
    <x v="0"/>
    <x v="3"/>
    <n v="91077.01"/>
    <n v="12"/>
    <s v="2005-08-01"/>
    <n v="0"/>
    <n v="541"/>
    <n v="168.31825900000001"/>
    <n v="1"/>
    <x v="1"/>
    <x v="775"/>
    <n v="18392.990000000002"/>
    <n v="0"/>
    <s v="4824619"/>
    <m/>
    <n v="91077.004000000001"/>
    <n v="0"/>
    <n v="56837"/>
  </r>
  <r>
    <x v="3"/>
    <s v="04196-6"/>
    <s v="Nordvænget Ryttergårdsvej 48"/>
    <n v="5272"/>
    <m/>
    <s v="Nordvænget"/>
    <x v="41"/>
    <x v="1"/>
    <x v="3"/>
    <n v="97512.67"/>
    <n v="12"/>
    <s v="2005-08-01"/>
    <n v="0"/>
    <n v="541"/>
    <n v="180.21191999999999"/>
    <n v="1"/>
    <x v="3"/>
    <x v="776"/>
    <n v="569.03"/>
    <n v="1"/>
    <s v="4824619"/>
    <m/>
    <n v="2794.8599899999999"/>
    <n v="0"/>
    <n v="57003"/>
  </r>
  <r>
    <x v="3"/>
    <s v="04196-6"/>
    <s v="Nordvænget Ryttergårdsvej 48"/>
    <n v="5272"/>
    <m/>
    <s v="Nordvænget"/>
    <x v="41"/>
    <x v="0"/>
    <x v="4"/>
    <n v="113056"/>
    <n v="12"/>
    <s v="2005-08-01"/>
    <n v="0"/>
    <n v="541"/>
    <n v="208.93734900000001"/>
    <n v="1"/>
    <x v="1"/>
    <x v="777"/>
    <n v="19152.439999999999"/>
    <n v="0"/>
    <s v="4824619"/>
    <m/>
    <n v="113056"/>
    <n v="0"/>
    <n v="56837"/>
  </r>
  <r>
    <x v="3"/>
    <s v="04196-6"/>
    <s v="Nordvænget Ryttergårdsvej 48"/>
    <n v="5272"/>
    <m/>
    <s v="Nordvænget"/>
    <x v="41"/>
    <x v="1"/>
    <x v="4"/>
    <n v="121793.67"/>
    <n v="12"/>
    <s v="2005-08-01"/>
    <n v="0"/>
    <n v="541"/>
    <n v="225.08532600000001"/>
    <n v="1"/>
    <x v="3"/>
    <x v="778"/>
    <n v="603.32000000000005"/>
    <n v="1"/>
    <s v="4824619"/>
    <m/>
    <n v="3490.79"/>
    <n v="0"/>
    <n v="57003"/>
  </r>
  <r>
    <x v="3"/>
    <s v="04196-6"/>
    <s v="Nordvænget Ryttergårdsvej 48"/>
    <n v="5272"/>
    <m/>
    <s v="Nordvænget"/>
    <x v="41"/>
    <x v="0"/>
    <x v="5"/>
    <n v="105672"/>
    <n v="12"/>
    <s v="2005-08-01"/>
    <n v="0"/>
    <n v="541"/>
    <n v="195.29107300000001"/>
    <n v="1"/>
    <x v="1"/>
    <x v="779"/>
    <n v="20813.400000000001"/>
    <n v="0"/>
    <s v="4824619"/>
    <m/>
    <n v="105672"/>
    <n v="0"/>
    <n v="56837"/>
  </r>
  <r>
    <x v="3"/>
    <s v="04196-6"/>
    <s v="Nordvænget Ryttergårdsvej 48"/>
    <n v="5272"/>
    <m/>
    <s v="Nordvænget"/>
    <x v="41"/>
    <x v="1"/>
    <x v="5"/>
    <n v="113498.22"/>
    <n v="12"/>
    <s v="2005-08-01"/>
    <n v="0"/>
    <n v="541"/>
    <n v="209.75461000000001"/>
    <n v="1"/>
    <x v="3"/>
    <x v="780"/>
    <n v="697.78"/>
    <n v="1"/>
    <s v="4824619"/>
    <m/>
    <n v="3253.03"/>
    <n v="0"/>
    <n v="57003"/>
  </r>
  <r>
    <x v="3"/>
    <s v="04196-6"/>
    <s v="Nordvænget Ryttergårdsvej 48"/>
    <n v="5272"/>
    <m/>
    <s v="Nordvænget"/>
    <x v="41"/>
    <x v="0"/>
    <x v="6"/>
    <n v="85597"/>
    <n v="12"/>
    <s v="2005-08-01"/>
    <n v="0"/>
    <n v="541"/>
    <n v="158.19072199999999"/>
    <n v="1"/>
    <x v="1"/>
    <x v="781"/>
    <n v="17915.740000000002"/>
    <n v="0"/>
    <s v="4824619"/>
    <m/>
    <n v="85597"/>
    <n v="0"/>
    <n v="56837"/>
  </r>
  <r>
    <x v="3"/>
    <s v="04196-6"/>
    <s v="Nordvænget Ryttergårdsvej 48"/>
    <n v="5272"/>
    <m/>
    <s v="Nordvænget"/>
    <x v="41"/>
    <x v="1"/>
    <x v="6"/>
    <n v="95901.79"/>
    <n v="12"/>
    <s v="2005-08-01"/>
    <n v="0"/>
    <n v="541"/>
    <n v="177.23487299999999"/>
    <n v="1"/>
    <x v="3"/>
    <x v="782"/>
    <n v="593.48"/>
    <n v="1"/>
    <s v="4824619"/>
    <m/>
    <n v="2748.69"/>
    <n v="0"/>
    <n v="57003"/>
  </r>
  <r>
    <x v="3"/>
    <m/>
    <s v="Nørreskoven, Højloft Vænge 46"/>
    <n v="9952"/>
    <m/>
    <s v="Nørreskoven"/>
    <x v="42"/>
    <x v="0"/>
    <x v="0"/>
    <n v="39925"/>
    <n v="5"/>
    <s v="2010-10-31"/>
    <n v="0"/>
    <n v="473"/>
    <n v="47.009087999999998"/>
    <n v="1"/>
    <x v="1"/>
    <x v="783"/>
    <n v="1595.3"/>
    <n v="0"/>
    <s v="772082/1998"/>
    <m/>
    <n v="22240"/>
    <n v="0"/>
    <n v="76307"/>
  </r>
  <r>
    <x v="3"/>
    <m/>
    <s v="Nørreskoven, Højloft Vænge 46"/>
    <n v="9952"/>
    <m/>
    <s v="Nørreskoven"/>
    <x v="42"/>
    <x v="0"/>
    <x v="1"/>
    <n v="40177"/>
    <n v="12"/>
    <s v="2010-10-31"/>
    <n v="0"/>
    <n v="473"/>
    <n v="84.922848999999999"/>
    <n v="1"/>
    <x v="1"/>
    <x v="784"/>
    <n v="2689.62"/>
    <n v="0"/>
    <s v="772082/1998"/>
    <m/>
    <n v="40177"/>
    <n v="0"/>
    <n v="76307"/>
  </r>
  <r>
    <x v="3"/>
    <m/>
    <s v="Nørreskoven, Højloft Vænge 46"/>
    <n v="9952"/>
    <m/>
    <s v="Nørreskoven"/>
    <x v="42"/>
    <x v="0"/>
    <x v="2"/>
    <n v="45143"/>
    <n v="12"/>
    <s v="2010-10-31"/>
    <n v="0"/>
    <n v="473"/>
    <n v="95.419573"/>
    <n v="1"/>
    <x v="1"/>
    <x v="785"/>
    <n v="8763.91"/>
    <n v="0"/>
    <s v="772082/1998"/>
    <m/>
    <n v="45143"/>
    <n v="0"/>
    <n v="76307"/>
  </r>
  <r>
    <x v="3"/>
    <m/>
    <s v="Nørreskoven, Højloft Vænge 46"/>
    <n v="9952"/>
    <m/>
    <s v="Nørreskoven"/>
    <x v="42"/>
    <x v="0"/>
    <x v="3"/>
    <n v="44240"/>
    <n v="12"/>
    <s v="2010-10-31"/>
    <n v="0"/>
    <n v="473"/>
    <n v="93.510885000000002"/>
    <n v="1"/>
    <x v="1"/>
    <x v="786"/>
    <n v="9029.07"/>
    <n v="0"/>
    <s v="772082/1998"/>
    <m/>
    <n v="44240"/>
    <n v="0"/>
    <n v="76307"/>
  </r>
  <r>
    <x v="3"/>
    <m/>
    <s v="Nørreskoven, Højloft Vænge 46"/>
    <n v="9952"/>
    <m/>
    <s v="Nørreskoven"/>
    <x v="42"/>
    <x v="0"/>
    <x v="4"/>
    <n v="43234.41"/>
    <n v="5"/>
    <s v="2010-10-31"/>
    <n v="0"/>
    <n v="473"/>
    <n v="91.385351"/>
    <n v="1"/>
    <x v="1"/>
    <x v="787"/>
    <n v="7601.49"/>
    <n v="0"/>
    <s v="772082/1998"/>
    <m/>
    <n v="43234.400009999998"/>
    <n v="0"/>
    <n v="76307"/>
  </r>
  <r>
    <x v="3"/>
    <m/>
    <s v="Nørreskoven, Højloft Vænge 46"/>
    <n v="9952"/>
    <m/>
    <s v="Nørreskoven"/>
    <x v="42"/>
    <x v="0"/>
    <x v="5"/>
    <n v="43714.48"/>
    <n v="8"/>
    <s v="2010-10-31"/>
    <n v="0"/>
    <n v="473"/>
    <n v="92.400084000000007"/>
    <n v="1"/>
    <x v="1"/>
    <x v="788"/>
    <n v="8785.66"/>
    <n v="0"/>
    <s v="772082/1998"/>
    <m/>
    <n v="43714.474150000002"/>
    <n v="0"/>
    <n v="76307"/>
  </r>
  <r>
    <x v="3"/>
    <m/>
    <s v="Nørreskoven, Højloft Vænge 46"/>
    <n v="9952"/>
    <m/>
    <s v="Nørreskoven"/>
    <x v="42"/>
    <x v="0"/>
    <x v="6"/>
    <n v="38484.33"/>
    <n v="3"/>
    <s v="2010-10-31"/>
    <n v="0"/>
    <n v="473"/>
    <n v="81.345022"/>
    <n v="1"/>
    <x v="1"/>
    <x v="789"/>
    <n v="8381.7800000000007"/>
    <n v="0"/>
    <s v="772082/1998"/>
    <m/>
    <n v="38484.329940000003"/>
    <n v="0"/>
    <n v="76307"/>
  </r>
  <r>
    <x v="3"/>
    <s v="02587-9"/>
    <s v="Paletten, tidl. Vallhalla Ryttergårdsvej 106"/>
    <n v="5277"/>
    <m/>
    <s v="Paletten, tidl. Vallhalla"/>
    <x v="43"/>
    <x v="0"/>
    <x v="0"/>
    <n v="46882"/>
    <n v="5"/>
    <s v="2005-09-01"/>
    <n v="0"/>
    <n v="585"/>
    <n v="43.648947999999997"/>
    <n v="1"/>
    <x v="1"/>
    <x v="790"/>
    <n v="5300612.5999999996"/>
    <n v="0"/>
    <s v="4824608"/>
    <m/>
    <n v="25539"/>
    <n v="0"/>
    <n v="56868"/>
  </r>
  <r>
    <x v="3"/>
    <s v="02587-9"/>
    <s v="Paletten, tidl. Vallhalla Ryttergårdsvej 106"/>
    <n v="5277"/>
    <m/>
    <s v="Paletten, tidl. Vallhalla"/>
    <x v="43"/>
    <x v="1"/>
    <x v="0"/>
    <n v="17031.2"/>
    <n v="5"/>
    <s v="2005-09-01"/>
    <n v="0"/>
    <n v="585"/>
    <n v="29.108186"/>
    <n v="1"/>
    <x v="3"/>
    <x v="791"/>
    <n v="101314.04"/>
    <n v="1"/>
    <s v="4824608"/>
    <m/>
    <n v="488.14"/>
    <n v="0"/>
    <n v="57007"/>
  </r>
  <r>
    <x v="3"/>
    <s v="02587-9"/>
    <s v="Paletten, tidl. Vallhalla Ryttergårdsvej 106"/>
    <n v="5277"/>
    <m/>
    <s v="Paletten, tidl. Vallhalla"/>
    <x v="43"/>
    <x v="1"/>
    <x v="1"/>
    <n v="34699.5"/>
    <n v="12"/>
    <s v="2005-09-01"/>
    <n v="0"/>
    <n v="585"/>
    <n v="59.305245999999997"/>
    <n v="1"/>
    <x v="3"/>
    <x v="792"/>
    <n v="189.42"/>
    <n v="1"/>
    <s v="4824608"/>
    <m/>
    <n v="994.54"/>
    <n v="0"/>
    <n v="57007"/>
  </r>
  <r>
    <x v="3"/>
    <s v="02587-9"/>
    <s v="Paletten, tidl. Vallhalla Ryttergårdsvej 106"/>
    <n v="5277"/>
    <m/>
    <s v="Paletten, tidl. Vallhalla"/>
    <x v="43"/>
    <x v="0"/>
    <x v="1"/>
    <n v="47770"/>
    <n v="12"/>
    <s v="2005-09-01"/>
    <n v="0"/>
    <n v="585"/>
    <n v="81.644163000000006"/>
    <n v="1"/>
    <x v="1"/>
    <x v="793"/>
    <n v="9146.36"/>
    <n v="0"/>
    <s v="4824608"/>
    <m/>
    <n v="47770"/>
    <n v="0"/>
    <n v="56868"/>
  </r>
  <r>
    <x v="3"/>
    <s v="02587-9"/>
    <s v="Paletten, tidl. Vallhalla Ryttergårdsvej 106"/>
    <n v="5277"/>
    <m/>
    <s v="Paletten, tidl. Vallhalla"/>
    <x v="43"/>
    <x v="1"/>
    <x v="2"/>
    <n v="32575.74"/>
    <n v="12"/>
    <s v="2005-09-01"/>
    <n v="0"/>
    <n v="585"/>
    <n v="55.675508000000001"/>
    <n v="1"/>
    <x v="3"/>
    <x v="794"/>
    <n v="180.59"/>
    <n v="1"/>
    <s v="4824608"/>
    <m/>
    <n v="933.67"/>
    <n v="0"/>
    <n v="57007"/>
  </r>
  <r>
    <x v="3"/>
    <s v="02587-9"/>
    <s v="Paletten, tidl. Vallhalla Ryttergårdsvej 106"/>
    <n v="5277"/>
    <m/>
    <s v="Paletten, tidl. Vallhalla"/>
    <x v="43"/>
    <x v="0"/>
    <x v="2"/>
    <n v="45883"/>
    <n v="12"/>
    <s v="2005-09-01"/>
    <n v="0"/>
    <n v="585"/>
    <n v="78.419072999999997"/>
    <n v="1"/>
    <x v="1"/>
    <x v="795"/>
    <n v="8902.18"/>
    <n v="0"/>
    <s v="4824608"/>
    <m/>
    <n v="45883"/>
    <n v="0"/>
    <n v="56868"/>
  </r>
  <r>
    <x v="3"/>
    <s v="02587-9"/>
    <s v="Paletten, tidl. Vallhalla Ryttergårdsvej 106"/>
    <n v="5277"/>
    <m/>
    <s v="Paletten, tidl. Vallhalla"/>
    <x v="43"/>
    <x v="1"/>
    <x v="3"/>
    <n v="31558.71"/>
    <n v="12"/>
    <s v="2005-09-01"/>
    <n v="0"/>
    <n v="585"/>
    <n v="53.937291999999999"/>
    <n v="1"/>
    <x v="3"/>
    <x v="796"/>
    <n v="181.86"/>
    <n v="1"/>
    <s v="4824608"/>
    <m/>
    <n v="904.51999000000001"/>
    <n v="0"/>
    <n v="57007"/>
  </r>
  <r>
    <x v="3"/>
    <s v="02587-9"/>
    <s v="Paletten, tidl. Vallhalla Ryttergårdsvej 106"/>
    <n v="5277"/>
    <m/>
    <s v="Paletten, tidl. Vallhalla"/>
    <x v="43"/>
    <x v="0"/>
    <x v="3"/>
    <n v="44808"/>
    <n v="12"/>
    <s v="2005-09-01"/>
    <n v="0"/>
    <n v="585"/>
    <n v="76.581779999999995"/>
    <n v="1"/>
    <x v="1"/>
    <x v="797"/>
    <n v="9038.3700000000008"/>
    <n v="0"/>
    <s v="4824608"/>
    <m/>
    <n v="44808.000399999997"/>
    <n v="0"/>
    <n v="56868"/>
  </r>
  <r>
    <x v="3"/>
    <s v="02587-9"/>
    <s v="Paletten, tidl. Vallhalla Ryttergårdsvej 106"/>
    <n v="5277"/>
    <m/>
    <s v="Paletten, tidl. Vallhalla"/>
    <x v="43"/>
    <x v="0"/>
    <x v="4"/>
    <n v="56100"/>
    <n v="12"/>
    <s v="2005-09-01"/>
    <n v="0"/>
    <n v="585"/>
    <n v="95.881045"/>
    <n v="1"/>
    <x v="1"/>
    <x v="798"/>
    <n v="9409.42"/>
    <n v="0"/>
    <s v="4824608"/>
    <m/>
    <n v="56100"/>
    <n v="0"/>
    <n v="56868"/>
  </r>
  <r>
    <x v="3"/>
    <s v="02587-9"/>
    <s v="Paletten, tidl. Vallhalla Ryttergårdsvej 106"/>
    <n v="5277"/>
    <m/>
    <s v="Paletten, tidl. Vallhalla"/>
    <x v="43"/>
    <x v="1"/>
    <x v="4"/>
    <n v="41762.980000000003"/>
    <n v="12"/>
    <s v="2005-09-01"/>
    <n v="0"/>
    <n v="585"/>
    <n v="71.377508000000006"/>
    <n v="1"/>
    <x v="3"/>
    <x v="799"/>
    <n v="200.48"/>
    <n v="1"/>
    <s v="4824608"/>
    <m/>
    <n v="1196.99"/>
    <n v="0"/>
    <n v="57007"/>
  </r>
  <r>
    <x v="3"/>
    <s v="02587-9"/>
    <s v="Paletten, tidl. Vallhalla Ryttergårdsvej 106"/>
    <n v="5277"/>
    <m/>
    <s v="Paletten, tidl. Vallhalla"/>
    <x v="43"/>
    <x v="1"/>
    <x v="5"/>
    <n v="31136.880000000001"/>
    <n v="12"/>
    <s v="2005-09-01"/>
    <n v="0"/>
    <n v="585"/>
    <n v="53.216338999999998"/>
    <n v="1"/>
    <x v="3"/>
    <x v="800"/>
    <n v="173.31"/>
    <n v="1"/>
    <s v="4824608"/>
    <m/>
    <n v="892.43"/>
    <n v="0"/>
    <n v="57007"/>
  </r>
  <r>
    <x v="3"/>
    <s v="02587-9"/>
    <s v="Paletten, tidl. Vallhalla Ryttergårdsvej 106"/>
    <n v="5277"/>
    <m/>
    <s v="Paletten, tidl. Vallhalla"/>
    <x v="43"/>
    <x v="0"/>
    <x v="5"/>
    <n v="41688"/>
    <n v="12"/>
    <s v="2005-09-01"/>
    <n v="0"/>
    <n v="585"/>
    <n v="71.249358999999998"/>
    <n v="1"/>
    <x v="1"/>
    <x v="801"/>
    <n v="8125.49"/>
    <n v="0"/>
    <s v="4824608"/>
    <m/>
    <n v="41688"/>
    <n v="0"/>
    <n v="56868"/>
  </r>
  <r>
    <x v="3"/>
    <s v="02587-9"/>
    <s v="Paletten, tidl. Vallhalla Ryttergårdsvej 106"/>
    <n v="5277"/>
    <m/>
    <s v="Paletten, tidl. Vallhalla"/>
    <x v="43"/>
    <x v="1"/>
    <x v="6"/>
    <n v="28142.61"/>
    <n v="12"/>
    <s v="2005-09-01"/>
    <n v="0"/>
    <n v="585"/>
    <n v="48.098802999999997"/>
    <n v="1"/>
    <x v="3"/>
    <x v="802"/>
    <n v="169.74"/>
    <n v="1"/>
    <s v="4824608"/>
    <m/>
    <n v="806.61"/>
    <n v="0"/>
    <n v="57007"/>
  </r>
  <r>
    <x v="3"/>
    <s v="02587-9"/>
    <s v="Paletten, tidl. Vallhalla Ryttergårdsvej 106"/>
    <n v="5277"/>
    <m/>
    <s v="Paletten, tidl. Vallhalla"/>
    <x v="43"/>
    <x v="0"/>
    <x v="6"/>
    <n v="39186"/>
    <n v="12"/>
    <s v="2005-09-01"/>
    <n v="0"/>
    <n v="585"/>
    <n v="66.973166000000006"/>
    <n v="1"/>
    <x v="1"/>
    <x v="803"/>
    <n v="8300.2800000000007"/>
    <n v="0"/>
    <s v="4824608"/>
    <m/>
    <n v="39185.9997"/>
    <n v="0"/>
    <n v="56868"/>
  </r>
  <r>
    <x v="3"/>
    <s v="04927-1"/>
    <s v="Regnbuen, Birkhøj 1"/>
    <n v="5274"/>
    <m/>
    <s v="Regnbuen"/>
    <x v="54"/>
    <x v="1"/>
    <x v="0"/>
    <n v="65645.53"/>
    <n v="5"/>
    <s v="2005-08-01"/>
    <n v="0"/>
    <n v="586"/>
    <n v="112.003975"/>
    <n v="1"/>
    <x v="3"/>
    <x v="804"/>
    <n v="387406.12"/>
    <n v="1"/>
    <s v="4824613"/>
    <m/>
    <n v="1881.5"/>
    <n v="0"/>
    <n v="57005"/>
  </r>
  <r>
    <x v="3"/>
    <s v="04927-1"/>
    <s v="Regnbuen, Birkhøj 1"/>
    <n v="5274"/>
    <m/>
    <s v="Regnbuen"/>
    <x v="54"/>
    <x v="1"/>
    <x v="1"/>
    <n v="177369.76"/>
    <n v="12"/>
    <s v="2005-08-01"/>
    <n v="0"/>
    <n v="586"/>
    <n v="302.62712800000003"/>
    <n v="1"/>
    <x v="3"/>
    <x v="805"/>
    <n v="1069.3"/>
    <n v="1"/>
    <s v="4824613"/>
    <m/>
    <n v="5083.6850000000004"/>
    <n v="0"/>
    <n v="57005"/>
  </r>
  <r>
    <x v="3"/>
    <s v="04927-1"/>
    <s v="Regnbuen, Birkhøj 1"/>
    <n v="5274"/>
    <m/>
    <s v="Regnbuen"/>
    <x v="54"/>
    <x v="1"/>
    <x v="2"/>
    <n v="219355.53"/>
    <n v="12"/>
    <s v="2005-08-01"/>
    <n v="0"/>
    <n v="586"/>
    <n v="374.26297499999998"/>
    <n v="1"/>
    <x v="3"/>
    <x v="806"/>
    <n v="1249.6600000000001"/>
    <n v="1"/>
    <s v="4824613"/>
    <m/>
    <n v="6287.06"/>
    <n v="0"/>
    <n v="57005"/>
  </r>
  <r>
    <x v="3"/>
    <s v="04927-1"/>
    <s v="Regnbuen, Birkhøj 1"/>
    <n v="5274"/>
    <m/>
    <s v="Regnbuen"/>
    <x v="54"/>
    <x v="1"/>
    <x v="3"/>
    <n v="238300.1"/>
    <n v="12"/>
    <s v="2005-08-01"/>
    <n v="0"/>
    <n v="586"/>
    <n v="406.58607699999999"/>
    <n v="1"/>
    <x v="3"/>
    <x v="807"/>
    <n v="1445.41"/>
    <n v="1"/>
    <s v="4824613"/>
    <m/>
    <n v="6830.04"/>
    <n v="0"/>
    <n v="57005"/>
  </r>
  <r>
    <x v="3"/>
    <s v="04927-1"/>
    <s v="Regnbuen, Birkhøj 1"/>
    <n v="5274"/>
    <m/>
    <s v="Regnbuen"/>
    <x v="54"/>
    <x v="1"/>
    <x v="4"/>
    <n v="208973.31"/>
    <n v="12"/>
    <s v="2005-08-01"/>
    <n v="0"/>
    <n v="586"/>
    <n v="356.54889900000001"/>
    <n v="1"/>
    <x v="3"/>
    <x v="808"/>
    <n v="1073.83"/>
    <n v="1"/>
    <s v="4824613"/>
    <m/>
    <n v="5989.49"/>
    <n v="0"/>
    <n v="57005"/>
  </r>
  <r>
    <x v="3"/>
    <s v="04927-1"/>
    <s v="Regnbuen, Birkhøj 1"/>
    <n v="5274"/>
    <m/>
    <s v="Regnbuen"/>
    <x v="54"/>
    <x v="1"/>
    <x v="5"/>
    <n v="188129.66"/>
    <n v="12"/>
    <s v="2005-08-01"/>
    <n v="0"/>
    <n v="586"/>
    <n v="320.98559899999998"/>
    <n v="1"/>
    <x v="3"/>
    <x v="809"/>
    <n v="1145.96"/>
    <n v="1"/>
    <s v="4824613"/>
    <m/>
    <n v="5392.08"/>
    <n v="0"/>
    <n v="57005"/>
  </r>
  <r>
    <x v="3"/>
    <s v="04927-1"/>
    <s v="Regnbuen, Birkhøj 1"/>
    <n v="5274"/>
    <m/>
    <s v="Regnbuen"/>
    <x v="54"/>
    <x v="1"/>
    <x v="6"/>
    <n v="108680.95"/>
    <n v="12"/>
    <s v="2005-08-01"/>
    <n v="0"/>
    <n v="586"/>
    <n v="185.43072799999999"/>
    <n v="1"/>
    <x v="3"/>
    <x v="810"/>
    <n v="699.26"/>
    <n v="1"/>
    <s v="4824613"/>
    <m/>
    <n v="3114.96"/>
    <n v="0"/>
    <n v="57005"/>
  </r>
  <r>
    <x v="3"/>
    <s v="01789-2"/>
    <s v="Røde Sol, Lindegårdsvej 2"/>
    <n v="5247"/>
    <m/>
    <s v="Røde Sol"/>
    <x v="44"/>
    <x v="0"/>
    <x v="0"/>
    <n v="35871"/>
    <n v="5"/>
    <s v="2005-05-01"/>
    <n v="0"/>
    <n v="284"/>
    <n v="78.752234999999999"/>
    <n v="1"/>
    <x v="4"/>
    <x v="811"/>
    <n v="5351.9"/>
    <n v="0"/>
    <s v="1120526/1620060"/>
    <s v="98000130314"/>
    <n v="2071.62"/>
    <n v="0"/>
    <n v="56639"/>
  </r>
  <r>
    <x v="3"/>
    <s v="01789-2"/>
    <s v="Røde Sol, Lindegårdsvej 2"/>
    <n v="5247"/>
    <m/>
    <s v="Røde Sol"/>
    <x v="44"/>
    <x v="0"/>
    <x v="1"/>
    <n v="54033.47"/>
    <n v="12"/>
    <s v="2005-05-01"/>
    <n v="0"/>
    <n v="284"/>
    <n v="190.19172800000001"/>
    <n v="1"/>
    <x v="4"/>
    <x v="812"/>
    <n v="11828.14"/>
    <n v="0"/>
    <s v="1120526/1620060"/>
    <s v="98000130314"/>
    <n v="5003.1000000000004"/>
    <n v="0"/>
    <n v="56639"/>
  </r>
  <r>
    <x v="3"/>
    <s v="01789-2"/>
    <s v="Røde Sol, Lindegårdsvej 2"/>
    <n v="5247"/>
    <m/>
    <s v="Røde Sol"/>
    <x v="44"/>
    <x v="0"/>
    <x v="2"/>
    <n v="60019.39"/>
    <n v="12"/>
    <s v="2005-05-01"/>
    <n v="0"/>
    <n v="284"/>
    <n v="211.261492"/>
    <n v="1"/>
    <x v="4"/>
    <x v="813"/>
    <n v="13294.19"/>
    <n v="0"/>
    <s v="1120526/1620060"/>
    <s v="98000130314"/>
    <n v="5557.35"/>
    <n v="0"/>
    <n v="56639"/>
  </r>
  <r>
    <x v="3"/>
    <s v="01789-2"/>
    <s v="Røde Sol, Lindegårdsvej 2"/>
    <n v="5247"/>
    <m/>
    <s v="Røde Sol"/>
    <x v="44"/>
    <x v="0"/>
    <x v="3"/>
    <n v="52613.7"/>
    <n v="12"/>
    <s v="2005-05-01"/>
    <n v="0"/>
    <n v="284"/>
    <n v="185.19429700000001"/>
    <n v="1"/>
    <x v="4"/>
    <x v="814"/>
    <n v="11926.13"/>
    <n v="0"/>
    <s v="1120526/1620060"/>
    <s v="98000130314"/>
    <n v="4871.6400000000003"/>
    <n v="0"/>
    <n v="56639"/>
  </r>
  <r>
    <x v="3"/>
    <s v="01789-2"/>
    <s v="Røde Sol, Lindegårdsvej 2"/>
    <n v="5247"/>
    <m/>
    <s v="Røde Sol"/>
    <x v="44"/>
    <x v="0"/>
    <x v="4"/>
    <n v="72210.100000000006"/>
    <n v="12"/>
    <s v="2005-05-01"/>
    <n v="0"/>
    <n v="284"/>
    <n v="254.17141799999999"/>
    <n v="1"/>
    <x v="4"/>
    <x v="815"/>
    <n v="19583.48"/>
    <n v="0"/>
    <s v="1120526/1620060"/>
    <s v="98000130314"/>
    <n v="6686.1216999999997"/>
    <n v="0"/>
    <n v="56639"/>
  </r>
  <r>
    <x v="3"/>
    <s v="01789-2"/>
    <s v="Røde Sol, Lindegårdsvej 2"/>
    <n v="5247"/>
    <m/>
    <s v="Røde Sol"/>
    <x v="44"/>
    <x v="0"/>
    <x v="5"/>
    <n v="61125.06"/>
    <n v="12"/>
    <s v="2005-05-01"/>
    <n v="0"/>
    <n v="284"/>
    <n v="215.15332599999999"/>
    <n v="1"/>
    <x v="4"/>
    <x v="816"/>
    <n v="13867.16"/>
    <n v="0"/>
    <s v="1120526/1620060"/>
    <s v="98000130314"/>
    <n v="5659.7278999999999"/>
    <n v="0"/>
    <n v="56639"/>
  </r>
  <r>
    <x v="3"/>
    <s v="01789-2"/>
    <s v="Røde Sol, Lindegårdsvej 2"/>
    <n v="5247"/>
    <m/>
    <s v="Røde Sol"/>
    <x v="44"/>
    <x v="0"/>
    <x v="6"/>
    <n v="67430.990000000005"/>
    <n v="12"/>
    <s v="2005-05-01"/>
    <n v="0"/>
    <n v="284"/>
    <n v="237.34948900000001"/>
    <n v="1"/>
    <x v="4"/>
    <x v="817"/>
    <n v="16161.92"/>
    <n v="0"/>
    <s v="1120526/1620060"/>
    <s v="98000130314"/>
    <n v="6243.61"/>
    <n v="0"/>
    <n v="56639"/>
  </r>
  <r>
    <x v="3"/>
    <m/>
    <s v="Skovstjernen Børnehus, Skovlinien 23"/>
    <n v="10019"/>
    <m/>
    <s v="Skovstjernen Børnehus"/>
    <x v="45"/>
    <x v="0"/>
    <x v="0"/>
    <n v="69785"/>
    <n v="5"/>
    <s v="2011-10-31"/>
    <n v="0"/>
    <n v="598"/>
    <n v="76.921600999999995"/>
    <n v="1"/>
    <x v="4"/>
    <x v="818"/>
    <n v="11040.26"/>
    <n v="0"/>
    <s v="176870"/>
    <s v="98004882257"/>
    <n v="4259.8900000000003"/>
    <n v="0"/>
    <n v="76533"/>
  </r>
  <r>
    <x v="3"/>
    <m/>
    <s v="Skovstjernen Børnehus, Skovlinien 23"/>
    <n v="10019"/>
    <m/>
    <s v="Skovstjernen Børnehus"/>
    <x v="45"/>
    <x v="0"/>
    <x v="1"/>
    <n v="89611.48"/>
    <n v="12"/>
    <s v="2011-10-31"/>
    <n v="0"/>
    <n v="598"/>
    <n v="149.82691800000001"/>
    <n v="1"/>
    <x v="4"/>
    <x v="819"/>
    <n v="19786.55"/>
    <n v="0"/>
    <s v="176870"/>
    <s v="98004882257"/>
    <n v="8297.36"/>
    <n v="0"/>
    <n v="76533"/>
  </r>
  <r>
    <x v="3"/>
    <m/>
    <s v="Skovstjernen Børnehus, Skovlinien 23"/>
    <n v="10019"/>
    <m/>
    <s v="Skovstjernen Børnehus"/>
    <x v="45"/>
    <x v="0"/>
    <x v="2"/>
    <n v="113960.31"/>
    <n v="12"/>
    <s v="2011-10-31"/>
    <n v="0"/>
    <n v="598"/>
    <n v="190.537217"/>
    <n v="1"/>
    <x v="4"/>
    <x v="820"/>
    <n v="25363.67"/>
    <n v="0"/>
    <s v="176870"/>
    <s v="98004882257"/>
    <n v="10551.88"/>
    <n v="0"/>
    <n v="76533"/>
  </r>
  <r>
    <x v="3"/>
    <m/>
    <s v="Skovstjernen Børnehus, Skovlinien 23"/>
    <n v="10019"/>
    <m/>
    <s v="Skovstjernen Børnehus"/>
    <x v="45"/>
    <x v="0"/>
    <x v="3"/>
    <n v="109904.3"/>
    <n v="9"/>
    <s v="2011-10-31"/>
    <n v="0"/>
    <n v="598"/>
    <n v="183.75572600000001"/>
    <n v="1"/>
    <x v="4"/>
    <x v="821"/>
    <n v="27582.47"/>
    <n v="0"/>
    <s v="176870"/>
    <s v="98004882257"/>
    <n v="10176.32476"/>
    <n v="0"/>
    <n v="76533"/>
  </r>
  <r>
    <x v="3"/>
    <m/>
    <s v="Skovstjernen Børnehus, Skovlinien 23"/>
    <n v="10019"/>
    <m/>
    <s v="Skovstjernen Børnehus"/>
    <x v="45"/>
    <x v="0"/>
    <x v="4"/>
    <n v="107738.8"/>
    <n v="3"/>
    <s v="2011-10-31"/>
    <n v="0"/>
    <n v="598"/>
    <n v="180.13509400000001"/>
    <n v="1"/>
    <x v="4"/>
    <x v="822"/>
    <n v="28516.21"/>
    <n v="0"/>
    <s v="176870"/>
    <s v="98004882257"/>
    <n v="9975.8158399999993"/>
    <n v="0"/>
    <n v="76533"/>
  </r>
  <r>
    <x v="3"/>
    <m/>
    <s v="Skovstjernen Børnehus, Skovlinien 23"/>
    <n v="10019"/>
    <m/>
    <s v="Skovstjernen Børnehus"/>
    <x v="45"/>
    <x v="0"/>
    <x v="5"/>
    <n v="115091.24"/>
    <n v="6"/>
    <s v="2011-10-31"/>
    <n v="0"/>
    <n v="598"/>
    <n v="192.428088"/>
    <n v="1"/>
    <x v="4"/>
    <x v="823"/>
    <n v="26866.47"/>
    <n v="0"/>
    <s v="176870"/>
    <s v="98004882257"/>
    <n v="10656.595369999999"/>
    <n v="0"/>
    <n v="76533"/>
  </r>
  <r>
    <x v="3"/>
    <m/>
    <s v="Skovstjernen Børnehus, Skovlinien 23"/>
    <n v="10019"/>
    <m/>
    <s v="Skovstjernen Børnehus"/>
    <x v="45"/>
    <x v="0"/>
    <x v="6"/>
    <n v="100047.19"/>
    <n v="5"/>
    <s v="2011-10-31"/>
    <n v="0"/>
    <n v="598"/>
    <n v="167.27502000000001"/>
    <n v="1"/>
    <x v="4"/>
    <x v="824"/>
    <n v="24045.040000000001"/>
    <n v="0"/>
    <s v="176870"/>
    <s v="98004882257"/>
    <n v="9263.6292799999992"/>
    <n v="0"/>
    <n v="76533"/>
  </r>
  <r>
    <x v="3"/>
    <m/>
    <s v="Solbjerg Børnehus"/>
    <n v="10056"/>
    <m/>
    <s v="Solbjerg Børnehus"/>
    <x v="46"/>
    <x v="0"/>
    <x v="0"/>
    <n v="53509"/>
    <n v="5"/>
    <s v="2011-11-30"/>
    <n v="0"/>
    <n v="836"/>
    <n v="37.208466999999999"/>
    <n v="1"/>
    <x v="5"/>
    <x v="825"/>
    <n v="2.2599999999999998"/>
    <n v="0"/>
    <s v="601132"/>
    <m/>
    <n v="31.11"/>
    <n v="0"/>
    <n v="89456"/>
  </r>
  <r>
    <x v="3"/>
    <m/>
    <s v="Solbjerg Børnehus"/>
    <n v="10056"/>
    <m/>
    <s v="Solbjerg Børnehus"/>
    <x v="46"/>
    <x v="0"/>
    <x v="1"/>
    <n v="76155"/>
    <n v="12"/>
    <s v="2011-11-30"/>
    <n v="0"/>
    <n v="836"/>
    <n v="91.083601999999999"/>
    <n v="1"/>
    <x v="5"/>
    <x v="826"/>
    <n v="5.0599999999999996"/>
    <n v="0"/>
    <s v="601132"/>
    <m/>
    <n v="76.155000000000001"/>
    <n v="0"/>
    <n v="89456"/>
  </r>
  <r>
    <x v="3"/>
    <m/>
    <s v="Solbjerg Børnehus"/>
    <n v="10056"/>
    <m/>
    <s v="Solbjerg Børnehus"/>
    <x v="46"/>
    <x v="0"/>
    <x v="2"/>
    <n v="80880"/>
    <n v="12"/>
    <s v="2011-11-30"/>
    <n v="0"/>
    <n v="836"/>
    <n v="96.734840000000005"/>
    <n v="1"/>
    <x v="5"/>
    <x v="827"/>
    <n v="15.7"/>
    <n v="0"/>
    <s v="601132"/>
    <m/>
    <n v="80.88"/>
    <n v="0"/>
    <n v="89456"/>
  </r>
  <r>
    <x v="3"/>
    <m/>
    <s v="Solbjerg Børnehus"/>
    <n v="10056"/>
    <m/>
    <s v="Solbjerg Børnehus"/>
    <x v="46"/>
    <x v="0"/>
    <x v="3"/>
    <n v="30880"/>
    <n v="6"/>
    <s v="2011-11-30"/>
    <n v="0"/>
    <n v="836"/>
    <n v="36.933380999999997"/>
    <n v="1"/>
    <x v="5"/>
    <x v="828"/>
    <n v="6.35"/>
    <n v="0"/>
    <s v="601132"/>
    <m/>
    <n v="30.88"/>
    <n v="0"/>
    <n v="89456"/>
  </r>
  <r>
    <x v="3"/>
    <m/>
    <s v="Solbjerg Børnehus"/>
    <n v="10056"/>
    <m/>
    <s v="Solbjerg Børnehus"/>
    <x v="46"/>
    <x v="0"/>
    <x v="3"/>
    <n v="38730.75"/>
    <n v="6"/>
    <s v="2011-06-06"/>
    <n v="0"/>
    <n v="836"/>
    <n v="46.323107"/>
    <n v="1"/>
    <x v="7"/>
    <x v="829"/>
    <n v="27.75"/>
    <n v="0"/>
    <s v="NEDLAGT"/>
    <m/>
    <n v="139.31926999999999"/>
    <n v="0"/>
    <n v="76679"/>
  </r>
  <r>
    <x v="3"/>
    <m/>
    <s v="Solbjerg Børnehus"/>
    <n v="10056"/>
    <m/>
    <s v="Solbjerg Børnehus"/>
    <x v="46"/>
    <x v="0"/>
    <x v="4"/>
    <n v="80900.25"/>
    <n v="8"/>
    <s v="2011-06-06"/>
    <n v="0"/>
    <n v="836"/>
    <n v="96.759058999999993"/>
    <n v="1"/>
    <x v="7"/>
    <x v="830"/>
    <n v="49.41"/>
    <n v="0"/>
    <s v="NEDLAGT"/>
    <m/>
    <n v="291.00812000000002"/>
    <n v="0"/>
    <n v="76679"/>
  </r>
  <r>
    <x v="3"/>
    <m/>
    <s v="Solbjerg Børnehus"/>
    <n v="10056"/>
    <m/>
    <s v="Solbjerg Børnehus"/>
    <x v="46"/>
    <x v="0"/>
    <x v="5"/>
    <n v="62001"/>
    <n v="6"/>
    <s v="2011-06-06"/>
    <n v="0"/>
    <n v="836"/>
    <n v="74.155005000000003"/>
    <n v="1"/>
    <x v="7"/>
    <x v="831"/>
    <n v="44.06"/>
    <n v="0"/>
    <s v="NEDLAGT"/>
    <m/>
    <n v="223.02524"/>
    <n v="0"/>
    <n v="76679"/>
  </r>
  <r>
    <x v="3"/>
    <m/>
    <s v="Solbjerg Børnehus"/>
    <n v="10056"/>
    <m/>
    <s v="Solbjerg Børnehus"/>
    <x v="46"/>
    <x v="0"/>
    <x v="6"/>
    <n v="45349.67"/>
    <n v="3"/>
    <s v="2011-06-06"/>
    <n v="0"/>
    <n v="836"/>
    <n v="54.239528"/>
    <n v="1"/>
    <x v="7"/>
    <x v="832"/>
    <n v="35.68"/>
    <n v="0"/>
    <s v="NEDLAGT"/>
    <m/>
    <n v="163.12832"/>
    <n v="0"/>
    <n v="76679"/>
  </r>
  <r>
    <x v="3"/>
    <s v="039955-1"/>
    <s v="Stavnsholt Børnehus, STA45"/>
    <n v="5279"/>
    <m/>
    <s v="Majtræet/Sommerfuglen/Tusindben/Guldsmeden"/>
    <x v="48"/>
    <x v="1"/>
    <x v="0"/>
    <n v="70384.83"/>
    <n v="5"/>
    <s v="2010-02-09"/>
    <n v="0"/>
    <n v="1603"/>
    <n v="43.905450999999999"/>
    <n v="1"/>
    <x v="3"/>
    <x v="833"/>
    <n v="373207.03"/>
    <n v="1"/>
    <s v="4824617"/>
    <m/>
    <n v="2017.335"/>
    <n v="0"/>
    <n v="57002"/>
  </r>
  <r>
    <x v="3"/>
    <s v="039955-1"/>
    <s v="Stavnsholt Børnehus, STA45"/>
    <n v="5279"/>
    <m/>
    <s v="Majtræet/Sommerfuglen/Tusindben/Guldsmeden"/>
    <x v="48"/>
    <x v="0"/>
    <x v="0"/>
    <n v="132145"/>
    <n v="5"/>
    <s v="2010-02-09"/>
    <n v="0"/>
    <n v="1603"/>
    <n v="42.837314999999997"/>
    <n v="1"/>
    <x v="1"/>
    <x v="834"/>
    <n v="14156351.699999999"/>
    <n v="0"/>
    <s v="4824617"/>
    <m/>
    <n v="68672.5"/>
    <n v="0"/>
    <n v="56882"/>
  </r>
  <r>
    <x v="3"/>
    <s v="039955-1"/>
    <s v="Stavnsholt Børnehus, STA45"/>
    <n v="5279"/>
    <m/>
    <s v="Majtræet/Sommerfuglen/Tusindben/Guldsmeden"/>
    <x v="48"/>
    <x v="0"/>
    <x v="1"/>
    <n v="144947"/>
    <n v="12"/>
    <s v="2010-02-09"/>
    <n v="0"/>
    <n v="1603"/>
    <n v="90.416691999999998"/>
    <n v="1"/>
    <x v="1"/>
    <x v="835"/>
    <n v="28268.95"/>
    <n v="0"/>
    <s v="4824617"/>
    <m/>
    <n v="144947.003"/>
    <n v="0"/>
    <n v="56882"/>
  </r>
  <r>
    <x v="3"/>
    <s v="039955-1"/>
    <s v="Stavnsholt Børnehus, STA45"/>
    <n v="5279"/>
    <m/>
    <s v="Majtræet/Sommerfuglen/Tusindben/Guldsmeden"/>
    <x v="48"/>
    <x v="1"/>
    <x v="1"/>
    <n v="155388.9"/>
    <n v="12"/>
    <s v="2010-02-09"/>
    <n v="0"/>
    <n v="1603"/>
    <n v="96.930260000000004"/>
    <n v="1"/>
    <x v="3"/>
    <x v="836"/>
    <n v="823.94"/>
    <n v="1"/>
    <s v="4824617"/>
    <m/>
    <n v="4453.68"/>
    <n v="0"/>
    <n v="57002"/>
  </r>
  <r>
    <x v="3"/>
    <s v="039955-1"/>
    <s v="Stavnsholt Børnehus, STA45"/>
    <n v="5279"/>
    <m/>
    <s v="Majtræet/Sommerfuglen/Tusindben/Guldsmeden"/>
    <x v="48"/>
    <x v="1"/>
    <x v="2"/>
    <n v="175865.5"/>
    <n v="12"/>
    <s v="2010-02-09"/>
    <n v="0"/>
    <n v="1603"/>
    <n v="109.70338700000001"/>
    <n v="1"/>
    <x v="3"/>
    <x v="837"/>
    <n v="932.5"/>
    <n v="1"/>
    <s v="4824617"/>
    <m/>
    <n v="5040.57"/>
    <n v="0"/>
    <n v="57002"/>
  </r>
  <r>
    <x v="3"/>
    <s v="039955-1"/>
    <s v="Stavnsholt Børnehus, STA45"/>
    <n v="5279"/>
    <m/>
    <s v="Majtræet/Sommerfuglen/Tusindben/Guldsmeden"/>
    <x v="48"/>
    <x v="0"/>
    <x v="2"/>
    <n v="148180"/>
    <n v="12"/>
    <s v="2010-02-09"/>
    <n v="0"/>
    <n v="1603"/>
    <n v="92.433409999999995"/>
    <n v="1"/>
    <x v="1"/>
    <x v="838"/>
    <n v="28773.72"/>
    <n v="0"/>
    <s v="4824617"/>
    <m/>
    <n v="148180"/>
    <n v="0"/>
    <n v="56882"/>
  </r>
  <r>
    <x v="3"/>
    <s v="039955-1"/>
    <s v="Stavnsholt Børnehus, STA45"/>
    <n v="5279"/>
    <m/>
    <s v="Majtræet/Sommerfuglen/Tusindben/Guldsmeden"/>
    <x v="48"/>
    <x v="1"/>
    <x v="3"/>
    <n v="323256.90999999997"/>
    <n v="12"/>
    <s v="2010-02-09"/>
    <n v="0"/>
    <n v="1603"/>
    <n v="201.644881"/>
    <n v="1"/>
    <x v="3"/>
    <x v="839"/>
    <n v="1714.03"/>
    <n v="1"/>
    <s v="4824617"/>
    <m/>
    <n v="9265.0300000000007"/>
    <n v="0"/>
    <n v="57002"/>
  </r>
  <r>
    <x v="3"/>
    <s v="039955-1"/>
    <s v="Stavnsholt Børnehus, STA45"/>
    <n v="5279"/>
    <m/>
    <s v="Majtræet/Sommerfuglen/Tusindben/Guldsmeden"/>
    <x v="48"/>
    <x v="0"/>
    <x v="3"/>
    <n v="162692"/>
    <n v="12"/>
    <s v="2010-02-09"/>
    <n v="0"/>
    <n v="1603"/>
    <n v="101.485871"/>
    <n v="1"/>
    <x v="1"/>
    <x v="840"/>
    <n v="33632.33"/>
    <n v="0"/>
    <s v="4824617"/>
    <m/>
    <n v="162692"/>
    <n v="0"/>
    <n v="56882"/>
  </r>
  <r>
    <x v="3"/>
    <s v="039955-1"/>
    <s v="Stavnsholt Børnehus, STA45"/>
    <n v="5279"/>
    <m/>
    <s v="Majtræet/Sommerfuglen/Tusindben/Guldsmeden"/>
    <x v="48"/>
    <x v="0"/>
    <x v="4"/>
    <n v="189734.58"/>
    <n v="13"/>
    <s v="2010-02-09"/>
    <n v="0"/>
    <n v="1603"/>
    <n v="118.3548"/>
    <n v="1"/>
    <x v="1"/>
    <x v="841"/>
    <n v="33399.65"/>
    <n v="0"/>
    <s v="4824617"/>
    <m/>
    <n v="189734.57274999999"/>
    <n v="0"/>
    <n v="56882"/>
  </r>
  <r>
    <x v="3"/>
    <s v="039955-1"/>
    <s v="Stavnsholt Børnehus, STA45"/>
    <n v="5279"/>
    <m/>
    <s v="Majtræet/Sommerfuglen/Tusindben/Guldsmeden"/>
    <x v="48"/>
    <x v="1"/>
    <x v="4"/>
    <n v="323710.83"/>
    <n v="13"/>
    <s v="2010-02-09"/>
    <n v="0"/>
    <n v="1603"/>
    <n v="201.928033"/>
    <n v="1"/>
    <x v="3"/>
    <x v="842"/>
    <n v="1716.44"/>
    <n v="1"/>
    <s v="4824617"/>
    <m/>
    <n v="9278.0400000000009"/>
    <n v="0"/>
    <n v="57002"/>
  </r>
  <r>
    <x v="3"/>
    <s v="039955-1"/>
    <s v="Stavnsholt Børnehus, STA45"/>
    <n v="5279"/>
    <m/>
    <s v="Majtræet/Sommerfuglen/Tusindben/Guldsmeden"/>
    <x v="48"/>
    <x v="0"/>
    <x v="5"/>
    <n v="249210.12"/>
    <n v="12"/>
    <s v="2010-02-09"/>
    <n v="0"/>
    <n v="1603"/>
    <n v="155.45513"/>
    <n v="1"/>
    <x v="1"/>
    <x v="843"/>
    <n v="57908.67"/>
    <n v="0"/>
    <s v="4824617"/>
    <m/>
    <n v="249210.07832999999"/>
    <n v="0"/>
    <n v="56882"/>
  </r>
  <r>
    <x v="3"/>
    <s v="039955-1"/>
    <s v="Stavnsholt Børnehus, STA45"/>
    <n v="5279"/>
    <m/>
    <s v="Majtræet/Sommerfuglen/Tusindben/Guldsmeden"/>
    <x v="48"/>
    <x v="1"/>
    <x v="5"/>
    <n v="128235.39"/>
    <n v="12"/>
    <s v="2010-02-09"/>
    <n v="0"/>
    <n v="1603"/>
    <n v="79.992132999999995"/>
    <n v="1"/>
    <x v="3"/>
    <x v="844"/>
    <n v="679.94"/>
    <n v="1"/>
    <s v="4824617"/>
    <m/>
    <n v="3675.42"/>
    <n v="0"/>
    <n v="57002"/>
  </r>
  <r>
    <x v="3"/>
    <s v="039955-1"/>
    <s v="Stavnsholt Børnehus, STA45"/>
    <n v="5279"/>
    <m/>
    <s v="Majtræet/Sommerfuglen/Tusindben/Guldsmeden"/>
    <x v="48"/>
    <x v="1"/>
    <x v="6"/>
    <n v="133447.95000000001"/>
    <n v="12"/>
    <s v="2010-02-09"/>
    <n v="0"/>
    <n v="1603"/>
    <n v="83.243684000000002"/>
    <n v="1"/>
    <x v="3"/>
    <x v="845"/>
    <n v="707.59"/>
    <n v="1"/>
    <s v="4824617"/>
    <m/>
    <n v="3824.82"/>
    <n v="0"/>
    <n v="57002"/>
  </r>
  <r>
    <x v="3"/>
    <s v="039955-1"/>
    <s v="Stavnsholt Børnehus, STA45"/>
    <n v="5279"/>
    <m/>
    <s v="Majtræet/Sommerfuglen/Tusindben/Guldsmeden"/>
    <x v="48"/>
    <x v="0"/>
    <x v="6"/>
    <n v="249604.18"/>
    <n v="12"/>
    <s v="2010-02-09"/>
    <n v="0"/>
    <n v="1603"/>
    <n v="155.700941"/>
    <n v="1"/>
    <x v="1"/>
    <x v="846"/>
    <n v="55738.400000000001"/>
    <n v="0"/>
    <s v="4824617"/>
    <m/>
    <n v="249604.14430000001"/>
    <n v="0"/>
    <n v="56882"/>
  </r>
  <r>
    <x v="3"/>
    <m/>
    <s v="Søndersø Børnehus"/>
    <n v="10209"/>
    <m/>
    <s v="Søndersø Børnehus"/>
    <x v="49"/>
    <x v="0"/>
    <x v="0"/>
    <n v="175597"/>
    <n v="5"/>
    <s v="2011-11-30"/>
    <n v="0"/>
    <n v="1839"/>
    <n v="59.915174999999998"/>
    <n v="1"/>
    <x v="5"/>
    <x v="847"/>
    <n v="7974.39"/>
    <n v="0"/>
    <s v="6657409"/>
    <m/>
    <n v="110.19"/>
    <n v="0"/>
    <n v="89457"/>
  </r>
  <r>
    <x v="3"/>
    <m/>
    <s v="Søndersø Børnehus"/>
    <n v="10209"/>
    <m/>
    <s v="Søndersø Børnehus"/>
    <x v="49"/>
    <x v="0"/>
    <x v="1"/>
    <n v="161930"/>
    <n v="12"/>
    <s v="2011-11-30"/>
    <n v="0"/>
    <n v="1839"/>
    <n v="88.048501000000002"/>
    <n v="1"/>
    <x v="5"/>
    <x v="848"/>
    <n v="10783.09"/>
    <n v="0"/>
    <s v="6657409"/>
    <m/>
    <n v="161.93"/>
    <n v="0"/>
    <n v="89457"/>
  </r>
  <r>
    <x v="3"/>
    <m/>
    <s v="Søndersø Børnehus"/>
    <n v="10209"/>
    <m/>
    <s v="Søndersø Børnehus"/>
    <x v="49"/>
    <x v="0"/>
    <x v="2"/>
    <n v="181980"/>
    <n v="12"/>
    <s v="2011-11-30"/>
    <n v="0"/>
    <n v="1839"/>
    <n v="98.950573000000006"/>
    <n v="1"/>
    <x v="5"/>
    <x v="849"/>
    <n v="35251.53"/>
    <n v="0"/>
    <s v="6657409"/>
    <m/>
    <n v="181.98"/>
    <n v="0"/>
    <n v="89457"/>
  </r>
  <r>
    <x v="3"/>
    <m/>
    <s v="Søndersø Børnehus"/>
    <n v="10209"/>
    <m/>
    <s v="Søndersø Børnehus"/>
    <x v="49"/>
    <x v="0"/>
    <x v="3"/>
    <n v="127660.29"/>
    <n v="6"/>
    <s v="2011-05-31"/>
    <n v="0"/>
    <n v="1839"/>
    <n v="69.414545000000004"/>
    <n v="1"/>
    <x v="7"/>
    <x v="850"/>
    <n v="17710.05"/>
    <n v="0"/>
    <s v="NEDLAGT"/>
    <m/>
    <n v="459.20963"/>
    <n v="0"/>
    <n v="77422"/>
  </r>
  <r>
    <x v="3"/>
    <m/>
    <s v="Søndersø Børnehus"/>
    <n v="10209"/>
    <m/>
    <s v="Søndersø Børnehus"/>
    <x v="49"/>
    <x v="0"/>
    <x v="3"/>
    <n v="80810.009999999995"/>
    <n v="6"/>
    <s v="2011-11-30"/>
    <n v="0"/>
    <n v="1839"/>
    <n v="43.939976000000001"/>
    <n v="1"/>
    <x v="5"/>
    <x v="851"/>
    <n v="16944.990000000002"/>
    <n v="0"/>
    <s v="6657409"/>
    <m/>
    <n v="80.810010000000005"/>
    <n v="0"/>
    <n v="89457"/>
  </r>
  <r>
    <x v="3"/>
    <m/>
    <s v="Søndersø Børnehus"/>
    <n v="10209"/>
    <m/>
    <s v="Søndersø Børnehus"/>
    <x v="49"/>
    <x v="0"/>
    <x v="4"/>
    <n v="215347.6"/>
    <n v="3"/>
    <s v="2011-05-31"/>
    <n v="0"/>
    <n v="1839"/>
    <n v="117.094013"/>
    <n v="1"/>
    <x v="7"/>
    <x v="852"/>
    <n v="28466.69"/>
    <n v="0"/>
    <s v="NEDLAGT"/>
    <m/>
    <n v="774.63163999999995"/>
    <n v="0"/>
    <n v="77422"/>
  </r>
  <r>
    <x v="3"/>
    <m/>
    <s v="Søndersø Børnehus"/>
    <n v="10209"/>
    <m/>
    <s v="Søndersø Børnehus"/>
    <x v="49"/>
    <x v="0"/>
    <x v="5"/>
    <n v="224651.84"/>
    <n v="3"/>
    <s v="2011-05-31"/>
    <n v="0"/>
    <n v="1839"/>
    <n v="122.15313999999999"/>
    <n v="1"/>
    <x v="7"/>
    <x v="853"/>
    <n v="38320.050000000003"/>
    <n v="0"/>
    <s v="NEDLAGT"/>
    <m/>
    <n v="808.1001"/>
    <n v="0"/>
    <n v="77422"/>
  </r>
  <r>
    <x v="3"/>
    <m/>
    <s v="Søndersø Børnehus"/>
    <n v="10209"/>
    <m/>
    <s v="Søndersø Børnehus"/>
    <x v="49"/>
    <x v="0"/>
    <x v="6"/>
    <n v="155031.79"/>
    <n v="8"/>
    <s v="2011-05-31"/>
    <n v="0"/>
    <n v="1839"/>
    <n v="84.297640000000001"/>
    <n v="1"/>
    <x v="7"/>
    <x v="854"/>
    <n v="22339.67"/>
    <n v="0"/>
    <s v="NEDLAGT"/>
    <m/>
    <n v="557.66831000000002"/>
    <n v="0"/>
    <n v="77422"/>
  </r>
  <r>
    <x v="3"/>
    <s v="00731-5"/>
    <s v="Græshoppen"/>
    <n v="5264"/>
    <m/>
    <s v="Græshoppen"/>
    <x v="31"/>
    <x v="0"/>
    <x v="7"/>
    <n v="270.54000000000002"/>
    <n v="12"/>
    <s v="2005-07-01"/>
    <n v="0"/>
    <n v="333"/>
    <n v="0.81218800000000002"/>
    <n v="3"/>
    <x v="0"/>
    <x v="855"/>
    <n v="216.43"/>
    <n v="0"/>
    <s v="BK 4016436"/>
    <m/>
    <n v="270.54399999999998"/>
    <n v="0"/>
    <n v="56769"/>
  </r>
  <r>
    <x v="3"/>
    <s v="00731-5"/>
    <s v="Græshoppen"/>
    <n v="5264"/>
    <m/>
    <s v="Græshoppen"/>
    <x v="31"/>
    <x v="0"/>
    <x v="7"/>
    <n v="49544"/>
    <n v="12"/>
    <s v="2005-07-01"/>
    <n v="0"/>
    <n v="333"/>
    <n v="148.73611500000001"/>
    <n v="1"/>
    <x v="1"/>
    <x v="856"/>
    <n v="4338618.8499999996"/>
    <n v="0"/>
    <s v="4107805"/>
    <m/>
    <n v="49544"/>
    <n v="0"/>
    <n v="56768"/>
  </r>
  <r>
    <x v="3"/>
    <s v="00731-5"/>
    <s v="Græshoppen"/>
    <n v="5264"/>
    <m/>
    <s v="Græshoppen"/>
    <x v="31"/>
    <x v="0"/>
    <x v="7"/>
    <n v="10719.77"/>
    <n v="12"/>
    <s v="2005-07-01"/>
    <n v="0"/>
    <n v="333"/>
    <n v="32.181837000000002"/>
    <n v="2"/>
    <x v="2"/>
    <x v="857"/>
    <n v="4287.8999999999996"/>
    <n v="0"/>
    <s v="1011237"/>
    <s v="74111463248"/>
    <n v="10719.773999999999"/>
    <n v="0"/>
    <n v="60150"/>
  </r>
  <r>
    <x v="3"/>
    <s v="00731-5"/>
    <s v="Græshoppen"/>
    <n v="5264"/>
    <m/>
    <s v="Græshoppen"/>
    <x v="31"/>
    <x v="1"/>
    <x v="7"/>
    <n v="35422.06"/>
    <n v="12"/>
    <s v="2005-07-01"/>
    <n v="0"/>
    <n v="333"/>
    <n v="106.34061800000001"/>
    <n v="1"/>
    <x v="3"/>
    <x v="858"/>
    <n v="90690.03"/>
    <n v="1"/>
    <s v="4107805"/>
    <m/>
    <n v="1015.25"/>
    <n v="0"/>
    <n v="56998"/>
  </r>
  <r>
    <x v="3"/>
    <s v="004757-0"/>
    <s v="Bifrost Nordtoftevej 56c"/>
    <n v="5251"/>
    <m/>
    <s v="Bifrost"/>
    <x v="18"/>
    <x v="0"/>
    <x v="7"/>
    <n v="26364.34"/>
    <n v="2"/>
    <s v="2014-05-19"/>
    <n v="0"/>
    <n v="375"/>
    <n v="70.286163000000002"/>
    <n v="1"/>
    <x v="4"/>
    <x v="859"/>
    <n v="6583.05"/>
    <n v="1"/>
    <s v="Kontrol"/>
    <m/>
    <n v="2441.1428599999999"/>
    <n v="0"/>
    <n v="94892"/>
  </r>
  <r>
    <x v="3"/>
    <m/>
    <s v="Hareskov Børnehus, Skovmose 55"/>
    <n v="9957"/>
    <m/>
    <s v="Hareskov Børnehus"/>
    <x v="33"/>
    <x v="0"/>
    <x v="7"/>
    <n v="406.2"/>
    <n v="12"/>
    <s v="2011-12-31"/>
    <n v="0"/>
    <n v="646"/>
    <n v="0.628695"/>
    <n v="3"/>
    <x v="0"/>
    <x v="860"/>
    <n v="324.95999999999998"/>
    <n v="0"/>
    <m/>
    <m/>
    <n v="406.2"/>
    <n v="0"/>
    <n v="76342"/>
  </r>
  <r>
    <x v="3"/>
    <m/>
    <s v="Hareskov Børnehus, Skovmose 55"/>
    <n v="9957"/>
    <m/>
    <s v="Hareskov Børnehus"/>
    <x v="33"/>
    <x v="0"/>
    <x v="7"/>
    <n v="20145.169999999998"/>
    <n v="12"/>
    <s v="2011-12-31"/>
    <n v="0"/>
    <n v="646"/>
    <n v="31.179646999999999"/>
    <n v="2"/>
    <x v="2"/>
    <x v="861"/>
    <n v="6043.54"/>
    <n v="0"/>
    <s v="4129902"/>
    <s v="74110485937"/>
    <n v="20145.173999999999"/>
    <n v="0"/>
    <n v="76341"/>
  </r>
  <r>
    <x v="3"/>
    <s v="01215-7"/>
    <s v="Kildehuset, Hoved 41"/>
    <n v="5269"/>
    <m/>
    <s v="Kildehuset"/>
    <x v="34"/>
    <x v="1"/>
    <x v="7"/>
    <n v="43570.3"/>
    <n v="12"/>
    <s v="2005-06-01"/>
    <n v="0"/>
    <n v="607"/>
    <n v="71.767912999999993"/>
    <n v="1"/>
    <x v="3"/>
    <x v="862"/>
    <n v="101376.3"/>
    <n v="1"/>
    <s v="4824618"/>
    <m/>
    <n v="1248.79"/>
    <n v="0"/>
    <n v="57001"/>
  </r>
  <r>
    <x v="3"/>
    <s v="01215-7"/>
    <s v="Kildehuset, Hoved 41"/>
    <n v="5269"/>
    <m/>
    <s v="Kildehuset"/>
    <x v="34"/>
    <x v="0"/>
    <x v="7"/>
    <n v="322.22000000000003"/>
    <n v="12"/>
    <s v="2005-06-01"/>
    <n v="0"/>
    <n v="607"/>
    <n v="0.530752"/>
    <n v="3"/>
    <x v="0"/>
    <x v="863"/>
    <n v="257.79000000000002"/>
    <n v="0"/>
    <s v="BK 500368"/>
    <m/>
    <n v="322.22800000000001"/>
    <n v="0"/>
    <n v="56820"/>
  </r>
  <r>
    <x v="3"/>
    <s v="01215-7"/>
    <s v="Kildehuset, Hoved 41"/>
    <n v="5269"/>
    <m/>
    <s v="Kildehuset"/>
    <x v="34"/>
    <x v="0"/>
    <x v="7"/>
    <n v="56577"/>
    <n v="12"/>
    <s v="2005-06-01"/>
    <n v="0"/>
    <n v="607"/>
    <n v="93.192224999999993"/>
    <n v="1"/>
    <x v="1"/>
    <x v="864"/>
    <n v="4388782.84"/>
    <n v="0"/>
    <s v="4824618"/>
    <m/>
    <n v="56577"/>
    <n v="0"/>
    <n v="56816"/>
  </r>
  <r>
    <x v="3"/>
    <s v="01215-7"/>
    <s v="Kildehuset, Hoved 41"/>
    <n v="5269"/>
    <m/>
    <s v="Kildehuset"/>
    <x v="34"/>
    <x v="0"/>
    <x v="7"/>
    <n v="26746.46"/>
    <n v="12"/>
    <s v="2011-09-30"/>
    <n v="0"/>
    <n v="607"/>
    <n v="44.056102000000003"/>
    <n v="2"/>
    <x v="2"/>
    <x v="865"/>
    <n v="10698.6"/>
    <n v="0"/>
    <s v="23542"/>
    <s v="74111471656"/>
    <n v="26746.46"/>
    <n v="0"/>
    <n v="56815"/>
  </r>
  <r>
    <x v="9"/>
    <s v="6408"/>
    <s v="Skallepanden V M Amdrupvej 17"/>
    <n v="13664"/>
    <s v="0"/>
    <s v="Skallepanden"/>
    <x v="55"/>
    <x v="0"/>
    <x v="7"/>
    <n v="26814.15"/>
    <n v="12"/>
    <s v="2013-11-30"/>
    <n v="0"/>
    <n v="138"/>
    <n v="194.16473500000001"/>
    <n v="1"/>
    <x v="6"/>
    <x v="866"/>
    <n v="6583.66"/>
    <n v="0"/>
    <s v="1549931"/>
    <s v="98001986118"/>
    <n v="2394.1200199999998"/>
    <n v="0"/>
    <n v="92671"/>
  </r>
  <r>
    <x v="3"/>
    <m/>
    <s v="Kirke Værløse Børnehus, BY27"/>
    <n v="10017"/>
    <m/>
    <s v="Kirke Værløse Børnehus"/>
    <x v="35"/>
    <x v="0"/>
    <x v="7"/>
    <n v="487.5"/>
    <n v="12"/>
    <s v="2010-10-31"/>
    <n v="0"/>
    <n v="602"/>
    <n v="0.809666"/>
    <n v="3"/>
    <x v="0"/>
    <x v="867"/>
    <n v="390"/>
    <n v="0"/>
    <m/>
    <m/>
    <n v="487.5"/>
    <n v="0"/>
    <n v="76520"/>
  </r>
  <r>
    <x v="3"/>
    <m/>
    <s v="Kirke Værløse Børnehus, BY27"/>
    <n v="10017"/>
    <m/>
    <s v="Kirke Værløse Børnehus"/>
    <x v="35"/>
    <x v="0"/>
    <x v="7"/>
    <n v="11747.22"/>
    <n v="12"/>
    <m/>
    <n v="0"/>
    <n v="602"/>
    <n v="19.510413"/>
    <n v="2"/>
    <x v="2"/>
    <x v="868"/>
    <n v="3524.17"/>
    <n v="0"/>
    <s v="110573"/>
    <s v="74110485906"/>
    <n v="11747.22"/>
    <n v="0"/>
    <n v="90612"/>
  </r>
  <r>
    <x v="3"/>
    <m/>
    <s v="Kollekolle Børnehave"/>
    <n v="10164"/>
    <m/>
    <s v="Kollekolle Børnehave"/>
    <x v="36"/>
    <x v="0"/>
    <x v="7"/>
    <n v="171.5"/>
    <n v="12"/>
    <s v="2010-10-31"/>
    <n v="0"/>
    <n v="219"/>
    <n v="0.78274699999999997"/>
    <n v="3"/>
    <x v="0"/>
    <x v="869"/>
    <n v="137.19999999999999"/>
    <n v="0"/>
    <m/>
    <m/>
    <n v="171.5"/>
    <n v="0"/>
    <n v="77154"/>
  </r>
  <r>
    <x v="3"/>
    <m/>
    <s v="Kollekolle Børnehave"/>
    <n v="10164"/>
    <m/>
    <s v="Kollekolle Børnehave"/>
    <x v="36"/>
    <x v="0"/>
    <x v="7"/>
    <n v="30715.41"/>
    <n v="11"/>
    <s v="2009-11-30"/>
    <n v="0"/>
    <n v="219"/>
    <n v="134.25563600000001"/>
    <n v="2"/>
    <x v="2"/>
    <x v="870"/>
    <n v="8824.6200000000008"/>
    <n v="0"/>
    <s v="89932-36312"/>
    <s v="74111856651"/>
    <n v="29415.413"/>
    <n v="0"/>
    <n v="77153"/>
  </r>
  <r>
    <x v="4"/>
    <s v="1737"/>
    <s v="Musikskolen KV36"/>
    <n v="14495"/>
    <s v="0"/>
    <s v="Værestedet"/>
    <x v="56"/>
    <x v="0"/>
    <x v="7"/>
    <n v="29030"/>
    <n v="2"/>
    <s v="2014-03-19"/>
    <n v="0"/>
    <n v="878"/>
    <n v="33.060015"/>
    <n v="1"/>
    <x v="4"/>
    <x v="871"/>
    <n v="7261.06"/>
    <n v="0"/>
    <s v="3100641 afmeldt"/>
    <m/>
    <n v="2687.9629500000001"/>
    <n v="0"/>
    <n v="94939"/>
  </r>
  <r>
    <x v="4"/>
    <s v="03975-6"/>
    <s v="Familiehuset Ellegården Stavnsholtvej 168"/>
    <n v="5261"/>
    <m/>
    <s v="Familiehuset"/>
    <x v="57"/>
    <x v="0"/>
    <x v="7"/>
    <n v="34795.86"/>
    <n v="12"/>
    <s v="2005-07-01"/>
    <n v="0"/>
    <n v="309"/>
    <n v="112.57153"/>
    <n v="1"/>
    <x v="4"/>
    <x v="872"/>
    <n v="8559.92"/>
    <n v="0"/>
    <s v="1114438"/>
    <s v="98001985531"/>
    <n v="3221.84"/>
    <n v="0"/>
    <n v="56735"/>
  </r>
  <r>
    <x v="3"/>
    <m/>
    <s v="Krudthuset Børnehus, Bringe 26"/>
    <n v="10169"/>
    <m/>
    <s v="Krudthuset Børnehus"/>
    <x v="37"/>
    <x v="0"/>
    <x v="7"/>
    <n v="384.4"/>
    <n v="12"/>
    <s v="2010-10-31"/>
    <n v="0"/>
    <n v="721"/>
    <n v="0.53307400000000005"/>
    <n v="3"/>
    <x v="0"/>
    <x v="873"/>
    <n v="307.52"/>
    <n v="0"/>
    <s v="00PC500627"/>
    <m/>
    <n v="384.4"/>
    <n v="0"/>
    <n v="77181"/>
  </r>
  <r>
    <x v="3"/>
    <m/>
    <s v="Krudthuset Børnehus, Bringe 26"/>
    <n v="10169"/>
    <m/>
    <s v="Krudthuset Børnehus"/>
    <x v="37"/>
    <x v="0"/>
    <x v="7"/>
    <n v="13310.79"/>
    <n v="12"/>
    <s v="2010-01-31"/>
    <n v="0"/>
    <n v="721"/>
    <n v="18.459007"/>
    <n v="2"/>
    <x v="2"/>
    <x v="874"/>
    <n v="3993.25"/>
    <n v="0"/>
    <s v="024091"/>
    <s v="74110486040"/>
    <n v="13310.796"/>
    <n v="0"/>
    <n v="77180"/>
  </r>
  <r>
    <x v="3"/>
    <m/>
    <s v="Kærnehuset, Paltholmterrasserne 6A"/>
    <n v="5949"/>
    <m/>
    <s v="Kærnehuset"/>
    <x v="58"/>
    <x v="0"/>
    <x v="7"/>
    <n v="31587.33"/>
    <n v="12"/>
    <m/>
    <n v="0"/>
    <n v="687"/>
    <n v="45.971953999999997"/>
    <n v="2"/>
    <x v="2"/>
    <x v="875"/>
    <n v="9476.2000000000007"/>
    <n v="0"/>
    <s v="3105510"/>
    <s v="74111745771"/>
    <n v="31587.337"/>
    <n v="0"/>
    <n v="91922"/>
  </r>
  <r>
    <x v="3"/>
    <s v="04730-9"/>
    <s v="Mælkebøtten, Hvilebækgårdsvej 15"/>
    <n v="5447"/>
    <m/>
    <s v="Mælkebøtten"/>
    <x v="38"/>
    <x v="1"/>
    <x v="7"/>
    <n v="65634.38"/>
    <n v="12"/>
    <s v="2005-07-27"/>
    <n v="0"/>
    <n v="480"/>
    <n v="136.70981"/>
    <n v="1"/>
    <x v="3"/>
    <x v="876"/>
    <n v="167466.57999999999"/>
    <n v="1"/>
    <s v="4824616"/>
    <m/>
    <n v="1881.18"/>
    <n v="0"/>
    <n v="57509"/>
  </r>
  <r>
    <x v="3"/>
    <s v="04730-9"/>
    <s v="Mælkebøtten, Hvilebækgårdsvej 15"/>
    <n v="5447"/>
    <m/>
    <s v="Mælkebøtten"/>
    <x v="38"/>
    <x v="0"/>
    <x v="7"/>
    <n v="336.7"/>
    <n v="12"/>
    <s v="2005-04-01"/>
    <n v="0"/>
    <n v="480"/>
    <n v="0.70131200000000005"/>
    <n v="3"/>
    <x v="0"/>
    <x v="877"/>
    <n v="269.39999999999998"/>
    <n v="0"/>
    <m/>
    <m/>
    <n v="336.721"/>
    <n v="0"/>
    <n v="57507"/>
  </r>
  <r>
    <x v="3"/>
    <s v="04730-9"/>
    <s v="Mælkebøtten, Hvilebækgårdsvej 15"/>
    <n v="5447"/>
    <m/>
    <s v="Mælkebøtten"/>
    <x v="38"/>
    <x v="0"/>
    <x v="7"/>
    <n v="44656"/>
    <n v="12"/>
    <s v="2005-07-27"/>
    <n v="0"/>
    <n v="480"/>
    <n v="93.013954999999996"/>
    <n v="1"/>
    <x v="1"/>
    <x v="878"/>
    <n v="3786223.52"/>
    <n v="0"/>
    <s v="4824616"/>
    <m/>
    <n v="44656"/>
    <n v="0"/>
    <n v="57508"/>
  </r>
  <r>
    <x v="3"/>
    <s v="04730-9"/>
    <s v="Mælkebøtten, Hvilebækgårdsvej 15"/>
    <n v="5447"/>
    <m/>
    <s v="Mælkebøtten"/>
    <x v="38"/>
    <x v="0"/>
    <x v="7"/>
    <n v="23936.21"/>
    <n v="12"/>
    <s v="2005-05-01"/>
    <n v="0"/>
    <n v="480"/>
    <n v="49.856717000000003"/>
    <n v="2"/>
    <x v="2"/>
    <x v="879"/>
    <n v="9574.48"/>
    <n v="0"/>
    <s v="77664"/>
    <s v="74112066509"/>
    <n v="23936.205999999998"/>
    <n v="0"/>
    <n v="57505"/>
  </r>
  <r>
    <x v="3"/>
    <s v="04196-6"/>
    <s v="Nordvænget Ryttergårdsvej 48"/>
    <n v="5272"/>
    <m/>
    <s v="Nordvænget"/>
    <x v="39"/>
    <x v="0"/>
    <x v="7"/>
    <n v="284.10000000000002"/>
    <n v="12"/>
    <s v="2005-02-01"/>
    <n v="0"/>
    <n v="541"/>
    <n v="0.52504099999999998"/>
    <n v="3"/>
    <x v="0"/>
    <x v="880"/>
    <n v="227.28"/>
    <n v="0"/>
    <s v="BK 04016458"/>
    <m/>
    <n v="284.11200000000002"/>
    <n v="0"/>
    <n v="56838"/>
  </r>
  <r>
    <x v="3"/>
    <s v="04196-6"/>
    <s v="Nordvænget Ryttergårdsvej 48"/>
    <n v="5272"/>
    <m/>
    <s v="Nordvænget"/>
    <x v="41"/>
    <x v="1"/>
    <x v="7"/>
    <n v="83581.440000000002"/>
    <n v="12"/>
    <s v="2005-08-01"/>
    <n v="0"/>
    <n v="541"/>
    <n v="154.465791"/>
    <n v="1"/>
    <x v="3"/>
    <x v="881"/>
    <n v="231544.76"/>
    <n v="1"/>
    <s v="4824619"/>
    <m/>
    <n v="2395.5700000000002"/>
    <n v="0"/>
    <n v="57003"/>
  </r>
  <r>
    <x v="3"/>
    <s v="04196-6"/>
    <s v="Nordvænget Ryttergårdsvej 48"/>
    <n v="5272"/>
    <m/>
    <s v="Nordvænget"/>
    <x v="41"/>
    <x v="0"/>
    <x v="7"/>
    <n v="88417"/>
    <n v="12"/>
    <s v="2005-08-01"/>
    <n v="0"/>
    <n v="541"/>
    <n v="163.40232800000001"/>
    <n v="1"/>
    <x v="1"/>
    <x v="882"/>
    <n v="8330779.6299999999"/>
    <n v="0"/>
    <s v="4824619"/>
    <m/>
    <n v="88417"/>
    <n v="0"/>
    <n v="56837"/>
  </r>
  <r>
    <x v="3"/>
    <s v="04196-6"/>
    <s v="Nordvænget Ryttergårdsvej 48"/>
    <n v="5272"/>
    <m/>
    <s v="Nordvænget"/>
    <x v="41"/>
    <x v="0"/>
    <x v="7"/>
    <n v="29972.89"/>
    <n v="12"/>
    <s v="2005-02-01"/>
    <n v="0"/>
    <n v="541"/>
    <n v="55.392515000000003"/>
    <n v="2"/>
    <x v="2"/>
    <x v="883"/>
    <n v="11989.17"/>
    <n v="0"/>
    <s v="48169"/>
    <s v="74111788310"/>
    <n v="29972.904999999999"/>
    <n v="0"/>
    <n v="56836"/>
  </r>
  <r>
    <x v="3"/>
    <m/>
    <s v="Nørreskoven, Højloft Vænge 46"/>
    <n v="9952"/>
    <m/>
    <s v="Nørreskoven"/>
    <x v="42"/>
    <x v="0"/>
    <x v="7"/>
    <n v="265.7"/>
    <n v="12"/>
    <s v="2010-10-31"/>
    <n v="0"/>
    <n v="473"/>
    <n v="0.56161399999999995"/>
    <n v="3"/>
    <x v="0"/>
    <x v="884"/>
    <n v="212.56"/>
    <n v="0"/>
    <s v="44083"/>
    <m/>
    <n v="265.7"/>
    <n v="0"/>
    <n v="76305"/>
  </r>
  <r>
    <x v="3"/>
    <m/>
    <s v="Nørreskoven, Højloft Vænge 46"/>
    <n v="9952"/>
    <m/>
    <s v="Nørreskoven"/>
    <x v="42"/>
    <x v="0"/>
    <x v="7"/>
    <n v="32550"/>
    <n v="12"/>
    <s v="2010-10-31"/>
    <n v="0"/>
    <n v="473"/>
    <n v="68.801520999999994"/>
    <n v="1"/>
    <x v="1"/>
    <x v="885"/>
    <n v="2485.81"/>
    <n v="0"/>
    <s v="772082/1998"/>
    <m/>
    <n v="32550"/>
    <n v="0"/>
    <n v="76307"/>
  </r>
  <r>
    <x v="3"/>
    <m/>
    <s v="Nørreskoven, Højloft Vænge 46"/>
    <n v="9952"/>
    <m/>
    <s v="Nørreskoven"/>
    <x v="42"/>
    <x v="0"/>
    <x v="7"/>
    <n v="11158.5"/>
    <n v="12"/>
    <s v="2010-10-31"/>
    <n v="0"/>
    <n v="473"/>
    <n v="23.585922"/>
    <n v="2"/>
    <x v="2"/>
    <x v="886"/>
    <n v="3347.55"/>
    <n v="0"/>
    <s v="707681"/>
    <s v="74111637991"/>
    <n v="11158.5002"/>
    <n v="0"/>
    <n v="76304"/>
  </r>
  <r>
    <x v="3"/>
    <s v="02587-9"/>
    <s v="Paletten, tidl. Vallhalla Ryttergårdsvej 106"/>
    <n v="5277"/>
    <m/>
    <s v="Paletten, tidl. Vallhalla"/>
    <x v="43"/>
    <x v="1"/>
    <x v="7"/>
    <n v="26253.66"/>
    <n v="12"/>
    <s v="2005-09-01"/>
    <n v="0"/>
    <n v="585"/>
    <n v="44.870381000000002"/>
    <n v="1"/>
    <x v="3"/>
    <x v="887"/>
    <n v="60542.31"/>
    <n v="1"/>
    <s v="4824608"/>
    <m/>
    <n v="752.47"/>
    <n v="0"/>
    <n v="57007"/>
  </r>
  <r>
    <x v="3"/>
    <s v="02587-9"/>
    <s v="Paletten, tidl. Vallhalla Ryttergårdsvej 106"/>
    <n v="5277"/>
    <m/>
    <s v="Paletten, tidl. Vallhalla"/>
    <x v="43"/>
    <x v="0"/>
    <x v="7"/>
    <n v="419.53"/>
    <n v="12"/>
    <s v="2005-05-01"/>
    <n v="0"/>
    <n v="585"/>
    <n v="0.71702200000000005"/>
    <n v="3"/>
    <x v="0"/>
    <x v="888"/>
    <n v="335.59"/>
    <n v="0"/>
    <s v="BK 4093466"/>
    <m/>
    <n v="419.51"/>
    <n v="0"/>
    <n v="56869"/>
  </r>
  <r>
    <x v="3"/>
    <s v="02587-9"/>
    <s v="Paletten, tidl. Vallhalla Ryttergårdsvej 106"/>
    <n v="5277"/>
    <m/>
    <s v="Paletten, tidl. Vallhalla"/>
    <x v="43"/>
    <x v="0"/>
    <x v="7"/>
    <n v="36325"/>
    <n v="12"/>
    <s v="2005-09-01"/>
    <n v="0"/>
    <n v="585"/>
    <n v="62.083404000000002"/>
    <n v="1"/>
    <x v="1"/>
    <x v="889"/>
    <n v="2953727.57"/>
    <n v="0"/>
    <s v="4824608"/>
    <m/>
    <n v="36325"/>
    <n v="0"/>
    <n v="56868"/>
  </r>
  <r>
    <x v="3"/>
    <s v="02587-9"/>
    <s v="Paletten, tidl. Vallhalla Ryttergårdsvej 106"/>
    <n v="5277"/>
    <m/>
    <s v="Paletten, tidl. Vallhalla"/>
    <x v="43"/>
    <x v="0"/>
    <x v="7"/>
    <n v="29563.03"/>
    <n v="12"/>
    <s v="2005-05-01"/>
    <n v="0"/>
    <n v="585"/>
    <n v="50.526457000000001"/>
    <n v="2"/>
    <x v="2"/>
    <x v="890"/>
    <n v="11825.21"/>
    <n v="0"/>
    <s v="88167"/>
    <s v="74113391723"/>
    <n v="29563.024000000001"/>
    <n v="0"/>
    <n v="56867"/>
  </r>
  <r>
    <x v="3"/>
    <s v="04927-1"/>
    <s v="Regnbuen, Birkhøj 1"/>
    <n v="5274"/>
    <m/>
    <s v="Regnbuen"/>
    <x v="54"/>
    <x v="1"/>
    <x v="7"/>
    <n v="133403.5"/>
    <n v="12"/>
    <s v="2005-08-01"/>
    <n v="0"/>
    <n v="586"/>
    <n v="227.61218199999999"/>
    <n v="1"/>
    <x v="3"/>
    <x v="891"/>
    <n v="377540.7"/>
    <n v="1"/>
    <s v="4824613"/>
    <m/>
    <n v="3823.5450000000001"/>
    <n v="0"/>
    <n v="57005"/>
  </r>
  <r>
    <x v="3"/>
    <s v="01789-2"/>
    <s v="Røde Sol, Lindegårdsvej 2"/>
    <n v="5247"/>
    <m/>
    <s v="Røde Sol"/>
    <x v="44"/>
    <x v="0"/>
    <x v="7"/>
    <n v="41051.99"/>
    <n v="12"/>
    <s v="2005-05-01"/>
    <n v="0"/>
    <n v="284"/>
    <n v="144.49838"/>
    <n v="1"/>
    <x v="4"/>
    <x v="892"/>
    <n v="10306.540000000001"/>
    <n v="0"/>
    <s v="1120526/1620060"/>
    <s v="98000130314"/>
    <n v="3801.11"/>
    <n v="0"/>
    <n v="56639"/>
  </r>
  <r>
    <x v="3"/>
    <s v="01789-2"/>
    <s v="Røde Sol, Lindegårdsvej 2"/>
    <n v="5247"/>
    <m/>
    <s v="Røde Sol"/>
    <x v="44"/>
    <x v="0"/>
    <x v="7"/>
    <n v="208.99"/>
    <n v="12"/>
    <s v="2005-05-01"/>
    <n v="0"/>
    <n v="284"/>
    <n v="0.73562099999999997"/>
    <n v="3"/>
    <x v="0"/>
    <x v="893"/>
    <n v="167.19"/>
    <n v="0"/>
    <s v="BK 98400170"/>
    <m/>
    <n v="208.99100000000001"/>
    <n v="0"/>
    <n v="56638"/>
  </r>
  <r>
    <x v="3"/>
    <s v="01789-2"/>
    <s v="Røde Sol, Lindegårdsvej 2"/>
    <n v="5247"/>
    <m/>
    <s v="Røde Sol"/>
    <x v="44"/>
    <x v="0"/>
    <x v="7"/>
    <n v="9406.6299999999992"/>
    <n v="12"/>
    <s v="2005-05-01"/>
    <n v="0"/>
    <n v="284"/>
    <n v="33.110278000000001"/>
    <n v="2"/>
    <x v="2"/>
    <x v="894"/>
    <n v="3762.65"/>
    <n v="0"/>
    <s v="1016383"/>
    <s v="74111662405"/>
    <n v="9406.6219999999994"/>
    <n v="0"/>
    <n v="56636"/>
  </r>
  <r>
    <x v="3"/>
    <s v="04859-3"/>
    <s v="Bakkehuset, Hvilebækgårdsvej 5"/>
    <n v="5244"/>
    <m/>
    <s v="Bakkehuset"/>
    <x v="16"/>
    <x v="0"/>
    <x v="0"/>
    <n v="22978"/>
    <n v="5"/>
    <s v="2005-07-01"/>
    <n v="0"/>
    <n v="560"/>
    <n v="11.115872"/>
    <n v="2"/>
    <x v="2"/>
    <x v="895"/>
    <n v="2490.4"/>
    <n v="0"/>
    <s v="BM"/>
    <m/>
    <n v="6226"/>
    <n v="0"/>
    <n v="57569"/>
  </r>
  <r>
    <x v="3"/>
    <s v="04859-3"/>
    <s v="Bakkehuset, Hvilebækgårdsvej 5"/>
    <n v="5244"/>
    <m/>
    <s v="Bakkehuset"/>
    <x v="16"/>
    <x v="0"/>
    <x v="1"/>
    <n v="21085"/>
    <n v="12"/>
    <s v="2005-07-01"/>
    <n v="0"/>
    <n v="560"/>
    <n v="37.645063"/>
    <n v="2"/>
    <x v="2"/>
    <x v="896"/>
    <n v="8434"/>
    <n v="0"/>
    <s v="BM"/>
    <m/>
    <n v="21085"/>
    <n v="0"/>
    <n v="57569"/>
  </r>
  <r>
    <x v="3"/>
    <s v="04859-3"/>
    <s v="Bakkehuset, Hvilebækgårdsvej 5"/>
    <n v="5244"/>
    <m/>
    <s v="Bakkehuset"/>
    <x v="16"/>
    <x v="0"/>
    <x v="2"/>
    <n v="18219"/>
    <n v="12"/>
    <s v="2005-07-01"/>
    <n v="0"/>
    <n v="560"/>
    <n v="32.528118999999997"/>
    <n v="2"/>
    <x v="2"/>
    <x v="897"/>
    <n v="7287.6"/>
    <n v="0"/>
    <s v="BM"/>
    <m/>
    <n v="18219"/>
    <n v="0"/>
    <n v="57569"/>
  </r>
  <r>
    <x v="3"/>
    <s v="04859-3"/>
    <s v="Bakkehuset, Hvilebækgårdsvej 5"/>
    <n v="5244"/>
    <m/>
    <s v="Bakkehuset"/>
    <x v="16"/>
    <x v="0"/>
    <x v="3"/>
    <n v="22354"/>
    <n v="12"/>
    <s v="2005-07-01"/>
    <n v="0"/>
    <n v="560"/>
    <n v="39.910730000000001"/>
    <n v="2"/>
    <x v="2"/>
    <x v="898"/>
    <n v="10484.02"/>
    <n v="0"/>
    <s v="BM"/>
    <m/>
    <n v="22354"/>
    <n v="0"/>
    <n v="57569"/>
  </r>
  <r>
    <x v="3"/>
    <s v="04859-3"/>
    <s v="Bakkehuset, Hvilebækgårdsvej 5"/>
    <n v="5244"/>
    <m/>
    <s v="Bakkehuset"/>
    <x v="16"/>
    <x v="0"/>
    <x v="4"/>
    <n v="22052"/>
    <n v="12"/>
    <s v="2005-07-01"/>
    <n v="0"/>
    <n v="560"/>
    <n v="39.371540000000003"/>
    <n v="2"/>
    <x v="2"/>
    <x v="899"/>
    <n v="10342.39"/>
    <n v="0"/>
    <s v="BM"/>
    <m/>
    <n v="22052"/>
    <n v="0"/>
    <n v="57569"/>
  </r>
  <r>
    <x v="3"/>
    <s v="04859-3"/>
    <s v="Bakkehuset, Hvilebækgårdsvej 5"/>
    <n v="5244"/>
    <m/>
    <s v="Bakkehuset"/>
    <x v="16"/>
    <x v="0"/>
    <x v="5"/>
    <n v="26278"/>
    <n v="12"/>
    <s v="2005-07-01"/>
    <n v="0"/>
    <n v="560"/>
    <n v="46.916621999999997"/>
    <n v="2"/>
    <x v="2"/>
    <x v="900"/>
    <n v="12324.38"/>
    <n v="0"/>
    <s v="BM"/>
    <m/>
    <n v="26278"/>
    <n v="0"/>
    <n v="57569"/>
  </r>
  <r>
    <x v="3"/>
    <s v="04859-3"/>
    <s v="Bakkehuset, Hvilebækgårdsvej 5"/>
    <n v="5244"/>
    <m/>
    <s v="Bakkehuset"/>
    <x v="16"/>
    <x v="0"/>
    <x v="6"/>
    <n v="22906"/>
    <n v="12"/>
    <s v="2005-07-01"/>
    <n v="0"/>
    <n v="560"/>
    <n v="40.896267999999999"/>
    <n v="2"/>
    <x v="2"/>
    <x v="901"/>
    <n v="10742.91"/>
    <n v="0"/>
    <s v="BM"/>
    <m/>
    <n v="22906"/>
    <n v="0"/>
    <n v="57569"/>
  </r>
  <r>
    <x v="3"/>
    <m/>
    <s v="Bavnebo"/>
    <n v="9965"/>
    <m/>
    <s v="Bavnebo"/>
    <x v="17"/>
    <x v="0"/>
    <x v="0"/>
    <n v="18291"/>
    <n v="5"/>
    <s v="2010-01-31"/>
    <n v="0"/>
    <n v="715"/>
    <n v="10.423772"/>
    <n v="2"/>
    <x v="2"/>
    <x v="902"/>
    <n v="2236.21"/>
    <n v="0"/>
    <m/>
    <s v="74110485999"/>
    <n v="7454.0309999999999"/>
    <n v="0"/>
    <n v="76372"/>
  </r>
  <r>
    <x v="3"/>
    <m/>
    <s v="Bavnebo"/>
    <n v="9965"/>
    <m/>
    <s v="Bavnebo"/>
    <x v="17"/>
    <x v="0"/>
    <x v="1"/>
    <n v="19393.689999999999"/>
    <n v="12"/>
    <s v="2010-01-31"/>
    <n v="0"/>
    <n v="715"/>
    <n v="27.120248"/>
    <n v="2"/>
    <x v="2"/>
    <x v="903"/>
    <n v="5818.11"/>
    <n v="0"/>
    <m/>
    <s v="74110485999"/>
    <n v="19393.687000000002"/>
    <n v="0"/>
    <n v="76372"/>
  </r>
  <r>
    <x v="3"/>
    <m/>
    <s v="Bavnebo"/>
    <n v="9965"/>
    <m/>
    <s v="Bavnebo"/>
    <x v="17"/>
    <x v="0"/>
    <x v="2"/>
    <n v="18246.97"/>
    <n v="12"/>
    <s v="2010-01-31"/>
    <n v="0"/>
    <n v="715"/>
    <n v="25.516667999999999"/>
    <n v="2"/>
    <x v="2"/>
    <x v="904"/>
    <n v="7298.79"/>
    <n v="0"/>
    <m/>
    <s v="74110485999"/>
    <n v="18246.97"/>
    <n v="0"/>
    <n v="76372"/>
  </r>
  <r>
    <x v="3"/>
    <m/>
    <s v="Bavnebo"/>
    <n v="9965"/>
    <m/>
    <s v="Bavnebo"/>
    <x v="17"/>
    <x v="0"/>
    <x v="3"/>
    <n v="19300.71"/>
    <n v="12"/>
    <s v="2010-01-31"/>
    <n v="0"/>
    <n v="715"/>
    <n v="26.990224999999999"/>
    <n v="2"/>
    <x v="2"/>
    <x v="905"/>
    <n v="9052.07"/>
    <n v="0"/>
    <m/>
    <s v="74110485999"/>
    <n v="19300.716"/>
    <n v="0"/>
    <n v="76372"/>
  </r>
  <r>
    <x v="3"/>
    <m/>
    <s v="Bavnebo"/>
    <n v="9965"/>
    <m/>
    <s v="Bavnebo"/>
    <x v="17"/>
    <x v="0"/>
    <x v="4"/>
    <n v="22489.42"/>
    <n v="12"/>
    <s v="2010-01-31"/>
    <n v="0"/>
    <n v="715"/>
    <n v="31.449335000000001"/>
    <n v="2"/>
    <x v="2"/>
    <x v="906"/>
    <n v="10547.54"/>
    <n v="0"/>
    <m/>
    <s v="74110485999"/>
    <n v="22489.41113"/>
    <n v="0"/>
    <n v="76372"/>
  </r>
  <r>
    <x v="3"/>
    <m/>
    <s v="Bavnebo"/>
    <n v="9965"/>
    <m/>
    <s v="Bavnebo"/>
    <x v="17"/>
    <x v="0"/>
    <x v="5"/>
    <n v="25297.08"/>
    <n v="5"/>
    <s v="2010-01-31"/>
    <n v="0"/>
    <n v="715"/>
    <n v="35.375582999999999"/>
    <n v="2"/>
    <x v="2"/>
    <x v="907"/>
    <n v="11864.33"/>
    <n v="0"/>
    <m/>
    <s v="74110485999"/>
    <n v="25297.088199999998"/>
    <n v="0"/>
    <n v="76372"/>
  </r>
  <r>
    <x v="3"/>
    <m/>
    <s v="Bavnebo"/>
    <n v="9965"/>
    <m/>
    <s v="Bavnebo"/>
    <x v="17"/>
    <x v="0"/>
    <x v="6"/>
    <n v="25049.98"/>
    <n v="5"/>
    <s v="2010-01-31"/>
    <n v="0"/>
    <n v="715"/>
    <n v="35.030037"/>
    <n v="2"/>
    <x v="2"/>
    <x v="908"/>
    <n v="11748.43"/>
    <n v="0"/>
    <m/>
    <s v="74110485999"/>
    <n v="25049.98531"/>
    <n v="0"/>
    <n v="76372"/>
  </r>
  <r>
    <x v="3"/>
    <s v="004757-0"/>
    <s v="Bifrost Nordtoftevej 56c"/>
    <n v="5251"/>
    <m/>
    <s v="Bifrost"/>
    <x v="18"/>
    <x v="0"/>
    <x v="0"/>
    <n v="5824"/>
    <n v="5"/>
    <s v="2005-05-01"/>
    <n v="0"/>
    <n v="375"/>
    <n v="6.5073840000000001"/>
    <n v="2"/>
    <x v="2"/>
    <x v="909"/>
    <n v="976.37"/>
    <n v="0"/>
    <s v="670761"/>
    <s v="74112842813"/>
    <n v="2440.9250999999999"/>
    <n v="0"/>
    <n v="56680"/>
  </r>
  <r>
    <x v="3"/>
    <s v="004757-0"/>
    <s v="Bifrost Nordtoftevej 56c"/>
    <n v="5251"/>
    <m/>
    <s v="Bifrost"/>
    <x v="18"/>
    <x v="0"/>
    <x v="1"/>
    <n v="20665.3"/>
    <n v="12"/>
    <s v="2005-05-01"/>
    <n v="0"/>
    <n v="375"/>
    <n v="55.092775000000003"/>
    <n v="2"/>
    <x v="2"/>
    <x v="910"/>
    <n v="8266.1"/>
    <n v="0"/>
    <s v="670761"/>
    <s v="74112842813"/>
    <n v="20665.312699999999"/>
    <n v="0"/>
    <n v="56680"/>
  </r>
  <r>
    <x v="3"/>
    <s v="004757-0"/>
    <s v="Bifrost Nordtoftevej 56c"/>
    <n v="5251"/>
    <m/>
    <s v="Bifrost"/>
    <x v="18"/>
    <x v="0"/>
    <x v="2"/>
    <n v="16231.31"/>
    <n v="12"/>
    <s v="2005-05-01"/>
    <n v="0"/>
    <n v="375"/>
    <n v="43.271954000000001"/>
    <n v="2"/>
    <x v="2"/>
    <x v="911"/>
    <n v="6492.52"/>
    <n v="0"/>
    <s v="670761"/>
    <s v="74112842813"/>
    <n v="16231.303900000001"/>
    <n v="0"/>
    <n v="56680"/>
  </r>
  <r>
    <x v="3"/>
    <s v="004757-0"/>
    <s v="Bifrost Nordtoftevej 56c"/>
    <n v="5251"/>
    <m/>
    <s v="Bifrost"/>
    <x v="18"/>
    <x v="0"/>
    <x v="3"/>
    <n v="12715.22"/>
    <n v="12"/>
    <s v="2005-05-01"/>
    <n v="0"/>
    <n v="375"/>
    <n v="33.898212999999998"/>
    <n v="2"/>
    <x v="2"/>
    <x v="912"/>
    <n v="5963.43"/>
    <n v="0"/>
    <s v="670761"/>
    <s v="74112842813"/>
    <n v="12715.221100000001"/>
    <n v="0"/>
    <n v="56680"/>
  </r>
  <r>
    <x v="3"/>
    <s v="004757-0"/>
    <s v="Bifrost Nordtoftevej 56c"/>
    <n v="5251"/>
    <m/>
    <s v="Bifrost"/>
    <x v="18"/>
    <x v="0"/>
    <x v="4"/>
    <n v="15744.48"/>
    <n v="12"/>
    <s v="2005-05-01"/>
    <n v="0"/>
    <n v="375"/>
    <n v="41.974086"/>
    <n v="2"/>
    <x v="2"/>
    <x v="913"/>
    <n v="7384.17"/>
    <n v="0"/>
    <s v="670761"/>
    <s v="74112842813"/>
    <n v="15744.4815"/>
    <n v="0"/>
    <n v="56680"/>
  </r>
  <r>
    <x v="3"/>
    <s v="004757-0"/>
    <s v="Bifrost Nordtoftevej 56c"/>
    <n v="5251"/>
    <m/>
    <s v="Bifrost"/>
    <x v="18"/>
    <x v="0"/>
    <x v="5"/>
    <n v="17057.41"/>
    <n v="12"/>
    <s v="2005-05-01"/>
    <n v="0"/>
    <n v="375"/>
    <n v="45.474299999999999"/>
    <n v="2"/>
    <x v="2"/>
    <x v="914"/>
    <n v="7999.93"/>
    <n v="0"/>
    <s v="670761"/>
    <s v="74112842813"/>
    <n v="17057.398000000001"/>
    <n v="0"/>
    <n v="56680"/>
  </r>
  <r>
    <x v="3"/>
    <s v="004757-0"/>
    <s v="Bifrost Nordtoftevej 56c"/>
    <n v="5251"/>
    <m/>
    <s v="Bifrost"/>
    <x v="18"/>
    <x v="0"/>
    <x v="6"/>
    <n v="19899.34"/>
    <n v="12"/>
    <s v="2005-05-01"/>
    <n v="0"/>
    <n v="375"/>
    <n v="53.050758999999999"/>
    <n v="2"/>
    <x v="2"/>
    <x v="915"/>
    <n v="9332.7999999999993"/>
    <n v="0"/>
    <s v="670761"/>
    <s v="74112842813"/>
    <n v="19899.350299999998"/>
    <n v="0"/>
    <n v="56680"/>
  </r>
  <r>
    <x v="3"/>
    <m/>
    <s v="Birkedal Børnehus, Kollekolle 75"/>
    <n v="9980"/>
    <m/>
    <s v="Birkedal Børnehus"/>
    <x v="14"/>
    <x v="0"/>
    <x v="0"/>
    <n v="23554"/>
    <n v="5"/>
    <s v="2011-11-30"/>
    <n v="0"/>
    <n v="961"/>
    <n v="9.3108620000000002"/>
    <n v="2"/>
    <x v="2"/>
    <x v="916"/>
    <n v="2684.59"/>
    <n v="0"/>
    <s v="36312"/>
    <s v="74110497862"/>
    <n v="8948.66"/>
    <n v="0"/>
    <n v="76420"/>
  </r>
  <r>
    <x v="3"/>
    <m/>
    <s v="Birkedal Børnehus, Kollekolle 75"/>
    <n v="9980"/>
    <m/>
    <s v="Birkedal Børnehus"/>
    <x v="14"/>
    <x v="0"/>
    <x v="1"/>
    <n v="25179.13"/>
    <n v="12"/>
    <s v="2011-11-30"/>
    <n v="0"/>
    <n v="961"/>
    <n v="26.198240999999999"/>
    <n v="2"/>
    <x v="2"/>
    <x v="917"/>
    <n v="7553.73"/>
    <n v="0"/>
    <s v="36312"/>
    <s v="74110497862"/>
    <n v="25179.124"/>
    <n v="0"/>
    <n v="76420"/>
  </r>
  <r>
    <x v="3"/>
    <m/>
    <s v="Birkedal Børnehus, Kollekolle 75"/>
    <n v="9980"/>
    <m/>
    <s v="Birkedal Børnehus"/>
    <x v="14"/>
    <x v="0"/>
    <x v="2"/>
    <n v="30812.3"/>
    <n v="12"/>
    <s v="2011-11-30"/>
    <n v="0"/>
    <n v="961"/>
    <n v="32.059410999999997"/>
    <n v="2"/>
    <x v="2"/>
    <x v="918"/>
    <n v="12324.92"/>
    <n v="0"/>
    <s v="36312"/>
    <s v="74110497862"/>
    <n v="30812.291000000001"/>
    <n v="0"/>
    <n v="76420"/>
  </r>
  <r>
    <x v="3"/>
    <m/>
    <s v="Birkedal Børnehus, Kollekolle 75"/>
    <n v="9980"/>
    <m/>
    <s v="Birkedal Børnehus"/>
    <x v="14"/>
    <x v="0"/>
    <x v="3"/>
    <n v="43239.81"/>
    <n v="3"/>
    <s v="2011-11-30"/>
    <n v="0"/>
    <n v="961"/>
    <n v="44.989916999999998"/>
    <n v="2"/>
    <x v="2"/>
    <x v="919"/>
    <n v="20279.46"/>
    <n v="0"/>
    <s v="36312"/>
    <s v="74110497862"/>
    <n v="43239.833610000001"/>
    <n v="0"/>
    <n v="76420"/>
  </r>
  <r>
    <x v="3"/>
    <m/>
    <s v="Birkedal Børnehus, Kollekolle 75"/>
    <n v="9980"/>
    <m/>
    <s v="Birkedal Børnehus"/>
    <x v="14"/>
    <x v="0"/>
    <x v="4"/>
    <n v="63828.35"/>
    <n v="4"/>
    <s v="2011-11-30"/>
    <n v="0"/>
    <n v="961"/>
    <n v="66.411766999999998"/>
    <n v="2"/>
    <x v="2"/>
    <x v="920"/>
    <n v="29935.47"/>
    <n v="0"/>
    <s v="36312"/>
    <s v="74110497862"/>
    <n v="63828.349399999999"/>
    <n v="0"/>
    <n v="76420"/>
  </r>
  <r>
    <x v="3"/>
    <m/>
    <s v="Birkedal Børnehus, Kollekolle 75"/>
    <n v="9980"/>
    <m/>
    <s v="Birkedal Børnehus"/>
    <x v="14"/>
    <x v="0"/>
    <x v="5"/>
    <n v="51140.61"/>
    <n v="9"/>
    <s v="2011-11-30"/>
    <n v="0"/>
    <n v="961"/>
    <n v="53.210498000000001"/>
    <n v="2"/>
    <x v="2"/>
    <x v="921"/>
    <n v="23984.92"/>
    <n v="0"/>
    <s v="36312"/>
    <s v="74110497862"/>
    <n v="51140.588219999998"/>
    <n v="0"/>
    <n v="76420"/>
  </r>
  <r>
    <x v="3"/>
    <m/>
    <s v="Birkedal Børnehus, Kollekolle 75"/>
    <n v="9980"/>
    <m/>
    <s v="Birkedal Børnehus"/>
    <x v="14"/>
    <x v="0"/>
    <x v="6"/>
    <n v="40861.050000000003"/>
    <n v="5"/>
    <s v="2011-11-30"/>
    <n v="0"/>
    <n v="961"/>
    <n v="42.514878000000003"/>
    <n v="2"/>
    <x v="2"/>
    <x v="922"/>
    <n v="19163.830000000002"/>
    <n v="0"/>
    <s v="36312"/>
    <s v="74110497862"/>
    <n v="40861.057589999997"/>
    <n v="0"/>
    <n v="76420"/>
  </r>
  <r>
    <x v="3"/>
    <s v="???"/>
    <s v="Birkhøj (Valmuen)"/>
    <n v="5278"/>
    <m/>
    <s v="Birkhøj (Valmuen)"/>
    <x v="19"/>
    <x v="0"/>
    <x v="0"/>
    <n v="28825"/>
    <n v="5"/>
    <s v="2005-05-01"/>
    <n v="0"/>
    <n v="760"/>
    <n v="14.902552"/>
    <n v="2"/>
    <x v="2"/>
    <x v="923"/>
    <n v="4530.96"/>
    <n v="0"/>
    <s v="783388"/>
    <s v="74114297154"/>
    <n v="11327.433000000001"/>
    <n v="0"/>
    <n v="56873"/>
  </r>
  <r>
    <x v="3"/>
    <s v="???"/>
    <s v="Birkhøj (Valmuen)"/>
    <n v="5278"/>
    <m/>
    <s v="Birkhøj (Valmuen)"/>
    <x v="19"/>
    <x v="0"/>
    <x v="1"/>
    <n v="23875.84"/>
    <n v="12"/>
    <s v="2005-05-01"/>
    <n v="0"/>
    <n v="760"/>
    <n v="31.411445000000001"/>
    <n v="2"/>
    <x v="2"/>
    <x v="924"/>
    <n v="9550.34"/>
    <n v="0"/>
    <s v="783388"/>
    <s v="74114297154"/>
    <n v="23875.848000000002"/>
    <n v="0"/>
    <n v="56873"/>
  </r>
  <r>
    <x v="3"/>
    <s v="???"/>
    <s v="Birkhøj (Valmuen)"/>
    <n v="5278"/>
    <m/>
    <s v="Birkhøj (Valmuen)"/>
    <x v="19"/>
    <x v="0"/>
    <x v="2"/>
    <n v="27210.83"/>
    <n v="12"/>
    <s v="2005-05-01"/>
    <n v="0"/>
    <n v="760"/>
    <n v="35.799013000000002"/>
    <n v="2"/>
    <x v="2"/>
    <x v="925"/>
    <n v="10884.33"/>
    <n v="0"/>
    <s v="783388"/>
    <s v="74114297154"/>
    <n v="27210.821"/>
    <n v="0"/>
    <n v="56873"/>
  </r>
  <r>
    <x v="3"/>
    <s v="???"/>
    <s v="Birkhøj (Valmuen)"/>
    <n v="5278"/>
    <m/>
    <s v="Birkhøj (Valmuen)"/>
    <x v="19"/>
    <x v="0"/>
    <x v="3"/>
    <n v="28255.39"/>
    <n v="12"/>
    <s v="2005-05-01"/>
    <n v="0"/>
    <n v="760"/>
    <n v="37.173253000000003"/>
    <n v="2"/>
    <x v="2"/>
    <x v="926"/>
    <n v="13251.78"/>
    <n v="0"/>
    <s v="783388"/>
    <s v="74114297154"/>
    <n v="28255.401000000002"/>
    <n v="0"/>
    <n v="56873"/>
  </r>
  <r>
    <x v="3"/>
    <s v="???"/>
    <s v="Birkhøj (Valmuen)"/>
    <n v="5278"/>
    <m/>
    <s v="Birkhøj (Valmuen)"/>
    <x v="19"/>
    <x v="0"/>
    <x v="4"/>
    <n v="25014.77"/>
    <n v="12"/>
    <s v="2005-05-01"/>
    <n v="0"/>
    <n v="760"/>
    <n v="32.909840000000003"/>
    <n v="2"/>
    <x v="2"/>
    <x v="927"/>
    <n v="11731.89"/>
    <n v="0"/>
    <s v="783388"/>
    <s v="74114297154"/>
    <n v="25014.75"/>
    <n v="0"/>
    <n v="56873"/>
  </r>
  <r>
    <x v="3"/>
    <s v="???"/>
    <s v="Birkhøj (Valmuen)"/>
    <n v="5278"/>
    <m/>
    <s v="Birkhøj (Valmuen)"/>
    <x v="19"/>
    <x v="0"/>
    <x v="5"/>
    <n v="20142.21"/>
    <n v="12"/>
    <s v="2005-05-01"/>
    <n v="0"/>
    <n v="760"/>
    <n v="26.499421000000002"/>
    <n v="2"/>
    <x v="2"/>
    <x v="928"/>
    <n v="9446.69"/>
    <n v="0"/>
    <s v="783388"/>
    <s v="74114297154"/>
    <n v="20142.21"/>
    <n v="0"/>
    <n v="56873"/>
  </r>
  <r>
    <x v="3"/>
    <s v="???"/>
    <s v="Birkhøj (Valmuen)"/>
    <n v="5278"/>
    <m/>
    <s v="Birkhøj (Valmuen)"/>
    <x v="19"/>
    <x v="0"/>
    <x v="6"/>
    <n v="18979.419999999998"/>
    <n v="12"/>
    <s v="2005-05-01"/>
    <n v="0"/>
    <n v="760"/>
    <n v="24.969635"/>
    <n v="2"/>
    <x v="2"/>
    <x v="929"/>
    <n v="8901.34"/>
    <n v="0"/>
    <s v="783388"/>
    <s v="74114297154"/>
    <n v="18979.422999999999"/>
    <n v="0"/>
    <n v="56873"/>
  </r>
  <r>
    <x v="3"/>
    <s v="03322-7"/>
    <s v="Brudedalen Legestue, Brudedalen 54-58"/>
    <n v="5276"/>
    <m/>
    <s v="Legestuen"/>
    <x v="20"/>
    <x v="0"/>
    <x v="0"/>
    <n v="7293"/>
    <n v="5"/>
    <s v="2005-10-03"/>
    <n v="0"/>
    <n v="284"/>
    <n v="9.4336850000000005"/>
    <n v="2"/>
    <x v="2"/>
    <x v="930"/>
    <n v="1072.04"/>
    <n v="0"/>
    <s v="1015049"/>
    <m/>
    <n v="2680.11"/>
    <n v="0"/>
    <n v="56861"/>
  </r>
  <r>
    <x v="3"/>
    <s v="03322-7"/>
    <s v="Brudedalen Legestue, Brudedalen 54-58"/>
    <n v="5276"/>
    <m/>
    <s v="Legestuen"/>
    <x v="20"/>
    <x v="0"/>
    <x v="1"/>
    <n v="7350.73"/>
    <n v="12"/>
    <s v="2005-10-03"/>
    <n v="0"/>
    <n v="284"/>
    <n v="25.873740999999999"/>
    <n v="2"/>
    <x v="2"/>
    <x v="931"/>
    <n v="2940.29"/>
    <n v="0"/>
    <s v="1015049"/>
    <m/>
    <n v="7350.74"/>
    <n v="0"/>
    <n v="56861"/>
  </r>
  <r>
    <x v="3"/>
    <s v="03322-7"/>
    <s v="Brudedalen Legestue, Brudedalen 54-58"/>
    <n v="5276"/>
    <m/>
    <s v="Legestuen"/>
    <x v="20"/>
    <x v="0"/>
    <x v="2"/>
    <n v="8131.45"/>
    <n v="12"/>
    <s v="2005-10-03"/>
    <n v="0"/>
    <n v="284"/>
    <n v="28.621787999999999"/>
    <n v="2"/>
    <x v="2"/>
    <x v="932"/>
    <n v="3252.57"/>
    <n v="0"/>
    <s v="1015049"/>
    <m/>
    <n v="8131.4520000000002"/>
    <n v="0"/>
    <n v="56861"/>
  </r>
  <r>
    <x v="3"/>
    <s v="03322-7"/>
    <s v="Brudedalen Legestue, Brudedalen 54-58"/>
    <n v="5276"/>
    <m/>
    <s v="Legestuen"/>
    <x v="20"/>
    <x v="0"/>
    <x v="3"/>
    <n v="10308.030000000001"/>
    <n v="12"/>
    <s v="2005-10-03"/>
    <n v="0"/>
    <n v="284"/>
    <n v="36.283104000000002"/>
    <n v="2"/>
    <x v="2"/>
    <x v="933"/>
    <n v="4834.47"/>
    <n v="0"/>
    <s v="1015049"/>
    <m/>
    <n v="10308.01"/>
    <n v="0"/>
    <n v="56861"/>
  </r>
  <r>
    <x v="3"/>
    <s v="03322-7"/>
    <s v="Brudedalen Legestue, Brudedalen 54-58"/>
    <n v="5276"/>
    <m/>
    <s v="Legestuen"/>
    <x v="20"/>
    <x v="0"/>
    <x v="4"/>
    <n v="8925.51"/>
    <n v="12"/>
    <s v="2005-10-03"/>
    <n v="0"/>
    <n v="284"/>
    <n v="31.416789000000001"/>
    <n v="2"/>
    <x v="2"/>
    <x v="934"/>
    <n v="4186.08"/>
    <n v="0"/>
    <s v="1015049"/>
    <m/>
    <n v="8925.5120000000006"/>
    <n v="0"/>
    <n v="56861"/>
  </r>
  <r>
    <x v="3"/>
    <s v="03322-7"/>
    <s v="Brudedalen Legestue, Brudedalen 54-58"/>
    <n v="5276"/>
    <m/>
    <s v="Legestuen"/>
    <x v="20"/>
    <x v="0"/>
    <x v="5"/>
    <n v="8814.2000000000007"/>
    <n v="12"/>
    <s v="2005-10-03"/>
    <n v="0"/>
    <n v="284"/>
    <n v="31.024991"/>
    <n v="2"/>
    <x v="2"/>
    <x v="935"/>
    <n v="4133.8500000000004"/>
    <n v="0"/>
    <s v="1015049"/>
    <m/>
    <n v="8814.1980000000003"/>
    <n v="0"/>
    <n v="56861"/>
  </r>
  <r>
    <x v="3"/>
    <s v="03322-7"/>
    <s v="Brudedalen Legestue, Brudedalen 54-58"/>
    <n v="5276"/>
    <m/>
    <s v="Legestuen"/>
    <x v="20"/>
    <x v="0"/>
    <x v="6"/>
    <n v="9043.98"/>
    <n v="12"/>
    <s v="2005-10-03"/>
    <n v="0"/>
    <n v="284"/>
    <n v="31.83379"/>
    <n v="2"/>
    <x v="2"/>
    <x v="936"/>
    <n v="4241.6099999999997"/>
    <n v="0"/>
    <s v="1015049"/>
    <m/>
    <n v="9043.9599999999991"/>
    <n v="0"/>
    <n v="56861"/>
  </r>
  <r>
    <x v="3"/>
    <m/>
    <s v="Bøgely Ravnehusvej 20"/>
    <n v="9970"/>
    <m/>
    <s v="Bøgely"/>
    <x v="21"/>
    <x v="0"/>
    <x v="0"/>
    <n v="38709"/>
    <n v="5"/>
    <m/>
    <n v="0"/>
    <n v="864"/>
    <n v="20.411328999999999"/>
    <n v="2"/>
    <x v="2"/>
    <x v="937"/>
    <n v="5291.24"/>
    <n v="0"/>
    <s v="86458"/>
    <m/>
    <n v="17637.444"/>
    <n v="0"/>
    <n v="90986"/>
  </r>
  <r>
    <x v="3"/>
    <m/>
    <s v="Bøgely Ravnehusvej 20"/>
    <n v="9970"/>
    <m/>
    <s v="Bøgely"/>
    <x v="21"/>
    <x v="0"/>
    <x v="1"/>
    <n v="36069.589999999997"/>
    <n v="12"/>
    <m/>
    <n v="0"/>
    <n v="864"/>
    <n v="41.742379"/>
    <n v="2"/>
    <x v="2"/>
    <x v="938"/>
    <n v="10820.9"/>
    <n v="0"/>
    <s v="86458"/>
    <m/>
    <n v="36069.593999999997"/>
    <n v="0"/>
    <n v="90986"/>
  </r>
  <r>
    <x v="3"/>
    <m/>
    <s v="Bøgely Ravnehusvej 20"/>
    <n v="9970"/>
    <m/>
    <s v="Bøgely"/>
    <x v="21"/>
    <x v="0"/>
    <x v="2"/>
    <n v="28976.639999999999"/>
    <n v="12"/>
    <m/>
    <n v="0"/>
    <n v="796"/>
    <n v="36.398240999999999"/>
    <n v="2"/>
    <x v="2"/>
    <x v="939"/>
    <n v="11590.64"/>
    <n v="0"/>
    <s v="86458"/>
    <m/>
    <n v="28976.639999999999"/>
    <n v="0"/>
    <n v="90986"/>
  </r>
  <r>
    <x v="3"/>
    <m/>
    <s v="Bøgely Ravnehusvej 20"/>
    <n v="9970"/>
    <m/>
    <s v="Bøgely"/>
    <x v="21"/>
    <x v="0"/>
    <x v="3"/>
    <n v="23841.72"/>
    <n v="12"/>
    <m/>
    <n v="0"/>
    <n v="774"/>
    <n v="30.799275999999999"/>
    <n v="2"/>
    <x v="2"/>
    <x v="940"/>
    <n v="11181.76"/>
    <n v="0"/>
    <s v="86458"/>
    <m/>
    <n v="23841.707999999999"/>
    <n v="0"/>
    <n v="90986"/>
  </r>
  <r>
    <x v="3"/>
    <m/>
    <s v="Bøgely Ravnehusvej 20"/>
    <n v="9970"/>
    <m/>
    <s v="Bøgely"/>
    <x v="21"/>
    <x v="0"/>
    <x v="4"/>
    <n v="26984.74"/>
    <n v="12"/>
    <m/>
    <n v="0"/>
    <n v="774"/>
    <n v="34.859501000000002"/>
    <n v="2"/>
    <x v="2"/>
    <x v="941"/>
    <n v="12655.84"/>
    <n v="0"/>
    <s v="86458"/>
    <m/>
    <n v="26984.726999999999"/>
    <n v="0"/>
    <n v="90986"/>
  </r>
  <r>
    <x v="3"/>
    <m/>
    <s v="Bøgely Ravnehusvej 20"/>
    <n v="9970"/>
    <m/>
    <s v="Bøgely"/>
    <x v="21"/>
    <x v="0"/>
    <x v="5"/>
    <n v="27666.23"/>
    <n v="11"/>
    <s v="2009-12-31"/>
    <n v="0"/>
    <n v="774"/>
    <n v="35.739865000000002"/>
    <n v="2"/>
    <x v="2"/>
    <x v="942"/>
    <n v="12975.47"/>
    <n v="0"/>
    <s v="86458 afmeldt"/>
    <s v="74112213484"/>
    <n v="27666.235720000001"/>
    <n v="0"/>
    <n v="76387"/>
  </r>
  <r>
    <x v="3"/>
    <m/>
    <s v="Bøgely Ravnehusvej 20"/>
    <n v="9970"/>
    <m/>
    <s v="Bøgely"/>
    <x v="21"/>
    <x v="0"/>
    <x v="6"/>
    <n v="26956.06"/>
    <n v="6"/>
    <s v="2009-12-31"/>
    <n v="0"/>
    <n v="774"/>
    <n v="34.822451000000001"/>
    <n v="2"/>
    <x v="2"/>
    <x v="943"/>
    <n v="12642.39"/>
    <n v="0"/>
    <s v="86458 afmeldt"/>
    <s v="74112213484"/>
    <n v="26956.052029999999"/>
    <n v="0"/>
    <n v="76387"/>
  </r>
  <r>
    <x v="3"/>
    <s v="02558-5"/>
    <s v="Børnehusene Ryttergårdsvej 100 - 102"/>
    <n v="5252"/>
    <m/>
    <s v="Børnehusene Ryttergårdsvej 100 - 102"/>
    <x v="22"/>
    <x v="0"/>
    <x v="0"/>
    <n v="17065"/>
    <n v="5"/>
    <s v="2005-05-01"/>
    <n v="0"/>
    <n v="752"/>
    <n v="9.3474930000000001"/>
    <n v="2"/>
    <x v="2"/>
    <x v="944"/>
    <n v="2812.1"/>
    <n v="0"/>
    <s v="1019276"/>
    <s v="74111624557"/>
    <n v="7030.2579999999998"/>
    <n v="0"/>
    <n v="56687"/>
  </r>
  <r>
    <x v="3"/>
    <s v="02558-5"/>
    <s v="Børnehusene Ryttergårdsvej 100 - 102"/>
    <n v="5252"/>
    <m/>
    <s v="Børnehusene Ryttergårdsvej 100 - 102"/>
    <x v="22"/>
    <x v="0"/>
    <x v="1"/>
    <n v="17614.95"/>
    <n v="12"/>
    <s v="2005-05-01"/>
    <n v="0"/>
    <n v="752"/>
    <n v="23.421021"/>
    <n v="2"/>
    <x v="2"/>
    <x v="945"/>
    <n v="7045.97"/>
    <n v="0"/>
    <s v="1019276"/>
    <s v="74111624557"/>
    <n v="17614.952000000001"/>
    <n v="0"/>
    <n v="56687"/>
  </r>
  <r>
    <x v="3"/>
    <s v="02558-5"/>
    <s v="Børnehusene Ryttergårdsvej 100 - 102"/>
    <n v="5252"/>
    <m/>
    <s v="Børnehusene Ryttergårdsvej 100 - 102"/>
    <x v="22"/>
    <x v="0"/>
    <x v="2"/>
    <n v="18524.63"/>
    <n v="12"/>
    <s v="2005-05-01"/>
    <n v="0"/>
    <n v="752"/>
    <n v="24.630541000000001"/>
    <n v="2"/>
    <x v="2"/>
    <x v="946"/>
    <n v="7409.85"/>
    <n v="0"/>
    <s v="1019276"/>
    <s v="74111624557"/>
    <n v="18524.637999999999"/>
    <n v="0"/>
    <n v="56687"/>
  </r>
  <r>
    <x v="3"/>
    <s v="02558-5"/>
    <s v="Børnehusene Ryttergårdsvej 100 - 102"/>
    <n v="5252"/>
    <m/>
    <s v="Børnehusene Ryttergårdsvej 100 - 102"/>
    <x v="22"/>
    <x v="0"/>
    <x v="3"/>
    <n v="19365.59"/>
    <n v="12"/>
    <s v="2005-05-01"/>
    <n v="0"/>
    <n v="752"/>
    <n v="25.74869"/>
    <n v="2"/>
    <x v="2"/>
    <x v="947"/>
    <n v="9082.4699999999993"/>
    <n v="0"/>
    <s v="1019276"/>
    <s v="74111624557"/>
    <n v="19365.59"/>
    <n v="0"/>
    <n v="56687"/>
  </r>
  <r>
    <x v="3"/>
    <s v="02558-5"/>
    <s v="Børnehusene Ryttergårdsvej 100 - 102"/>
    <n v="5252"/>
    <m/>
    <s v="Børnehusene Ryttergårdsvej 100 - 102"/>
    <x v="22"/>
    <x v="0"/>
    <x v="4"/>
    <n v="20125.650000000001"/>
    <n v="12"/>
    <s v="2005-05-01"/>
    <n v="0"/>
    <n v="752"/>
    <n v="26.759274000000001"/>
    <n v="2"/>
    <x v="2"/>
    <x v="948"/>
    <n v="9438.93"/>
    <n v="0"/>
    <s v="1019276"/>
    <s v="74111624557"/>
    <n v="20125.644"/>
    <n v="0"/>
    <n v="56687"/>
  </r>
  <r>
    <x v="3"/>
    <s v="02558-5"/>
    <s v="Børnehusene Ryttergårdsvej 100 - 102"/>
    <n v="5252"/>
    <m/>
    <s v="Børnehusene Ryttergårdsvej 100 - 102"/>
    <x v="22"/>
    <x v="0"/>
    <x v="5"/>
    <n v="18499.88"/>
    <n v="12"/>
    <s v="2005-05-01"/>
    <n v="0"/>
    <n v="752"/>
    <n v="24.597632999999998"/>
    <n v="2"/>
    <x v="2"/>
    <x v="949"/>
    <n v="8676.4500000000007"/>
    <n v="0"/>
    <s v="1019276"/>
    <s v="74111624557"/>
    <n v="18499.900000000001"/>
    <n v="0"/>
    <n v="56687"/>
  </r>
  <r>
    <x v="3"/>
    <s v="02558-5"/>
    <s v="Børnehusene Ryttergårdsvej 100 - 102"/>
    <n v="5252"/>
    <m/>
    <s v="Børnehusene Ryttergårdsvej 100 - 102"/>
    <x v="22"/>
    <x v="0"/>
    <x v="6"/>
    <n v="19422.48"/>
    <n v="12"/>
    <s v="2005-05-01"/>
    <n v="0"/>
    <n v="752"/>
    <n v="25.824331000000001"/>
    <n v="2"/>
    <x v="2"/>
    <x v="950"/>
    <n v="9109.15"/>
    <n v="0"/>
    <s v="1019276"/>
    <s v="74111624557"/>
    <n v="19422.490000000002"/>
    <n v="0"/>
    <n v="56687"/>
  </r>
  <r>
    <x v="3"/>
    <m/>
    <s v="Børnehuset Åkanden / Skovbo Skovbovænget 75"/>
    <n v="9977"/>
    <m/>
    <s v="Åkanden/Skovbo"/>
    <x v="23"/>
    <x v="0"/>
    <x v="0"/>
    <n v="18300"/>
    <n v="5"/>
    <s v="2010-06-30"/>
    <n v="0"/>
    <n v="487"/>
    <n v="14.345143999999999"/>
    <n v="2"/>
    <x v="2"/>
    <x v="951"/>
    <n v="2096.2600000000002"/>
    <n v="0"/>
    <m/>
    <s v="74112335858"/>
    <n v="6987.5290000000005"/>
    <n v="0"/>
    <n v="76402"/>
  </r>
  <r>
    <x v="3"/>
    <m/>
    <s v="Børnehuset Åkanden / Skovbo Skovbovænget 75"/>
    <n v="9977"/>
    <m/>
    <s v="Åkanden/Skovbo"/>
    <x v="23"/>
    <x v="0"/>
    <x v="1"/>
    <n v="21659.93"/>
    <n v="12"/>
    <s v="2010-06-30"/>
    <n v="0"/>
    <n v="487"/>
    <n v="44.467111000000003"/>
    <n v="2"/>
    <x v="2"/>
    <x v="952"/>
    <n v="6497.97"/>
    <n v="0"/>
    <m/>
    <s v="74112335858"/>
    <n v="21659.922999999999"/>
    <n v="0"/>
    <n v="76402"/>
  </r>
  <r>
    <x v="3"/>
    <m/>
    <s v="Børnehuset Åkanden / Skovbo Skovbovænget 75"/>
    <n v="9977"/>
    <m/>
    <s v="Åkanden/Skovbo"/>
    <x v="23"/>
    <x v="0"/>
    <x v="2"/>
    <n v="16582.62"/>
    <n v="12"/>
    <s v="2010-06-30"/>
    <n v="0"/>
    <n v="487"/>
    <n v="34.043562999999999"/>
    <n v="2"/>
    <x v="2"/>
    <x v="953"/>
    <n v="6633.06"/>
    <n v="0"/>
    <m/>
    <s v="74112335858"/>
    <n v="16582.616999999998"/>
    <n v="0"/>
    <n v="76402"/>
  </r>
  <r>
    <x v="3"/>
    <m/>
    <s v="Børnehuset Åkanden / Skovbo Skovbovænget 75"/>
    <n v="9977"/>
    <m/>
    <s v="Åkanden/Skovbo"/>
    <x v="23"/>
    <x v="0"/>
    <x v="3"/>
    <n v="17003.560000000001"/>
    <n v="12"/>
    <s v="2010-06-30"/>
    <n v="0"/>
    <n v="487"/>
    <n v="34.907738999999999"/>
    <n v="2"/>
    <x v="2"/>
    <x v="954"/>
    <n v="7974.66"/>
    <n v="0"/>
    <m/>
    <s v="74112335858"/>
    <n v="17003.550999999999"/>
    <n v="0"/>
    <n v="76402"/>
  </r>
  <r>
    <x v="3"/>
    <m/>
    <s v="Børnehuset Åkanden / Skovbo Skovbovænget 75"/>
    <n v="9977"/>
    <m/>
    <s v="Åkanden/Skovbo"/>
    <x v="23"/>
    <x v="0"/>
    <x v="4"/>
    <n v="16946.39"/>
    <n v="8"/>
    <s v="2010-06-30"/>
    <n v="0"/>
    <n v="487"/>
    <n v="34.790371"/>
    <n v="2"/>
    <x v="2"/>
    <x v="955"/>
    <n v="7947.88"/>
    <n v="0"/>
    <m/>
    <s v="74112335858"/>
    <n v="16946.397850000001"/>
    <n v="0"/>
    <n v="76402"/>
  </r>
  <r>
    <x v="3"/>
    <m/>
    <s v="Børnehuset Åkanden / Skovbo Skovbovænget 75"/>
    <n v="9977"/>
    <m/>
    <s v="Åkanden/Skovbo"/>
    <x v="23"/>
    <x v="0"/>
    <x v="5"/>
    <n v="20296.59"/>
    <n v="6"/>
    <s v="2010-06-30"/>
    <n v="0"/>
    <n v="487"/>
    <n v="41.668219999999998"/>
    <n v="2"/>
    <x v="2"/>
    <x v="956"/>
    <n v="9519.1200000000008"/>
    <n v="0"/>
    <m/>
    <s v="74112335858"/>
    <n v="20296.592509999999"/>
    <n v="0"/>
    <n v="76402"/>
  </r>
  <r>
    <x v="3"/>
    <m/>
    <s v="Børnehuset Åkanden / Skovbo Skovbovænget 75"/>
    <n v="9977"/>
    <m/>
    <s v="Åkanden/Skovbo"/>
    <x v="23"/>
    <x v="0"/>
    <x v="6"/>
    <n v="23406.3"/>
    <n v="9"/>
    <s v="2010-06-30"/>
    <n v="0"/>
    <n v="487"/>
    <n v="48.052349999999997"/>
    <n v="2"/>
    <x v="2"/>
    <x v="957"/>
    <n v="10977.55"/>
    <n v="0"/>
    <m/>
    <s v="74112335858"/>
    <n v="23406.309089999999"/>
    <n v="0"/>
    <n v="76402"/>
  </r>
  <r>
    <x v="3"/>
    <m/>
    <s v="Dalgården, Dalsø 107-109"/>
    <n v="10018"/>
    <m/>
    <s v="Dalgården"/>
    <x v="24"/>
    <x v="0"/>
    <x v="0"/>
    <n v="23732"/>
    <n v="5"/>
    <m/>
    <n v="0"/>
    <n v="838"/>
    <n v="6.7477739999999997"/>
    <n v="2"/>
    <x v="2"/>
    <x v="958"/>
    <n v="1696.59"/>
    <n v="0"/>
    <s v="49491"/>
    <s v="74110486026"/>
    <n v="5655.3010000000004"/>
    <n v="0"/>
    <n v="90991"/>
  </r>
  <r>
    <x v="3"/>
    <m/>
    <s v="Dalgården, Dalsø 107-109"/>
    <n v="10018"/>
    <m/>
    <s v="Dalgården"/>
    <x v="24"/>
    <x v="0"/>
    <x v="1"/>
    <n v="20987"/>
    <n v="12"/>
    <m/>
    <n v="0"/>
    <n v="838"/>
    <n v="25.041163999999998"/>
    <n v="2"/>
    <x v="2"/>
    <x v="959"/>
    <n v="6296.1"/>
    <n v="0"/>
    <s v="49491"/>
    <s v="74110486026"/>
    <n v="20987"/>
    <n v="0"/>
    <n v="90991"/>
  </r>
  <r>
    <x v="3"/>
    <m/>
    <s v="Dalgården, Dalsø 107-109"/>
    <n v="10018"/>
    <m/>
    <s v="Dalgården"/>
    <x v="24"/>
    <x v="0"/>
    <x v="2"/>
    <n v="19878.73"/>
    <n v="12"/>
    <m/>
    <n v="0"/>
    <n v="838"/>
    <n v="23.718803999999999"/>
    <n v="2"/>
    <x v="2"/>
    <x v="960"/>
    <n v="7951.49"/>
    <n v="0"/>
    <s v="49491"/>
    <s v="74110486026"/>
    <n v="19878.733"/>
    <n v="0"/>
    <n v="90991"/>
  </r>
  <r>
    <x v="3"/>
    <m/>
    <s v="Dalgården, Dalsø 107-109"/>
    <n v="10018"/>
    <m/>
    <s v="Dalgården"/>
    <x v="24"/>
    <x v="0"/>
    <x v="3"/>
    <n v="15676.4"/>
    <n v="1"/>
    <s v="2011-09-21"/>
    <n v="0"/>
    <n v="838"/>
    <n v="18.704688999999998"/>
    <n v="2"/>
    <x v="2"/>
    <x v="961"/>
    <n v="7352.23"/>
    <n v="0"/>
    <s v="7363179---49491 afmeldt"/>
    <m/>
    <n v="15676.4162"/>
    <n v="0"/>
    <n v="76528"/>
  </r>
  <r>
    <x v="3"/>
    <m/>
    <s v="Dalgården, Dalsø 107-109"/>
    <n v="10018"/>
    <m/>
    <s v="Dalgården"/>
    <x v="24"/>
    <x v="0"/>
    <x v="3"/>
    <n v="5267.14"/>
    <n v="3"/>
    <m/>
    <n v="0"/>
    <n v="838"/>
    <n v="6.2846190000000002"/>
    <n v="2"/>
    <x v="2"/>
    <x v="962"/>
    <n v="2470.29"/>
    <n v="0"/>
    <s v="49491"/>
    <s v="74110486026"/>
    <n v="5267.134"/>
    <n v="0"/>
    <n v="90991"/>
  </r>
  <r>
    <x v="3"/>
    <m/>
    <s v="Dalgården, Dalsø 107-109"/>
    <n v="10018"/>
    <m/>
    <s v="Dalgården"/>
    <x v="24"/>
    <x v="0"/>
    <x v="4"/>
    <n v="21863.7"/>
    <n v="3"/>
    <s v="2011-09-21"/>
    <n v="0"/>
    <n v="838"/>
    <n v="26.087221"/>
    <n v="2"/>
    <x v="2"/>
    <x v="963"/>
    <n v="10254.06"/>
    <n v="0"/>
    <s v="7363179---49491 afmeldt"/>
    <m/>
    <n v="21863.678670000001"/>
    <n v="0"/>
    <n v="76528"/>
  </r>
  <r>
    <x v="3"/>
    <m/>
    <s v="Dalgården, Dalsø 107-109"/>
    <n v="10018"/>
    <m/>
    <s v="Dalgården"/>
    <x v="24"/>
    <x v="0"/>
    <x v="5"/>
    <n v="24376.89"/>
    <n v="2"/>
    <s v="2011-09-21"/>
    <n v="0"/>
    <n v="838"/>
    <n v="29.085896000000002"/>
    <n v="2"/>
    <x v="2"/>
    <x v="964"/>
    <n v="11432.78"/>
    <n v="0"/>
    <s v="7363179---49491 afmeldt"/>
    <m/>
    <n v="24376.905119999999"/>
    <n v="0"/>
    <n v="76528"/>
  </r>
  <r>
    <x v="3"/>
    <m/>
    <s v="Dalgården, Dalsø 107-109"/>
    <n v="10018"/>
    <m/>
    <s v="Dalgården"/>
    <x v="24"/>
    <x v="0"/>
    <x v="6"/>
    <n v="25730.91"/>
    <n v="5"/>
    <s v="2011-09-21"/>
    <n v="0"/>
    <n v="838"/>
    <n v="30.701478999999999"/>
    <n v="2"/>
    <x v="2"/>
    <x v="965"/>
    <n v="12067.78"/>
    <n v="0"/>
    <s v="7363179---49491 afmeldt"/>
    <m/>
    <n v="25730.91001"/>
    <n v="0"/>
    <n v="76528"/>
  </r>
  <r>
    <x v="3"/>
    <s v="04730-9"/>
    <s v="Drivhuset Hvilebæksgårdsvej 17"/>
    <n v="5486"/>
    <m/>
    <s v="Drivhuset"/>
    <x v="25"/>
    <x v="0"/>
    <x v="0"/>
    <n v="12244"/>
    <n v="5"/>
    <s v="2005-05-01"/>
    <n v="0"/>
    <n v="417"/>
    <n v="12.198848999999999"/>
    <n v="2"/>
    <x v="2"/>
    <x v="966"/>
    <n v="2035.25"/>
    <n v="0"/>
    <s v="72002"/>
    <s v="74111841077"/>
    <n v="5088.1274000000003"/>
    <n v="0"/>
    <n v="57981"/>
  </r>
  <r>
    <x v="3"/>
    <s v="04730-9"/>
    <s v="Drivhuset Hvilebæksgårdsvej 17"/>
    <n v="5486"/>
    <m/>
    <s v="Drivhuset"/>
    <x v="25"/>
    <x v="0"/>
    <x v="1"/>
    <n v="12096.39"/>
    <n v="12"/>
    <s v="2005-05-01"/>
    <n v="0"/>
    <n v="417"/>
    <n v="29.001173999999999"/>
    <n v="2"/>
    <x v="2"/>
    <x v="967"/>
    <n v="4838.57"/>
    <n v="0"/>
    <s v="72002"/>
    <s v="74111841077"/>
    <n v="12096.3907"/>
    <n v="0"/>
    <n v="57981"/>
  </r>
  <r>
    <x v="3"/>
    <s v="04730-9"/>
    <s v="Drivhuset Hvilebæksgårdsvej 17"/>
    <n v="5486"/>
    <m/>
    <s v="Drivhuset"/>
    <x v="25"/>
    <x v="0"/>
    <x v="2"/>
    <n v="15383.12"/>
    <n v="12"/>
    <s v="2005-05-01"/>
    <n v="0"/>
    <n v="417"/>
    <n v="36.881131000000003"/>
    <n v="2"/>
    <x v="2"/>
    <x v="968"/>
    <n v="6153.25"/>
    <n v="0"/>
    <s v="72002"/>
    <s v="74111841077"/>
    <n v="15383.117"/>
    <n v="0"/>
    <n v="57981"/>
  </r>
  <r>
    <x v="3"/>
    <s v="04730-9"/>
    <s v="Drivhuset Hvilebæksgårdsvej 17"/>
    <n v="5486"/>
    <m/>
    <s v="Drivhuset"/>
    <x v="25"/>
    <x v="0"/>
    <x v="3"/>
    <n v="17141.59"/>
    <n v="12"/>
    <s v="2005-05-01"/>
    <n v="0"/>
    <n v="417"/>
    <n v="41.097074999999997"/>
    <n v="2"/>
    <x v="2"/>
    <x v="969"/>
    <n v="8039.42"/>
    <n v="0"/>
    <s v="72002"/>
    <s v="74111841077"/>
    <n v="17141.598000000002"/>
    <n v="0"/>
    <n v="57981"/>
  </r>
  <r>
    <x v="3"/>
    <s v="04730-9"/>
    <s v="Drivhuset Hvilebæksgårdsvej 17"/>
    <n v="5486"/>
    <m/>
    <s v="Drivhuset"/>
    <x v="25"/>
    <x v="0"/>
    <x v="4"/>
    <n v="16777.88"/>
    <n v="12"/>
    <s v="2005-05-01"/>
    <n v="0"/>
    <n v="417"/>
    <n v="40.225076999999999"/>
    <n v="2"/>
    <x v="2"/>
    <x v="970"/>
    <n v="7868.83"/>
    <n v="0"/>
    <s v="72002"/>
    <s v="74111841077"/>
    <n v="16777.882000000001"/>
    <n v="0"/>
    <n v="57981"/>
  </r>
  <r>
    <x v="3"/>
    <s v="04730-9"/>
    <s v="Drivhuset Hvilebæksgårdsvej 17"/>
    <n v="5486"/>
    <m/>
    <s v="Drivhuset"/>
    <x v="25"/>
    <x v="0"/>
    <x v="5"/>
    <n v="16581.240000000002"/>
    <n v="12"/>
    <s v="2005-05-01"/>
    <n v="0"/>
    <n v="417"/>
    <n v="39.753632000000003"/>
    <n v="2"/>
    <x v="2"/>
    <x v="971"/>
    <n v="7776.6"/>
    <n v="0"/>
    <s v="72002"/>
    <s v="74111841077"/>
    <n v="16581.235000000001"/>
    <n v="0"/>
    <n v="57981"/>
  </r>
  <r>
    <x v="3"/>
    <s v="04730-9"/>
    <s v="Drivhuset Hvilebæksgårdsvej 17"/>
    <n v="5486"/>
    <m/>
    <s v="Drivhuset"/>
    <x v="25"/>
    <x v="0"/>
    <x v="6"/>
    <n v="17098.05"/>
    <n v="12"/>
    <s v="2005-05-01"/>
    <n v="0"/>
    <n v="417"/>
    <n v="40.992686999999997"/>
    <n v="2"/>
    <x v="2"/>
    <x v="972"/>
    <n v="8018.98"/>
    <n v="0"/>
    <s v="72002"/>
    <s v="74111841077"/>
    <n v="17098.044999999998"/>
    <n v="0"/>
    <n v="57981"/>
  </r>
  <r>
    <x v="3"/>
    <m/>
    <s v="Espebo Børnecenter"/>
    <n v="10058"/>
    <m/>
    <s v="Espebo Børnecenter"/>
    <x v="26"/>
    <x v="0"/>
    <x v="0"/>
    <n v="17382"/>
    <n v="5"/>
    <s v="2010-10-31"/>
    <n v="0"/>
    <n v="692"/>
    <n v="10.457981999999999"/>
    <n v="2"/>
    <x v="2"/>
    <x v="973"/>
    <n v="2171.39"/>
    <n v="0"/>
    <m/>
    <s v="74111889819"/>
    <n v="7237.9669999999996"/>
    <n v="0"/>
    <n v="76684"/>
  </r>
  <r>
    <x v="3"/>
    <m/>
    <s v="Espebo Børnecenter"/>
    <n v="10058"/>
    <m/>
    <s v="Espebo Børnecenter"/>
    <x v="26"/>
    <x v="0"/>
    <x v="1"/>
    <n v="18965.349999999999"/>
    <n v="12"/>
    <s v="2010-10-31"/>
    <n v="0"/>
    <n v="692"/>
    <n v="27.402615000000001"/>
    <n v="2"/>
    <x v="2"/>
    <x v="974"/>
    <n v="5689.61"/>
    <n v="0"/>
    <m/>
    <s v="74111889819"/>
    <n v="18965.341"/>
    <n v="0"/>
    <n v="76684"/>
  </r>
  <r>
    <x v="3"/>
    <m/>
    <s v="Espebo Børnecenter"/>
    <n v="10058"/>
    <m/>
    <s v="Espebo Børnecenter"/>
    <x v="26"/>
    <x v="0"/>
    <x v="2"/>
    <n v="18135.84"/>
    <n v="12"/>
    <s v="2010-10-31"/>
    <n v="0"/>
    <n v="692"/>
    <n v="26.204073999999999"/>
    <n v="2"/>
    <x v="2"/>
    <x v="975"/>
    <n v="7254.33"/>
    <n v="0"/>
    <m/>
    <s v="74111889819"/>
    <n v="18135.843000000001"/>
    <n v="0"/>
    <n v="76684"/>
  </r>
  <r>
    <x v="3"/>
    <m/>
    <s v="Espebo Børnecenter"/>
    <n v="10058"/>
    <m/>
    <s v="Espebo Børnecenter"/>
    <x v="26"/>
    <x v="0"/>
    <x v="3"/>
    <n v="18099.32"/>
    <n v="12"/>
    <s v="2010-10-31"/>
    <n v="0"/>
    <n v="692"/>
    <n v="26.151306999999999"/>
    <n v="2"/>
    <x v="2"/>
    <x v="976"/>
    <n v="8488.57"/>
    <n v="0"/>
    <m/>
    <s v="74111889819"/>
    <n v="18099.311000000002"/>
    <n v="0"/>
    <n v="76684"/>
  </r>
  <r>
    <x v="3"/>
    <m/>
    <s v="Espebo Børnecenter"/>
    <n v="10058"/>
    <m/>
    <s v="Espebo Børnecenter"/>
    <x v="26"/>
    <x v="0"/>
    <x v="4"/>
    <n v="17306.2"/>
    <n v="6"/>
    <s v="2010-10-31"/>
    <n v="0"/>
    <n v="692"/>
    <n v="25.005345999999999"/>
    <n v="2"/>
    <x v="2"/>
    <x v="977"/>
    <n v="8116.62"/>
    <n v="0"/>
    <m/>
    <s v="74111889819"/>
    <n v="17306.206480000001"/>
    <n v="0"/>
    <n v="76684"/>
  </r>
  <r>
    <x v="3"/>
    <m/>
    <s v="Espebo Børnecenter"/>
    <n v="10058"/>
    <m/>
    <s v="Espebo Børnecenter"/>
    <x v="26"/>
    <x v="0"/>
    <x v="5"/>
    <n v="19062.84"/>
    <n v="4"/>
    <s v="2010-10-31"/>
    <n v="0"/>
    <n v="692"/>
    <n v="27.543475999999998"/>
    <n v="2"/>
    <x v="2"/>
    <x v="978"/>
    <n v="8940.4599999999991"/>
    <n v="0"/>
    <m/>
    <s v="74111889819"/>
    <n v="19062.849450000002"/>
    <n v="0"/>
    <n v="76684"/>
  </r>
  <r>
    <x v="3"/>
    <m/>
    <s v="Espebo Børnecenter"/>
    <n v="10058"/>
    <m/>
    <s v="Espebo Børnecenter"/>
    <x v="26"/>
    <x v="0"/>
    <x v="6"/>
    <n v="17530.96"/>
    <n v="4"/>
    <s v="2010-10-31"/>
    <n v="0"/>
    <n v="692"/>
    <n v="25.330096000000001"/>
    <n v="2"/>
    <x v="2"/>
    <x v="979"/>
    <n v="8222.0300000000007"/>
    <n v="0"/>
    <m/>
    <s v="74111889819"/>
    <n v="17530.967089999998"/>
    <n v="0"/>
    <n v="76684"/>
  </r>
  <r>
    <x v="3"/>
    <s v="03971-3"/>
    <s v="Farum Vejgård, Stavnsholtvej 170"/>
    <n v="5428"/>
    <m/>
    <s v="Farum Vejgård"/>
    <x v="28"/>
    <x v="0"/>
    <x v="0"/>
    <n v="28802"/>
    <n v="5"/>
    <s v="2005-05-01"/>
    <n v="0"/>
    <n v="679"/>
    <n v="12.485127"/>
    <n v="2"/>
    <x v="2"/>
    <x v="980"/>
    <n v="3391.47"/>
    <n v="0"/>
    <s v="1019188"/>
    <m/>
    <n v="8478.652"/>
    <n v="0"/>
    <n v="57402"/>
  </r>
  <r>
    <x v="3"/>
    <s v="03971-3"/>
    <s v="Farum Vejgård, Stavnsholtvej 170"/>
    <n v="5428"/>
    <m/>
    <s v="Farum Vejgård"/>
    <x v="28"/>
    <x v="0"/>
    <x v="0"/>
    <n v="0"/>
    <n v="5"/>
    <s v="2005-05-01"/>
    <n v="0"/>
    <n v="679"/>
    <n v="4.103637"/>
    <n v="2"/>
    <x v="2"/>
    <x v="981"/>
    <n v="1114.71"/>
    <n v="0"/>
    <s v="1004350 (1)"/>
    <m/>
    <n v="2786.7779999999998"/>
    <n v="0"/>
    <n v="57563"/>
  </r>
  <r>
    <x v="3"/>
    <s v="03971-3"/>
    <s v="Farum Vejgård, Stavnsholtvej 170"/>
    <n v="5428"/>
    <m/>
    <s v="Farum Vejgård"/>
    <x v="28"/>
    <x v="0"/>
    <x v="0"/>
    <n v="0"/>
    <n v="5"/>
    <s v="2005-05-01"/>
    <n v="0"/>
    <n v="679"/>
    <n v="1.1060220000000001"/>
    <n v="2"/>
    <x v="2"/>
    <x v="982"/>
    <n v="300.44"/>
    <n v="0"/>
    <s v="1011580 (2)"/>
    <m/>
    <n v="751.10799999999995"/>
    <n v="0"/>
    <n v="57564"/>
  </r>
  <r>
    <x v="3"/>
    <s v="03971-3"/>
    <s v="Farum Vejgård, Stavnsholtvej 170"/>
    <n v="5428"/>
    <m/>
    <s v="Farum Vejgård"/>
    <x v="28"/>
    <x v="0"/>
    <x v="1"/>
    <n v="15079.56"/>
    <n v="12"/>
    <s v="2005-05-01"/>
    <n v="0"/>
    <n v="679"/>
    <n v="22.205212"/>
    <n v="2"/>
    <x v="2"/>
    <x v="983"/>
    <n v="6031.83"/>
    <n v="0"/>
    <s v="1019188"/>
    <m/>
    <n v="15079.556"/>
    <n v="0"/>
    <n v="57402"/>
  </r>
  <r>
    <x v="3"/>
    <s v="03971-3"/>
    <s v="Farum Vejgård, Stavnsholtvej 170"/>
    <n v="5428"/>
    <m/>
    <s v="Farum Vejgård"/>
    <x v="28"/>
    <x v="0"/>
    <x v="1"/>
    <n v="1680"/>
    <n v="12"/>
    <s v="2005-05-01"/>
    <n v="0"/>
    <n v="679"/>
    <n v="2.473862"/>
    <n v="2"/>
    <x v="2"/>
    <x v="984"/>
    <n v="672"/>
    <n v="0"/>
    <s v="1011580 (2)"/>
    <m/>
    <n v="1679.99"/>
    <n v="0"/>
    <n v="57564"/>
  </r>
  <r>
    <x v="3"/>
    <s v="03971-3"/>
    <s v="Farum Vejgård, Stavnsholtvej 170"/>
    <n v="5428"/>
    <m/>
    <s v="Farum Vejgård"/>
    <x v="28"/>
    <x v="0"/>
    <x v="1"/>
    <n v="8065.16"/>
    <n v="12"/>
    <s v="2005-05-01"/>
    <n v="0"/>
    <n v="679"/>
    <n v="11.876246999999999"/>
    <n v="2"/>
    <x v="2"/>
    <x v="985"/>
    <n v="3226.07"/>
    <n v="0"/>
    <s v="1004350 (1)"/>
    <m/>
    <n v="8065.1779999999999"/>
    <n v="0"/>
    <n v="57563"/>
  </r>
  <r>
    <x v="3"/>
    <s v="03971-3"/>
    <s v="Farum Vejgård, Stavnsholtvej 170"/>
    <n v="5428"/>
    <m/>
    <s v="Farum Vejgård"/>
    <x v="28"/>
    <x v="0"/>
    <x v="2"/>
    <n v="14018.63"/>
    <n v="12"/>
    <s v="2005-05-01"/>
    <n v="0"/>
    <n v="679"/>
    <n v="20.642952999999999"/>
    <n v="2"/>
    <x v="2"/>
    <x v="986"/>
    <n v="5607.45"/>
    <n v="0"/>
    <s v="1019188"/>
    <m/>
    <n v="14018.644"/>
    <n v="0"/>
    <n v="57402"/>
  </r>
  <r>
    <x v="3"/>
    <s v="03971-3"/>
    <s v="Farum Vejgård, Stavnsholtvej 170"/>
    <n v="5428"/>
    <m/>
    <s v="Farum Vejgård"/>
    <x v="28"/>
    <x v="0"/>
    <x v="2"/>
    <n v="1534.67"/>
    <n v="12"/>
    <s v="2005-05-01"/>
    <n v="0"/>
    <n v="679"/>
    <n v="2.2598579999999999"/>
    <n v="2"/>
    <x v="2"/>
    <x v="987"/>
    <n v="613.85"/>
    <n v="0"/>
    <s v="1011580 (2)"/>
    <m/>
    <n v="1534.65"/>
    <n v="0"/>
    <n v="57564"/>
  </r>
  <r>
    <x v="3"/>
    <s v="03971-3"/>
    <s v="Farum Vejgård, Stavnsholtvej 170"/>
    <n v="5428"/>
    <m/>
    <s v="Farum Vejgård"/>
    <x v="28"/>
    <x v="0"/>
    <x v="2"/>
    <n v="11463.35"/>
    <n v="12"/>
    <s v="2005-05-01"/>
    <n v="0"/>
    <n v="679"/>
    <n v="16.880209000000001"/>
    <n v="2"/>
    <x v="2"/>
    <x v="988"/>
    <n v="4585.3500000000004"/>
    <n v="0"/>
    <s v="1004350 (1)"/>
    <m/>
    <n v="11463.35"/>
    <n v="0"/>
    <n v="57563"/>
  </r>
  <r>
    <x v="3"/>
    <s v="03971-3"/>
    <s v="Farum Vejgård, Stavnsholtvej 170"/>
    <n v="5428"/>
    <m/>
    <s v="Farum Vejgård"/>
    <x v="28"/>
    <x v="0"/>
    <x v="3"/>
    <n v="15090.33"/>
    <n v="12"/>
    <s v="2005-05-01"/>
    <n v="0"/>
    <n v="679"/>
    <n v="22.221071999999999"/>
    <n v="2"/>
    <x v="2"/>
    <x v="989"/>
    <n v="7077.37"/>
    <n v="0"/>
    <s v="1019188"/>
    <m/>
    <n v="15090.334000000001"/>
    <n v="0"/>
    <n v="57402"/>
  </r>
  <r>
    <x v="3"/>
    <s v="03971-3"/>
    <s v="Farum Vejgård, Stavnsholtvej 170"/>
    <n v="5428"/>
    <m/>
    <s v="Farum Vejgård"/>
    <x v="28"/>
    <x v="0"/>
    <x v="3"/>
    <n v="10016.83"/>
    <n v="12"/>
    <s v="2005-05-01"/>
    <n v="0"/>
    <n v="679"/>
    <n v="14.750154"/>
    <n v="2"/>
    <x v="2"/>
    <x v="990"/>
    <n v="4697.8900000000003"/>
    <n v="0"/>
    <s v="1004350 (1)"/>
    <m/>
    <n v="10016.828"/>
    <n v="0"/>
    <n v="57563"/>
  </r>
  <r>
    <x v="3"/>
    <s v="03971-3"/>
    <s v="Farum Vejgård, Stavnsholtvej 170"/>
    <n v="5428"/>
    <m/>
    <s v="Farum Vejgård"/>
    <x v="28"/>
    <x v="0"/>
    <x v="3"/>
    <n v="1844.06"/>
    <n v="12"/>
    <s v="2005-05-01"/>
    <n v="0"/>
    <n v="679"/>
    <n v="2.715446"/>
    <n v="2"/>
    <x v="2"/>
    <x v="991"/>
    <n v="864.87"/>
    <n v="0"/>
    <s v="1011580 (2)"/>
    <m/>
    <n v="1844.056"/>
    <n v="0"/>
    <n v="57564"/>
  </r>
  <r>
    <x v="3"/>
    <s v="03971-3"/>
    <s v="Farum Vejgård, Stavnsholtvej 170"/>
    <n v="5428"/>
    <m/>
    <s v="Farum Vejgård"/>
    <x v="28"/>
    <x v="0"/>
    <x v="4"/>
    <n v="1639.49"/>
    <n v="12"/>
    <s v="2005-05-01"/>
    <n v="0"/>
    <n v="679"/>
    <n v="2.414209"/>
    <n v="2"/>
    <x v="2"/>
    <x v="992"/>
    <n v="768.91"/>
    <n v="0"/>
    <s v="1011580 (2)"/>
    <m/>
    <n v="1639.4780000000001"/>
    <n v="0"/>
    <n v="57564"/>
  </r>
  <r>
    <x v="3"/>
    <s v="03971-3"/>
    <s v="Farum Vejgård, Stavnsholtvej 170"/>
    <n v="5428"/>
    <m/>
    <s v="Farum Vejgård"/>
    <x v="28"/>
    <x v="0"/>
    <x v="4"/>
    <n v="13843.63"/>
    <n v="12"/>
    <s v="2005-05-01"/>
    <n v="0"/>
    <n v="679"/>
    <n v="20.385259000000001"/>
    <n v="2"/>
    <x v="2"/>
    <x v="993"/>
    <n v="6492.67"/>
    <n v="0"/>
    <s v="1019188"/>
    <m/>
    <n v="13843.636"/>
    <n v="0"/>
    <n v="57402"/>
  </r>
  <r>
    <x v="3"/>
    <s v="03971-3"/>
    <s v="Farum Vejgård, Stavnsholtvej 170"/>
    <n v="5428"/>
    <m/>
    <s v="Farum Vejgård"/>
    <x v="28"/>
    <x v="0"/>
    <x v="4"/>
    <n v="13211.14"/>
    <n v="12"/>
    <s v="2005-05-01"/>
    <n v="0"/>
    <n v="679"/>
    <n v="19.453893999999998"/>
    <n v="2"/>
    <x v="2"/>
    <x v="994"/>
    <n v="6196.02"/>
    <n v="0"/>
    <s v="1004350 (1)"/>
    <m/>
    <n v="13211.128000000001"/>
    <n v="0"/>
    <n v="57563"/>
  </r>
  <r>
    <x v="3"/>
    <s v="03971-3"/>
    <s v="Farum Vejgård, Stavnsholtvej 170"/>
    <n v="5428"/>
    <m/>
    <s v="Farum Vejgård"/>
    <x v="28"/>
    <x v="0"/>
    <x v="5"/>
    <n v="13483.75"/>
    <n v="12"/>
    <s v="2005-05-01"/>
    <n v="0"/>
    <n v="679"/>
    <n v="19.855322999999999"/>
    <n v="2"/>
    <x v="2"/>
    <x v="995"/>
    <n v="6323.89"/>
    <n v="0"/>
    <s v="1019188"/>
    <m/>
    <n v="13483.75"/>
    <n v="0"/>
    <n v="57402"/>
  </r>
  <r>
    <x v="3"/>
    <s v="03971-3"/>
    <s v="Farum Vejgård, Stavnsholtvej 170"/>
    <n v="5428"/>
    <m/>
    <s v="Farum Vejgård"/>
    <x v="28"/>
    <x v="0"/>
    <x v="5"/>
    <n v="1415.92"/>
    <n v="12"/>
    <s v="2005-05-01"/>
    <n v="0"/>
    <n v="679"/>
    <n v="2.084994"/>
    <n v="2"/>
    <x v="2"/>
    <x v="996"/>
    <n v="664.07"/>
    <n v="0"/>
    <s v="1011580 (2)"/>
    <m/>
    <n v="1415.932"/>
    <n v="0"/>
    <n v="57564"/>
  </r>
  <r>
    <x v="3"/>
    <s v="03971-3"/>
    <s v="Farum Vejgård, Stavnsholtvej 170"/>
    <n v="5428"/>
    <m/>
    <s v="Farum Vejgård"/>
    <x v="28"/>
    <x v="0"/>
    <x v="5"/>
    <n v="12173.12"/>
    <n v="12"/>
    <s v="2005-05-01"/>
    <n v="0"/>
    <n v="679"/>
    <n v="17.925370999999998"/>
    <n v="2"/>
    <x v="2"/>
    <x v="997"/>
    <n v="5709.18"/>
    <n v="0"/>
    <s v="1004350 (1)"/>
    <m/>
    <n v="12173.116"/>
    <n v="0"/>
    <n v="57563"/>
  </r>
  <r>
    <x v="3"/>
    <s v="03971-3"/>
    <s v="Farum Vejgård, Stavnsholtvej 170"/>
    <n v="5428"/>
    <m/>
    <s v="Farum Vejgård"/>
    <x v="28"/>
    <x v="0"/>
    <x v="6"/>
    <n v="12524.95"/>
    <n v="12"/>
    <s v="2005-05-01"/>
    <n v="0"/>
    <n v="679"/>
    <n v="18.443453999999999"/>
    <n v="2"/>
    <x v="2"/>
    <x v="998"/>
    <n v="5874.2"/>
    <n v="0"/>
    <s v="1019188"/>
    <m/>
    <n v="12524.94"/>
    <n v="0"/>
    <n v="57402"/>
  </r>
  <r>
    <x v="3"/>
    <s v="03971-3"/>
    <s v="Farum Vejgård, Stavnsholtvej 170"/>
    <n v="5428"/>
    <m/>
    <s v="Farum Vejgård"/>
    <x v="28"/>
    <x v="0"/>
    <x v="6"/>
    <n v="1988.29"/>
    <n v="12"/>
    <s v="2005-05-01"/>
    <n v="0"/>
    <n v="679"/>
    <n v="2.9278300000000002"/>
    <n v="2"/>
    <x v="2"/>
    <x v="999"/>
    <n v="932.5"/>
    <n v="0"/>
    <s v="1011580 (2)"/>
    <m/>
    <n v="1988.3019999999999"/>
    <n v="0"/>
    <n v="57564"/>
  </r>
  <r>
    <x v="3"/>
    <s v="03971-3"/>
    <s v="Farum Vejgård, Stavnsholtvej 170"/>
    <n v="5428"/>
    <m/>
    <s v="Farum Vejgård"/>
    <x v="28"/>
    <x v="0"/>
    <x v="6"/>
    <n v="14503.17"/>
    <n v="12"/>
    <s v="2005-05-01"/>
    <n v="0"/>
    <n v="679"/>
    <n v="21.356456999999999"/>
    <n v="2"/>
    <x v="2"/>
    <x v="1000"/>
    <n v="6801.99"/>
    <n v="0"/>
    <s v="1004350 (1)"/>
    <m/>
    <n v="14503.146000000001"/>
    <n v="0"/>
    <n v="57563"/>
  </r>
  <r>
    <x v="3"/>
    <s v="00005-1"/>
    <s v="Farumsødal"/>
    <n v="5262"/>
    <m/>
    <s v="Farumsødal"/>
    <x v="29"/>
    <x v="0"/>
    <x v="0"/>
    <n v="19685"/>
    <n v="5"/>
    <s v="2005-04-30"/>
    <n v="0"/>
    <n v="874"/>
    <n v="6.2423289999999998"/>
    <n v="2"/>
    <x v="2"/>
    <x v="1001"/>
    <n v="2182.58"/>
    <n v="0"/>
    <s v="072049 nr 1"/>
    <s v="74112646763"/>
    <n v="5456.4278999999997"/>
    <n v="0"/>
    <n v="56737"/>
  </r>
  <r>
    <x v="3"/>
    <s v="00005-1"/>
    <s v="Farumsødal"/>
    <n v="5262"/>
    <m/>
    <s v="Farumsødal"/>
    <x v="29"/>
    <x v="0"/>
    <x v="0"/>
    <n v="0"/>
    <n v="5"/>
    <s v="2012-01-22"/>
    <n v="0"/>
    <n v="874"/>
    <n v="3.3611819999999999"/>
    <n v="2"/>
    <x v="2"/>
    <x v="1002"/>
    <n v="1175.2"/>
    <n v="0"/>
    <s v="1019281 nr. 2"/>
    <s v="74112646756"/>
    <n v="2938.0079999999998"/>
    <n v="0"/>
    <n v="56759"/>
  </r>
  <r>
    <x v="3"/>
    <s v="00005-1"/>
    <s v="Farumsødal"/>
    <n v="5262"/>
    <m/>
    <s v="Farumsødal"/>
    <x v="29"/>
    <x v="0"/>
    <x v="1"/>
    <n v="7478.9"/>
    <n v="12"/>
    <s v="2012-01-22"/>
    <n v="0"/>
    <n v="874"/>
    <n v="8.5561140000000009"/>
    <n v="2"/>
    <x v="2"/>
    <x v="1003"/>
    <n v="2991.54"/>
    <n v="0"/>
    <s v="1019281 nr. 2"/>
    <s v="74112646756"/>
    <n v="7478.8919999999998"/>
    <n v="0"/>
    <n v="56759"/>
  </r>
  <r>
    <x v="3"/>
    <s v="00005-1"/>
    <s v="Farumsødal"/>
    <n v="5262"/>
    <m/>
    <s v="Farumsødal"/>
    <x v="29"/>
    <x v="0"/>
    <x v="1"/>
    <n v="12378.82"/>
    <n v="12"/>
    <s v="2005-04-30"/>
    <n v="0"/>
    <n v="874"/>
    <n v="14.161789000000001"/>
    <n v="2"/>
    <x v="2"/>
    <x v="1004"/>
    <n v="4951.51"/>
    <n v="0"/>
    <s v="072049 nr 1"/>
    <s v="74112646763"/>
    <n v="12378.806500000001"/>
    <n v="0"/>
    <n v="56737"/>
  </r>
  <r>
    <x v="3"/>
    <s v="00005-1"/>
    <s v="Farumsødal"/>
    <n v="5262"/>
    <m/>
    <s v="Farumsødal"/>
    <x v="29"/>
    <x v="0"/>
    <x v="2"/>
    <n v="14887.3"/>
    <n v="12"/>
    <s v="2005-04-30"/>
    <n v="0"/>
    <n v="874"/>
    <n v="17.031575"/>
    <n v="2"/>
    <x v="2"/>
    <x v="1005"/>
    <n v="5954.91"/>
    <n v="0"/>
    <s v="072049 nr 1"/>
    <s v="74112646763"/>
    <n v="14887.2953"/>
    <n v="0"/>
    <n v="56737"/>
  </r>
  <r>
    <x v="3"/>
    <s v="00005-1"/>
    <s v="Farumsødal"/>
    <n v="5262"/>
    <m/>
    <s v="Farumsødal"/>
    <x v="29"/>
    <x v="0"/>
    <x v="2"/>
    <n v="10139.19"/>
    <n v="12"/>
    <s v="2012-01-22"/>
    <n v="0"/>
    <n v="874"/>
    <n v="11.599576000000001"/>
    <n v="2"/>
    <x v="2"/>
    <x v="1006"/>
    <n v="4055.68"/>
    <n v="0"/>
    <s v="1019281 nr. 2"/>
    <s v="74112646756"/>
    <n v="10139.18073"/>
    <n v="0"/>
    <n v="56759"/>
  </r>
  <r>
    <x v="3"/>
    <s v="00005-1"/>
    <s v="Farumsødal"/>
    <n v="5262"/>
    <m/>
    <s v="Farumsødal"/>
    <x v="29"/>
    <x v="0"/>
    <x v="3"/>
    <n v="15332.08"/>
    <n v="12"/>
    <s v="2005-04-30"/>
    <n v="0"/>
    <n v="874"/>
    <n v="17.540417999999999"/>
    <n v="2"/>
    <x v="2"/>
    <x v="1007"/>
    <n v="7190.76"/>
    <n v="0"/>
    <s v="072049 nr 1"/>
    <s v="74112646763"/>
    <n v="15332.093999999999"/>
    <n v="0"/>
    <n v="56737"/>
  </r>
  <r>
    <x v="3"/>
    <s v="00005-1"/>
    <s v="Farumsødal"/>
    <n v="5262"/>
    <m/>
    <s v="Farumsødal"/>
    <x v="29"/>
    <x v="0"/>
    <x v="3"/>
    <n v="12025.53"/>
    <n v="2"/>
    <s v="2012-01-22"/>
    <n v="0"/>
    <n v="874"/>
    <n v="13.757612999999999"/>
    <n v="2"/>
    <x v="2"/>
    <x v="1008"/>
    <n v="5639.99"/>
    <n v="0"/>
    <s v="1019281 nr. 2"/>
    <s v="74112646756"/>
    <n v="12025.51298"/>
    <n v="0"/>
    <n v="56759"/>
  </r>
  <r>
    <x v="3"/>
    <s v="00005-1"/>
    <s v="Farumsødal"/>
    <n v="5262"/>
    <m/>
    <s v="Farumsødal"/>
    <x v="29"/>
    <x v="0"/>
    <x v="4"/>
    <n v="13283.65"/>
    <n v="1"/>
    <s v="2012-01-22"/>
    <n v="0"/>
    <n v="874"/>
    <n v="15.196944999999999"/>
    <n v="2"/>
    <x v="2"/>
    <x v="1009"/>
    <n v="6230.05"/>
    <n v="0"/>
    <s v="1019281 nr. 2"/>
    <s v="74112646756"/>
    <n v="13283.65336"/>
    <n v="0"/>
    <n v="56759"/>
  </r>
  <r>
    <x v="3"/>
    <s v="00005-1"/>
    <s v="Farumsødal"/>
    <n v="5262"/>
    <m/>
    <s v="Farumsødal"/>
    <x v="29"/>
    <x v="0"/>
    <x v="4"/>
    <n v="15591.93"/>
    <n v="12"/>
    <s v="2005-04-30"/>
    <n v="0"/>
    <n v="874"/>
    <n v="17.837695"/>
    <n v="2"/>
    <x v="2"/>
    <x v="1010"/>
    <n v="7312.63"/>
    <n v="0"/>
    <s v="072049 nr 1"/>
    <s v="74112646763"/>
    <n v="15591.938"/>
    <n v="0"/>
    <n v="56737"/>
  </r>
  <r>
    <x v="3"/>
    <s v="00005-1"/>
    <s v="Farumsødal"/>
    <n v="5262"/>
    <m/>
    <s v="Farumsødal"/>
    <x v="29"/>
    <x v="0"/>
    <x v="5"/>
    <n v="11277.91"/>
    <n v="1"/>
    <s v="2012-01-22"/>
    <n v="0"/>
    <n v="874"/>
    <n v="12.90231"/>
    <n v="2"/>
    <x v="2"/>
    <x v="1011"/>
    <n v="5289.32"/>
    <n v="0"/>
    <s v="1019281 nr. 2"/>
    <s v="74112646756"/>
    <n v="11277.903469999999"/>
    <n v="0"/>
    <n v="56759"/>
  </r>
  <r>
    <x v="3"/>
    <s v="00005-1"/>
    <s v="Farumsødal"/>
    <n v="5262"/>
    <m/>
    <s v="Farumsødal"/>
    <x v="29"/>
    <x v="0"/>
    <x v="5"/>
    <n v="14686.82"/>
    <n v="12"/>
    <s v="2005-04-30"/>
    <n v="0"/>
    <n v="874"/>
    <n v="16.802219000000001"/>
    <n v="2"/>
    <x v="2"/>
    <x v="1012"/>
    <n v="6888.14"/>
    <n v="0"/>
    <s v="072049 nr 1"/>
    <s v="74112646763"/>
    <n v="14686.815000000001"/>
    <n v="0"/>
    <n v="56737"/>
  </r>
  <r>
    <x v="3"/>
    <s v="00005-1"/>
    <s v="Farumsødal"/>
    <n v="5262"/>
    <m/>
    <s v="Farumsødal"/>
    <x v="29"/>
    <x v="0"/>
    <x v="6"/>
    <n v="14514.92"/>
    <n v="12"/>
    <s v="2005-04-30"/>
    <n v="0"/>
    <n v="874"/>
    <n v="16.605560000000001"/>
    <n v="2"/>
    <x v="2"/>
    <x v="1013"/>
    <n v="6807.49"/>
    <n v="0"/>
    <s v="072049 nr 1"/>
    <s v="74112646763"/>
    <n v="14514.921"/>
    <n v="0"/>
    <n v="56737"/>
  </r>
  <r>
    <x v="3"/>
    <s v="00005-1"/>
    <s v="Farumsødal"/>
    <n v="5262"/>
    <m/>
    <s v="Farumsødal"/>
    <x v="29"/>
    <x v="0"/>
    <x v="6"/>
    <n v="11229.53"/>
    <n v="1"/>
    <s v="2012-01-22"/>
    <n v="0"/>
    <n v="874"/>
    <n v="12.846962"/>
    <n v="2"/>
    <x v="2"/>
    <x v="1014"/>
    <n v="5266.64"/>
    <n v="0"/>
    <s v="1019281 nr. 2"/>
    <s v="74112646756"/>
    <n v="11229.50798"/>
    <n v="0"/>
    <n v="56759"/>
  </r>
  <r>
    <x v="3"/>
    <s v="00731-5"/>
    <s v="Græshoppen"/>
    <n v="5264"/>
    <m/>
    <s v="Græshoppen"/>
    <x v="31"/>
    <x v="0"/>
    <x v="0"/>
    <n v="10626"/>
    <n v="5"/>
    <s v="2005-07-01"/>
    <n v="0"/>
    <n v="333"/>
    <n v="13.093995"/>
    <n v="2"/>
    <x v="2"/>
    <x v="1015"/>
    <n v="1744.64"/>
    <n v="0"/>
    <s v="1011237"/>
    <s v="74111463248"/>
    <n v="4361.6059999999998"/>
    <n v="0"/>
    <n v="60150"/>
  </r>
  <r>
    <x v="10"/>
    <m/>
    <s v="Skovhuset Ballerupvej 60"/>
    <n v="10190"/>
    <m/>
    <s v="Skovhuset"/>
    <x v="59"/>
    <x v="0"/>
    <x v="7"/>
    <n v="42736.35"/>
    <n v="12"/>
    <s v="2011-12-31"/>
    <n v="0"/>
    <n v="475"/>
    <n v="89.952325000000002"/>
    <n v="1"/>
    <x v="4"/>
    <x v="1016"/>
    <n v="10446.700000000001"/>
    <n v="0"/>
    <m/>
    <s v="98004051172"/>
    <n v="3957.07"/>
    <n v="0"/>
    <n v="77253"/>
  </r>
  <r>
    <x v="3"/>
    <s v="00731-5"/>
    <s v="Græshoppen"/>
    <n v="5264"/>
    <m/>
    <s v="Græshoppen"/>
    <x v="31"/>
    <x v="0"/>
    <x v="1"/>
    <n v="10641.25"/>
    <n v="12"/>
    <s v="2005-07-01"/>
    <n v="0"/>
    <n v="333"/>
    <n v="31.946111999999999"/>
    <n v="2"/>
    <x v="2"/>
    <x v="1017"/>
    <n v="4256.4799999999996"/>
    <n v="0"/>
    <s v="1011237"/>
    <s v="74111463248"/>
    <n v="10641.244000000001"/>
    <n v="0"/>
    <n v="60150"/>
  </r>
  <r>
    <x v="3"/>
    <s v="00731-5"/>
    <s v="Græshoppen"/>
    <n v="5264"/>
    <m/>
    <s v="Græshoppen"/>
    <x v="31"/>
    <x v="0"/>
    <x v="2"/>
    <n v="10942.42"/>
    <n v="12"/>
    <s v="2005-07-01"/>
    <n v="0"/>
    <n v="333"/>
    <n v="32.850254999999997"/>
    <n v="2"/>
    <x v="2"/>
    <x v="1018"/>
    <n v="4376.96"/>
    <n v="0"/>
    <s v="1011237"/>
    <s v="74111463248"/>
    <n v="10942.402"/>
    <n v="0"/>
    <n v="60150"/>
  </r>
  <r>
    <x v="3"/>
    <s v="00731-5"/>
    <s v="Græshoppen"/>
    <n v="5264"/>
    <m/>
    <s v="Græshoppen"/>
    <x v="31"/>
    <x v="0"/>
    <x v="3"/>
    <n v="12106.04"/>
    <n v="12"/>
    <s v="2005-07-01"/>
    <n v="0"/>
    <n v="333"/>
    <n v="36.343559999999997"/>
    <n v="2"/>
    <x v="2"/>
    <x v="1019"/>
    <n v="5677.73"/>
    <n v="0"/>
    <s v="1011237"/>
    <s v="74111463248"/>
    <n v="12106.0275"/>
    <n v="0"/>
    <n v="60150"/>
  </r>
  <r>
    <x v="3"/>
    <s v="00731-5"/>
    <s v="Græshoppen"/>
    <n v="5264"/>
    <m/>
    <s v="Græshoppen"/>
    <x v="31"/>
    <x v="0"/>
    <x v="4"/>
    <n v="11263.68"/>
    <n v="12"/>
    <s v="2005-07-01"/>
    <n v="0"/>
    <n v="333"/>
    <n v="33.814709999999998"/>
    <n v="2"/>
    <x v="2"/>
    <x v="1020"/>
    <n v="5282.67"/>
    <n v="0"/>
    <s v="1011237"/>
    <s v="74111463248"/>
    <n v="11263.683999999999"/>
    <n v="0"/>
    <n v="60150"/>
  </r>
  <r>
    <x v="3"/>
    <s v="00731-5"/>
    <s v="Græshoppen"/>
    <n v="5264"/>
    <m/>
    <s v="Græshoppen"/>
    <x v="31"/>
    <x v="0"/>
    <x v="5"/>
    <n v="11132.55"/>
    <n v="12"/>
    <s v="2005-07-01"/>
    <n v="0"/>
    <n v="333"/>
    <n v="33.421044000000002"/>
    <n v="2"/>
    <x v="2"/>
    <x v="1021"/>
    <n v="5221.17"/>
    <n v="0"/>
    <s v="1011237"/>
    <s v="74111463248"/>
    <n v="11132.558000000001"/>
    <n v="0"/>
    <n v="60150"/>
  </r>
  <r>
    <x v="3"/>
    <s v="00731-5"/>
    <s v="Græshoppen"/>
    <n v="5264"/>
    <m/>
    <s v="Græshoppen"/>
    <x v="31"/>
    <x v="0"/>
    <x v="6"/>
    <n v="11183.22"/>
    <n v="12"/>
    <s v="2005-07-01"/>
    <n v="0"/>
    <n v="333"/>
    <n v="33.573160999999999"/>
    <n v="2"/>
    <x v="2"/>
    <x v="1022"/>
    <n v="5244.93"/>
    <n v="0"/>
    <s v="1011237"/>
    <s v="74111463248"/>
    <n v="11183.214"/>
    <n v="0"/>
    <n v="60150"/>
  </r>
  <r>
    <x v="3"/>
    <m/>
    <s v="Hareskov Børnehus, Skovmose 55"/>
    <n v="9957"/>
    <m/>
    <s v="Hareskov Børnehus"/>
    <x v="33"/>
    <x v="0"/>
    <x v="0"/>
    <n v="19616"/>
    <n v="5"/>
    <s v="2011-12-31"/>
    <n v="0"/>
    <n v="646"/>
    <n v="14.905556000000001"/>
    <n v="2"/>
    <x v="2"/>
    <x v="1023"/>
    <n v="2889.14"/>
    <n v="0"/>
    <s v="4129902"/>
    <s v="74110485937"/>
    <n v="9630.4920000000002"/>
    <n v="0"/>
    <n v="76341"/>
  </r>
  <r>
    <x v="3"/>
    <m/>
    <s v="Hareskov Børnehus, Skovmose 55"/>
    <n v="9957"/>
    <m/>
    <s v="Hareskov Børnehus"/>
    <x v="33"/>
    <x v="0"/>
    <x v="1"/>
    <n v="22189.57"/>
    <n v="12"/>
    <s v="2011-12-31"/>
    <n v="0"/>
    <n v="646"/>
    <n v="34.343862999999999"/>
    <n v="2"/>
    <x v="2"/>
    <x v="1024"/>
    <n v="6656.88"/>
    <n v="0"/>
    <s v="4129902"/>
    <s v="74110485937"/>
    <n v="22189.580999999998"/>
    <n v="0"/>
    <n v="76341"/>
  </r>
  <r>
    <x v="3"/>
    <m/>
    <s v="Hareskov Børnehus, Skovmose 55"/>
    <n v="9957"/>
    <m/>
    <s v="Hareskov Børnehus"/>
    <x v="33"/>
    <x v="0"/>
    <x v="2"/>
    <n v="23472.01"/>
    <n v="12"/>
    <s v="2011-12-31"/>
    <n v="0"/>
    <n v="646"/>
    <n v="36.328757000000003"/>
    <n v="2"/>
    <x v="2"/>
    <x v="1025"/>
    <n v="9388.7999999999993"/>
    <n v="0"/>
    <s v="4129902"/>
    <s v="74110485937"/>
    <n v="23472.005000000001"/>
    <n v="0"/>
    <n v="76341"/>
  </r>
  <r>
    <x v="3"/>
    <m/>
    <s v="Hareskov Børnehus, Skovmose 55"/>
    <n v="9957"/>
    <m/>
    <s v="Hareskov Børnehus"/>
    <x v="33"/>
    <x v="0"/>
    <x v="3"/>
    <n v="25990.66"/>
    <n v="8"/>
    <s v="2011-12-31"/>
    <n v="0"/>
    <n v="646"/>
    <n v="40.226992000000003"/>
    <n v="2"/>
    <x v="2"/>
    <x v="1026"/>
    <n v="12189.6"/>
    <n v="0"/>
    <s v="4129902"/>
    <s v="74110485937"/>
    <n v="25990.647059999999"/>
    <n v="0"/>
    <n v="76341"/>
  </r>
  <r>
    <x v="3"/>
    <m/>
    <s v="Hareskov Børnehus, Skovmose 55"/>
    <n v="9957"/>
    <m/>
    <s v="Hareskov Børnehus"/>
    <x v="33"/>
    <x v="0"/>
    <x v="4"/>
    <n v="30344.27"/>
    <n v="3"/>
    <s v="2011-12-31"/>
    <n v="0"/>
    <n v="646"/>
    <n v="46.965283999999997"/>
    <n v="2"/>
    <x v="2"/>
    <x v="1027"/>
    <n v="14231.47"/>
    <n v="0"/>
    <s v="4129902"/>
    <s v="74110485937"/>
    <n v="30344.272570000001"/>
    <n v="0"/>
    <n v="76341"/>
  </r>
  <r>
    <x v="3"/>
    <m/>
    <s v="Hareskov Børnehus, Skovmose 55"/>
    <n v="9957"/>
    <m/>
    <s v="Hareskov Børnehus"/>
    <x v="33"/>
    <x v="0"/>
    <x v="5"/>
    <n v="29250.16"/>
    <n v="4"/>
    <s v="2011-12-31"/>
    <n v="0"/>
    <n v="646"/>
    <n v="45.271877000000003"/>
    <n v="2"/>
    <x v="2"/>
    <x v="1028"/>
    <n v="13718.32"/>
    <n v="0"/>
    <s v="4129902"/>
    <s v="74110485937"/>
    <n v="29250.183799999999"/>
    <n v="0"/>
    <n v="76341"/>
  </r>
  <r>
    <x v="3"/>
    <m/>
    <s v="Hareskov Børnehus, Skovmose 55"/>
    <n v="9957"/>
    <m/>
    <s v="Hareskov Børnehus"/>
    <x v="33"/>
    <x v="0"/>
    <x v="6"/>
    <n v="25123.45"/>
    <n v="5"/>
    <s v="2011-12-31"/>
    <n v="0"/>
    <n v="646"/>
    <n v="38.884770000000003"/>
    <n v="2"/>
    <x v="2"/>
    <x v="1029"/>
    <n v="11782.9"/>
    <n v="0"/>
    <s v="4129902"/>
    <s v="74110485937"/>
    <n v="25123.442019999999"/>
    <n v="0"/>
    <n v="76341"/>
  </r>
  <r>
    <x v="3"/>
    <s v="01215-7"/>
    <s v="Kildehuset, Hoved 41"/>
    <n v="5269"/>
    <m/>
    <s v="Kildehuset"/>
    <x v="34"/>
    <x v="0"/>
    <x v="0"/>
    <n v="26831"/>
    <n v="5"/>
    <s v="2011-09-30"/>
    <n v="0"/>
    <n v="607"/>
    <n v="17.031756999999999"/>
    <n v="2"/>
    <x v="2"/>
    <x v="1030"/>
    <n v="4135.99"/>
    <n v="0"/>
    <s v="23542"/>
    <s v="74111471656"/>
    <n v="10339.98"/>
    <n v="0"/>
    <n v="56815"/>
  </r>
  <r>
    <x v="3"/>
    <m/>
    <s v="Skovstjernen Børnehus, Skovlinien 23"/>
    <n v="10019"/>
    <m/>
    <s v="Skovstjernen Børnehus"/>
    <x v="45"/>
    <x v="0"/>
    <x v="7"/>
    <n v="479.7"/>
    <n v="12"/>
    <s v="2010-10-31"/>
    <n v="0"/>
    <n v="598"/>
    <n v="0.80203899999999995"/>
    <n v="3"/>
    <x v="0"/>
    <x v="1031"/>
    <n v="383.76"/>
    <n v="0"/>
    <s v="44340"/>
    <m/>
    <n v="479.70001000000002"/>
    <n v="0"/>
    <n v="76532"/>
  </r>
  <r>
    <x v="3"/>
    <s v="01215-7"/>
    <s v="Kildehuset, Hoved 41"/>
    <n v="5269"/>
    <m/>
    <s v="Kildehuset"/>
    <x v="34"/>
    <x v="0"/>
    <x v="1"/>
    <n v="33772.78"/>
    <n v="12"/>
    <s v="2011-09-30"/>
    <n v="0"/>
    <n v="607"/>
    <n v="55.629682000000003"/>
    <n v="2"/>
    <x v="2"/>
    <x v="1032"/>
    <n v="13509.12"/>
    <n v="0"/>
    <s v="23542"/>
    <s v="74111471656"/>
    <n v="33772.78"/>
    <n v="0"/>
    <n v="56815"/>
  </r>
  <r>
    <x v="3"/>
    <s v="01215-7"/>
    <s v="Kildehuset, Hoved 41"/>
    <n v="5269"/>
    <m/>
    <s v="Kildehuset"/>
    <x v="34"/>
    <x v="0"/>
    <x v="2"/>
    <n v="32840.6"/>
    <n v="12"/>
    <s v="2011-09-30"/>
    <n v="0"/>
    <n v="607"/>
    <n v="54.094217999999998"/>
    <n v="2"/>
    <x v="2"/>
    <x v="1033"/>
    <n v="13136.26"/>
    <n v="0"/>
    <s v="23542"/>
    <s v="74111471656"/>
    <n v="32840.6"/>
    <n v="0"/>
    <n v="56815"/>
  </r>
  <r>
    <x v="3"/>
    <s v="01215-7"/>
    <s v="Kildehuset, Hoved 41"/>
    <n v="5269"/>
    <m/>
    <s v="Kildehuset"/>
    <x v="34"/>
    <x v="0"/>
    <x v="3"/>
    <n v="33024.47"/>
    <n v="5"/>
    <s v="2011-09-30"/>
    <n v="0"/>
    <n v="607"/>
    <n v="54.397084"/>
    <n v="2"/>
    <x v="2"/>
    <x v="1034"/>
    <n v="15488.48"/>
    <n v="0"/>
    <s v="23542"/>
    <s v="74111471656"/>
    <n v="33024.474179999997"/>
    <n v="0"/>
    <n v="56815"/>
  </r>
  <r>
    <x v="3"/>
    <s v="01215-7"/>
    <s v="Kildehuset, Hoved 41"/>
    <n v="5269"/>
    <m/>
    <s v="Kildehuset"/>
    <x v="34"/>
    <x v="0"/>
    <x v="4"/>
    <n v="30342.21"/>
    <n v="0"/>
    <s v="2011-09-30"/>
    <n v="0"/>
    <n v="607"/>
    <n v="49.978932"/>
    <n v="2"/>
    <x v="2"/>
    <x v="1035"/>
    <n v="14230.51"/>
    <n v="0"/>
    <s v="23542"/>
    <s v="74111471656"/>
    <n v="30342.211439999999"/>
    <n v="0"/>
    <n v="56815"/>
  </r>
  <r>
    <x v="3"/>
    <s v="01215-7"/>
    <s v="Kildehuset, Hoved 41"/>
    <n v="5269"/>
    <m/>
    <s v="Kildehuset"/>
    <x v="34"/>
    <x v="0"/>
    <x v="5"/>
    <n v="24048.1"/>
    <n v="2"/>
    <s v="2011-09-30"/>
    <n v="0"/>
    <n v="607"/>
    <n v="39.611431000000003"/>
    <n v="2"/>
    <x v="2"/>
    <x v="1036"/>
    <n v="11278.54"/>
    <n v="0"/>
    <s v="23542"/>
    <s v="74111471656"/>
    <n v="24048.094400000002"/>
    <n v="0"/>
    <n v="56815"/>
  </r>
  <r>
    <x v="3"/>
    <s v="01215-7"/>
    <s v="Kildehuset, Hoved 41"/>
    <n v="5269"/>
    <m/>
    <s v="Kildehuset"/>
    <x v="34"/>
    <x v="0"/>
    <x v="6"/>
    <n v="24467.63"/>
    <n v="3"/>
    <s v="2011-09-30"/>
    <n v="0"/>
    <n v="607"/>
    <n v="40.30247"/>
    <n v="2"/>
    <x v="2"/>
    <x v="1037"/>
    <n v="11475.32"/>
    <n v="0"/>
    <s v="23542"/>
    <s v="74111471656"/>
    <n v="24467.626769999999"/>
    <n v="0"/>
    <n v="56815"/>
  </r>
  <r>
    <x v="3"/>
    <m/>
    <s v="Kirke Værløse Børnehus, BY27"/>
    <n v="10017"/>
    <m/>
    <s v="Kirke Værløse Børnehus"/>
    <x v="35"/>
    <x v="0"/>
    <x v="0"/>
    <n v="13471"/>
    <n v="5"/>
    <m/>
    <n v="0"/>
    <n v="602"/>
    <n v="9.1622979999999998"/>
    <n v="2"/>
    <x v="2"/>
    <x v="1038"/>
    <n v="1654.99"/>
    <n v="0"/>
    <s v="110573"/>
    <s v="74110485906"/>
    <n v="5516.6279999999997"/>
    <n v="0"/>
    <n v="90612"/>
  </r>
  <r>
    <x v="3"/>
    <m/>
    <s v="Skovstjernen Børnehus, Skovlinien 23"/>
    <n v="10019"/>
    <m/>
    <s v="Skovstjernen Børnehus"/>
    <x v="45"/>
    <x v="0"/>
    <x v="7"/>
    <n v="26480.69"/>
    <n v="12"/>
    <s v="2010-01-31"/>
    <n v="0"/>
    <n v="598"/>
    <n v="44.274686000000003"/>
    <n v="2"/>
    <x v="2"/>
    <x v="1039"/>
    <n v="7944.21"/>
    <n v="0"/>
    <s v="696462-36312"/>
    <s v="74113316368"/>
    <n v="26480.686000000002"/>
    <n v="0"/>
    <n v="76531"/>
  </r>
  <r>
    <x v="3"/>
    <m/>
    <s v="Kirke Værløse Børnehus, BY27"/>
    <n v="10017"/>
    <m/>
    <s v="Kirke Værløse Børnehus"/>
    <x v="35"/>
    <x v="0"/>
    <x v="1"/>
    <n v="11211.51"/>
    <n v="12"/>
    <m/>
    <n v="0"/>
    <n v="602"/>
    <n v="18.620677000000001"/>
    <n v="2"/>
    <x v="2"/>
    <x v="1040"/>
    <n v="3363.44"/>
    <n v="0"/>
    <s v="110573"/>
    <s v="74110485906"/>
    <n v="11211.516"/>
    <n v="0"/>
    <n v="90612"/>
  </r>
  <r>
    <x v="3"/>
    <m/>
    <s v="Kirke Værløse Børnehus, BY27"/>
    <n v="10017"/>
    <m/>
    <s v="Kirke Værløse Børnehus"/>
    <x v="35"/>
    <x v="0"/>
    <x v="2"/>
    <n v="12190.41"/>
    <n v="12"/>
    <m/>
    <n v="0"/>
    <n v="602"/>
    <n v="20.246486999999998"/>
    <n v="2"/>
    <x v="2"/>
    <x v="1041"/>
    <n v="4876.16"/>
    <n v="0"/>
    <s v="110573"/>
    <s v="74110485906"/>
    <n v="12190.415999999999"/>
    <n v="0"/>
    <n v="90612"/>
  </r>
  <r>
    <x v="3"/>
    <m/>
    <s v="Kirke Værløse Børnehus, BY27"/>
    <n v="10017"/>
    <m/>
    <s v="Kirke Værløse Børnehus"/>
    <x v="35"/>
    <x v="0"/>
    <x v="3"/>
    <n v="12807.59"/>
    <n v="12"/>
    <m/>
    <n v="0"/>
    <n v="602"/>
    <n v="21.271532000000001"/>
    <n v="2"/>
    <x v="2"/>
    <x v="1042"/>
    <n v="6006.76"/>
    <n v="0"/>
    <s v="110573"/>
    <s v="74110485906"/>
    <n v="12807.588"/>
    <n v="0"/>
    <n v="90612"/>
  </r>
  <r>
    <x v="3"/>
    <m/>
    <s v="Kirke Værløse Børnehus, BY27"/>
    <n v="10017"/>
    <m/>
    <s v="Kirke Værløse Børnehus"/>
    <x v="35"/>
    <x v="0"/>
    <x v="4"/>
    <n v="10692.38"/>
    <n v="13"/>
    <s v="2010-10-31"/>
    <n v="0"/>
    <n v="602"/>
    <n v="17.758478"/>
    <n v="2"/>
    <x v="2"/>
    <x v="1043"/>
    <n v="5014.74"/>
    <n v="0"/>
    <s v="AFMELDT 1100573"/>
    <s v="74110485906"/>
    <n v="10692.380279999999"/>
    <n v="0"/>
    <n v="76519"/>
  </r>
  <r>
    <x v="3"/>
    <m/>
    <s v="Kirke Værløse Børnehus, BY27"/>
    <n v="10017"/>
    <m/>
    <s v="Kirke Værløse Børnehus"/>
    <x v="35"/>
    <x v="0"/>
    <x v="4"/>
    <n v="2481.4899999999998"/>
    <n v="2"/>
    <m/>
    <n v="0"/>
    <n v="602"/>
    <n v="4.121391"/>
    <n v="2"/>
    <x v="2"/>
    <x v="1044"/>
    <n v="1163.82"/>
    <n v="0"/>
    <s v="110573"/>
    <s v="74110485906"/>
    <n v="2481.4920000000002"/>
    <n v="0"/>
    <n v="90612"/>
  </r>
  <r>
    <x v="3"/>
    <m/>
    <s v="Kirke Værløse Børnehus, BY27"/>
    <n v="10017"/>
    <m/>
    <s v="Kirke Værløse Børnehus"/>
    <x v="35"/>
    <x v="0"/>
    <x v="5"/>
    <n v="13756.1"/>
    <n v="11"/>
    <s v="2010-10-31"/>
    <n v="0"/>
    <n v="602"/>
    <n v="22.846869000000002"/>
    <n v="2"/>
    <x v="2"/>
    <x v="1045"/>
    <n v="6451.62"/>
    <n v="0"/>
    <s v="AFMELDT 1100573"/>
    <s v="74110485906"/>
    <n v="13756.119710000001"/>
    <n v="0"/>
    <n v="76519"/>
  </r>
  <r>
    <x v="3"/>
    <m/>
    <s v="Kirke Værløse Børnehus, BY27"/>
    <n v="10017"/>
    <m/>
    <s v="Kirke Værløse Børnehus"/>
    <x v="35"/>
    <x v="0"/>
    <x v="6"/>
    <n v="14550.12"/>
    <n v="9"/>
    <s v="2010-10-31"/>
    <n v="0"/>
    <n v="602"/>
    <n v="24.165620000000001"/>
    <n v="2"/>
    <x v="2"/>
    <x v="1046"/>
    <n v="6823.98"/>
    <n v="0"/>
    <s v="AFMELDT 1100573"/>
    <s v="74110485906"/>
    <n v="14550.10606"/>
    <n v="0"/>
    <n v="76519"/>
  </r>
  <r>
    <x v="3"/>
    <m/>
    <s v="Kollekolle Børnehave"/>
    <n v="10164"/>
    <m/>
    <s v="Kollekolle Børnehave"/>
    <x v="36"/>
    <x v="0"/>
    <x v="0"/>
    <n v="28946"/>
    <n v="5"/>
    <s v="2009-11-30"/>
    <n v="0"/>
    <n v="219"/>
    <n v="72.795207000000005"/>
    <n v="2"/>
    <x v="2"/>
    <x v="1047"/>
    <n v="4784.83"/>
    <n v="0"/>
    <s v="89932-36312"/>
    <s v="74111856651"/>
    <n v="15949.433000000001"/>
    <n v="0"/>
    <n v="77153"/>
  </r>
  <r>
    <x v="3"/>
    <m/>
    <s v="Kollekolle Børnehave"/>
    <n v="10164"/>
    <m/>
    <s v="Kollekolle Børnehave"/>
    <x v="36"/>
    <x v="0"/>
    <x v="1"/>
    <n v="28610.93"/>
    <n v="12"/>
    <s v="2009-11-30"/>
    <n v="0"/>
    <n v="219"/>
    <n v="130.583888"/>
    <n v="2"/>
    <x v="2"/>
    <x v="1048"/>
    <n v="8583.2900000000009"/>
    <n v="0"/>
    <s v="89932-36312"/>
    <s v="74111856651"/>
    <n v="28610.914700000001"/>
    <n v="0"/>
    <n v="77153"/>
  </r>
  <r>
    <x v="3"/>
    <m/>
    <s v="Kollekolle Børnehave"/>
    <n v="10164"/>
    <m/>
    <s v="Kollekolle Børnehave"/>
    <x v="36"/>
    <x v="0"/>
    <x v="2"/>
    <n v="27144.05"/>
    <n v="12"/>
    <s v="2009-11-30"/>
    <n v="0"/>
    <n v="219"/>
    <n v="123.888863"/>
    <n v="2"/>
    <x v="2"/>
    <x v="1049"/>
    <n v="10857.63"/>
    <n v="0"/>
    <s v="89932-36312"/>
    <s v="74111856651"/>
    <n v="27144.049200000001"/>
    <n v="0"/>
    <n v="77153"/>
  </r>
  <r>
    <x v="3"/>
    <m/>
    <s v="Kollekolle Børnehave"/>
    <n v="10164"/>
    <m/>
    <s v="Kollekolle Børnehave"/>
    <x v="36"/>
    <x v="0"/>
    <x v="3"/>
    <n v="29574.99"/>
    <n v="12"/>
    <s v="2009-11-30"/>
    <n v="0"/>
    <n v="219"/>
    <n v="134.98397900000001"/>
    <n v="2"/>
    <x v="2"/>
    <x v="1050"/>
    <n v="13870.66"/>
    <n v="0"/>
    <s v="89932-36312"/>
    <s v="74111856651"/>
    <n v="29574.984"/>
    <n v="0"/>
    <n v="77153"/>
  </r>
  <r>
    <x v="3"/>
    <m/>
    <s v="Kollekolle Børnehave"/>
    <n v="10164"/>
    <m/>
    <s v="Kollekolle Børnehave"/>
    <x v="36"/>
    <x v="0"/>
    <x v="4"/>
    <n v="38538.370000000003"/>
    <n v="12"/>
    <s v="2009-11-30"/>
    <n v="0"/>
    <n v="219"/>
    <n v="175.89397500000001"/>
    <n v="2"/>
    <x v="2"/>
    <x v="1051"/>
    <n v="18074.52"/>
    <n v="0"/>
    <s v="89932-36312"/>
    <s v="74111856651"/>
    <n v="38538.3874"/>
    <n v="0"/>
    <n v="77153"/>
  </r>
  <r>
    <x v="3"/>
    <m/>
    <s v="Kollekolle Børnehave"/>
    <n v="10164"/>
    <m/>
    <s v="Kollekolle Børnehave"/>
    <x v="36"/>
    <x v="0"/>
    <x v="5"/>
    <n v="34533.25"/>
    <n v="12"/>
    <s v="2009-11-30"/>
    <n v="0"/>
    <n v="219"/>
    <n v="157.614103"/>
    <n v="2"/>
    <x v="2"/>
    <x v="1052"/>
    <n v="16196.09"/>
    <n v="0"/>
    <s v="89932-36312"/>
    <s v="74111856651"/>
    <n v="34533.248890000003"/>
    <n v="0"/>
    <n v="77153"/>
  </r>
  <r>
    <x v="3"/>
    <m/>
    <s v="Kollekolle Børnehave"/>
    <n v="10164"/>
    <m/>
    <s v="Kollekolle Børnehave"/>
    <x v="36"/>
    <x v="0"/>
    <x v="6"/>
    <n v="30841.75"/>
    <n v="4"/>
    <s v="2009-11-30"/>
    <n v="0"/>
    <n v="219"/>
    <n v="140.76563200000001"/>
    <n v="2"/>
    <x v="2"/>
    <x v="1053"/>
    <n v="14464.78"/>
    <n v="0"/>
    <s v="89932-36312"/>
    <s v="74111856651"/>
    <n v="30841.749"/>
    <n v="0"/>
    <n v="77153"/>
  </r>
  <r>
    <x v="3"/>
    <m/>
    <s v="Krudthuset Børnehus, Bringe 26"/>
    <n v="10169"/>
    <m/>
    <s v="Krudthuset Børnehus"/>
    <x v="37"/>
    <x v="0"/>
    <x v="0"/>
    <n v="14154"/>
    <n v="5"/>
    <s v="2010-01-31"/>
    <n v="0"/>
    <n v="721"/>
    <n v="8.1318809999999999"/>
    <n v="2"/>
    <x v="2"/>
    <x v="1054"/>
    <n v="1759.17"/>
    <n v="0"/>
    <s v="024091"/>
    <s v="74110486040"/>
    <n v="5863.8959999999997"/>
    <n v="0"/>
    <n v="77180"/>
  </r>
  <r>
    <x v="3"/>
    <m/>
    <s v="Krudthuset Børnehus, Bringe 26"/>
    <n v="10169"/>
    <m/>
    <s v="Krudthuset Børnehus"/>
    <x v="37"/>
    <x v="0"/>
    <x v="1"/>
    <n v="11531.39"/>
    <n v="12"/>
    <s v="2010-01-31"/>
    <n v="0"/>
    <n v="721"/>
    <n v="15.991388000000001"/>
    <n v="2"/>
    <x v="2"/>
    <x v="1055"/>
    <n v="3459.41"/>
    <n v="0"/>
    <s v="024091"/>
    <s v="74110486040"/>
    <n v="11531.388000000001"/>
    <n v="0"/>
    <n v="77180"/>
  </r>
  <r>
    <x v="3"/>
    <m/>
    <s v="Krudthuset Børnehus, Bringe 26"/>
    <n v="10169"/>
    <m/>
    <s v="Krudthuset Børnehus"/>
    <x v="37"/>
    <x v="0"/>
    <x v="2"/>
    <n v="12713.38"/>
    <n v="12"/>
    <s v="2010-01-31"/>
    <n v="0"/>
    <n v="721"/>
    <n v="17.630535999999999"/>
    <n v="2"/>
    <x v="2"/>
    <x v="1056"/>
    <n v="5085.3599999999997"/>
    <n v="0"/>
    <s v="024091"/>
    <s v="74110486040"/>
    <n v="12713.394"/>
    <n v="0"/>
    <n v="77180"/>
  </r>
  <r>
    <x v="3"/>
    <m/>
    <s v="Krudthuset Børnehus, Bringe 26"/>
    <n v="10169"/>
    <m/>
    <s v="Krudthuset Børnehus"/>
    <x v="37"/>
    <x v="0"/>
    <x v="3"/>
    <n v="14083.03"/>
    <n v="12"/>
    <s v="2010-01-31"/>
    <n v="0"/>
    <n v="721"/>
    <n v="19.529926"/>
    <n v="2"/>
    <x v="2"/>
    <x v="1057"/>
    <n v="6604.93"/>
    <n v="0"/>
    <s v="024091"/>
    <s v="74110486040"/>
    <n v="14083.018"/>
    <n v="0"/>
    <n v="77180"/>
  </r>
  <r>
    <x v="3"/>
    <m/>
    <s v="Krudthuset Børnehus, Bringe 26"/>
    <n v="10169"/>
    <m/>
    <s v="Krudthuset Børnehus"/>
    <x v="37"/>
    <x v="0"/>
    <x v="4"/>
    <n v="14720.11"/>
    <n v="12"/>
    <s v="2010-01-31"/>
    <n v="0"/>
    <n v="721"/>
    <n v="20.413409999999999"/>
    <n v="2"/>
    <x v="2"/>
    <x v="1058"/>
    <n v="6903.75"/>
    <n v="0"/>
    <s v="024091"/>
    <s v="74110486040"/>
    <n v="14720.108920000001"/>
    <n v="0"/>
    <n v="77180"/>
  </r>
  <r>
    <x v="3"/>
    <m/>
    <s v="Krudthuset Børnehus, Bringe 26"/>
    <n v="10169"/>
    <m/>
    <s v="Krudthuset Børnehus"/>
    <x v="37"/>
    <x v="0"/>
    <x v="5"/>
    <n v="14437.23"/>
    <n v="4"/>
    <s v="2010-01-31"/>
    <n v="0"/>
    <n v="721"/>
    <n v="20.02112"/>
    <n v="2"/>
    <x v="2"/>
    <x v="1059"/>
    <n v="6771.08"/>
    <n v="0"/>
    <s v="024091"/>
    <s v="74110486040"/>
    <n v="14437.25361"/>
    <n v="0"/>
    <n v="77180"/>
  </r>
  <r>
    <x v="3"/>
    <m/>
    <s v="Krudthuset Børnehus, Bringe 26"/>
    <n v="10169"/>
    <m/>
    <s v="Krudthuset Børnehus"/>
    <x v="37"/>
    <x v="0"/>
    <x v="6"/>
    <n v="12727.53"/>
    <n v="6"/>
    <s v="2010-01-31"/>
    <n v="0"/>
    <n v="721"/>
    <n v="17.650158999999999"/>
    <n v="2"/>
    <x v="2"/>
    <x v="1060"/>
    <n v="5969.21"/>
    <n v="0"/>
    <s v="024091"/>
    <s v="74110486040"/>
    <n v="12727.54578"/>
    <n v="0"/>
    <n v="77180"/>
  </r>
  <r>
    <x v="3"/>
    <m/>
    <s v="Kærnehuset, Paltholmterrasserne 6A"/>
    <n v="5949"/>
    <m/>
    <s v="Kærnehuset"/>
    <x v="58"/>
    <x v="0"/>
    <x v="0"/>
    <n v="34855"/>
    <n v="5"/>
    <m/>
    <n v="0"/>
    <n v="687"/>
    <n v="22.353645"/>
    <n v="2"/>
    <x v="2"/>
    <x v="1061"/>
    <n v="4607.75"/>
    <n v="0"/>
    <s v="3105510"/>
    <s v="74111745771"/>
    <n v="15359.183000000001"/>
    <n v="0"/>
    <n v="91922"/>
  </r>
  <r>
    <x v="3"/>
    <m/>
    <s v="Kærnehuset, Paltholmterrasserne 6A"/>
    <n v="5949"/>
    <m/>
    <s v="Kærnehuset"/>
    <x v="58"/>
    <x v="0"/>
    <x v="1"/>
    <n v="32002.53"/>
    <n v="12"/>
    <m/>
    <n v="0"/>
    <n v="687"/>
    <n v="46.576233000000002"/>
    <n v="2"/>
    <x v="2"/>
    <x v="1062"/>
    <n v="9600.74"/>
    <n v="0"/>
    <s v="3105510"/>
    <s v="74111745771"/>
    <n v="32002.527999999998"/>
    <n v="0"/>
    <n v="91922"/>
  </r>
  <r>
    <x v="3"/>
    <m/>
    <s v="Kærnehuset, Paltholmterrasserne 6A"/>
    <n v="5949"/>
    <m/>
    <s v="Kærnehuset"/>
    <x v="58"/>
    <x v="0"/>
    <x v="2"/>
    <n v="7065.66"/>
    <n v="3"/>
    <s v="2012-02-29"/>
    <n v="0"/>
    <n v="687"/>
    <n v="10.283306"/>
    <n v="2"/>
    <x v="2"/>
    <x v="1063"/>
    <n v="2826.27"/>
    <n v="0"/>
    <s v="3105510"/>
    <s v="74111745771"/>
    <n v="7065.6637199999996"/>
    <n v="0"/>
    <n v="77230"/>
  </r>
  <r>
    <x v="3"/>
    <m/>
    <s v="Kærnehuset, Paltholmterrasserne 6A"/>
    <n v="5949"/>
    <m/>
    <s v="Kærnehuset"/>
    <x v="58"/>
    <x v="0"/>
    <x v="2"/>
    <n v="25335.62"/>
    <n v="10"/>
    <m/>
    <n v="0"/>
    <n v="687"/>
    <n v="36.873263999999999"/>
    <n v="2"/>
    <x v="2"/>
    <x v="1064"/>
    <n v="10134.25"/>
    <n v="0"/>
    <s v="3105510"/>
    <s v="74111745771"/>
    <n v="25335.62"/>
    <n v="0"/>
    <n v="91922"/>
  </r>
  <r>
    <x v="3"/>
    <m/>
    <s v="Kærnehuset, Paltholmterrasserne 6A"/>
    <n v="5949"/>
    <m/>
    <s v="Kærnehuset"/>
    <x v="58"/>
    <x v="0"/>
    <x v="3"/>
    <n v="33510.11"/>
    <n v="5"/>
    <s v="2012-02-29"/>
    <n v="0"/>
    <n v="687"/>
    <n v="48.770353"/>
    <n v="2"/>
    <x v="2"/>
    <x v="1065"/>
    <n v="15716.27"/>
    <n v="0"/>
    <s v="3105510"/>
    <s v="74111745771"/>
    <n v="33510.125749999999"/>
    <n v="0"/>
    <n v="77230"/>
  </r>
  <r>
    <x v="3"/>
    <m/>
    <s v="Kærnehuset, Paltholmterrasserne 6A"/>
    <n v="5949"/>
    <m/>
    <s v="Kærnehuset"/>
    <x v="58"/>
    <x v="0"/>
    <x v="4"/>
    <n v="36074.47"/>
    <n v="7"/>
    <s v="2012-02-29"/>
    <n v="0"/>
    <n v="687"/>
    <n v="52.502502999999997"/>
    <n v="2"/>
    <x v="2"/>
    <x v="1066"/>
    <n v="16918.93"/>
    <n v="0"/>
    <s v="3105510"/>
    <s v="74111745771"/>
    <n v="36074.462639999998"/>
    <n v="0"/>
    <n v="77230"/>
  </r>
  <r>
    <x v="3"/>
    <m/>
    <s v="Kærnehuset, Paltholmterrasserne 6A"/>
    <n v="5949"/>
    <m/>
    <s v="Kærnehuset"/>
    <x v="58"/>
    <x v="0"/>
    <x v="5"/>
    <n v="36044.35"/>
    <n v="2"/>
    <s v="2012-02-29"/>
    <n v="0"/>
    <n v="687"/>
    <n v="52.458666000000001"/>
    <n v="2"/>
    <x v="2"/>
    <x v="1067"/>
    <n v="16904.82"/>
    <n v="0"/>
    <s v="3105510"/>
    <s v="74111745771"/>
    <n v="36044.333550000003"/>
    <n v="0"/>
    <n v="77230"/>
  </r>
  <r>
    <x v="3"/>
    <m/>
    <s v="Kærnehuset, Paltholmterrasserne 6A"/>
    <n v="5949"/>
    <m/>
    <s v="Kærnehuset"/>
    <x v="58"/>
    <x v="0"/>
    <x v="6"/>
    <n v="27045.41"/>
    <n v="3"/>
    <s v="2012-02-29"/>
    <n v="0"/>
    <n v="687"/>
    <n v="39.361679000000002"/>
    <n v="2"/>
    <x v="2"/>
    <x v="1068"/>
    <n v="12684.31"/>
    <n v="0"/>
    <s v="3105510"/>
    <s v="74111745771"/>
    <n v="27045.414369999999"/>
    <n v="0"/>
    <n v="77230"/>
  </r>
  <r>
    <x v="3"/>
    <m/>
    <s v="Kærnehuset, Paltholmterrasserne 6A"/>
    <n v="5949"/>
    <m/>
    <s v="Kærnehuset"/>
    <x v="58"/>
    <x v="0"/>
    <x v="6"/>
    <n v="9701.6299999999992"/>
    <n v="3"/>
    <s v="2008-03-12"/>
    <n v="0"/>
    <n v="687"/>
    <n v="14.119676"/>
    <n v="2"/>
    <x v="2"/>
    <x v="1069"/>
    <n v="4550.0600000000004"/>
    <n v="0"/>
    <s v="023561"/>
    <m/>
    <n v="9701.6279099999992"/>
    <n v="0"/>
    <n v="59965"/>
  </r>
  <r>
    <x v="3"/>
    <s v="04730-9"/>
    <s v="Mælkebøtten, Hvilebækgårdsvej 15"/>
    <n v="5447"/>
    <m/>
    <s v="Mælkebøtten"/>
    <x v="38"/>
    <x v="0"/>
    <x v="0"/>
    <n v="20402"/>
    <n v="5"/>
    <s v="2005-05-01"/>
    <n v="0"/>
    <n v="480"/>
    <n v="18.615663000000001"/>
    <n v="2"/>
    <x v="2"/>
    <x v="1070"/>
    <n v="3574.96"/>
    <n v="0"/>
    <s v="77664"/>
    <s v="74112066509"/>
    <n v="8937.3880000000008"/>
    <n v="0"/>
    <n v="57505"/>
  </r>
  <r>
    <x v="3"/>
    <m/>
    <s v="Solbjerg Børnehus"/>
    <n v="10056"/>
    <m/>
    <s v="Solbjerg Børnehus"/>
    <x v="46"/>
    <x v="0"/>
    <x v="7"/>
    <n v="65675"/>
    <n v="12"/>
    <s v="2011-11-30"/>
    <n v="0"/>
    <n v="836"/>
    <n v="78.549216000000001"/>
    <n v="1"/>
    <x v="5"/>
    <x v="1071"/>
    <n v="4.9800000000000004"/>
    <n v="0"/>
    <s v="601132"/>
    <m/>
    <n v="65.674999999999997"/>
    <n v="0"/>
    <n v="89456"/>
  </r>
  <r>
    <x v="3"/>
    <s v="04730-9"/>
    <s v="Mælkebøtten, Hvilebækgårdsvej 15"/>
    <n v="5447"/>
    <m/>
    <s v="Mælkebøtten"/>
    <x v="38"/>
    <x v="0"/>
    <x v="1"/>
    <n v="22894.16"/>
    <n v="12"/>
    <s v="2005-05-01"/>
    <n v="0"/>
    <n v="480"/>
    <n v="47.686231999999997"/>
    <n v="2"/>
    <x v="2"/>
    <x v="1072"/>
    <n v="9157.67"/>
    <n v="0"/>
    <s v="77664"/>
    <s v="74112066509"/>
    <n v="22894.141"/>
    <n v="0"/>
    <n v="57505"/>
  </r>
  <r>
    <x v="3"/>
    <s v="04730-9"/>
    <s v="Mælkebøtten, Hvilebækgårdsvej 15"/>
    <n v="5447"/>
    <m/>
    <s v="Mælkebøtten"/>
    <x v="38"/>
    <x v="0"/>
    <x v="2"/>
    <n v="26278.82"/>
    <n v="12"/>
    <s v="2005-05-01"/>
    <n v="0"/>
    <n v="480"/>
    <n v="54.736137999999997"/>
    <n v="2"/>
    <x v="2"/>
    <x v="1073"/>
    <n v="10511.53"/>
    <n v="0"/>
    <s v="77664"/>
    <s v="74112066509"/>
    <n v="26278.821"/>
    <n v="0"/>
    <n v="57505"/>
  </r>
  <r>
    <x v="3"/>
    <s v="04730-9"/>
    <s v="Mælkebøtten, Hvilebækgårdsvej 15"/>
    <n v="5447"/>
    <m/>
    <s v="Mælkebøtten"/>
    <x v="38"/>
    <x v="0"/>
    <x v="3"/>
    <n v="24208.6"/>
    <n v="12"/>
    <s v="2005-05-01"/>
    <n v="0"/>
    <n v="480"/>
    <n v="50.424078000000002"/>
    <n v="2"/>
    <x v="2"/>
    <x v="1074"/>
    <n v="11353.82"/>
    <n v="0"/>
    <s v="77664"/>
    <s v="74112066509"/>
    <n v="24208.607"/>
    <n v="0"/>
    <n v="57505"/>
  </r>
  <r>
    <x v="3"/>
    <s v="04730-9"/>
    <s v="Mælkebøtten, Hvilebækgårdsvej 15"/>
    <n v="5447"/>
    <m/>
    <s v="Mælkebøtten"/>
    <x v="38"/>
    <x v="0"/>
    <x v="4"/>
    <n v="23328.880000000001"/>
    <n v="12"/>
    <s v="2005-05-01"/>
    <n v="0"/>
    <n v="480"/>
    <n v="48.591709999999999"/>
    <n v="2"/>
    <x v="2"/>
    <x v="1075"/>
    <n v="10941.24"/>
    <n v="0"/>
    <s v="77664"/>
    <s v="74112066509"/>
    <n v="23328.89"/>
    <n v="0"/>
    <n v="57505"/>
  </r>
  <r>
    <x v="3"/>
    <s v="04730-9"/>
    <s v="Mælkebøtten, Hvilebækgårdsvej 15"/>
    <n v="5447"/>
    <m/>
    <s v="Mælkebøtten"/>
    <x v="38"/>
    <x v="0"/>
    <x v="5"/>
    <n v="22078.639999999999"/>
    <n v="12"/>
    <s v="2005-05-01"/>
    <n v="0"/>
    <n v="480"/>
    <n v="45.987585000000003"/>
    <n v="2"/>
    <x v="2"/>
    <x v="1076"/>
    <n v="10354.879999999999"/>
    <n v="0"/>
    <s v="77664"/>
    <s v="74112066509"/>
    <n v="22078.634999999998"/>
    <n v="0"/>
    <n v="57505"/>
  </r>
  <r>
    <x v="3"/>
    <s v="04730-9"/>
    <s v="Mælkebøtten, Hvilebækgårdsvej 15"/>
    <n v="5447"/>
    <m/>
    <s v="Mælkebøtten"/>
    <x v="38"/>
    <x v="0"/>
    <x v="6"/>
    <n v="22232.46"/>
    <n v="12"/>
    <s v="2005-05-01"/>
    <n v="0"/>
    <n v="480"/>
    <n v="46.307977000000001"/>
    <n v="2"/>
    <x v="2"/>
    <x v="1077"/>
    <n v="10427.030000000001"/>
    <n v="0"/>
    <s v="77664"/>
    <s v="74112066509"/>
    <n v="22232.455999999998"/>
    <n v="0"/>
    <n v="57505"/>
  </r>
  <r>
    <x v="3"/>
    <s v="04196-6"/>
    <s v="Nordvænget Ryttergårdsvej 48"/>
    <n v="5272"/>
    <m/>
    <s v="Nordvænget"/>
    <x v="41"/>
    <x v="0"/>
    <x v="0"/>
    <n v="24497"/>
    <n v="5"/>
    <s v="2005-02-01"/>
    <n v="0"/>
    <n v="541"/>
    <n v="18.599131"/>
    <n v="2"/>
    <x v="2"/>
    <x v="1078"/>
    <n v="4025.6"/>
    <n v="0"/>
    <s v="48169"/>
    <s v="74111788310"/>
    <n v="10063.995999999999"/>
    <n v="0"/>
    <n v="56836"/>
  </r>
  <r>
    <x v="3"/>
    <m/>
    <s v="Solbjerg Børnehus"/>
    <n v="10056"/>
    <m/>
    <s v="Solbjerg Børnehus"/>
    <x v="46"/>
    <x v="0"/>
    <x v="0"/>
    <n v="1693.5"/>
    <n v="5"/>
    <m/>
    <n v="0"/>
    <n v="836"/>
    <m/>
    <n v="3"/>
    <x v="0"/>
    <x v="1079"/>
    <m/>
    <n v="0"/>
    <s v="0219"/>
    <m/>
    <m/>
    <n v="0"/>
    <n v="83881"/>
  </r>
  <r>
    <x v="3"/>
    <m/>
    <s v="Solbjerg Børnehus"/>
    <n v="10056"/>
    <m/>
    <s v="Solbjerg Børnehus"/>
    <x v="46"/>
    <x v="0"/>
    <x v="7"/>
    <n v="452.15"/>
    <n v="5"/>
    <s v="2014-12-10"/>
    <n v="0"/>
    <n v="836"/>
    <n v="0.54078400000000004"/>
    <n v="3"/>
    <x v="0"/>
    <x v="1080"/>
    <n v="361.72"/>
    <n v="0"/>
    <s v="0219"/>
    <m/>
    <n v="452.14150000000001"/>
    <n v="0"/>
    <n v="83881"/>
  </r>
  <r>
    <x v="3"/>
    <s v="04196-6"/>
    <s v="Nordvænget Ryttergårdsvej 48"/>
    <n v="5272"/>
    <m/>
    <s v="Nordvænget"/>
    <x v="41"/>
    <x v="0"/>
    <x v="1"/>
    <n v="25050.89"/>
    <n v="12"/>
    <s v="2005-02-01"/>
    <n v="0"/>
    <n v="541"/>
    <n v="46.296228999999997"/>
    <n v="2"/>
    <x v="2"/>
    <x v="1081"/>
    <n v="10020.35"/>
    <n v="0"/>
    <s v="48169"/>
    <s v="74111788310"/>
    <n v="25050.886999999999"/>
    <n v="0"/>
    <n v="56836"/>
  </r>
  <r>
    <x v="3"/>
    <s v="04196-6"/>
    <s v="Nordvænget Ryttergårdsvej 48"/>
    <n v="5272"/>
    <m/>
    <s v="Nordvænget"/>
    <x v="41"/>
    <x v="0"/>
    <x v="2"/>
    <n v="25248.49"/>
    <n v="12"/>
    <s v="2005-02-01"/>
    <n v="0"/>
    <n v="541"/>
    <n v="46.661411000000001"/>
    <n v="2"/>
    <x v="2"/>
    <x v="1082"/>
    <n v="10099.41"/>
    <n v="0"/>
    <s v="48169"/>
    <s v="74111788310"/>
    <n v="25248.502"/>
    <n v="0"/>
    <n v="56836"/>
  </r>
  <r>
    <x v="3"/>
    <s v="04196-6"/>
    <s v="Nordvænget Ryttergårdsvej 48"/>
    <n v="5272"/>
    <m/>
    <s v="Nordvænget"/>
    <x v="41"/>
    <x v="0"/>
    <x v="3"/>
    <n v="26910.55"/>
    <n v="12"/>
    <s v="2005-02-01"/>
    <n v="0"/>
    <n v="541"/>
    <n v="49.733043000000002"/>
    <n v="2"/>
    <x v="2"/>
    <x v="1083"/>
    <n v="12621.04"/>
    <n v="0"/>
    <s v="48169"/>
    <s v="74111788310"/>
    <n v="26910.531999999999"/>
    <n v="0"/>
    <n v="56836"/>
  </r>
  <r>
    <x v="3"/>
    <s v="04196-6"/>
    <s v="Nordvænget Ryttergårdsvej 48"/>
    <n v="5272"/>
    <m/>
    <s v="Nordvænget"/>
    <x v="41"/>
    <x v="0"/>
    <x v="4"/>
    <n v="28415.11"/>
    <n v="12"/>
    <s v="2005-02-01"/>
    <n v="0"/>
    <n v="541"/>
    <n v="52.513601000000001"/>
    <n v="2"/>
    <x v="2"/>
    <x v="1084"/>
    <n v="13326.67"/>
    <n v="0"/>
    <s v="48169"/>
    <s v="74111788310"/>
    <n v="28415.095000000001"/>
    <n v="0"/>
    <n v="56836"/>
  </r>
  <r>
    <x v="3"/>
    <s v="04196-6"/>
    <s v="Nordvænget Ryttergårdsvej 48"/>
    <n v="5272"/>
    <m/>
    <s v="Nordvænget"/>
    <x v="41"/>
    <x v="0"/>
    <x v="5"/>
    <n v="29909.25"/>
    <n v="12"/>
    <s v="2005-02-01"/>
    <n v="0"/>
    <n v="541"/>
    <n v="55.274901999999997"/>
    <n v="2"/>
    <x v="2"/>
    <x v="1085"/>
    <n v="14027.46"/>
    <n v="0"/>
    <s v="48169"/>
    <s v="74111788310"/>
    <n v="29909.274000000001"/>
    <n v="0"/>
    <n v="56836"/>
  </r>
  <r>
    <x v="3"/>
    <s v="04196-6"/>
    <s v="Nordvænget Ryttergårdsvej 48"/>
    <n v="5272"/>
    <m/>
    <s v="Nordvænget"/>
    <x v="41"/>
    <x v="0"/>
    <x v="6"/>
    <n v="29314.07"/>
    <n v="12"/>
    <s v="2005-02-01"/>
    <n v="0"/>
    <n v="541"/>
    <n v="54.174957999999997"/>
    <n v="2"/>
    <x v="2"/>
    <x v="1086"/>
    <n v="13748.29"/>
    <n v="0"/>
    <s v="48169"/>
    <s v="74111788310"/>
    <n v="29314.066999999999"/>
    <n v="0"/>
    <n v="56836"/>
  </r>
  <r>
    <x v="3"/>
    <m/>
    <s v="Nørreskoven, Højloft Vænge 46"/>
    <n v="9952"/>
    <m/>
    <s v="Nørreskoven"/>
    <x v="42"/>
    <x v="0"/>
    <x v="0"/>
    <n v="11484"/>
    <n v="5"/>
    <s v="2010-10-31"/>
    <n v="0"/>
    <n v="473"/>
    <n v="9.4862179999999992"/>
    <n v="2"/>
    <x v="2"/>
    <x v="1087"/>
    <n v="1346.38"/>
    <n v="0"/>
    <s v="707681"/>
    <s v="74111637991"/>
    <n v="4487.9219999999996"/>
    <n v="0"/>
    <n v="76304"/>
  </r>
  <r>
    <x v="3"/>
    <m/>
    <s v="Solbjerg Børnehus"/>
    <n v="10056"/>
    <m/>
    <s v="Solbjerg Børnehus"/>
    <x v="46"/>
    <x v="0"/>
    <x v="7"/>
    <n v="29030.31"/>
    <n v="12"/>
    <m/>
    <n v="0"/>
    <n v="836"/>
    <n v="34.721097"/>
    <n v="2"/>
    <x v="2"/>
    <x v="1088"/>
    <n v="8709.09"/>
    <n v="0"/>
    <s v="52569"/>
    <s v="74113803486"/>
    <n v="29030.326000000001"/>
    <n v="0"/>
    <n v="90613"/>
  </r>
  <r>
    <x v="3"/>
    <m/>
    <s v="Nørreskoven, Højloft Vænge 46"/>
    <n v="9952"/>
    <m/>
    <s v="Nørreskoven"/>
    <x v="42"/>
    <x v="0"/>
    <x v="1"/>
    <n v="10375.9"/>
    <n v="12"/>
    <s v="2010-10-31"/>
    <n v="0"/>
    <n v="473"/>
    <n v="21.931726000000001"/>
    <n v="2"/>
    <x v="2"/>
    <x v="1089"/>
    <n v="3112.76"/>
    <n v="0"/>
    <s v="707681"/>
    <s v="74111637991"/>
    <n v="10375.894"/>
    <n v="0"/>
    <n v="76304"/>
  </r>
  <r>
    <x v="3"/>
    <m/>
    <s v="Nørreskoven, Højloft Vænge 46"/>
    <n v="9952"/>
    <m/>
    <s v="Nørreskoven"/>
    <x v="42"/>
    <x v="0"/>
    <x v="2"/>
    <n v="10323.9"/>
    <n v="12"/>
    <s v="2010-10-31"/>
    <n v="0"/>
    <n v="473"/>
    <n v="21.821812999999999"/>
    <n v="2"/>
    <x v="2"/>
    <x v="1090"/>
    <n v="4129.54"/>
    <n v="0"/>
    <s v="707681"/>
    <s v="74111637991"/>
    <n v="10323.885"/>
    <n v="0"/>
    <n v="76304"/>
  </r>
  <r>
    <x v="3"/>
    <m/>
    <s v="Nørreskoven, Højloft Vænge 46"/>
    <n v="9952"/>
    <m/>
    <s v="Nørreskoven"/>
    <x v="42"/>
    <x v="0"/>
    <x v="3"/>
    <n v="10788.5"/>
    <n v="12"/>
    <s v="2010-10-31"/>
    <n v="0"/>
    <n v="473"/>
    <n v="22.803846"/>
    <n v="2"/>
    <x v="2"/>
    <x v="1091"/>
    <n v="5059.8100000000004"/>
    <n v="0"/>
    <s v="707681"/>
    <s v="74111637991"/>
    <n v="10788.512000000001"/>
    <n v="0"/>
    <n v="76304"/>
  </r>
  <r>
    <x v="3"/>
    <m/>
    <s v="Nørreskoven, Højloft Vænge 46"/>
    <n v="9952"/>
    <m/>
    <s v="Nørreskoven"/>
    <x v="42"/>
    <x v="0"/>
    <x v="4"/>
    <n v="12031.31"/>
    <n v="5"/>
    <s v="2010-10-31"/>
    <n v="0"/>
    <n v="473"/>
    <n v="25.430796000000001"/>
    <n v="2"/>
    <x v="2"/>
    <x v="1092"/>
    <n v="5642.68"/>
    <n v="0"/>
    <s v="707681"/>
    <s v="74111637991"/>
    <n v="12031.316339999999"/>
    <n v="0"/>
    <n v="76304"/>
  </r>
  <r>
    <x v="3"/>
    <m/>
    <s v="Nørreskoven, Højloft Vænge 46"/>
    <n v="9952"/>
    <m/>
    <s v="Nørreskoven"/>
    <x v="42"/>
    <x v="0"/>
    <x v="5"/>
    <n v="12804.3"/>
    <n v="7"/>
    <s v="2010-10-31"/>
    <n v="0"/>
    <n v="473"/>
    <n v="27.064679000000002"/>
    <n v="2"/>
    <x v="2"/>
    <x v="1093"/>
    <n v="6005.2"/>
    <n v="0"/>
    <s v="707681"/>
    <s v="74111637991"/>
    <n v="12804.29473"/>
    <n v="0"/>
    <n v="76304"/>
  </r>
  <r>
    <x v="3"/>
    <m/>
    <s v="Nørreskoven, Højloft Vænge 46"/>
    <n v="9952"/>
    <m/>
    <s v="Nørreskoven"/>
    <x v="42"/>
    <x v="0"/>
    <x v="6"/>
    <n v="12969.62"/>
    <n v="3"/>
    <s v="2010-10-31"/>
    <n v="0"/>
    <n v="473"/>
    <n v="27.414118999999999"/>
    <n v="2"/>
    <x v="2"/>
    <x v="1094"/>
    <n v="6082.76"/>
    <n v="0"/>
    <s v="707681"/>
    <s v="74111637991"/>
    <n v="12969.6198"/>
    <n v="0"/>
    <n v="76304"/>
  </r>
  <r>
    <x v="3"/>
    <s v="02587-9"/>
    <s v="Paletten, tidl. Vallhalla Ryttergårdsvej 106"/>
    <n v="5277"/>
    <m/>
    <s v="Paletten, tidl. Vallhalla"/>
    <x v="43"/>
    <x v="0"/>
    <x v="0"/>
    <n v="21968"/>
    <n v="5"/>
    <s v="2005-05-01"/>
    <n v="0"/>
    <n v="585"/>
    <n v="15.088616999999999"/>
    <n v="2"/>
    <x v="2"/>
    <x v="1095"/>
    <n v="3531.34"/>
    <n v="0"/>
    <s v="88167"/>
    <s v="74113391723"/>
    <n v="8828.3529999999992"/>
    <n v="0"/>
    <n v="56867"/>
  </r>
  <r>
    <x v="3"/>
    <s v="02587-9"/>
    <s v="Paletten, tidl. Vallhalla Ryttergårdsvej 106"/>
    <n v="5277"/>
    <m/>
    <s v="Paletten, tidl. Vallhalla"/>
    <x v="43"/>
    <x v="0"/>
    <x v="1"/>
    <n v="31097.33"/>
    <n v="12"/>
    <s v="2005-05-01"/>
    <n v="0"/>
    <n v="585"/>
    <n v="53.148743000000003"/>
    <n v="2"/>
    <x v="2"/>
    <x v="1096"/>
    <n v="12438.93"/>
    <n v="0"/>
    <s v="88167"/>
    <s v="74113391723"/>
    <n v="31097.335999999999"/>
    <n v="0"/>
    <n v="56867"/>
  </r>
  <r>
    <x v="3"/>
    <s v="02587-9"/>
    <s v="Paletten, tidl. Vallhalla Ryttergårdsvej 106"/>
    <n v="5277"/>
    <m/>
    <s v="Paletten, tidl. Vallhalla"/>
    <x v="43"/>
    <x v="0"/>
    <x v="2"/>
    <n v="23652.01"/>
    <n v="12"/>
    <s v="2005-05-01"/>
    <n v="0"/>
    <n v="585"/>
    <n v="40.423876"/>
    <n v="2"/>
    <x v="2"/>
    <x v="1097"/>
    <n v="9460.7900000000009"/>
    <n v="0"/>
    <s v="88167"/>
    <s v="74113391723"/>
    <n v="23652.01"/>
    <n v="0"/>
    <n v="56867"/>
  </r>
  <r>
    <x v="3"/>
    <s v="02587-9"/>
    <s v="Paletten, tidl. Vallhalla Ryttergårdsvej 106"/>
    <n v="5277"/>
    <m/>
    <s v="Paletten, tidl. Vallhalla"/>
    <x v="43"/>
    <x v="0"/>
    <x v="3"/>
    <n v="25426.71"/>
    <n v="12"/>
    <s v="2005-05-01"/>
    <n v="0"/>
    <n v="585"/>
    <n v="43.457031999999998"/>
    <n v="2"/>
    <x v="2"/>
    <x v="1098"/>
    <n v="11925.09"/>
    <n v="0"/>
    <s v="88167"/>
    <s v="74113391723"/>
    <n v="25426.698"/>
    <n v="0"/>
    <n v="56867"/>
  </r>
  <r>
    <x v="3"/>
    <s v="02587-9"/>
    <s v="Paletten, tidl. Vallhalla Ryttergårdsvej 106"/>
    <n v="5277"/>
    <m/>
    <s v="Paletten, tidl. Vallhalla"/>
    <x v="43"/>
    <x v="0"/>
    <x v="4"/>
    <n v="31330.09"/>
    <n v="12"/>
    <s v="2005-05-01"/>
    <n v="0"/>
    <n v="585"/>
    <n v="53.546556000000002"/>
    <n v="2"/>
    <x v="2"/>
    <x v="1099"/>
    <n v="14693.82"/>
    <n v="0"/>
    <s v="88167"/>
    <s v="74113391723"/>
    <n v="31330.082999999999"/>
    <n v="0"/>
    <n v="56867"/>
  </r>
  <r>
    <x v="3"/>
    <s v="02587-9"/>
    <s v="Paletten, tidl. Vallhalla Ryttergårdsvej 106"/>
    <n v="5277"/>
    <m/>
    <s v="Paletten, tidl. Vallhalla"/>
    <x v="43"/>
    <x v="0"/>
    <x v="5"/>
    <n v="27805.31"/>
    <n v="12"/>
    <s v="2005-05-01"/>
    <n v="0"/>
    <n v="585"/>
    <n v="47.522320000000001"/>
    <n v="2"/>
    <x v="2"/>
    <x v="1100"/>
    <n v="13040.7"/>
    <n v="0"/>
    <s v="88167"/>
    <s v="74113391723"/>
    <n v="27805.31"/>
    <n v="0"/>
    <n v="56867"/>
  </r>
  <r>
    <x v="3"/>
    <s v="02587-9"/>
    <s v="Paletten, tidl. Vallhalla Ryttergårdsvej 106"/>
    <n v="5277"/>
    <m/>
    <s v="Paletten, tidl. Vallhalla"/>
    <x v="43"/>
    <x v="0"/>
    <x v="6"/>
    <n v="29113.47"/>
    <n v="12"/>
    <s v="2005-05-01"/>
    <n v="0"/>
    <n v="585"/>
    <n v="49.758108999999997"/>
    <n v="2"/>
    <x v="2"/>
    <x v="1101"/>
    <n v="13654.21"/>
    <n v="0"/>
    <s v="88167"/>
    <s v="74113391723"/>
    <n v="29113.467000000001"/>
    <n v="0"/>
    <n v="56867"/>
  </r>
  <r>
    <x v="3"/>
    <s v="01789-2"/>
    <s v="Røde Sol, Lindegårdsvej 2"/>
    <n v="5247"/>
    <m/>
    <s v="Røde Sol"/>
    <x v="44"/>
    <x v="0"/>
    <x v="0"/>
    <n v="9977"/>
    <n v="5"/>
    <s v="2005-05-01"/>
    <n v="0"/>
    <n v="284"/>
    <n v="13.734669999999999"/>
    <n v="2"/>
    <x v="2"/>
    <x v="1102"/>
    <n v="1560.81"/>
    <n v="0"/>
    <s v="1016383"/>
    <s v="74111662405"/>
    <n v="3902.0239999999999"/>
    <n v="0"/>
    <n v="56636"/>
  </r>
  <r>
    <x v="3"/>
    <s v="01789-2"/>
    <s v="Røde Sol, Lindegårdsvej 2"/>
    <n v="5247"/>
    <m/>
    <s v="Røde Sol"/>
    <x v="44"/>
    <x v="0"/>
    <x v="1"/>
    <n v="9511.19"/>
    <n v="12"/>
    <s v="2005-05-01"/>
    <n v="0"/>
    <n v="284"/>
    <n v="33.478316999999997"/>
    <n v="2"/>
    <x v="2"/>
    <x v="1103"/>
    <n v="3804.45"/>
    <n v="0"/>
    <s v="1016383"/>
    <s v="74111662405"/>
    <n v="9511.18"/>
    <n v="0"/>
    <n v="56636"/>
  </r>
  <r>
    <x v="3"/>
    <s v="01789-2"/>
    <s v="Røde Sol, Lindegårdsvej 2"/>
    <n v="5247"/>
    <m/>
    <s v="Røde Sol"/>
    <x v="44"/>
    <x v="0"/>
    <x v="2"/>
    <n v="10187.25"/>
    <n v="12"/>
    <s v="2005-05-01"/>
    <n v="0"/>
    <n v="284"/>
    <n v="35.857971999999997"/>
    <n v="2"/>
    <x v="2"/>
    <x v="1104"/>
    <n v="4074.89"/>
    <n v="0"/>
    <s v="1016383"/>
    <s v="74111662405"/>
    <n v="10187.248"/>
    <n v="0"/>
    <n v="56636"/>
  </r>
  <r>
    <x v="3"/>
    <s v="01789-2"/>
    <s v="Røde Sol, Lindegårdsvej 2"/>
    <n v="5247"/>
    <m/>
    <s v="Røde Sol"/>
    <x v="44"/>
    <x v="0"/>
    <x v="3"/>
    <n v="12867.66"/>
    <n v="12"/>
    <s v="2005-05-01"/>
    <n v="0"/>
    <n v="284"/>
    <n v="45.292712999999999"/>
    <n v="2"/>
    <x v="2"/>
    <x v="1105"/>
    <n v="6034.93"/>
    <n v="0"/>
    <s v="1016383"/>
    <s v="74111662405"/>
    <n v="12867.665999999999"/>
    <n v="0"/>
    <n v="56636"/>
  </r>
  <r>
    <x v="3"/>
    <s v="01789-2"/>
    <s v="Røde Sol, Lindegårdsvej 2"/>
    <n v="5247"/>
    <m/>
    <s v="Røde Sol"/>
    <x v="44"/>
    <x v="0"/>
    <x v="4"/>
    <n v="11690"/>
    <n v="12"/>
    <s v="2005-05-01"/>
    <n v="0"/>
    <n v="284"/>
    <n v="41.147483000000001"/>
    <n v="2"/>
    <x v="2"/>
    <x v="1106"/>
    <n v="5482.6"/>
    <n v="0"/>
    <s v="1016383"/>
    <s v="74111662405"/>
    <n v="11690.007799999999"/>
    <n v="0"/>
    <n v="56636"/>
  </r>
  <r>
    <x v="3"/>
    <s v="01789-2"/>
    <s v="Røde Sol, Lindegårdsvej 2"/>
    <n v="5247"/>
    <m/>
    <s v="Røde Sol"/>
    <x v="44"/>
    <x v="0"/>
    <x v="5"/>
    <n v="12166.63"/>
    <n v="12"/>
    <s v="2005-05-01"/>
    <n v="0"/>
    <n v="284"/>
    <n v="42.825167"/>
    <n v="2"/>
    <x v="2"/>
    <x v="1107"/>
    <n v="5706.14"/>
    <n v="0"/>
    <s v="1016383"/>
    <s v="74111662405"/>
    <n v="12166.6343"/>
    <n v="0"/>
    <n v="56636"/>
  </r>
  <r>
    <x v="3"/>
    <s v="01789-2"/>
    <s v="Røde Sol, Lindegårdsvej 2"/>
    <n v="5247"/>
    <m/>
    <s v="Røde Sol"/>
    <x v="44"/>
    <x v="0"/>
    <x v="6"/>
    <n v="11708.72"/>
    <n v="12"/>
    <s v="2005-05-01"/>
    <n v="0"/>
    <n v="284"/>
    <n v="41.213374999999999"/>
    <n v="2"/>
    <x v="2"/>
    <x v="1108"/>
    <n v="5491.39"/>
    <n v="0"/>
    <s v="1016383"/>
    <s v="74111662405"/>
    <n v="11708.727999999999"/>
    <n v="0"/>
    <n v="56636"/>
  </r>
  <r>
    <x v="3"/>
    <m/>
    <s v="Skovstjernen Børnehus, Skovlinien 23"/>
    <n v="10019"/>
    <m/>
    <s v="Skovstjernen Børnehus"/>
    <x v="45"/>
    <x v="0"/>
    <x v="0"/>
    <n v="23428"/>
    <n v="5"/>
    <s v="2010-01-31"/>
    <n v="0"/>
    <n v="598"/>
    <n v="18.110299000000001"/>
    <n v="2"/>
    <x v="2"/>
    <x v="1109"/>
    <n v="3249.53"/>
    <n v="0"/>
    <s v="696462-36312"/>
    <s v="74113316368"/>
    <n v="10831.77"/>
    <n v="0"/>
    <n v="76531"/>
  </r>
  <r>
    <x v="3"/>
    <m/>
    <s v="Skovstjernen Børnehus, Skovlinien 23"/>
    <n v="10019"/>
    <m/>
    <s v="Skovstjernen Børnehus"/>
    <x v="45"/>
    <x v="0"/>
    <x v="1"/>
    <n v="28552.16"/>
    <n v="12"/>
    <s v="2010-01-31"/>
    <n v="0"/>
    <n v="598"/>
    <n v="47.738103000000002"/>
    <n v="2"/>
    <x v="2"/>
    <x v="1110"/>
    <n v="8565.64"/>
    <n v="0"/>
    <s v="696462-36312"/>
    <s v="74113316368"/>
    <n v="28552.151000000002"/>
    <n v="0"/>
    <n v="76531"/>
  </r>
  <r>
    <x v="3"/>
    <m/>
    <s v="Skovstjernen Børnehus, Skovlinien 23"/>
    <n v="10019"/>
    <m/>
    <s v="Skovstjernen Børnehus"/>
    <x v="45"/>
    <x v="0"/>
    <x v="2"/>
    <n v="29762.29"/>
    <n v="12"/>
    <s v="2010-01-31"/>
    <n v="0"/>
    <n v="598"/>
    <n v="49.761394000000003"/>
    <n v="2"/>
    <x v="2"/>
    <x v="1111"/>
    <n v="11904.91"/>
    <n v="0"/>
    <s v="696462-36312"/>
    <s v="74113316368"/>
    <n v="29762.277999999998"/>
    <n v="0"/>
    <n v="76531"/>
  </r>
  <r>
    <x v="3"/>
    <m/>
    <s v="Skovstjernen Børnehus, Skovlinien 23"/>
    <n v="10019"/>
    <m/>
    <s v="Skovstjernen Børnehus"/>
    <x v="45"/>
    <x v="0"/>
    <x v="3"/>
    <n v="29981.06"/>
    <n v="12"/>
    <s v="2010-01-31"/>
    <n v="0"/>
    <n v="598"/>
    <n v="50.127169000000002"/>
    <n v="2"/>
    <x v="2"/>
    <x v="1112"/>
    <n v="14061.13"/>
    <n v="0"/>
    <s v="696462-36312"/>
    <s v="74113316368"/>
    <n v="29981.069"/>
    <n v="0"/>
    <n v="76531"/>
  </r>
  <r>
    <x v="3"/>
    <m/>
    <s v="Skovstjernen Børnehus, Skovlinien 23"/>
    <n v="10019"/>
    <m/>
    <s v="Skovstjernen Børnehus"/>
    <x v="45"/>
    <x v="0"/>
    <x v="4"/>
    <n v="28781.26"/>
    <n v="12"/>
    <s v="2010-01-31"/>
    <n v="0"/>
    <n v="598"/>
    <n v="48.12115"/>
    <n v="2"/>
    <x v="2"/>
    <x v="1113"/>
    <n v="13498.42"/>
    <n v="0"/>
    <s v="696462-36312"/>
    <s v="74113316368"/>
    <n v="28781.25116"/>
    <n v="0"/>
    <n v="76531"/>
  </r>
  <r>
    <x v="3"/>
    <m/>
    <s v="Skovstjernen Børnehus, Skovlinien 23"/>
    <n v="10019"/>
    <m/>
    <s v="Skovstjernen Børnehus"/>
    <x v="45"/>
    <x v="0"/>
    <x v="5"/>
    <n v="32927.99"/>
    <n v="6"/>
    <s v="2010-01-31"/>
    <n v="0"/>
    <n v="598"/>
    <n v="55.054321999999999"/>
    <n v="2"/>
    <x v="2"/>
    <x v="1114"/>
    <n v="15443.23"/>
    <n v="0"/>
    <s v="696462-36312"/>
    <s v="74113316368"/>
    <n v="32927.986830000002"/>
    <n v="0"/>
    <n v="76531"/>
  </r>
  <r>
    <x v="3"/>
    <m/>
    <s v="Skovstjernen Børnehus, Skovlinien 23"/>
    <n v="10019"/>
    <m/>
    <s v="Skovstjernen Børnehus"/>
    <x v="45"/>
    <x v="0"/>
    <x v="6"/>
    <n v="32153.61"/>
    <n v="5"/>
    <s v="2010-01-31"/>
    <n v="0"/>
    <n v="598"/>
    <n v="53.759588000000001"/>
    <n v="2"/>
    <x v="2"/>
    <x v="1115"/>
    <n v="15080.05"/>
    <n v="0"/>
    <s v="696462-36312"/>
    <s v="74113316368"/>
    <n v="32153.599999999999"/>
    <n v="0"/>
    <n v="76531"/>
  </r>
  <r>
    <x v="3"/>
    <m/>
    <s v="Solbjerg Børnehus"/>
    <n v="10056"/>
    <m/>
    <s v="Solbjerg Børnehus"/>
    <x v="46"/>
    <x v="0"/>
    <x v="0"/>
    <n v="28698"/>
    <n v="5"/>
    <m/>
    <n v="0"/>
    <n v="836"/>
    <n v="14.548654000000001"/>
    <n v="2"/>
    <x v="2"/>
    <x v="1116"/>
    <n v="3649.25"/>
    <n v="0"/>
    <s v="52569"/>
    <s v="74113803486"/>
    <n v="12164.135"/>
    <n v="0"/>
    <n v="90613"/>
  </r>
  <r>
    <x v="3"/>
    <m/>
    <s v="Solbjerg Børnehus"/>
    <n v="10056"/>
    <m/>
    <s v="Solbjerg Børnehus"/>
    <x v="46"/>
    <x v="0"/>
    <x v="1"/>
    <n v="29597.45"/>
    <n v="12"/>
    <m/>
    <n v="0"/>
    <n v="836"/>
    <n v="35.399413000000003"/>
    <n v="2"/>
    <x v="2"/>
    <x v="1117"/>
    <n v="8879.23"/>
    <n v="0"/>
    <s v="52569"/>
    <s v="74113803486"/>
    <n v="29597.43"/>
    <n v="0"/>
    <n v="90613"/>
  </r>
  <r>
    <x v="3"/>
    <m/>
    <s v="Solbjerg Børnehus"/>
    <n v="10056"/>
    <m/>
    <s v="Solbjerg Børnehus"/>
    <x v="46"/>
    <x v="0"/>
    <x v="2"/>
    <n v="32745.46"/>
    <n v="12"/>
    <m/>
    <n v="0"/>
    <n v="836"/>
    <n v="39.164524999999998"/>
    <n v="2"/>
    <x v="2"/>
    <x v="1118"/>
    <n v="13098.18"/>
    <n v="0"/>
    <s v="52569"/>
    <s v="74113803486"/>
    <n v="32745.45"/>
    <n v="0"/>
    <n v="90613"/>
  </r>
  <r>
    <x v="3"/>
    <m/>
    <s v="Solbjerg Børnehus"/>
    <n v="10056"/>
    <m/>
    <s v="Solbjerg Børnehus"/>
    <x v="46"/>
    <x v="0"/>
    <x v="3"/>
    <n v="33037.65"/>
    <n v="12"/>
    <m/>
    <n v="0"/>
    <n v="836"/>
    <n v="39.513992999999999"/>
    <n v="2"/>
    <x v="2"/>
    <x v="1119"/>
    <n v="15494.65"/>
    <n v="0"/>
    <s v="52569"/>
    <s v="74113803486"/>
    <n v="33037.665000000001"/>
    <n v="0"/>
    <n v="90613"/>
  </r>
  <r>
    <x v="3"/>
    <m/>
    <s v="Solbjerg Børnehus"/>
    <n v="10056"/>
    <m/>
    <s v="Solbjerg Børnehus"/>
    <x v="46"/>
    <x v="0"/>
    <x v="4"/>
    <n v="6479.08"/>
    <n v="2"/>
    <m/>
    <n v="0"/>
    <n v="836"/>
    <n v="7.7491680000000001"/>
    <n v="2"/>
    <x v="2"/>
    <x v="1120"/>
    <n v="3038.69"/>
    <n v="0"/>
    <s v="52569"/>
    <s v="74113803486"/>
    <n v="6479.085"/>
    <n v="0"/>
    <n v="90613"/>
  </r>
  <r>
    <x v="3"/>
    <m/>
    <s v="Solbjerg Børnehus"/>
    <n v="10056"/>
    <m/>
    <s v="Solbjerg Børnehus"/>
    <x v="46"/>
    <x v="0"/>
    <x v="4"/>
    <n v="25155.53"/>
    <n v="8"/>
    <s v="2010-10-31"/>
    <n v="0"/>
    <n v="836"/>
    <n v="30.086746999999999"/>
    <n v="2"/>
    <x v="2"/>
    <x v="1121"/>
    <n v="11797.96"/>
    <n v="0"/>
    <s v="AFMELDT"/>
    <m/>
    <n v="25155.534250000001"/>
    <n v="0"/>
    <n v="76676"/>
  </r>
  <r>
    <x v="3"/>
    <m/>
    <s v="Solbjerg Børnehus"/>
    <n v="10056"/>
    <m/>
    <s v="Solbjerg Børnehus"/>
    <x v="46"/>
    <x v="0"/>
    <x v="5"/>
    <n v="28972.52"/>
    <n v="6"/>
    <s v="2010-10-31"/>
    <n v="0"/>
    <n v="836"/>
    <n v="34.651978999999997"/>
    <n v="2"/>
    <x v="2"/>
    <x v="1122"/>
    <n v="13588.12"/>
    <n v="0"/>
    <s v="AFMELDT"/>
    <m/>
    <n v="28972.518390000001"/>
    <n v="0"/>
    <n v="76676"/>
  </r>
  <r>
    <x v="3"/>
    <m/>
    <s v="Solbjerg Børnehus"/>
    <n v="10056"/>
    <m/>
    <s v="Solbjerg Børnehus"/>
    <x v="46"/>
    <x v="0"/>
    <x v="6"/>
    <n v="25485.09"/>
    <n v="5"/>
    <s v="2010-10-31"/>
    <n v="0"/>
    <n v="836"/>
    <n v="30.480910999999999"/>
    <n v="2"/>
    <x v="2"/>
    <x v="1123"/>
    <n v="11952.52"/>
    <n v="0"/>
    <s v="AFMELDT"/>
    <m/>
    <n v="25485.090230000002"/>
    <n v="0"/>
    <n v="76676"/>
  </r>
  <r>
    <x v="3"/>
    <m/>
    <s v="Solsikken"/>
    <n v="5950"/>
    <m/>
    <s v="Solsikken"/>
    <x v="47"/>
    <x v="0"/>
    <x v="0"/>
    <n v="79733"/>
    <n v="5"/>
    <s v="2011-12-01"/>
    <n v="0"/>
    <n v="500"/>
    <n v="76.987222000000003"/>
    <n v="2"/>
    <x v="2"/>
    <x v="1124"/>
    <n v="15400.54"/>
    <n v="0"/>
    <s v="4110"/>
    <m/>
    <n v="38501.32"/>
    <n v="0"/>
    <n v="59968"/>
  </r>
  <r>
    <x v="3"/>
    <m/>
    <s v="Solsikken"/>
    <n v="5950"/>
    <m/>
    <s v="Solsikken"/>
    <x v="47"/>
    <x v="0"/>
    <x v="1"/>
    <n v="85541.8"/>
    <n v="12"/>
    <s v="2011-12-01"/>
    <n v="0"/>
    <n v="500"/>
    <n v="171.04938999999999"/>
    <n v="2"/>
    <x v="2"/>
    <x v="1125"/>
    <n v="34216.720000000001"/>
    <n v="0"/>
    <s v="4110"/>
    <m/>
    <n v="85541.8"/>
    <n v="0"/>
    <n v="59968"/>
  </r>
  <r>
    <x v="3"/>
    <m/>
    <s v="Solsikken"/>
    <n v="5950"/>
    <m/>
    <s v="Solsikken"/>
    <x v="47"/>
    <x v="0"/>
    <x v="2"/>
    <n v="92596"/>
    <n v="12"/>
    <s v="2011-12-01"/>
    <n v="0"/>
    <n v="500"/>
    <n v="185.15496899999999"/>
    <n v="2"/>
    <x v="2"/>
    <x v="1126"/>
    <n v="37038.400000000001"/>
    <n v="0"/>
    <s v="4110"/>
    <m/>
    <n v="92596"/>
    <n v="0"/>
    <n v="59968"/>
  </r>
  <r>
    <x v="3"/>
    <m/>
    <s v="Solsikken"/>
    <n v="5950"/>
    <m/>
    <s v="Solsikken"/>
    <x v="47"/>
    <x v="0"/>
    <x v="3"/>
    <n v="69031.789999999994"/>
    <n v="5"/>
    <s v="2011-12-01"/>
    <n v="0"/>
    <n v="500"/>
    <n v="138.03597199999999"/>
    <n v="2"/>
    <x v="2"/>
    <x v="1127"/>
    <n v="32375.91"/>
    <n v="0"/>
    <s v="4110"/>
    <m/>
    <n v="69031.800019999995"/>
    <n v="0"/>
    <n v="59968"/>
  </r>
  <r>
    <x v="3"/>
    <m/>
    <s v="Solsikken"/>
    <n v="5950"/>
    <m/>
    <s v="Solsikken"/>
    <x v="47"/>
    <x v="0"/>
    <x v="4"/>
    <n v="54069.17"/>
    <n v="3"/>
    <s v="2011-12-01"/>
    <n v="0"/>
    <n v="500"/>
    <n v="108.116716"/>
    <n v="2"/>
    <x v="2"/>
    <x v="1128"/>
    <n v="25358.43"/>
    <n v="0"/>
    <s v="4110"/>
    <m/>
    <n v="54069.173909999998"/>
    <n v="0"/>
    <n v="59968"/>
  </r>
  <r>
    <x v="3"/>
    <m/>
    <s v="Solsikken"/>
    <n v="5950"/>
    <m/>
    <s v="Solsikken"/>
    <x v="47"/>
    <x v="0"/>
    <x v="5"/>
    <n v="64875.519999999997"/>
    <n v="6"/>
    <s v="2011-12-01"/>
    <n v="0"/>
    <n v="500"/>
    <n v="129.72509400000001"/>
    <n v="2"/>
    <x v="2"/>
    <x v="1129"/>
    <n v="30426.61"/>
    <n v="0"/>
    <s v="4110"/>
    <m/>
    <n v="64875.540359999999"/>
    <n v="0"/>
    <n v="59968"/>
  </r>
  <r>
    <x v="3"/>
    <m/>
    <s v="Solsikken"/>
    <n v="5950"/>
    <m/>
    <s v="Solsikken"/>
    <x v="47"/>
    <x v="0"/>
    <x v="6"/>
    <n v="71773.2"/>
    <n v="12"/>
    <s v="2011-12-01"/>
    <n v="0"/>
    <n v="500"/>
    <n v="143.517696"/>
    <n v="2"/>
    <x v="2"/>
    <x v="1130"/>
    <n v="33661.629999999997"/>
    <n v="0"/>
    <s v="4110"/>
    <m/>
    <n v="71773.191959999996"/>
    <n v="0"/>
    <n v="59968"/>
  </r>
  <r>
    <x v="3"/>
    <s v="039955-1"/>
    <s v="Stavnsholt Børnehus, STA45"/>
    <n v="5279"/>
    <m/>
    <s v="Majtræet/Sommerfuglen/Tusindben/Guldsmeden"/>
    <x v="48"/>
    <x v="0"/>
    <x v="0"/>
    <n v="90878"/>
    <n v="5"/>
    <s v="2005-05-01"/>
    <n v="0"/>
    <n v="1603"/>
    <n v="32.093798999999997"/>
    <n v="2"/>
    <x v="2"/>
    <x v="1131"/>
    <n v="20579.830000000002"/>
    <n v="0"/>
    <s v="383686"/>
    <s v="74120010266"/>
    <n v="51449.57"/>
    <n v="0"/>
    <n v="56881"/>
  </r>
  <r>
    <x v="3"/>
    <s v="039955-1"/>
    <s v="Stavnsholt Børnehus, STA45"/>
    <n v="5279"/>
    <m/>
    <s v="Majtræet/Sommerfuglen/Tusindben/Guldsmeden"/>
    <x v="48"/>
    <x v="0"/>
    <x v="1"/>
    <n v="94328.45"/>
    <n v="12"/>
    <s v="2005-05-01"/>
    <n v="0"/>
    <n v="1603"/>
    <n v="58.841276000000001"/>
    <n v="2"/>
    <x v="2"/>
    <x v="1132"/>
    <n v="37731.370000000003"/>
    <n v="0"/>
    <s v="383686"/>
    <s v="74120010266"/>
    <n v="94328.452000000005"/>
    <n v="0"/>
    <n v="56881"/>
  </r>
  <r>
    <x v="3"/>
    <s v="039955-1"/>
    <s v="Stavnsholt Børnehus, STA45"/>
    <n v="5279"/>
    <m/>
    <s v="Majtræet/Sommerfuglen/Tusindben/Guldsmeden"/>
    <x v="48"/>
    <x v="0"/>
    <x v="2"/>
    <n v="109093.75999999999"/>
    <n v="12"/>
    <s v="2005-05-01"/>
    <n v="0"/>
    <n v="1603"/>
    <n v="68.051749000000001"/>
    <n v="2"/>
    <x v="2"/>
    <x v="1133"/>
    <n v="43637.5"/>
    <n v="0"/>
    <s v="383686"/>
    <s v="74120010266"/>
    <n v="109093.745"/>
    <n v="0"/>
    <n v="56881"/>
  </r>
  <r>
    <x v="3"/>
    <s v="039955-1"/>
    <s v="Stavnsholt Børnehus, STA45"/>
    <n v="5279"/>
    <m/>
    <s v="Majtræet/Sommerfuglen/Tusindben/Guldsmeden"/>
    <x v="48"/>
    <x v="0"/>
    <x v="3"/>
    <n v="112098.68"/>
    <n v="12"/>
    <s v="2005-05-01"/>
    <n v="0"/>
    <n v="1603"/>
    <n v="69.926192999999998"/>
    <n v="2"/>
    <x v="2"/>
    <x v="1134"/>
    <n v="52574.26"/>
    <n v="0"/>
    <s v="383686"/>
    <s v="74120010266"/>
    <n v="112098.675"/>
    <n v="0"/>
    <n v="56881"/>
  </r>
  <r>
    <x v="3"/>
    <s v="039955-1"/>
    <s v="Stavnsholt Børnehus, STA45"/>
    <n v="5279"/>
    <m/>
    <s v="Majtræet/Sommerfuglen/Tusindben/Guldsmeden"/>
    <x v="48"/>
    <x v="0"/>
    <x v="4"/>
    <n v="130942.79"/>
    <n v="12"/>
    <s v="2005-05-01"/>
    <n v="0"/>
    <n v="1603"/>
    <n v="81.680986000000004"/>
    <n v="2"/>
    <x v="2"/>
    <x v="1135"/>
    <n v="61412.17"/>
    <n v="0"/>
    <s v="383686"/>
    <s v="74120010266"/>
    <n v="130942.78"/>
    <n v="0"/>
    <n v="56881"/>
  </r>
  <r>
    <x v="3"/>
    <s v="039955-1"/>
    <s v="Stavnsholt Børnehus, STA45"/>
    <n v="5279"/>
    <m/>
    <s v="Majtræet/Sommerfuglen/Tusindben/Guldsmeden"/>
    <x v="48"/>
    <x v="0"/>
    <x v="5"/>
    <n v="130679.94"/>
    <n v="12"/>
    <s v="2005-05-01"/>
    <n v="0"/>
    <n v="1603"/>
    <n v="81.517022999999995"/>
    <n v="2"/>
    <x v="2"/>
    <x v="1136"/>
    <n v="61288.91"/>
    <n v="0"/>
    <s v="383686"/>
    <s v="74120010266"/>
    <n v="130679.94"/>
    <n v="0"/>
    <n v="56881"/>
  </r>
  <r>
    <x v="3"/>
    <s v="039955-1"/>
    <s v="Stavnsholt Børnehus, STA45"/>
    <n v="5279"/>
    <m/>
    <s v="Majtræet/Sommerfuglen/Tusindben/Guldsmeden"/>
    <x v="48"/>
    <x v="0"/>
    <x v="6"/>
    <n v="152560.51"/>
    <n v="12"/>
    <s v="2005-05-01"/>
    <n v="0"/>
    <n v="1603"/>
    <n v="95.165933999999993"/>
    <n v="2"/>
    <x v="2"/>
    <x v="1137"/>
    <n v="71550.86"/>
    <n v="0"/>
    <s v="383686"/>
    <s v="74120010266"/>
    <n v="152560.505"/>
    <n v="0"/>
    <n v="56881"/>
  </r>
  <r>
    <x v="3"/>
    <m/>
    <s v="Søndersø Børnehus"/>
    <n v="10209"/>
    <m/>
    <s v="Søndersø Børnehus"/>
    <x v="49"/>
    <x v="0"/>
    <x v="0"/>
    <n v="53286"/>
    <n v="5"/>
    <m/>
    <n v="0"/>
    <n v="1839"/>
    <n v="15.024397"/>
    <n v="2"/>
    <x v="2"/>
    <x v="1138"/>
    <n v="8289.41"/>
    <n v="0"/>
    <s v="510950"/>
    <s v="74113411872"/>
    <n v="27631.366999999998"/>
    <n v="0"/>
    <n v="90611"/>
  </r>
  <r>
    <x v="3"/>
    <m/>
    <s v="Søndersø Børnehus"/>
    <n v="10209"/>
    <m/>
    <s v="Søndersø Børnehus"/>
    <x v="49"/>
    <x v="0"/>
    <x v="1"/>
    <n v="47998.04"/>
    <n v="12"/>
    <m/>
    <n v="0"/>
    <n v="1839"/>
    <n v="26.098655999999998"/>
    <n v="2"/>
    <x v="2"/>
    <x v="1139"/>
    <n v="14399.41"/>
    <n v="0"/>
    <s v="510950"/>
    <s v="74113411872"/>
    <n v="47998.034"/>
    <n v="0"/>
    <n v="90611"/>
  </r>
  <r>
    <x v="3"/>
    <m/>
    <s v="Søndersø Børnehus"/>
    <n v="10209"/>
    <m/>
    <s v="Søndersø Børnehus"/>
    <x v="49"/>
    <x v="0"/>
    <x v="2"/>
    <n v="54145.37"/>
    <n v="12"/>
    <m/>
    <n v="0"/>
    <n v="1839"/>
    <n v="29.441231999999999"/>
    <n v="2"/>
    <x v="2"/>
    <x v="1140"/>
    <n v="21658.15"/>
    <n v="0"/>
    <s v="510950"/>
    <s v="74113411872"/>
    <n v="54145.366999999998"/>
    <n v="0"/>
    <n v="90611"/>
  </r>
  <r>
    <x v="3"/>
    <m/>
    <s v="Søndersø Børnehus"/>
    <n v="10209"/>
    <m/>
    <s v="Søndersø Børnehus"/>
    <x v="49"/>
    <x v="0"/>
    <x v="3"/>
    <n v="58568.639999999999"/>
    <n v="12"/>
    <m/>
    <n v="0"/>
    <n v="1839"/>
    <n v="31.846359"/>
    <n v="2"/>
    <x v="2"/>
    <x v="1141"/>
    <n v="27468.69"/>
    <n v="0"/>
    <s v="510950"/>
    <s v="74113411872"/>
    <n v="58568.633999999998"/>
    <n v="0"/>
    <n v="90611"/>
  </r>
  <r>
    <x v="3"/>
    <m/>
    <s v="Søndersø Børnehus"/>
    <n v="10209"/>
    <m/>
    <s v="Søndersø Børnehus"/>
    <x v="49"/>
    <x v="0"/>
    <x v="4"/>
    <n v="53852.54"/>
    <n v="4"/>
    <s v="2010-10-31"/>
    <n v="0"/>
    <n v="1839"/>
    <n v="29.282007"/>
    <n v="2"/>
    <x v="2"/>
    <x v="1142"/>
    <n v="25256.85"/>
    <n v="0"/>
    <s v="AFMELDT NOV 2010 510950"/>
    <s v="74113411872"/>
    <n v="53852.559439999997"/>
    <n v="0"/>
    <n v="77416"/>
  </r>
  <r>
    <x v="3"/>
    <m/>
    <s v="Søndersø Børnehus"/>
    <n v="10209"/>
    <m/>
    <s v="Søndersø Børnehus"/>
    <x v="49"/>
    <x v="0"/>
    <x v="4"/>
    <n v="10362.83"/>
    <n v="2"/>
    <m/>
    <n v="0"/>
    <n v="1839"/>
    <n v="5.634728"/>
    <n v="2"/>
    <x v="2"/>
    <x v="1143"/>
    <n v="4860.16"/>
    <n v="0"/>
    <s v="510950"/>
    <s v="74113411872"/>
    <n v="10362.833000000001"/>
    <n v="0"/>
    <n v="90611"/>
  </r>
  <r>
    <x v="3"/>
    <m/>
    <s v="Søndersø Børnehus"/>
    <n v="10209"/>
    <m/>
    <s v="Søndersø Børnehus"/>
    <x v="49"/>
    <x v="0"/>
    <x v="5"/>
    <n v="67972.899999999994"/>
    <n v="3"/>
    <s v="2010-10-31"/>
    <n v="0"/>
    <n v="1839"/>
    <n v="36.959871"/>
    <n v="2"/>
    <x v="2"/>
    <x v="1144"/>
    <n v="31879.33"/>
    <n v="0"/>
    <s v="AFMELDT NOV 2010 510950"/>
    <s v="74113411872"/>
    <n v="67972.888819999993"/>
    <n v="0"/>
    <n v="77416"/>
  </r>
  <r>
    <x v="3"/>
    <m/>
    <s v="Søndersø Børnehus"/>
    <n v="10209"/>
    <m/>
    <s v="Søndersø Børnehus"/>
    <x v="49"/>
    <x v="0"/>
    <x v="6"/>
    <n v="44548.54"/>
    <n v="9"/>
    <s v="2010-10-31"/>
    <n v="0"/>
    <n v="1839"/>
    <n v="24.223011"/>
    <n v="2"/>
    <x v="2"/>
    <x v="1145"/>
    <n v="20893.27"/>
    <n v="0"/>
    <s v="AFMELDT NOV 2010 510950"/>
    <s v="74113411872"/>
    <n v="44548.551729999999"/>
    <n v="0"/>
    <n v="77416"/>
  </r>
  <r>
    <x v="3"/>
    <m/>
    <s v="Solsikken"/>
    <n v="5950"/>
    <m/>
    <s v="Solsikken"/>
    <x v="47"/>
    <x v="0"/>
    <x v="7"/>
    <n v="364.22"/>
    <n v="12"/>
    <m/>
    <n v="0"/>
    <n v="500"/>
    <n v="0.728294"/>
    <n v="3"/>
    <x v="0"/>
    <x v="1146"/>
    <n v="291.39"/>
    <n v="0"/>
    <s v="??"/>
    <m/>
    <n v="364.23700000000002"/>
    <n v="0"/>
    <n v="90554"/>
  </r>
  <r>
    <x v="3"/>
    <m/>
    <s v="Solsikken"/>
    <n v="5950"/>
    <m/>
    <s v="Solsikken"/>
    <x v="47"/>
    <x v="0"/>
    <x v="7"/>
    <n v="80405.679999999993"/>
    <n v="12"/>
    <s v="2011-12-01"/>
    <n v="0"/>
    <n v="500"/>
    <n v="160.77920399999999"/>
    <n v="2"/>
    <x v="2"/>
    <x v="1147"/>
    <n v="32162.28"/>
    <n v="0"/>
    <s v="4110"/>
    <m/>
    <n v="80405.682000000001"/>
    <n v="0"/>
    <n v="59968"/>
  </r>
  <r>
    <x v="3"/>
    <s v="039955-1"/>
    <s v="Stavnsholt Børnehus, STA45"/>
    <n v="5279"/>
    <m/>
    <s v="Majtræet/Sommerfuglen/Tusindben/Guldsmeden"/>
    <x v="48"/>
    <x v="1"/>
    <x v="7"/>
    <n v="131494.65"/>
    <n v="12"/>
    <s v="2010-02-09"/>
    <n v="0"/>
    <n v="1603"/>
    <n v="82.025232000000003"/>
    <n v="1"/>
    <x v="3"/>
    <x v="1148"/>
    <n v="320304.3"/>
    <n v="1"/>
    <s v="4824617"/>
    <m/>
    <n v="3768.835"/>
    <n v="0"/>
    <n v="57002"/>
  </r>
  <r>
    <x v="3"/>
    <s v="039955-1"/>
    <s v="Stavnsholt Børnehus, STA45"/>
    <n v="5279"/>
    <m/>
    <s v="Majtræet/Sommerfuglen/Tusindben/Guldsmeden"/>
    <x v="48"/>
    <x v="0"/>
    <x v="7"/>
    <n v="891.85"/>
    <n v="12"/>
    <s v="2005-05-01"/>
    <n v="0"/>
    <n v="1603"/>
    <n v="0.55632800000000004"/>
    <n v="3"/>
    <x v="0"/>
    <x v="1149"/>
    <n v="713.44"/>
    <n v="0"/>
    <s v="BK 99600178"/>
    <m/>
    <n v="891.83100000000002"/>
    <n v="0"/>
    <n v="56883"/>
  </r>
  <r>
    <x v="3"/>
    <s v="039955-1"/>
    <s v="Stavnsholt Børnehus, STA45"/>
    <n v="5279"/>
    <m/>
    <s v="Majtræet/Sommerfuglen/Tusindben/Guldsmeden"/>
    <x v="48"/>
    <x v="0"/>
    <x v="7"/>
    <n v="121713.5"/>
    <n v="12"/>
    <s v="2010-02-09"/>
    <n v="0"/>
    <n v="1603"/>
    <n v="75.923834999999997"/>
    <n v="1"/>
    <x v="1"/>
    <x v="1150"/>
    <n v="11480704.66"/>
    <n v="0"/>
    <s v="4824617"/>
    <m/>
    <n v="121713.5"/>
    <n v="0"/>
    <n v="56882"/>
  </r>
  <r>
    <x v="3"/>
    <s v="039955-1"/>
    <s v="Stavnsholt Børnehus, STA45"/>
    <n v="5279"/>
    <m/>
    <s v="Majtræet/Sommerfuglen/Tusindben/Guldsmeden"/>
    <x v="48"/>
    <x v="0"/>
    <x v="7"/>
    <n v="99227.41"/>
    <n v="12"/>
    <s v="2005-05-01"/>
    <n v="0"/>
    <n v="1603"/>
    <n v="61.897205"/>
    <n v="2"/>
    <x v="2"/>
    <x v="1151"/>
    <n v="39690.97"/>
    <n v="0"/>
    <s v="383686"/>
    <s v="74120010266"/>
    <n v="99227.43"/>
    <n v="0"/>
    <n v="56881"/>
  </r>
  <r>
    <x v="3"/>
    <s v="039955-1"/>
    <s v="Stavnsholt Børnehus, STA45"/>
    <n v="5279"/>
    <m/>
    <s v="Majtræet/Sommerfuglen/Tusindben/Guldsmeden"/>
    <x v="48"/>
    <x v="0"/>
    <x v="7"/>
    <n v="711.2"/>
    <n v="2"/>
    <s v="2014-06-24"/>
    <n v="0"/>
    <n v="1603"/>
    <n v="0.44363999999999998"/>
    <n v="2"/>
    <x v="2"/>
    <x v="1152"/>
    <n v="213.36"/>
    <n v="1"/>
    <s v="BI Varmepumpe 1"/>
    <m/>
    <n v="711.2"/>
    <n v="0"/>
    <n v="96387"/>
  </r>
  <r>
    <x v="3"/>
    <s v="039955-1"/>
    <s v="Stavnsholt Børnehus, STA45"/>
    <n v="5279"/>
    <m/>
    <s v="Majtræet/Sommerfuglen/Tusindben/Guldsmeden"/>
    <x v="48"/>
    <x v="0"/>
    <x v="7"/>
    <n v="881.3"/>
    <n v="2"/>
    <s v="2014-06-24"/>
    <n v="0"/>
    <n v="1603"/>
    <n v="0.54974699999999999"/>
    <n v="2"/>
    <x v="2"/>
    <x v="1153"/>
    <n v="264.39"/>
    <n v="1"/>
    <s v="BI Varmepumpe 2"/>
    <m/>
    <n v="881.3"/>
    <n v="0"/>
    <n v="96388"/>
  </r>
  <r>
    <x v="3"/>
    <m/>
    <s v="Søndersø Børnehus"/>
    <n v="10209"/>
    <m/>
    <s v="Søndersø Børnehus"/>
    <x v="49"/>
    <x v="0"/>
    <x v="7"/>
    <n v="155870.01"/>
    <n v="12"/>
    <s v="2011-11-30"/>
    <n v="0"/>
    <n v="1839"/>
    <n v="84.753416999999999"/>
    <n v="1"/>
    <x v="5"/>
    <x v="1154"/>
    <n v="11872.16"/>
    <n v="0"/>
    <s v="6657409"/>
    <m/>
    <n v="155.87001000000001"/>
    <n v="0"/>
    <n v="89457"/>
  </r>
  <r>
    <x v="3"/>
    <m/>
    <s v="Søndersø Børnehus"/>
    <n v="10209"/>
    <m/>
    <s v="Søndersø Børnehus"/>
    <x v="49"/>
    <x v="0"/>
    <x v="7"/>
    <n v="1071.4000000000001"/>
    <n v="12"/>
    <s v="2010-07-31"/>
    <n v="0"/>
    <n v="1839"/>
    <n v="0.58256699999999995"/>
    <n v="3"/>
    <x v="0"/>
    <x v="1155"/>
    <n v="857.12"/>
    <n v="0"/>
    <s v="00PC502503"/>
    <m/>
    <n v="1071.4000000000001"/>
    <n v="0"/>
    <n v="77417"/>
  </r>
  <r>
    <x v="3"/>
    <m/>
    <s v="Søndersø Børnehus"/>
    <n v="10209"/>
    <m/>
    <s v="Søndersø Børnehus"/>
    <x v="49"/>
    <x v="0"/>
    <x v="7"/>
    <n v="55196.98"/>
    <n v="11"/>
    <m/>
    <n v="0"/>
    <n v="1839"/>
    <n v="28.381806000000001"/>
    <n v="2"/>
    <x v="2"/>
    <x v="1156"/>
    <n v="15659.1"/>
    <n v="0"/>
    <s v="510950"/>
    <s v="74113411872"/>
    <n v="52196.998"/>
    <n v="0"/>
    <n v="90611"/>
  </r>
  <r>
    <x v="5"/>
    <m/>
    <s v="Flygtnigebolig, Syvstjerne Vænge 10"/>
    <n v="9979"/>
    <m/>
    <s v="Børnehaven Syvstjernen"/>
    <x v="60"/>
    <x v="0"/>
    <x v="0"/>
    <n v="225"/>
    <n v="1"/>
    <s v="2015-02-13"/>
    <n v="0"/>
    <n v="290"/>
    <n v="1.8269000000000001E-2"/>
    <n v="3"/>
    <x v="0"/>
    <x v="1157"/>
    <n v="4.24"/>
    <n v="0"/>
    <m/>
    <m/>
    <n v="5.3028599999999999"/>
    <n v="0"/>
    <n v="76412"/>
  </r>
  <r>
    <x v="5"/>
    <m/>
    <s v="Flygtnigebolig, Syvstjerne Vænge 10"/>
    <n v="9979"/>
    <m/>
    <s v="Børnehaven Syvstjernen"/>
    <x v="60"/>
    <x v="0"/>
    <x v="1"/>
    <n v="44.99"/>
    <n v="0"/>
    <s v="2015-02-13"/>
    <n v="0"/>
    <n v="290"/>
    <n v="0.155084"/>
    <n v="3"/>
    <x v="0"/>
    <x v="1158"/>
    <n v="36.020000000000003"/>
    <n v="0"/>
    <m/>
    <m/>
    <n v="45.012590000000003"/>
    <n v="0"/>
    <n v="76412"/>
  </r>
  <r>
    <x v="5"/>
    <m/>
    <s v="Flygtnigebolig, Syvstjerne Vænge 10"/>
    <n v="9979"/>
    <m/>
    <s v="Børnehaven Syvstjernen"/>
    <x v="60"/>
    <x v="0"/>
    <x v="2"/>
    <n v="45.12"/>
    <n v="0"/>
    <s v="2015-02-13"/>
    <n v="0"/>
    <n v="290"/>
    <n v="0.155532"/>
    <n v="3"/>
    <x v="0"/>
    <x v="1159"/>
    <n v="36.119999999999997"/>
    <n v="0"/>
    <m/>
    <m/>
    <n v="45.135910000000003"/>
    <n v="0"/>
    <n v="76412"/>
  </r>
  <r>
    <x v="5"/>
    <m/>
    <s v="Flygtnigebolig, Syvstjerne Vænge 10"/>
    <n v="9979"/>
    <m/>
    <s v="Børnehaven Syvstjernen"/>
    <x v="60"/>
    <x v="0"/>
    <x v="3"/>
    <n v="217.54"/>
    <n v="3"/>
    <s v="2015-02-13"/>
    <n v="0"/>
    <n v="290"/>
    <n v="0.74987899999999996"/>
    <n v="3"/>
    <x v="0"/>
    <x v="1160"/>
    <n v="174.03"/>
    <n v="0"/>
    <m/>
    <m/>
    <n v="217.53609"/>
    <n v="0"/>
    <n v="76412"/>
  </r>
  <r>
    <x v="5"/>
    <m/>
    <s v="Flygtnigebolig, Syvstjerne Vænge 10"/>
    <n v="9979"/>
    <m/>
    <s v="Børnehaven Syvstjernen"/>
    <x v="60"/>
    <x v="0"/>
    <x v="4"/>
    <n v="8.24"/>
    <n v="4"/>
    <s v="2015-02-13"/>
    <n v="0"/>
    <n v="290"/>
    <n v="2.8403000000000001E-2"/>
    <n v="3"/>
    <x v="0"/>
    <x v="1161"/>
    <n v="6.59"/>
    <n v="0"/>
    <m/>
    <m/>
    <n v="8.2372800000000002"/>
    <n v="0"/>
    <n v="76412"/>
  </r>
  <r>
    <x v="5"/>
    <m/>
    <s v="Flygtnigebolig, Syvstjerne Vænge 10"/>
    <n v="9979"/>
    <m/>
    <s v="Børnehaven Syvstjernen"/>
    <x v="60"/>
    <x v="0"/>
    <x v="5"/>
    <n v="87.75"/>
    <n v="6"/>
    <s v="2015-02-13"/>
    <n v="0"/>
    <n v="290"/>
    <n v="0.302481"/>
    <n v="3"/>
    <x v="0"/>
    <x v="1162"/>
    <n v="70.22"/>
    <n v="0"/>
    <m/>
    <m/>
    <n v="87.762730000000005"/>
    <n v="0"/>
    <n v="76412"/>
  </r>
  <r>
    <x v="5"/>
    <m/>
    <s v="Flygtnigebolig, Syvstjerne Vænge 10"/>
    <n v="9979"/>
    <m/>
    <s v="Børnehaven Syvstjernen"/>
    <x v="60"/>
    <x v="0"/>
    <x v="6"/>
    <n v="186.58"/>
    <n v="7"/>
    <s v="2015-02-13"/>
    <n v="0"/>
    <n v="290"/>
    <n v="0.64315699999999998"/>
    <n v="3"/>
    <x v="0"/>
    <x v="1163"/>
    <n v="149.24"/>
    <n v="0"/>
    <m/>
    <m/>
    <n v="186.55208999999999"/>
    <n v="0"/>
    <n v="76412"/>
  </r>
  <r>
    <x v="5"/>
    <m/>
    <s v="Kollekollevej 27 TOM"/>
    <n v="10271"/>
    <m/>
    <s v="Kollekollevej 27"/>
    <x v="32"/>
    <x v="0"/>
    <x v="0"/>
    <n v="113"/>
    <n v="1"/>
    <s v="2015-02-12"/>
    <n v="0"/>
    <n v="123"/>
    <n v="1.0154E-2"/>
    <n v="3"/>
    <x v="0"/>
    <x v="1164"/>
    <n v="1"/>
    <n v="0"/>
    <s v="4267"/>
    <m/>
    <n v="1.24752"/>
    <n v="0"/>
    <n v="77654"/>
  </r>
  <r>
    <x v="5"/>
    <m/>
    <s v="Kollekollevej 27 TOM"/>
    <n v="10271"/>
    <m/>
    <s v="Kollekollevej 27"/>
    <x v="32"/>
    <x v="0"/>
    <x v="1"/>
    <n v="11.38"/>
    <n v="7"/>
    <s v="2015-02-12"/>
    <n v="0"/>
    <n v="123"/>
    <n v="9.2444999999999999E-2"/>
    <n v="3"/>
    <x v="0"/>
    <x v="1165"/>
    <n v="9.11"/>
    <n v="0"/>
    <s v="4267"/>
    <m/>
    <n v="11.382350000000001"/>
    <n v="0"/>
    <n v="77654"/>
  </r>
  <r>
    <x v="5"/>
    <m/>
    <s v="Kollekollevej 27 TOM"/>
    <n v="10271"/>
    <m/>
    <s v="Kollekollevej 27"/>
    <x v="32"/>
    <x v="0"/>
    <x v="2"/>
    <n v="77.66"/>
    <n v="3"/>
    <s v="2015-02-12"/>
    <n v="0"/>
    <n v="123"/>
    <n v="0.63086900000000001"/>
    <n v="3"/>
    <x v="0"/>
    <x v="1166"/>
    <n v="62.13"/>
    <n v="0"/>
    <s v="4267"/>
    <m/>
    <n v="77.666430000000005"/>
    <n v="0"/>
    <n v="77654"/>
  </r>
  <r>
    <x v="5"/>
    <m/>
    <s v="Kollekollevej 27 TOM"/>
    <n v="10271"/>
    <m/>
    <s v="Kollekollevej 27"/>
    <x v="32"/>
    <x v="0"/>
    <x v="3"/>
    <n v="32.520000000000003"/>
    <n v="3"/>
    <s v="2015-02-12"/>
    <n v="0"/>
    <n v="123"/>
    <n v="0.26417499999999999"/>
    <n v="3"/>
    <x v="0"/>
    <x v="1167"/>
    <n v="26.02"/>
    <n v="0"/>
    <s v="4267"/>
    <m/>
    <n v="32.506779999999999"/>
    <n v="0"/>
    <n v="77654"/>
  </r>
  <r>
    <x v="5"/>
    <m/>
    <s v="Kollekollevej 27 TOM"/>
    <n v="10271"/>
    <m/>
    <s v="Kollekollevej 27"/>
    <x v="32"/>
    <x v="0"/>
    <x v="4"/>
    <n v="180.56"/>
    <n v="4"/>
    <s v="2015-02-12"/>
    <n v="0"/>
    <n v="123"/>
    <n v="1.466774"/>
    <n v="3"/>
    <x v="0"/>
    <x v="1168"/>
    <n v="144.44"/>
    <n v="0"/>
    <s v="4267"/>
    <m/>
    <n v="180.54544999999999"/>
    <n v="0"/>
    <n v="77654"/>
  </r>
  <r>
    <x v="5"/>
    <m/>
    <s v="Kollekollevej 27 TOM"/>
    <n v="10271"/>
    <m/>
    <s v="Kollekollevej 27"/>
    <x v="32"/>
    <x v="0"/>
    <x v="5"/>
    <n v="12.13"/>
    <n v="3"/>
    <s v="2015-02-12"/>
    <n v="0"/>
    <n v="123"/>
    <n v="9.8537E-2"/>
    <n v="3"/>
    <x v="0"/>
    <x v="1169"/>
    <n v="9.73"/>
    <n v="0"/>
    <s v="4267"/>
    <m/>
    <n v="12.124779999999999"/>
    <n v="0"/>
    <n v="77654"/>
  </r>
  <r>
    <x v="5"/>
    <m/>
    <s v="Kollekollevej 27 TOM"/>
    <n v="10271"/>
    <m/>
    <s v="Kollekollevej 27"/>
    <x v="32"/>
    <x v="0"/>
    <x v="6"/>
    <n v="111.25"/>
    <n v="2"/>
    <s v="2015-02-12"/>
    <n v="0"/>
    <n v="123"/>
    <n v="0.90373599999999998"/>
    <n v="3"/>
    <x v="0"/>
    <x v="1170"/>
    <n v="89.01"/>
    <n v="0"/>
    <s v="4267"/>
    <m/>
    <n v="111.25619"/>
    <n v="0"/>
    <n v="77654"/>
  </r>
  <r>
    <x v="5"/>
    <m/>
    <s v="Smedegade 19"/>
    <n v="13961"/>
    <s v="0"/>
    <s v="Smedegade 19"/>
    <x v="30"/>
    <x v="0"/>
    <x v="1"/>
    <n v="1.57"/>
    <n v="5"/>
    <s v="2014-12-10"/>
    <n v="0"/>
    <n v="214"/>
    <n v="7.3330000000000001E-3"/>
    <n v="3"/>
    <x v="0"/>
    <x v="1171"/>
    <n v="1.25"/>
    <n v="0"/>
    <s v="46180"/>
    <m/>
    <n v="1.5628899999999999"/>
    <n v="0"/>
    <n v="92681"/>
  </r>
  <r>
    <x v="5"/>
    <m/>
    <s v="Smedegade 19"/>
    <n v="13961"/>
    <s v="0"/>
    <s v="Smedegade 19"/>
    <x v="30"/>
    <x v="0"/>
    <x v="2"/>
    <n v="0"/>
    <n v="1"/>
    <s v="2014-12-10"/>
    <n v="0"/>
    <n v="214"/>
    <n v="0"/>
    <n v="3"/>
    <x v="0"/>
    <x v="1"/>
    <n v="0"/>
    <n v="0"/>
    <s v="46180"/>
    <m/>
    <n v="0"/>
    <n v="0"/>
    <n v="92681"/>
  </r>
  <r>
    <x v="5"/>
    <m/>
    <s v="Flygtnigebolig, Syvstjerne Vænge 10"/>
    <n v="9979"/>
    <m/>
    <s v="Børnehaven Syvstjernen"/>
    <x v="60"/>
    <x v="0"/>
    <x v="7"/>
    <n v="44.99"/>
    <n v="0"/>
    <s v="2015-02-13"/>
    <n v="0"/>
    <n v="290"/>
    <n v="0.155084"/>
    <n v="3"/>
    <x v="0"/>
    <x v="1158"/>
    <n v="36.020000000000003"/>
    <n v="0"/>
    <m/>
    <m/>
    <n v="45.012590000000003"/>
    <n v="0"/>
    <n v="76412"/>
  </r>
  <r>
    <x v="5"/>
    <m/>
    <s v="Flygtnigebolig, Syvstjerne Vænge 10"/>
    <n v="9979"/>
    <m/>
    <s v="Børnehaven Syvstjernen"/>
    <x v="60"/>
    <x v="0"/>
    <x v="7"/>
    <n v="7530.55"/>
    <n v="0"/>
    <s v="2015-02-13"/>
    <n v="0"/>
    <n v="290"/>
    <n v="25.958462000000001"/>
    <n v="2"/>
    <x v="2"/>
    <x v="1172"/>
    <n v="2259.16"/>
    <n v="0"/>
    <m/>
    <s v="74110493246"/>
    <n v="7530.5746300000001"/>
    <n v="0"/>
    <n v="76411"/>
  </r>
  <r>
    <x v="5"/>
    <m/>
    <s v="Flygtnigebolig, Syvstjerne Vænge 10"/>
    <n v="9979"/>
    <m/>
    <s v="Børnehaven Syvstjernen"/>
    <x v="60"/>
    <x v="0"/>
    <x v="7"/>
    <n v="61750.78"/>
    <n v="1"/>
    <s v="2015-02-13"/>
    <n v="0"/>
    <n v="290"/>
    <n v="212.86032399999999"/>
    <n v="1"/>
    <x v="5"/>
    <x v="1173"/>
    <n v="9221.36"/>
    <n v="0"/>
    <m/>
    <m/>
    <n v="61.750779999999999"/>
    <n v="0"/>
    <n v="97163"/>
  </r>
  <r>
    <x v="5"/>
    <m/>
    <s v="Flygtnigebolig, Syvstjerne Vænge 10"/>
    <n v="9979"/>
    <m/>
    <s v="Børnehaven Syvstjernen"/>
    <x v="60"/>
    <x v="0"/>
    <x v="0"/>
    <n v="54136"/>
    <n v="1"/>
    <s v="2015-02-13"/>
    <n v="0"/>
    <n v="290"/>
    <n v="28.425439000000001"/>
    <n v="1"/>
    <x v="5"/>
    <x v="1174"/>
    <n v="1200.96"/>
    <n v="0"/>
    <m/>
    <m/>
    <n v="8.2462199999999992"/>
    <n v="0"/>
    <n v="97163"/>
  </r>
  <r>
    <x v="5"/>
    <m/>
    <s v="Flygtnigebolig, Syvstjerne Vænge 10"/>
    <n v="9979"/>
    <m/>
    <s v="Børnehaven Syvstjernen"/>
    <x v="60"/>
    <x v="0"/>
    <x v="3"/>
    <n v="12264.96"/>
    <n v="3"/>
    <s v="2011-11-09"/>
    <n v="0"/>
    <n v="290"/>
    <n v="42.278385999999998"/>
    <n v="1"/>
    <x v="4"/>
    <x v="1175"/>
    <n v="2708.88"/>
    <n v="0"/>
    <m/>
    <s v="98003448980"/>
    <n v="1135.64517"/>
    <n v="0"/>
    <n v="76413"/>
  </r>
  <r>
    <x v="5"/>
    <m/>
    <s v="Flygtnigebolig, Syvstjerne Vænge 10"/>
    <n v="9979"/>
    <m/>
    <s v="Børnehaven Syvstjernen"/>
    <x v="60"/>
    <x v="0"/>
    <x v="4"/>
    <n v="48211.86"/>
    <n v="3"/>
    <s v="2011-11-09"/>
    <n v="0"/>
    <n v="290"/>
    <n v="166.19048599999999"/>
    <n v="1"/>
    <x v="4"/>
    <x v="1176"/>
    <n v="12599.74"/>
    <n v="0"/>
    <m/>
    <s v="98003448980"/>
    <n v="4464.0622599999997"/>
    <n v="0"/>
    <n v="76413"/>
  </r>
  <r>
    <x v="5"/>
    <m/>
    <s v="Flygtnigebolig, Syvstjerne Vænge 10"/>
    <n v="9979"/>
    <m/>
    <s v="Børnehaven Syvstjernen"/>
    <x v="60"/>
    <x v="0"/>
    <x v="5"/>
    <n v="23925.22"/>
    <n v="4"/>
    <s v="2011-11-09"/>
    <n v="0"/>
    <n v="290"/>
    <n v="82.472318999999999"/>
    <n v="1"/>
    <x v="4"/>
    <x v="1177"/>
    <n v="5685.31"/>
    <n v="0"/>
    <m/>
    <s v="98003448980"/>
    <n v="2215.2983300000001"/>
    <n v="0"/>
    <n v="76413"/>
  </r>
  <r>
    <x v="5"/>
    <m/>
    <s v="Flygtnigebolig, Syvstjerne Vænge 10"/>
    <n v="9979"/>
    <m/>
    <s v="Børnehaven Syvstjernen"/>
    <x v="60"/>
    <x v="0"/>
    <x v="6"/>
    <n v="40391.589999999997"/>
    <n v="7"/>
    <s v="2011-11-09"/>
    <n v="0"/>
    <n v="290"/>
    <n v="139.23333299999999"/>
    <n v="1"/>
    <x v="4"/>
    <x v="1178"/>
    <n v="9909.2199999999993"/>
    <n v="0"/>
    <m/>
    <s v="98003448980"/>
    <n v="3739.9630400000001"/>
    <n v="0"/>
    <n v="76413"/>
  </r>
  <r>
    <x v="5"/>
    <m/>
    <s v="Kollekollevej 27 TOM"/>
    <n v="10271"/>
    <m/>
    <s v="Kollekollevej 27"/>
    <x v="32"/>
    <x v="0"/>
    <x v="0"/>
    <n v="28331"/>
    <n v="1"/>
    <s v="2015-02-12"/>
    <n v="0"/>
    <n v="123"/>
    <n v="16.308042"/>
    <n v="1"/>
    <x v="4"/>
    <x v="1179"/>
    <n v="493.39"/>
    <n v="0"/>
    <s v="HNG16.03.587"/>
    <s v="98001314041"/>
    <n v="185.88119"/>
    <n v="0"/>
    <n v="77658"/>
  </r>
  <r>
    <x v="5"/>
    <m/>
    <s v="Kollekollevej 27 TOM"/>
    <n v="10271"/>
    <m/>
    <s v="Kollekollevej 27"/>
    <x v="32"/>
    <x v="0"/>
    <x v="1"/>
    <n v="14871.83"/>
    <n v="8"/>
    <s v="2015-02-12"/>
    <n v="0"/>
    <n v="123"/>
    <n v="120.81096599999999"/>
    <n v="1"/>
    <x v="4"/>
    <x v="1180"/>
    <n v="3261.65"/>
    <n v="0"/>
    <s v="HNG16.03.587"/>
    <s v="98001314041"/>
    <n v="1377.0208299999999"/>
    <n v="0"/>
    <n v="77658"/>
  </r>
  <r>
    <x v="5"/>
    <m/>
    <s v="Kollekollevej 27 TOM"/>
    <n v="10271"/>
    <m/>
    <s v="Kollekollevej 27"/>
    <x v="32"/>
    <x v="0"/>
    <x v="2"/>
    <n v="23764.32"/>
    <n v="2"/>
    <s v="2015-02-12"/>
    <n v="0"/>
    <n v="123"/>
    <n v="193.048903"/>
    <n v="1"/>
    <x v="4"/>
    <x v="1181"/>
    <n v="5496.55"/>
    <n v="0"/>
    <s v="HNG16.03.587"/>
    <s v="98001314041"/>
    <n v="2200.4007799999999"/>
    <n v="0"/>
    <n v="77658"/>
  </r>
  <r>
    <x v="5"/>
    <m/>
    <s v="Kollekollevej 27 TOM"/>
    <n v="10271"/>
    <m/>
    <s v="Kollekollevej 27"/>
    <x v="32"/>
    <x v="0"/>
    <x v="3"/>
    <n v="25405.279999999999"/>
    <n v="2"/>
    <s v="2015-02-12"/>
    <n v="0"/>
    <n v="123"/>
    <n v="206.37920299999999"/>
    <n v="1"/>
    <x v="4"/>
    <x v="1182"/>
    <n v="6230.7"/>
    <n v="0"/>
    <s v="HNG16.03.587"/>
    <s v="98001314041"/>
    <n v="2352.33997"/>
    <n v="0"/>
    <n v="77658"/>
  </r>
  <r>
    <x v="5"/>
    <m/>
    <s v="Kollekollevej 27 TOM"/>
    <n v="10271"/>
    <m/>
    <s v="Kollekollevej 27"/>
    <x v="32"/>
    <x v="0"/>
    <x v="4"/>
    <n v="23882.3"/>
    <n v="4"/>
    <s v="2015-02-12"/>
    <n v="0"/>
    <n v="123"/>
    <n v="194.00731099999999"/>
    <n v="1"/>
    <x v="4"/>
    <x v="1183"/>
    <n v="5883.32"/>
    <n v="0"/>
    <s v="HNG16.03.587"/>
    <s v="98001314041"/>
    <n v="2211.3231000000001"/>
    <n v="0"/>
    <n v="77658"/>
  </r>
  <r>
    <x v="5"/>
    <m/>
    <s v="Kollekollevej 27 TOM"/>
    <n v="10271"/>
    <m/>
    <s v="Kollekollevej 27"/>
    <x v="32"/>
    <x v="0"/>
    <x v="5"/>
    <n v="21850.18"/>
    <n v="2"/>
    <s v="2015-02-12"/>
    <n v="0"/>
    <n v="123"/>
    <n v="177.49943099999999"/>
    <n v="1"/>
    <x v="4"/>
    <x v="1184"/>
    <n v="6483.96"/>
    <n v="0"/>
    <s v="HNG16.03.587"/>
    <s v="98001314041"/>
    <n v="2023.16281"/>
    <n v="0"/>
    <n v="77658"/>
  </r>
  <r>
    <x v="5"/>
    <m/>
    <s v="Kollekollevej 27 TOM"/>
    <n v="10271"/>
    <m/>
    <s v="Kollekollevej 27"/>
    <x v="32"/>
    <x v="0"/>
    <x v="6"/>
    <n v="14380.14"/>
    <n v="3"/>
    <s v="2015-02-12"/>
    <n v="0"/>
    <n v="123"/>
    <n v="116.816734"/>
    <n v="1"/>
    <x v="4"/>
    <x v="1185"/>
    <n v="3485.25"/>
    <n v="0"/>
    <s v="HNG16.03.587"/>
    <s v="98001314041"/>
    <n v="1331.4932100000001"/>
    <n v="0"/>
    <n v="77658"/>
  </r>
  <r>
    <x v="5"/>
    <m/>
    <s v="Smedegade 19"/>
    <n v="13961"/>
    <s v="0"/>
    <s v="Smedegade 19"/>
    <x v="30"/>
    <x v="0"/>
    <x v="1"/>
    <n v="18038.3"/>
    <n v="8"/>
    <s v="2014-11-04"/>
    <n v="0"/>
    <n v="214"/>
    <n v="84.251750999999999"/>
    <n v="1"/>
    <x v="4"/>
    <x v="1186"/>
    <n v="4164.18"/>
    <n v="0"/>
    <s v="1540873"/>
    <s v="5715151-980-0129757-3"/>
    <n v="1670.2144599999999"/>
    <n v="0"/>
    <n v="92684"/>
  </r>
  <r>
    <x v="5"/>
    <m/>
    <s v="Smedegade 19"/>
    <n v="13961"/>
    <s v="0"/>
    <s v="Smedegade 19"/>
    <x v="30"/>
    <x v="0"/>
    <x v="2"/>
    <n v="7910.84"/>
    <n v="1"/>
    <s v="2014-11-04"/>
    <n v="0"/>
    <n v="214"/>
    <n v="36.949275999999998"/>
    <n v="1"/>
    <x v="4"/>
    <x v="1187"/>
    <n v="1885.98"/>
    <n v="0"/>
    <s v="1540873"/>
    <s v="5715151-980-0129757-3"/>
    <n v="732.48554999999999"/>
    <n v="0"/>
    <n v="92684"/>
  </r>
  <r>
    <x v="9"/>
    <m/>
    <s v="Kirke Værløse Idrætanlæg, Lejr 21"/>
    <n v="10204"/>
    <m/>
    <s v="Kirke Værløse Idrætsanlæg"/>
    <x v="61"/>
    <x v="0"/>
    <x v="7"/>
    <n v="45767.38"/>
    <n v="12"/>
    <s v="2011-02-28"/>
    <n v="0"/>
    <n v="445"/>
    <n v="102.824938"/>
    <n v="1"/>
    <x v="4"/>
    <x v="1188"/>
    <n v="11502.54"/>
    <n v="0"/>
    <s v="3100528"/>
    <s v="98004377937"/>
    <n v="4237.72"/>
    <n v="0"/>
    <n v="77388"/>
  </r>
  <r>
    <x v="5"/>
    <m/>
    <s v="Kollekollevej 27 TOM"/>
    <n v="10271"/>
    <m/>
    <s v="Kollekollevej 27"/>
    <x v="32"/>
    <x v="0"/>
    <x v="7"/>
    <n v="2.75"/>
    <n v="4"/>
    <s v="2015-02-12"/>
    <n v="0"/>
    <n v="123"/>
    <n v="2.2339000000000001E-2"/>
    <n v="3"/>
    <x v="0"/>
    <x v="1189"/>
    <n v="2.2000000000000002"/>
    <n v="0"/>
    <s v="4267"/>
    <m/>
    <n v="2.7524700000000002"/>
    <n v="0"/>
    <n v="77654"/>
  </r>
  <r>
    <x v="5"/>
    <m/>
    <s v="Kollekollevej 27 TOM"/>
    <n v="10271"/>
    <m/>
    <s v="Kollekollevej 27"/>
    <x v="32"/>
    <x v="0"/>
    <x v="7"/>
    <n v="411.77"/>
    <n v="4"/>
    <s v="2015-02-12"/>
    <n v="0"/>
    <n v="123"/>
    <n v="3.3450039999999999"/>
    <n v="2"/>
    <x v="2"/>
    <x v="1190"/>
    <n v="123.52"/>
    <n v="0"/>
    <s v="735337"/>
    <s v="74110498128"/>
    <n v="411.77659999999997"/>
    <n v="0"/>
    <n v="77653"/>
  </r>
  <r>
    <x v="5"/>
    <m/>
    <s v="Smedegade 19"/>
    <n v="13961"/>
    <s v="0"/>
    <s v="Smedegade 19"/>
    <x v="30"/>
    <x v="0"/>
    <x v="0"/>
    <n v="66086"/>
    <n v="3"/>
    <s v="2014-11-04"/>
    <n v="0"/>
    <n v="214"/>
    <n v="19.014665999999998"/>
    <n v="1"/>
    <x v="4"/>
    <x v="1191"/>
    <n v="1021.86"/>
    <n v="0"/>
    <s v="1540873"/>
    <s v="5715151-980-0129757-3"/>
    <n v="376.94700999999998"/>
    <n v="0"/>
    <n v="92684"/>
  </r>
  <r>
    <x v="2"/>
    <m/>
    <s v="Driftsgården"/>
    <n v="10123"/>
    <m/>
    <s v="Bygning 3"/>
    <x v="11"/>
    <x v="0"/>
    <x v="7"/>
    <n v="46159.64"/>
    <n v="12"/>
    <s v="2010-11-30"/>
    <n v="0"/>
    <n v="1413"/>
    <n v="32.665514999999999"/>
    <n v="1"/>
    <x v="4"/>
    <x v="1192"/>
    <n v="12083.82"/>
    <n v="0"/>
    <s v="3101250"/>
    <s v="98004376794"/>
    <n v="4274.04"/>
    <n v="0"/>
    <n v="77798"/>
  </r>
  <r>
    <x v="5"/>
    <m/>
    <s v="Smedegade 19"/>
    <n v="13961"/>
    <s v="0"/>
    <s v="Smedegade 19"/>
    <x v="30"/>
    <x v="0"/>
    <x v="0"/>
    <n v="167"/>
    <m/>
    <m/>
    <m/>
    <n v="214"/>
    <m/>
    <n v="3"/>
    <x v="0"/>
    <x v="1079"/>
    <m/>
    <n v="0"/>
    <s v="46180"/>
    <m/>
    <m/>
    <n v="0"/>
    <n v="92681"/>
  </r>
  <r>
    <x v="5"/>
    <m/>
    <s v="Smedegade 19"/>
    <n v="13961"/>
    <s v="0"/>
    <s v="Smedegade 19"/>
    <x v="30"/>
    <x v="0"/>
    <x v="7"/>
    <n v="0.13"/>
    <n v="4"/>
    <s v="2014-12-10"/>
    <n v="0"/>
    <n v="214"/>
    <n v="6.0700000000000001E-4"/>
    <n v="3"/>
    <x v="0"/>
    <x v="1193"/>
    <n v="0.11"/>
    <n v="0"/>
    <s v="46180"/>
    <m/>
    <n v="0.13711999999999999"/>
    <n v="0"/>
    <n v="92681"/>
  </r>
  <r>
    <x v="5"/>
    <m/>
    <s v="Smedegade 19"/>
    <n v="13961"/>
    <s v="0"/>
    <s v="Smedegade 19"/>
    <x v="30"/>
    <x v="0"/>
    <x v="0"/>
    <n v="4979"/>
    <n v="3"/>
    <m/>
    <n v="0"/>
    <n v="214"/>
    <m/>
    <n v="2"/>
    <x v="2"/>
    <x v="1079"/>
    <m/>
    <n v="0"/>
    <s v="789021"/>
    <s v="74114320562"/>
    <m/>
    <n v="0"/>
    <n v="92680"/>
  </r>
  <r>
    <x v="5"/>
    <m/>
    <s v="Smedegade 19"/>
    <n v="13961"/>
    <s v="0"/>
    <s v="Smedegade 19"/>
    <x v="30"/>
    <x v="0"/>
    <x v="7"/>
    <n v="122.53"/>
    <n v="3"/>
    <s v="2014-11-04"/>
    <n v="0"/>
    <n v="214"/>
    <n v="0.57230199999999998"/>
    <n v="2"/>
    <x v="2"/>
    <x v="1194"/>
    <n v="36.75"/>
    <n v="0"/>
    <s v="789021"/>
    <s v="74114320562"/>
    <n v="122.53256"/>
    <n v="0"/>
    <n v="92680"/>
  </r>
  <r>
    <x v="5"/>
    <m/>
    <s v="Flygtnigebolig, Syvstjerne Vænge 10"/>
    <n v="9979"/>
    <m/>
    <s v="Børnehaven Syvstjernen"/>
    <x v="60"/>
    <x v="0"/>
    <x v="0"/>
    <n v="3515"/>
    <n v="1"/>
    <s v="2015-02-13"/>
    <n v="0"/>
    <n v="290"/>
    <n v="3.0581170000000002"/>
    <n v="2"/>
    <x v="2"/>
    <x v="1195"/>
    <n v="266.14"/>
    <n v="0"/>
    <m/>
    <s v="74110493246"/>
    <n v="887.16359"/>
    <n v="0"/>
    <n v="76411"/>
  </r>
  <r>
    <x v="5"/>
    <m/>
    <s v="Flygtnigebolig, Syvstjerne Vænge 10"/>
    <n v="9979"/>
    <m/>
    <s v="Børnehaven Syvstjernen"/>
    <x v="60"/>
    <x v="0"/>
    <x v="1"/>
    <n v="7530.55"/>
    <n v="0"/>
    <s v="2015-02-13"/>
    <n v="0"/>
    <n v="290"/>
    <n v="25.958462000000001"/>
    <n v="2"/>
    <x v="2"/>
    <x v="1172"/>
    <n v="2259.16"/>
    <n v="0"/>
    <m/>
    <s v="74110493246"/>
    <n v="7530.5746300000001"/>
    <n v="0"/>
    <n v="76411"/>
  </r>
  <r>
    <x v="5"/>
    <m/>
    <s v="Flygtnigebolig, Syvstjerne Vænge 10"/>
    <n v="9979"/>
    <m/>
    <s v="Børnehaven Syvstjernen"/>
    <x v="60"/>
    <x v="0"/>
    <x v="2"/>
    <n v="7551.18"/>
    <n v="0"/>
    <s v="2015-02-13"/>
    <n v="0"/>
    <n v="290"/>
    <n v="26.029575999999999"/>
    <n v="2"/>
    <x v="2"/>
    <x v="1196"/>
    <n v="3020.46"/>
    <n v="0"/>
    <m/>
    <s v="74110493246"/>
    <n v="7551.2063399999997"/>
    <n v="0"/>
    <n v="76411"/>
  </r>
  <r>
    <x v="5"/>
    <m/>
    <s v="Flygtnigebolig, Syvstjerne Vænge 10"/>
    <n v="9979"/>
    <m/>
    <s v="Børnehaven Syvstjernen"/>
    <x v="60"/>
    <x v="0"/>
    <x v="3"/>
    <n v="13218.23"/>
    <n v="3"/>
    <s v="2015-02-13"/>
    <n v="0"/>
    <n v="290"/>
    <n v="45.564391000000001"/>
    <n v="2"/>
    <x v="2"/>
    <x v="1197"/>
    <n v="6199.34"/>
    <n v="0"/>
    <m/>
    <s v="74110493246"/>
    <n v="13218.22265"/>
    <n v="0"/>
    <n v="76411"/>
  </r>
  <r>
    <x v="5"/>
    <m/>
    <s v="Flygtnigebolig, Syvstjerne Vænge 10"/>
    <n v="9979"/>
    <m/>
    <s v="Børnehaven Syvstjernen"/>
    <x v="60"/>
    <x v="0"/>
    <x v="4"/>
    <n v="3510.71"/>
    <n v="3"/>
    <s v="2015-02-13"/>
    <n v="0"/>
    <n v="290"/>
    <n v="12.101723"/>
    <n v="2"/>
    <x v="2"/>
    <x v="1198"/>
    <n v="1646.51"/>
    <n v="0"/>
    <m/>
    <s v="74110493246"/>
    <n v="3510.71569"/>
    <n v="0"/>
    <n v="76411"/>
  </r>
  <r>
    <x v="5"/>
    <m/>
    <s v="Flygtnigebolig, Syvstjerne Vænge 10"/>
    <n v="9979"/>
    <m/>
    <s v="Børnehaven Syvstjernen"/>
    <x v="60"/>
    <x v="0"/>
    <x v="5"/>
    <n v="4290.55"/>
    <n v="5"/>
    <s v="2015-02-13"/>
    <n v="0"/>
    <n v="290"/>
    <n v="14.789899999999999"/>
    <n v="2"/>
    <x v="2"/>
    <x v="1199"/>
    <n v="2012.28"/>
    <n v="0"/>
    <m/>
    <s v="74110493246"/>
    <n v="4290.5423600000004"/>
    <n v="0"/>
    <n v="76411"/>
  </r>
  <r>
    <x v="5"/>
    <m/>
    <s v="Flygtnigebolig, Syvstjerne Vænge 10"/>
    <n v="9979"/>
    <m/>
    <s v="Børnehaven Syvstjernen"/>
    <x v="60"/>
    <x v="0"/>
    <x v="6"/>
    <n v="7001.98"/>
    <n v="7"/>
    <s v="2015-02-13"/>
    <n v="0"/>
    <n v="290"/>
    <n v="24.136434999999999"/>
    <n v="2"/>
    <x v="2"/>
    <x v="1200"/>
    <n v="3283.93"/>
    <n v="0"/>
    <m/>
    <s v="74110493246"/>
    <n v="7001.9791599999999"/>
    <n v="0"/>
    <n v="76411"/>
  </r>
  <r>
    <x v="5"/>
    <m/>
    <s v="Kollekollevej 27 TOM"/>
    <n v="10271"/>
    <m/>
    <s v="Kollekollevej 27"/>
    <x v="32"/>
    <x v="0"/>
    <x v="0"/>
    <n v="1244"/>
    <n v="1"/>
    <s v="2015-02-12"/>
    <n v="0"/>
    <n v="123"/>
    <n v="1.3883829999999999"/>
    <n v="2"/>
    <x v="2"/>
    <x v="1201"/>
    <n v="51.27"/>
    <n v="0"/>
    <s v="735337"/>
    <s v="74110498128"/>
    <n v="170.91088999999999"/>
    <n v="0"/>
    <n v="77653"/>
  </r>
  <r>
    <x v="5"/>
    <m/>
    <s v="Kollekollevej 27 TOM"/>
    <n v="10271"/>
    <m/>
    <s v="Kollekollevej 27"/>
    <x v="32"/>
    <x v="0"/>
    <x v="1"/>
    <n v="1058.8800000000001"/>
    <n v="7"/>
    <s v="2015-02-12"/>
    <n v="0"/>
    <n v="123"/>
    <n v="8.6017869999999998"/>
    <n v="2"/>
    <x v="2"/>
    <x v="1202"/>
    <n v="317.67"/>
    <n v="0"/>
    <s v="735337"/>
    <s v="74110498128"/>
    <n v="1058.89048"/>
    <n v="0"/>
    <n v="77653"/>
  </r>
  <r>
    <x v="5"/>
    <m/>
    <s v="Kollekollevej 27 TOM"/>
    <n v="10271"/>
    <m/>
    <s v="Kollekollevej 27"/>
    <x v="32"/>
    <x v="0"/>
    <x v="2"/>
    <n v="2236.41"/>
    <n v="3"/>
    <s v="2015-02-12"/>
    <n v="0"/>
    <n v="123"/>
    <n v="18.167424"/>
    <n v="2"/>
    <x v="2"/>
    <x v="1203"/>
    <n v="894.55"/>
    <n v="0"/>
    <s v="735337"/>
    <s v="74110498128"/>
    <n v="2236.42202"/>
    <n v="0"/>
    <n v="77653"/>
  </r>
  <r>
    <x v="5"/>
    <m/>
    <s v="Kollekollevej 27 TOM"/>
    <n v="10271"/>
    <m/>
    <s v="Kollekollevej 27"/>
    <x v="32"/>
    <x v="0"/>
    <x v="3"/>
    <n v="2701.55"/>
    <n v="2"/>
    <s v="2015-02-12"/>
    <n v="0"/>
    <n v="123"/>
    <n v="21.945978"/>
    <n v="2"/>
    <x v="2"/>
    <x v="1204"/>
    <n v="1267.02"/>
    <n v="0"/>
    <s v="735337"/>
    <s v="74110498128"/>
    <n v="2701.55557"/>
    <n v="0"/>
    <n v="77653"/>
  </r>
  <r>
    <x v="5"/>
    <m/>
    <s v="Kollekollevej 27 TOM"/>
    <n v="10271"/>
    <m/>
    <s v="Kollekollevej 27"/>
    <x v="32"/>
    <x v="0"/>
    <x v="4"/>
    <n v="3605.69"/>
    <n v="4"/>
    <s v="2015-02-12"/>
    <n v="0"/>
    <n v="123"/>
    <n v="29.290738999999999"/>
    <n v="2"/>
    <x v="2"/>
    <x v="1205"/>
    <n v="1691.09"/>
    <n v="0"/>
    <s v="735337"/>
    <s v="74110498128"/>
    <n v="3605.69976"/>
    <n v="0"/>
    <n v="77653"/>
  </r>
  <r>
    <x v="5"/>
    <m/>
    <s v="Kollekollevej 27 TOM"/>
    <n v="10271"/>
    <m/>
    <s v="Kollekollevej 27"/>
    <x v="32"/>
    <x v="0"/>
    <x v="5"/>
    <n v="1626.98"/>
    <n v="3"/>
    <s v="2015-02-12"/>
    <n v="0"/>
    <n v="123"/>
    <n v="13.216734000000001"/>
    <n v="2"/>
    <x v="2"/>
    <x v="1206"/>
    <n v="763.05"/>
    <n v="0"/>
    <s v="735337"/>
    <s v="74110498128"/>
    <n v="1626.9754600000001"/>
    <n v="0"/>
    <n v="77653"/>
  </r>
  <r>
    <x v="5"/>
    <m/>
    <s v="Kollekollevej 27 TOM"/>
    <n v="10271"/>
    <m/>
    <s v="Kollekollevej 27"/>
    <x v="32"/>
    <x v="0"/>
    <x v="6"/>
    <n v="4827.3900000000003"/>
    <n v="2"/>
    <s v="2015-02-12"/>
    <n v="0"/>
    <n v="123"/>
    <n v="39.21519"/>
    <n v="2"/>
    <x v="2"/>
    <x v="1207"/>
    <n v="2264.0500000000002"/>
    <n v="0"/>
    <s v="735337"/>
    <s v="74110498128"/>
    <n v="4827.3867099999998"/>
    <n v="0"/>
    <n v="77653"/>
  </r>
  <r>
    <x v="5"/>
    <m/>
    <s v="Smedegade 19"/>
    <n v="13961"/>
    <s v="0"/>
    <s v="Smedegade 19"/>
    <x v="30"/>
    <x v="0"/>
    <x v="1"/>
    <n v="1219.8800000000001"/>
    <n v="3"/>
    <s v="2014-11-04"/>
    <n v="0"/>
    <n v="214"/>
    <n v="5.697711"/>
    <n v="2"/>
    <x v="2"/>
    <x v="1208"/>
    <n v="365.96"/>
    <n v="0"/>
    <s v="789021"/>
    <s v="74114320562"/>
    <n v="1219.86402"/>
    <n v="0"/>
    <n v="92680"/>
  </r>
  <r>
    <x v="5"/>
    <m/>
    <s v="Smedegade 19"/>
    <n v="13961"/>
    <s v="0"/>
    <s v="Smedegade 19"/>
    <x v="30"/>
    <x v="0"/>
    <x v="2"/>
    <n v="354.61"/>
    <n v="2"/>
    <s v="2014-11-04"/>
    <n v="0"/>
    <n v="214"/>
    <n v="1.656282"/>
    <n v="2"/>
    <x v="2"/>
    <x v="1209"/>
    <n v="141.84"/>
    <n v="0"/>
    <s v="789021"/>
    <s v="74114320562"/>
    <n v="354.60345000000001"/>
    <n v="0"/>
    <n v="92680"/>
  </r>
  <r>
    <x v="11"/>
    <m/>
    <s v="Annexgården"/>
    <n v="10256"/>
    <m/>
    <s v="Annexgården"/>
    <x v="62"/>
    <x v="0"/>
    <x v="7"/>
    <n v="83.83"/>
    <n v="10"/>
    <s v="2015-03-13"/>
    <n v="0"/>
    <n v="381"/>
    <n v="0.219968"/>
    <n v="3"/>
    <x v="0"/>
    <x v="1210"/>
    <n v="67.05"/>
    <n v="0"/>
    <s v="41439"/>
    <m/>
    <n v="83.826750000000004"/>
    <n v="0"/>
    <n v="77569"/>
  </r>
  <r>
    <x v="11"/>
    <m/>
    <s v="Annexgården"/>
    <n v="10256"/>
    <m/>
    <s v="Annexgården"/>
    <x v="62"/>
    <x v="0"/>
    <x v="7"/>
    <n v="10032.15"/>
    <n v="10"/>
    <s v="2015-05-04"/>
    <n v="0"/>
    <n v="381"/>
    <n v="26.324193000000001"/>
    <n v="2"/>
    <x v="2"/>
    <x v="1211"/>
    <n v="3009.66"/>
    <n v="0"/>
    <s v="60648"/>
    <s v="74110490979"/>
    <n v="10032.15357"/>
    <n v="0"/>
    <n v="77568"/>
  </r>
  <r>
    <x v="11"/>
    <m/>
    <s v="Annexgården"/>
    <n v="10256"/>
    <m/>
    <s v="Annexgården"/>
    <x v="62"/>
    <x v="0"/>
    <x v="7"/>
    <n v="40969.050000000003"/>
    <n v="12"/>
    <s v="2013-08-31"/>
    <n v="0"/>
    <n v="381"/>
    <n v="107.502099"/>
    <n v="1"/>
    <x v="5"/>
    <x v="1212"/>
    <n v="3204.46"/>
    <n v="0"/>
    <s v="2762361/2006"/>
    <m/>
    <n v="40.969050000000003"/>
    <n v="0"/>
    <n v="77615"/>
  </r>
  <r>
    <x v="11"/>
    <m/>
    <s v="Annexgården"/>
    <n v="10256"/>
    <m/>
    <s v="Annexgården"/>
    <x v="62"/>
    <x v="0"/>
    <x v="0"/>
    <n v="83"/>
    <n v="2"/>
    <s v="2015-03-13"/>
    <n v="0"/>
    <n v="381"/>
    <n v="4.6549E-2"/>
    <n v="3"/>
    <x v="0"/>
    <x v="1213"/>
    <n v="14.19"/>
    <n v="0"/>
    <s v="41439"/>
    <m/>
    <n v="17.744679999999999"/>
    <n v="0"/>
    <n v="77569"/>
  </r>
  <r>
    <x v="11"/>
    <m/>
    <s v="Annexgården"/>
    <n v="10256"/>
    <m/>
    <s v="Annexgården"/>
    <x v="62"/>
    <x v="0"/>
    <x v="0"/>
    <n v="0"/>
    <n v="3"/>
    <s v="2015-05-04"/>
    <n v="0"/>
    <n v="381"/>
    <n v="3.6762000000000003E-2"/>
    <n v="3"/>
    <x v="0"/>
    <x v="1214"/>
    <n v="0"/>
    <n v="0"/>
    <s v="115JA043867"/>
    <m/>
    <n v="14"/>
    <n v="0"/>
    <n v="97285"/>
  </r>
  <r>
    <x v="11"/>
    <m/>
    <s v="Annexgården"/>
    <n v="10256"/>
    <m/>
    <s v="Annexgården"/>
    <x v="62"/>
    <x v="0"/>
    <x v="1"/>
    <n v="99.39"/>
    <n v="10"/>
    <s v="2015-03-13"/>
    <n v="0"/>
    <n v="381"/>
    <n v="0.260797"/>
    <n v="3"/>
    <x v="0"/>
    <x v="1215"/>
    <n v="79.52"/>
    <n v="0"/>
    <s v="41439"/>
    <m/>
    <n v="99.396320000000003"/>
    <n v="0"/>
    <n v="77569"/>
  </r>
  <r>
    <x v="11"/>
    <m/>
    <s v="Annexgården"/>
    <n v="10256"/>
    <m/>
    <s v="Annexgården"/>
    <x v="62"/>
    <x v="0"/>
    <x v="2"/>
    <n v="86.21"/>
    <n v="11"/>
    <s v="2015-03-13"/>
    <n v="0"/>
    <n v="381"/>
    <n v="0.226213"/>
    <n v="3"/>
    <x v="0"/>
    <x v="1216"/>
    <n v="68.97"/>
    <n v="0"/>
    <s v="41439"/>
    <m/>
    <n v="86.210830000000001"/>
    <n v="0"/>
    <n v="77569"/>
  </r>
  <r>
    <x v="11"/>
    <m/>
    <s v="Annexgården"/>
    <n v="10256"/>
    <m/>
    <s v="Annexgården"/>
    <x v="62"/>
    <x v="0"/>
    <x v="3"/>
    <n v="78"/>
    <n v="8"/>
    <s v="2015-03-13"/>
    <n v="0"/>
    <n v="381"/>
    <n v="0.20466999999999999"/>
    <n v="3"/>
    <x v="0"/>
    <x v="1217"/>
    <n v="62.41"/>
    <n v="0"/>
    <s v="41439"/>
    <m/>
    <n v="78.003249999999994"/>
    <n v="0"/>
    <n v="77569"/>
  </r>
  <r>
    <x v="11"/>
    <m/>
    <s v="Annexgården"/>
    <n v="10256"/>
    <m/>
    <s v="Annexgården"/>
    <x v="62"/>
    <x v="0"/>
    <x v="4"/>
    <n v="37.08"/>
    <n v="12"/>
    <s v="2015-03-13"/>
    <n v="0"/>
    <n v="381"/>
    <n v="9.7296999999999995E-2"/>
    <n v="3"/>
    <x v="0"/>
    <x v="1218"/>
    <n v="29.67"/>
    <n v="0"/>
    <s v="41439"/>
    <m/>
    <n v="37.075319999999998"/>
    <n v="0"/>
    <n v="77569"/>
  </r>
  <r>
    <x v="11"/>
    <m/>
    <s v="Annexgården"/>
    <n v="10256"/>
    <m/>
    <s v="Annexgården"/>
    <x v="62"/>
    <x v="0"/>
    <x v="5"/>
    <n v="59.6"/>
    <n v="9"/>
    <s v="2015-03-13"/>
    <n v="0"/>
    <n v="381"/>
    <n v="0.156389"/>
    <n v="3"/>
    <x v="0"/>
    <x v="1219"/>
    <n v="47.67"/>
    <n v="0"/>
    <s v="41439"/>
    <m/>
    <n v="59.592309999999998"/>
    <n v="0"/>
    <n v="77569"/>
  </r>
  <r>
    <x v="11"/>
    <m/>
    <s v="Annexgården"/>
    <n v="10256"/>
    <m/>
    <s v="Annexgården"/>
    <x v="62"/>
    <x v="0"/>
    <x v="6"/>
    <n v="58.91"/>
    <n v="13"/>
    <s v="2015-03-13"/>
    <n v="0"/>
    <n v="381"/>
    <n v="0.15457799999999999"/>
    <n v="3"/>
    <x v="0"/>
    <x v="1220"/>
    <n v="47.12"/>
    <n v="0"/>
    <s v="41439"/>
    <m/>
    <n v="58.892470000000003"/>
    <n v="0"/>
    <n v="77569"/>
  </r>
  <r>
    <x v="11"/>
    <m/>
    <s v="Ellegården, Ladebygning, Stavnsholtvej 168"/>
    <n v="11351"/>
    <s v="0"/>
    <s v="Ellegården, Ladebygninger"/>
    <x v="63"/>
    <x v="0"/>
    <x v="0"/>
    <n v="114"/>
    <n v="5"/>
    <s v="2011-12-31"/>
    <n v="0"/>
    <n v="867"/>
    <n v="4.7248999999999999E-2"/>
    <n v="3"/>
    <x v="0"/>
    <x v="1221"/>
    <n v="32.770000000000003"/>
    <n v="0"/>
    <s v="99 aa 502451/10316346"/>
    <m/>
    <n v="40.966999999999999"/>
    <n v="0"/>
    <n v="80896"/>
  </r>
  <r>
    <x v="11"/>
    <m/>
    <s v="Ellegården, Ladebygning, Stavnsholtvej 168"/>
    <n v="11351"/>
    <s v="0"/>
    <s v="Ellegården, Ladebygninger"/>
    <x v="63"/>
    <x v="0"/>
    <x v="1"/>
    <n v="139.22999999999999"/>
    <n v="12"/>
    <s v="2011-12-31"/>
    <n v="0"/>
    <n v="867"/>
    <n v="0.16056899999999999"/>
    <n v="3"/>
    <x v="0"/>
    <x v="1222"/>
    <n v="111.38"/>
    <n v="0"/>
    <s v="99 aa 502451/10316346"/>
    <m/>
    <n v="139.22200000000001"/>
    <n v="0"/>
    <n v="80896"/>
  </r>
  <r>
    <x v="11"/>
    <m/>
    <s v="Ellegården, Ladebygning, Stavnsholtvej 168"/>
    <n v="11351"/>
    <s v="0"/>
    <s v="Ellegården, Ladebygninger"/>
    <x v="63"/>
    <x v="0"/>
    <x v="2"/>
    <n v="120.15"/>
    <n v="12"/>
    <s v="2011-12-31"/>
    <n v="0"/>
    <n v="867"/>
    <n v="0.13856499999999999"/>
    <n v="3"/>
    <x v="0"/>
    <x v="1223"/>
    <n v="96.14"/>
    <n v="0"/>
    <s v="99 aa 502451/10316346"/>
    <m/>
    <n v="120.15600000000001"/>
    <n v="0"/>
    <n v="80896"/>
  </r>
  <r>
    <x v="11"/>
    <m/>
    <s v="Ellegården, Ladebygning, Stavnsholtvej 168"/>
    <n v="11351"/>
    <s v="0"/>
    <s v="Ellegården, Ladebygninger"/>
    <x v="63"/>
    <x v="0"/>
    <x v="3"/>
    <n v="63.76"/>
    <n v="7"/>
    <s v="2011-12-31"/>
    <n v="0"/>
    <n v="867"/>
    <n v="7.3532E-2"/>
    <n v="3"/>
    <x v="0"/>
    <x v="1224"/>
    <n v="50.98"/>
    <n v="0"/>
    <s v="99 aa 502451/10316346"/>
    <m/>
    <n v="63.749989999999997"/>
    <n v="0"/>
    <n v="80896"/>
  </r>
  <r>
    <x v="11"/>
    <m/>
    <s v="Ellegården, Ladebygning, Stavnsholtvej 168"/>
    <n v="11351"/>
    <s v="0"/>
    <s v="Ellegården, Ladebygninger"/>
    <x v="63"/>
    <x v="0"/>
    <x v="4"/>
    <n v="120.43"/>
    <n v="4"/>
    <s v="2011-12-31"/>
    <n v="0"/>
    <n v="867"/>
    <n v="0.13888800000000001"/>
    <n v="3"/>
    <x v="0"/>
    <x v="1225"/>
    <n v="96.36"/>
    <n v="0"/>
    <s v="99 aa 502451/10316346"/>
    <m/>
    <n v="120.45"/>
    <n v="0"/>
    <n v="80896"/>
  </r>
  <r>
    <x v="11"/>
    <m/>
    <s v="Ellegården, Ladebygning, Stavnsholtvej 168"/>
    <n v="11351"/>
    <s v="0"/>
    <s v="Ellegården, Ladebygninger"/>
    <x v="63"/>
    <x v="0"/>
    <x v="5"/>
    <n v="143.84"/>
    <n v="4"/>
    <s v="2011-12-31"/>
    <n v="0"/>
    <n v="867"/>
    <n v="0.16588600000000001"/>
    <n v="3"/>
    <x v="0"/>
    <x v="1226"/>
    <n v="115.09"/>
    <n v="0"/>
    <s v="99 aa 502451/10316346"/>
    <m/>
    <n v="143.85714999999999"/>
    <n v="0"/>
    <n v="80896"/>
  </r>
  <r>
    <x v="11"/>
    <m/>
    <s v="Ellegården, Ladebygning, Stavnsholtvej 168"/>
    <n v="11351"/>
    <s v="0"/>
    <s v="Ellegården, Ladebygninger"/>
    <x v="63"/>
    <x v="0"/>
    <x v="6"/>
    <n v="202.08"/>
    <n v="1"/>
    <s v="2011-12-31"/>
    <n v="0"/>
    <n v="867"/>
    <n v="0.23305200000000001"/>
    <n v="3"/>
    <x v="0"/>
    <x v="1227"/>
    <n v="161.66"/>
    <n v="0"/>
    <s v="99 aa 502451/10316346"/>
    <m/>
    <n v="202.07489000000001"/>
    <n v="0"/>
    <n v="80896"/>
  </r>
  <r>
    <x v="11"/>
    <m/>
    <s v="Forsamlingshus, Smedegade 5"/>
    <n v="10205"/>
    <m/>
    <s v="Forsamlingshus, Smedegade 5"/>
    <x v="64"/>
    <x v="0"/>
    <x v="0"/>
    <n v="41"/>
    <n v="5"/>
    <s v="2013-11-30"/>
    <n v="0"/>
    <n v="314"/>
    <n v="4.6322000000000002E-2"/>
    <n v="3"/>
    <x v="0"/>
    <x v="1228"/>
    <n v="11.63"/>
    <n v="0"/>
    <s v="07/595852"/>
    <m/>
    <n v="14.55"/>
    <n v="0"/>
    <n v="77391"/>
  </r>
  <r>
    <x v="11"/>
    <m/>
    <s v="Forsamlingshus, Smedegade 5"/>
    <n v="10205"/>
    <m/>
    <s v="Forsamlingshus, Smedegade 5"/>
    <x v="64"/>
    <x v="0"/>
    <x v="1"/>
    <n v="45.74"/>
    <n v="8"/>
    <s v="2013-11-30"/>
    <n v="0"/>
    <n v="314"/>
    <n v="0.145622"/>
    <n v="3"/>
    <x v="0"/>
    <x v="1229"/>
    <n v="36.56"/>
    <n v="0"/>
    <s v="07/595852"/>
    <m/>
    <n v="45.735329999999998"/>
    <n v="0"/>
    <n v="77391"/>
  </r>
  <r>
    <x v="11"/>
    <m/>
    <s v="Forsamlingshus, Smedegade 5"/>
    <n v="10205"/>
    <m/>
    <s v="Forsamlingshus, Smedegade 5"/>
    <x v="64"/>
    <x v="0"/>
    <x v="2"/>
    <n v="44.12"/>
    <n v="8"/>
    <s v="2013-11-30"/>
    <n v="0"/>
    <n v="314"/>
    <n v="0.14046400000000001"/>
    <n v="3"/>
    <x v="0"/>
    <x v="1230"/>
    <n v="35.299999999999997"/>
    <n v="0"/>
    <s v="07/595852"/>
    <m/>
    <n v="44.121200000000002"/>
    <n v="0"/>
    <n v="77391"/>
  </r>
  <r>
    <x v="11"/>
    <m/>
    <s v="Forsamlingshus, Smedegade 5"/>
    <n v="10205"/>
    <m/>
    <s v="Forsamlingshus, Smedegade 5"/>
    <x v="64"/>
    <x v="0"/>
    <x v="3"/>
    <n v="37.950000000000003"/>
    <n v="5"/>
    <s v="2013-11-30"/>
    <n v="0"/>
    <n v="314"/>
    <n v="0.120821"/>
    <n v="3"/>
    <x v="0"/>
    <x v="1231"/>
    <n v="30.37"/>
    <n v="0"/>
    <s v="07/595852"/>
    <m/>
    <n v="37.954999999999998"/>
    <n v="0"/>
    <n v="77391"/>
  </r>
  <r>
    <x v="11"/>
    <m/>
    <s v="Forsamlingshus, Smedegade 5"/>
    <n v="10205"/>
    <m/>
    <s v="Forsamlingshus, Smedegade 5"/>
    <x v="64"/>
    <x v="0"/>
    <x v="4"/>
    <n v="44.05"/>
    <n v="2"/>
    <s v="2013-11-30"/>
    <n v="0"/>
    <n v="314"/>
    <n v="0.140241"/>
    <n v="3"/>
    <x v="0"/>
    <x v="1232"/>
    <n v="35.200000000000003"/>
    <n v="0"/>
    <s v="07/595852"/>
    <m/>
    <n v="44.021529999999998"/>
    <n v="0"/>
    <n v="77391"/>
  </r>
  <r>
    <x v="11"/>
    <m/>
    <s v="Forsamlingshus, Smedegade 5"/>
    <n v="10205"/>
    <m/>
    <s v="Forsamlingshus, Smedegade 5"/>
    <x v="64"/>
    <x v="0"/>
    <x v="5"/>
    <n v="56.15"/>
    <n v="6"/>
    <s v="2013-11-30"/>
    <n v="0"/>
    <n v="314"/>
    <n v="0.17876400000000001"/>
    <n v="3"/>
    <x v="0"/>
    <x v="1233"/>
    <n v="44.95"/>
    <n v="0"/>
    <s v="07/595852"/>
    <m/>
    <n v="56.167879999999997"/>
    <n v="0"/>
    <n v="77391"/>
  </r>
  <r>
    <x v="11"/>
    <m/>
    <s v="Forsamlingshus, Smedegade 5"/>
    <n v="10205"/>
    <m/>
    <s v="Forsamlingshus, Smedegade 5"/>
    <x v="64"/>
    <x v="0"/>
    <x v="6"/>
    <n v="60.75"/>
    <n v="4"/>
    <s v="2013-11-30"/>
    <n v="0"/>
    <n v="314"/>
    <n v="0.193409"/>
    <n v="3"/>
    <x v="0"/>
    <x v="1234"/>
    <n v="48.57"/>
    <n v="0"/>
    <s v="07/595852"/>
    <m/>
    <n v="60.736249999999998"/>
    <n v="0"/>
    <n v="77391"/>
  </r>
  <r>
    <x v="11"/>
    <s v="11867"/>
    <s v="Hovedvagten Kasernebygning"/>
    <n v="13661"/>
    <s v="0"/>
    <s v="Hovedvagten Kasernebygning"/>
    <x v="65"/>
    <x v="0"/>
    <x v="0"/>
    <n v="6"/>
    <n v="5"/>
    <s v="2013-11-30"/>
    <n v="0"/>
    <n v="307"/>
    <n v="1.0485E-2"/>
    <n v="3"/>
    <x v="0"/>
    <x v="1235"/>
    <n v="2.58"/>
    <n v="0"/>
    <m/>
    <m/>
    <n v="3.2210000000000001"/>
    <n v="0"/>
    <n v="91250"/>
  </r>
  <r>
    <x v="11"/>
    <s v="11867"/>
    <s v="Hovedvagten Kasernebygning"/>
    <n v="13661"/>
    <s v="0"/>
    <s v="Hovedvagten Kasernebygning"/>
    <x v="65"/>
    <x v="0"/>
    <x v="1"/>
    <n v="35.979999999999997"/>
    <n v="6"/>
    <s v="2013-11-30"/>
    <n v="0"/>
    <n v="307"/>
    <n v="0.11716"/>
    <n v="3"/>
    <x v="0"/>
    <x v="1236"/>
    <n v="28.79"/>
    <n v="0"/>
    <m/>
    <m/>
    <n v="35.984439999999999"/>
    <n v="0"/>
    <n v="91250"/>
  </r>
  <r>
    <x v="11"/>
    <s v="11867"/>
    <s v="Hovedvagten Kasernebygning"/>
    <n v="13661"/>
    <s v="0"/>
    <s v="Hovedvagten Kasernebygning"/>
    <x v="65"/>
    <x v="0"/>
    <x v="2"/>
    <n v="0.41"/>
    <n v="1"/>
    <s v="2013-11-30"/>
    <n v="0"/>
    <n v="307"/>
    <n v="1.335E-3"/>
    <n v="3"/>
    <x v="0"/>
    <x v="1237"/>
    <n v="0.33"/>
    <n v="0"/>
    <m/>
    <m/>
    <n v="0.40856999999999999"/>
    <n v="0"/>
    <n v="91250"/>
  </r>
  <r>
    <x v="11"/>
    <m/>
    <s v="Jonstruphus -Jonstrupvangvej 159"/>
    <n v="10206"/>
    <m/>
    <s v="Jonstruphus"/>
    <x v="66"/>
    <x v="0"/>
    <x v="0"/>
    <n v="1371"/>
    <n v="5"/>
    <s v="2011-09-30"/>
    <n v="0"/>
    <n v="439"/>
    <n v="9.9475999999999995E-2"/>
    <n v="3"/>
    <x v="0"/>
    <x v="1238"/>
    <n v="34.94"/>
    <n v="0"/>
    <s v="00PC500647"/>
    <m/>
    <n v="43.676000000000002"/>
    <n v="0"/>
    <n v="77394"/>
  </r>
  <r>
    <x v="11"/>
    <m/>
    <s v="Jonstruphus -Jonstrupvangvej 159"/>
    <n v="10206"/>
    <m/>
    <s v="Jonstruphus"/>
    <x v="66"/>
    <x v="0"/>
    <x v="1"/>
    <n v="128.55000000000001"/>
    <n v="12"/>
    <s v="2011-09-30"/>
    <n v="0"/>
    <n v="439"/>
    <n v="0.29275699999999999"/>
    <n v="3"/>
    <x v="0"/>
    <x v="1239"/>
    <n v="102.87"/>
    <n v="0"/>
    <s v="00PC500647"/>
    <m/>
    <n v="128.565"/>
    <n v="0"/>
    <n v="77394"/>
  </r>
  <r>
    <x v="11"/>
    <m/>
    <s v="Jonstruphus -Jonstrupvangvej 159"/>
    <n v="10206"/>
    <m/>
    <s v="Jonstruphus"/>
    <x v="66"/>
    <x v="0"/>
    <x v="1"/>
    <n v="37.26"/>
    <n v="3"/>
    <s v="2014-11-24"/>
    <n v="0"/>
    <n v="439"/>
    <n v="8.4855E-2"/>
    <n v="3"/>
    <x v="0"/>
    <x v="1240"/>
    <n v="29.83"/>
    <n v="0"/>
    <s v="BI Varmt vand"/>
    <m/>
    <n v="37.273969999999998"/>
    <n v="0"/>
    <n v="93708"/>
  </r>
  <r>
    <x v="11"/>
    <m/>
    <s v="Jonstruphus -Jonstrupvangvej 159"/>
    <n v="10206"/>
    <m/>
    <s v="Jonstruphus"/>
    <x v="66"/>
    <x v="0"/>
    <x v="2"/>
    <n v="130.84"/>
    <n v="12"/>
    <s v="2011-09-30"/>
    <n v="0"/>
    <n v="439"/>
    <n v="0.29797299999999999"/>
    <n v="3"/>
    <x v="0"/>
    <x v="1241"/>
    <n v="104.68"/>
    <n v="0"/>
    <s v="00PC500647"/>
    <m/>
    <n v="130.846"/>
    <n v="0"/>
    <n v="77394"/>
  </r>
  <r>
    <x v="11"/>
    <m/>
    <s v="Jonstruphus -Jonstrupvangvej 159"/>
    <n v="10206"/>
    <m/>
    <s v="Jonstruphus"/>
    <x v="66"/>
    <x v="0"/>
    <x v="3"/>
    <n v="181.05"/>
    <n v="9"/>
    <s v="2011-09-30"/>
    <n v="0"/>
    <n v="439"/>
    <n v="0.41232000000000002"/>
    <n v="3"/>
    <x v="0"/>
    <x v="1242"/>
    <n v="144.85"/>
    <n v="0"/>
    <s v="00PC500647"/>
    <m/>
    <n v="181.05758"/>
    <n v="0"/>
    <n v="77394"/>
  </r>
  <r>
    <x v="11"/>
    <m/>
    <s v="Jonstruphus -Jonstrupvangvej 159"/>
    <n v="10206"/>
    <m/>
    <s v="Jonstruphus"/>
    <x v="66"/>
    <x v="0"/>
    <x v="4"/>
    <n v="152.75"/>
    <n v="2"/>
    <s v="2011-09-30"/>
    <n v="0"/>
    <n v="439"/>
    <n v="0.34787000000000001"/>
    <n v="3"/>
    <x v="0"/>
    <x v="1243"/>
    <n v="122.22"/>
    <n v="0"/>
    <s v="00PC500647"/>
    <m/>
    <n v="152.76292000000001"/>
    <n v="0"/>
    <n v="77394"/>
  </r>
  <r>
    <x v="11"/>
    <m/>
    <s v="Jonstruphus -Jonstrupvangvej 159"/>
    <n v="10206"/>
    <m/>
    <s v="Jonstruphus"/>
    <x v="66"/>
    <x v="0"/>
    <x v="5"/>
    <n v="210.92"/>
    <n v="4"/>
    <s v="2011-09-30"/>
    <n v="0"/>
    <n v="439"/>
    <n v="0.480346"/>
    <n v="3"/>
    <x v="0"/>
    <x v="1244"/>
    <n v="168.74"/>
    <n v="0"/>
    <s v="00PC500647"/>
    <m/>
    <n v="210.91839999999999"/>
    <n v="0"/>
    <n v="77394"/>
  </r>
  <r>
    <x v="11"/>
    <m/>
    <s v="Jonstruphus -Jonstrupvangvej 159"/>
    <n v="10206"/>
    <m/>
    <s v="Jonstruphus"/>
    <x v="66"/>
    <x v="0"/>
    <x v="6"/>
    <n v="233.09"/>
    <n v="4"/>
    <s v="2011-09-30"/>
    <n v="0"/>
    <n v="439"/>
    <n v="0.53083499999999995"/>
    <n v="3"/>
    <x v="0"/>
    <x v="1245"/>
    <n v="186.48"/>
    <n v="0"/>
    <s v="00PC500647"/>
    <m/>
    <n v="233.10990000000001"/>
    <n v="0"/>
    <n v="77394"/>
  </r>
  <r>
    <x v="11"/>
    <m/>
    <s v="Rørmosen Haveforening, RØR 4"/>
    <n v="14003"/>
    <s v="0"/>
    <s v="Rørmosen Haveforening, Rørmose 4"/>
    <x v="67"/>
    <x v="0"/>
    <x v="0"/>
    <n v="87"/>
    <n v="1"/>
    <s v="2015-02-11"/>
    <n v="0"/>
    <n v="50"/>
    <n v="3.4131000000000002E-2"/>
    <n v="3"/>
    <x v="0"/>
    <x v="1246"/>
    <n v="1.36"/>
    <n v="0"/>
    <s v="316302"/>
    <m/>
    <n v="1.70834"/>
    <n v="0"/>
    <n v="93000"/>
  </r>
  <r>
    <x v="11"/>
    <m/>
    <s v="Rørmosen Haveforening, RØR 4"/>
    <n v="14003"/>
    <s v="0"/>
    <s v="Rørmosen Haveforening, Rørmose 4"/>
    <x v="67"/>
    <x v="0"/>
    <x v="1"/>
    <n v="131"/>
    <n v="4"/>
    <s v="2015-02-11"/>
    <n v="0"/>
    <n v="50"/>
    <n v="2.61477"/>
    <n v="3"/>
    <x v="0"/>
    <x v="1247"/>
    <n v="104.82"/>
    <n v="0"/>
    <s v="316302"/>
    <m/>
    <n v="131.02424999999999"/>
    <n v="0"/>
    <n v="93000"/>
  </r>
  <r>
    <x v="11"/>
    <m/>
    <s v="Ellegården, Ladebygning, Stavnsholtvej 168"/>
    <n v="11351"/>
    <s v="0"/>
    <s v="Ellegården, Ladebygninger"/>
    <x v="63"/>
    <x v="0"/>
    <x v="7"/>
    <n v="123.27"/>
    <n v="12"/>
    <s v="2011-12-31"/>
    <n v="0"/>
    <n v="867"/>
    <n v="0.14216300000000001"/>
    <n v="3"/>
    <x v="0"/>
    <x v="1248"/>
    <n v="98.61"/>
    <n v="0"/>
    <s v="99 aa 502451/10316346"/>
    <m/>
    <n v="123.267"/>
    <n v="0"/>
    <n v="80896"/>
  </r>
  <r>
    <x v="11"/>
    <m/>
    <s v="Annexgården"/>
    <n v="10256"/>
    <m/>
    <s v="Annexgården"/>
    <x v="62"/>
    <x v="0"/>
    <x v="1"/>
    <n v="10227.129999999999"/>
    <n v="10"/>
    <s v="2015-05-04"/>
    <n v="0"/>
    <n v="381"/>
    <n v="26.835816999999999"/>
    <n v="2"/>
    <x v="2"/>
    <x v="1249"/>
    <n v="3068.13"/>
    <n v="0"/>
    <s v="60648"/>
    <s v="74110490979"/>
    <n v="10227.105170000001"/>
    <n v="0"/>
    <n v="77568"/>
  </r>
  <r>
    <x v="11"/>
    <m/>
    <s v="Ellegården, Ladebygning, Stavnsholtvej 168"/>
    <n v="11351"/>
    <s v="0"/>
    <s v="Ellegården, Ladebygninger"/>
    <x v="63"/>
    <x v="0"/>
    <x v="7"/>
    <n v="17297.95"/>
    <n v="12"/>
    <s v="2011-12-31"/>
    <n v="0"/>
    <n v="867"/>
    <n v="19.949197999999999"/>
    <n v="2"/>
    <x v="2"/>
    <x v="1250"/>
    <n v="5189.37"/>
    <n v="0"/>
    <s v="72027-34017"/>
    <m/>
    <n v="17297.963"/>
    <n v="0"/>
    <n v="80895"/>
  </r>
  <r>
    <x v="3"/>
    <m/>
    <s v="Børnehuset Åkanden / Skovbo Skovbovænget 75"/>
    <n v="9977"/>
    <m/>
    <s v="Åkanden/Skovbo"/>
    <x v="23"/>
    <x v="0"/>
    <x v="7"/>
    <n v="48687.51"/>
    <n v="12"/>
    <s v="2010-09-30"/>
    <n v="0"/>
    <n v="487"/>
    <n v="99.953828000000001"/>
    <n v="1"/>
    <x v="6"/>
    <x v="1251"/>
    <n v="11813.34"/>
    <n v="0"/>
    <s v="1170668"/>
    <s v="98004724939"/>
    <n v="4347.09998"/>
    <n v="0"/>
    <n v="76406"/>
  </r>
  <r>
    <x v="11"/>
    <m/>
    <s v="Forsamlingshus, Smedegade 5"/>
    <n v="10205"/>
    <m/>
    <s v="Forsamlingshus, Smedegade 5"/>
    <x v="64"/>
    <x v="0"/>
    <x v="7"/>
    <n v="49.37"/>
    <n v="12"/>
    <s v="2013-11-30"/>
    <n v="0"/>
    <n v="314"/>
    <n v="0.15717900000000001"/>
    <n v="3"/>
    <x v="0"/>
    <x v="1252"/>
    <n v="39.479999999999997"/>
    <n v="0"/>
    <s v="07/595852"/>
    <m/>
    <n v="49.36"/>
    <n v="0"/>
    <n v="77391"/>
  </r>
  <r>
    <x v="11"/>
    <m/>
    <s v="Ellegården, Ladebygning, Stavnsholtvej 168"/>
    <n v="11351"/>
    <s v="0"/>
    <s v="Ellegården, Ladebygninger"/>
    <x v="63"/>
    <x v="0"/>
    <x v="7"/>
    <n v="120.87"/>
    <n v="12"/>
    <s v="2011-12-31"/>
    <n v="0"/>
    <n v="867"/>
    <n v="0.13939499999999999"/>
    <n v="2"/>
    <x v="2"/>
    <x v="1253"/>
    <n v="36.26"/>
    <n v="0"/>
    <s v="Køkken / 4120909"/>
    <s v="74112260112"/>
    <n v="120.867"/>
    <n v="0"/>
    <n v="80929"/>
  </r>
  <r>
    <x v="3"/>
    <s v="004757-0"/>
    <s v="Bifrost Nordtoftevej 56c"/>
    <n v="5251"/>
    <m/>
    <s v="Bifrost"/>
    <x v="18"/>
    <x v="0"/>
    <x v="7"/>
    <n v="48871.33"/>
    <n v="10"/>
    <s v="2014-04-30"/>
    <n v="0"/>
    <n v="375"/>
    <n v="130.288802"/>
    <n v="1"/>
    <x v="4"/>
    <x v="1254"/>
    <n v="12300.93"/>
    <n v="0"/>
    <s v="1203721"/>
    <s v="98004825483"/>
    <n v="4525.1225599999998"/>
    <n v="0"/>
    <n v="56681"/>
  </r>
  <r>
    <x v="11"/>
    <m/>
    <s v="Annexgården"/>
    <n v="10256"/>
    <m/>
    <s v="Annexgården"/>
    <x v="62"/>
    <x v="0"/>
    <x v="0"/>
    <n v="43448"/>
    <n v="5"/>
    <s v="2013-08-31"/>
    <n v="0"/>
    <n v="381"/>
    <n v="68.981893999999997"/>
    <n v="1"/>
    <x v="5"/>
    <x v="1255"/>
    <n v="1925.96"/>
    <n v="0"/>
    <s v="2762361/2006"/>
    <m/>
    <n v="26.289000000000001"/>
    <n v="0"/>
    <n v="77615"/>
  </r>
  <r>
    <x v="11"/>
    <m/>
    <s v="Annexgården"/>
    <n v="10256"/>
    <m/>
    <s v="Annexgården"/>
    <x v="62"/>
    <x v="0"/>
    <x v="1"/>
    <n v="52650.42"/>
    <n v="11"/>
    <s v="2013-08-31"/>
    <n v="0"/>
    <n v="381"/>
    <n v="138.153817"/>
    <n v="1"/>
    <x v="5"/>
    <x v="1256"/>
    <n v="3492.32"/>
    <n v="0"/>
    <s v="2762361/2006"/>
    <m/>
    <n v="52.650419999999997"/>
    <n v="0"/>
    <n v="77615"/>
  </r>
  <r>
    <x v="11"/>
    <m/>
    <s v="Annexgården"/>
    <n v="10256"/>
    <m/>
    <s v="Annexgården"/>
    <x v="62"/>
    <x v="0"/>
    <x v="2"/>
    <n v="54812.06"/>
    <n v="10"/>
    <s v="2013-08-31"/>
    <n v="0"/>
    <n v="381"/>
    <n v="143.82592399999999"/>
    <n v="1"/>
    <x v="5"/>
    <x v="1257"/>
    <n v="10872.52"/>
    <n v="0"/>
    <s v="2762361/2006"/>
    <m/>
    <n v="54.812060000000002"/>
    <n v="0"/>
    <n v="77615"/>
  </r>
  <r>
    <x v="11"/>
    <m/>
    <s v="Annexgården"/>
    <n v="10256"/>
    <m/>
    <s v="Annexgården"/>
    <x v="62"/>
    <x v="0"/>
    <x v="3"/>
    <n v="54706.74"/>
    <n v="8"/>
    <s v="2013-08-31"/>
    <n v="0"/>
    <n v="381"/>
    <n v="143.549567"/>
    <n v="1"/>
    <x v="5"/>
    <x v="1258"/>
    <n v="12100.95"/>
    <n v="0"/>
    <s v="2762361/2006"/>
    <m/>
    <n v="54.706740000000003"/>
    <n v="0"/>
    <n v="77615"/>
  </r>
  <r>
    <x v="11"/>
    <m/>
    <s v="Annexgården"/>
    <n v="10256"/>
    <m/>
    <s v="Annexgården"/>
    <x v="62"/>
    <x v="0"/>
    <x v="4"/>
    <n v="68009.72"/>
    <n v="12"/>
    <s v="2013-08-31"/>
    <n v="0"/>
    <n v="381"/>
    <n v="178.45636300000001"/>
    <n v="1"/>
    <x v="5"/>
    <x v="1259"/>
    <n v="11345.82"/>
    <n v="0"/>
    <s v="2762361/2006"/>
    <m/>
    <n v="68.009720000000002"/>
    <n v="0"/>
    <n v="77615"/>
  </r>
  <r>
    <x v="11"/>
    <m/>
    <s v="Annexgården"/>
    <n v="10256"/>
    <m/>
    <s v="Annexgården"/>
    <x v="62"/>
    <x v="0"/>
    <x v="5"/>
    <n v="55225.74"/>
    <n v="12"/>
    <s v="2013-08-31"/>
    <n v="0"/>
    <n v="381"/>
    <n v="144.91141400000001"/>
    <n v="1"/>
    <x v="5"/>
    <x v="1260"/>
    <n v="10994.7"/>
    <n v="0"/>
    <s v="2762361/2006"/>
    <m/>
    <n v="55.225740000000002"/>
    <n v="0"/>
    <n v="77615"/>
  </r>
  <r>
    <x v="11"/>
    <m/>
    <s v="Annexgården"/>
    <n v="10256"/>
    <m/>
    <s v="Annexgården"/>
    <x v="62"/>
    <x v="0"/>
    <x v="6"/>
    <n v="52664.46"/>
    <n v="13"/>
    <s v="2013-08-31"/>
    <n v="0"/>
    <n v="381"/>
    <n v="138.19065800000001"/>
    <n v="1"/>
    <x v="5"/>
    <x v="1261"/>
    <n v="11555.32"/>
    <n v="0"/>
    <s v="2762361/2006"/>
    <m/>
    <n v="52.664459999999998"/>
    <n v="0"/>
    <n v="77615"/>
  </r>
  <r>
    <x v="11"/>
    <m/>
    <s v="Ellegården, Ladebygning, Stavnsholtvej 168"/>
    <n v="11351"/>
    <s v="0"/>
    <s v="Ellegården, Ladebygninger"/>
    <x v="63"/>
    <x v="0"/>
    <x v="0"/>
    <n v="75733"/>
    <n v="5"/>
    <s v="2011-12-31"/>
    <n v="0"/>
    <n v="867"/>
    <n v="42.000069000000003"/>
    <n v="1"/>
    <x v="4"/>
    <x v="1262"/>
    <n v="8872.0499999999993"/>
    <n v="0"/>
    <s v="1203600"/>
    <s v="98004815958"/>
    <n v="3372.0605"/>
    <n v="0"/>
    <n v="80928"/>
  </r>
  <r>
    <x v="11"/>
    <m/>
    <s v="Ellegården, Ladebygning, Stavnsholtvej 168"/>
    <n v="11351"/>
    <s v="0"/>
    <s v="Ellegården, Ladebygninger"/>
    <x v="63"/>
    <x v="0"/>
    <x v="1"/>
    <n v="82409.09"/>
    <n v="12"/>
    <s v="2011-12-31"/>
    <n v="0"/>
    <n v="867"/>
    <n v="95.039890999999997"/>
    <n v="1"/>
    <x v="4"/>
    <x v="1263"/>
    <n v="19232.87"/>
    <n v="0"/>
    <s v="1203600"/>
    <s v="98004815958"/>
    <n v="7630.4704000000002"/>
    <n v="0"/>
    <n v="80928"/>
  </r>
  <r>
    <x v="11"/>
    <m/>
    <s v="Ellegården, Ladebygning, Stavnsholtvej 168"/>
    <n v="11351"/>
    <s v="0"/>
    <s v="Ellegården, Ladebygninger"/>
    <x v="63"/>
    <x v="0"/>
    <x v="2"/>
    <n v="84818.68"/>
    <n v="12"/>
    <s v="2011-12-31"/>
    <n v="0"/>
    <n v="867"/>
    <n v="97.818798000000001"/>
    <n v="1"/>
    <x v="4"/>
    <x v="1264"/>
    <n v="19088.900000000001"/>
    <n v="0"/>
    <s v="1203600"/>
    <s v="98004815958"/>
    <n v="7853.58"/>
    <n v="0"/>
    <n v="80928"/>
  </r>
  <r>
    <x v="11"/>
    <m/>
    <s v="Ellegården, Ladebygning, Stavnsholtvej 168"/>
    <n v="11351"/>
    <s v="0"/>
    <s v="Ellegården, Ladebygninger"/>
    <x v="63"/>
    <x v="0"/>
    <x v="3"/>
    <n v="81746.960000000006"/>
    <n v="5"/>
    <s v="2011-12-31"/>
    <n v="0"/>
    <n v="867"/>
    <n v="94.276276999999993"/>
    <n v="1"/>
    <x v="4"/>
    <x v="1265"/>
    <n v="19869.419999999998"/>
    <n v="0"/>
    <s v="1203600"/>
    <s v="98004815958"/>
    <n v="7569.1636500000004"/>
    <n v="0"/>
    <n v="80928"/>
  </r>
  <r>
    <x v="11"/>
    <m/>
    <s v="Ellegården, Ladebygning, Stavnsholtvej 168"/>
    <n v="11351"/>
    <s v="0"/>
    <s v="Ellegården, Ladebygninger"/>
    <x v="63"/>
    <x v="0"/>
    <x v="4"/>
    <n v="89029.14"/>
    <n v="4"/>
    <s v="2011-12-31"/>
    <n v="0"/>
    <n v="867"/>
    <n v="102.674593"/>
    <n v="1"/>
    <x v="4"/>
    <x v="1266"/>
    <n v="24057.39"/>
    <n v="0"/>
    <s v="1203600"/>
    <s v="98004815958"/>
    <n v="8243.4392399999997"/>
    <n v="0"/>
    <n v="80928"/>
  </r>
  <r>
    <x v="11"/>
    <m/>
    <s v="Ellegården, Ladebygning, Stavnsholtvej 168"/>
    <n v="11351"/>
    <s v="0"/>
    <s v="Ellegården, Ladebygninger"/>
    <x v="63"/>
    <x v="0"/>
    <x v="5"/>
    <n v="88598.07"/>
    <n v="4"/>
    <s v="2011-12-31"/>
    <n v="0"/>
    <n v="867"/>
    <n v="102.177453"/>
    <n v="1"/>
    <x v="4"/>
    <x v="1267"/>
    <n v="27863.48"/>
    <n v="0"/>
    <s v="1203600"/>
    <s v="98004815958"/>
    <n v="8203.5221099999999"/>
    <n v="0"/>
    <n v="80928"/>
  </r>
  <r>
    <x v="11"/>
    <m/>
    <s v="Ellegården, Ladebygning, Stavnsholtvej 168"/>
    <n v="11351"/>
    <s v="0"/>
    <s v="Ellegården, Ladebygninger"/>
    <x v="63"/>
    <x v="0"/>
    <x v="6"/>
    <n v="71589.52"/>
    <n v="1"/>
    <s v="2011-12-31"/>
    <n v="0"/>
    <n v="867"/>
    <n v="82.562010999999998"/>
    <n v="1"/>
    <x v="4"/>
    <x v="1268"/>
    <n v="19959.87"/>
    <n v="0"/>
    <s v="1203600"/>
    <s v="98004815958"/>
    <n v="6628.6584300000004"/>
    <n v="0"/>
    <n v="80928"/>
  </r>
  <r>
    <x v="11"/>
    <m/>
    <s v="Forsamlingshus, Smedegade 5"/>
    <n v="10205"/>
    <m/>
    <s v="Forsamlingshus, Smedegade 5"/>
    <x v="64"/>
    <x v="0"/>
    <x v="0"/>
    <n v="49234"/>
    <n v="5"/>
    <s v="2013-11-30"/>
    <n v="0"/>
    <n v="314"/>
    <n v="101.36497900000001"/>
    <n v="1"/>
    <x v="4"/>
    <x v="1269"/>
    <n v="7632.49"/>
    <n v="0"/>
    <s v="1604655"/>
    <s v="98001297474"/>
    <n v="2948.0317"/>
    <n v="0"/>
    <n v="77392"/>
  </r>
  <r>
    <x v="11"/>
    <m/>
    <s v="Forsamlingshus, Smedegade 5"/>
    <n v="10205"/>
    <m/>
    <s v="Forsamlingshus, Smedegade 5"/>
    <x v="64"/>
    <x v="0"/>
    <x v="1"/>
    <n v="51431.47"/>
    <n v="8"/>
    <s v="2013-11-30"/>
    <n v="0"/>
    <n v="314"/>
    <n v="163.74234300000001"/>
    <n v="1"/>
    <x v="4"/>
    <x v="1270"/>
    <n v="11471.3"/>
    <n v="0"/>
    <s v="1604655"/>
    <s v="98001297474"/>
    <n v="4762.1735399999998"/>
    <n v="0"/>
    <n v="77392"/>
  </r>
  <r>
    <x v="11"/>
    <m/>
    <s v="Forsamlingshus, Smedegade 5"/>
    <n v="10205"/>
    <m/>
    <s v="Forsamlingshus, Smedegade 5"/>
    <x v="64"/>
    <x v="0"/>
    <x v="2"/>
    <n v="55453.11"/>
    <n v="6"/>
    <s v="2013-11-30"/>
    <n v="0"/>
    <n v="314"/>
    <n v="176.54603599999999"/>
    <n v="1"/>
    <x v="4"/>
    <x v="1271"/>
    <n v="12227.69"/>
    <n v="0"/>
    <s v="1604655"/>
    <s v="98001297474"/>
    <n v="5134.5476699999999"/>
    <n v="0"/>
    <n v="77392"/>
  </r>
  <r>
    <x v="11"/>
    <m/>
    <s v="Forsamlingshus, Smedegade 5"/>
    <n v="10205"/>
    <m/>
    <s v="Forsamlingshus, Smedegade 5"/>
    <x v="64"/>
    <x v="0"/>
    <x v="3"/>
    <n v="50881.31"/>
    <n v="3"/>
    <s v="2013-11-30"/>
    <n v="0"/>
    <n v="314"/>
    <n v="161.99079900000001"/>
    <n v="1"/>
    <x v="4"/>
    <x v="1272"/>
    <n v="12812.39"/>
    <n v="0"/>
    <s v="1604655"/>
    <s v="98001297474"/>
    <n v="4711.2312300000003"/>
    <n v="0"/>
    <n v="77392"/>
  </r>
  <r>
    <x v="11"/>
    <m/>
    <s v="Forsamlingshus, Smedegade 5"/>
    <n v="10205"/>
    <m/>
    <s v="Forsamlingshus, Smedegade 5"/>
    <x v="64"/>
    <x v="0"/>
    <x v="4"/>
    <n v="61071.6"/>
    <n v="2"/>
    <s v="2013-11-30"/>
    <n v="0"/>
    <n v="314"/>
    <n v="194.43361899999999"/>
    <n v="1"/>
    <x v="4"/>
    <x v="1273"/>
    <n v="16315.87"/>
    <n v="0"/>
    <s v="1604655"/>
    <s v="98001297474"/>
    <n v="5654.7781500000001"/>
    <n v="0"/>
    <n v="77392"/>
  </r>
  <r>
    <x v="11"/>
    <m/>
    <s v="Forsamlingshus, Smedegade 5"/>
    <n v="10205"/>
    <m/>
    <s v="Forsamlingshus, Smedegade 5"/>
    <x v="64"/>
    <x v="0"/>
    <x v="5"/>
    <n v="53703.72"/>
    <n v="6"/>
    <s v="2013-11-30"/>
    <n v="0"/>
    <n v="314"/>
    <n v="170.97650400000001"/>
    <n v="1"/>
    <x v="4"/>
    <x v="1274"/>
    <n v="13495.33"/>
    <n v="0"/>
    <s v="1604655"/>
    <s v="98001297474"/>
    <n v="4972.5663999999997"/>
    <n v="0"/>
    <n v="77392"/>
  </r>
  <r>
    <x v="11"/>
    <m/>
    <s v="Forsamlingshus, Smedegade 5"/>
    <n v="10205"/>
    <m/>
    <s v="Forsamlingshus, Smedegade 5"/>
    <x v="64"/>
    <x v="0"/>
    <x v="6"/>
    <n v="72169.41"/>
    <n v="6"/>
    <s v="2013-11-30"/>
    <n v="0"/>
    <n v="314"/>
    <n v="229.76571100000001"/>
    <n v="1"/>
    <x v="4"/>
    <x v="1275"/>
    <n v="18020.580000000002"/>
    <n v="0"/>
    <s v="1604655"/>
    <s v="98001297474"/>
    <n v="6682.35232"/>
    <n v="0"/>
    <n v="77392"/>
  </r>
  <r>
    <x v="11"/>
    <s v="11867"/>
    <s v="Hovedvagten Kasernebygning"/>
    <n v="13661"/>
    <s v="0"/>
    <s v="Hovedvagten Kasernebygning"/>
    <x v="65"/>
    <x v="0"/>
    <x v="0"/>
    <n v="37343"/>
    <n v="5"/>
    <s v="2013-11-30"/>
    <n v="0"/>
    <n v="307"/>
    <n v="77.544773000000006"/>
    <n v="1"/>
    <x v="1"/>
    <x v="1276"/>
    <n v="5041383.2"/>
    <n v="0"/>
    <s v="4771216"/>
    <m/>
    <n v="23814.001"/>
    <n v="0"/>
    <n v="92672"/>
  </r>
  <r>
    <x v="11"/>
    <s v="11867"/>
    <s v="Hovedvagten Kasernebygning"/>
    <n v="13661"/>
    <s v="0"/>
    <s v="Hovedvagten Kasernebygning"/>
    <x v="65"/>
    <x v="0"/>
    <x v="1"/>
    <n v="41581.360000000001"/>
    <n v="6"/>
    <s v="2013-11-30"/>
    <n v="0"/>
    <n v="307"/>
    <n v="135.40006500000001"/>
    <n v="1"/>
    <x v="1"/>
    <x v="1277"/>
    <n v="8349.06"/>
    <n v="0"/>
    <s v="4771216"/>
    <m/>
    <n v="41581.371570000003"/>
    <n v="0"/>
    <n v="92672"/>
  </r>
  <r>
    <x v="11"/>
    <s v="11867"/>
    <s v="Hovedvagten Kasernebygning"/>
    <n v="13661"/>
    <s v="0"/>
    <s v="Hovedvagten Kasernebygning"/>
    <x v="65"/>
    <x v="0"/>
    <x v="2"/>
    <n v="64573.02"/>
    <n v="3"/>
    <s v="2013-11-30"/>
    <n v="0"/>
    <n v="307"/>
    <n v="210.267079"/>
    <n v="1"/>
    <x v="1"/>
    <x v="1278"/>
    <n v="13323.14"/>
    <n v="0"/>
    <s v="4771216"/>
    <m/>
    <n v="64572.99134"/>
    <n v="0"/>
    <n v="92672"/>
  </r>
  <r>
    <x v="11"/>
    <s v="11867"/>
    <s v="Hovedvagten Kasernebygning"/>
    <n v="13661"/>
    <s v="0"/>
    <s v="Hovedvagten Kasernebygning"/>
    <x v="65"/>
    <x v="0"/>
    <x v="3"/>
    <n v="58616.27"/>
    <n v="2"/>
    <s v="2013-11-30"/>
    <n v="0"/>
    <n v="307"/>
    <n v="190.87030200000001"/>
    <n v="1"/>
    <x v="1"/>
    <x v="1279"/>
    <n v="12803.31"/>
    <n v="0"/>
    <s v="4771216"/>
    <m/>
    <n v="58616.305890000003"/>
    <n v="0"/>
    <n v="92672"/>
  </r>
  <r>
    <x v="11"/>
    <s v="11867"/>
    <s v="Hovedvagten Kasernebygning"/>
    <n v="13661"/>
    <s v="0"/>
    <s v="Hovedvagten Kasernebygning"/>
    <x v="65"/>
    <x v="0"/>
    <x v="4"/>
    <n v="69108.960000000006"/>
    <n v="2"/>
    <s v="2013-11-30"/>
    <n v="0"/>
    <n v="307"/>
    <n v="225.037316"/>
    <n v="1"/>
    <x v="1"/>
    <x v="1280"/>
    <n v="16275.85"/>
    <n v="0"/>
    <s v="4771216"/>
    <m/>
    <n v="69108.95925"/>
    <n v="0"/>
    <n v="92672"/>
  </r>
  <r>
    <x v="11"/>
    <s v="11867"/>
    <s v="Hovedvagten Kasernebygning"/>
    <n v="13661"/>
    <s v="0"/>
    <s v="Hovedvagten Kasernebygning"/>
    <x v="65"/>
    <x v="0"/>
    <x v="5"/>
    <n v="72138.13"/>
    <n v="2"/>
    <s v="2013-11-30"/>
    <n v="0"/>
    <n v="307"/>
    <n v="234.901107"/>
    <n v="1"/>
    <x v="1"/>
    <x v="1281"/>
    <n v="18642.11"/>
    <n v="0"/>
    <s v="4771216"/>
    <m/>
    <n v="72138.122220000005"/>
    <n v="0"/>
    <n v="92672"/>
  </r>
  <r>
    <x v="11"/>
    <s v="11867"/>
    <s v="Hovedvagten Kasernebygning"/>
    <n v="13661"/>
    <s v="0"/>
    <s v="Hovedvagten Kasernebygning"/>
    <x v="65"/>
    <x v="0"/>
    <x v="6"/>
    <n v="74139.86"/>
    <n v="2"/>
    <s v="2013-11-30"/>
    <n v="0"/>
    <n v="307"/>
    <n v="241.41927699999999"/>
    <n v="1"/>
    <x v="1"/>
    <x v="1282"/>
    <n v="17485.060000000001"/>
    <n v="0"/>
    <s v="4771216"/>
    <m/>
    <n v="74139.856780000002"/>
    <n v="0"/>
    <n v="92672"/>
  </r>
  <r>
    <x v="11"/>
    <m/>
    <s v="Jonstruphus -Jonstrupvangvej 159"/>
    <n v="10206"/>
    <m/>
    <s v="Jonstruphus"/>
    <x v="66"/>
    <x v="0"/>
    <x v="0"/>
    <n v="61000"/>
    <n v="5"/>
    <s v="2011-12-31"/>
    <n v="0"/>
    <n v="439"/>
    <n v="78.915030000000002"/>
    <n v="1"/>
    <x v="4"/>
    <x v="1283"/>
    <n v="8246.77"/>
    <n v="0"/>
    <s v="1203787"/>
    <s v="98004818263"/>
    <n v="3208.48"/>
    <n v="0"/>
    <n v="77398"/>
  </r>
  <r>
    <x v="11"/>
    <m/>
    <s v="Jonstruphus -Jonstrupvangvej 159"/>
    <n v="10206"/>
    <m/>
    <s v="Jonstruphus"/>
    <x v="66"/>
    <x v="0"/>
    <x v="1"/>
    <n v="77204.56"/>
    <n v="12"/>
    <s v="2011-12-31"/>
    <n v="0"/>
    <n v="439"/>
    <n v="175.82454999999999"/>
    <n v="1"/>
    <x v="4"/>
    <x v="1284"/>
    <n v="17337.009999999998"/>
    <n v="0"/>
    <s v="1203787"/>
    <s v="98004818263"/>
    <n v="7148.57"/>
    <n v="0"/>
    <n v="77398"/>
  </r>
  <r>
    <x v="11"/>
    <m/>
    <s v="Jonstruphus -Jonstrupvangvej 159"/>
    <n v="10206"/>
    <m/>
    <s v="Jonstruphus"/>
    <x v="66"/>
    <x v="0"/>
    <x v="2"/>
    <n v="80447.460000000006"/>
    <n v="12"/>
    <s v="2011-12-31"/>
    <n v="0"/>
    <n v="439"/>
    <n v="183.20988299999999"/>
    <n v="1"/>
    <x v="4"/>
    <x v="1285"/>
    <n v="17808.7"/>
    <n v="0"/>
    <s v="1203787"/>
    <s v="98004818263"/>
    <n v="7448.84"/>
    <n v="0"/>
    <n v="77398"/>
  </r>
  <r>
    <x v="11"/>
    <m/>
    <s v="Jonstruphus -Jonstrupvangvej 159"/>
    <n v="10206"/>
    <m/>
    <s v="Jonstruphus"/>
    <x v="66"/>
    <x v="0"/>
    <x v="3"/>
    <n v="59393.2"/>
    <n v="7"/>
    <s v="2011-12-31"/>
    <n v="0"/>
    <n v="439"/>
    <n v="135.26121599999999"/>
    <n v="1"/>
    <x v="4"/>
    <x v="1286"/>
    <n v="14298.3"/>
    <n v="0"/>
    <s v="1203787"/>
    <s v="98004818263"/>
    <n v="5499.3693400000002"/>
    <n v="0"/>
    <n v="77398"/>
  </r>
  <r>
    <x v="11"/>
    <m/>
    <s v="Jonstruphus -Jonstrupvangvej 159"/>
    <n v="10206"/>
    <m/>
    <s v="Jonstruphus"/>
    <x v="66"/>
    <x v="0"/>
    <x v="4"/>
    <n v="86211.97"/>
    <n v="3"/>
    <s v="2011-12-31"/>
    <n v="0"/>
    <n v="439"/>
    <n v="196.337895"/>
    <n v="1"/>
    <x v="4"/>
    <x v="1287"/>
    <n v="23535.21"/>
    <n v="0"/>
    <s v="1203787"/>
    <s v="98004818263"/>
    <n v="7982.5901000000003"/>
    <n v="0"/>
    <n v="77398"/>
  </r>
  <r>
    <x v="11"/>
    <m/>
    <s v="Jonstruphus -Jonstrupvangvej 159"/>
    <n v="10206"/>
    <m/>
    <s v="Jonstruphus"/>
    <x v="66"/>
    <x v="0"/>
    <x v="5"/>
    <n v="77180.44"/>
    <n v="4"/>
    <s v="2011-12-31"/>
    <n v="0"/>
    <n v="439"/>
    <n v="175.76961900000001"/>
    <n v="1"/>
    <x v="4"/>
    <x v="1288"/>
    <n v="20313.45"/>
    <n v="0"/>
    <s v="1203787"/>
    <s v="98004818263"/>
    <n v="7146.3372300000001"/>
    <n v="0"/>
    <n v="77398"/>
  </r>
  <r>
    <x v="11"/>
    <m/>
    <s v="Jonstruphus -Jonstrupvangvej 159"/>
    <n v="10206"/>
    <m/>
    <s v="Jonstruphus"/>
    <x v="66"/>
    <x v="0"/>
    <x v="6"/>
    <n v="73810.399999999994"/>
    <n v="4"/>
    <s v="2011-12-31"/>
    <n v="0"/>
    <n v="439"/>
    <n v="168.094739"/>
    <n v="1"/>
    <x v="4"/>
    <x v="1289"/>
    <n v="18189.59"/>
    <n v="0"/>
    <s v="1203787"/>
    <s v="98004818263"/>
    <n v="6834.2966900000001"/>
    <n v="0"/>
    <n v="77398"/>
  </r>
  <r>
    <x v="11"/>
    <s v="11867"/>
    <s v="Hovedvagten Kasernebygning"/>
    <n v="13661"/>
    <s v="0"/>
    <s v="Hovedvagten Kasernebygning"/>
    <x v="65"/>
    <x v="0"/>
    <x v="7"/>
    <n v="5.21"/>
    <n v="12"/>
    <s v="2013-11-30"/>
    <n v="0"/>
    <n v="307"/>
    <n v="1.6965000000000001E-2"/>
    <n v="3"/>
    <x v="0"/>
    <x v="1290"/>
    <n v="4.16"/>
    <n v="0"/>
    <m/>
    <m/>
    <n v="5.2039999999999997"/>
    <n v="0"/>
    <n v="91250"/>
  </r>
  <r>
    <x v="11"/>
    <s v="11867"/>
    <s v="Hovedvagten Kasernebygning"/>
    <n v="13661"/>
    <s v="0"/>
    <s v="Hovedvagten Kasernebygning"/>
    <x v="65"/>
    <x v="0"/>
    <x v="7"/>
    <n v="32376.06"/>
    <n v="12"/>
    <s v="2013-11-30"/>
    <n v="0"/>
    <n v="307"/>
    <n v="105.425138"/>
    <n v="1"/>
    <x v="1"/>
    <x v="1291"/>
    <n v="2307384.66"/>
    <n v="0"/>
    <s v="4771216"/>
    <m/>
    <n v="32376.058000000001"/>
    <n v="0"/>
    <n v="92672"/>
  </r>
  <r>
    <x v="11"/>
    <m/>
    <s v="Ellegården, Ladebygning, Stavnsholtvej 168"/>
    <n v="11351"/>
    <s v="0"/>
    <s v="Ellegården, Ladebygninger"/>
    <x v="63"/>
    <x v="0"/>
    <x v="1"/>
    <n v="19167.32"/>
    <n v="12"/>
    <s v="2011-12-31"/>
    <n v="0"/>
    <n v="867"/>
    <n v="22.105084999999999"/>
    <n v="2"/>
    <x v="2"/>
    <x v="1292"/>
    <n v="5750.2"/>
    <n v="0"/>
    <s v="72027-34017"/>
    <m/>
    <n v="19167.310000000001"/>
    <n v="0"/>
    <n v="80895"/>
  </r>
  <r>
    <x v="11"/>
    <m/>
    <s v="Forsamlingshus, Smedegade 5"/>
    <n v="10205"/>
    <m/>
    <s v="Forsamlingshus, Smedegade 5"/>
    <x v="64"/>
    <x v="0"/>
    <x v="7"/>
    <n v="49753.98"/>
    <n v="12"/>
    <s v="2013-11-30"/>
    <n v="0"/>
    <n v="314"/>
    <n v="158.40171900000001"/>
    <n v="1"/>
    <x v="4"/>
    <x v="1293"/>
    <n v="12588.69"/>
    <n v="0"/>
    <s v="1604655"/>
    <s v="98001297474"/>
    <n v="4606.8490000000002"/>
    <n v="0"/>
    <n v="77392"/>
  </r>
  <r>
    <x v="11"/>
    <m/>
    <s v="Jonstruphus -Jonstrupvangvej 159"/>
    <n v="10206"/>
    <m/>
    <s v="Jonstruphus"/>
    <x v="66"/>
    <x v="0"/>
    <x v="7"/>
    <n v="99.72"/>
    <n v="12"/>
    <s v="2011-09-30"/>
    <n v="0"/>
    <n v="439"/>
    <n v="0.2271"/>
    <n v="3"/>
    <x v="0"/>
    <x v="1294"/>
    <n v="79.77"/>
    <n v="0"/>
    <s v="00PC500647"/>
    <m/>
    <n v="99.710999999999999"/>
    <n v="0"/>
    <n v="77394"/>
  </r>
  <r>
    <x v="11"/>
    <m/>
    <s v="Jonstruphus -Jonstrupvangvej 159"/>
    <n v="10206"/>
    <m/>
    <s v="Jonstruphus"/>
    <x v="66"/>
    <x v="0"/>
    <x v="7"/>
    <n v="23.71"/>
    <n v="2"/>
    <s v="2014-11-24"/>
    <n v="0"/>
    <n v="439"/>
    <n v="5.3996000000000002E-2"/>
    <n v="3"/>
    <x v="0"/>
    <x v="1295"/>
    <n v="18.98"/>
    <n v="0"/>
    <s v="BI Varmt vand"/>
    <m/>
    <n v="23.726030000000002"/>
    <n v="0"/>
    <n v="93708"/>
  </r>
  <r>
    <x v="11"/>
    <m/>
    <s v="Ellegården, Ladebygning, Stavnsholtvej 168"/>
    <n v="11351"/>
    <s v="0"/>
    <s v="Ellegården, Ladebygninger"/>
    <x v="63"/>
    <x v="0"/>
    <x v="1"/>
    <n v="165.53"/>
    <n v="12"/>
    <s v="2011-12-31"/>
    <n v="0"/>
    <n v="867"/>
    <n v="0.19089999999999999"/>
    <n v="2"/>
    <x v="2"/>
    <x v="1296"/>
    <n v="49.66"/>
    <n v="0"/>
    <s v="Køkken / 4120909"/>
    <s v="74112260112"/>
    <n v="165.52699999999999"/>
    <n v="0"/>
    <n v="80929"/>
  </r>
  <r>
    <x v="11"/>
    <m/>
    <s v="Forsamlingshus, Smedegade 5"/>
    <n v="10205"/>
    <m/>
    <s v="Forsamlingshus, Smedegade 5"/>
    <x v="64"/>
    <x v="0"/>
    <x v="7"/>
    <n v="3360.33"/>
    <n v="12"/>
    <s v="2013-10-31"/>
    <n v="0"/>
    <n v="314"/>
    <n v="10.69828"/>
    <n v="2"/>
    <x v="2"/>
    <x v="1297"/>
    <n v="7674.98"/>
    <n v="0"/>
    <s v="4247281"/>
    <s v="74110515016"/>
    <n v="3360.3220000000001"/>
    <n v="0"/>
    <n v="77390"/>
  </r>
  <r>
    <x v="11"/>
    <m/>
    <s v="Rørmosen Haveforening, RØR 4"/>
    <n v="14003"/>
    <s v="0"/>
    <s v="Rørmosen Haveforening, Rørmose 4"/>
    <x v="67"/>
    <x v="0"/>
    <x v="7"/>
    <n v="144.37"/>
    <n v="4"/>
    <s v="2015-02-11"/>
    <n v="0"/>
    <n v="50"/>
    <n v="2.8816359999999999"/>
    <n v="3"/>
    <x v="0"/>
    <x v="1298"/>
    <n v="115.49"/>
    <n v="0"/>
    <s v="316302"/>
    <m/>
    <n v="144.36741000000001"/>
    <n v="0"/>
    <n v="93000"/>
  </r>
  <r>
    <x v="11"/>
    <m/>
    <s v="Forsamlingshus, Smedegade 5"/>
    <n v="10205"/>
    <m/>
    <s v="Forsamlingshus, Smedegade 5"/>
    <x v="64"/>
    <x v="0"/>
    <x v="1"/>
    <n v="3892.39"/>
    <n v="10"/>
    <s v="2013-10-31"/>
    <n v="0"/>
    <n v="314"/>
    <n v="12.392199"/>
    <n v="2"/>
    <x v="2"/>
    <x v="1299"/>
    <n v="8890.2099999999991"/>
    <n v="0"/>
    <s v="4247281"/>
    <s v="74110515016"/>
    <n v="3892.3950399999999"/>
    <n v="0"/>
    <n v="77390"/>
  </r>
  <r>
    <x v="11"/>
    <m/>
    <s v="Annexgården"/>
    <n v="10256"/>
    <m/>
    <s v="Annexgården"/>
    <x v="62"/>
    <x v="0"/>
    <x v="0"/>
    <n v="7486"/>
    <n v="3"/>
    <s v="2015-05-04"/>
    <n v="0"/>
    <n v="381"/>
    <n v="7.7723950000000004"/>
    <n v="2"/>
    <x v="2"/>
    <x v="1300"/>
    <n v="888.61"/>
    <n v="0"/>
    <s v="60648"/>
    <s v="74110490979"/>
    <n v="2962.0638300000001"/>
    <n v="0"/>
    <n v="77568"/>
  </r>
  <r>
    <x v="11"/>
    <s v="11867"/>
    <s v="Hovedvagten Kasernebygning"/>
    <n v="13661"/>
    <s v="0"/>
    <s v="Hovedvagten Kasernebygning"/>
    <x v="65"/>
    <x v="0"/>
    <x v="7"/>
    <n v="1001.13"/>
    <n v="12"/>
    <s v="2013-10-31"/>
    <n v="0"/>
    <n v="307"/>
    <n v="3.2599469999999999"/>
    <n v="2"/>
    <x v="2"/>
    <x v="1301"/>
    <n v="300.33999999999997"/>
    <n v="0"/>
    <s v="4178970"/>
    <s v="74115574117"/>
    <n v="1001.11536"/>
    <n v="0"/>
    <n v="91249"/>
  </r>
  <r>
    <x v="11"/>
    <m/>
    <s v="Annexgården"/>
    <n v="10256"/>
    <m/>
    <s v="Annexgården"/>
    <x v="62"/>
    <x v="0"/>
    <x v="2"/>
    <n v="10335.81"/>
    <n v="12"/>
    <s v="2015-05-04"/>
    <n v="0"/>
    <n v="381"/>
    <n v="27.120991"/>
    <n v="2"/>
    <x v="2"/>
    <x v="1302"/>
    <n v="4134.3100000000004"/>
    <n v="0"/>
    <s v="60648"/>
    <s v="74110490979"/>
    <n v="10335.82026"/>
    <n v="0"/>
    <n v="77568"/>
  </r>
  <r>
    <x v="11"/>
    <m/>
    <s v="Annexgården"/>
    <n v="10256"/>
    <m/>
    <s v="Annexgården"/>
    <x v="62"/>
    <x v="0"/>
    <x v="3"/>
    <n v="9648.67"/>
    <n v="8"/>
    <s v="2015-05-04"/>
    <n v="0"/>
    <n v="381"/>
    <n v="25.317948000000001"/>
    <n v="2"/>
    <x v="2"/>
    <x v="1303"/>
    <n v="4525.2299999999996"/>
    <n v="0"/>
    <s v="60648"/>
    <s v="74110490979"/>
    <n v="9648.6753200000003"/>
    <n v="0"/>
    <n v="77568"/>
  </r>
  <r>
    <x v="11"/>
    <m/>
    <s v="Annexgården"/>
    <n v="10256"/>
    <m/>
    <s v="Annexgården"/>
    <x v="62"/>
    <x v="0"/>
    <x v="4"/>
    <n v="6776.58"/>
    <n v="12"/>
    <s v="2015-05-04"/>
    <n v="0"/>
    <n v="381"/>
    <n v="17.781631999999998"/>
    <n v="2"/>
    <x v="2"/>
    <x v="1304"/>
    <n v="3178.21"/>
    <n v="0"/>
    <s v="60648"/>
    <s v="74110490979"/>
    <n v="6776.5818200000003"/>
    <n v="0"/>
    <n v="77568"/>
  </r>
  <r>
    <x v="11"/>
    <m/>
    <s v="Annexgården"/>
    <n v="10256"/>
    <m/>
    <s v="Annexgården"/>
    <x v="62"/>
    <x v="0"/>
    <x v="5"/>
    <n v="6633.34"/>
    <n v="9"/>
    <s v="2015-05-04"/>
    <n v="0"/>
    <n v="381"/>
    <n v="17.405771999999999"/>
    <n v="2"/>
    <x v="2"/>
    <x v="1305"/>
    <n v="3111.03"/>
    <n v="0"/>
    <s v="60648"/>
    <s v="74110490979"/>
    <n v="6633.3311700000004"/>
    <n v="0"/>
    <n v="77568"/>
  </r>
  <r>
    <x v="11"/>
    <m/>
    <s v="Annexgården"/>
    <n v="10256"/>
    <m/>
    <s v="Annexgården"/>
    <x v="62"/>
    <x v="0"/>
    <x v="6"/>
    <n v="6756.6"/>
    <n v="13"/>
    <s v="2015-05-04"/>
    <n v="0"/>
    <n v="381"/>
    <n v="17.729203999999999"/>
    <n v="2"/>
    <x v="2"/>
    <x v="1306"/>
    <n v="3168.85"/>
    <n v="0"/>
    <s v="60648"/>
    <s v="74110490979"/>
    <n v="6756.5913899999996"/>
    <n v="0"/>
    <n v="77568"/>
  </r>
  <r>
    <x v="11"/>
    <m/>
    <s v="Ellegården, Ladebygning, Stavnsholtvej 168"/>
    <n v="11351"/>
    <s v="0"/>
    <s v="Ellegården, Ladebygninger"/>
    <x v="63"/>
    <x v="0"/>
    <x v="0"/>
    <n v="18313"/>
    <n v="5"/>
    <s v="2011-12-31"/>
    <n v="0"/>
    <n v="867"/>
    <n v="7.9591390000000004"/>
    <n v="2"/>
    <x v="2"/>
    <x v="1307"/>
    <n v="2070.42"/>
    <n v="0"/>
    <s v="72027-34017"/>
    <m/>
    <n v="6901.3756000000003"/>
    <n v="0"/>
    <n v="80895"/>
  </r>
  <r>
    <x v="11"/>
    <m/>
    <s v="Ellegården, Ladebygning, Stavnsholtvej 168"/>
    <n v="11351"/>
    <s v="0"/>
    <s v="Ellegården, Ladebygninger"/>
    <x v="63"/>
    <x v="0"/>
    <x v="0"/>
    <n v="0"/>
    <n v="5"/>
    <s v="2011-12-31"/>
    <n v="0"/>
    <n v="867"/>
    <n v="2.9153999999999999E-2"/>
    <n v="2"/>
    <x v="2"/>
    <x v="1308"/>
    <n v="7.59"/>
    <n v="0"/>
    <s v="Køkken / 4120909"/>
    <s v="74112260112"/>
    <n v="25.279"/>
    <n v="0"/>
    <n v="80929"/>
  </r>
  <r>
    <x v="11"/>
    <s v="11867"/>
    <s v="Hovedvagten Kasernebygning"/>
    <n v="13661"/>
    <s v="0"/>
    <s v="Hovedvagten Kasernebygning"/>
    <x v="65"/>
    <x v="0"/>
    <x v="1"/>
    <n v="707.93"/>
    <n v="8"/>
    <s v="2013-10-31"/>
    <n v="0"/>
    <n v="307"/>
    <n v="2.3052100000000002"/>
    <n v="2"/>
    <x v="2"/>
    <x v="1309"/>
    <n v="212.38"/>
    <n v="0"/>
    <s v="4178970"/>
    <s v="74115574117"/>
    <n v="707.93692999999996"/>
    <n v="0"/>
    <n v="91249"/>
  </r>
  <r>
    <x v="11"/>
    <m/>
    <s v="Jonstruphus -Jonstrupvangvej 159"/>
    <n v="10206"/>
    <m/>
    <s v="Jonstruphus"/>
    <x v="66"/>
    <x v="0"/>
    <x v="7"/>
    <n v="10435.459999999999"/>
    <n v="12"/>
    <s v="2010-07-31"/>
    <n v="0"/>
    <n v="439"/>
    <n v="23.765564999999999"/>
    <n v="2"/>
    <x v="2"/>
    <x v="1310"/>
    <n v="3130.65"/>
    <n v="0"/>
    <s v="59656"/>
    <s v="74115145355"/>
    <n v="10435.47351"/>
    <n v="0"/>
    <n v="77393"/>
  </r>
  <r>
    <x v="11"/>
    <m/>
    <s v="Ellegården, Ladebygning, Stavnsholtvej 168"/>
    <n v="11351"/>
    <s v="0"/>
    <s v="Ellegården, Ladebygninger"/>
    <x v="63"/>
    <x v="0"/>
    <x v="2"/>
    <n v="17865.34"/>
    <n v="12"/>
    <s v="2011-12-31"/>
    <n v="0"/>
    <n v="867"/>
    <n v="20.603552000000001"/>
    <n v="2"/>
    <x v="2"/>
    <x v="1311"/>
    <n v="7146.14"/>
    <n v="0"/>
    <s v="72027-34017"/>
    <m/>
    <n v="17865.325000000001"/>
    <n v="0"/>
    <n v="80895"/>
  </r>
  <r>
    <x v="11"/>
    <m/>
    <s v="Ellegården, Ladebygning, Stavnsholtvej 168"/>
    <n v="11351"/>
    <s v="0"/>
    <s v="Ellegården, Ladebygninger"/>
    <x v="63"/>
    <x v="0"/>
    <x v="2"/>
    <n v="105.72"/>
    <n v="12"/>
    <s v="2011-12-31"/>
    <n v="0"/>
    <n v="867"/>
    <n v="0.121923"/>
    <n v="2"/>
    <x v="2"/>
    <x v="1312"/>
    <n v="42.28"/>
    <n v="0"/>
    <s v="Køkken / 4120909"/>
    <s v="74112260112"/>
    <n v="105.715"/>
    <n v="0"/>
    <n v="80929"/>
  </r>
  <r>
    <x v="11"/>
    <m/>
    <s v="Ellegården, Ladebygning, Stavnsholtvej 168"/>
    <n v="11351"/>
    <s v="0"/>
    <s v="Ellegården, Ladebygninger"/>
    <x v="63"/>
    <x v="0"/>
    <x v="3"/>
    <n v="19552.25"/>
    <n v="6"/>
    <s v="2011-12-31"/>
    <n v="0"/>
    <n v="867"/>
    <n v="22.549012999999999"/>
    <n v="2"/>
    <x v="2"/>
    <x v="1313"/>
    <n v="9169.9699999999993"/>
    <n v="0"/>
    <s v="72027-34017"/>
    <m/>
    <n v="19552.23299"/>
    <n v="0"/>
    <n v="80895"/>
  </r>
  <r>
    <x v="11"/>
    <m/>
    <s v="Ellegården, Ladebygning, Stavnsholtvej 168"/>
    <n v="11351"/>
    <s v="0"/>
    <s v="Ellegården, Ladebygninger"/>
    <x v="63"/>
    <x v="0"/>
    <x v="3"/>
    <n v="193.71"/>
    <n v="9"/>
    <s v="2011-12-31"/>
    <n v="0"/>
    <n v="867"/>
    <n v="0.22339899999999999"/>
    <n v="2"/>
    <x v="2"/>
    <x v="1314"/>
    <n v="90.84"/>
    <n v="0"/>
    <s v="Køkken / 4120909"/>
    <s v="74112260112"/>
    <n v="193.72450000000001"/>
    <n v="0"/>
    <n v="80929"/>
  </r>
  <r>
    <x v="11"/>
    <m/>
    <s v="Ellegården, Ladebygning, Stavnsholtvej 168"/>
    <n v="11351"/>
    <s v="0"/>
    <s v="Ellegården, Ladebygninger"/>
    <x v="63"/>
    <x v="0"/>
    <x v="4"/>
    <n v="21291.82"/>
    <n v="4"/>
    <s v="2011-12-31"/>
    <n v="0"/>
    <n v="867"/>
    <n v="24.555206999999999"/>
    <n v="2"/>
    <x v="2"/>
    <x v="1315"/>
    <n v="9985.85"/>
    <n v="0"/>
    <s v="72027-34017"/>
    <m/>
    <n v="21291.793880000001"/>
    <n v="0"/>
    <n v="80895"/>
  </r>
  <r>
    <x v="11"/>
    <m/>
    <s v="Ellegården, Ladebygning, Stavnsholtvej 168"/>
    <n v="11351"/>
    <s v="0"/>
    <s v="Ellegården, Ladebygninger"/>
    <x v="63"/>
    <x v="0"/>
    <x v="4"/>
    <n v="158.77000000000001"/>
    <n v="3"/>
    <s v="2011-12-31"/>
    <n v="0"/>
    <n v="867"/>
    <n v="0.18310399999999999"/>
    <n v="2"/>
    <x v="2"/>
    <x v="1316"/>
    <n v="74.48"/>
    <n v="0"/>
    <s v="Køkken / 4120909"/>
    <s v="74112260112"/>
    <n v="158.77552"/>
    <n v="0"/>
    <n v="80929"/>
  </r>
  <r>
    <x v="11"/>
    <m/>
    <s v="Ellegården, Ladebygning, Stavnsholtvej 168"/>
    <n v="11351"/>
    <s v="0"/>
    <s v="Ellegården, Ladebygninger"/>
    <x v="63"/>
    <x v="0"/>
    <x v="5"/>
    <n v="19960.36"/>
    <n v="6"/>
    <s v="2011-12-31"/>
    <n v="0"/>
    <n v="867"/>
    <n v="23.019673999999998"/>
    <n v="2"/>
    <x v="2"/>
    <x v="1317"/>
    <n v="9361.41"/>
    <n v="0"/>
    <s v="72027-34017"/>
    <m/>
    <n v="19960.365280000002"/>
    <n v="0"/>
    <n v="80895"/>
  </r>
  <r>
    <x v="11"/>
    <m/>
    <s v="Ellegården, Ladebygning, Stavnsholtvej 168"/>
    <n v="11351"/>
    <s v="0"/>
    <s v="Ellegården, Ladebygninger"/>
    <x v="63"/>
    <x v="0"/>
    <x v="5"/>
    <n v="3470.4"/>
    <n v="6"/>
    <s v="2011-12-31"/>
    <n v="0"/>
    <n v="867"/>
    <n v="4.0023059999999999"/>
    <n v="2"/>
    <x v="2"/>
    <x v="1318"/>
    <n v="1627.61"/>
    <n v="0"/>
    <s v="Køkken / 4120909"/>
    <s v="74112260112"/>
    <n v="3470.4000099999998"/>
    <n v="0"/>
    <n v="80929"/>
  </r>
  <r>
    <x v="11"/>
    <m/>
    <s v="Ellegården, Ladebygning, Stavnsholtvej 168"/>
    <n v="11351"/>
    <s v="0"/>
    <s v="Ellegården, Ladebygninger"/>
    <x v="63"/>
    <x v="0"/>
    <x v="6"/>
    <n v="8897.26"/>
    <n v="2"/>
    <s v="2011-12-31"/>
    <n v="0"/>
    <n v="867"/>
    <n v="10.260937999999999"/>
    <n v="2"/>
    <x v="2"/>
    <x v="1319"/>
    <n v="4172.8"/>
    <n v="0"/>
    <s v="72027-34017"/>
    <m/>
    <n v="8897.2477199999994"/>
    <n v="0"/>
    <n v="80895"/>
  </r>
  <r>
    <x v="11"/>
    <m/>
    <s v="Ellegården, Ladebygning, Stavnsholtvej 168"/>
    <n v="11351"/>
    <s v="0"/>
    <s v="Ellegården, Ladebygninger"/>
    <x v="63"/>
    <x v="0"/>
    <x v="6"/>
    <n v="140.1"/>
    <n v="2"/>
    <s v="2011-12-31"/>
    <n v="0"/>
    <n v="867"/>
    <n v="0.16157299999999999"/>
    <n v="2"/>
    <x v="2"/>
    <x v="1320"/>
    <n v="65.709999999999994"/>
    <n v="0"/>
    <s v="Køkken / 4120909"/>
    <s v="74112260112"/>
    <n v="140.1"/>
    <n v="0"/>
    <n v="80929"/>
  </r>
  <r>
    <x v="11"/>
    <m/>
    <s v="Forsamlingshus, Smedegade 5"/>
    <n v="10205"/>
    <m/>
    <s v="Forsamlingshus, Smedegade 5"/>
    <x v="64"/>
    <x v="0"/>
    <x v="0"/>
    <n v="3101"/>
    <n v="5"/>
    <s v="2013-10-31"/>
    <n v="0"/>
    <n v="314"/>
    <n v="3.7293530000000001"/>
    <n v="2"/>
    <x v="2"/>
    <x v="1321"/>
    <n v="2675.47"/>
    <n v="0"/>
    <s v="4247281"/>
    <s v="74110515016"/>
    <n v="1171.3952999999999"/>
    <n v="0"/>
    <n v="77390"/>
  </r>
  <r>
    <x v="11"/>
    <m/>
    <s v="Jonstruphus -Jonstrupvangvej 159"/>
    <n v="10206"/>
    <m/>
    <s v="Jonstruphus"/>
    <x v="66"/>
    <x v="0"/>
    <x v="7"/>
    <n v="407.73"/>
    <n v="2"/>
    <s v="2014-11-24"/>
    <n v="0"/>
    <n v="439"/>
    <n v="0.92855799999999999"/>
    <n v="2"/>
    <x v="2"/>
    <x v="1322"/>
    <n v="191.23"/>
    <n v="0"/>
    <s v="Jonstrup Fodbold 87170"/>
    <m/>
    <n v="407.72998999999999"/>
    <n v="0"/>
    <n v="96485"/>
  </r>
  <r>
    <x v="11"/>
    <m/>
    <s v="Forsamlingshus, Smedegade 5"/>
    <n v="10205"/>
    <m/>
    <s v="Forsamlingshus, Smedegade 5"/>
    <x v="64"/>
    <x v="0"/>
    <x v="2"/>
    <n v="4594.16"/>
    <n v="8"/>
    <s v="2013-10-31"/>
    <n v="0"/>
    <n v="314"/>
    <n v="14.626424"/>
    <n v="2"/>
    <x v="2"/>
    <x v="1323"/>
    <n v="10493.07"/>
    <n v="0"/>
    <s v="4247281"/>
    <s v="74110515016"/>
    <n v="4594.1584599999996"/>
    <n v="0"/>
    <n v="77390"/>
  </r>
  <r>
    <x v="11"/>
    <m/>
    <s v="Forsamlingshus, Smedegade 5"/>
    <n v="10205"/>
    <m/>
    <s v="Forsamlingshus, Smedegade 5"/>
    <x v="64"/>
    <x v="0"/>
    <x v="3"/>
    <n v="5045.09"/>
    <n v="4"/>
    <s v="2013-10-31"/>
    <n v="0"/>
    <n v="314"/>
    <n v="16.062049999999999"/>
    <n v="2"/>
    <x v="2"/>
    <x v="1324"/>
    <n v="11522.97"/>
    <n v="0"/>
    <s v="4247281"/>
    <s v="74110515016"/>
    <n v="5045.0951599999999"/>
    <n v="0"/>
    <n v="77390"/>
  </r>
  <r>
    <x v="11"/>
    <m/>
    <s v="Forsamlingshus, Smedegade 5"/>
    <n v="10205"/>
    <m/>
    <s v="Forsamlingshus, Smedegade 5"/>
    <x v="64"/>
    <x v="0"/>
    <x v="4"/>
    <n v="4860.66"/>
    <n v="2"/>
    <s v="2013-10-31"/>
    <n v="0"/>
    <n v="314"/>
    <n v="15.474880000000001"/>
    <n v="2"/>
    <x v="2"/>
    <x v="1325"/>
    <n v="11101.74"/>
    <n v="0"/>
    <s v="4247281"/>
    <s v="74110515016"/>
    <n v="4860.6659"/>
    <n v="0"/>
    <n v="77390"/>
  </r>
  <r>
    <x v="11"/>
    <m/>
    <s v="Forsamlingshus, Smedegade 5"/>
    <n v="10205"/>
    <m/>
    <s v="Forsamlingshus, Smedegade 5"/>
    <x v="64"/>
    <x v="0"/>
    <x v="5"/>
    <n v="4187.03"/>
    <n v="6"/>
    <s v="2013-10-31"/>
    <n v="0"/>
    <n v="314"/>
    <n v="13.330245"/>
    <n v="2"/>
    <x v="2"/>
    <x v="1326"/>
    <n v="9563.19"/>
    <n v="0"/>
    <s v="4247281"/>
    <s v="74110515016"/>
    <n v="4187.0328399999999"/>
    <n v="0"/>
    <n v="77390"/>
  </r>
  <r>
    <x v="11"/>
    <m/>
    <s v="Forsamlingshus, Smedegade 5"/>
    <n v="10205"/>
    <m/>
    <s v="Forsamlingshus, Smedegade 5"/>
    <x v="64"/>
    <x v="0"/>
    <x v="6"/>
    <n v="4838.1899999999996"/>
    <n v="4"/>
    <s v="2013-10-31"/>
    <n v="0"/>
    <n v="314"/>
    <n v="15.403342"/>
    <n v="2"/>
    <x v="2"/>
    <x v="1327"/>
    <n v="11050.41"/>
    <n v="0"/>
    <s v="4247281"/>
    <s v="74110515016"/>
    <n v="4838.1868199999999"/>
    <n v="0"/>
    <n v="77390"/>
  </r>
  <r>
    <x v="11"/>
    <s v="11867"/>
    <s v="Hovedvagten Kasernebygning"/>
    <n v="13661"/>
    <s v="0"/>
    <s v="Hovedvagten Kasernebygning"/>
    <x v="65"/>
    <x v="0"/>
    <x v="0"/>
    <n v="1096"/>
    <n v="5"/>
    <s v="2013-10-31"/>
    <n v="0"/>
    <n v="307"/>
    <n v="2.3628130000000001"/>
    <n v="2"/>
    <x v="2"/>
    <x v="1328"/>
    <n v="217.68"/>
    <n v="0"/>
    <s v="4178970"/>
    <s v="74115574117"/>
    <n v="725.60298999999998"/>
    <n v="0"/>
    <n v="91249"/>
  </r>
  <r>
    <x v="11"/>
    <m/>
    <s v="Jonstruphus -Jonstrupvangvej 159"/>
    <n v="10206"/>
    <m/>
    <s v="Jonstruphus"/>
    <x v="66"/>
    <x v="0"/>
    <x v="1"/>
    <n v="12881.32"/>
    <n v="12"/>
    <s v="2010-07-31"/>
    <n v="0"/>
    <n v="439"/>
    <n v="29.335732"/>
    <n v="2"/>
    <x v="2"/>
    <x v="1329"/>
    <n v="3864.39"/>
    <n v="0"/>
    <s v="59656"/>
    <s v="74115145355"/>
    <n v="12881.317499999999"/>
    <n v="0"/>
    <n v="77393"/>
  </r>
  <r>
    <x v="11"/>
    <s v="11867"/>
    <s v="Hovedvagten Kasernebygning"/>
    <n v="13661"/>
    <s v="0"/>
    <s v="Hovedvagten Kasernebygning"/>
    <x v="65"/>
    <x v="0"/>
    <x v="2"/>
    <n v="2457.59"/>
    <n v="3"/>
    <s v="2013-10-31"/>
    <n v="0"/>
    <n v="307"/>
    <n v="8.0025720000000007"/>
    <n v="2"/>
    <x v="2"/>
    <x v="1330"/>
    <n v="983.05"/>
    <n v="0"/>
    <s v="4178970"/>
    <s v="74115574117"/>
    <n v="2457.5971800000002"/>
    <n v="0"/>
    <n v="91249"/>
  </r>
  <r>
    <x v="11"/>
    <s v="11867"/>
    <s v="Hovedvagten Kasernebygning"/>
    <n v="13661"/>
    <s v="0"/>
    <s v="Hovedvagten Kasernebygning"/>
    <x v="65"/>
    <x v="0"/>
    <x v="3"/>
    <n v="1533.41"/>
    <n v="1"/>
    <s v="2013-10-31"/>
    <n v="0"/>
    <n v="307"/>
    <n v="4.9931939999999999"/>
    <n v="2"/>
    <x v="2"/>
    <x v="1331"/>
    <n v="719.15"/>
    <n v="0"/>
    <s v="4178970"/>
    <s v="74115574117"/>
    <n v="1533.4122600000001"/>
    <n v="0"/>
    <n v="91249"/>
  </r>
  <r>
    <x v="11"/>
    <s v="11867"/>
    <s v="Hovedvagten Kasernebygning"/>
    <n v="13661"/>
    <s v="0"/>
    <s v="Hovedvagten Kasernebygning"/>
    <x v="65"/>
    <x v="0"/>
    <x v="4"/>
    <n v="1876.26"/>
    <n v="1"/>
    <s v="2013-10-31"/>
    <n v="0"/>
    <n v="307"/>
    <n v="6.1096050000000002"/>
    <n v="2"/>
    <x v="2"/>
    <x v="1332"/>
    <n v="879.98"/>
    <n v="0"/>
    <s v="4178970"/>
    <s v="74115574117"/>
    <n v="1876.26253"/>
    <n v="0"/>
    <n v="91249"/>
  </r>
  <r>
    <x v="11"/>
    <s v="11867"/>
    <s v="Hovedvagten Kasernebygning"/>
    <n v="13661"/>
    <s v="0"/>
    <s v="Hovedvagten Kasernebygning"/>
    <x v="65"/>
    <x v="0"/>
    <x v="5"/>
    <n v="3191.03"/>
    <n v="1"/>
    <s v="2013-10-31"/>
    <n v="0"/>
    <n v="307"/>
    <n v="10.390848999999999"/>
    <n v="2"/>
    <x v="2"/>
    <x v="1333"/>
    <n v="1496.6"/>
    <n v="0"/>
    <s v="4178970"/>
    <s v="74115574117"/>
    <n v="3191.0430299999998"/>
    <n v="0"/>
    <n v="91249"/>
  </r>
  <r>
    <x v="11"/>
    <s v="11867"/>
    <s v="Hovedvagten Kasernebygning"/>
    <n v="13661"/>
    <s v="0"/>
    <s v="Hovedvagten Kasernebygning"/>
    <x v="65"/>
    <x v="0"/>
    <x v="6"/>
    <n v="3951.15"/>
    <n v="1"/>
    <s v="2013-10-31"/>
    <n v="0"/>
    <n v="307"/>
    <n v="12.866004"/>
    <n v="2"/>
    <x v="2"/>
    <x v="1334"/>
    <n v="1853.12"/>
    <n v="0"/>
    <s v="4178970"/>
    <s v="74115574117"/>
    <n v="3951.1728899999998"/>
    <n v="0"/>
    <n v="91249"/>
  </r>
  <r>
    <x v="11"/>
    <m/>
    <s v="Jonstruphus -Jonstrupvangvej 159"/>
    <n v="10206"/>
    <m/>
    <s v="Jonstruphus"/>
    <x v="66"/>
    <x v="0"/>
    <x v="0"/>
    <n v="12033"/>
    <n v="5"/>
    <s v="2010-07-31"/>
    <n v="0"/>
    <n v="439"/>
    <n v="12.217923000000001"/>
    <n v="2"/>
    <x v="2"/>
    <x v="1335"/>
    <n v="1609.46"/>
    <n v="0"/>
    <s v="59656"/>
    <s v="74115145355"/>
    <n v="5364.8837000000003"/>
    <n v="0"/>
    <n v="77393"/>
  </r>
  <r>
    <x v="11"/>
    <m/>
    <s v="Rørmosen Haveforening, RØR 4"/>
    <n v="14003"/>
    <s v="0"/>
    <s v="Rørmosen Haveforening, Rørmose 4"/>
    <x v="67"/>
    <x v="0"/>
    <x v="7"/>
    <n v="2281.39"/>
    <n v="5"/>
    <s v="2015-02-11"/>
    <n v="0"/>
    <n v="50"/>
    <n v="45.536726000000002"/>
    <n v="2"/>
    <x v="2"/>
    <x v="1336"/>
    <n v="684.41"/>
    <n v="0"/>
    <s v="4010975"/>
    <s v="74115862986"/>
    <n v="2281.3933999999999"/>
    <n v="0"/>
    <n v="92999"/>
  </r>
  <r>
    <x v="11"/>
    <m/>
    <s v="Jonstruphus -Jonstrupvangvej 159"/>
    <n v="10206"/>
    <m/>
    <s v="Jonstruphus"/>
    <x v="66"/>
    <x v="0"/>
    <x v="2"/>
    <n v="14595.95"/>
    <n v="12"/>
    <s v="2010-07-31"/>
    <n v="0"/>
    <n v="439"/>
    <n v="33.240605000000002"/>
    <n v="2"/>
    <x v="2"/>
    <x v="1337"/>
    <n v="5838.37"/>
    <n v="0"/>
    <s v="59656"/>
    <s v="74115145355"/>
    <n v="14595.95"/>
    <n v="0"/>
    <n v="77393"/>
  </r>
  <r>
    <x v="11"/>
    <m/>
    <s v="Jonstruphus -Jonstrupvangvej 159"/>
    <n v="10206"/>
    <m/>
    <s v="Jonstruphus"/>
    <x v="66"/>
    <x v="0"/>
    <x v="3"/>
    <n v="15834.53"/>
    <n v="12"/>
    <s v="2010-07-31"/>
    <n v="0"/>
    <n v="439"/>
    <n v="36.061329000000001"/>
    <n v="2"/>
    <x v="2"/>
    <x v="1338"/>
    <n v="7426.4"/>
    <n v="0"/>
    <s v="59656"/>
    <s v="74115145355"/>
    <n v="15834.5273"/>
    <n v="0"/>
    <n v="77393"/>
  </r>
  <r>
    <x v="11"/>
    <m/>
    <s v="Jonstruphus -Jonstrupvangvej 159"/>
    <n v="10206"/>
    <m/>
    <s v="Jonstruphus"/>
    <x v="66"/>
    <x v="0"/>
    <x v="4"/>
    <n v="18417"/>
    <n v="8"/>
    <s v="2010-07-31"/>
    <n v="0"/>
    <n v="439"/>
    <n v="41.942608999999997"/>
    <n v="2"/>
    <x v="2"/>
    <x v="1339"/>
    <n v="8637.6"/>
    <n v="0"/>
    <s v="59656"/>
    <s v="74115145355"/>
    <n v="18417.0147"/>
    <n v="0"/>
    <n v="77393"/>
  </r>
  <r>
    <x v="11"/>
    <m/>
    <s v="Jonstruphus -Jonstrupvangvej 159"/>
    <n v="10206"/>
    <m/>
    <s v="Jonstruphus"/>
    <x v="66"/>
    <x v="0"/>
    <x v="5"/>
    <n v="17934.22"/>
    <n v="5"/>
    <s v="2010-07-31"/>
    <n v="0"/>
    <n v="439"/>
    <n v="40.843133000000002"/>
    <n v="2"/>
    <x v="2"/>
    <x v="1340"/>
    <n v="8411.17"/>
    <n v="0"/>
    <s v="59656"/>
    <s v="74115145355"/>
    <n v="17934.226200000001"/>
    <n v="0"/>
    <n v="77393"/>
  </r>
  <r>
    <x v="11"/>
    <m/>
    <s v="Jonstruphus -Jonstrupvangvej 159"/>
    <n v="10206"/>
    <m/>
    <s v="Jonstruphus"/>
    <x v="66"/>
    <x v="0"/>
    <x v="6"/>
    <n v="19854.5"/>
    <n v="4"/>
    <s v="2010-07-31"/>
    <n v="0"/>
    <n v="439"/>
    <n v="45.216351000000003"/>
    <n v="2"/>
    <x v="2"/>
    <x v="1341"/>
    <n v="9311.76"/>
    <n v="0"/>
    <s v="59656"/>
    <s v="74115145355"/>
    <n v="19854.516500000002"/>
    <n v="0"/>
    <n v="77393"/>
  </r>
  <r>
    <x v="11"/>
    <m/>
    <s v="Rørmosen Haveforening, RØR 4"/>
    <n v="14003"/>
    <s v="0"/>
    <s v="Rørmosen Haveforening, Rørmose 4"/>
    <x v="67"/>
    <x v="0"/>
    <x v="0"/>
    <n v="2308"/>
    <n v="1"/>
    <s v="2015-02-11"/>
    <n v="0"/>
    <n v="50"/>
    <n v="8.2433130000000006"/>
    <n v="2"/>
    <x v="2"/>
    <x v="1342"/>
    <n v="123.9"/>
    <n v="0"/>
    <s v="4010975"/>
    <s v="74115862986"/>
    <n v="412.98959000000002"/>
    <n v="0"/>
    <n v="92999"/>
  </r>
  <r>
    <x v="11"/>
    <m/>
    <s v="Rørmosen Haveforening, RØR 4"/>
    <n v="14003"/>
    <s v="0"/>
    <s v="Rørmosen Haveforening, Rørmose 4"/>
    <x v="67"/>
    <x v="0"/>
    <x v="1"/>
    <n v="2597.13"/>
    <n v="5"/>
    <s v="2015-02-11"/>
    <n v="0"/>
    <n v="50"/>
    <n v="51.838921999999997"/>
    <n v="2"/>
    <x v="2"/>
    <x v="1343"/>
    <n v="779.17"/>
    <n v="0"/>
    <s v="4010975"/>
    <s v="74115862986"/>
    <n v="2597.1433400000001"/>
    <n v="0"/>
    <n v="92999"/>
  </r>
  <r>
    <x v="11"/>
    <m/>
    <s v="Rørmosen Haveforening, RØR 4"/>
    <n v="14003"/>
    <s v="0"/>
    <s v="Rørmosen Haveforening, Rørmose 4"/>
    <x v="67"/>
    <x v="0"/>
    <x v="2"/>
    <n v="3216.47"/>
    <n v="3"/>
    <s v="2015-02-11"/>
    <n v="0"/>
    <n v="50"/>
    <n v="64.200997999999998"/>
    <n v="2"/>
    <x v="2"/>
    <x v="1344"/>
    <n v="1286.5899999999999"/>
    <n v="0"/>
    <s v="4010975"/>
    <s v="74115862986"/>
    <n v="3216.4736899999998"/>
    <n v="0"/>
    <n v="92999"/>
  </r>
  <r>
    <x v="8"/>
    <s v="04927-1"/>
    <s v="Regnbuen, Birkhøj 1"/>
    <n v="5274"/>
    <m/>
    <s v="Regnbuen"/>
    <x v="54"/>
    <x v="0"/>
    <x v="0"/>
    <n v="267"/>
    <n v="5"/>
    <s v="2005-07-01"/>
    <n v="0"/>
    <n v="586"/>
    <n v="0.18467800000000001"/>
    <n v="3"/>
    <x v="0"/>
    <x v="1345"/>
    <n v="86.6"/>
    <n v="0"/>
    <s v="BK 3120046/11131839"/>
    <m/>
    <n v="108.24"/>
    <n v="0"/>
    <n v="56851"/>
  </r>
  <r>
    <x v="8"/>
    <s v="04927-1"/>
    <s v="Regnbuen, Birkhøj 1"/>
    <n v="5274"/>
    <m/>
    <s v="Regnbuen"/>
    <x v="54"/>
    <x v="0"/>
    <x v="1"/>
    <n v="248.67"/>
    <n v="12"/>
    <s v="2005-07-01"/>
    <n v="0"/>
    <n v="586"/>
    <n v="0.42427900000000002"/>
    <n v="3"/>
    <x v="0"/>
    <x v="1346"/>
    <n v="198.95"/>
    <n v="0"/>
    <s v="BK 3120046/11131839"/>
    <m/>
    <n v="248.68100000000001"/>
    <n v="0"/>
    <n v="56851"/>
  </r>
  <r>
    <x v="8"/>
    <s v="04927-1"/>
    <s v="Regnbuen, Birkhøj 1"/>
    <n v="5274"/>
    <m/>
    <s v="Regnbuen"/>
    <x v="54"/>
    <x v="0"/>
    <x v="2"/>
    <n v="222.03"/>
    <n v="12"/>
    <s v="2005-07-01"/>
    <n v="0"/>
    <n v="586"/>
    <n v="0.378826"/>
    <n v="3"/>
    <x v="0"/>
    <x v="1347"/>
    <n v="177.6"/>
    <n v="0"/>
    <s v="BK 3120046/11131839"/>
    <m/>
    <n v="222.01"/>
    <n v="0"/>
    <n v="56851"/>
  </r>
  <r>
    <x v="8"/>
    <s v="04927-1"/>
    <s v="Regnbuen, Birkhøj 1"/>
    <n v="5274"/>
    <m/>
    <s v="Regnbuen"/>
    <x v="54"/>
    <x v="0"/>
    <x v="3"/>
    <n v="229.52"/>
    <n v="12"/>
    <s v="2005-07-01"/>
    <n v="0"/>
    <n v="586"/>
    <n v="0.39160499999999998"/>
    <n v="3"/>
    <x v="0"/>
    <x v="1348"/>
    <n v="183.6"/>
    <n v="0"/>
    <s v="BK 3120046/11131839"/>
    <m/>
    <n v="229.512"/>
    <n v="0"/>
    <n v="56851"/>
  </r>
  <r>
    <x v="8"/>
    <s v="04927-1"/>
    <s v="Regnbuen, Birkhøj 1"/>
    <n v="5274"/>
    <m/>
    <s v="Regnbuen"/>
    <x v="54"/>
    <x v="0"/>
    <x v="4"/>
    <n v="307.51"/>
    <n v="12"/>
    <s v="2005-07-01"/>
    <n v="0"/>
    <n v="586"/>
    <n v="0.524671"/>
    <n v="3"/>
    <x v="0"/>
    <x v="1349"/>
    <n v="246"/>
    <n v="0"/>
    <s v="BK 3120046/11131839"/>
    <m/>
    <n v="307.50099999999998"/>
    <n v="0"/>
    <n v="56851"/>
  </r>
  <r>
    <x v="8"/>
    <s v="04927-1"/>
    <s v="Regnbuen, Birkhøj 1"/>
    <n v="5274"/>
    <m/>
    <s v="Regnbuen"/>
    <x v="54"/>
    <x v="0"/>
    <x v="5"/>
    <n v="331.1"/>
    <n v="12"/>
    <s v="2005-07-01"/>
    <n v="0"/>
    <n v="586"/>
    <n v="0.56491999999999998"/>
    <n v="3"/>
    <x v="0"/>
    <x v="1350"/>
    <n v="264.86"/>
    <n v="0"/>
    <s v="BK 3120046/11131839"/>
    <m/>
    <n v="331.10500000000002"/>
    <n v="0"/>
    <n v="56851"/>
  </r>
  <r>
    <x v="8"/>
    <s v="04927-1"/>
    <s v="Regnbuen, Birkhøj 1"/>
    <n v="5274"/>
    <m/>
    <s v="Regnbuen"/>
    <x v="54"/>
    <x v="0"/>
    <x v="6"/>
    <n v="307.38"/>
    <n v="12"/>
    <s v="2005-07-01"/>
    <n v="0"/>
    <n v="586"/>
    <n v="0.52444900000000005"/>
    <n v="3"/>
    <x v="0"/>
    <x v="1351"/>
    <n v="245.91"/>
    <n v="0"/>
    <s v="BK 3120046/11131839"/>
    <m/>
    <n v="307.37799999999999"/>
    <n v="0"/>
    <n v="56851"/>
  </r>
  <r>
    <x v="8"/>
    <s v="04757-0"/>
    <s v="Solvognen, Nordtoftevej 56B"/>
    <n v="5275"/>
    <m/>
    <s v="Solvognen"/>
    <x v="68"/>
    <x v="0"/>
    <x v="0"/>
    <n v="217"/>
    <n v="5"/>
    <s v="2005-07-01"/>
    <n v="0"/>
    <n v="675"/>
    <n v="0.15611"/>
    <n v="3"/>
    <x v="0"/>
    <x v="1352"/>
    <n v="84.31"/>
    <n v="0"/>
    <s v="BK 98392294"/>
    <m/>
    <n v="105.381"/>
    <n v="0"/>
    <n v="56857"/>
  </r>
  <r>
    <x v="8"/>
    <s v="04757-0"/>
    <s v="Solvognen, Nordtoftevej 56B"/>
    <n v="5275"/>
    <m/>
    <s v="Solvognen"/>
    <x v="68"/>
    <x v="0"/>
    <x v="1"/>
    <n v="238.85"/>
    <n v="12"/>
    <s v="2005-07-01"/>
    <n v="0"/>
    <n v="675"/>
    <n v="0.35379899999999997"/>
    <n v="3"/>
    <x v="0"/>
    <x v="1353"/>
    <n v="191.08"/>
    <n v="0"/>
    <s v="BK 98392294"/>
    <m/>
    <n v="238.852"/>
    <n v="0"/>
    <n v="56857"/>
  </r>
  <r>
    <x v="8"/>
    <s v="04757-0"/>
    <s v="Solvognen, Nordtoftevej 56B"/>
    <n v="5275"/>
    <m/>
    <s v="Solvognen"/>
    <x v="68"/>
    <x v="0"/>
    <x v="2"/>
    <n v="205.45"/>
    <n v="12"/>
    <s v="2005-07-01"/>
    <n v="0"/>
    <n v="675"/>
    <n v="0.30432500000000001"/>
    <n v="3"/>
    <x v="0"/>
    <x v="1354"/>
    <n v="164.37"/>
    <n v="0"/>
    <s v="BK 98392294"/>
    <m/>
    <n v="205.46600000000001"/>
    <n v="0"/>
    <n v="56857"/>
  </r>
  <r>
    <x v="8"/>
    <s v="04757-0"/>
    <s v="Solvognen, Nordtoftevej 56B"/>
    <n v="5275"/>
    <m/>
    <s v="Solvognen"/>
    <x v="68"/>
    <x v="0"/>
    <x v="3"/>
    <n v="178.49"/>
    <n v="12"/>
    <s v="2005-07-01"/>
    <n v="0"/>
    <n v="675"/>
    <n v="0.26439000000000001"/>
    <n v="3"/>
    <x v="0"/>
    <x v="1355"/>
    <n v="142.77000000000001"/>
    <n v="0"/>
    <s v="BK 98392294"/>
    <m/>
    <n v="178.48599999999999"/>
    <n v="0"/>
    <n v="56857"/>
  </r>
  <r>
    <x v="8"/>
    <s v="04757-0"/>
    <s v="Solvognen, Nordtoftevej 56B"/>
    <n v="5275"/>
    <m/>
    <s v="Solvognen"/>
    <x v="68"/>
    <x v="0"/>
    <x v="4"/>
    <n v="81.92"/>
    <n v="12"/>
    <s v="2005-07-01"/>
    <n v="0"/>
    <n v="675"/>
    <n v="0.12134399999999999"/>
    <n v="3"/>
    <x v="0"/>
    <x v="1356"/>
    <n v="65.56"/>
    <n v="0"/>
    <s v="BK 98392294"/>
    <m/>
    <n v="81.932000000000002"/>
    <n v="0"/>
    <n v="56857"/>
  </r>
  <r>
    <x v="8"/>
    <s v="04757-0"/>
    <s v="Solvognen, Nordtoftevej 56B"/>
    <n v="5275"/>
    <m/>
    <s v="Solvognen"/>
    <x v="68"/>
    <x v="0"/>
    <x v="5"/>
    <n v="136.1"/>
    <n v="12"/>
    <s v="2005-07-01"/>
    <n v="0"/>
    <n v="675"/>
    <n v="0.201599"/>
    <n v="3"/>
    <x v="0"/>
    <x v="1357"/>
    <n v="108.89"/>
    <n v="0"/>
    <s v="BK 98392294"/>
    <m/>
    <n v="136.10900000000001"/>
    <n v="0"/>
    <n v="56857"/>
  </r>
  <r>
    <x v="8"/>
    <s v="04757-0"/>
    <s v="Solvognen, Nordtoftevej 56B"/>
    <n v="5275"/>
    <m/>
    <s v="Solvognen"/>
    <x v="68"/>
    <x v="0"/>
    <x v="6"/>
    <n v="195.97"/>
    <n v="12"/>
    <s v="2005-07-01"/>
    <n v="0"/>
    <n v="675"/>
    <n v="0.29028199999999998"/>
    <n v="3"/>
    <x v="0"/>
    <x v="1358"/>
    <n v="156.78"/>
    <n v="0"/>
    <s v="BK 98392294"/>
    <m/>
    <n v="195.965"/>
    <n v="0"/>
    <n v="56857"/>
  </r>
  <r>
    <x v="8"/>
    <m/>
    <s v="Gasværket, Birke 14A"/>
    <n v="10208"/>
    <m/>
    <s v="Gasværket"/>
    <x v="69"/>
    <x v="0"/>
    <x v="0"/>
    <n v="247"/>
    <n v="5"/>
    <s v="2011-11-30"/>
    <n v="0"/>
    <n v="741"/>
    <n v="0.195385"/>
    <n v="3"/>
    <x v="0"/>
    <x v="1359"/>
    <n v="115.84"/>
    <n v="0"/>
    <s v="41342"/>
    <m/>
    <n v="144.80000000000001"/>
    <n v="0"/>
    <n v="77412"/>
  </r>
  <r>
    <x v="8"/>
    <m/>
    <s v="Gasværket, Birke 14A"/>
    <n v="10208"/>
    <m/>
    <s v="Gasværket"/>
    <x v="69"/>
    <x v="0"/>
    <x v="1"/>
    <n v="198.9"/>
    <n v="12"/>
    <s v="2011-11-30"/>
    <n v="0"/>
    <n v="741"/>
    <n v="0.26838400000000001"/>
    <n v="3"/>
    <x v="0"/>
    <x v="1360"/>
    <n v="159.12"/>
    <n v="0"/>
    <s v="41342"/>
    <m/>
    <n v="198.9"/>
    <n v="0"/>
    <n v="77412"/>
  </r>
  <r>
    <x v="8"/>
    <m/>
    <s v="Gasværket, Birke 14A"/>
    <n v="10208"/>
    <m/>
    <s v="Gasværket"/>
    <x v="69"/>
    <x v="0"/>
    <x v="2"/>
    <n v="195.5"/>
    <n v="12"/>
    <s v="2011-11-30"/>
    <n v="0"/>
    <n v="741"/>
    <n v="0.263797"/>
    <n v="3"/>
    <x v="0"/>
    <x v="1361"/>
    <n v="156.4"/>
    <n v="0"/>
    <s v="41342"/>
    <m/>
    <n v="195.5"/>
    <n v="0"/>
    <n v="77412"/>
  </r>
  <r>
    <x v="8"/>
    <m/>
    <s v="Gasværket, Birke 14A"/>
    <n v="10208"/>
    <m/>
    <s v="Gasværket"/>
    <x v="69"/>
    <x v="0"/>
    <x v="3"/>
    <n v="183.88"/>
    <n v="6"/>
    <s v="2011-11-30"/>
    <n v="0"/>
    <n v="741"/>
    <n v="0.248117"/>
    <n v="3"/>
    <x v="0"/>
    <x v="1362"/>
    <n v="147.1"/>
    <n v="0"/>
    <s v="41342"/>
    <m/>
    <n v="183.87855999999999"/>
    <n v="0"/>
    <n v="77412"/>
  </r>
  <r>
    <x v="8"/>
    <m/>
    <s v="Gasværket, Birke 14A"/>
    <n v="10208"/>
    <m/>
    <s v="Gasværket"/>
    <x v="69"/>
    <x v="0"/>
    <x v="4"/>
    <n v="242.33"/>
    <n v="6"/>
    <s v="2011-11-30"/>
    <n v="0"/>
    <n v="741"/>
    <n v="0.326986"/>
    <n v="3"/>
    <x v="0"/>
    <x v="1363"/>
    <n v="193.86"/>
    <n v="0"/>
    <s v="41342"/>
    <m/>
    <n v="242.31729999999999"/>
    <n v="0"/>
    <n v="77412"/>
  </r>
  <r>
    <x v="8"/>
    <m/>
    <s v="Gasværket, Birke 14A"/>
    <n v="10208"/>
    <m/>
    <s v="Gasværket"/>
    <x v="69"/>
    <x v="0"/>
    <x v="5"/>
    <n v="253.61"/>
    <n v="4"/>
    <s v="2011-11-30"/>
    <n v="0"/>
    <n v="741"/>
    <n v="0.34220699999999998"/>
    <n v="3"/>
    <x v="0"/>
    <x v="1364"/>
    <n v="202.88"/>
    <n v="0"/>
    <s v="41342"/>
    <m/>
    <n v="253.61223000000001"/>
    <n v="0"/>
    <n v="77412"/>
  </r>
  <r>
    <x v="8"/>
    <m/>
    <s v="Gasværket, Birke 14A"/>
    <n v="10208"/>
    <m/>
    <s v="Gasværket"/>
    <x v="69"/>
    <x v="0"/>
    <x v="6"/>
    <n v="195.38"/>
    <n v="5"/>
    <s v="2011-11-30"/>
    <n v="0"/>
    <n v="741"/>
    <n v="0.26363500000000001"/>
    <n v="3"/>
    <x v="0"/>
    <x v="1365"/>
    <n v="156.31"/>
    <n v="0"/>
    <s v="41342"/>
    <m/>
    <n v="195.36442"/>
    <n v="0"/>
    <n v="77412"/>
  </r>
  <r>
    <x v="8"/>
    <m/>
    <s v="Palægården Poppel Alle 19"/>
    <n v="10236"/>
    <m/>
    <s v="Fællesrum"/>
    <x v="51"/>
    <x v="0"/>
    <x v="0"/>
    <n v="588"/>
    <n v="2"/>
    <s v="2015-03-25"/>
    <n v="0"/>
    <n v="696"/>
    <n v="0.14630000000000001"/>
    <n v="3"/>
    <x v="0"/>
    <x v="1366"/>
    <n v="81.459999999999994"/>
    <n v="0"/>
    <s v="42047"/>
    <m/>
    <n v="101.82980000000001"/>
    <n v="0"/>
    <n v="77525"/>
  </r>
  <r>
    <x v="8"/>
    <m/>
    <s v="Palægården Poppel Alle 19"/>
    <n v="10236"/>
    <m/>
    <s v="Fællesrum"/>
    <x v="51"/>
    <x v="0"/>
    <x v="1"/>
    <n v="630.66999999999996"/>
    <n v="7"/>
    <s v="2015-03-25"/>
    <n v="0"/>
    <n v="696"/>
    <n v="0.90600400000000003"/>
    <n v="3"/>
    <x v="0"/>
    <x v="1367"/>
    <n v="504.54"/>
    <n v="0"/>
    <s v="42047"/>
    <m/>
    <n v="630.67461000000003"/>
    <n v="0"/>
    <n v="77525"/>
  </r>
  <r>
    <x v="8"/>
    <m/>
    <s v="Palægården Poppel Alle 19"/>
    <n v="10236"/>
    <m/>
    <s v="Fællesrum"/>
    <x v="51"/>
    <x v="0"/>
    <x v="2"/>
    <n v="324.33999999999997"/>
    <n v="4"/>
    <s v="2015-03-25"/>
    <n v="0"/>
    <n v="696"/>
    <n v="0.46593800000000002"/>
    <n v="3"/>
    <x v="0"/>
    <x v="1368"/>
    <n v="259.45999999999998"/>
    <n v="0"/>
    <s v="42047"/>
    <m/>
    <n v="324.31648000000001"/>
    <n v="0"/>
    <n v="77525"/>
  </r>
  <r>
    <x v="8"/>
    <m/>
    <s v="Palægården Poppel Alle 19"/>
    <n v="10236"/>
    <m/>
    <s v="Fællesrum"/>
    <x v="51"/>
    <x v="0"/>
    <x v="3"/>
    <n v="327.19"/>
    <n v="11"/>
    <s v="2015-03-25"/>
    <n v="0"/>
    <n v="696"/>
    <n v="0.47003299999999998"/>
    <n v="3"/>
    <x v="0"/>
    <x v="1369"/>
    <n v="261.73"/>
    <n v="0"/>
    <s v="42047"/>
    <m/>
    <n v="327.17084999999997"/>
    <n v="0"/>
    <n v="77525"/>
  </r>
  <r>
    <x v="8"/>
    <m/>
    <s v="Palægården Poppel Alle 19"/>
    <n v="10236"/>
    <m/>
    <s v="Fællesrum"/>
    <x v="51"/>
    <x v="0"/>
    <x v="4"/>
    <n v="247.09"/>
    <n v="12"/>
    <s v="2015-03-25"/>
    <n v="0"/>
    <n v="696"/>
    <n v="0.35496299999999997"/>
    <n v="3"/>
    <x v="0"/>
    <x v="1370"/>
    <n v="197.69"/>
    <n v="0"/>
    <s v="42047"/>
    <m/>
    <n v="247.09523999999999"/>
    <n v="0"/>
    <n v="77525"/>
  </r>
  <r>
    <x v="8"/>
    <m/>
    <s v="Palægården Poppel Alle 19"/>
    <n v="10236"/>
    <m/>
    <s v="Fællesrum"/>
    <x v="51"/>
    <x v="0"/>
    <x v="5"/>
    <n v="252.53"/>
    <n v="11"/>
    <s v="2015-03-25"/>
    <n v="0"/>
    <n v="696"/>
    <n v="0.36277799999999999"/>
    <n v="3"/>
    <x v="0"/>
    <x v="1371"/>
    <n v="202.03"/>
    <n v="0"/>
    <s v="42047"/>
    <m/>
    <n v="252.53208000000001"/>
    <n v="0"/>
    <n v="77525"/>
  </r>
  <r>
    <x v="8"/>
    <m/>
    <s v="Palægården Poppel Alle 19"/>
    <n v="10236"/>
    <m/>
    <s v="Fællesrum"/>
    <x v="51"/>
    <x v="0"/>
    <x v="6"/>
    <n v="257.83999999999997"/>
    <n v="10"/>
    <s v="2015-03-25"/>
    <n v="0"/>
    <n v="696"/>
    <n v="0.37040600000000001"/>
    <n v="3"/>
    <x v="0"/>
    <x v="1372"/>
    <n v="206.27"/>
    <n v="0"/>
    <s v="42047"/>
    <m/>
    <n v="257.8329"/>
    <n v="0"/>
    <n v="77525"/>
  </r>
  <r>
    <x v="8"/>
    <s v="04877-1"/>
    <s v="Pilehuset, STA39"/>
    <n v="5273"/>
    <m/>
    <s v="Pilehuset"/>
    <x v="70"/>
    <x v="0"/>
    <x v="0"/>
    <n v="113"/>
    <n v="5"/>
    <s v="2005-06-01"/>
    <n v="0"/>
    <n v="457"/>
    <n v="9.5449000000000006E-2"/>
    <n v="3"/>
    <x v="0"/>
    <x v="1373"/>
    <n v="34.909999999999997"/>
    <n v="0"/>
    <s v="BK 4064533"/>
    <m/>
    <n v="43.634"/>
    <n v="0"/>
    <n v="56845"/>
  </r>
  <r>
    <x v="8"/>
    <s v="04877-1"/>
    <s v="Pilehuset, STA39"/>
    <n v="5273"/>
    <m/>
    <s v="Pilehuset"/>
    <x v="70"/>
    <x v="0"/>
    <x v="0"/>
    <n v="0"/>
    <n v="5"/>
    <s v="2005-06-01"/>
    <n v="0"/>
    <n v="457"/>
    <n v="7.8700000000000005E-4"/>
    <n v="3"/>
    <x v="0"/>
    <x v="1374"/>
    <n v="0.28000000000000003"/>
    <n v="0"/>
    <s v="BK 362032"/>
    <m/>
    <n v="0.36"/>
    <n v="0"/>
    <n v="57992"/>
  </r>
  <r>
    <x v="8"/>
    <s v="04877-1"/>
    <s v="Pilehuset, STA39"/>
    <n v="5273"/>
    <m/>
    <s v="Pilehuset"/>
    <x v="70"/>
    <x v="0"/>
    <x v="1"/>
    <n v="177.46"/>
    <n v="12"/>
    <s v="2005-06-01"/>
    <n v="0"/>
    <n v="457"/>
    <n v="0.38823000000000002"/>
    <n v="3"/>
    <x v="0"/>
    <x v="1375"/>
    <n v="141.97999999999999"/>
    <n v="0"/>
    <s v="BK 4064533"/>
    <m/>
    <n v="177.465"/>
    <n v="0"/>
    <n v="56845"/>
  </r>
  <r>
    <x v="8"/>
    <s v="04877-1"/>
    <s v="Pilehuset, STA39"/>
    <n v="5273"/>
    <m/>
    <s v="Pilehuset"/>
    <x v="70"/>
    <x v="0"/>
    <x v="1"/>
    <n v="0.52"/>
    <n v="12"/>
    <s v="2005-06-01"/>
    <n v="0"/>
    <n v="457"/>
    <n v="1.137E-3"/>
    <n v="3"/>
    <x v="0"/>
    <x v="1376"/>
    <n v="0.42"/>
    <n v="0"/>
    <s v="BK 362032"/>
    <m/>
    <n v="0.52"/>
    <n v="0"/>
    <n v="57992"/>
  </r>
  <r>
    <x v="8"/>
    <s v="04877-1"/>
    <s v="Pilehuset, STA39"/>
    <n v="5273"/>
    <m/>
    <s v="Pilehuset"/>
    <x v="70"/>
    <x v="0"/>
    <x v="2"/>
    <n v="216.27"/>
    <n v="12"/>
    <s v="2005-06-01"/>
    <n v="0"/>
    <n v="457"/>
    <n v="0.473134"/>
    <n v="3"/>
    <x v="0"/>
    <x v="1377"/>
    <n v="173.02"/>
    <n v="0"/>
    <s v="BK 4064533"/>
    <m/>
    <n v="216.27600000000001"/>
    <n v="0"/>
    <n v="56845"/>
  </r>
  <r>
    <x v="8"/>
    <s v="04877-1"/>
    <s v="Pilehuset, STA39"/>
    <n v="5273"/>
    <m/>
    <s v="Pilehuset"/>
    <x v="70"/>
    <x v="0"/>
    <x v="2"/>
    <n v="23.41"/>
    <n v="12"/>
    <s v="2005-06-01"/>
    <n v="0"/>
    <n v="457"/>
    <n v="5.1214000000000003E-2"/>
    <n v="3"/>
    <x v="0"/>
    <x v="1378"/>
    <n v="18.71"/>
    <n v="0"/>
    <s v="BK 362032"/>
    <m/>
    <n v="23.41"/>
    <n v="0"/>
    <n v="57992"/>
  </r>
  <r>
    <x v="8"/>
    <s v="04877-1"/>
    <s v="Pilehuset, STA39"/>
    <n v="5273"/>
    <m/>
    <s v="Pilehuset"/>
    <x v="70"/>
    <x v="0"/>
    <x v="3"/>
    <n v="225.32"/>
    <n v="12"/>
    <s v="2005-06-01"/>
    <n v="0"/>
    <n v="457"/>
    <n v="0.49293300000000001"/>
    <n v="3"/>
    <x v="0"/>
    <x v="1379"/>
    <n v="180.24"/>
    <n v="0"/>
    <s v="BK 4064533"/>
    <m/>
    <n v="225.31100000000001"/>
    <n v="0"/>
    <n v="56845"/>
  </r>
  <r>
    <x v="8"/>
    <s v="04877-1"/>
    <s v="Pilehuset, STA39"/>
    <n v="5273"/>
    <m/>
    <s v="Pilehuset"/>
    <x v="70"/>
    <x v="0"/>
    <x v="3"/>
    <n v="0.57999999999999996"/>
    <n v="12"/>
    <s v="2005-06-01"/>
    <n v="0"/>
    <n v="457"/>
    <n v="1.268E-3"/>
    <n v="3"/>
    <x v="0"/>
    <x v="1380"/>
    <n v="0.48"/>
    <n v="0"/>
    <s v="BK 362032"/>
    <m/>
    <n v="0.57999999999999996"/>
    <n v="0"/>
    <n v="57992"/>
  </r>
  <r>
    <x v="8"/>
    <s v="04877-1"/>
    <s v="Pilehuset, STA39"/>
    <n v="5273"/>
    <m/>
    <s v="Pilehuset"/>
    <x v="70"/>
    <x v="0"/>
    <x v="4"/>
    <n v="198.57"/>
    <n v="12"/>
    <s v="2005-06-01"/>
    <n v="0"/>
    <n v="457"/>
    <n v="0.43441200000000002"/>
    <n v="3"/>
    <x v="0"/>
    <x v="1381"/>
    <n v="158.86000000000001"/>
    <n v="0"/>
    <s v="BK 4064533"/>
    <m/>
    <n v="198.57499999999999"/>
    <n v="0"/>
    <n v="56845"/>
  </r>
  <r>
    <x v="8"/>
    <s v="04877-1"/>
    <s v="Pilehuset, STA39"/>
    <n v="5273"/>
    <m/>
    <s v="Pilehuset"/>
    <x v="70"/>
    <x v="0"/>
    <x v="4"/>
    <n v="44.33"/>
    <n v="12"/>
    <s v="2005-06-01"/>
    <n v="0"/>
    <n v="457"/>
    <n v="9.6979999999999997E-2"/>
    <n v="3"/>
    <x v="0"/>
    <x v="1382"/>
    <n v="35.46"/>
    <n v="0"/>
    <s v="BK 362032"/>
    <m/>
    <n v="44.33"/>
    <n v="0"/>
    <n v="57992"/>
  </r>
  <r>
    <x v="8"/>
    <s v="04877-1"/>
    <s v="Pilehuset, STA39"/>
    <n v="5273"/>
    <m/>
    <s v="Pilehuset"/>
    <x v="70"/>
    <x v="0"/>
    <x v="5"/>
    <n v="215.33"/>
    <n v="12"/>
    <s v="2005-06-01"/>
    <n v="0"/>
    <n v="457"/>
    <n v="0.471078"/>
    <n v="3"/>
    <x v="0"/>
    <x v="1383"/>
    <n v="172.26"/>
    <n v="0"/>
    <s v="BK 4064533"/>
    <m/>
    <n v="215.33699999999999"/>
    <n v="0"/>
    <n v="56845"/>
  </r>
  <r>
    <x v="8"/>
    <s v="04877-1"/>
    <s v="Pilehuset, STA39"/>
    <n v="5273"/>
    <m/>
    <s v="Pilehuset"/>
    <x v="70"/>
    <x v="0"/>
    <x v="5"/>
    <n v="152.37"/>
    <n v="12"/>
    <s v="2005-06-01"/>
    <n v="0"/>
    <n v="457"/>
    <n v="0.33334000000000003"/>
    <n v="3"/>
    <x v="0"/>
    <x v="1384"/>
    <n v="121.91"/>
    <n v="0"/>
    <s v="BK 362032"/>
    <m/>
    <n v="152.37"/>
    <n v="0"/>
    <n v="57992"/>
  </r>
  <r>
    <x v="8"/>
    <s v="04877-1"/>
    <s v="Pilehuset, STA39"/>
    <n v="5273"/>
    <m/>
    <s v="Pilehuset"/>
    <x v="70"/>
    <x v="0"/>
    <x v="6"/>
    <n v="191.39"/>
    <n v="12"/>
    <s v="2005-06-01"/>
    <n v="0"/>
    <n v="457"/>
    <n v="0.41870400000000002"/>
    <n v="3"/>
    <x v="0"/>
    <x v="1385"/>
    <n v="153.11000000000001"/>
    <n v="0"/>
    <s v="BK 4064533"/>
    <m/>
    <n v="191.38900000000001"/>
    <n v="0"/>
    <n v="56845"/>
  </r>
  <r>
    <x v="8"/>
    <s v="04877-1"/>
    <s v="Pilehuset, STA39"/>
    <n v="5273"/>
    <m/>
    <s v="Pilehuset"/>
    <x v="70"/>
    <x v="0"/>
    <x v="6"/>
    <n v="65.64"/>
    <n v="12"/>
    <s v="2005-06-01"/>
    <n v="0"/>
    <n v="457"/>
    <n v="0.14360000000000001"/>
    <n v="3"/>
    <x v="0"/>
    <x v="1386"/>
    <n v="52.5"/>
    <n v="0"/>
    <s v="BK 362032"/>
    <m/>
    <n v="65.64"/>
    <n v="0"/>
    <n v="57992"/>
  </r>
  <r>
    <x v="8"/>
    <m/>
    <s v="Solbjerggård Fritidsklub"/>
    <n v="10211"/>
    <m/>
    <s v="Solbjerggård Fritidsklub"/>
    <x v="71"/>
    <x v="0"/>
    <x v="0"/>
    <n v="247"/>
    <n v="1"/>
    <s v="2015-03-05"/>
    <n v="0"/>
    <n v="1107"/>
    <n v="1.8200000000000001E-2"/>
    <n v="3"/>
    <x v="0"/>
    <x v="1387"/>
    <n v="16.11"/>
    <n v="0"/>
    <s v="00389371"/>
    <m/>
    <n v="20.149799999999999"/>
    <n v="0"/>
    <n v="77438"/>
  </r>
  <r>
    <x v="8"/>
    <m/>
    <s v="Solbjerggård Fritidsklub"/>
    <n v="10211"/>
    <m/>
    <s v="Solbjerggård Fritidsklub"/>
    <x v="71"/>
    <x v="0"/>
    <x v="1"/>
    <n v="217.57"/>
    <n v="3"/>
    <s v="2015-03-05"/>
    <n v="0"/>
    <n v="1107"/>
    <n v="0.196522"/>
    <n v="3"/>
    <x v="0"/>
    <x v="1388"/>
    <n v="174.04"/>
    <n v="0"/>
    <s v="00389371"/>
    <m/>
    <n v="217.55937"/>
    <n v="0"/>
    <n v="77438"/>
  </r>
  <r>
    <x v="8"/>
    <m/>
    <s v="Solbjerggård Fritidsklub"/>
    <n v="10211"/>
    <m/>
    <s v="Solbjerggård Fritidsklub"/>
    <x v="71"/>
    <x v="0"/>
    <x v="2"/>
    <n v="212.22"/>
    <n v="6"/>
    <s v="2015-03-05"/>
    <n v="0"/>
    <n v="1107"/>
    <n v="0.19169"/>
    <n v="3"/>
    <x v="0"/>
    <x v="1389"/>
    <n v="169.75"/>
    <n v="0"/>
    <s v="00389371"/>
    <m/>
    <n v="212.19969"/>
    <n v="0"/>
    <n v="77438"/>
  </r>
  <r>
    <x v="8"/>
    <m/>
    <s v="Solbjerggård Fritidsklub"/>
    <n v="10211"/>
    <m/>
    <s v="Solbjerggård Fritidsklub"/>
    <x v="71"/>
    <x v="0"/>
    <x v="3"/>
    <n v="224.37"/>
    <n v="4"/>
    <s v="2015-03-05"/>
    <n v="0"/>
    <n v="1107"/>
    <n v="0.20266400000000001"/>
    <n v="3"/>
    <x v="0"/>
    <x v="1390"/>
    <n v="179.5"/>
    <n v="0"/>
    <s v="00389371"/>
    <m/>
    <n v="224.37454"/>
    <n v="0"/>
    <n v="77438"/>
  </r>
  <r>
    <x v="8"/>
    <m/>
    <s v="Solbjerggård Fritidsklub"/>
    <n v="10211"/>
    <m/>
    <s v="Solbjerggård Fritidsklub"/>
    <x v="71"/>
    <x v="0"/>
    <x v="4"/>
    <n v="291.33999999999997"/>
    <n v="11"/>
    <s v="2015-03-05"/>
    <n v="0"/>
    <n v="1107"/>
    <n v="0.26315499999999997"/>
    <n v="3"/>
    <x v="0"/>
    <x v="1391"/>
    <n v="233.08"/>
    <n v="0"/>
    <s v="00389371"/>
    <m/>
    <n v="291.33713999999998"/>
    <n v="0"/>
    <n v="77438"/>
  </r>
  <r>
    <x v="8"/>
    <m/>
    <s v="Solbjerggård Fritidsklub"/>
    <n v="10211"/>
    <m/>
    <s v="Solbjerggård Fritidsklub"/>
    <x v="71"/>
    <x v="0"/>
    <x v="5"/>
    <n v="316.04000000000002"/>
    <n v="13"/>
    <s v="2015-03-05"/>
    <n v="0"/>
    <n v="1107"/>
    <n v="0.285466"/>
    <n v="3"/>
    <x v="0"/>
    <x v="1392"/>
    <n v="252.83"/>
    <n v="0"/>
    <s v="00389371"/>
    <m/>
    <n v="316.02856000000003"/>
    <n v="0"/>
    <n v="77438"/>
  </r>
  <r>
    <x v="8"/>
    <m/>
    <s v="Solbjerggård Fritidsklub"/>
    <n v="10211"/>
    <m/>
    <s v="Solbjerggård Fritidsklub"/>
    <x v="71"/>
    <x v="0"/>
    <x v="6"/>
    <n v="409.38"/>
    <n v="13"/>
    <s v="2015-03-05"/>
    <n v="0"/>
    <n v="1107"/>
    <n v="0.36977599999999999"/>
    <n v="3"/>
    <x v="0"/>
    <x v="1393"/>
    <n v="327.52"/>
    <n v="0"/>
    <s v="00389371"/>
    <m/>
    <n v="409.39172000000002"/>
    <n v="0"/>
    <n v="77438"/>
  </r>
  <r>
    <x v="8"/>
    <s v="04730-9"/>
    <s v="Tivolihuset, Hvilebækgårdsvej 19"/>
    <n v="5250"/>
    <m/>
    <s v="Tivolihuset"/>
    <x v="72"/>
    <x v="0"/>
    <x v="0"/>
    <n v="127"/>
    <n v="5"/>
    <s v="2005-05-01"/>
    <n v="0"/>
    <n v="417"/>
    <n v="0.14279500000000001"/>
    <n v="3"/>
    <x v="0"/>
    <x v="1394"/>
    <n v="47.64"/>
    <n v="0"/>
    <s v="BK 04016456"/>
    <m/>
    <n v="59.555"/>
    <n v="0"/>
    <n v="57497"/>
  </r>
  <r>
    <x v="8"/>
    <s v="04730-9"/>
    <s v="Tivolihuset, Hvilebækgårdsvej 19"/>
    <n v="5250"/>
    <m/>
    <s v="Tivolihuset"/>
    <x v="72"/>
    <x v="0"/>
    <x v="1"/>
    <n v="131.77000000000001"/>
    <n v="12"/>
    <s v="2005-05-01"/>
    <n v="0"/>
    <n v="417"/>
    <n v="0.31591900000000001"/>
    <n v="3"/>
    <x v="0"/>
    <x v="1395"/>
    <n v="105.4"/>
    <n v="0"/>
    <s v="BK 04016456"/>
    <m/>
    <n v="131.78"/>
    <n v="0"/>
    <n v="57497"/>
  </r>
  <r>
    <x v="8"/>
    <s v="04730-9"/>
    <s v="Tivolihuset, Hvilebækgårdsvej 19"/>
    <n v="5250"/>
    <m/>
    <s v="Tivolihuset"/>
    <x v="72"/>
    <x v="0"/>
    <x v="2"/>
    <n v="212.16"/>
    <n v="12"/>
    <s v="2005-05-01"/>
    <n v="0"/>
    <n v="417"/>
    <n v="0.50865400000000005"/>
    <n v="3"/>
    <x v="0"/>
    <x v="1396"/>
    <n v="169.73"/>
    <n v="0"/>
    <s v="BK 04016456"/>
    <m/>
    <n v="212.15799999999999"/>
    <n v="0"/>
    <n v="57497"/>
  </r>
  <r>
    <x v="8"/>
    <s v="04730-9"/>
    <s v="Tivolihuset, Hvilebækgårdsvej 19"/>
    <n v="5250"/>
    <m/>
    <s v="Tivolihuset"/>
    <x v="72"/>
    <x v="0"/>
    <x v="3"/>
    <n v="162.69"/>
    <n v="12"/>
    <s v="2005-05-01"/>
    <n v="0"/>
    <n v="417"/>
    <n v="0.39005000000000001"/>
    <n v="3"/>
    <x v="0"/>
    <x v="1397"/>
    <n v="130.15"/>
    <n v="0"/>
    <s v="BK 04016456"/>
    <m/>
    <n v="162.69"/>
    <n v="0"/>
    <n v="57497"/>
  </r>
  <r>
    <x v="8"/>
    <s v="04730-9"/>
    <s v="Tivolihuset, Hvilebækgårdsvej 19"/>
    <n v="5250"/>
    <m/>
    <s v="Tivolihuset"/>
    <x v="72"/>
    <x v="0"/>
    <x v="4"/>
    <n v="232.89"/>
    <n v="12"/>
    <s v="2005-05-01"/>
    <n v="0"/>
    <n v="417"/>
    <n v="0.55835500000000005"/>
    <n v="3"/>
    <x v="0"/>
    <x v="1398"/>
    <n v="186.3"/>
    <n v="0"/>
    <s v="BK 04016456"/>
    <m/>
    <n v="232.887"/>
    <n v="0"/>
    <n v="57497"/>
  </r>
  <r>
    <x v="8"/>
    <s v="04730-9"/>
    <s v="Tivolihuset, Hvilebækgårdsvej 19"/>
    <n v="5250"/>
    <m/>
    <s v="Tivolihuset"/>
    <x v="72"/>
    <x v="0"/>
    <x v="5"/>
    <n v="294.3"/>
    <n v="12"/>
    <s v="2005-05-01"/>
    <n v="0"/>
    <n v="417"/>
    <n v="0.70558600000000005"/>
    <n v="3"/>
    <x v="0"/>
    <x v="1399"/>
    <n v="235.44"/>
    <n v="0"/>
    <s v="BK 04016456"/>
    <m/>
    <n v="294.29399999999998"/>
    <n v="0"/>
    <n v="57497"/>
  </r>
  <r>
    <x v="8"/>
    <s v="04730-9"/>
    <s v="Tivolihuset, Hvilebækgårdsvej 19"/>
    <n v="5250"/>
    <m/>
    <s v="Tivolihuset"/>
    <x v="72"/>
    <x v="0"/>
    <x v="6"/>
    <n v="335.42"/>
    <n v="12"/>
    <s v="2005-05-01"/>
    <n v="0"/>
    <n v="417"/>
    <n v="0.80417099999999997"/>
    <n v="3"/>
    <x v="0"/>
    <x v="1400"/>
    <n v="268.33"/>
    <n v="0"/>
    <s v="BK 04016456"/>
    <m/>
    <n v="335.40800000000002"/>
    <n v="0"/>
    <n v="57497"/>
  </r>
  <r>
    <x v="8"/>
    <m/>
    <s v="Ungehuset, Klub Furesø"/>
    <n v="5941"/>
    <m/>
    <s v="Ungehuset, Klub Furesø"/>
    <x v="73"/>
    <x v="0"/>
    <x v="0"/>
    <n v="23"/>
    <n v="5"/>
    <s v="2012-01-25"/>
    <n v="0"/>
    <n v="550"/>
    <n v="3.6011000000000001E-2"/>
    <n v="3"/>
    <x v="0"/>
    <x v="1401"/>
    <n v="15.85"/>
    <n v="0"/>
    <s v="03458115"/>
    <m/>
    <n v="19.806999999999999"/>
    <n v="0"/>
    <n v="59941"/>
  </r>
  <r>
    <x v="8"/>
    <m/>
    <s v="Ungehuset, Klub Furesø"/>
    <n v="5941"/>
    <m/>
    <s v="Ungehuset, Klub Furesø"/>
    <x v="73"/>
    <x v="0"/>
    <x v="1"/>
    <n v="56.4"/>
    <n v="12"/>
    <s v="2012-01-25"/>
    <n v="0"/>
    <n v="550"/>
    <n v="0.10252600000000001"/>
    <n v="3"/>
    <x v="0"/>
    <x v="1402"/>
    <n v="45.11"/>
    <n v="0"/>
    <s v="03458115"/>
    <m/>
    <n v="56.390999999999998"/>
    <n v="0"/>
    <n v="59941"/>
  </r>
  <r>
    <x v="8"/>
    <m/>
    <s v="Ungehuset, Klub Furesø"/>
    <n v="5941"/>
    <m/>
    <s v="Ungehuset, Klub Furesø"/>
    <x v="73"/>
    <x v="0"/>
    <x v="2"/>
    <n v="52.96"/>
    <n v="12"/>
    <s v="2012-01-25"/>
    <n v="0"/>
    <n v="550"/>
    <n v="9.6272999999999997E-2"/>
    <n v="3"/>
    <x v="0"/>
    <x v="1403"/>
    <n v="42.36"/>
    <n v="0"/>
    <s v="03458115"/>
    <m/>
    <n v="52.953510000000001"/>
    <n v="0"/>
    <n v="59941"/>
  </r>
  <r>
    <x v="8"/>
    <m/>
    <s v="Ungehuset, Klub Furesø"/>
    <n v="5941"/>
    <m/>
    <s v="Ungehuset, Klub Furesø"/>
    <x v="73"/>
    <x v="0"/>
    <x v="3"/>
    <n v="271.68"/>
    <n v="4"/>
    <s v="2012-01-25"/>
    <n v="0"/>
    <n v="550"/>
    <n v="0.49387300000000001"/>
    <n v="3"/>
    <x v="0"/>
    <x v="1404"/>
    <n v="217.31"/>
    <n v="0"/>
    <s v="03458115"/>
    <m/>
    <n v="271.65505000000002"/>
    <n v="0"/>
    <n v="59941"/>
  </r>
  <r>
    <x v="8"/>
    <m/>
    <s v="Ungehuset, Klub Furesø"/>
    <n v="5941"/>
    <m/>
    <s v="Ungehuset, Klub Furesø"/>
    <x v="73"/>
    <x v="0"/>
    <x v="4"/>
    <n v="150.56"/>
    <n v="4"/>
    <s v="2012-01-25"/>
    <n v="0"/>
    <n v="550"/>
    <n v="0.27369500000000002"/>
    <n v="3"/>
    <x v="0"/>
    <x v="1405"/>
    <n v="120.45"/>
    <n v="0"/>
    <s v="03458115"/>
    <m/>
    <n v="150.5718"/>
    <n v="0"/>
    <n v="59941"/>
  </r>
  <r>
    <x v="8"/>
    <m/>
    <s v="Ungehuset, Klub Furesø"/>
    <n v="5941"/>
    <m/>
    <s v="Ungehuset, Klub Furesø"/>
    <x v="73"/>
    <x v="0"/>
    <x v="5"/>
    <n v="128.74"/>
    <n v="2"/>
    <s v="2012-01-25"/>
    <n v="0"/>
    <n v="550"/>
    <n v="0.23402999999999999"/>
    <n v="3"/>
    <x v="0"/>
    <x v="1406"/>
    <n v="102.99"/>
    <n v="0"/>
    <s v="03458115"/>
    <m/>
    <n v="128.7321"/>
    <n v="0"/>
    <n v="59941"/>
  </r>
  <r>
    <x v="8"/>
    <m/>
    <s v="Ungehuset, Klub Furesø"/>
    <n v="5941"/>
    <m/>
    <s v="Ungehuset, Klub Furesø"/>
    <x v="73"/>
    <x v="0"/>
    <x v="6"/>
    <n v="156.61000000000001"/>
    <n v="8"/>
    <s v="2012-01-25"/>
    <n v="0"/>
    <n v="550"/>
    <n v="0.28469299999999997"/>
    <n v="3"/>
    <x v="0"/>
    <x v="1407"/>
    <n v="125.28"/>
    <n v="0"/>
    <s v="03458115"/>
    <m/>
    <n v="156.60677999999999"/>
    <n v="0"/>
    <n v="59941"/>
  </r>
  <r>
    <x v="8"/>
    <s v="04927-1"/>
    <s v="Regnbuen, Birkhøj 1"/>
    <n v="5274"/>
    <m/>
    <s v="Regnbuen"/>
    <x v="54"/>
    <x v="0"/>
    <x v="0"/>
    <n v="60112"/>
    <n v="5"/>
    <s v="2005-08-01"/>
    <n v="0"/>
    <n v="586"/>
    <n v="64.024910000000006"/>
    <n v="1"/>
    <x v="1"/>
    <x v="1408"/>
    <n v="7764474.0499999998"/>
    <n v="0"/>
    <s v="4824613"/>
    <m/>
    <n v="37525"/>
    <n v="0"/>
    <n v="56850"/>
  </r>
  <r>
    <x v="8"/>
    <s v="04927-1"/>
    <s v="Regnbuen, Birkhøj 1"/>
    <n v="5274"/>
    <m/>
    <s v="Regnbuen"/>
    <x v="54"/>
    <x v="0"/>
    <x v="1"/>
    <n v="78343"/>
    <n v="12"/>
    <s v="2005-08-01"/>
    <n v="0"/>
    <n v="586"/>
    <n v="133.66831500000001"/>
    <n v="1"/>
    <x v="1"/>
    <x v="1409"/>
    <n v="15378.3"/>
    <n v="0"/>
    <s v="4824613"/>
    <m/>
    <n v="78343"/>
    <n v="0"/>
    <n v="56850"/>
  </r>
  <r>
    <x v="8"/>
    <s v="04927-1"/>
    <s v="Regnbuen, Birkhøj 1"/>
    <n v="5274"/>
    <m/>
    <s v="Regnbuen"/>
    <x v="54"/>
    <x v="0"/>
    <x v="2"/>
    <n v="92554"/>
    <n v="12"/>
    <s v="2005-08-01"/>
    <n v="0"/>
    <n v="586"/>
    <n v="157.915031"/>
    <n v="1"/>
    <x v="1"/>
    <x v="1410"/>
    <n v="18164.98"/>
    <n v="0"/>
    <s v="4824613"/>
    <m/>
    <n v="92554"/>
    <n v="0"/>
    <n v="56850"/>
  </r>
  <r>
    <x v="8"/>
    <s v="04927-1"/>
    <s v="Regnbuen, Birkhøj 1"/>
    <n v="5274"/>
    <m/>
    <s v="Regnbuen"/>
    <x v="54"/>
    <x v="0"/>
    <x v="3"/>
    <n v="96553"/>
    <n v="12"/>
    <s v="2005-08-01"/>
    <n v="0"/>
    <n v="586"/>
    <n v="164.73809900000001"/>
    <n v="1"/>
    <x v="1"/>
    <x v="1411"/>
    <n v="20079.3"/>
    <n v="0"/>
    <s v="4824613"/>
    <m/>
    <n v="96553"/>
    <n v="0"/>
    <n v="56850"/>
  </r>
  <r>
    <x v="8"/>
    <s v="04927-1"/>
    <s v="Regnbuen, Birkhøj 1"/>
    <n v="5274"/>
    <m/>
    <s v="Regnbuen"/>
    <x v="54"/>
    <x v="0"/>
    <x v="4"/>
    <n v="97479"/>
    <n v="12"/>
    <s v="2005-08-01"/>
    <n v="0"/>
    <n v="586"/>
    <n v="166.31803400000001"/>
    <n v="1"/>
    <x v="1"/>
    <x v="1412"/>
    <n v="16461.88"/>
    <n v="0"/>
    <s v="4824613"/>
    <m/>
    <n v="97479"/>
    <n v="0"/>
    <n v="56850"/>
  </r>
  <r>
    <x v="8"/>
    <s v="04927-1"/>
    <s v="Regnbuen, Birkhøj 1"/>
    <n v="5274"/>
    <m/>
    <s v="Regnbuen"/>
    <x v="54"/>
    <x v="0"/>
    <x v="5"/>
    <n v="74798"/>
    <n v="12"/>
    <s v="2005-08-01"/>
    <n v="0"/>
    <n v="586"/>
    <n v="127.61986"/>
    <n v="1"/>
    <x v="1"/>
    <x v="1413"/>
    <n v="14727.44"/>
    <n v="0"/>
    <s v="4824613"/>
    <m/>
    <n v="74798"/>
    <n v="0"/>
    <n v="56850"/>
  </r>
  <r>
    <x v="8"/>
    <s v="04927-1"/>
    <s v="Regnbuen, Birkhøj 1"/>
    <n v="5274"/>
    <m/>
    <s v="Regnbuen"/>
    <x v="54"/>
    <x v="0"/>
    <x v="6"/>
    <n v="50187"/>
    <n v="12"/>
    <s v="2005-08-01"/>
    <n v="0"/>
    <n v="586"/>
    <n v="85.628731999999999"/>
    <n v="1"/>
    <x v="1"/>
    <x v="1414"/>
    <n v="10389.93"/>
    <n v="0"/>
    <s v="4824613"/>
    <m/>
    <n v="50187"/>
    <n v="0"/>
    <n v="56850"/>
  </r>
  <r>
    <x v="8"/>
    <s v="04757-0"/>
    <s v="Solvognen, Nordtoftevej 56B"/>
    <n v="5275"/>
    <m/>
    <s v="Solvognen"/>
    <x v="68"/>
    <x v="0"/>
    <x v="0"/>
    <n v="97866"/>
    <n v="5"/>
    <s v="2005-05-01"/>
    <n v="0"/>
    <n v="675"/>
    <n v="72.606369000000001"/>
    <n v="1"/>
    <x v="4"/>
    <x v="1415"/>
    <n v="11501.21"/>
    <n v="0"/>
    <s v="1541448"/>
    <s v="98001998814"/>
    <n v="4538.57"/>
    <n v="0"/>
    <n v="56856"/>
  </r>
  <r>
    <x v="8"/>
    <s v="04757-0"/>
    <s v="Solvognen, Nordtoftevej 56B"/>
    <n v="5275"/>
    <m/>
    <s v="Solvognen"/>
    <x v="68"/>
    <x v="0"/>
    <x v="1"/>
    <n v="90976.07"/>
    <n v="12"/>
    <s v="2005-05-01"/>
    <n v="0"/>
    <n v="675"/>
    <n v="134.759398"/>
    <n v="1"/>
    <x v="4"/>
    <x v="1416"/>
    <n v="20198.12"/>
    <n v="0"/>
    <s v="1541448"/>
    <s v="98001998814"/>
    <n v="8423.7099999999991"/>
    <n v="0"/>
    <n v="56856"/>
  </r>
  <r>
    <x v="8"/>
    <s v="04757-0"/>
    <s v="Solvognen, Nordtoftevej 56B"/>
    <n v="5275"/>
    <m/>
    <s v="Solvognen"/>
    <x v="68"/>
    <x v="0"/>
    <x v="2"/>
    <n v="94790.96"/>
    <n v="12"/>
    <s v="2005-05-01"/>
    <n v="0"/>
    <n v="675"/>
    <n v="140.41024999999999"/>
    <n v="1"/>
    <x v="4"/>
    <x v="1417"/>
    <n v="21082.06"/>
    <n v="0"/>
    <s v="1541448"/>
    <s v="98001998814"/>
    <n v="8776.94"/>
    <n v="0"/>
    <n v="56856"/>
  </r>
  <r>
    <x v="8"/>
    <s v="04757-0"/>
    <s v="Solvognen, Nordtoftevej 56B"/>
    <n v="5275"/>
    <m/>
    <s v="Solvognen"/>
    <x v="68"/>
    <x v="0"/>
    <x v="3"/>
    <n v="110862.86"/>
    <n v="12"/>
    <s v="2005-05-01"/>
    <n v="0"/>
    <n v="675"/>
    <n v="164.21694500000001"/>
    <n v="1"/>
    <x v="4"/>
    <x v="1418"/>
    <n v="26157.02"/>
    <n v="0"/>
    <s v="1541448"/>
    <s v="98001998814"/>
    <n v="10265.08"/>
    <n v="0"/>
    <n v="56856"/>
  </r>
  <r>
    <x v="8"/>
    <s v="04757-0"/>
    <s v="Solvognen, Nordtoftevej 56B"/>
    <n v="5275"/>
    <m/>
    <s v="Solvognen"/>
    <x v="68"/>
    <x v="0"/>
    <x v="4"/>
    <n v="102379.78"/>
    <n v="12"/>
    <s v="2005-05-01"/>
    <n v="0"/>
    <n v="675"/>
    <n v="151.65128100000001"/>
    <n v="1"/>
    <x v="4"/>
    <x v="1419"/>
    <n v="20186.93"/>
    <n v="0"/>
    <s v="1541448"/>
    <s v="98001998814"/>
    <n v="9479.61"/>
    <n v="0"/>
    <n v="56856"/>
  </r>
  <r>
    <x v="8"/>
    <s v="04757-0"/>
    <s v="Solvognen, Nordtoftevej 56B"/>
    <n v="5275"/>
    <m/>
    <s v="Solvognen"/>
    <x v="68"/>
    <x v="0"/>
    <x v="5"/>
    <n v="87713.279999999999"/>
    <n v="12"/>
    <s v="2005-05-01"/>
    <n v="0"/>
    <n v="675"/>
    <n v="129.92635100000001"/>
    <n v="1"/>
    <x v="4"/>
    <x v="1420"/>
    <n v="19755.650000000001"/>
    <n v="0"/>
    <s v="1541448"/>
    <s v="98001998814"/>
    <n v="8121.6"/>
    <n v="0"/>
    <n v="56856"/>
  </r>
  <r>
    <x v="8"/>
    <s v="04757-0"/>
    <s v="Solvognen, Nordtoftevej 56B"/>
    <n v="5275"/>
    <m/>
    <s v="Solvognen"/>
    <x v="68"/>
    <x v="0"/>
    <x v="6"/>
    <n v="86892.58"/>
    <n v="12"/>
    <s v="2005-05-01"/>
    <n v="0"/>
    <n v="675"/>
    <n v="128.710679"/>
    <n v="1"/>
    <x v="4"/>
    <x v="1421"/>
    <n v="21407.67"/>
    <n v="0"/>
    <s v="1541448"/>
    <s v="98001998814"/>
    <n v="8045.61"/>
    <n v="0"/>
    <n v="56856"/>
  </r>
  <r>
    <x v="8"/>
    <m/>
    <s v="Gasværket, Birke 14A"/>
    <n v="10208"/>
    <m/>
    <s v="Gasværket"/>
    <x v="69"/>
    <x v="0"/>
    <x v="7"/>
    <n v="163.5"/>
    <n v="12"/>
    <s v="2011-11-30"/>
    <n v="0"/>
    <n v="741"/>
    <n v="0.22061800000000001"/>
    <n v="3"/>
    <x v="0"/>
    <x v="1422"/>
    <n v="130.80000000000001"/>
    <n v="0"/>
    <s v="41342"/>
    <m/>
    <n v="163.5"/>
    <n v="0"/>
    <n v="77412"/>
  </r>
  <r>
    <x v="8"/>
    <s v="04927-1"/>
    <s v="Regnbuen, Birkhøj 1"/>
    <n v="5274"/>
    <m/>
    <s v="Regnbuen"/>
    <x v="54"/>
    <x v="0"/>
    <x v="1"/>
    <n v="34183.919999999998"/>
    <n v="12"/>
    <s v="2005-07-01"/>
    <n v="0"/>
    <n v="586"/>
    <n v="58.324381000000002"/>
    <n v="2"/>
    <x v="2"/>
    <x v="1423"/>
    <n v="13673.55"/>
    <n v="0"/>
    <s v="3000373"/>
    <s v="74112164694"/>
    <n v="34183.911999999997"/>
    <n v="0"/>
    <n v="56849"/>
  </r>
  <r>
    <x v="3"/>
    <m/>
    <s v="Hareskov Børnehus, Skovmose 55"/>
    <n v="9957"/>
    <m/>
    <s v="Hareskov Børnehus"/>
    <x v="33"/>
    <x v="0"/>
    <x v="7"/>
    <n v="51428.98"/>
    <n v="12"/>
    <s v="2011-12-31"/>
    <n v="0"/>
    <n v="646"/>
    <n v="79.599102000000002"/>
    <n v="1"/>
    <x v="4"/>
    <x v="1424"/>
    <n v="13037.92"/>
    <n v="0"/>
    <s v="HNG16.04.677"/>
    <s v="98004052711"/>
    <n v="4761.9399999999996"/>
    <n v="0"/>
    <n v="76350"/>
  </r>
  <r>
    <x v="8"/>
    <m/>
    <s v="Gasværket, Birke 14A"/>
    <n v="10208"/>
    <m/>
    <s v="Gasværket"/>
    <x v="69"/>
    <x v="0"/>
    <x v="0"/>
    <n v="62764"/>
    <n v="5"/>
    <s v="2011-12-30"/>
    <n v="0"/>
    <n v="741"/>
    <n v="50.286371000000003"/>
    <n v="1"/>
    <x v="4"/>
    <x v="1425"/>
    <n v="8923.0300000000007"/>
    <n v="0"/>
    <s v="1569154"/>
    <s v="98003884306"/>
    <n v="3450.6700999999998"/>
    <n v="0"/>
    <n v="77414"/>
  </r>
  <r>
    <x v="8"/>
    <m/>
    <s v="Gasværket, Birke 14A"/>
    <n v="10208"/>
    <m/>
    <s v="Gasværket"/>
    <x v="69"/>
    <x v="0"/>
    <x v="1"/>
    <n v="69834.880000000005"/>
    <n v="12"/>
    <s v="2011-12-30"/>
    <n v="0"/>
    <n v="741"/>
    <n v="94.231385000000003"/>
    <n v="1"/>
    <x v="4"/>
    <x v="1426"/>
    <n v="15336.51"/>
    <n v="0"/>
    <s v="1569154"/>
    <s v="98003884306"/>
    <n v="6466.1917000000003"/>
    <n v="0"/>
    <n v="77414"/>
  </r>
  <r>
    <x v="8"/>
    <m/>
    <s v="Gasværket, Birke 14A"/>
    <n v="10208"/>
    <m/>
    <s v="Gasværket"/>
    <x v="69"/>
    <x v="0"/>
    <x v="2"/>
    <n v="84071.62"/>
    <n v="12"/>
    <s v="2011-12-30"/>
    <n v="0"/>
    <n v="741"/>
    <n v="113.441667"/>
    <n v="1"/>
    <x v="4"/>
    <x v="1427"/>
    <n v="18687.88"/>
    <n v="0"/>
    <s v="1569154"/>
    <s v="98003884306"/>
    <n v="7784.4096"/>
    <n v="0"/>
    <n v="77414"/>
  </r>
  <r>
    <x v="8"/>
    <m/>
    <s v="Gasværket, Birke 14A"/>
    <n v="10208"/>
    <m/>
    <s v="Gasværket"/>
    <x v="69"/>
    <x v="0"/>
    <x v="3"/>
    <n v="66560.03"/>
    <n v="6"/>
    <s v="2011-12-30"/>
    <n v="0"/>
    <n v="741"/>
    <n v="89.812481000000005"/>
    <n v="1"/>
    <x v="4"/>
    <x v="1428"/>
    <n v="16549.13"/>
    <n v="0"/>
    <s v="1569154"/>
    <s v="98003884306"/>
    <n v="6162.9642899999999"/>
    <n v="0"/>
    <n v="77414"/>
  </r>
  <r>
    <x v="8"/>
    <m/>
    <s v="Gasværket, Birke 14A"/>
    <n v="10208"/>
    <m/>
    <s v="Gasværket"/>
    <x v="69"/>
    <x v="0"/>
    <x v="4"/>
    <n v="72241.19"/>
    <n v="6"/>
    <s v="2011-12-30"/>
    <n v="0"/>
    <n v="741"/>
    <n v="97.478329000000002"/>
    <n v="1"/>
    <x v="4"/>
    <x v="1429"/>
    <n v="15727.1"/>
    <n v="0"/>
    <s v="1569154"/>
    <s v="98003884306"/>
    <n v="6688.9985200000001"/>
    <n v="0"/>
    <n v="77414"/>
  </r>
  <r>
    <x v="8"/>
    <m/>
    <s v="Gasværket, Birke 14A"/>
    <n v="10208"/>
    <m/>
    <s v="Gasværket"/>
    <x v="69"/>
    <x v="0"/>
    <x v="5"/>
    <n v="78710.37"/>
    <n v="4"/>
    <s v="2011-12-30"/>
    <n v="0"/>
    <n v="741"/>
    <n v="106.207488"/>
    <n v="1"/>
    <x v="4"/>
    <x v="1430"/>
    <n v="23147.57"/>
    <n v="0"/>
    <s v="1569154"/>
    <s v="98003884306"/>
    <n v="7287.9966599999998"/>
    <n v="0"/>
    <n v="77414"/>
  </r>
  <r>
    <x v="8"/>
    <m/>
    <s v="Gasværket, Birke 14A"/>
    <n v="10208"/>
    <m/>
    <s v="Gasværket"/>
    <x v="69"/>
    <x v="0"/>
    <x v="6"/>
    <n v="66862.89"/>
    <n v="5"/>
    <s v="2011-12-30"/>
    <n v="0"/>
    <n v="741"/>
    <n v="90.221143999999995"/>
    <n v="1"/>
    <x v="4"/>
    <x v="1431"/>
    <n v="16006.36"/>
    <n v="0"/>
    <s v="1569154"/>
    <s v="98003884306"/>
    <n v="6191.00756"/>
    <n v="0"/>
    <n v="77414"/>
  </r>
  <r>
    <x v="8"/>
    <m/>
    <s v="Palægården Poppel Alle 19"/>
    <n v="10237"/>
    <m/>
    <s v="Børnehaven"/>
    <x v="51"/>
    <x v="0"/>
    <x v="0"/>
    <n v="16318"/>
    <n v="5"/>
    <s v="2010-11-09"/>
    <n v="0"/>
    <n v="0"/>
    <n v="89616.2"/>
    <n v="1"/>
    <x v="4"/>
    <x v="1432"/>
    <n v="2128.83"/>
    <n v="0"/>
    <s v="175906/96"/>
    <s v="98004884565"/>
    <n v="829.78"/>
    <n v="0"/>
    <n v="77527"/>
  </r>
  <r>
    <x v="8"/>
    <m/>
    <s v="Palægården Poppel Alle 19"/>
    <n v="10237"/>
    <m/>
    <s v="Børnehaven"/>
    <x v="51"/>
    <x v="0"/>
    <x v="1"/>
    <n v="20647.23"/>
    <n v="12"/>
    <s v="2010-11-09"/>
    <n v="0"/>
    <n v="0"/>
    <n v="206472.3"/>
    <n v="1"/>
    <x v="4"/>
    <x v="1433"/>
    <n v="4574.97"/>
    <n v="0"/>
    <s v="175906/96"/>
    <s v="98004884565"/>
    <n v="1911.78"/>
    <n v="0"/>
    <n v="77527"/>
  </r>
  <r>
    <x v="8"/>
    <m/>
    <s v="Palægården Poppel Alle 19"/>
    <n v="10237"/>
    <m/>
    <s v="Børnehaven"/>
    <x v="51"/>
    <x v="0"/>
    <x v="2"/>
    <n v="23197.75"/>
    <n v="12"/>
    <s v="2010-11-09"/>
    <n v="0"/>
    <n v="0"/>
    <n v="231977.5"/>
    <n v="1"/>
    <x v="4"/>
    <x v="1434"/>
    <n v="5192.17"/>
    <n v="0"/>
    <s v="175906/96"/>
    <s v="98004884565"/>
    <n v="2147.94"/>
    <n v="0"/>
    <n v="77527"/>
  </r>
  <r>
    <x v="8"/>
    <m/>
    <s v="Palægården Poppel Alle 19"/>
    <n v="10237"/>
    <m/>
    <s v="Børnehaven"/>
    <x v="51"/>
    <x v="0"/>
    <x v="3"/>
    <n v="21349.77"/>
    <n v="12"/>
    <s v="2010-11-09"/>
    <n v="0"/>
    <n v="0"/>
    <n v="213497.7"/>
    <n v="1"/>
    <x v="4"/>
    <x v="1435"/>
    <n v="4972.75"/>
    <n v="0"/>
    <s v="175906/96"/>
    <s v="98004884565"/>
    <n v="1976.83"/>
    <n v="0"/>
    <n v="77527"/>
  </r>
  <r>
    <x v="8"/>
    <m/>
    <s v="Palægården Poppel Alle 19"/>
    <n v="10237"/>
    <m/>
    <s v="Børnehaven"/>
    <x v="51"/>
    <x v="0"/>
    <x v="4"/>
    <n v="26037.91"/>
    <n v="13"/>
    <s v="2010-11-09"/>
    <n v="0"/>
    <n v="0"/>
    <n v="260379.1"/>
    <n v="1"/>
    <x v="4"/>
    <x v="1436"/>
    <n v="5043.68"/>
    <n v="0"/>
    <s v="175906/96"/>
    <s v="98004884565"/>
    <n v="2410.91743"/>
    <n v="0"/>
    <n v="77527"/>
  </r>
  <r>
    <x v="8"/>
    <m/>
    <s v="Palægården Poppel Alle 19"/>
    <n v="10237"/>
    <m/>
    <s v="Børnehaven"/>
    <x v="51"/>
    <x v="0"/>
    <x v="5"/>
    <n v="19178.86"/>
    <n v="11"/>
    <s v="2010-11-09"/>
    <n v="0"/>
    <n v="0"/>
    <n v="191788.6"/>
    <n v="1"/>
    <x v="4"/>
    <x v="1437"/>
    <n v="4275.29"/>
    <n v="0"/>
    <s v="175906/96"/>
    <s v="98004884565"/>
    <n v="1775.8204599999999"/>
    <n v="0"/>
    <n v="77527"/>
  </r>
  <r>
    <x v="8"/>
    <m/>
    <s v="Palægården Poppel Alle 19"/>
    <n v="10237"/>
    <m/>
    <s v="Børnehaven"/>
    <x v="51"/>
    <x v="0"/>
    <x v="6"/>
    <n v="17955.810000000001"/>
    <n v="10"/>
    <s v="2010-11-09"/>
    <n v="0"/>
    <n v="0"/>
    <n v="179558.1"/>
    <n v="1"/>
    <x v="4"/>
    <x v="1438"/>
    <n v="4336.58"/>
    <n v="0"/>
    <s v="175906/96"/>
    <s v="98004884565"/>
    <n v="1662.5743600000001"/>
    <n v="0"/>
    <n v="77527"/>
  </r>
  <r>
    <x v="8"/>
    <m/>
    <s v="Palægården Poppel Alle 19"/>
    <n v="10236"/>
    <m/>
    <s v="Fællesrum"/>
    <x v="51"/>
    <x v="0"/>
    <x v="0"/>
    <n v="51560"/>
    <n v="5"/>
    <s v="2010-10-31"/>
    <n v="0"/>
    <n v="696"/>
    <n v="43.697715000000002"/>
    <n v="1"/>
    <x v="4"/>
    <x v="1439"/>
    <n v="7188.71"/>
    <n v="0"/>
    <s v="175910/96"/>
    <s v="98004884572"/>
    <n v="2816.48"/>
    <n v="0"/>
    <n v="77526"/>
  </r>
  <r>
    <x v="8"/>
    <m/>
    <s v="Palægården Poppel Alle 19"/>
    <n v="10236"/>
    <m/>
    <s v="Fællesrum"/>
    <x v="51"/>
    <x v="0"/>
    <x v="1"/>
    <n v="59161.22"/>
    <n v="12"/>
    <s v="2010-10-31"/>
    <n v="0"/>
    <n v="696"/>
    <n v="84.989541000000003"/>
    <n v="1"/>
    <x v="4"/>
    <x v="1440"/>
    <n v="13099.42"/>
    <n v="0"/>
    <s v="175910/96"/>
    <s v="98004884572"/>
    <n v="5477.89"/>
    <n v="0"/>
    <n v="77526"/>
  </r>
  <r>
    <x v="8"/>
    <m/>
    <s v="Palægården Poppel Alle 19"/>
    <n v="10236"/>
    <m/>
    <s v="Fællesrum"/>
    <x v="51"/>
    <x v="0"/>
    <x v="2"/>
    <n v="71245.119999999995"/>
    <n v="12"/>
    <s v="2010-10-31"/>
    <n v="0"/>
    <n v="696"/>
    <n v="102.348972"/>
    <n v="1"/>
    <x v="4"/>
    <x v="1441"/>
    <n v="15937.16"/>
    <n v="0"/>
    <s v="175910/96"/>
    <s v="98004884572"/>
    <n v="6596.77"/>
    <n v="0"/>
    <n v="77526"/>
  </r>
  <r>
    <x v="8"/>
    <m/>
    <s v="Palægården Poppel Alle 19"/>
    <n v="10236"/>
    <m/>
    <s v="Fællesrum"/>
    <x v="51"/>
    <x v="0"/>
    <x v="3"/>
    <n v="75888.789999999994"/>
    <n v="12"/>
    <s v="2010-10-31"/>
    <n v="0"/>
    <n v="696"/>
    <n v="109.019954"/>
    <n v="1"/>
    <x v="4"/>
    <x v="1442"/>
    <n v="17593.55"/>
    <n v="0"/>
    <s v="175910/96"/>
    <s v="98004884572"/>
    <n v="7026.74"/>
    <n v="0"/>
    <n v="77526"/>
  </r>
  <r>
    <x v="8"/>
    <m/>
    <s v="Palægården Poppel Alle 19"/>
    <n v="10236"/>
    <m/>
    <s v="Fællesrum"/>
    <x v="51"/>
    <x v="0"/>
    <x v="4"/>
    <n v="88406.94"/>
    <n v="13"/>
    <s v="2010-10-31"/>
    <n v="0"/>
    <n v="696"/>
    <n v="127.00321700000001"/>
    <n v="1"/>
    <x v="4"/>
    <x v="1443"/>
    <n v="17111.97"/>
    <n v="0"/>
    <s v="175910/96"/>
    <s v="98004884572"/>
    <n v="8185.82744"/>
    <n v="0"/>
    <n v="77526"/>
  </r>
  <r>
    <x v="8"/>
    <m/>
    <s v="Palægården Poppel Alle 19"/>
    <n v="10236"/>
    <m/>
    <s v="Fællesrum"/>
    <x v="51"/>
    <x v="0"/>
    <x v="5"/>
    <n v="72654.850000000006"/>
    <n v="11"/>
    <s v="2010-10-31"/>
    <n v="0"/>
    <n v="696"/>
    <n v="104.374156"/>
    <n v="1"/>
    <x v="4"/>
    <x v="1444"/>
    <n v="16477.2"/>
    <n v="0"/>
    <s v="175910/96"/>
    <s v="98004884572"/>
    <n v="6727.30116"/>
    <n v="0"/>
    <n v="77526"/>
  </r>
  <r>
    <x v="8"/>
    <m/>
    <s v="Palægården Poppel Alle 19"/>
    <n v="10236"/>
    <m/>
    <s v="Fællesrum"/>
    <x v="51"/>
    <x v="0"/>
    <x v="6"/>
    <n v="68876.44"/>
    <n v="10"/>
    <s v="2010-10-31"/>
    <n v="0"/>
    <n v="696"/>
    <n v="98.946185"/>
    <n v="1"/>
    <x v="4"/>
    <x v="1445"/>
    <n v="16544.18"/>
    <n v="0"/>
    <s v="175910/96"/>
    <s v="98004884572"/>
    <n v="6377.4481699999997"/>
    <n v="0"/>
    <n v="77526"/>
  </r>
  <r>
    <x v="8"/>
    <m/>
    <s v="Palægården Poppel Alle 19"/>
    <n v="10238"/>
    <m/>
    <s v="Miniklub"/>
    <x v="51"/>
    <x v="0"/>
    <x v="0"/>
    <n v="15716"/>
    <n v="5"/>
    <s v="2010-10-31"/>
    <n v="0"/>
    <n v="0"/>
    <n v="88829"/>
    <n v="1"/>
    <x v="4"/>
    <x v="1446"/>
    <n v="194.51"/>
    <n v="0"/>
    <s v="176901/96"/>
    <s v="98004884589"/>
    <n v="822.49"/>
    <n v="0"/>
    <n v="77528"/>
  </r>
  <r>
    <x v="8"/>
    <m/>
    <s v="Palægården Poppel Alle 19"/>
    <n v="10238"/>
    <m/>
    <s v="Miniklub"/>
    <x v="51"/>
    <x v="0"/>
    <x v="1"/>
    <n v="22882.71"/>
    <n v="12"/>
    <s v="2010-10-31"/>
    <n v="0"/>
    <n v="0"/>
    <n v="228827.1"/>
    <n v="1"/>
    <x v="4"/>
    <x v="1447"/>
    <n v="463.69"/>
    <n v="0"/>
    <s v="176901/96"/>
    <s v="98004884589"/>
    <n v="2118.77"/>
    <n v="0"/>
    <n v="77528"/>
  </r>
  <r>
    <x v="8"/>
    <m/>
    <s v="Palægården Poppel Alle 19"/>
    <n v="10238"/>
    <m/>
    <s v="Miniklub"/>
    <x v="51"/>
    <x v="0"/>
    <x v="2"/>
    <n v="23549.49"/>
    <n v="12"/>
    <s v="2010-10-31"/>
    <n v="0"/>
    <n v="0"/>
    <n v="235494.9"/>
    <n v="1"/>
    <x v="4"/>
    <x v="1448"/>
    <n v="482.16"/>
    <n v="0"/>
    <s v="176901/96"/>
    <s v="98004884589"/>
    <n v="2180.5100000000002"/>
    <n v="0"/>
    <n v="77528"/>
  </r>
  <r>
    <x v="8"/>
    <m/>
    <s v="Palægården Poppel Alle 19"/>
    <n v="10238"/>
    <m/>
    <s v="Miniklub"/>
    <x v="51"/>
    <x v="0"/>
    <x v="3"/>
    <n v="22657.63"/>
    <n v="12"/>
    <s v="2010-10-31"/>
    <n v="0"/>
    <n v="0"/>
    <n v="226576.3"/>
    <n v="1"/>
    <x v="4"/>
    <x v="1449"/>
    <n v="483.81"/>
    <n v="0"/>
    <s v="176901/96"/>
    <s v="98004884589"/>
    <n v="2097.9299999999998"/>
    <n v="0"/>
    <n v="77528"/>
  </r>
  <r>
    <x v="8"/>
    <m/>
    <s v="Palægården Poppel Alle 19"/>
    <n v="10238"/>
    <m/>
    <s v="Miniklub"/>
    <x v="51"/>
    <x v="0"/>
    <x v="4"/>
    <n v="26093.65"/>
    <n v="11"/>
    <s v="2010-10-31"/>
    <n v="0"/>
    <n v="0"/>
    <n v="260936.5"/>
    <n v="1"/>
    <x v="4"/>
    <x v="1450"/>
    <n v="467.54"/>
    <n v="0"/>
    <s v="176901/96"/>
    <s v="98004884589"/>
    <n v="2416.0800100000001"/>
    <n v="0"/>
    <n v="77528"/>
  </r>
  <r>
    <x v="8"/>
    <m/>
    <s v="Palægården Poppel Alle 19"/>
    <n v="10238"/>
    <m/>
    <s v="Miniklub"/>
    <x v="51"/>
    <x v="0"/>
    <x v="5"/>
    <n v="22264.34"/>
    <n v="10"/>
    <s v="2010-10-31"/>
    <n v="0"/>
    <n v="0"/>
    <n v="222643.4"/>
    <n v="1"/>
    <x v="4"/>
    <x v="1451"/>
    <n v="479.49"/>
    <n v="0"/>
    <s v="176901/96"/>
    <s v="98004884589"/>
    <n v="2061.51361"/>
    <n v="0"/>
    <n v="77528"/>
  </r>
  <r>
    <x v="8"/>
    <m/>
    <s v="Palægården Poppel Alle 19"/>
    <n v="10238"/>
    <m/>
    <s v="Miniklub"/>
    <x v="51"/>
    <x v="0"/>
    <x v="6"/>
    <n v="22346.400000000001"/>
    <n v="9"/>
    <s v="2010-10-31"/>
    <n v="0"/>
    <n v="0"/>
    <n v="223464"/>
    <n v="1"/>
    <x v="4"/>
    <x v="1452"/>
    <n v="493.16"/>
    <n v="0"/>
    <s v="176901/96"/>
    <s v="98004884589"/>
    <n v="2069.1109099999999"/>
    <n v="0"/>
    <n v="77528"/>
  </r>
  <r>
    <x v="8"/>
    <s v="04877-1"/>
    <s v="Pilehuset, STA39"/>
    <n v="5273"/>
    <m/>
    <s v="Pilehuset"/>
    <x v="70"/>
    <x v="0"/>
    <x v="0"/>
    <n v="61549"/>
    <n v="5"/>
    <s v="2005-09-01"/>
    <n v="0"/>
    <n v="457"/>
    <n v="74.556989000000002"/>
    <n v="1"/>
    <x v="1"/>
    <x v="1453"/>
    <n v="7071158.7999999998"/>
    <n v="0"/>
    <s v="4824610"/>
    <m/>
    <n v="34080"/>
    <n v="0"/>
    <n v="56844"/>
  </r>
  <r>
    <x v="8"/>
    <s v="04877-1"/>
    <s v="Pilehuset, STA39"/>
    <n v="5273"/>
    <m/>
    <s v="Pilehuset"/>
    <x v="70"/>
    <x v="1"/>
    <x v="0"/>
    <n v="36165.58"/>
    <n v="5"/>
    <s v="2005-09-01"/>
    <n v="0"/>
    <n v="457"/>
    <n v="79.119623000000004"/>
    <n v="1"/>
    <x v="3"/>
    <x v="1454"/>
    <n v="216350.42"/>
    <n v="1"/>
    <s v="4824610"/>
    <m/>
    <n v="1036.56"/>
    <n v="0"/>
    <n v="57004"/>
  </r>
  <r>
    <x v="8"/>
    <s v="04877-1"/>
    <s v="Pilehuset, STA39"/>
    <n v="5273"/>
    <m/>
    <s v="Pilehuset"/>
    <x v="70"/>
    <x v="1"/>
    <x v="1"/>
    <n v="58497.45"/>
    <n v="12"/>
    <s v="2005-09-01"/>
    <n v="0"/>
    <n v="457"/>
    <n v="127.97516899999999"/>
    <n v="1"/>
    <x v="3"/>
    <x v="1455"/>
    <n v="315.76"/>
    <n v="1"/>
    <s v="4824610"/>
    <m/>
    <n v="1676.625"/>
    <n v="0"/>
    <n v="57004"/>
  </r>
  <r>
    <x v="8"/>
    <s v="04877-1"/>
    <s v="Pilehuset, STA39"/>
    <n v="5273"/>
    <m/>
    <s v="Pilehuset"/>
    <x v="70"/>
    <x v="0"/>
    <x v="1"/>
    <n v="56064"/>
    <n v="12"/>
    <s v="2005-09-01"/>
    <n v="0"/>
    <n v="457"/>
    <n v="122.651498"/>
    <n v="1"/>
    <x v="1"/>
    <x v="1456"/>
    <n v="10727.7"/>
    <n v="0"/>
    <s v="4824610"/>
    <m/>
    <n v="56064"/>
    <n v="0"/>
    <n v="56844"/>
  </r>
  <r>
    <x v="8"/>
    <s v="04877-1"/>
    <s v="Pilehuset, STA39"/>
    <n v="5273"/>
    <m/>
    <s v="Pilehuset"/>
    <x v="70"/>
    <x v="0"/>
    <x v="2"/>
    <n v="62902"/>
    <n v="12"/>
    <s v="2005-09-01"/>
    <n v="0"/>
    <n v="457"/>
    <n v="137.61102600000001"/>
    <n v="1"/>
    <x v="1"/>
    <x v="1457"/>
    <n v="12206.29"/>
    <n v="0"/>
    <s v="4824610"/>
    <m/>
    <n v="62902"/>
    <n v="0"/>
    <n v="56844"/>
  </r>
  <r>
    <x v="8"/>
    <s v="04877-1"/>
    <s v="Pilehuset, STA39"/>
    <n v="5273"/>
    <m/>
    <s v="Pilehuset"/>
    <x v="70"/>
    <x v="1"/>
    <x v="2"/>
    <n v="64496.77"/>
    <n v="12"/>
    <s v="2005-09-01"/>
    <n v="0"/>
    <n v="457"/>
    <n v="141.09991199999999"/>
    <n v="1"/>
    <x v="3"/>
    <x v="1458"/>
    <n v="359.22"/>
    <n v="1"/>
    <s v="4824610"/>
    <m/>
    <n v="1848.575"/>
    <n v="0"/>
    <n v="57004"/>
  </r>
  <r>
    <x v="8"/>
    <s v="04877-1"/>
    <s v="Pilehuset, STA39"/>
    <n v="5273"/>
    <m/>
    <s v="Pilehuset"/>
    <x v="70"/>
    <x v="0"/>
    <x v="3"/>
    <n v="72418"/>
    <n v="12"/>
    <s v="2005-09-01"/>
    <n v="0"/>
    <n v="457"/>
    <n v="158.429227"/>
    <n v="1"/>
    <x v="1"/>
    <x v="1459"/>
    <n v="14737.45"/>
    <n v="0"/>
    <s v="4824610"/>
    <m/>
    <n v="72418"/>
    <n v="0"/>
    <n v="56844"/>
  </r>
  <r>
    <x v="8"/>
    <s v="04877-1"/>
    <s v="Pilehuset, STA39"/>
    <n v="5273"/>
    <m/>
    <s v="Pilehuset"/>
    <x v="70"/>
    <x v="1"/>
    <x v="3"/>
    <n v="82571.37"/>
    <n v="12"/>
    <s v="2005-09-01"/>
    <n v="0"/>
    <n v="457"/>
    <n v="180.641807"/>
    <n v="1"/>
    <x v="3"/>
    <x v="1460"/>
    <n v="470.99"/>
    <n v="1"/>
    <s v="4824610"/>
    <m/>
    <n v="2366.62"/>
    <n v="0"/>
    <n v="57004"/>
  </r>
  <r>
    <x v="8"/>
    <s v="04877-1"/>
    <s v="Pilehuset, STA39"/>
    <n v="5273"/>
    <m/>
    <s v="Pilehuset"/>
    <x v="70"/>
    <x v="1"/>
    <x v="4"/>
    <n v="111271.02"/>
    <n v="12"/>
    <s v="2005-09-01"/>
    <n v="0"/>
    <n v="457"/>
    <n v="243.42817700000001"/>
    <n v="1"/>
    <x v="3"/>
    <x v="1461"/>
    <n v="529.9"/>
    <n v="1"/>
    <s v="4824610"/>
    <m/>
    <n v="3189.1952999999999"/>
    <n v="0"/>
    <n v="57004"/>
  </r>
  <r>
    <x v="8"/>
    <s v="04877-1"/>
    <s v="Pilehuset, STA39"/>
    <n v="5273"/>
    <m/>
    <s v="Pilehuset"/>
    <x v="70"/>
    <x v="0"/>
    <x v="4"/>
    <n v="83898.21"/>
    <n v="12"/>
    <s v="2005-09-01"/>
    <n v="0"/>
    <n v="457"/>
    <n v="183.54454100000001"/>
    <n v="1"/>
    <x v="1"/>
    <x v="1462"/>
    <n v="14113.69"/>
    <n v="0"/>
    <s v="4824610"/>
    <m/>
    <n v="83898.21"/>
    <n v="0"/>
    <n v="56844"/>
  </r>
  <r>
    <x v="8"/>
    <s v="04877-1"/>
    <s v="Pilehuset, STA39"/>
    <n v="5273"/>
    <m/>
    <s v="Pilehuset"/>
    <x v="70"/>
    <x v="1"/>
    <x v="5"/>
    <n v="101796.15"/>
    <n v="12"/>
    <s v="2005-09-01"/>
    <n v="0"/>
    <n v="457"/>
    <n v="222.69995599999999"/>
    <n v="1"/>
    <x v="3"/>
    <x v="1463"/>
    <n v="583.91999999999996"/>
    <n v="1"/>
    <s v="4824610"/>
    <m/>
    <n v="2917.6314000000002"/>
    <n v="0"/>
    <n v="57004"/>
  </r>
  <r>
    <x v="8"/>
    <s v="04877-1"/>
    <s v="Pilehuset, STA39"/>
    <n v="5273"/>
    <m/>
    <s v="Pilehuset"/>
    <x v="70"/>
    <x v="0"/>
    <x v="5"/>
    <n v="73459.320000000007"/>
    <n v="12"/>
    <s v="2005-09-01"/>
    <n v="0"/>
    <n v="457"/>
    <n v="160.70732799999999"/>
    <n v="1"/>
    <x v="1"/>
    <x v="1464"/>
    <n v="14596.31"/>
    <n v="0"/>
    <s v="4824610"/>
    <m/>
    <n v="73459.320000000007"/>
    <n v="0"/>
    <n v="56844"/>
  </r>
  <r>
    <x v="8"/>
    <s v="04877-1"/>
    <s v="Pilehuset, STA39"/>
    <n v="5273"/>
    <m/>
    <s v="Pilehuset"/>
    <x v="70"/>
    <x v="0"/>
    <x v="6"/>
    <n v="69988.47"/>
    <n v="12"/>
    <s v="2005-09-01"/>
    <n v="0"/>
    <n v="457"/>
    <n v="153.11413200000001"/>
    <n v="1"/>
    <x v="1"/>
    <x v="1465"/>
    <n v="14700.29"/>
    <n v="0"/>
    <s v="4824610"/>
    <m/>
    <n v="69988.47"/>
    <n v="0"/>
    <n v="56844"/>
  </r>
  <r>
    <x v="8"/>
    <s v="04877-1"/>
    <s v="Pilehuset, STA39"/>
    <n v="5273"/>
    <m/>
    <s v="Pilehuset"/>
    <x v="70"/>
    <x v="1"/>
    <x v="6"/>
    <n v="85144.960000000006"/>
    <n v="12"/>
    <s v="2005-09-01"/>
    <n v="0"/>
    <n v="457"/>
    <n v="186.272063"/>
    <n v="1"/>
    <x v="3"/>
    <x v="1466"/>
    <n v="510.11"/>
    <n v="1"/>
    <s v="4824610"/>
    <m/>
    <n v="2440.3833"/>
    <n v="0"/>
    <n v="57004"/>
  </r>
  <r>
    <x v="8"/>
    <m/>
    <s v="Solbjerggård Fritidsklub"/>
    <n v="10211"/>
    <m/>
    <s v="Solbjerggård Fritidsklub"/>
    <x v="71"/>
    <x v="0"/>
    <x v="0"/>
    <n v="76440"/>
    <n v="5"/>
    <s v="2014-02-28"/>
    <n v="0"/>
    <n v="1107"/>
    <n v="43.85331"/>
    <n v="1"/>
    <x v="5"/>
    <x v="1467"/>
    <n v="3522.91"/>
    <n v="0"/>
    <s v="7091524"/>
    <m/>
    <n v="48.55"/>
    <n v="0"/>
    <n v="77445"/>
  </r>
  <r>
    <x v="8"/>
    <m/>
    <s v="Solbjerggård Fritidsklub"/>
    <n v="10211"/>
    <m/>
    <s v="Solbjerggård Fritidsklub"/>
    <x v="71"/>
    <x v="0"/>
    <x v="1"/>
    <n v="104934"/>
    <n v="6"/>
    <s v="2014-02-28"/>
    <n v="0"/>
    <n v="1107"/>
    <n v="94.782764999999998"/>
    <n v="1"/>
    <x v="5"/>
    <x v="1468"/>
    <n v="7110.46"/>
    <n v="0"/>
    <s v="7091524"/>
    <m/>
    <n v="104.934"/>
    <n v="0"/>
    <n v="77445"/>
  </r>
  <r>
    <x v="8"/>
    <m/>
    <s v="Solbjerggård Fritidsklub"/>
    <n v="10211"/>
    <m/>
    <s v="Solbjerggård Fritidsklub"/>
    <x v="71"/>
    <x v="0"/>
    <x v="2"/>
    <n v="104364.54"/>
    <n v="6"/>
    <s v="2014-02-28"/>
    <n v="0"/>
    <n v="1107"/>
    <n v="94.268394000000001"/>
    <n v="1"/>
    <x v="5"/>
    <x v="1469"/>
    <n v="20141.7"/>
    <n v="0"/>
    <s v="7091524"/>
    <m/>
    <n v="104.36454000000001"/>
    <n v="0"/>
    <n v="77445"/>
  </r>
  <r>
    <x v="8"/>
    <m/>
    <s v="Solbjerggård Fritidsklub"/>
    <n v="10211"/>
    <m/>
    <s v="Solbjerggård Fritidsklub"/>
    <x v="71"/>
    <x v="0"/>
    <x v="3"/>
    <n v="101765.17"/>
    <n v="7"/>
    <s v="2014-02-28"/>
    <n v="0"/>
    <n v="1107"/>
    <n v="91.920484999999999"/>
    <n v="1"/>
    <x v="5"/>
    <x v="1470"/>
    <n v="21668.5"/>
    <n v="0"/>
    <s v="7091524"/>
    <m/>
    <n v="101.76517"/>
    <n v="0"/>
    <n v="77445"/>
  </r>
  <r>
    <x v="8"/>
    <m/>
    <s v="Solbjerggård Fritidsklub"/>
    <n v="10211"/>
    <m/>
    <s v="Solbjerggård Fritidsklub"/>
    <x v="71"/>
    <x v="0"/>
    <x v="4"/>
    <n v="147791.57999999999"/>
    <n v="12"/>
    <s v="2014-02-28"/>
    <n v="0"/>
    <n v="1107"/>
    <n v="133.494336"/>
    <n v="1"/>
    <x v="5"/>
    <x v="1471"/>
    <n v="24945.31"/>
    <n v="0"/>
    <s v="7091524"/>
    <m/>
    <n v="147.79158000000001"/>
    <n v="0"/>
    <n v="77445"/>
  </r>
  <r>
    <x v="8"/>
    <m/>
    <s v="Solbjerggård Fritidsklub"/>
    <n v="10211"/>
    <m/>
    <s v="Solbjerggård Fritidsklub"/>
    <x v="71"/>
    <x v="0"/>
    <x v="5"/>
    <n v="119743.44"/>
    <n v="13"/>
    <s v="2014-02-28"/>
    <n v="0"/>
    <n v="1107"/>
    <n v="108.15955099999999"/>
    <n v="1"/>
    <x v="5"/>
    <x v="1472"/>
    <n v="24944.69"/>
    <n v="0"/>
    <s v="7091524"/>
    <m/>
    <n v="119.74344000000001"/>
    <n v="0"/>
    <n v="77445"/>
  </r>
  <r>
    <x v="8"/>
    <m/>
    <s v="Solbjerggård Fritidsklub"/>
    <n v="10211"/>
    <m/>
    <s v="Solbjerggård Fritidsklub"/>
    <x v="71"/>
    <x v="0"/>
    <x v="6"/>
    <n v="106006.58"/>
    <n v="13"/>
    <s v="2014-02-28"/>
    <n v="0"/>
    <n v="1107"/>
    <n v="95.751585000000006"/>
    <n v="1"/>
    <x v="5"/>
    <x v="1473"/>
    <n v="22292.19"/>
    <n v="0"/>
    <s v="7091524"/>
    <m/>
    <n v="106.00658"/>
    <n v="0"/>
    <n v="77445"/>
  </r>
  <r>
    <x v="8"/>
    <s v="04730-9"/>
    <s v="Tivolihuset, Hvilebækgårdsvej 19"/>
    <n v="5250"/>
    <m/>
    <s v="Tivolihuset"/>
    <x v="72"/>
    <x v="0"/>
    <x v="0"/>
    <n v="43033"/>
    <n v="5"/>
    <s v="2005-09-01"/>
    <n v="0"/>
    <n v="417"/>
    <n v="59.360655999999999"/>
    <n v="1"/>
    <x v="1"/>
    <x v="1474"/>
    <n v="5150649.75"/>
    <n v="0"/>
    <s v="4824614"/>
    <m/>
    <n v="24759.332999999999"/>
    <n v="0"/>
    <n v="56672"/>
  </r>
  <r>
    <x v="8"/>
    <s v="04730-9"/>
    <s v="Tivolihuset, Hvilebækgårdsvej 19"/>
    <n v="5250"/>
    <m/>
    <s v="Tivolihuset"/>
    <x v="72"/>
    <x v="1"/>
    <x v="0"/>
    <n v="18821.18"/>
    <n v="5"/>
    <m/>
    <n v="0"/>
    <n v="417"/>
    <n v="45.123902999999999"/>
    <n v="1"/>
    <x v="3"/>
    <x v="1475"/>
    <n v="110164.93"/>
    <n v="1"/>
    <s v="4824614"/>
    <m/>
    <n v="539.44332999999995"/>
    <n v="0"/>
    <n v="57006"/>
  </r>
  <r>
    <x v="8"/>
    <s v="04730-9"/>
    <s v="Tivolihuset, Hvilebækgårdsvej 19"/>
    <n v="5250"/>
    <m/>
    <s v="Tivolihuset"/>
    <x v="72"/>
    <x v="0"/>
    <x v="1"/>
    <n v="56591"/>
    <n v="12"/>
    <s v="2005-09-01"/>
    <n v="0"/>
    <n v="417"/>
    <n v="135.67729499999999"/>
    <n v="1"/>
    <x v="1"/>
    <x v="1476"/>
    <n v="11052.56"/>
    <n v="0"/>
    <s v="4824614"/>
    <m/>
    <n v="56591"/>
    <n v="0"/>
    <n v="56672"/>
  </r>
  <r>
    <x v="8"/>
    <s v="04730-9"/>
    <s v="Tivolihuset, Hvilebækgårdsvej 19"/>
    <n v="5250"/>
    <m/>
    <s v="Tivolihuset"/>
    <x v="72"/>
    <x v="1"/>
    <x v="1"/>
    <n v="76582.5"/>
    <n v="12"/>
    <m/>
    <n v="0"/>
    <n v="417"/>
    <n v="183.60704799999999"/>
    <n v="1"/>
    <x v="3"/>
    <x v="1477"/>
    <n v="416.55"/>
    <n v="1"/>
    <s v="4824614"/>
    <m/>
    <n v="2194.9699999999998"/>
    <n v="0"/>
    <n v="57006"/>
  </r>
  <r>
    <x v="8"/>
    <s v="04730-9"/>
    <s v="Tivolihuset, Hvilebækgårdsvej 19"/>
    <n v="5250"/>
    <m/>
    <s v="Tivolihuset"/>
    <x v="72"/>
    <x v="0"/>
    <x v="2"/>
    <n v="65327"/>
    <n v="12"/>
    <s v="2005-09-01"/>
    <n v="0"/>
    <n v="417"/>
    <n v="156.62191300000001"/>
    <n v="1"/>
    <x v="1"/>
    <x v="1478"/>
    <n v="12766.18"/>
    <n v="0"/>
    <s v="4824614"/>
    <m/>
    <n v="65327"/>
    <n v="0"/>
    <n v="56672"/>
  </r>
  <r>
    <x v="8"/>
    <s v="04730-9"/>
    <s v="Tivolihuset, Hvilebækgårdsvej 19"/>
    <n v="5250"/>
    <m/>
    <s v="Tivolihuset"/>
    <x v="72"/>
    <x v="1"/>
    <x v="2"/>
    <n v="96443.29"/>
    <n v="12"/>
    <m/>
    <n v="0"/>
    <n v="417"/>
    <n v="231.223423"/>
    <n v="1"/>
    <x v="3"/>
    <x v="1479"/>
    <n v="534.55999999999995"/>
    <n v="1"/>
    <s v="4824614"/>
    <m/>
    <n v="2764.21"/>
    <n v="0"/>
    <n v="57006"/>
  </r>
  <r>
    <x v="8"/>
    <s v="04730-9"/>
    <s v="Tivolihuset, Hvilebækgårdsvej 19"/>
    <n v="5250"/>
    <m/>
    <s v="Tivolihuset"/>
    <x v="72"/>
    <x v="0"/>
    <x v="3"/>
    <n v="57978"/>
    <n v="12"/>
    <s v="2005-09-01"/>
    <n v="0"/>
    <n v="417"/>
    <n v="139.00263699999999"/>
    <n v="1"/>
    <x v="1"/>
    <x v="1480"/>
    <n v="11845.79"/>
    <n v="0"/>
    <s v="4824614"/>
    <m/>
    <n v="57978"/>
    <n v="0"/>
    <n v="56672"/>
  </r>
  <r>
    <x v="8"/>
    <s v="04730-9"/>
    <s v="Tivolihuset, Hvilebækgårdsvej 19"/>
    <n v="5250"/>
    <m/>
    <s v="Tivolihuset"/>
    <x v="72"/>
    <x v="1"/>
    <x v="3"/>
    <n v="71993.09"/>
    <n v="12"/>
    <m/>
    <n v="0"/>
    <n v="417"/>
    <n v="172.60390699999999"/>
    <n v="1"/>
    <x v="3"/>
    <x v="1481"/>
    <n v="415.9"/>
    <n v="1"/>
    <s v="4824614"/>
    <m/>
    <n v="2063.4299999999998"/>
    <n v="0"/>
    <n v="57006"/>
  </r>
  <r>
    <x v="8"/>
    <s v="04730-9"/>
    <s v="Tivolihuset, Hvilebækgårdsvej 19"/>
    <n v="5250"/>
    <m/>
    <s v="Tivolihuset"/>
    <x v="72"/>
    <x v="0"/>
    <x v="4"/>
    <n v="59625"/>
    <n v="12"/>
    <s v="2005-09-01"/>
    <n v="0"/>
    <n v="417"/>
    <n v="142.95133000000001"/>
    <n v="1"/>
    <x v="1"/>
    <x v="1482"/>
    <n v="10064.01"/>
    <n v="0"/>
    <s v="4824614"/>
    <m/>
    <n v="59625"/>
    <n v="0"/>
    <n v="56672"/>
  </r>
  <r>
    <x v="8"/>
    <s v="04730-9"/>
    <s v="Tivolihuset, Hvilebækgårdsvej 19"/>
    <n v="5250"/>
    <m/>
    <s v="Tivolihuset"/>
    <x v="72"/>
    <x v="1"/>
    <x v="4"/>
    <n v="103203.23"/>
    <n v="12"/>
    <m/>
    <n v="0"/>
    <n v="417"/>
    <n v="247.43042399999999"/>
    <n v="1"/>
    <x v="3"/>
    <x v="1483"/>
    <n v="489.63"/>
    <n v="1"/>
    <s v="4824614"/>
    <m/>
    <n v="2957.96"/>
    <n v="0"/>
    <n v="57006"/>
  </r>
  <r>
    <x v="8"/>
    <s v="04730-9"/>
    <s v="Tivolihuset, Hvilebækgårdsvej 19"/>
    <n v="5250"/>
    <m/>
    <s v="Tivolihuset"/>
    <x v="72"/>
    <x v="0"/>
    <x v="5"/>
    <n v="53333"/>
    <n v="12"/>
    <s v="2005-09-01"/>
    <n v="0"/>
    <n v="417"/>
    <n v="127.866219"/>
    <n v="1"/>
    <x v="1"/>
    <x v="1484"/>
    <n v="10510.06"/>
    <n v="0"/>
    <s v="4824614"/>
    <m/>
    <n v="53333"/>
    <n v="0"/>
    <n v="56672"/>
  </r>
  <r>
    <x v="8"/>
    <s v="04730-9"/>
    <s v="Tivolihuset, Hvilebækgårdsvej 19"/>
    <n v="5250"/>
    <m/>
    <s v="Tivolihuset"/>
    <x v="72"/>
    <x v="1"/>
    <x v="5"/>
    <n v="55130.74"/>
    <n v="12"/>
    <m/>
    <n v="0"/>
    <n v="417"/>
    <n v="132.176312"/>
    <n v="1"/>
    <x v="3"/>
    <x v="1485"/>
    <n v="308.89"/>
    <n v="1"/>
    <s v="4824614"/>
    <m/>
    <n v="1580.13"/>
    <n v="0"/>
    <n v="57006"/>
  </r>
  <r>
    <x v="8"/>
    <s v="04730-9"/>
    <s v="Tivolihuset, Hvilebækgårdsvej 19"/>
    <n v="5250"/>
    <m/>
    <s v="Tivolihuset"/>
    <x v="72"/>
    <x v="0"/>
    <x v="6"/>
    <n v="48506"/>
    <n v="12"/>
    <s v="2005-09-01"/>
    <n v="0"/>
    <n v="417"/>
    <n v="116.293454"/>
    <n v="1"/>
    <x v="1"/>
    <x v="1486"/>
    <n v="10215.17"/>
    <n v="0"/>
    <s v="4824614"/>
    <m/>
    <n v="48506"/>
    <n v="0"/>
    <n v="56672"/>
  </r>
  <r>
    <x v="8"/>
    <s v="04730-9"/>
    <s v="Tivolihuset, Hvilebækgårdsvej 19"/>
    <n v="5250"/>
    <m/>
    <s v="Tivolihuset"/>
    <x v="72"/>
    <x v="1"/>
    <x v="6"/>
    <n v="49501.24"/>
    <n v="12"/>
    <m/>
    <n v="0"/>
    <n v="417"/>
    <n v="118.67954899999999"/>
    <n v="1"/>
    <x v="3"/>
    <x v="1487"/>
    <n v="299.52"/>
    <n v="1"/>
    <s v="4824614"/>
    <m/>
    <n v="1418.78"/>
    <n v="0"/>
    <n v="57006"/>
  </r>
  <r>
    <x v="10"/>
    <s v="03991-8"/>
    <s v="Farums Arkiver &amp; Museer Stavnholtvej 170"/>
    <n v="5427"/>
    <m/>
    <s v="Farums Arkiver &amp; Museer"/>
    <x v="74"/>
    <x v="0"/>
    <x v="7"/>
    <n v="52699.79"/>
    <n v="12"/>
    <s v="2005-05-01"/>
    <n v="0"/>
    <n v="361"/>
    <n v="145.94237000000001"/>
    <n v="1"/>
    <x v="4"/>
    <x v="1488"/>
    <n v="13870.53"/>
    <n v="0"/>
    <s v="1204824"/>
    <s v="98004665867"/>
    <n v="4879.6099999999997"/>
    <n v="0"/>
    <n v="57398"/>
  </r>
  <r>
    <x v="8"/>
    <m/>
    <s v="Palægården Poppel Alle 19"/>
    <n v="10236"/>
    <m/>
    <s v="Fællesrum"/>
    <x v="51"/>
    <x v="0"/>
    <x v="7"/>
    <n v="53943.08"/>
    <n v="12"/>
    <s v="2010-10-31"/>
    <n v="0"/>
    <n v="696"/>
    <n v="77.493290999999999"/>
    <n v="1"/>
    <x v="4"/>
    <x v="1489"/>
    <n v="13653.9"/>
    <n v="0"/>
    <s v="175910/96"/>
    <s v="98004884572"/>
    <n v="4994.7299999999996"/>
    <n v="0"/>
    <n v="77526"/>
  </r>
  <r>
    <x v="3"/>
    <m/>
    <s v="Krudthuset Børnehus, Bringe 26"/>
    <n v="10169"/>
    <m/>
    <s v="Krudthuset Børnehus"/>
    <x v="37"/>
    <x v="0"/>
    <x v="7"/>
    <n v="54308.36"/>
    <n v="12"/>
    <s v="2012-06-30"/>
    <n v="0"/>
    <n v="721"/>
    <n v="75.313215"/>
    <n v="1"/>
    <x v="6"/>
    <x v="1490"/>
    <n v="13117.82"/>
    <n v="0"/>
    <s v="16.30.409"/>
    <s v="98003449017"/>
    <n v="4848.96"/>
    <n v="0"/>
    <n v="77182"/>
  </r>
  <r>
    <x v="8"/>
    <m/>
    <s v="Palægården Poppel Alle 19"/>
    <n v="10236"/>
    <m/>
    <s v="Fællesrum"/>
    <x v="51"/>
    <x v="0"/>
    <x v="7"/>
    <n v="506.74"/>
    <n v="10"/>
    <s v="2015-03-25"/>
    <n v="0"/>
    <n v="696"/>
    <n v="0.72797000000000001"/>
    <n v="3"/>
    <x v="0"/>
    <x v="1491"/>
    <n v="405.4"/>
    <n v="0"/>
    <s v="42047"/>
    <m/>
    <n v="506.74164000000002"/>
    <n v="0"/>
    <n v="77525"/>
  </r>
  <r>
    <x v="8"/>
    <s v="04757-0"/>
    <s v="Solvognen, Nordtoftevej 56B"/>
    <n v="5275"/>
    <m/>
    <s v="Solvognen"/>
    <x v="68"/>
    <x v="0"/>
    <x v="1"/>
    <n v="17435.990000000002"/>
    <n v="12"/>
    <s v="2011-12-31"/>
    <n v="0"/>
    <n v="675"/>
    <n v="25.827269999999999"/>
    <n v="2"/>
    <x v="2"/>
    <x v="1492"/>
    <n v="5230.78"/>
    <n v="0"/>
    <s v="48107"/>
    <s v="74112149578"/>
    <n v="17435.984"/>
    <n v="0"/>
    <n v="56855"/>
  </r>
  <r>
    <x v="8"/>
    <s v="04877-1"/>
    <s v="Pilehuset, STA39"/>
    <n v="5273"/>
    <m/>
    <s v="Pilehuset"/>
    <x v="70"/>
    <x v="1"/>
    <x v="7"/>
    <n v="51342.720000000001"/>
    <n v="12"/>
    <s v="2005-09-01"/>
    <n v="0"/>
    <n v="457"/>
    <n v="112.32273000000001"/>
    <n v="1"/>
    <x v="3"/>
    <x v="1493"/>
    <n v="147843.65"/>
    <n v="1"/>
    <s v="4824610"/>
    <m/>
    <n v="1471.56"/>
    <n v="0"/>
    <n v="57004"/>
  </r>
  <r>
    <x v="8"/>
    <s v="04877-1"/>
    <s v="Pilehuset, STA39"/>
    <n v="5273"/>
    <m/>
    <s v="Pilehuset"/>
    <x v="70"/>
    <x v="0"/>
    <x v="7"/>
    <n v="126.57"/>
    <n v="12"/>
    <s v="2005-06-01"/>
    <n v="0"/>
    <n v="457"/>
    <n v="0.276897"/>
    <n v="3"/>
    <x v="0"/>
    <x v="1494"/>
    <n v="101.26"/>
    <n v="0"/>
    <s v="BK 4064533"/>
    <m/>
    <n v="126.575"/>
    <n v="0"/>
    <n v="56845"/>
  </r>
  <r>
    <x v="8"/>
    <s v="04877-1"/>
    <s v="Pilehuset, STA39"/>
    <n v="5273"/>
    <m/>
    <s v="Pilehuset"/>
    <x v="70"/>
    <x v="0"/>
    <x v="7"/>
    <n v="0.52"/>
    <n v="12"/>
    <s v="2005-06-01"/>
    <n v="0"/>
    <n v="457"/>
    <n v="1.137E-3"/>
    <n v="3"/>
    <x v="0"/>
    <x v="1376"/>
    <n v="0.42"/>
    <n v="0"/>
    <s v="BK 362032"/>
    <m/>
    <n v="0.52"/>
    <n v="0"/>
    <n v="57992"/>
  </r>
  <r>
    <x v="8"/>
    <s v="04877-1"/>
    <s v="Pilehuset, STA39"/>
    <n v="5273"/>
    <m/>
    <s v="Pilehuset"/>
    <x v="70"/>
    <x v="0"/>
    <x v="7"/>
    <n v="50306"/>
    <n v="12"/>
    <s v="2005-09-01"/>
    <n v="0"/>
    <n v="457"/>
    <n v="110.054692"/>
    <n v="1"/>
    <x v="1"/>
    <x v="1495"/>
    <n v="5077380.2699999996"/>
    <n v="0"/>
    <s v="4824610"/>
    <m/>
    <n v="50306"/>
    <n v="0"/>
    <n v="56844"/>
  </r>
  <r>
    <x v="8"/>
    <m/>
    <s v="Gasværket, Birke 14A"/>
    <n v="10208"/>
    <m/>
    <s v="Gasværket"/>
    <x v="69"/>
    <x v="0"/>
    <x v="1"/>
    <n v="27083.47"/>
    <n v="12"/>
    <s v="2011-11-30"/>
    <n v="0"/>
    <n v="741"/>
    <n v="36.544960000000003"/>
    <n v="2"/>
    <x v="2"/>
    <x v="1496"/>
    <n v="8125.04"/>
    <n v="0"/>
    <s v="34017"/>
    <s v="74110491907"/>
    <n v="27083.451000000001"/>
    <n v="0"/>
    <n v="77411"/>
  </r>
  <r>
    <x v="8"/>
    <s v="04927-1"/>
    <s v="Regnbuen, Birkhøj 1"/>
    <n v="5274"/>
    <m/>
    <s v="Regnbuen"/>
    <x v="54"/>
    <x v="0"/>
    <x v="7"/>
    <n v="285.95999999999998"/>
    <n v="12"/>
    <s v="2005-07-01"/>
    <n v="0"/>
    <n v="586"/>
    <n v="0.48790299999999998"/>
    <n v="3"/>
    <x v="0"/>
    <x v="1497"/>
    <n v="228.78"/>
    <n v="0"/>
    <s v="BK 3120046/11131839"/>
    <m/>
    <n v="285.96100000000001"/>
    <n v="0"/>
    <n v="56851"/>
  </r>
  <r>
    <x v="8"/>
    <s v="04927-1"/>
    <s v="Regnbuen, Birkhøj 1"/>
    <n v="5274"/>
    <m/>
    <s v="Regnbuen"/>
    <x v="54"/>
    <x v="0"/>
    <x v="7"/>
    <n v="63179"/>
    <n v="12"/>
    <s v="2005-08-01"/>
    <n v="0"/>
    <n v="586"/>
    <n v="107.795598"/>
    <n v="1"/>
    <x v="1"/>
    <x v="1498"/>
    <n v="5788471.4000000004"/>
    <n v="0"/>
    <s v="4824613"/>
    <m/>
    <n v="63179"/>
    <n v="0"/>
    <n v="56850"/>
  </r>
  <r>
    <x v="8"/>
    <m/>
    <s v="Palægården Poppel Alle 19"/>
    <n v="10236"/>
    <m/>
    <s v="Fællesrum"/>
    <x v="51"/>
    <x v="0"/>
    <x v="1"/>
    <n v="22877.48"/>
    <n v="12"/>
    <s v="2009-09-01"/>
    <n v="0"/>
    <n v="696"/>
    <n v="32.865220000000001"/>
    <n v="2"/>
    <x v="2"/>
    <x v="1499"/>
    <n v="6863.25"/>
    <n v="0"/>
    <s v="697401"/>
    <s v="74113084144"/>
    <n v="22877.486000000001"/>
    <n v="0"/>
    <n v="77524"/>
  </r>
  <r>
    <x v="8"/>
    <m/>
    <s v="Solbjerggård Fritidsklub"/>
    <n v="10211"/>
    <m/>
    <s v="Solbjerggård Fritidsklub"/>
    <x v="71"/>
    <x v="0"/>
    <x v="7"/>
    <n v="85929.83"/>
    <n v="11"/>
    <s v="2014-02-28"/>
    <n v="0"/>
    <n v="1107"/>
    <n v="77.617044000000007"/>
    <n v="1"/>
    <x v="5"/>
    <x v="1500"/>
    <n v="6592.24"/>
    <n v="0"/>
    <s v="7091524"/>
    <m/>
    <n v="85.929829999999995"/>
    <n v="0"/>
    <n v="77445"/>
  </r>
  <r>
    <x v="8"/>
    <s v="04877-1"/>
    <s v="Pilehuset, STA39"/>
    <n v="5273"/>
    <m/>
    <s v="Pilehuset"/>
    <x v="70"/>
    <x v="0"/>
    <x v="1"/>
    <n v="10744.81"/>
    <n v="12"/>
    <s v="2011-12-31"/>
    <n v="0"/>
    <n v="457"/>
    <n v="23.506474999999998"/>
    <n v="2"/>
    <x v="2"/>
    <x v="1501"/>
    <n v="4297.91"/>
    <n v="0"/>
    <s v="228648/4171462"/>
    <s v="74112105888"/>
    <n v="10744.805"/>
    <n v="0"/>
    <n v="56843"/>
  </r>
  <r>
    <x v="8"/>
    <m/>
    <s v="Solbjerggård Fritidsklub"/>
    <n v="10211"/>
    <m/>
    <s v="Solbjerggård Fritidsklub"/>
    <x v="71"/>
    <x v="0"/>
    <x v="7"/>
    <n v="174.62"/>
    <n v="3"/>
    <s v="2015-03-05"/>
    <n v="0"/>
    <n v="1107"/>
    <n v="0.15772700000000001"/>
    <n v="3"/>
    <x v="0"/>
    <x v="1502"/>
    <n v="139.72"/>
    <n v="0"/>
    <s v="00389371"/>
    <m/>
    <n v="174.63659999999999"/>
    <n v="0"/>
    <n v="77438"/>
  </r>
  <r>
    <x v="8"/>
    <m/>
    <s v="Solbjerggård Fritidsklub"/>
    <n v="10214"/>
    <m/>
    <s v="Solbjergård, Cafe og Klub"/>
    <x v="71"/>
    <x v="0"/>
    <x v="1"/>
    <n v="24782.42"/>
    <n v="12"/>
    <m/>
    <n v="0"/>
    <n v="0"/>
    <n v="247824.2"/>
    <n v="2"/>
    <x v="2"/>
    <x v="1503"/>
    <n v="7434.71"/>
    <n v="0"/>
    <s v="490720"/>
    <s v="74110485883"/>
    <n v="24782.407999999999"/>
    <n v="0"/>
    <n v="90759"/>
  </r>
  <r>
    <x v="8"/>
    <s v="04927-1"/>
    <s v="Regnbuen, Birkhøj 1"/>
    <n v="5274"/>
    <m/>
    <s v="Regnbuen"/>
    <x v="54"/>
    <x v="0"/>
    <x v="2"/>
    <n v="31608.98"/>
    <n v="12"/>
    <s v="2005-07-01"/>
    <n v="0"/>
    <n v="586"/>
    <n v="53.931035000000001"/>
    <n v="2"/>
    <x v="2"/>
    <x v="1504"/>
    <n v="12643.59"/>
    <n v="0"/>
    <s v="3000373"/>
    <s v="74112164694"/>
    <n v="31608.975999999999"/>
    <n v="0"/>
    <n v="56849"/>
  </r>
  <r>
    <x v="8"/>
    <s v="04927-1"/>
    <s v="Regnbuen, Birkhøj 1"/>
    <n v="5274"/>
    <m/>
    <s v="Regnbuen"/>
    <x v="54"/>
    <x v="0"/>
    <x v="3"/>
    <n v="31963.55"/>
    <n v="12"/>
    <s v="2005-07-01"/>
    <n v="0"/>
    <n v="586"/>
    <n v="54.536000000000001"/>
    <n v="2"/>
    <x v="2"/>
    <x v="1505"/>
    <n v="14990.91"/>
    <n v="0"/>
    <s v="3000373"/>
    <s v="74112164694"/>
    <n v="31963.537"/>
    <n v="0"/>
    <n v="56849"/>
  </r>
  <r>
    <x v="8"/>
    <s v="04927-1"/>
    <s v="Regnbuen, Birkhøj 1"/>
    <n v="5274"/>
    <m/>
    <s v="Regnbuen"/>
    <x v="54"/>
    <x v="0"/>
    <x v="4"/>
    <n v="35487.370000000003"/>
    <n v="12"/>
    <s v="2005-07-01"/>
    <n v="0"/>
    <n v="586"/>
    <n v="60.548318999999999"/>
    <n v="2"/>
    <x v="2"/>
    <x v="1506"/>
    <n v="16643.57"/>
    <n v="0"/>
    <s v="3000373"/>
    <s v="74112164694"/>
    <n v="35487.358"/>
    <n v="0"/>
    <n v="56849"/>
  </r>
  <r>
    <x v="8"/>
    <s v="04927-1"/>
    <s v="Regnbuen, Birkhøj 1"/>
    <n v="5274"/>
    <m/>
    <s v="Regnbuen"/>
    <x v="54"/>
    <x v="0"/>
    <x v="5"/>
    <n v="39185.35"/>
    <n v="12"/>
    <s v="2005-07-01"/>
    <n v="0"/>
    <n v="586"/>
    <n v="66.857787999999999"/>
    <n v="2"/>
    <x v="2"/>
    <x v="1507"/>
    <n v="18377.93"/>
    <n v="0"/>
    <s v="3000373"/>
    <s v="74112164694"/>
    <n v="39185.351999999999"/>
    <n v="0"/>
    <n v="56849"/>
  </r>
  <r>
    <x v="8"/>
    <s v="04927-1"/>
    <s v="Regnbuen, Birkhøj 1"/>
    <n v="5274"/>
    <m/>
    <s v="Regnbuen"/>
    <x v="54"/>
    <x v="0"/>
    <x v="6"/>
    <n v="24439.66"/>
    <n v="12"/>
    <s v="2005-07-01"/>
    <n v="0"/>
    <n v="586"/>
    <n v="41.698788"/>
    <n v="2"/>
    <x v="2"/>
    <x v="1508"/>
    <n v="11462.19"/>
    <n v="0"/>
    <s v="3000373"/>
    <s v="74112164694"/>
    <n v="24439.654999999999"/>
    <n v="0"/>
    <n v="56849"/>
  </r>
  <r>
    <x v="8"/>
    <s v="04927-1"/>
    <s v="Regnbuen, Birkhøj 1"/>
    <n v="5274"/>
    <m/>
    <s v="Regnbuen"/>
    <x v="54"/>
    <x v="0"/>
    <x v="6"/>
    <n v="14177.42"/>
    <n v="6"/>
    <s v="2008-05-31"/>
    <n v="0"/>
    <n v="586"/>
    <n v="24.189420999999999"/>
    <n v="2"/>
    <x v="2"/>
    <x v="1509"/>
    <n v="6649.21"/>
    <n v="0"/>
    <s v="3000375"/>
    <m/>
    <n v="14177.41935"/>
    <n v="0"/>
    <n v="56852"/>
  </r>
  <r>
    <x v="8"/>
    <m/>
    <s v="Solbjerggård Fritidsklub"/>
    <n v="10213"/>
    <m/>
    <s v="Solbjergård, hovedhus"/>
    <x v="71"/>
    <x v="0"/>
    <x v="1"/>
    <n v="7489.67"/>
    <n v="12"/>
    <s v="2011-12-21"/>
    <n v="0"/>
    <n v="0"/>
    <n v="74896.7"/>
    <n v="2"/>
    <x v="2"/>
    <x v="1510"/>
    <n v="2246.9"/>
    <n v="0"/>
    <s v="72060"/>
    <s v="74110485890"/>
    <n v="7489.6760000000004"/>
    <n v="0"/>
    <n v="77443"/>
  </r>
  <r>
    <x v="8"/>
    <s v="04730-9"/>
    <s v="Tivolihuset, Hvilebækgårdsvej 19"/>
    <n v="5250"/>
    <m/>
    <s v="Tivolihuset"/>
    <x v="72"/>
    <x v="0"/>
    <x v="1"/>
    <n v="10657.89"/>
    <n v="12"/>
    <s v="2005-07-01"/>
    <n v="0"/>
    <n v="417"/>
    <n v="25.552361000000001"/>
    <n v="2"/>
    <x v="2"/>
    <x v="1511"/>
    <n v="4263.1499999999996"/>
    <n v="0"/>
    <s v="72067"/>
    <s v="74111999389"/>
    <n v="10657.8938"/>
    <n v="0"/>
    <n v="56671"/>
  </r>
  <r>
    <x v="8"/>
    <m/>
    <s v="Ungehuset, Klub Furesø"/>
    <n v="5941"/>
    <m/>
    <s v="Ungehuset, Klub Furesø"/>
    <x v="73"/>
    <x v="0"/>
    <x v="1"/>
    <n v="47313.2"/>
    <n v="12"/>
    <s v="2011-12-31"/>
    <n v="0"/>
    <n v="550"/>
    <n v="86.008362000000005"/>
    <n v="2"/>
    <x v="2"/>
    <x v="1512"/>
    <n v="18925.28"/>
    <n v="0"/>
    <s v="-inst. 70-11523"/>
    <m/>
    <n v="47313.2"/>
    <n v="0"/>
    <n v="59939"/>
  </r>
  <r>
    <x v="8"/>
    <m/>
    <s v="Gasværket, Birke 14A"/>
    <n v="10208"/>
    <m/>
    <s v="Gasværket"/>
    <x v="69"/>
    <x v="0"/>
    <x v="7"/>
    <n v="26376.23"/>
    <n v="12"/>
    <s v="2011-11-30"/>
    <n v="0"/>
    <n v="741"/>
    <n v="35.590648999999999"/>
    <n v="2"/>
    <x v="2"/>
    <x v="1513"/>
    <n v="7912.86"/>
    <n v="0"/>
    <s v="34017"/>
    <s v="74110491907"/>
    <n v="26376.215"/>
    <n v="0"/>
    <n v="77411"/>
  </r>
  <r>
    <x v="8"/>
    <s v="04757-0"/>
    <s v="Solvognen, Nordtoftevej 56B"/>
    <n v="5275"/>
    <m/>
    <s v="Solvognen"/>
    <x v="68"/>
    <x v="0"/>
    <x v="2"/>
    <n v="16415.38"/>
    <n v="12"/>
    <s v="2011-12-31"/>
    <n v="0"/>
    <n v="675"/>
    <n v="24.315479"/>
    <n v="2"/>
    <x v="2"/>
    <x v="1514"/>
    <n v="6566.14"/>
    <n v="0"/>
    <s v="48107"/>
    <s v="74112149578"/>
    <n v="16415.367999999999"/>
    <n v="0"/>
    <n v="56855"/>
  </r>
  <r>
    <x v="8"/>
    <s v="04757-0"/>
    <s v="Solvognen, Nordtoftevej 56B"/>
    <n v="5275"/>
    <m/>
    <s v="Solvognen"/>
    <x v="68"/>
    <x v="0"/>
    <x v="3"/>
    <n v="17905.650000000001"/>
    <n v="2"/>
    <s v="2011-12-31"/>
    <n v="0"/>
    <n v="675"/>
    <n v="26.522959"/>
    <n v="2"/>
    <x v="2"/>
    <x v="1515"/>
    <n v="8397.7199999999993"/>
    <n v="0"/>
    <s v="48107"/>
    <s v="74112149578"/>
    <n v="17905.631710000001"/>
    <n v="0"/>
    <n v="56855"/>
  </r>
  <r>
    <x v="8"/>
    <s v="04757-0"/>
    <s v="Solvognen, Nordtoftevej 56B"/>
    <n v="5275"/>
    <m/>
    <s v="Solvognen"/>
    <x v="68"/>
    <x v="0"/>
    <x v="4"/>
    <n v="22026.99"/>
    <n v="1"/>
    <s v="2011-12-31"/>
    <n v="0"/>
    <n v="675"/>
    <n v="32.627744"/>
    <n v="2"/>
    <x v="2"/>
    <x v="1516"/>
    <n v="10330.64"/>
    <n v="0"/>
    <s v="48107"/>
    <s v="74112149578"/>
    <n v="22026.986290000001"/>
    <n v="0"/>
    <n v="56855"/>
  </r>
  <r>
    <x v="8"/>
    <s v="04757-0"/>
    <s v="Solvognen, Nordtoftevej 56B"/>
    <n v="5275"/>
    <m/>
    <s v="Solvognen"/>
    <x v="68"/>
    <x v="0"/>
    <x v="5"/>
    <n v="21321.62"/>
    <n v="1"/>
    <s v="2011-12-31"/>
    <n v="0"/>
    <n v="675"/>
    <n v="31.582906000000001"/>
    <n v="2"/>
    <x v="2"/>
    <x v="1517"/>
    <n v="9999.82"/>
    <n v="0"/>
    <s v="48107"/>
    <s v="74112149578"/>
    <n v="21321.609079999998"/>
    <n v="0"/>
    <n v="56855"/>
  </r>
  <r>
    <x v="8"/>
    <s v="04757-0"/>
    <s v="Solvognen, Nordtoftevej 56B"/>
    <n v="5275"/>
    <m/>
    <s v="Solvognen"/>
    <x v="68"/>
    <x v="0"/>
    <x v="6"/>
    <n v="21600.66"/>
    <n v="2"/>
    <s v="2011-12-31"/>
    <n v="0"/>
    <n v="675"/>
    <n v="31.996237000000001"/>
    <n v="2"/>
    <x v="2"/>
    <x v="1518"/>
    <n v="10130.69"/>
    <n v="0"/>
    <s v="48107"/>
    <s v="74112149578"/>
    <n v="21600.637299999999"/>
    <n v="0"/>
    <n v="56855"/>
  </r>
  <r>
    <x v="8"/>
    <m/>
    <s v="Palægården Poppel Alle 19"/>
    <n v="10236"/>
    <m/>
    <s v="Fællesrum"/>
    <x v="51"/>
    <x v="0"/>
    <x v="7"/>
    <n v="25326.78"/>
    <n v="11"/>
    <s v="2009-09-01"/>
    <n v="0"/>
    <n v="696"/>
    <n v="33.797987999999997"/>
    <n v="2"/>
    <x v="2"/>
    <x v="1519"/>
    <n v="7058.04"/>
    <n v="0"/>
    <s v="697401"/>
    <s v="74113084144"/>
    <n v="23526.78"/>
    <n v="0"/>
    <n v="77524"/>
  </r>
  <r>
    <x v="8"/>
    <s v="04877-1"/>
    <s v="Pilehuset, STA39"/>
    <n v="5273"/>
    <m/>
    <s v="Pilehuset"/>
    <x v="70"/>
    <x v="0"/>
    <x v="7"/>
    <n v="9757.4699999999993"/>
    <n v="12"/>
    <s v="2011-12-31"/>
    <n v="0"/>
    <n v="457"/>
    <n v="21.346465999999999"/>
    <n v="2"/>
    <x v="2"/>
    <x v="1520"/>
    <n v="3902.99"/>
    <n v="0"/>
    <s v="228648/4171462"/>
    <s v="74112105888"/>
    <n v="9757.4750000000004"/>
    <n v="0"/>
    <n v="56843"/>
  </r>
  <r>
    <x v="8"/>
    <m/>
    <s v="Gasværket, Birke 14A"/>
    <n v="10208"/>
    <m/>
    <s v="Gasværket"/>
    <x v="69"/>
    <x v="0"/>
    <x v="2"/>
    <n v="29950.400000000001"/>
    <n v="12"/>
    <s v="2011-11-30"/>
    <n v="0"/>
    <n v="741"/>
    <n v="40.413438999999997"/>
    <n v="2"/>
    <x v="2"/>
    <x v="1521"/>
    <n v="11980.18"/>
    <n v="0"/>
    <s v="34017"/>
    <s v="74110491907"/>
    <n v="29950.392"/>
    <n v="0"/>
    <n v="77411"/>
  </r>
  <r>
    <x v="8"/>
    <m/>
    <s v="Gasværket, Birke 14A"/>
    <n v="10208"/>
    <m/>
    <s v="Gasværket"/>
    <x v="69"/>
    <x v="0"/>
    <x v="3"/>
    <n v="27922.44"/>
    <n v="6"/>
    <s v="2011-11-30"/>
    <n v="0"/>
    <n v="741"/>
    <n v="37.677019999999999"/>
    <n v="2"/>
    <x v="2"/>
    <x v="1522"/>
    <n v="13095.62"/>
    <n v="0"/>
    <s v="34017"/>
    <s v="74110491907"/>
    <n v="27922.452120000002"/>
    <n v="0"/>
    <n v="77411"/>
  </r>
  <r>
    <x v="8"/>
    <m/>
    <s v="Gasværket, Birke 14A"/>
    <n v="10208"/>
    <m/>
    <s v="Gasværket"/>
    <x v="69"/>
    <x v="0"/>
    <x v="4"/>
    <n v="30721.62"/>
    <n v="6"/>
    <s v="2011-11-30"/>
    <n v="0"/>
    <n v="741"/>
    <n v="41.454081000000002"/>
    <n v="2"/>
    <x v="2"/>
    <x v="1523"/>
    <n v="14408.42"/>
    <n v="0"/>
    <s v="34017"/>
    <s v="74110491907"/>
    <n v="30721.62012"/>
    <n v="0"/>
    <n v="77411"/>
  </r>
  <r>
    <x v="8"/>
    <m/>
    <s v="Gasværket, Birke 14A"/>
    <n v="10208"/>
    <m/>
    <s v="Gasværket"/>
    <x v="69"/>
    <x v="0"/>
    <x v="5"/>
    <n v="33158.370000000003"/>
    <n v="4"/>
    <s v="2011-11-30"/>
    <n v="0"/>
    <n v="741"/>
    <n v="44.742099000000003"/>
    <n v="2"/>
    <x v="2"/>
    <x v="1524"/>
    <n v="15551.27"/>
    <n v="0"/>
    <s v="34017"/>
    <s v="74110491907"/>
    <n v="33158.353799999997"/>
    <n v="0"/>
    <n v="77411"/>
  </r>
  <r>
    <x v="8"/>
    <m/>
    <s v="Gasværket, Birke 14A"/>
    <n v="10208"/>
    <m/>
    <s v="Gasværket"/>
    <x v="69"/>
    <x v="0"/>
    <x v="6"/>
    <n v="30978.78"/>
    <n v="5"/>
    <s v="2011-11-30"/>
    <n v="0"/>
    <n v="741"/>
    <n v="41.801079000000001"/>
    <n v="2"/>
    <x v="2"/>
    <x v="1525"/>
    <n v="14529.04"/>
    <n v="0"/>
    <s v="34017"/>
    <s v="74110491907"/>
    <n v="30978.781559999999"/>
    <n v="0"/>
    <n v="77411"/>
  </r>
  <r>
    <x v="8"/>
    <s v="04927-1"/>
    <s v="Regnbuen, Birkhøj 1"/>
    <n v="5274"/>
    <m/>
    <s v="Regnbuen"/>
    <x v="54"/>
    <x v="0"/>
    <x v="7"/>
    <n v="35190.720000000001"/>
    <n v="12"/>
    <s v="2005-07-01"/>
    <n v="0"/>
    <n v="586"/>
    <n v="60.042177000000002"/>
    <n v="2"/>
    <x v="2"/>
    <x v="1526"/>
    <n v="14076.28"/>
    <n v="0"/>
    <s v="3000373"/>
    <s v="74112164694"/>
    <n v="35190.720000000001"/>
    <n v="0"/>
    <n v="56849"/>
  </r>
  <r>
    <x v="3"/>
    <m/>
    <s v="Krudthuset Børnehus, Bringe 26"/>
    <n v="10169"/>
    <m/>
    <s v="Krudthuset Børnehus"/>
    <x v="37"/>
    <x v="0"/>
    <x v="7"/>
    <n v="55045.56"/>
    <n v="4"/>
    <s v="2014-11-24"/>
    <n v="0"/>
    <n v="721"/>
    <n v="76.335542000000004"/>
    <n v="1"/>
    <x v="4"/>
    <x v="1527"/>
    <n v="13549.99"/>
    <n v="1"/>
    <s v="Kontrol"/>
    <m/>
    <n v="5096.8113300000005"/>
    <n v="0"/>
    <n v="94891"/>
  </r>
  <r>
    <x v="8"/>
    <m/>
    <s v="Solbjerggård Fritidsklub"/>
    <n v="10214"/>
    <m/>
    <s v="Solbjergård, Cafe og Klub"/>
    <x v="71"/>
    <x v="0"/>
    <x v="7"/>
    <n v="23362.55"/>
    <n v="12"/>
    <m/>
    <n v="0"/>
    <n v="0"/>
    <n v="233625.5"/>
    <n v="2"/>
    <x v="2"/>
    <x v="1528"/>
    <n v="7008.75"/>
    <n v="0"/>
    <s v="490720"/>
    <s v="74110485883"/>
    <n v="23362.532999999999"/>
    <n v="0"/>
    <n v="90759"/>
  </r>
  <r>
    <x v="8"/>
    <m/>
    <s v="Palægården Poppel Alle 19"/>
    <n v="10236"/>
    <m/>
    <s v="Fællesrum"/>
    <x v="51"/>
    <x v="0"/>
    <x v="2"/>
    <n v="23810.37"/>
    <n v="12"/>
    <s v="2009-09-01"/>
    <n v="0"/>
    <n v="696"/>
    <n v="34.205387000000002"/>
    <n v="2"/>
    <x v="2"/>
    <x v="1529"/>
    <n v="9524.16"/>
    <n v="0"/>
    <s v="697401"/>
    <s v="74113084144"/>
    <n v="23810.376"/>
    <n v="0"/>
    <n v="77524"/>
  </r>
  <r>
    <x v="8"/>
    <m/>
    <s v="Palægården Poppel Alle 19"/>
    <n v="10236"/>
    <m/>
    <s v="Fællesrum"/>
    <x v="51"/>
    <x v="0"/>
    <x v="3"/>
    <n v="21492.46"/>
    <n v="12"/>
    <s v="2009-09-01"/>
    <n v="0"/>
    <n v="696"/>
    <n v="30.875534999999999"/>
    <n v="2"/>
    <x v="2"/>
    <x v="1530"/>
    <n v="10079.969999999999"/>
    <n v="0"/>
    <s v="697401"/>
    <s v="74113084144"/>
    <n v="21492.448"/>
    <n v="0"/>
    <n v="77524"/>
  </r>
  <r>
    <x v="8"/>
    <m/>
    <s v="Palægården Poppel Alle 19"/>
    <n v="10236"/>
    <m/>
    <s v="Fællesrum"/>
    <x v="51"/>
    <x v="0"/>
    <x v="4"/>
    <n v="17664.64"/>
    <n v="12"/>
    <s v="2009-09-01"/>
    <n v="0"/>
    <n v="696"/>
    <n v="25.376583"/>
    <n v="2"/>
    <x v="2"/>
    <x v="1531"/>
    <n v="8284.7199999999993"/>
    <n v="0"/>
    <s v="697401"/>
    <s v="74113084144"/>
    <n v="17664.657999999999"/>
    <n v="0"/>
    <n v="77524"/>
  </r>
  <r>
    <x v="8"/>
    <m/>
    <s v="Palægården Poppel Alle 19"/>
    <n v="10236"/>
    <m/>
    <s v="Fællesrum"/>
    <x v="51"/>
    <x v="0"/>
    <x v="5"/>
    <n v="17177.59"/>
    <n v="19"/>
    <s v="2009-09-01"/>
    <n v="0"/>
    <n v="696"/>
    <n v="24.676898999999999"/>
    <n v="2"/>
    <x v="2"/>
    <x v="1532"/>
    <n v="8056.29"/>
    <n v="0"/>
    <s v="697401"/>
    <s v="74113084144"/>
    <n v="17177.58023"/>
    <n v="0"/>
    <n v="77524"/>
  </r>
  <r>
    <x v="8"/>
    <m/>
    <s v="Palægården Poppel Alle 19"/>
    <n v="10236"/>
    <m/>
    <s v="Fællesrum"/>
    <x v="51"/>
    <x v="0"/>
    <x v="6"/>
    <n v="21556.27"/>
    <n v="22"/>
    <s v="2009-09-01"/>
    <n v="0"/>
    <n v="696"/>
    <n v="30.967202"/>
    <n v="2"/>
    <x v="2"/>
    <x v="1533"/>
    <n v="10109.92"/>
    <n v="0"/>
    <s v="697401"/>
    <s v="74113084144"/>
    <n v="21556.283439999999"/>
    <n v="0"/>
    <n v="77524"/>
  </r>
  <r>
    <x v="8"/>
    <m/>
    <s v="Solbjerggård Fritidsklub"/>
    <n v="10213"/>
    <m/>
    <s v="Solbjergård, hovedhus"/>
    <x v="71"/>
    <x v="0"/>
    <x v="7"/>
    <n v="5870.99"/>
    <n v="12"/>
    <s v="2011-12-21"/>
    <n v="0"/>
    <n v="0"/>
    <n v="58709.9"/>
    <n v="2"/>
    <x v="2"/>
    <x v="1534"/>
    <n v="1761.3"/>
    <n v="0"/>
    <s v="72060"/>
    <s v="74110485890"/>
    <n v="5870.9939999999997"/>
    <n v="0"/>
    <n v="77443"/>
  </r>
  <r>
    <x v="8"/>
    <s v="04757-0"/>
    <s v="Solvognen, Nordtoftevej 56B"/>
    <n v="5275"/>
    <m/>
    <s v="Solvognen"/>
    <x v="68"/>
    <x v="0"/>
    <x v="7"/>
    <n v="255.05"/>
    <n v="12"/>
    <s v="2005-07-01"/>
    <n v="0"/>
    <n v="675"/>
    <n v="0.37779499999999999"/>
    <n v="3"/>
    <x v="0"/>
    <x v="1535"/>
    <n v="204.02"/>
    <n v="0"/>
    <s v="BK 98392294"/>
    <m/>
    <n v="255.05"/>
    <n v="0"/>
    <n v="56857"/>
  </r>
  <r>
    <x v="8"/>
    <s v="04757-0"/>
    <s v="Solvognen, Nordtoftevej 56B"/>
    <n v="5275"/>
    <m/>
    <s v="Solvognen"/>
    <x v="68"/>
    <x v="0"/>
    <x v="7"/>
    <n v="15324.75"/>
    <n v="12"/>
    <s v="2011-12-31"/>
    <n v="0"/>
    <n v="675"/>
    <n v="22.69997"/>
    <n v="2"/>
    <x v="2"/>
    <x v="1536"/>
    <n v="4597.41"/>
    <n v="0"/>
    <s v="48107"/>
    <s v="74112149578"/>
    <n v="15324.7533"/>
    <n v="0"/>
    <n v="56855"/>
  </r>
  <r>
    <x v="8"/>
    <s v="04877-1"/>
    <s v="Pilehuset, STA39"/>
    <n v="5273"/>
    <m/>
    <s v="Pilehuset"/>
    <x v="70"/>
    <x v="0"/>
    <x v="2"/>
    <n v="10797.81"/>
    <n v="12"/>
    <s v="2011-12-31"/>
    <n v="0"/>
    <n v="457"/>
    <n v="23.622423000000001"/>
    <n v="2"/>
    <x v="2"/>
    <x v="1537"/>
    <n v="4319.12"/>
    <n v="0"/>
    <s v="228648/4171462"/>
    <s v="74112105888"/>
    <n v="10797.817999999999"/>
    <n v="0"/>
    <n v="56843"/>
  </r>
  <r>
    <x v="8"/>
    <s v="04877-1"/>
    <s v="Pilehuset, STA39"/>
    <n v="5273"/>
    <m/>
    <s v="Pilehuset"/>
    <x v="70"/>
    <x v="0"/>
    <x v="3"/>
    <n v="15092.73"/>
    <n v="3"/>
    <s v="2011-12-31"/>
    <n v="0"/>
    <n v="457"/>
    <n v="33.018442"/>
    <n v="2"/>
    <x v="2"/>
    <x v="1538"/>
    <n v="7078.46"/>
    <n v="0"/>
    <s v="228648/4171462"/>
    <s v="74112105888"/>
    <n v="15092.721890000001"/>
    <n v="0"/>
    <n v="56843"/>
  </r>
  <r>
    <x v="8"/>
    <s v="04877-1"/>
    <s v="Pilehuset, STA39"/>
    <n v="5273"/>
    <m/>
    <s v="Pilehuset"/>
    <x v="70"/>
    <x v="0"/>
    <x v="4"/>
    <n v="16747.939999999999"/>
    <n v="3"/>
    <s v="2011-12-31"/>
    <n v="0"/>
    <n v="457"/>
    <n v="36.639552999999999"/>
    <n v="2"/>
    <x v="2"/>
    <x v="1539"/>
    <n v="7854.8"/>
    <n v="0"/>
    <s v="228648/4171462"/>
    <s v="74112105888"/>
    <n v="16747.94975"/>
    <n v="0"/>
    <n v="56843"/>
  </r>
  <r>
    <x v="8"/>
    <s v="04877-1"/>
    <s v="Pilehuset, STA39"/>
    <n v="5273"/>
    <m/>
    <s v="Pilehuset"/>
    <x v="70"/>
    <x v="0"/>
    <x v="5"/>
    <n v="16588.419999999998"/>
    <n v="0"/>
    <s v="2011-12-31"/>
    <n v="0"/>
    <n v="457"/>
    <n v="36.290570000000002"/>
    <n v="2"/>
    <x v="2"/>
    <x v="1540"/>
    <n v="7780.01"/>
    <n v="0"/>
    <s v="228648/4171462"/>
    <s v="74112105888"/>
    <n v="16588.432870000001"/>
    <n v="0"/>
    <n v="56843"/>
  </r>
  <r>
    <x v="8"/>
    <s v="04877-1"/>
    <s v="Pilehuset, STA39"/>
    <n v="5273"/>
    <m/>
    <s v="Pilehuset"/>
    <x v="70"/>
    <x v="0"/>
    <x v="6"/>
    <n v="17879.13"/>
    <n v="4"/>
    <s v="2011-12-31"/>
    <n v="0"/>
    <n v="457"/>
    <n v="39.114263000000001"/>
    <n v="2"/>
    <x v="2"/>
    <x v="1541"/>
    <n v="8385.34"/>
    <n v="0"/>
    <s v="228648/4171462"/>
    <s v="74112105888"/>
    <n v="17879.12787"/>
    <n v="0"/>
    <n v="56843"/>
  </r>
  <r>
    <x v="8"/>
    <s v="04730-9"/>
    <s v="Tivolihuset, Hvilebækgårdsvej 19"/>
    <n v="5250"/>
    <m/>
    <s v="Tivolihuset"/>
    <x v="72"/>
    <x v="0"/>
    <x v="7"/>
    <n v="11822.17"/>
    <n v="12"/>
    <s v="2005-07-01"/>
    <n v="0"/>
    <n v="417"/>
    <n v="28.343730000000001"/>
    <n v="2"/>
    <x v="2"/>
    <x v="1542"/>
    <n v="4728.87"/>
    <n v="0"/>
    <s v="72067"/>
    <s v="74111999389"/>
    <n v="11822.174800000001"/>
    <n v="0"/>
    <n v="56671"/>
  </r>
  <r>
    <x v="8"/>
    <m/>
    <s v="Ungehuset, Klub Furesø"/>
    <n v="5941"/>
    <m/>
    <s v="Ungehuset, Klub Furesø"/>
    <x v="73"/>
    <x v="0"/>
    <x v="7"/>
    <n v="40186"/>
    <n v="12"/>
    <s v="2011-12-31"/>
    <n v="0"/>
    <n v="550"/>
    <n v="73.052171999999999"/>
    <n v="2"/>
    <x v="2"/>
    <x v="1543"/>
    <n v="16074.4"/>
    <n v="0"/>
    <s v="-inst. 70-11523"/>
    <m/>
    <n v="40186"/>
    <n v="0"/>
    <n v="59939"/>
  </r>
  <r>
    <x v="8"/>
    <s v="04927-1"/>
    <s v="Regnbuen, Birkhøj 1"/>
    <n v="5274"/>
    <m/>
    <s v="Regnbuen"/>
    <x v="54"/>
    <x v="0"/>
    <x v="0"/>
    <n v="35044"/>
    <n v="5"/>
    <s v="2005-07-01"/>
    <n v="0"/>
    <n v="586"/>
    <n v="24.098754"/>
    <n v="2"/>
    <x v="2"/>
    <x v="1544"/>
    <n v="5649.71"/>
    <n v="0"/>
    <s v="3000373"/>
    <s v="74112164694"/>
    <n v="14124.279"/>
    <n v="0"/>
    <n v="56849"/>
  </r>
  <r>
    <x v="8"/>
    <m/>
    <s v="Solbjerggård Fritidsklub"/>
    <n v="10214"/>
    <m/>
    <s v="Solbjergård, Cafe og Klub"/>
    <x v="71"/>
    <x v="0"/>
    <x v="2"/>
    <n v="29664.19"/>
    <n v="12"/>
    <m/>
    <n v="0"/>
    <n v="0"/>
    <n v="296641.90000000002"/>
    <n v="2"/>
    <x v="2"/>
    <x v="1545"/>
    <n v="11865.69"/>
    <n v="0"/>
    <s v="490720"/>
    <s v="74110485883"/>
    <n v="29664.188999999998"/>
    <n v="0"/>
    <n v="90759"/>
  </r>
  <r>
    <x v="8"/>
    <m/>
    <s v="Solbjerggård Fritidsklub"/>
    <n v="10214"/>
    <m/>
    <s v="Solbjergård, Cafe og Klub"/>
    <x v="71"/>
    <x v="0"/>
    <x v="3"/>
    <n v="23372.6"/>
    <n v="2"/>
    <s v="2011-10-31"/>
    <n v="0"/>
    <n v="0"/>
    <n v="233726"/>
    <n v="2"/>
    <x v="2"/>
    <x v="1546"/>
    <n v="10961.75"/>
    <n v="0"/>
    <s v="490720 afmeldt"/>
    <s v="74110485883"/>
    <n v="23372.608700000001"/>
    <n v="0"/>
    <n v="77442"/>
  </r>
  <r>
    <x v="8"/>
    <m/>
    <s v="Solbjerggård Fritidsklub"/>
    <n v="10214"/>
    <m/>
    <s v="Solbjergård, Cafe og Klub"/>
    <x v="71"/>
    <x v="0"/>
    <x v="3"/>
    <n v="5336.72"/>
    <n v="2"/>
    <m/>
    <n v="0"/>
    <n v="0"/>
    <n v="53367.199999999997"/>
    <n v="2"/>
    <x v="2"/>
    <x v="1547"/>
    <n v="2502.92"/>
    <n v="0"/>
    <s v="490720"/>
    <s v="74110485883"/>
    <n v="5336.7190000000001"/>
    <n v="0"/>
    <n v="90759"/>
  </r>
  <r>
    <x v="8"/>
    <m/>
    <s v="Solbjerggård Fritidsklub"/>
    <n v="10214"/>
    <m/>
    <s v="Solbjergård, Cafe og Klub"/>
    <x v="71"/>
    <x v="0"/>
    <x v="4"/>
    <n v="28449.57"/>
    <n v="1"/>
    <s v="2011-10-31"/>
    <n v="0"/>
    <n v="0"/>
    <n v="284495.7"/>
    <n v="2"/>
    <x v="2"/>
    <x v="1548"/>
    <n v="13342.84"/>
    <n v="0"/>
    <s v="490720 afmeldt"/>
    <s v="74110485883"/>
    <n v="28449.550380000001"/>
    <n v="0"/>
    <n v="77442"/>
  </r>
  <r>
    <x v="8"/>
    <m/>
    <s v="Solbjerggård Fritidsklub"/>
    <n v="10214"/>
    <m/>
    <s v="Solbjergård, Cafe og Klub"/>
    <x v="71"/>
    <x v="0"/>
    <x v="5"/>
    <n v="31913.55"/>
    <n v="15"/>
    <s v="2011-10-31"/>
    <n v="0"/>
    <n v="0"/>
    <n v="319135.5"/>
    <n v="2"/>
    <x v="2"/>
    <x v="1549"/>
    <n v="14967.45"/>
    <n v="0"/>
    <s v="490720 afmeldt"/>
    <s v="74110485883"/>
    <n v="31913.555209999999"/>
    <n v="0"/>
    <n v="77442"/>
  </r>
  <r>
    <x v="8"/>
    <m/>
    <s v="Solbjerggård Fritidsklub"/>
    <n v="10214"/>
    <m/>
    <s v="Solbjergård, Cafe og Klub"/>
    <x v="71"/>
    <x v="0"/>
    <x v="6"/>
    <n v="28793.63"/>
    <n v="13"/>
    <s v="2011-10-31"/>
    <n v="0"/>
    <n v="0"/>
    <n v="287936.3"/>
    <n v="2"/>
    <x v="2"/>
    <x v="1550"/>
    <n v="13504.22"/>
    <n v="0"/>
    <s v="490720 afmeldt"/>
    <s v="74110485883"/>
    <n v="28793.64056"/>
    <n v="0"/>
    <n v="77442"/>
  </r>
  <r>
    <x v="8"/>
    <s v="04757-0"/>
    <s v="Solvognen, Nordtoftevej 56B"/>
    <n v="5275"/>
    <m/>
    <s v="Solvognen"/>
    <x v="68"/>
    <x v="0"/>
    <x v="0"/>
    <n v="16087"/>
    <n v="5"/>
    <s v="2011-12-31"/>
    <n v="0"/>
    <n v="675"/>
    <n v="9.5632940000000008"/>
    <n v="2"/>
    <x v="2"/>
    <x v="1551"/>
    <n v="1936.85"/>
    <n v="0"/>
    <s v="48107"/>
    <s v="74112149578"/>
    <n v="6456.1710000000003"/>
    <n v="0"/>
    <n v="56855"/>
  </r>
  <r>
    <x v="8"/>
    <m/>
    <s v="Gasværket, Birke 14A"/>
    <n v="10208"/>
    <m/>
    <s v="Gasværket"/>
    <x v="69"/>
    <x v="0"/>
    <x v="0"/>
    <n v="27181"/>
    <n v="5"/>
    <s v="2011-11-30"/>
    <n v="0"/>
    <n v="741"/>
    <n v="15.251612"/>
    <n v="2"/>
    <x v="2"/>
    <x v="1552"/>
    <n v="3390.89"/>
    <n v="0"/>
    <s v="34017"/>
    <s v="74110491907"/>
    <n v="11302.974"/>
    <n v="0"/>
    <n v="77411"/>
  </r>
  <r>
    <x v="8"/>
    <m/>
    <s v="Solbjerggård Fritidsklub"/>
    <n v="10213"/>
    <m/>
    <s v="Solbjergård, hovedhus"/>
    <x v="71"/>
    <x v="0"/>
    <x v="2"/>
    <n v="7731.72"/>
    <n v="12"/>
    <s v="2011-12-21"/>
    <n v="0"/>
    <n v="0"/>
    <n v="77317.2"/>
    <n v="2"/>
    <x v="2"/>
    <x v="1553"/>
    <n v="3092.69"/>
    <n v="0"/>
    <s v="72060"/>
    <s v="74110485890"/>
    <n v="7731.7179999999998"/>
    <n v="0"/>
    <n v="77443"/>
  </r>
  <r>
    <x v="8"/>
    <m/>
    <s v="Solbjerggård Fritidsklub"/>
    <n v="10213"/>
    <m/>
    <s v="Solbjergård, hovedhus"/>
    <x v="71"/>
    <x v="0"/>
    <x v="3"/>
    <n v="14770.98"/>
    <n v="13"/>
    <s v="2011-12-21"/>
    <n v="0"/>
    <n v="0"/>
    <n v="147709.79999999999"/>
    <n v="2"/>
    <x v="2"/>
    <x v="1554"/>
    <n v="6927.61"/>
    <n v="0"/>
    <s v="72060"/>
    <s v="74110485890"/>
    <n v="14770.93871"/>
    <n v="0"/>
    <n v="77443"/>
  </r>
  <r>
    <x v="8"/>
    <m/>
    <s v="Solbjerggård Fritidsklub"/>
    <n v="10213"/>
    <m/>
    <s v="Solbjergård, hovedhus"/>
    <x v="71"/>
    <x v="0"/>
    <x v="4"/>
    <n v="14417.23"/>
    <n v="12"/>
    <s v="2011-12-21"/>
    <n v="0"/>
    <n v="0"/>
    <n v="144172.29999999999"/>
    <n v="2"/>
    <x v="2"/>
    <x v="1555"/>
    <n v="6761.69"/>
    <n v="0"/>
    <s v="72060"/>
    <s v="74110485890"/>
    <n v="14417.19649"/>
    <n v="0"/>
    <n v="77443"/>
  </r>
  <r>
    <x v="8"/>
    <m/>
    <s v="Solbjerggård Fritidsklub"/>
    <n v="10213"/>
    <m/>
    <s v="Solbjergård, hovedhus"/>
    <x v="71"/>
    <x v="0"/>
    <x v="5"/>
    <n v="8145.91"/>
    <n v="14"/>
    <s v="2011-12-21"/>
    <n v="0"/>
    <n v="0"/>
    <n v="81459.100000000006"/>
    <n v="2"/>
    <x v="2"/>
    <x v="1556"/>
    <n v="3820.44"/>
    <n v="0"/>
    <s v="72060"/>
    <s v="74110485890"/>
    <n v="8145.9174800000001"/>
    <n v="0"/>
    <n v="77443"/>
  </r>
  <r>
    <x v="8"/>
    <m/>
    <s v="Solbjerggård Fritidsklub"/>
    <n v="10213"/>
    <m/>
    <s v="Solbjergård, hovedhus"/>
    <x v="71"/>
    <x v="0"/>
    <x v="6"/>
    <n v="9414.6"/>
    <n v="13"/>
    <s v="2011-12-21"/>
    <n v="0"/>
    <n v="0"/>
    <n v="94146"/>
    <n v="2"/>
    <x v="2"/>
    <x v="1557"/>
    <n v="4415.43"/>
    <n v="0"/>
    <s v="72060"/>
    <s v="74110485890"/>
    <n v="9414.6036899999999"/>
    <n v="0"/>
    <n v="77443"/>
  </r>
  <r>
    <x v="8"/>
    <m/>
    <s v="Palægården Poppel Alle 19"/>
    <n v="10236"/>
    <m/>
    <s v="Fællesrum"/>
    <x v="51"/>
    <x v="0"/>
    <x v="0"/>
    <n v="23923"/>
    <n v="5"/>
    <s v="2009-09-01"/>
    <n v="0"/>
    <n v="696"/>
    <n v="15.848067"/>
    <n v="2"/>
    <x v="2"/>
    <x v="1558"/>
    <n v="3309.55"/>
    <n v="0"/>
    <s v="697401"/>
    <s v="74113084144"/>
    <n v="11031.837"/>
    <n v="0"/>
    <n v="77524"/>
  </r>
  <r>
    <x v="8"/>
    <s v="04877-1"/>
    <s v="Pilehuset, STA39"/>
    <n v="5273"/>
    <m/>
    <s v="Pilehuset"/>
    <x v="70"/>
    <x v="0"/>
    <x v="0"/>
    <n v="9689"/>
    <n v="5"/>
    <s v="2011-12-31"/>
    <n v="0"/>
    <n v="457"/>
    <n v="9.8276520000000005"/>
    <n v="2"/>
    <x v="2"/>
    <x v="1559"/>
    <n v="1796.88"/>
    <n v="0"/>
    <s v="228648/4171462"/>
    <s v="74112105888"/>
    <n v="4492.21"/>
    <n v="0"/>
    <n v="56843"/>
  </r>
  <r>
    <x v="8"/>
    <s v="04730-9"/>
    <s v="Tivolihuset, Hvilebækgårdsvej 19"/>
    <n v="5250"/>
    <m/>
    <s v="Tivolihuset"/>
    <x v="72"/>
    <x v="0"/>
    <x v="2"/>
    <n v="15146"/>
    <n v="12"/>
    <s v="2005-07-01"/>
    <n v="0"/>
    <n v="417"/>
    <n v="36.312634000000003"/>
    <n v="2"/>
    <x v="2"/>
    <x v="1560"/>
    <n v="6058.38"/>
    <n v="0"/>
    <s v="72067"/>
    <s v="74111999389"/>
    <n v="15145.989799999999"/>
    <n v="0"/>
    <n v="56671"/>
  </r>
  <r>
    <x v="8"/>
    <s v="04730-9"/>
    <s v="Tivolihuset, Hvilebækgårdsvej 19"/>
    <n v="5250"/>
    <m/>
    <s v="Tivolihuset"/>
    <x v="72"/>
    <x v="0"/>
    <x v="3"/>
    <n v="14241.54"/>
    <n v="12"/>
    <s v="2005-07-01"/>
    <n v="0"/>
    <n v="417"/>
    <n v="34.144185999999998"/>
    <n v="2"/>
    <x v="2"/>
    <x v="1561"/>
    <n v="6679.29"/>
    <n v="0"/>
    <s v="72067"/>
    <s v="74111999389"/>
    <n v="14241.542299999999"/>
    <n v="0"/>
    <n v="56671"/>
  </r>
  <r>
    <x v="8"/>
    <s v="04730-9"/>
    <s v="Tivolihuset, Hvilebækgårdsvej 19"/>
    <n v="5250"/>
    <m/>
    <s v="Tivolihuset"/>
    <x v="72"/>
    <x v="0"/>
    <x v="4"/>
    <n v="16896.240000000002"/>
    <n v="12"/>
    <s v="2005-07-01"/>
    <n v="0"/>
    <n v="417"/>
    <n v="40.508845999999998"/>
    <n v="2"/>
    <x v="2"/>
    <x v="1562"/>
    <n v="7924.35"/>
    <n v="0"/>
    <s v="72067"/>
    <s v="74111999389"/>
    <n v="16896.249199999998"/>
    <n v="0"/>
    <n v="56671"/>
  </r>
  <r>
    <x v="8"/>
    <s v="04730-9"/>
    <s v="Tivolihuset, Hvilebækgårdsvej 19"/>
    <n v="5250"/>
    <m/>
    <s v="Tivolihuset"/>
    <x v="72"/>
    <x v="0"/>
    <x v="5"/>
    <n v="16171.33"/>
    <n v="12"/>
    <s v="2005-07-01"/>
    <n v="0"/>
    <n v="417"/>
    <n v="38.770870000000002"/>
    <n v="2"/>
    <x v="2"/>
    <x v="1563"/>
    <n v="7584.34"/>
    <n v="0"/>
    <s v="72067"/>
    <s v="74111999389"/>
    <n v="16171.308000000001"/>
    <n v="0"/>
    <n v="56671"/>
  </r>
  <r>
    <x v="8"/>
    <s v="04730-9"/>
    <s v="Tivolihuset, Hvilebækgårdsvej 19"/>
    <n v="5250"/>
    <m/>
    <s v="Tivolihuset"/>
    <x v="72"/>
    <x v="0"/>
    <x v="6"/>
    <n v="16681.11"/>
    <n v="12"/>
    <s v="2005-07-01"/>
    <n v="0"/>
    <n v="417"/>
    <n v="39.993071"/>
    <n v="2"/>
    <x v="2"/>
    <x v="1564"/>
    <n v="7823.44"/>
    <n v="0"/>
    <s v="72067"/>
    <s v="74111999389"/>
    <n v="16681.108"/>
    <n v="0"/>
    <n v="56671"/>
  </r>
  <r>
    <x v="8"/>
    <m/>
    <s v="Solbjerggård Fritidsklub"/>
    <n v="10214"/>
    <m/>
    <s v="Solbjergård, Cafe og Klub"/>
    <x v="71"/>
    <x v="0"/>
    <x v="0"/>
    <n v="20817"/>
    <n v="5"/>
    <m/>
    <n v="0"/>
    <n v="0"/>
    <n v="96231"/>
    <n v="2"/>
    <x v="2"/>
    <x v="1565"/>
    <n v="2886.93"/>
    <n v="0"/>
    <s v="490720"/>
    <s v="74110485883"/>
    <n v="9623.0949999999993"/>
    <n v="0"/>
    <n v="90759"/>
  </r>
  <r>
    <x v="8"/>
    <m/>
    <s v="Solbjerggård Fritidsklub"/>
    <n v="10213"/>
    <m/>
    <s v="Solbjergård, hovedhus"/>
    <x v="71"/>
    <x v="0"/>
    <x v="0"/>
    <n v="4602"/>
    <n v="5"/>
    <s v="2011-12-21"/>
    <n v="0"/>
    <n v="0"/>
    <n v="18276.900000000001"/>
    <n v="2"/>
    <x v="2"/>
    <x v="1566"/>
    <n v="548.30999999999995"/>
    <n v="0"/>
    <s v="72060"/>
    <s v="74110485890"/>
    <n v="1827.69"/>
    <n v="0"/>
    <n v="77443"/>
  </r>
  <r>
    <x v="8"/>
    <m/>
    <s v="Ungehuset, Klub Furesø"/>
    <n v="5941"/>
    <m/>
    <s v="Ungehuset, Klub Furesø"/>
    <x v="73"/>
    <x v="0"/>
    <x v="2"/>
    <n v="49275"/>
    <n v="12"/>
    <s v="2011-12-31"/>
    <n v="0"/>
    <n v="550"/>
    <n v="89.574622000000005"/>
    <n v="2"/>
    <x v="2"/>
    <x v="1567"/>
    <n v="19710"/>
    <n v="0"/>
    <s v="-inst. 70-11523"/>
    <m/>
    <n v="49275"/>
    <n v="0"/>
    <n v="59939"/>
  </r>
  <r>
    <x v="8"/>
    <m/>
    <s v="Ungehuset, Klub Furesø"/>
    <n v="5941"/>
    <m/>
    <s v="Ungehuset, Klub Furesø"/>
    <x v="73"/>
    <x v="0"/>
    <x v="3"/>
    <n v="53783.32"/>
    <n v="7"/>
    <s v="2011-12-31"/>
    <n v="0"/>
    <n v="550"/>
    <n v="97.770077999999998"/>
    <n v="2"/>
    <x v="2"/>
    <x v="1568"/>
    <n v="25224.38"/>
    <n v="0"/>
    <s v="-inst. 70-11523"/>
    <m/>
    <n v="53783.333330000001"/>
    <n v="0"/>
    <n v="59939"/>
  </r>
  <r>
    <x v="8"/>
    <m/>
    <s v="Ungehuset, Klub Furesø"/>
    <n v="5941"/>
    <m/>
    <s v="Ungehuset, Klub Furesø"/>
    <x v="73"/>
    <x v="0"/>
    <x v="4"/>
    <n v="67173.23"/>
    <n v="4"/>
    <s v="2011-12-31"/>
    <n v="0"/>
    <n v="550"/>
    <n v="122.11094300000001"/>
    <n v="2"/>
    <x v="2"/>
    <x v="1569"/>
    <n v="31504.28"/>
    <n v="0"/>
    <s v="-inst. 70-11523"/>
    <m/>
    <n v="67173.24037"/>
    <n v="0"/>
    <n v="59939"/>
  </r>
  <r>
    <x v="8"/>
    <m/>
    <s v="Ungehuset, Klub Furesø"/>
    <n v="5941"/>
    <m/>
    <s v="Ungehuset, Klub Furesø"/>
    <x v="73"/>
    <x v="0"/>
    <x v="5"/>
    <n v="80884.58"/>
    <n v="1"/>
    <s v="2011-12-31"/>
    <n v="0"/>
    <n v="550"/>
    <n v="147.03613799999999"/>
    <n v="2"/>
    <x v="2"/>
    <x v="1570"/>
    <n v="37934.910000000003"/>
    <n v="0"/>
    <s v="-inst. 70-11523"/>
    <m/>
    <n v="80884.602769999998"/>
    <n v="0"/>
    <n v="59939"/>
  </r>
  <r>
    <x v="8"/>
    <m/>
    <s v="Ungehuset, Klub Furesø"/>
    <n v="5941"/>
    <m/>
    <s v="Ungehuset, Klub Furesø"/>
    <x v="73"/>
    <x v="0"/>
    <x v="6"/>
    <n v="54312.92"/>
    <n v="7"/>
    <s v="2011-12-31"/>
    <n v="0"/>
    <n v="550"/>
    <n v="98.732811999999996"/>
    <n v="2"/>
    <x v="2"/>
    <x v="1571"/>
    <n v="25472.75"/>
    <n v="0"/>
    <s v="-inst. 70-11523"/>
    <m/>
    <n v="54312.905169999998"/>
    <n v="0"/>
    <n v="59939"/>
  </r>
  <r>
    <x v="8"/>
    <s v="04730-9"/>
    <s v="Tivolihuset, Hvilebækgårdsvej 19"/>
    <n v="5250"/>
    <m/>
    <s v="Tivolihuset"/>
    <x v="72"/>
    <x v="1"/>
    <x v="7"/>
    <n v="37876.83"/>
    <n v="12"/>
    <m/>
    <n v="0"/>
    <n v="417"/>
    <n v="90.809949000000003"/>
    <n v="1"/>
    <x v="3"/>
    <x v="1572"/>
    <n v="94311.62"/>
    <n v="1"/>
    <s v="4824614"/>
    <m/>
    <n v="1085.6067"/>
    <n v="0"/>
    <n v="57006"/>
  </r>
  <r>
    <x v="8"/>
    <s v="04730-9"/>
    <s v="Tivolihuset, Hvilebækgårdsvej 19"/>
    <n v="5250"/>
    <m/>
    <s v="Tivolihuset"/>
    <x v="72"/>
    <x v="0"/>
    <x v="7"/>
    <n v="197.56"/>
    <n v="12"/>
    <s v="2005-05-01"/>
    <n v="0"/>
    <n v="417"/>
    <n v="0.47365099999999999"/>
    <n v="3"/>
    <x v="0"/>
    <x v="1573"/>
    <n v="158.06"/>
    <n v="0"/>
    <s v="BK 04016456"/>
    <m/>
    <n v="197.56899999999999"/>
    <n v="0"/>
    <n v="57497"/>
  </r>
  <r>
    <x v="8"/>
    <s v="04730-9"/>
    <s v="Tivolihuset, Hvilebækgårdsvej 19"/>
    <n v="5250"/>
    <m/>
    <s v="Tivolihuset"/>
    <x v="72"/>
    <x v="0"/>
    <x v="7"/>
    <n v="35648.660000000003"/>
    <n v="12"/>
    <s v="2005-09-01"/>
    <n v="0"/>
    <n v="417"/>
    <n v="85.467896999999994"/>
    <n v="1"/>
    <x v="1"/>
    <x v="1574"/>
    <n v="2909822.74"/>
    <n v="0"/>
    <s v="4824614"/>
    <m/>
    <n v="35648.665999999997"/>
    <n v="0"/>
    <n v="56672"/>
  </r>
  <r>
    <x v="8"/>
    <s v="04730-9"/>
    <s v="Tivolihuset, Hvilebækgårdsvej 19"/>
    <n v="5250"/>
    <m/>
    <s v="Tivolihuset"/>
    <x v="72"/>
    <x v="0"/>
    <x v="0"/>
    <n v="9687"/>
    <n v="5"/>
    <s v="2005-07-01"/>
    <n v="0"/>
    <n v="417"/>
    <n v="10.713234"/>
    <n v="2"/>
    <x v="2"/>
    <x v="1575"/>
    <n v="1787.4"/>
    <n v="0"/>
    <s v="72067"/>
    <s v="74111999389"/>
    <n v="4468.4895999999999"/>
    <n v="0"/>
    <n v="56671"/>
  </r>
  <r>
    <x v="8"/>
    <m/>
    <s v="Ungehuset, Klub Furesø"/>
    <n v="5941"/>
    <m/>
    <s v="Ungehuset, Klub Furesø"/>
    <x v="73"/>
    <x v="0"/>
    <x v="7"/>
    <n v="60.31"/>
    <n v="12"/>
    <s v="2012-01-25"/>
    <n v="0"/>
    <n v="550"/>
    <n v="0.109634"/>
    <n v="3"/>
    <x v="0"/>
    <x v="1576"/>
    <n v="48.24"/>
    <n v="0"/>
    <s v="03458115"/>
    <m/>
    <n v="60.316000000000003"/>
    <n v="0"/>
    <n v="59941"/>
  </r>
  <r>
    <x v="8"/>
    <m/>
    <s v="Ungehuset, Klub Furesø"/>
    <n v="5941"/>
    <m/>
    <s v="Ungehuset, Klub Furesø"/>
    <x v="73"/>
    <x v="0"/>
    <x v="0"/>
    <n v="47485"/>
    <n v="5"/>
    <s v="2011-12-31"/>
    <n v="0"/>
    <n v="550"/>
    <n v="46.424467999999997"/>
    <n v="2"/>
    <x v="2"/>
    <x v="1577"/>
    <n v="10215.24"/>
    <n v="0"/>
    <s v="-inst. 70-11523"/>
    <m/>
    <n v="25538.1"/>
    <n v="0"/>
    <n v="59939"/>
  </r>
  <r>
    <x v="12"/>
    <s v="03953-5"/>
    <s v="Farum Arena, STA41"/>
    <n v="5467"/>
    <m/>
    <s v="Farum Hallen"/>
    <x v="75"/>
    <x v="0"/>
    <x v="0"/>
    <n v="1631"/>
    <n v="5"/>
    <s v="2005-11-30"/>
    <n v="0"/>
    <n v="6415"/>
    <n v="0.12545999999999999"/>
    <n v="3"/>
    <x v="0"/>
    <x v="1578"/>
    <n v="643.87"/>
    <n v="0"/>
    <s v="BK 01065500"/>
    <m/>
    <n v="804.83600000000001"/>
    <n v="0"/>
    <n v="57800"/>
  </r>
  <r>
    <x v="12"/>
    <s v="03953-5"/>
    <s v="Farum Arena, STA41"/>
    <n v="5467"/>
    <m/>
    <s v="Farum Hallen"/>
    <x v="75"/>
    <x v="0"/>
    <x v="0"/>
    <n v="0"/>
    <n v="5"/>
    <s v="2005-11-30"/>
    <n v="0"/>
    <n v="6415"/>
    <n v="8.071E-3"/>
    <n v="3"/>
    <x v="0"/>
    <x v="1579"/>
    <n v="41.41"/>
    <n v="1"/>
    <s v="BV 98610782 FH"/>
    <m/>
    <n v="51.768999999999998"/>
    <n v="0"/>
    <n v="57802"/>
  </r>
  <r>
    <x v="12"/>
    <s v="03953-5"/>
    <s v="Farum Arena, STA41"/>
    <n v="5467"/>
    <m/>
    <s v="Farum Hallen"/>
    <x v="75"/>
    <x v="0"/>
    <x v="1"/>
    <n v="1468.25"/>
    <n v="12"/>
    <s v="2005-11-30"/>
    <n v="0"/>
    <n v="6415"/>
    <n v="0.22887399999999999"/>
    <n v="3"/>
    <x v="0"/>
    <x v="1580"/>
    <n v="1174.5899999999999"/>
    <n v="0"/>
    <s v="BK 01065500"/>
    <m/>
    <n v="1468.2449999999999"/>
    <n v="0"/>
    <n v="57800"/>
  </r>
  <r>
    <x v="12"/>
    <s v="03953-5"/>
    <s v="Farum Arena, STA41"/>
    <n v="5467"/>
    <m/>
    <s v="Farum Hallen"/>
    <x v="75"/>
    <x v="0"/>
    <x v="1"/>
    <n v="161.22999999999999"/>
    <n v="12"/>
    <s v="2005-11-30"/>
    <n v="0"/>
    <n v="6415"/>
    <n v="2.5132000000000002E-2"/>
    <n v="3"/>
    <x v="0"/>
    <x v="1581"/>
    <n v="129.01"/>
    <n v="1"/>
    <s v="BV 98610782 FH"/>
    <m/>
    <n v="161.232"/>
    <n v="0"/>
    <n v="57802"/>
  </r>
  <r>
    <x v="12"/>
    <s v="03953-5"/>
    <s v="Farum Arena, STA41"/>
    <n v="5467"/>
    <m/>
    <s v="Farum Hallen"/>
    <x v="75"/>
    <x v="0"/>
    <x v="2"/>
    <n v="1365.81"/>
    <n v="12"/>
    <s v="2005-11-30"/>
    <n v="0"/>
    <n v="6415"/>
    <n v="0.21290500000000001"/>
    <n v="3"/>
    <x v="0"/>
    <x v="1582"/>
    <n v="1092.6600000000001"/>
    <n v="0"/>
    <s v="BK 01065500"/>
    <m/>
    <n v="1365.8040000000001"/>
    <n v="0"/>
    <n v="57800"/>
  </r>
  <r>
    <x v="12"/>
    <s v="03953-5"/>
    <s v="Farum Arena, STA41"/>
    <n v="5467"/>
    <m/>
    <s v="Farum Hallen"/>
    <x v="75"/>
    <x v="0"/>
    <x v="2"/>
    <n v="55.9"/>
    <n v="12"/>
    <s v="2005-11-30"/>
    <n v="0"/>
    <n v="6415"/>
    <n v="8.7130000000000003E-3"/>
    <n v="3"/>
    <x v="0"/>
    <x v="1583"/>
    <n v="44.73"/>
    <n v="1"/>
    <s v="BV 98610782 FH"/>
    <m/>
    <n v="55.908000000000001"/>
    <n v="0"/>
    <n v="57802"/>
  </r>
  <r>
    <x v="12"/>
    <s v="03953-5"/>
    <s v="Farum Arena, STA41"/>
    <n v="5467"/>
    <m/>
    <s v="Farum Hallen"/>
    <x v="75"/>
    <x v="0"/>
    <x v="3"/>
    <n v="1284.1400000000001"/>
    <n v="12"/>
    <s v="2005-11-30"/>
    <n v="0"/>
    <n v="6415"/>
    <n v="0.20017399999999999"/>
    <n v="3"/>
    <x v="0"/>
    <x v="1584"/>
    <n v="1027.32"/>
    <n v="0"/>
    <s v="BK 01065500"/>
    <m/>
    <n v="1284.1489999999999"/>
    <n v="0"/>
    <n v="57800"/>
  </r>
  <r>
    <x v="12"/>
    <s v="03953-5"/>
    <s v="Farum Arena, STA41"/>
    <n v="5467"/>
    <m/>
    <s v="Farum Hallen"/>
    <x v="75"/>
    <x v="0"/>
    <x v="3"/>
    <n v="0"/>
    <n v="12"/>
    <s v="2005-11-30"/>
    <n v="0"/>
    <n v="6415"/>
    <n v="0"/>
    <n v="3"/>
    <x v="0"/>
    <x v="1"/>
    <n v="0"/>
    <n v="1"/>
    <s v="BV 98610782 FH"/>
    <m/>
    <n v="2E-3"/>
    <n v="0"/>
    <n v="57802"/>
  </r>
  <r>
    <x v="12"/>
    <s v="03953-5"/>
    <s v="Farum Arena, STA41"/>
    <n v="5467"/>
    <m/>
    <s v="Farum Hallen"/>
    <x v="75"/>
    <x v="0"/>
    <x v="4"/>
    <n v="1120.3499999999999"/>
    <n v="12"/>
    <s v="2005-11-30"/>
    <n v="0"/>
    <n v="6415"/>
    <n v="0.17464199999999999"/>
    <n v="3"/>
    <x v="0"/>
    <x v="1585"/>
    <n v="896.26"/>
    <n v="0"/>
    <s v="BK 01065500"/>
    <m/>
    <n v="1120.345"/>
    <n v="0"/>
    <n v="57800"/>
  </r>
  <r>
    <x v="12"/>
    <s v="03953-5"/>
    <s v="Farum Arena, STA41"/>
    <n v="5467"/>
    <m/>
    <s v="Farum Hallen"/>
    <x v="75"/>
    <x v="0"/>
    <x v="4"/>
    <n v="0"/>
    <n v="12"/>
    <s v="2005-11-30"/>
    <n v="0"/>
    <n v="6415"/>
    <n v="0"/>
    <n v="3"/>
    <x v="0"/>
    <x v="1"/>
    <n v="0"/>
    <n v="1"/>
    <s v="BV 98610782 FH"/>
    <m/>
    <n v="1E-3"/>
    <n v="0"/>
    <n v="57802"/>
  </r>
  <r>
    <x v="12"/>
    <s v="03953-5"/>
    <s v="Farum Arena, STA41"/>
    <n v="5467"/>
    <m/>
    <s v="Farum Hallen"/>
    <x v="75"/>
    <x v="0"/>
    <x v="5"/>
    <n v="1059.58"/>
    <n v="12"/>
    <s v="2005-11-30"/>
    <n v="0"/>
    <n v="6415"/>
    <n v="0.16516900000000001"/>
    <n v="3"/>
    <x v="0"/>
    <x v="1586"/>
    <n v="847.66"/>
    <n v="0"/>
    <s v="BK 01065500"/>
    <m/>
    <n v="1059.5730000000001"/>
    <n v="0"/>
    <n v="57800"/>
  </r>
  <r>
    <x v="12"/>
    <s v="03953-5"/>
    <s v="Farum Arena, STA41"/>
    <n v="5467"/>
    <m/>
    <s v="Farum Hallen"/>
    <x v="75"/>
    <x v="0"/>
    <x v="5"/>
    <n v="0"/>
    <n v="12"/>
    <s v="2005-11-30"/>
    <n v="0"/>
    <n v="6415"/>
    <n v="0"/>
    <n v="3"/>
    <x v="0"/>
    <x v="1"/>
    <n v="0"/>
    <n v="1"/>
    <s v="BV 98610782 FH"/>
    <m/>
    <n v="0"/>
    <n v="0"/>
    <n v="57802"/>
  </r>
  <r>
    <x v="12"/>
    <s v="03953-5"/>
    <s v="Farum Arena, STA41"/>
    <n v="5467"/>
    <m/>
    <s v="Farum Hallen"/>
    <x v="75"/>
    <x v="0"/>
    <x v="6"/>
    <n v="1207.92"/>
    <n v="12"/>
    <s v="2005-11-30"/>
    <n v="0"/>
    <n v="6415"/>
    <n v="0.18829299999999999"/>
    <n v="3"/>
    <x v="0"/>
    <x v="1587"/>
    <n v="966.36"/>
    <n v="0"/>
    <s v="BK 01065500"/>
    <m/>
    <n v="1207.921"/>
    <n v="0"/>
    <n v="57800"/>
  </r>
  <r>
    <x v="12"/>
    <s v="03953-5"/>
    <s v="Farum Arena, STA41"/>
    <n v="5467"/>
    <m/>
    <s v="Farum Hallen"/>
    <x v="75"/>
    <x v="0"/>
    <x v="6"/>
    <n v="0"/>
    <n v="12"/>
    <s v="2005-11-30"/>
    <n v="0"/>
    <n v="6415"/>
    <n v="0"/>
    <n v="3"/>
    <x v="0"/>
    <x v="1"/>
    <n v="0"/>
    <n v="1"/>
    <s v="BV 98610782 FH"/>
    <m/>
    <n v="0"/>
    <n v="0"/>
    <n v="57802"/>
  </r>
  <r>
    <x v="12"/>
    <s v="03953-5"/>
    <s v="Farum Arena, STA41"/>
    <n v="14135"/>
    <s v="0"/>
    <s v="Stavnsholthallen"/>
    <x v="75"/>
    <x v="0"/>
    <x v="0"/>
    <n v="0"/>
    <n v="5"/>
    <s v="2005-11-30"/>
    <n v="0"/>
    <n v="3594"/>
    <n v="2.0811E-2"/>
    <n v="3"/>
    <x v="0"/>
    <x v="1588"/>
    <n v="0"/>
    <n v="1"/>
    <s v="BV 2140779 STH"/>
    <m/>
    <n v="74.795000000000002"/>
    <n v="0"/>
    <n v="57804"/>
  </r>
  <r>
    <x v="12"/>
    <s v="03953-5"/>
    <s v="Farum Arena, STA41"/>
    <n v="14135"/>
    <s v="0"/>
    <s v="Stavnsholthallen"/>
    <x v="75"/>
    <x v="0"/>
    <x v="1"/>
    <n v="51.16"/>
    <n v="12"/>
    <s v="2005-11-30"/>
    <n v="0"/>
    <n v="3594"/>
    <n v="1.4234E-2"/>
    <n v="3"/>
    <x v="0"/>
    <x v="1589"/>
    <n v="0"/>
    <n v="1"/>
    <s v="BV 2140779 STH"/>
    <m/>
    <n v="51.158999999999999"/>
    <n v="0"/>
    <n v="57804"/>
  </r>
  <r>
    <x v="12"/>
    <s v="03953-5"/>
    <s v="Farum Arena, STA41"/>
    <n v="14135"/>
    <s v="0"/>
    <s v="Stavnsholthallen"/>
    <x v="75"/>
    <x v="0"/>
    <x v="2"/>
    <n v="2.17"/>
    <n v="12"/>
    <s v="2005-11-30"/>
    <n v="0"/>
    <n v="3594"/>
    <n v="6.0300000000000002E-4"/>
    <n v="3"/>
    <x v="0"/>
    <x v="1590"/>
    <n v="0"/>
    <n v="1"/>
    <s v="BV 2140779 STH"/>
    <m/>
    <n v="2.1779999999999999"/>
    <n v="0"/>
    <n v="57804"/>
  </r>
  <r>
    <x v="12"/>
    <s v="03953-5"/>
    <s v="Farum Arena, STA41"/>
    <n v="14135"/>
    <s v="0"/>
    <s v="Stavnsholthallen"/>
    <x v="75"/>
    <x v="0"/>
    <x v="3"/>
    <n v="2.46"/>
    <n v="12"/>
    <s v="2005-11-30"/>
    <n v="0"/>
    <n v="3594"/>
    <n v="6.8400000000000004E-4"/>
    <n v="3"/>
    <x v="0"/>
    <x v="1591"/>
    <n v="0"/>
    <n v="1"/>
    <s v="BV 2140779 STH"/>
    <m/>
    <n v="2.4569999999999999"/>
    <n v="0"/>
    <n v="57804"/>
  </r>
  <r>
    <x v="12"/>
    <s v="03953-5"/>
    <s v="Farum Arena, STA41"/>
    <n v="14135"/>
    <s v="0"/>
    <s v="Stavnsholthallen"/>
    <x v="75"/>
    <x v="0"/>
    <x v="4"/>
    <n v="2.39"/>
    <n v="12"/>
    <s v="2005-11-30"/>
    <n v="0"/>
    <n v="3594"/>
    <n v="6.6399999999999999E-4"/>
    <n v="3"/>
    <x v="0"/>
    <x v="1592"/>
    <n v="0"/>
    <n v="1"/>
    <s v="BV 2140779 STH"/>
    <m/>
    <n v="2.371"/>
    <n v="0"/>
    <n v="57804"/>
  </r>
  <r>
    <x v="12"/>
    <s v="03953-5"/>
    <s v="Farum Arena, STA41"/>
    <n v="14135"/>
    <s v="0"/>
    <s v="Stavnsholthallen"/>
    <x v="75"/>
    <x v="0"/>
    <x v="5"/>
    <n v="2.12"/>
    <n v="12"/>
    <s v="2005-11-30"/>
    <n v="0"/>
    <n v="3594"/>
    <n v="5.8900000000000001E-4"/>
    <n v="3"/>
    <x v="0"/>
    <x v="1593"/>
    <n v="0"/>
    <n v="1"/>
    <s v="BV 2140779 STH"/>
    <m/>
    <n v="2.1190000000000002"/>
    <n v="0"/>
    <n v="57804"/>
  </r>
  <r>
    <x v="12"/>
    <s v="03953-5"/>
    <s v="Farum Arena, STA41"/>
    <n v="14135"/>
    <s v="0"/>
    <s v="Stavnsholthallen"/>
    <x v="75"/>
    <x v="0"/>
    <x v="6"/>
    <n v="2.0099999999999998"/>
    <n v="12"/>
    <s v="2005-11-30"/>
    <n v="0"/>
    <n v="3594"/>
    <n v="5.5900000000000004E-4"/>
    <n v="3"/>
    <x v="0"/>
    <x v="1594"/>
    <n v="0"/>
    <n v="1"/>
    <s v="BV 2140779 STH"/>
    <m/>
    <n v="1.998"/>
    <n v="0"/>
    <n v="57804"/>
  </r>
  <r>
    <x v="12"/>
    <m/>
    <s v="Hareskov Hallen, Måne 8"/>
    <n v="10324"/>
    <m/>
    <s v="Hareskov Hallen"/>
    <x v="76"/>
    <x v="0"/>
    <x v="0"/>
    <n v="830"/>
    <n v="5"/>
    <m/>
    <n v="0"/>
    <n v="2027"/>
    <n v="0.161442"/>
    <n v="3"/>
    <x v="0"/>
    <x v="1595"/>
    <n v="261.82"/>
    <n v="0"/>
    <m/>
    <m/>
    <n v="327.26"/>
    <n v="0"/>
    <n v="77833"/>
  </r>
  <r>
    <x v="12"/>
    <m/>
    <s v="Hareskov Hallen, Måne 8"/>
    <n v="10324"/>
    <m/>
    <s v="Hareskov Hallen"/>
    <x v="76"/>
    <x v="0"/>
    <x v="0"/>
    <n v="0"/>
    <n v="3"/>
    <s v="2015-05-04"/>
    <n v="0"/>
    <n v="2027"/>
    <n v="2.4961000000000001E-2"/>
    <n v="3"/>
    <x v="0"/>
    <x v="1596"/>
    <n v="40.479999999999997"/>
    <n v="1"/>
    <s v="Spædevand"/>
    <m/>
    <n v="50.595739999999999"/>
    <n v="0"/>
    <n v="79476"/>
  </r>
  <r>
    <x v="12"/>
    <m/>
    <s v="Hareskov Hallen, Måne 8"/>
    <n v="10324"/>
    <m/>
    <s v="Hareskov Hallen"/>
    <x v="76"/>
    <x v="0"/>
    <x v="1"/>
    <n v="793.62"/>
    <n v="12"/>
    <m/>
    <n v="0"/>
    <n v="2027"/>
    <n v="0.39150499999999999"/>
    <n v="3"/>
    <x v="0"/>
    <x v="1597"/>
    <n v="634.9"/>
    <n v="0"/>
    <m/>
    <m/>
    <n v="793.61500000000001"/>
    <n v="0"/>
    <n v="77833"/>
  </r>
  <r>
    <x v="12"/>
    <m/>
    <s v="Hareskov Hallen, Måne 8"/>
    <n v="10324"/>
    <m/>
    <s v="Hareskov Hallen"/>
    <x v="76"/>
    <x v="0"/>
    <x v="1"/>
    <n v="179.61"/>
    <n v="11"/>
    <s v="2015-05-04"/>
    <n v="0"/>
    <n v="2027"/>
    <n v="8.8604000000000002E-2"/>
    <n v="3"/>
    <x v="0"/>
    <x v="1598"/>
    <n v="143.69999999999999"/>
    <n v="1"/>
    <s v="Spædevand"/>
    <m/>
    <n v="179.61428000000001"/>
    <n v="0"/>
    <n v="79476"/>
  </r>
  <r>
    <x v="12"/>
    <m/>
    <s v="Hareskov Hallen, Måne 8"/>
    <n v="10324"/>
    <m/>
    <s v="Hareskov Hallen"/>
    <x v="76"/>
    <x v="0"/>
    <x v="2"/>
    <n v="1000.6"/>
    <n v="12"/>
    <m/>
    <n v="0"/>
    <n v="2027"/>
    <n v="0.49361100000000002"/>
    <n v="3"/>
    <x v="0"/>
    <x v="1599"/>
    <n v="800.49"/>
    <n v="0"/>
    <m/>
    <m/>
    <n v="1000.616"/>
    <n v="0"/>
    <n v="77833"/>
  </r>
  <r>
    <x v="12"/>
    <m/>
    <s v="Hareskov Hallen, Måne 8"/>
    <n v="10324"/>
    <m/>
    <s v="Hareskov Hallen"/>
    <x v="76"/>
    <x v="0"/>
    <x v="2"/>
    <n v="183.5"/>
    <n v="7"/>
    <s v="2015-05-04"/>
    <n v="0"/>
    <n v="2027"/>
    <n v="9.0523000000000006E-2"/>
    <n v="3"/>
    <x v="0"/>
    <x v="1600"/>
    <n v="146.79"/>
    <n v="1"/>
    <s v="Spædevand"/>
    <m/>
    <n v="183.50001"/>
    <n v="0"/>
    <n v="79476"/>
  </r>
  <r>
    <x v="12"/>
    <m/>
    <s v="Hareskov Hallen, Måne 8"/>
    <n v="10324"/>
    <m/>
    <s v="Hareskov Hallen"/>
    <x v="76"/>
    <x v="0"/>
    <x v="3"/>
    <n v="955.94"/>
    <n v="12"/>
    <m/>
    <n v="0"/>
    <n v="2027"/>
    <n v="0.47158"/>
    <n v="3"/>
    <x v="0"/>
    <x v="1601"/>
    <n v="764.74"/>
    <n v="0"/>
    <m/>
    <m/>
    <n v="955.93799999999999"/>
    <n v="0"/>
    <n v="77833"/>
  </r>
  <r>
    <x v="12"/>
    <m/>
    <s v="Hareskov Hallen, Måne 8"/>
    <n v="10324"/>
    <m/>
    <s v="Hareskov Hallen"/>
    <x v="76"/>
    <x v="0"/>
    <x v="3"/>
    <n v="191.57"/>
    <n v="5"/>
    <s v="2015-05-04"/>
    <n v="0"/>
    <n v="2027"/>
    <n v="9.4504000000000005E-2"/>
    <n v="3"/>
    <x v="0"/>
    <x v="1602"/>
    <n v="153.26"/>
    <n v="1"/>
    <s v="Spædevand"/>
    <m/>
    <n v="191.56818999999999"/>
    <n v="0"/>
    <n v="79476"/>
  </r>
  <r>
    <x v="12"/>
    <m/>
    <s v="Hareskov Hallen, Måne 8"/>
    <n v="10324"/>
    <m/>
    <s v="Hareskov Hallen"/>
    <x v="76"/>
    <x v="0"/>
    <x v="4"/>
    <n v="1002.09"/>
    <n v="12"/>
    <m/>
    <n v="0"/>
    <n v="2027"/>
    <n v="0.49434600000000001"/>
    <n v="3"/>
    <x v="0"/>
    <x v="1603"/>
    <n v="801.7"/>
    <n v="0"/>
    <m/>
    <m/>
    <n v="1002.097"/>
    <n v="0"/>
    <n v="77833"/>
  </r>
  <r>
    <x v="12"/>
    <m/>
    <s v="Hareskov Hallen, Måne 8"/>
    <n v="10324"/>
    <m/>
    <s v="Hareskov Hallen"/>
    <x v="76"/>
    <x v="0"/>
    <x v="4"/>
    <n v="347.29"/>
    <n v="3"/>
    <s v="2015-05-04"/>
    <n v="0"/>
    <n v="2027"/>
    <n v="0.171323"/>
    <n v="3"/>
    <x v="0"/>
    <x v="1604"/>
    <n v="277.81"/>
    <n v="1"/>
    <s v="Spædevand"/>
    <m/>
    <n v="347.28356000000002"/>
    <n v="0"/>
    <n v="79476"/>
  </r>
  <r>
    <x v="12"/>
    <m/>
    <s v="Hareskov Hallen, Måne 8"/>
    <n v="10324"/>
    <m/>
    <s v="Hareskov Hallen"/>
    <x v="76"/>
    <x v="0"/>
    <x v="5"/>
    <n v="1249.68"/>
    <n v="12"/>
    <m/>
    <n v="0"/>
    <n v="2027"/>
    <n v="0.61648599999999998"/>
    <n v="3"/>
    <x v="0"/>
    <x v="1605"/>
    <n v="999.75"/>
    <n v="0"/>
    <m/>
    <m/>
    <n v="1249.6790000000001"/>
    <n v="0"/>
    <n v="77833"/>
  </r>
  <r>
    <x v="12"/>
    <m/>
    <s v="Hareskov Hallen, Måne 8"/>
    <n v="10324"/>
    <m/>
    <s v="Hareskov Hallen"/>
    <x v="76"/>
    <x v="0"/>
    <x v="5"/>
    <n v="347.6"/>
    <n v="2"/>
    <s v="2015-05-04"/>
    <n v="0"/>
    <n v="2027"/>
    <n v="0.17147599999999999"/>
    <n v="3"/>
    <x v="0"/>
    <x v="1606"/>
    <n v="278.06"/>
    <n v="1"/>
    <s v="Spædevand"/>
    <m/>
    <n v="347.60160999999999"/>
    <n v="0"/>
    <n v="79476"/>
  </r>
  <r>
    <x v="12"/>
    <m/>
    <s v="Hareskov Hallen, Måne 8"/>
    <n v="10324"/>
    <m/>
    <s v="Hareskov Hallen"/>
    <x v="76"/>
    <x v="0"/>
    <x v="6"/>
    <n v="885.12"/>
    <n v="12"/>
    <m/>
    <n v="0"/>
    <n v="2027"/>
    <n v="0.436643"/>
    <n v="3"/>
    <x v="0"/>
    <x v="1607"/>
    <n v="708.08"/>
    <n v="0"/>
    <m/>
    <m/>
    <n v="885.11"/>
    <n v="0"/>
    <n v="77833"/>
  </r>
  <r>
    <x v="12"/>
    <m/>
    <s v="Hareskov Hallen, Måne 8"/>
    <n v="10324"/>
    <m/>
    <s v="Hareskov Hallen"/>
    <x v="76"/>
    <x v="0"/>
    <x v="6"/>
    <n v="191.35"/>
    <n v="2"/>
    <s v="2008-02-27"/>
    <n v="0"/>
    <n v="2027"/>
    <n v="9.4395000000000007E-2"/>
    <n v="3"/>
    <x v="0"/>
    <x v="1608"/>
    <n v="153.08000000000001"/>
    <n v="0"/>
    <s v="02PC501292"/>
    <m/>
    <n v="191.35484"/>
    <n v="0"/>
    <n v="77897"/>
  </r>
  <r>
    <x v="12"/>
    <m/>
    <s v="Hareskov Hallen, Måne 8"/>
    <n v="10324"/>
    <m/>
    <s v="Hareskov Hallen"/>
    <x v="76"/>
    <x v="0"/>
    <x v="6"/>
    <n v="242.81"/>
    <n v="7"/>
    <s v="2015-05-04"/>
    <n v="0"/>
    <n v="2027"/>
    <n v="0.119781"/>
    <n v="3"/>
    <x v="0"/>
    <x v="1609"/>
    <n v="194.25"/>
    <n v="1"/>
    <s v="Spædevand"/>
    <m/>
    <n v="242.80473000000001"/>
    <n v="0"/>
    <n v="79476"/>
  </r>
  <r>
    <x v="12"/>
    <m/>
    <s v="Søndersøhallen, KV50"/>
    <n v="9521"/>
    <m/>
    <s v="Søndersøhallen"/>
    <x v="77"/>
    <x v="0"/>
    <x v="0"/>
    <n v="538"/>
    <n v="5"/>
    <m/>
    <n v="0"/>
    <n v="2433"/>
    <n v="0.105088"/>
    <n v="3"/>
    <x v="0"/>
    <x v="1610"/>
    <n v="204.56"/>
    <n v="0"/>
    <s v="BVK"/>
    <m/>
    <n v="255.69499999999999"/>
    <n v="0"/>
    <n v="74442"/>
  </r>
  <r>
    <x v="12"/>
    <m/>
    <s v="Søndersøhallen, KV50"/>
    <n v="9521"/>
    <m/>
    <s v="Søndersøhallen"/>
    <x v="77"/>
    <x v="0"/>
    <x v="0"/>
    <n v="0"/>
    <n v="5"/>
    <m/>
    <n v="0"/>
    <n v="2433"/>
    <n v="3.9620000000000002E-2"/>
    <n v="3"/>
    <x v="0"/>
    <x v="1611"/>
    <n v="0"/>
    <n v="1"/>
    <s v="BVV"/>
    <m/>
    <n v="96.397999999999996"/>
    <n v="0"/>
    <n v="74444"/>
  </r>
  <r>
    <x v="12"/>
    <m/>
    <s v="Søndersøhallen, KV50"/>
    <n v="9521"/>
    <m/>
    <s v="Søndersøhallen"/>
    <x v="77"/>
    <x v="0"/>
    <x v="1"/>
    <n v="692.92"/>
    <n v="12"/>
    <m/>
    <n v="0"/>
    <n v="2433"/>
    <n v="0.28478799999999999"/>
    <n v="3"/>
    <x v="0"/>
    <x v="1612"/>
    <n v="554.35"/>
    <n v="0"/>
    <s v="BVK"/>
    <m/>
    <n v="692.93"/>
    <n v="0"/>
    <n v="74442"/>
  </r>
  <r>
    <x v="12"/>
    <m/>
    <s v="Søndersøhallen, KV50"/>
    <n v="9521"/>
    <m/>
    <s v="Søndersøhallen"/>
    <x v="77"/>
    <x v="0"/>
    <x v="1"/>
    <n v="218.05"/>
    <n v="12"/>
    <m/>
    <n v="0"/>
    <n v="2433"/>
    <n v="8.9618000000000003E-2"/>
    <n v="3"/>
    <x v="0"/>
    <x v="1613"/>
    <n v="0"/>
    <n v="1"/>
    <s v="BVV"/>
    <m/>
    <n v="218.05099999999999"/>
    <n v="0"/>
    <n v="74444"/>
  </r>
  <r>
    <x v="12"/>
    <m/>
    <s v="Søndersøhallen, KV50"/>
    <n v="9521"/>
    <m/>
    <s v="Søndersøhallen"/>
    <x v="77"/>
    <x v="0"/>
    <x v="2"/>
    <n v="599.14"/>
    <n v="12"/>
    <m/>
    <n v="0"/>
    <n v="2433"/>
    <n v="0.24624499999999999"/>
    <n v="3"/>
    <x v="0"/>
    <x v="1614"/>
    <n v="479.31"/>
    <n v="0"/>
    <s v="BVK"/>
    <m/>
    <n v="599.14499999999998"/>
    <n v="0"/>
    <n v="74442"/>
  </r>
  <r>
    <x v="12"/>
    <m/>
    <s v="Søndersøhallen, KV50"/>
    <n v="9521"/>
    <m/>
    <s v="Søndersøhallen"/>
    <x v="77"/>
    <x v="0"/>
    <x v="2"/>
    <n v="164.39"/>
    <n v="12"/>
    <m/>
    <n v="0"/>
    <n v="2433"/>
    <n v="6.7563999999999999E-2"/>
    <n v="3"/>
    <x v="0"/>
    <x v="1615"/>
    <n v="0"/>
    <n v="1"/>
    <s v="BVV"/>
    <m/>
    <n v="164.39500000000001"/>
    <n v="0"/>
    <n v="74444"/>
  </r>
  <r>
    <x v="12"/>
    <m/>
    <s v="Søndersøhallen, KV50"/>
    <n v="9521"/>
    <m/>
    <s v="Søndersøhallen"/>
    <x v="77"/>
    <x v="0"/>
    <x v="3"/>
    <n v="478.62"/>
    <n v="12"/>
    <m/>
    <n v="0"/>
    <n v="2433"/>
    <n v="0.196712"/>
    <n v="3"/>
    <x v="0"/>
    <x v="1616"/>
    <n v="382.89"/>
    <n v="0"/>
    <s v="BVK"/>
    <m/>
    <n v="478.61399999999998"/>
    <n v="0"/>
    <n v="74442"/>
  </r>
  <r>
    <x v="12"/>
    <m/>
    <s v="Søndersøhallen, KV50"/>
    <n v="9521"/>
    <m/>
    <s v="Søndersøhallen"/>
    <x v="77"/>
    <x v="0"/>
    <x v="3"/>
    <n v="167.78"/>
    <n v="12"/>
    <m/>
    <n v="0"/>
    <n v="2433"/>
    <n v="6.8957000000000004E-2"/>
    <n v="3"/>
    <x v="0"/>
    <x v="1617"/>
    <n v="0"/>
    <n v="1"/>
    <s v="BVV"/>
    <m/>
    <n v="167.78700000000001"/>
    <n v="0"/>
    <n v="74444"/>
  </r>
  <r>
    <x v="12"/>
    <m/>
    <s v="Søndersøhallen, KV50"/>
    <n v="9521"/>
    <m/>
    <s v="Søndersøhallen"/>
    <x v="77"/>
    <x v="0"/>
    <x v="4"/>
    <n v="794.35"/>
    <n v="12"/>
    <m/>
    <n v="0"/>
    <n v="2433"/>
    <n v="0.32647599999999999"/>
    <n v="3"/>
    <x v="0"/>
    <x v="1618"/>
    <n v="635.48"/>
    <n v="0"/>
    <s v="BVK"/>
    <m/>
    <n v="794.34900000000005"/>
    <n v="0"/>
    <n v="74442"/>
  </r>
  <r>
    <x v="12"/>
    <m/>
    <s v="Søndersøhallen, KV50"/>
    <n v="9521"/>
    <m/>
    <s v="Søndersøhallen"/>
    <x v="77"/>
    <x v="0"/>
    <x v="4"/>
    <n v="240.54"/>
    <n v="12"/>
    <m/>
    <n v="0"/>
    <n v="2433"/>
    <n v="9.8861000000000004E-2"/>
    <n v="3"/>
    <x v="0"/>
    <x v="1619"/>
    <n v="0"/>
    <n v="1"/>
    <s v="BVV"/>
    <m/>
    <n v="240.54"/>
    <n v="0"/>
    <n v="74444"/>
  </r>
  <r>
    <x v="12"/>
    <m/>
    <s v="Søndersøhallen, KV50"/>
    <n v="9521"/>
    <m/>
    <s v="Søndersøhallen"/>
    <x v="77"/>
    <x v="0"/>
    <x v="5"/>
    <n v="843.44"/>
    <n v="12"/>
    <m/>
    <n v="0"/>
    <n v="2433"/>
    <n v="0.34665200000000002"/>
    <n v="3"/>
    <x v="0"/>
    <x v="1620"/>
    <n v="674.74"/>
    <n v="0"/>
    <s v="BVK"/>
    <m/>
    <n v="843.42200000000003"/>
    <n v="0"/>
    <n v="74442"/>
  </r>
  <r>
    <x v="12"/>
    <m/>
    <s v="Søndersøhallen, KV50"/>
    <n v="9521"/>
    <m/>
    <s v="Søndersøhallen"/>
    <x v="77"/>
    <x v="0"/>
    <x v="5"/>
    <n v="289.83999999999997"/>
    <n v="12"/>
    <m/>
    <n v="0"/>
    <n v="2433"/>
    <n v="0.11912300000000001"/>
    <n v="3"/>
    <x v="0"/>
    <x v="1621"/>
    <n v="0"/>
    <n v="1"/>
    <s v="BVV"/>
    <m/>
    <n v="289.83699999999999"/>
    <n v="0"/>
    <n v="74444"/>
  </r>
  <r>
    <x v="12"/>
    <m/>
    <s v="Søndersøhallen, KV50"/>
    <n v="9521"/>
    <m/>
    <s v="Søndersøhallen"/>
    <x v="77"/>
    <x v="0"/>
    <x v="6"/>
    <n v="737.98"/>
    <n v="12"/>
    <m/>
    <n v="0"/>
    <n v="2433"/>
    <n v="0.30330800000000002"/>
    <n v="3"/>
    <x v="0"/>
    <x v="1622"/>
    <n v="590.37"/>
    <n v="0"/>
    <s v="BVK"/>
    <m/>
    <n v="737.97699999999998"/>
    <n v="0"/>
    <n v="74442"/>
  </r>
  <r>
    <x v="12"/>
    <m/>
    <s v="Søndersøhallen, KV50"/>
    <n v="9521"/>
    <m/>
    <s v="Søndersøhallen"/>
    <x v="77"/>
    <x v="0"/>
    <x v="6"/>
    <n v="227.88"/>
    <n v="12"/>
    <m/>
    <n v="0"/>
    <n v="2433"/>
    <n v="9.3658000000000005E-2"/>
    <n v="3"/>
    <x v="0"/>
    <x v="1623"/>
    <n v="0"/>
    <n v="1"/>
    <s v="BVV"/>
    <m/>
    <n v="227.89500000000001"/>
    <n v="0"/>
    <n v="74444"/>
  </r>
  <r>
    <x v="12"/>
    <m/>
    <s v="Værløsehallerne, Stiager 8"/>
    <n v="9523"/>
    <m/>
    <s v="Værløse gl. hal"/>
    <x v="78"/>
    <x v="0"/>
    <x v="0"/>
    <n v="345"/>
    <n v="5"/>
    <m/>
    <n v="0"/>
    <n v="2103"/>
    <n v="8.2288E-2"/>
    <n v="3"/>
    <x v="0"/>
    <x v="1624"/>
    <n v="138.44999999999999"/>
    <n v="0"/>
    <m/>
    <m/>
    <n v="173.06"/>
    <n v="0"/>
    <n v="74452"/>
  </r>
  <r>
    <x v="12"/>
    <m/>
    <s v="Værløsehallerne, Stiager 8"/>
    <n v="9523"/>
    <m/>
    <s v="Værløse gl. hal"/>
    <x v="78"/>
    <x v="0"/>
    <x v="1"/>
    <n v="420.27"/>
    <n v="12"/>
    <m/>
    <n v="0"/>
    <n v="2103"/>
    <n v="0.19983300000000001"/>
    <n v="3"/>
    <x v="0"/>
    <x v="1625"/>
    <n v="336.21"/>
    <n v="0"/>
    <m/>
    <m/>
    <n v="420.26"/>
    <n v="0"/>
    <n v="74452"/>
  </r>
  <r>
    <x v="12"/>
    <m/>
    <s v="Værløsehallerne, Stiager 8"/>
    <n v="9523"/>
    <m/>
    <s v="Værløse gl. hal"/>
    <x v="78"/>
    <x v="0"/>
    <x v="2"/>
    <n v="512.95000000000005"/>
    <n v="12"/>
    <m/>
    <n v="0"/>
    <n v="2103"/>
    <n v="0.24390100000000001"/>
    <n v="3"/>
    <x v="0"/>
    <x v="1626"/>
    <n v="410.38"/>
    <n v="0"/>
    <m/>
    <m/>
    <n v="512.94799999999998"/>
    <n v="0"/>
    <n v="74452"/>
  </r>
  <r>
    <x v="12"/>
    <m/>
    <s v="Værløsehallerne, Stiager 8"/>
    <n v="9523"/>
    <m/>
    <s v="Værløse gl. hal"/>
    <x v="78"/>
    <x v="0"/>
    <x v="3"/>
    <n v="441.41"/>
    <n v="12"/>
    <m/>
    <n v="0"/>
    <n v="2103"/>
    <n v="0.20988499999999999"/>
    <n v="3"/>
    <x v="0"/>
    <x v="1627"/>
    <n v="353.13"/>
    <n v="0"/>
    <m/>
    <m/>
    <n v="441.40199999999999"/>
    <n v="0"/>
    <n v="74452"/>
  </r>
  <r>
    <x v="12"/>
    <m/>
    <s v="Værløsehallerne, Stiager 8"/>
    <n v="9523"/>
    <m/>
    <s v="Værløse gl. hal"/>
    <x v="78"/>
    <x v="0"/>
    <x v="4"/>
    <n v="506.84"/>
    <n v="12"/>
    <m/>
    <n v="0"/>
    <n v="2103"/>
    <n v="0.24099599999999999"/>
    <n v="3"/>
    <x v="0"/>
    <x v="1628"/>
    <n v="405.46"/>
    <n v="0"/>
    <m/>
    <m/>
    <n v="506.834"/>
    <n v="0"/>
    <n v="74452"/>
  </r>
  <r>
    <x v="12"/>
    <m/>
    <s v="Værløsehallerne, Stiager 8"/>
    <n v="9523"/>
    <m/>
    <s v="Værløse gl. hal"/>
    <x v="78"/>
    <x v="0"/>
    <x v="5"/>
    <n v="476.32"/>
    <n v="12"/>
    <m/>
    <n v="0"/>
    <n v="2103"/>
    <n v="0.22648399999999999"/>
    <n v="3"/>
    <x v="0"/>
    <x v="1629"/>
    <n v="381.05"/>
    <n v="0"/>
    <m/>
    <m/>
    <n v="476.33199999999999"/>
    <n v="0"/>
    <n v="74452"/>
  </r>
  <r>
    <x v="12"/>
    <m/>
    <s v="Værløsehallerne, Stiager 8"/>
    <n v="9523"/>
    <m/>
    <s v="Værløse gl. hal"/>
    <x v="78"/>
    <x v="0"/>
    <x v="6"/>
    <n v="521.22"/>
    <n v="12"/>
    <m/>
    <n v="0"/>
    <n v="2103"/>
    <n v="0.247834"/>
    <n v="3"/>
    <x v="0"/>
    <x v="1630"/>
    <n v="416.97"/>
    <n v="0"/>
    <m/>
    <m/>
    <n v="521.22199999999998"/>
    <n v="0"/>
    <n v="74452"/>
  </r>
  <r>
    <x v="12"/>
    <m/>
    <s v="Værløsehallerne, Stiager 8"/>
    <n v="9522"/>
    <m/>
    <s v="Værløse hal Ny hal"/>
    <x v="78"/>
    <x v="0"/>
    <x v="0"/>
    <n v="1311"/>
    <n v="5"/>
    <m/>
    <n v="0"/>
    <n v="5224"/>
    <n v="0.123695"/>
    <n v="3"/>
    <x v="0"/>
    <x v="1631"/>
    <n v="516.95000000000005"/>
    <n v="0"/>
    <m/>
    <m/>
    <n v="646.20000000000005"/>
    <n v="0"/>
    <n v="74448"/>
  </r>
  <r>
    <x v="12"/>
    <m/>
    <s v="Værløsehallerne, Stiager 8"/>
    <n v="9522"/>
    <m/>
    <s v="Værløse hal Ny hal"/>
    <x v="78"/>
    <x v="0"/>
    <x v="0"/>
    <n v="0"/>
    <n v="5"/>
    <m/>
    <n v="0"/>
    <n v="5224"/>
    <n v="6.2454000000000003E-2"/>
    <n v="3"/>
    <x v="0"/>
    <x v="1632"/>
    <n v="0"/>
    <n v="1"/>
    <s v="BVV"/>
    <m/>
    <n v="326.279"/>
    <n v="0"/>
    <n v="74455"/>
  </r>
  <r>
    <x v="12"/>
    <m/>
    <s v="Værløsehallerne, Stiager 8"/>
    <n v="9522"/>
    <m/>
    <s v="Værløse hal Ny hal"/>
    <x v="78"/>
    <x v="0"/>
    <x v="1"/>
    <n v="1456.76"/>
    <n v="12"/>
    <m/>
    <n v="0"/>
    <n v="5224"/>
    <n v="0.27885300000000002"/>
    <n v="3"/>
    <x v="0"/>
    <x v="1633"/>
    <n v="1165.42"/>
    <n v="0"/>
    <m/>
    <m/>
    <n v="1456.7729999999999"/>
    <n v="0"/>
    <n v="74448"/>
  </r>
  <r>
    <x v="12"/>
    <m/>
    <s v="Værløsehallerne, Stiager 8"/>
    <n v="9522"/>
    <m/>
    <s v="Værløse hal Ny hal"/>
    <x v="78"/>
    <x v="0"/>
    <x v="1"/>
    <n v="734.41"/>
    <n v="12"/>
    <m/>
    <n v="0"/>
    <n v="5224"/>
    <n v="0.14058100000000001"/>
    <n v="3"/>
    <x v="0"/>
    <x v="1634"/>
    <n v="0"/>
    <n v="1"/>
    <s v="BVV"/>
    <m/>
    <n v="734.42399999999998"/>
    <n v="0"/>
    <n v="74455"/>
  </r>
  <r>
    <x v="12"/>
    <m/>
    <s v="Værløsehallerne, Stiager 8"/>
    <n v="9522"/>
    <m/>
    <s v="Værløse hal Ny hal"/>
    <x v="78"/>
    <x v="0"/>
    <x v="2"/>
    <n v="1392.62"/>
    <n v="12"/>
    <m/>
    <n v="0"/>
    <n v="5224"/>
    <n v="0.26657599999999998"/>
    <n v="3"/>
    <x v="0"/>
    <x v="1635"/>
    <n v="1114.0899999999999"/>
    <n v="0"/>
    <m/>
    <m/>
    <n v="1392.6189999999999"/>
    <n v="0"/>
    <n v="74448"/>
  </r>
  <r>
    <x v="12"/>
    <m/>
    <s v="Værløsehallerne, Stiager 8"/>
    <n v="9522"/>
    <m/>
    <s v="Værløse hal Ny hal"/>
    <x v="78"/>
    <x v="0"/>
    <x v="2"/>
    <n v="670.79"/>
    <n v="12"/>
    <m/>
    <n v="0"/>
    <n v="5224"/>
    <n v="0.12840199999999999"/>
    <n v="3"/>
    <x v="0"/>
    <x v="1636"/>
    <n v="0"/>
    <n v="1"/>
    <s v="BVV"/>
    <m/>
    <n v="670.78700000000003"/>
    <n v="0"/>
    <n v="74455"/>
  </r>
  <r>
    <x v="12"/>
    <m/>
    <s v="Værløsehallerne, Stiager 8"/>
    <n v="9522"/>
    <m/>
    <s v="Værløse hal Ny hal"/>
    <x v="78"/>
    <x v="0"/>
    <x v="3"/>
    <n v="1390.64"/>
    <n v="12"/>
    <m/>
    <n v="0"/>
    <n v="5224"/>
    <n v="0.26619700000000002"/>
    <n v="3"/>
    <x v="0"/>
    <x v="1637"/>
    <n v="1112.51"/>
    <n v="0"/>
    <m/>
    <m/>
    <n v="1390.652"/>
    <n v="0"/>
    <n v="74448"/>
  </r>
  <r>
    <x v="12"/>
    <m/>
    <s v="Værløsehallerne, Stiager 8"/>
    <n v="9522"/>
    <m/>
    <s v="Værløse hal Ny hal"/>
    <x v="78"/>
    <x v="0"/>
    <x v="3"/>
    <n v="435.27"/>
    <n v="12"/>
    <m/>
    <n v="0"/>
    <n v="5224"/>
    <n v="8.3319000000000004E-2"/>
    <n v="3"/>
    <x v="0"/>
    <x v="1638"/>
    <n v="0"/>
    <n v="1"/>
    <s v="BVV"/>
    <m/>
    <n v="435.267"/>
    <n v="0"/>
    <n v="74455"/>
  </r>
  <r>
    <x v="12"/>
    <m/>
    <s v="Værløsehallerne, Stiager 8"/>
    <n v="9522"/>
    <m/>
    <s v="Værløse hal Ny hal"/>
    <x v="78"/>
    <x v="0"/>
    <x v="4"/>
    <n v="1423.94"/>
    <n v="12"/>
    <m/>
    <n v="0"/>
    <n v="5224"/>
    <n v="0.27257100000000001"/>
    <n v="3"/>
    <x v="0"/>
    <x v="1639"/>
    <n v="1139.1500000000001"/>
    <n v="0"/>
    <m/>
    <m/>
    <n v="1423.9480000000001"/>
    <n v="0"/>
    <n v="74448"/>
  </r>
  <r>
    <x v="12"/>
    <m/>
    <s v="Værløsehallerne, Stiager 8"/>
    <n v="9522"/>
    <m/>
    <s v="Værløse hal Ny hal"/>
    <x v="78"/>
    <x v="0"/>
    <x v="4"/>
    <n v="856.92"/>
    <n v="12"/>
    <m/>
    <n v="0"/>
    <n v="5224"/>
    <n v="0.16403200000000001"/>
    <n v="3"/>
    <x v="0"/>
    <x v="1640"/>
    <n v="0"/>
    <n v="1"/>
    <s v="BVV"/>
    <m/>
    <n v="856.91200000000003"/>
    <n v="0"/>
    <n v="74455"/>
  </r>
  <r>
    <x v="12"/>
    <m/>
    <s v="Værløsehallerne, Stiager 8"/>
    <n v="9522"/>
    <m/>
    <s v="Værløse hal Ny hal"/>
    <x v="78"/>
    <x v="0"/>
    <x v="5"/>
    <n v="1577.89"/>
    <n v="12"/>
    <m/>
    <n v="0"/>
    <n v="5224"/>
    <n v="0.30203999999999998"/>
    <n v="3"/>
    <x v="0"/>
    <x v="1641"/>
    <n v="1262.33"/>
    <n v="0"/>
    <m/>
    <m/>
    <n v="1577.8989999999999"/>
    <n v="0"/>
    <n v="74448"/>
  </r>
  <r>
    <x v="12"/>
    <m/>
    <s v="Værløsehallerne, Stiager 8"/>
    <n v="9522"/>
    <m/>
    <s v="Værløse hal Ny hal"/>
    <x v="78"/>
    <x v="0"/>
    <x v="5"/>
    <n v="927.5"/>
    <n v="12"/>
    <m/>
    <n v="0"/>
    <n v="5224"/>
    <n v="0.17754200000000001"/>
    <n v="3"/>
    <x v="0"/>
    <x v="1642"/>
    <n v="0"/>
    <n v="1"/>
    <s v="BVV"/>
    <m/>
    <n v="927.51300000000003"/>
    <n v="0"/>
    <n v="74455"/>
  </r>
  <r>
    <x v="12"/>
    <m/>
    <s v="Værløsehallerne, Stiager 8"/>
    <n v="9522"/>
    <m/>
    <s v="Værløse hal Ny hal"/>
    <x v="78"/>
    <x v="0"/>
    <x v="6"/>
    <n v="1646.46"/>
    <n v="12"/>
    <m/>
    <n v="0"/>
    <n v="5224"/>
    <n v="0.315166"/>
    <n v="3"/>
    <x v="0"/>
    <x v="1643"/>
    <n v="1317.16"/>
    <n v="0"/>
    <m/>
    <m/>
    <n v="1646.4690000000001"/>
    <n v="0"/>
    <n v="74448"/>
  </r>
  <r>
    <x v="12"/>
    <m/>
    <s v="Værløsehallerne, Stiager 8"/>
    <n v="9522"/>
    <m/>
    <s v="Værløse hal Ny hal"/>
    <x v="78"/>
    <x v="0"/>
    <x v="6"/>
    <n v="922.37"/>
    <n v="12"/>
    <m/>
    <n v="0"/>
    <n v="5224"/>
    <n v="0.17655999999999999"/>
    <n v="3"/>
    <x v="0"/>
    <x v="1644"/>
    <n v="0"/>
    <n v="1"/>
    <s v="BVV"/>
    <m/>
    <n v="922.36099999999999"/>
    <n v="0"/>
    <n v="74455"/>
  </r>
  <r>
    <x v="12"/>
    <s v="03953-5"/>
    <s v="Farum Arena, STA41"/>
    <n v="5467"/>
    <m/>
    <s v="Farum Hallen"/>
    <x v="75"/>
    <x v="0"/>
    <x v="7"/>
    <n v="1590.07"/>
    <n v="12"/>
    <s v="2005-11-30"/>
    <n v="0"/>
    <n v="6415"/>
    <n v="0.247863"/>
    <n v="3"/>
    <x v="0"/>
    <x v="1645"/>
    <n v="1272.04"/>
    <n v="0"/>
    <s v="BK 01065500"/>
    <m/>
    <n v="1590.0650000000001"/>
    <n v="0"/>
    <n v="57800"/>
  </r>
  <r>
    <x v="12"/>
    <s v="03953-5"/>
    <s v="Farum Arena, STA41"/>
    <n v="5467"/>
    <m/>
    <s v="Farum Hallen"/>
    <x v="75"/>
    <x v="0"/>
    <x v="7"/>
    <n v="168.52"/>
    <n v="12"/>
    <s v="2005-11-30"/>
    <n v="0"/>
    <n v="6415"/>
    <n v="2.6269000000000001E-2"/>
    <n v="3"/>
    <x v="0"/>
    <x v="1646"/>
    <n v="134.82"/>
    <n v="1"/>
    <s v="BV 98610782 FH"/>
    <m/>
    <n v="168.52099999999999"/>
    <n v="0"/>
    <n v="57802"/>
  </r>
  <r>
    <x v="12"/>
    <s v="03953-5"/>
    <s v="Farum Arena, STA41"/>
    <n v="14135"/>
    <s v="0"/>
    <s v="Stavnsholthallen"/>
    <x v="75"/>
    <x v="0"/>
    <x v="7"/>
    <n v="239.51"/>
    <n v="12"/>
    <s v="2005-11-30"/>
    <n v="0"/>
    <n v="3594"/>
    <n v="6.6639000000000004E-2"/>
    <n v="3"/>
    <x v="0"/>
    <x v="1647"/>
    <n v="0"/>
    <n v="1"/>
    <s v="BV 2140779 STH"/>
    <m/>
    <n v="239.517"/>
    <n v="0"/>
    <n v="57804"/>
  </r>
  <r>
    <x v="12"/>
    <s v="03953-5"/>
    <s v="Farum Arena, STA41"/>
    <n v="5467"/>
    <m/>
    <s v="Farum Hallen"/>
    <x v="75"/>
    <x v="0"/>
    <x v="7"/>
    <n v="213280"/>
    <n v="12"/>
    <s v="2005-12-01"/>
    <n v="0"/>
    <n v="6415"/>
    <n v="33.246558"/>
    <n v="1"/>
    <x v="1"/>
    <x v="1648"/>
    <n v="17196773"/>
    <n v="0"/>
    <s v="4845354 FH"/>
    <m/>
    <n v="213280"/>
    <n v="0"/>
    <n v="61229"/>
  </r>
  <r>
    <x v="12"/>
    <s v="03953-5"/>
    <s v="Farum Arena, STA41"/>
    <n v="14135"/>
    <s v="0"/>
    <s v="Stavnsholthallen"/>
    <x v="75"/>
    <x v="0"/>
    <x v="7"/>
    <n v="184163"/>
    <n v="12"/>
    <s v="2005-12-01"/>
    <n v="0"/>
    <n v="3594"/>
    <n v="51.240366000000002"/>
    <n v="1"/>
    <x v="1"/>
    <x v="1649"/>
    <n v="14999211.68"/>
    <n v="0"/>
    <s v="4184811 STH"/>
    <m/>
    <n v="184163.003"/>
    <n v="0"/>
    <n v="57807"/>
  </r>
  <r>
    <x v="12"/>
    <s v="03953-5"/>
    <s v="Farum Arena, STA41"/>
    <n v="5467"/>
    <m/>
    <s v="Farum Hallen"/>
    <x v="75"/>
    <x v="0"/>
    <x v="1"/>
    <n v="223258.65"/>
    <n v="12"/>
    <s v="2005-11-30"/>
    <n v="0"/>
    <n v="6415"/>
    <n v="34.802052000000003"/>
    <n v="2"/>
    <x v="2"/>
    <x v="1650"/>
    <n v="89303.46"/>
    <n v="0"/>
    <s v="741607  FH"/>
    <s v="5713131 74120010389"/>
    <n v="223258.65"/>
    <n v="0"/>
    <n v="57798"/>
  </r>
  <r>
    <x v="12"/>
    <s v="03953-5"/>
    <s v="Farum Arena, STA41"/>
    <n v="14135"/>
    <s v="0"/>
    <s v="Stavnsholthallen"/>
    <x v="75"/>
    <x v="0"/>
    <x v="1"/>
    <n v="125241.32"/>
    <n v="12"/>
    <s v="2005-11-30"/>
    <n v="0"/>
    <n v="3594"/>
    <n v="34.846364000000001"/>
    <n v="2"/>
    <x v="2"/>
    <x v="1651"/>
    <n v="50096.53"/>
    <n v="0"/>
    <s v="1129204 STH"/>
    <s v="74120010297"/>
    <n v="125241.321"/>
    <n v="0"/>
    <n v="57799"/>
  </r>
  <r>
    <x v="12"/>
    <s v="03953-5"/>
    <s v="Farum Arena, STA41"/>
    <n v="5467"/>
    <m/>
    <s v="Farum Hallen"/>
    <x v="75"/>
    <x v="1"/>
    <x v="7"/>
    <n v="150724.79999999999"/>
    <n v="12"/>
    <s v="2005-12-01"/>
    <n v="0"/>
    <n v="6415"/>
    <n v="23.495315000000002"/>
    <n v="1"/>
    <x v="3"/>
    <x v="1652"/>
    <n v="358754.23"/>
    <n v="1"/>
    <s v="-4845354 FH"/>
    <m/>
    <n v="4320"/>
    <n v="61229"/>
    <n v="61230"/>
  </r>
  <r>
    <x v="12"/>
    <s v="03953-5"/>
    <s v="Farum Arena, STA41"/>
    <n v="14135"/>
    <s v="0"/>
    <s v="Stavnsholthallen"/>
    <x v="75"/>
    <x v="1"/>
    <x v="7"/>
    <n v="160769.98000000001"/>
    <n v="12"/>
    <s v="2005-12-01"/>
    <n v="0"/>
    <n v="3594"/>
    <n v="44.731636999999999"/>
    <n v="1"/>
    <x v="3"/>
    <x v="1653"/>
    <n v="357956.08"/>
    <n v="1"/>
    <s v="-4184811 STH"/>
    <m/>
    <n v="4607.91"/>
    <n v="57807"/>
    <n v="57809"/>
  </r>
  <r>
    <x v="12"/>
    <s v="03953-5"/>
    <s v="Farum Arena, STA41"/>
    <n v="5467"/>
    <m/>
    <s v="Farum Hallen"/>
    <x v="75"/>
    <x v="0"/>
    <x v="0"/>
    <n v="230850"/>
    <n v="5"/>
    <s v="2005-12-01"/>
    <n v="0"/>
    <n v="6415"/>
    <n v="23.213978999999998"/>
    <n v="1"/>
    <x v="1"/>
    <x v="1654"/>
    <n v="31232103.300000001"/>
    <n v="0"/>
    <s v="4845354 FH"/>
    <m/>
    <n v="148920"/>
    <n v="0"/>
    <n v="61229"/>
  </r>
  <r>
    <x v="12"/>
    <s v="03953-5"/>
    <s v="Farum Arena, STA41"/>
    <n v="5467"/>
    <m/>
    <s v="Farum Hallen"/>
    <x v="75"/>
    <x v="1"/>
    <x v="0"/>
    <n v="90658.17"/>
    <n v="5"/>
    <s v="2005-12-01"/>
    <n v="0"/>
    <n v="6415"/>
    <n v="14.131995999999999"/>
    <n v="1"/>
    <x v="3"/>
    <x v="1655"/>
    <n v="541178.39"/>
    <n v="1"/>
    <s v="-4845354 FH"/>
    <m/>
    <n v="2598.4"/>
    <n v="61229"/>
    <n v="61230"/>
  </r>
  <r>
    <x v="12"/>
    <s v="03953-5"/>
    <s v="Farum Arena, STA41"/>
    <n v="5467"/>
    <m/>
    <s v="Farum Hallen"/>
    <x v="75"/>
    <x v="1"/>
    <x v="1"/>
    <n v="177464.5"/>
    <n v="12"/>
    <s v="2005-12-01"/>
    <n v="0"/>
    <n v="6415"/>
    <n v="27.663558999999999"/>
    <n v="1"/>
    <x v="3"/>
    <x v="1656"/>
    <n v="965.95"/>
    <n v="1"/>
    <s v="-4845354 FH"/>
    <m/>
    <n v="5086.3999999999996"/>
    <n v="61229"/>
    <n v="61230"/>
  </r>
  <r>
    <x v="12"/>
    <s v="03953-5"/>
    <s v="Farum Arena, STA41"/>
    <n v="5467"/>
    <m/>
    <s v="Farum Hallen"/>
    <x v="75"/>
    <x v="0"/>
    <x v="1"/>
    <n v="267550"/>
    <n v="12"/>
    <s v="2005-12-01"/>
    <n v="0"/>
    <n v="6415"/>
    <n v="41.706285999999999"/>
    <n v="1"/>
    <x v="1"/>
    <x v="1657"/>
    <n v="50756.66"/>
    <n v="0"/>
    <s v="4845354 FH"/>
    <m/>
    <n v="267550"/>
    <n v="0"/>
    <n v="61229"/>
  </r>
  <r>
    <x v="12"/>
    <s v="03953-5"/>
    <s v="Farum Arena, STA41"/>
    <n v="5467"/>
    <m/>
    <s v="Farum Hallen"/>
    <x v="75"/>
    <x v="1"/>
    <x v="2"/>
    <n v="198688.08"/>
    <n v="12"/>
    <s v="2005-12-01"/>
    <n v="0"/>
    <n v="6415"/>
    <n v="30.971938000000002"/>
    <n v="1"/>
    <x v="3"/>
    <x v="1658"/>
    <n v="1103.95"/>
    <n v="1"/>
    <s v="-4845354 FH"/>
    <m/>
    <n v="5694.7"/>
    <n v="61229"/>
    <n v="61230"/>
  </r>
  <r>
    <x v="12"/>
    <s v="03953-5"/>
    <s v="Farum Arena, STA41"/>
    <n v="5467"/>
    <m/>
    <s v="Farum Hallen"/>
    <x v="75"/>
    <x v="0"/>
    <x v="2"/>
    <n v="289070"/>
    <n v="12"/>
    <s v="2005-12-01"/>
    <n v="0"/>
    <n v="6415"/>
    <n v="45.060872000000003"/>
    <n v="1"/>
    <x v="1"/>
    <x v="1659"/>
    <n v="56173.440000000002"/>
    <n v="0"/>
    <s v="4845354 FH"/>
    <m/>
    <n v="289070"/>
    <n v="0"/>
    <n v="61229"/>
  </r>
  <r>
    <x v="12"/>
    <s v="03953-5"/>
    <s v="Farum Arena, STA41"/>
    <n v="5467"/>
    <m/>
    <s v="Farum Hallen"/>
    <x v="75"/>
    <x v="0"/>
    <x v="3"/>
    <n v="304360"/>
    <n v="12"/>
    <s v="2005-12-01"/>
    <n v="0"/>
    <n v="6415"/>
    <n v="47.444310999999999"/>
    <n v="1"/>
    <x v="1"/>
    <x v="1660"/>
    <n v="60292.74"/>
    <n v="0"/>
    <s v="4845354 FH"/>
    <m/>
    <n v="304360"/>
    <n v="0"/>
    <n v="61229"/>
  </r>
  <r>
    <x v="12"/>
    <s v="03953-5"/>
    <s v="Farum Arena, STA41"/>
    <n v="5467"/>
    <m/>
    <s v="Farum Hallen"/>
    <x v="75"/>
    <x v="1"/>
    <x v="3"/>
    <n v="209587.71"/>
    <n v="12"/>
    <s v="2005-12-01"/>
    <n v="0"/>
    <n v="6415"/>
    <n v="32.670996000000002"/>
    <n v="1"/>
    <x v="3"/>
    <x v="1661"/>
    <n v="1186.0999999999999"/>
    <n v="1"/>
    <s v="-4845354 FH"/>
    <m/>
    <n v="6007.1"/>
    <n v="61229"/>
    <n v="61230"/>
  </r>
  <r>
    <x v="12"/>
    <s v="03953-5"/>
    <s v="Farum Arena, STA41"/>
    <n v="5467"/>
    <m/>
    <s v="Farum Hallen"/>
    <x v="75"/>
    <x v="0"/>
    <x v="4"/>
    <n v="381860"/>
    <n v="12"/>
    <s v="2005-12-01"/>
    <n v="0"/>
    <n v="6415"/>
    <n v="59.525182000000001"/>
    <n v="1"/>
    <x v="1"/>
    <x v="1662"/>
    <n v="64518.94"/>
    <n v="0"/>
    <s v="4845354 FH"/>
    <m/>
    <n v="381859.99699999997"/>
    <n v="0"/>
    <n v="61229"/>
  </r>
  <r>
    <x v="12"/>
    <s v="03953-5"/>
    <s v="Farum Arena, STA41"/>
    <n v="5467"/>
    <m/>
    <s v="Farum Hallen"/>
    <x v="75"/>
    <x v="1"/>
    <x v="4"/>
    <n v="264769.75"/>
    <n v="12"/>
    <s v="2005-12-01"/>
    <n v="0"/>
    <n v="6415"/>
    <n v="41.272894999999998"/>
    <n v="1"/>
    <x v="3"/>
    <x v="1663"/>
    <n v="1285.22"/>
    <n v="1"/>
    <s v="-4845354 FH"/>
    <m/>
    <n v="7588.7"/>
    <n v="61229"/>
    <n v="61230"/>
  </r>
  <r>
    <x v="12"/>
    <s v="03953-5"/>
    <s v="Farum Arena, STA41"/>
    <n v="5467"/>
    <m/>
    <s v="Farum Hallen"/>
    <x v="75"/>
    <x v="1"/>
    <x v="5"/>
    <n v="244711.49"/>
    <n v="12"/>
    <s v="2005-12-01"/>
    <n v="0"/>
    <n v="6415"/>
    <n v="38.146169"/>
    <n v="1"/>
    <x v="3"/>
    <x v="1664"/>
    <n v="1331.12"/>
    <n v="1"/>
    <s v="-4845354 FH"/>
    <m/>
    <n v="7013.8"/>
    <n v="61229"/>
    <n v="61230"/>
  </r>
  <r>
    <x v="12"/>
    <s v="03953-5"/>
    <s v="Farum Arena, STA41"/>
    <n v="5467"/>
    <m/>
    <s v="Farum Hallen"/>
    <x v="75"/>
    <x v="0"/>
    <x v="5"/>
    <n v="312920"/>
    <n v="12"/>
    <s v="2005-12-01"/>
    <n v="0"/>
    <n v="6415"/>
    <n v="48.778661999999997"/>
    <n v="1"/>
    <x v="1"/>
    <x v="1665"/>
    <n v="60787.64"/>
    <n v="0"/>
    <s v="4845354 FH"/>
    <m/>
    <n v="312920"/>
    <n v="0"/>
    <n v="61229"/>
  </r>
  <r>
    <x v="12"/>
    <s v="03953-5"/>
    <s v="Farum Arena, STA41"/>
    <n v="5467"/>
    <m/>
    <s v="Farum Hallen"/>
    <x v="75"/>
    <x v="1"/>
    <x v="6"/>
    <n v="220818.82"/>
    <n v="12"/>
    <s v="2005-12-01"/>
    <n v="0"/>
    <n v="6415"/>
    <n v="34.421726"/>
    <n v="1"/>
    <x v="3"/>
    <x v="1666"/>
    <n v="1336.03"/>
    <n v="1"/>
    <s v="-4845354 FH"/>
    <m/>
    <n v="6329"/>
    <n v="61229"/>
    <n v="61230"/>
  </r>
  <r>
    <x v="12"/>
    <s v="03953-5"/>
    <s v="Farum Arena, STA41"/>
    <n v="5467"/>
    <m/>
    <s v="Farum Hallen"/>
    <x v="75"/>
    <x v="0"/>
    <x v="6"/>
    <n v="316790"/>
    <n v="12"/>
    <s v="2005-12-01"/>
    <n v="0"/>
    <n v="6415"/>
    <n v="49.381926999999997"/>
    <n v="1"/>
    <x v="1"/>
    <x v="1667"/>
    <n v="67827.39"/>
    <n v="0"/>
    <s v="4845354 FH"/>
    <m/>
    <n v="316790"/>
    <n v="0"/>
    <n v="61229"/>
  </r>
  <r>
    <x v="12"/>
    <s v="03953-5"/>
    <s v="Farum Arena, STA41"/>
    <n v="14135"/>
    <s v="0"/>
    <s v="Stavnsholthallen"/>
    <x v="75"/>
    <x v="1"/>
    <x v="0"/>
    <n v="88873.89"/>
    <n v="5"/>
    <s v="2005-12-01"/>
    <n v="0"/>
    <n v="3594"/>
    <n v="24.727716999999998"/>
    <n v="1"/>
    <x v="3"/>
    <x v="1668"/>
    <n v="510763.85"/>
    <n v="1"/>
    <s v="-4184811 STH"/>
    <m/>
    <n v="2547.2600000000002"/>
    <n v="57807"/>
    <n v="57809"/>
  </r>
  <r>
    <x v="12"/>
    <s v="03953-5"/>
    <s v="Farum Arena, STA41"/>
    <n v="14135"/>
    <s v="0"/>
    <s v="Stavnsholthallen"/>
    <x v="75"/>
    <x v="0"/>
    <x v="0"/>
    <n v="143919"/>
    <n v="5"/>
    <s v="2005-12-01"/>
    <n v="0"/>
    <n v="3594"/>
    <n v="25.277538"/>
    <n v="1"/>
    <x v="1"/>
    <x v="1669"/>
    <n v="18721605.949999999"/>
    <n v="0"/>
    <s v="4184811 STH"/>
    <m/>
    <n v="90850"/>
    <n v="0"/>
    <n v="57807"/>
  </r>
  <r>
    <x v="12"/>
    <s v="03953-5"/>
    <s v="Farum Arena, STA41"/>
    <n v="14135"/>
    <s v="0"/>
    <s v="Stavnsholthallen"/>
    <x v="75"/>
    <x v="1"/>
    <x v="1"/>
    <n v="195495.31"/>
    <n v="12"/>
    <s v="2005-12-01"/>
    <n v="0"/>
    <n v="3594"/>
    <n v="54.393397"/>
    <n v="1"/>
    <x v="3"/>
    <x v="1670"/>
    <n v="1126.5999999999999"/>
    <n v="1"/>
    <s v="-4184811 STH"/>
    <m/>
    <n v="5603.19"/>
    <n v="57807"/>
    <n v="57809"/>
  </r>
  <r>
    <x v="12"/>
    <s v="03953-5"/>
    <s v="Farum Arena, STA41"/>
    <n v="14135"/>
    <s v="0"/>
    <s v="Stavnsholthallen"/>
    <x v="75"/>
    <x v="0"/>
    <x v="1"/>
    <n v="200771"/>
    <n v="12"/>
    <s v="2005-12-01"/>
    <n v="0"/>
    <n v="3594"/>
    <n v="55.861272"/>
    <n v="1"/>
    <x v="1"/>
    <x v="1671"/>
    <n v="38569.5"/>
    <n v="0"/>
    <s v="4184811 STH"/>
    <m/>
    <n v="200771"/>
    <n v="0"/>
    <n v="57807"/>
  </r>
  <r>
    <x v="12"/>
    <s v="03953-5"/>
    <s v="Farum Arena, STA41"/>
    <n v="14135"/>
    <s v="0"/>
    <s v="Stavnsholthallen"/>
    <x v="75"/>
    <x v="0"/>
    <x v="2"/>
    <n v="195251"/>
    <n v="12"/>
    <s v="2005-12-01"/>
    <n v="0"/>
    <n v="3594"/>
    <n v="54.325422000000003"/>
    <n v="1"/>
    <x v="1"/>
    <x v="1672"/>
    <n v="37760.43"/>
    <n v="0"/>
    <s v="4184811 STH"/>
    <m/>
    <n v="195251"/>
    <n v="0"/>
    <n v="57807"/>
  </r>
  <r>
    <x v="12"/>
    <s v="03953-5"/>
    <s v="Farum Arena, STA41"/>
    <n v="14135"/>
    <s v="0"/>
    <s v="Stavnsholthallen"/>
    <x v="75"/>
    <x v="1"/>
    <x v="2"/>
    <n v="186706.85"/>
    <n v="12"/>
    <s v="2005-12-01"/>
    <n v="0"/>
    <n v="3594"/>
    <n v="51.948151000000003"/>
    <n v="1"/>
    <x v="3"/>
    <x v="1673"/>
    <n v="1043.17"/>
    <n v="1"/>
    <s v="-4184811 STH"/>
    <m/>
    <n v="5351.3"/>
    <n v="57807"/>
    <n v="57809"/>
  </r>
  <r>
    <x v="12"/>
    <s v="03953-5"/>
    <s v="Farum Arena, STA41"/>
    <n v="14135"/>
    <s v="0"/>
    <s v="Stavnsholthallen"/>
    <x v="75"/>
    <x v="0"/>
    <x v="3"/>
    <n v="192126"/>
    <n v="12"/>
    <s v="2005-12-01"/>
    <n v="0"/>
    <n v="3594"/>
    <n v="53.455941000000003"/>
    <n v="1"/>
    <x v="1"/>
    <x v="1674"/>
    <n v="38048.89"/>
    <n v="0"/>
    <s v="4184811 STH"/>
    <m/>
    <n v="192126"/>
    <n v="0"/>
    <n v="57807"/>
  </r>
  <r>
    <x v="12"/>
    <s v="03953-5"/>
    <s v="Farum Arena, STA41"/>
    <n v="14135"/>
    <s v="0"/>
    <s v="Stavnsholthallen"/>
    <x v="75"/>
    <x v="1"/>
    <x v="3"/>
    <n v="196937.65"/>
    <n v="12"/>
    <s v="2005-12-01"/>
    <n v="0"/>
    <n v="3594"/>
    <n v="54.794705"/>
    <n v="1"/>
    <x v="3"/>
    <x v="1675"/>
    <n v="1119.43"/>
    <n v="1"/>
    <s v="-4184811 STH"/>
    <m/>
    <n v="5644.53"/>
    <n v="57807"/>
    <n v="57809"/>
  </r>
  <r>
    <x v="12"/>
    <s v="03953-5"/>
    <s v="Farum Arena, STA41"/>
    <n v="14135"/>
    <s v="0"/>
    <s v="Stavnsholthallen"/>
    <x v="75"/>
    <x v="0"/>
    <x v="4"/>
    <n v="226226.5"/>
    <n v="12"/>
    <s v="2005-12-01"/>
    <n v="0"/>
    <n v="3594"/>
    <n v="62.943852"/>
    <n v="1"/>
    <x v="1"/>
    <x v="1676"/>
    <n v="38518.089999999997"/>
    <n v="0"/>
    <s v="4184811 STH"/>
    <m/>
    <n v="226226.5"/>
    <n v="0"/>
    <n v="57807"/>
  </r>
  <r>
    <x v="12"/>
    <s v="03953-5"/>
    <s v="Farum Arena, STA41"/>
    <n v="14135"/>
    <s v="0"/>
    <s v="Stavnsholthallen"/>
    <x v="75"/>
    <x v="1"/>
    <x v="4"/>
    <n v="228758.71"/>
    <n v="12"/>
    <s v="2005-12-01"/>
    <n v="0"/>
    <n v="3594"/>
    <n v="63.648398"/>
    <n v="1"/>
    <x v="3"/>
    <x v="1677"/>
    <n v="1114"/>
    <n v="1"/>
    <s v="-4184811 STH"/>
    <m/>
    <n v="6556.57"/>
    <n v="57807"/>
    <n v="57809"/>
  </r>
  <r>
    <x v="12"/>
    <s v="03953-5"/>
    <s v="Farum Arena, STA41"/>
    <n v="14135"/>
    <s v="0"/>
    <s v="Stavnsholthallen"/>
    <x v="75"/>
    <x v="0"/>
    <x v="5"/>
    <n v="184349.5"/>
    <n v="12"/>
    <s v="2005-12-01"/>
    <n v="0"/>
    <n v="3594"/>
    <n v="51.292256000000002"/>
    <n v="1"/>
    <x v="1"/>
    <x v="1678"/>
    <n v="35875.43"/>
    <n v="0"/>
    <s v="4184811 STH"/>
    <m/>
    <n v="184349.5"/>
    <n v="0"/>
    <n v="57807"/>
  </r>
  <r>
    <x v="12"/>
    <s v="03953-5"/>
    <s v="Farum Arena, STA41"/>
    <n v="14135"/>
    <s v="0"/>
    <s v="Stavnsholthallen"/>
    <x v="75"/>
    <x v="1"/>
    <x v="5"/>
    <n v="169966.28"/>
    <n v="12"/>
    <s v="2005-12-01"/>
    <n v="0"/>
    <n v="3594"/>
    <n v="47.290359000000002"/>
    <n v="1"/>
    <x v="3"/>
    <x v="1679"/>
    <n v="943.66"/>
    <n v="1"/>
    <s v="-4184811 STH"/>
    <m/>
    <n v="4871.49"/>
    <n v="57807"/>
    <n v="57809"/>
  </r>
  <r>
    <x v="12"/>
    <s v="03953-5"/>
    <s v="Farum Arena, STA41"/>
    <n v="14135"/>
    <s v="0"/>
    <s v="Stavnsholthallen"/>
    <x v="75"/>
    <x v="0"/>
    <x v="6"/>
    <n v="171816"/>
    <n v="12"/>
    <s v="2005-12-01"/>
    <n v="0"/>
    <n v="3594"/>
    <n v="47.805013000000002"/>
    <n v="1"/>
    <x v="1"/>
    <x v="1680"/>
    <n v="36114.449999999997"/>
    <n v="0"/>
    <s v="4184811 STH"/>
    <m/>
    <n v="171816"/>
    <n v="0"/>
    <n v="57807"/>
  </r>
  <r>
    <x v="12"/>
    <s v="03953-5"/>
    <s v="Farum Arena, STA41"/>
    <n v="14135"/>
    <s v="0"/>
    <s v="Stavnsholthallen"/>
    <x v="75"/>
    <x v="1"/>
    <x v="6"/>
    <n v="150615.93"/>
    <n v="12"/>
    <s v="2005-12-01"/>
    <n v="0"/>
    <n v="3594"/>
    <n v="41.906438000000001"/>
    <n v="1"/>
    <x v="3"/>
    <x v="1681"/>
    <n v="895.46"/>
    <n v="1"/>
    <s v="-4184811 STH"/>
    <m/>
    <n v="4316.88"/>
    <n v="57807"/>
    <n v="57809"/>
  </r>
  <r>
    <x v="12"/>
    <m/>
    <s v="Hareskov Hallen, Måne 8"/>
    <n v="10324"/>
    <m/>
    <s v="Hareskov Hallen"/>
    <x v="76"/>
    <x v="1"/>
    <x v="0"/>
    <n v="63377.33"/>
    <n v="5"/>
    <m/>
    <n v="0"/>
    <n v="2027"/>
    <n v="31.265022999999999"/>
    <n v="1"/>
    <x v="3"/>
    <x v="1682"/>
    <n v="128.53"/>
    <n v="1"/>
    <m/>
    <m/>
    <n v="1816.49"/>
    <n v="77834"/>
    <n v="77835"/>
  </r>
  <r>
    <x v="12"/>
    <m/>
    <s v="Hareskov Hallen, Måne 8"/>
    <n v="10324"/>
    <m/>
    <s v="Hareskov Hallen"/>
    <x v="76"/>
    <x v="0"/>
    <x v="0"/>
    <n v="164027"/>
    <n v="5"/>
    <m/>
    <n v="0"/>
    <n v="2027"/>
    <n v="43.866607000000002"/>
    <n v="1"/>
    <x v="5"/>
    <x v="1683"/>
    <n v="18356.52"/>
    <n v="0"/>
    <m/>
    <m/>
    <n v="88.921999999999997"/>
    <n v="0"/>
    <n v="77834"/>
  </r>
  <r>
    <x v="12"/>
    <m/>
    <s v="Hareskov Hallen, Måne 8"/>
    <n v="10324"/>
    <m/>
    <s v="Hareskov Hallen"/>
    <x v="76"/>
    <x v="0"/>
    <x v="7"/>
    <n v="856.95"/>
    <n v="12"/>
    <m/>
    <n v="0"/>
    <n v="2027"/>
    <n v="0.42274600000000001"/>
    <n v="3"/>
    <x v="0"/>
    <x v="1684"/>
    <n v="685.56"/>
    <n v="0"/>
    <m/>
    <m/>
    <n v="856.95"/>
    <n v="0"/>
    <n v="77833"/>
  </r>
  <r>
    <x v="12"/>
    <m/>
    <s v="Hareskov Hallen, Måne 8"/>
    <n v="10324"/>
    <m/>
    <s v="Hareskov Hallen"/>
    <x v="76"/>
    <x v="0"/>
    <x v="7"/>
    <n v="180.29"/>
    <n v="10"/>
    <s v="2015-05-04"/>
    <n v="0"/>
    <n v="2027"/>
    <n v="8.8939000000000004E-2"/>
    <n v="3"/>
    <x v="0"/>
    <x v="1685"/>
    <n v="144.22"/>
    <n v="1"/>
    <s v="Spædevand"/>
    <m/>
    <n v="180.28998000000001"/>
    <n v="0"/>
    <n v="79476"/>
  </r>
  <r>
    <x v="12"/>
    <m/>
    <s v="Hareskov Hallen, Måne 8"/>
    <n v="10324"/>
    <m/>
    <s v="Hareskov Hallen"/>
    <x v="76"/>
    <x v="1"/>
    <x v="1"/>
    <n v="131475.63"/>
    <n v="12"/>
    <m/>
    <n v="0"/>
    <n v="2027"/>
    <n v="64.858975000000001"/>
    <n v="1"/>
    <x v="3"/>
    <x v="1686"/>
    <n v="250.84"/>
    <n v="1"/>
    <m/>
    <m/>
    <n v="3768.29"/>
    <n v="77834"/>
    <n v="77835"/>
  </r>
  <r>
    <x v="12"/>
    <m/>
    <s v="Hareskov Hallen, Måne 8"/>
    <n v="10324"/>
    <m/>
    <s v="Hareskov Hallen"/>
    <x v="76"/>
    <x v="0"/>
    <x v="1"/>
    <n v="152300"/>
    <n v="12"/>
    <m/>
    <n v="0"/>
    <n v="2027"/>
    <n v="75.131961000000004"/>
    <n v="1"/>
    <x v="5"/>
    <x v="1687"/>
    <n v="29209.19"/>
    <n v="0"/>
    <m/>
    <m/>
    <n v="152.30000000000001"/>
    <n v="0"/>
    <n v="77834"/>
  </r>
  <r>
    <x v="12"/>
    <m/>
    <s v="Hareskov Hallen, Måne 8"/>
    <n v="10324"/>
    <m/>
    <s v="Hareskov Hallen"/>
    <x v="76"/>
    <x v="0"/>
    <x v="2"/>
    <n v="173122"/>
    <n v="12"/>
    <m/>
    <n v="0"/>
    <n v="2027"/>
    <n v="85.403778000000003"/>
    <n v="1"/>
    <x v="5"/>
    <x v="1688"/>
    <n v="33664.519999999997"/>
    <n v="0"/>
    <m/>
    <m/>
    <n v="173.12200000000001"/>
    <n v="0"/>
    <n v="77834"/>
  </r>
  <r>
    <x v="12"/>
    <m/>
    <s v="Hareskov Hallen, Måne 8"/>
    <n v="10324"/>
    <m/>
    <s v="Hareskov Hallen"/>
    <x v="76"/>
    <x v="1"/>
    <x v="2"/>
    <n v="179033.85"/>
    <n v="12"/>
    <m/>
    <n v="0"/>
    <n v="2027"/>
    <n v="88.320186000000007"/>
    <n v="1"/>
    <x v="3"/>
    <x v="1689"/>
    <n v="1032.97"/>
    <n v="1"/>
    <m/>
    <m/>
    <n v="5131.38"/>
    <n v="77834"/>
    <n v="77835"/>
  </r>
  <r>
    <x v="12"/>
    <m/>
    <s v="Hareskov Hallen, Måne 8"/>
    <n v="10324"/>
    <m/>
    <s v="Hareskov Hallen"/>
    <x v="76"/>
    <x v="0"/>
    <x v="3"/>
    <n v="168614"/>
    <n v="12"/>
    <m/>
    <n v="0"/>
    <n v="2027"/>
    <n v="83.179912000000002"/>
    <n v="1"/>
    <x v="5"/>
    <x v="1690"/>
    <n v="34703.58"/>
    <n v="0"/>
    <m/>
    <m/>
    <n v="168.614"/>
    <n v="0"/>
    <n v="77834"/>
  </r>
  <r>
    <x v="12"/>
    <m/>
    <s v="Hareskov Hallen, Måne 8"/>
    <n v="10324"/>
    <m/>
    <s v="Hareskov Hallen"/>
    <x v="76"/>
    <x v="1"/>
    <x v="3"/>
    <n v="370032.54"/>
    <n v="12"/>
    <m/>
    <n v="0"/>
    <n v="2027"/>
    <n v="182.54281399999999"/>
    <n v="1"/>
    <x v="3"/>
    <x v="1691"/>
    <n v="2342.34"/>
    <n v="1"/>
    <m/>
    <m/>
    <n v="10605.69"/>
    <n v="77834"/>
    <n v="77835"/>
  </r>
  <r>
    <x v="12"/>
    <m/>
    <s v="Hareskov Hallen, Måne 8"/>
    <n v="10324"/>
    <m/>
    <s v="Hareskov Hallen"/>
    <x v="76"/>
    <x v="0"/>
    <x v="4"/>
    <n v="202193"/>
    <n v="12"/>
    <m/>
    <n v="0"/>
    <n v="2027"/>
    <n v="99.744955000000004"/>
    <n v="1"/>
    <x v="5"/>
    <x v="1692"/>
    <n v="34540.449999999997"/>
    <n v="0"/>
    <m/>
    <m/>
    <n v="202.19300000000001"/>
    <n v="0"/>
    <n v="77834"/>
  </r>
  <r>
    <x v="12"/>
    <m/>
    <s v="Hareskov Hallen, Måne 8"/>
    <n v="10324"/>
    <m/>
    <s v="Hareskov Hallen"/>
    <x v="76"/>
    <x v="1"/>
    <x v="4"/>
    <n v="170616.3"/>
    <n v="12"/>
    <m/>
    <n v="0"/>
    <n v="2027"/>
    <n v="84.167676999999998"/>
    <n v="1"/>
    <x v="3"/>
    <x v="1693"/>
    <n v="838.21"/>
    <n v="1"/>
    <m/>
    <m/>
    <n v="4890.12"/>
    <n v="77834"/>
    <n v="77835"/>
  </r>
  <r>
    <x v="12"/>
    <m/>
    <s v="Hareskov Hallen, Måne 8"/>
    <n v="10324"/>
    <m/>
    <s v="Hareskov Hallen"/>
    <x v="76"/>
    <x v="0"/>
    <x v="5"/>
    <n v="192738"/>
    <n v="12"/>
    <m/>
    <n v="0"/>
    <n v="2027"/>
    <n v="95.080657000000002"/>
    <n v="1"/>
    <x v="5"/>
    <x v="1694"/>
    <n v="37540.82"/>
    <n v="0"/>
    <m/>
    <m/>
    <n v="192.738"/>
    <n v="0"/>
    <n v="77834"/>
  </r>
  <r>
    <x v="12"/>
    <m/>
    <s v="Hareskov Hallen, Måne 8"/>
    <n v="10324"/>
    <m/>
    <s v="Hareskov Hallen"/>
    <x v="76"/>
    <x v="1"/>
    <x v="5"/>
    <n v="330638.92"/>
    <n v="12"/>
    <m/>
    <n v="0"/>
    <n v="2027"/>
    <n v="163.109328"/>
    <n v="1"/>
    <x v="3"/>
    <x v="1695"/>
    <n v="3568.81"/>
    <n v="1"/>
    <m/>
    <m/>
    <n v="9476.61"/>
    <n v="77834"/>
    <n v="77835"/>
  </r>
  <r>
    <x v="12"/>
    <m/>
    <s v="Hareskov Hallen, Måne 8"/>
    <n v="10324"/>
    <m/>
    <s v="Hareskov Hallen"/>
    <x v="76"/>
    <x v="1"/>
    <x v="6"/>
    <n v="128545.58"/>
    <n v="12"/>
    <m/>
    <n v="0"/>
    <n v="2027"/>
    <n v="63.413536000000001"/>
    <n v="1"/>
    <x v="3"/>
    <x v="1696"/>
    <n v="795.27"/>
    <n v="1"/>
    <m/>
    <m/>
    <n v="3684.31"/>
    <n v="77834"/>
    <n v="77835"/>
  </r>
  <r>
    <x v="12"/>
    <m/>
    <s v="Hareskov Hallen, Måne 8"/>
    <n v="10324"/>
    <m/>
    <s v="Hareskov Hallen"/>
    <x v="76"/>
    <x v="0"/>
    <x v="6"/>
    <n v="51515.93"/>
    <n v="2"/>
    <s v="2008-02-27"/>
    <n v="0"/>
    <n v="2027"/>
    <n v="25.413609999999998"/>
    <n v="1"/>
    <x v="5"/>
    <x v="1697"/>
    <n v="12.42"/>
    <n v="0"/>
    <m/>
    <m/>
    <n v="51.515929999999997"/>
    <n v="0"/>
    <n v="77899"/>
  </r>
  <r>
    <x v="12"/>
    <m/>
    <s v="Hareskov Hallen, Måne 8"/>
    <n v="10324"/>
    <m/>
    <s v="Hareskov Hallen"/>
    <x v="76"/>
    <x v="0"/>
    <x v="6"/>
    <n v="121039"/>
    <n v="12"/>
    <m/>
    <n v="0"/>
    <n v="2027"/>
    <n v="59.710422999999999"/>
    <n v="1"/>
    <x v="5"/>
    <x v="1698"/>
    <n v="24080.76"/>
    <n v="0"/>
    <m/>
    <m/>
    <n v="121.039"/>
    <n v="0"/>
    <n v="77834"/>
  </r>
  <r>
    <x v="12"/>
    <m/>
    <s v="Hareskov Hallen, Måne 8"/>
    <n v="10946"/>
    <s v="0"/>
    <s v="Hareskov Kraftvarmeværk"/>
    <x v="76"/>
    <x v="1"/>
    <x v="0"/>
    <n v="926100"/>
    <n v="5"/>
    <m/>
    <n v="0"/>
    <n v="0"/>
    <n v="9261000"/>
    <n v="1"/>
    <x v="1"/>
    <x v="1699"/>
    <n v="191443995.84999999"/>
    <n v="1"/>
    <s v="Total, nr. 1 - EON ID 302"/>
    <m/>
    <n v="926100"/>
    <n v="0"/>
    <n v="86629"/>
  </r>
  <r>
    <x v="12"/>
    <m/>
    <s v="Hareskov Hallen, Måne 8"/>
    <n v="10946"/>
    <s v="0"/>
    <s v="Hareskov Kraftvarmeværk"/>
    <x v="76"/>
    <x v="1"/>
    <x v="7"/>
    <n v="1575220"/>
    <n v="12"/>
    <m/>
    <n v="0"/>
    <n v="0"/>
    <n v="15752200"/>
    <n v="1"/>
    <x v="1"/>
    <x v="1700"/>
    <n v="339377508.69999999"/>
    <n v="1"/>
    <s v="Total, nr. 1 - EON ID 302"/>
    <m/>
    <n v="1575220"/>
    <n v="0"/>
    <n v="86629"/>
  </r>
  <r>
    <x v="12"/>
    <m/>
    <s v="Hareskov Hallen, Måne 8"/>
    <n v="10946"/>
    <s v="0"/>
    <s v="Hareskov Kraftvarmeværk"/>
    <x v="76"/>
    <x v="1"/>
    <x v="1"/>
    <n v="1792570"/>
    <n v="12"/>
    <m/>
    <n v="0"/>
    <n v="0"/>
    <n v="17925700"/>
    <n v="1"/>
    <x v="1"/>
    <x v="1701"/>
    <n v="344295472.85000002"/>
    <n v="1"/>
    <s v="Total, nr. 1 - EON ID 302"/>
    <m/>
    <n v="1792570"/>
    <n v="0"/>
    <n v="86629"/>
  </r>
  <r>
    <x v="12"/>
    <m/>
    <s v="Hareskov Hallen, Måne 8"/>
    <n v="10946"/>
    <s v="0"/>
    <s v="Hareskov Kraftvarmeværk"/>
    <x v="76"/>
    <x v="1"/>
    <x v="2"/>
    <n v="1823000"/>
    <n v="12"/>
    <m/>
    <n v="0"/>
    <n v="0"/>
    <n v="18230000"/>
    <n v="1"/>
    <x v="1"/>
    <x v="1702"/>
    <n v="352377726.94999999"/>
    <n v="1"/>
    <s v="Total, nr. 1 - EON ID 302"/>
    <m/>
    <n v="1823000"/>
    <n v="0"/>
    <n v="86629"/>
  </r>
  <r>
    <x v="12"/>
    <m/>
    <s v="Hareskov Hallen, Måne 8"/>
    <n v="10946"/>
    <s v="0"/>
    <s v="Hareskov Kraftvarmeværk"/>
    <x v="76"/>
    <x v="1"/>
    <x v="3"/>
    <n v="1966990"/>
    <n v="12"/>
    <m/>
    <n v="0"/>
    <n v="0"/>
    <n v="19669900"/>
    <n v="1"/>
    <x v="1"/>
    <x v="1703"/>
    <n v="405220838.35000002"/>
    <n v="1"/>
    <s v="Total, nr. 1 - EON ID 302"/>
    <m/>
    <n v="1966990"/>
    <n v="0"/>
    <n v="86629"/>
  </r>
  <r>
    <x v="12"/>
    <m/>
    <s v="Hareskov Hallen, Måne 8"/>
    <n v="10946"/>
    <s v="0"/>
    <s v="Hareskov Kraftvarmeværk"/>
    <x v="76"/>
    <x v="1"/>
    <x v="4"/>
    <n v="1380070.66"/>
    <n v="3"/>
    <s v="2010-07-31"/>
    <n v="0"/>
    <n v="0"/>
    <n v="13800706.6"/>
    <n v="1"/>
    <x v="5"/>
    <x v="1704"/>
    <n v="243579.34"/>
    <n v="1"/>
    <s v="Total, nr. 1 - EON ID 302"/>
    <m/>
    <n v="1380.0706600000001"/>
    <n v="0"/>
    <n v="79519"/>
  </r>
  <r>
    <x v="12"/>
    <m/>
    <s v="Hareskov Hallen, Måne 8"/>
    <n v="10946"/>
    <s v="0"/>
    <s v="Hareskov Kraftvarmeværk"/>
    <x v="76"/>
    <x v="1"/>
    <x v="4"/>
    <n v="886940"/>
    <n v="5"/>
    <m/>
    <n v="0"/>
    <n v="0"/>
    <n v="8869400"/>
    <n v="1"/>
    <x v="1"/>
    <x v="1705"/>
    <n v="143048012.5"/>
    <n v="1"/>
    <s v="Total, nr. 1 - EON ID 302"/>
    <m/>
    <n v="886940"/>
    <n v="0"/>
    <n v="86629"/>
  </r>
  <r>
    <x v="12"/>
    <m/>
    <s v="Hareskov Hallen, Måne 8"/>
    <n v="10946"/>
    <s v="0"/>
    <s v="Hareskov Kraftvarmeværk"/>
    <x v="76"/>
    <x v="1"/>
    <x v="5"/>
    <n v="1332809.6599999999"/>
    <n v="4"/>
    <s v="2010-07-31"/>
    <n v="0"/>
    <n v="0"/>
    <n v="13328096.6"/>
    <n v="1"/>
    <x v="5"/>
    <x v="1706"/>
    <n v="299378.17"/>
    <n v="1"/>
    <s v="Total, nr. 1 - EON ID 302"/>
    <m/>
    <n v="1332.8096599999999"/>
    <n v="0"/>
    <n v="79519"/>
  </r>
  <r>
    <x v="12"/>
    <m/>
    <s v="Hareskov Hallen, Måne 8"/>
    <n v="10946"/>
    <s v="0"/>
    <s v="Hareskov Kraftvarmeværk"/>
    <x v="76"/>
    <x v="1"/>
    <x v="6"/>
    <n v="2043201.29"/>
    <n v="3"/>
    <s v="2010-07-31"/>
    <n v="0"/>
    <n v="0"/>
    <n v="20432012.899999999"/>
    <n v="1"/>
    <x v="5"/>
    <x v="1707"/>
    <n v="466778.73"/>
    <n v="1"/>
    <s v="Total, nr. 1 - EON ID 302"/>
    <m/>
    <n v="2043.20129"/>
    <n v="0"/>
    <n v="79519"/>
  </r>
  <r>
    <x v="12"/>
    <m/>
    <s v="Søndersøhallen, KV50"/>
    <n v="9521"/>
    <m/>
    <s v="Søndersøhallen"/>
    <x v="77"/>
    <x v="0"/>
    <x v="0"/>
    <n v="198620"/>
    <n v="5"/>
    <m/>
    <n v="0"/>
    <n v="2433"/>
    <n v="49.648595999999998"/>
    <n v="1"/>
    <x v="1"/>
    <x v="1708"/>
    <n v="8855.18"/>
    <n v="0"/>
    <m/>
    <m/>
    <n v="120800"/>
    <n v="0"/>
    <n v="74445"/>
  </r>
  <r>
    <x v="12"/>
    <m/>
    <s v="Søndersøhallen, KV50"/>
    <n v="9521"/>
    <m/>
    <s v="Søndersøhallen"/>
    <x v="77"/>
    <x v="1"/>
    <x v="0"/>
    <n v="143090.87"/>
    <n v="5"/>
    <m/>
    <n v="0"/>
    <n v="2433"/>
    <n v="58.810105999999998"/>
    <n v="1"/>
    <x v="3"/>
    <x v="1709"/>
    <n v="262.48"/>
    <n v="1"/>
    <m/>
    <m/>
    <n v="4101.2"/>
    <n v="74445"/>
    <n v="74446"/>
  </r>
  <r>
    <x v="12"/>
    <m/>
    <s v="Hareskov Hallen, Måne 8"/>
    <n v="10324"/>
    <m/>
    <s v="Hareskov Hallen"/>
    <x v="76"/>
    <x v="0"/>
    <x v="1"/>
    <n v="48473.599999999999"/>
    <n v="12"/>
    <m/>
    <n v="0"/>
    <n v="2027"/>
    <n v="23.912780999999999"/>
    <n v="2"/>
    <x v="2"/>
    <x v="1710"/>
    <n v="14542.09"/>
    <n v="0"/>
    <m/>
    <s v="74111706307"/>
    <n v="48473.595000000001"/>
    <n v="0"/>
    <n v="77832"/>
  </r>
  <r>
    <x v="12"/>
    <m/>
    <s v="Hareskov Hallen, Måne 8"/>
    <n v="10324"/>
    <m/>
    <s v="Hareskov Hallen"/>
    <x v="76"/>
    <x v="1"/>
    <x v="7"/>
    <n v="117208.77"/>
    <n v="12"/>
    <m/>
    <n v="0"/>
    <n v="2027"/>
    <n v="57.820911000000002"/>
    <n v="1"/>
    <x v="3"/>
    <x v="1711"/>
    <n v="252.3"/>
    <n v="1"/>
    <m/>
    <m/>
    <n v="3359.38"/>
    <n v="77834"/>
    <n v="77835"/>
  </r>
  <r>
    <x v="12"/>
    <m/>
    <s v="Søndersøhallen, KV50"/>
    <n v="9521"/>
    <m/>
    <s v="Søndersøhallen"/>
    <x v="77"/>
    <x v="0"/>
    <x v="1"/>
    <n v="277250"/>
    <n v="12"/>
    <m/>
    <n v="0"/>
    <n v="2433"/>
    <n v="113.949282"/>
    <n v="1"/>
    <x v="1"/>
    <x v="1712"/>
    <n v="18237"/>
    <n v="0"/>
    <m/>
    <m/>
    <n v="277250"/>
    <n v="0"/>
    <n v="74445"/>
  </r>
  <r>
    <x v="12"/>
    <m/>
    <s v="Søndersøhallen, KV50"/>
    <n v="9521"/>
    <m/>
    <s v="Søndersøhallen"/>
    <x v="77"/>
    <x v="1"/>
    <x v="1"/>
    <n v="311445.59000000003"/>
    <n v="12"/>
    <m/>
    <n v="0"/>
    <n v="2433"/>
    <n v="128.003612"/>
    <n v="1"/>
    <x v="3"/>
    <x v="1713"/>
    <n v="571.28"/>
    <n v="1"/>
    <m/>
    <m/>
    <n v="8926.5"/>
    <n v="74445"/>
    <n v="74446"/>
  </r>
  <r>
    <x v="12"/>
    <m/>
    <s v="Søndersøhallen, KV50"/>
    <n v="9521"/>
    <m/>
    <s v="Søndersøhallen"/>
    <x v="77"/>
    <x v="0"/>
    <x v="2"/>
    <n v="297460"/>
    <n v="12"/>
    <m/>
    <n v="0"/>
    <n v="2433"/>
    <n v="122.25555799999999"/>
    <n v="1"/>
    <x v="1"/>
    <x v="1714"/>
    <n v="58021.85"/>
    <n v="0"/>
    <m/>
    <m/>
    <n v="297460"/>
    <n v="0"/>
    <n v="74445"/>
  </r>
  <r>
    <x v="12"/>
    <m/>
    <s v="Søndersøhallen, KV50"/>
    <n v="9521"/>
    <m/>
    <s v="Søndersøhallen"/>
    <x v="77"/>
    <x v="1"/>
    <x v="2"/>
    <n v="306787.76"/>
    <n v="12"/>
    <m/>
    <n v="0"/>
    <n v="2433"/>
    <n v="126.089252"/>
    <n v="1"/>
    <x v="3"/>
    <x v="1715"/>
    <n v="1626.7"/>
    <n v="1"/>
    <m/>
    <m/>
    <n v="8793"/>
    <n v="74445"/>
    <n v="74446"/>
  </r>
  <r>
    <x v="12"/>
    <m/>
    <s v="Søndersøhallen, KV50"/>
    <n v="9521"/>
    <m/>
    <s v="Søndersøhallen"/>
    <x v="77"/>
    <x v="1"/>
    <x v="3"/>
    <n v="119072.6"/>
    <n v="12"/>
    <m/>
    <n v="0"/>
    <n v="2433"/>
    <n v="48.938637"/>
    <n v="1"/>
    <x v="3"/>
    <x v="1716"/>
    <n v="631.38"/>
    <n v="1"/>
    <m/>
    <m/>
    <n v="3412.8"/>
    <n v="74445"/>
    <n v="74446"/>
  </r>
  <r>
    <x v="12"/>
    <m/>
    <s v="Søndersøhallen, KV50"/>
    <n v="9521"/>
    <m/>
    <s v="Søndersøhallen"/>
    <x v="77"/>
    <x v="0"/>
    <x v="3"/>
    <n v="112290"/>
    <n v="12"/>
    <m/>
    <n v="0"/>
    <n v="2433"/>
    <n v="46.151000000000003"/>
    <n v="1"/>
    <x v="1"/>
    <x v="1717"/>
    <n v="24007.84"/>
    <n v="0"/>
    <m/>
    <m/>
    <n v="112290"/>
    <n v="0"/>
    <n v="74445"/>
  </r>
  <r>
    <x v="12"/>
    <m/>
    <s v="Søndersøhallen, KV50"/>
    <n v="9521"/>
    <m/>
    <s v="Søndersøhallen"/>
    <x v="77"/>
    <x v="0"/>
    <x v="3"/>
    <n v="222728.48"/>
    <n v="3"/>
    <s v="2011-09-14"/>
    <n v="0"/>
    <n v="2433"/>
    <n v="91.541028999999995"/>
    <n v="1"/>
    <x v="5"/>
    <x v="1718"/>
    <n v="41204.769999999997"/>
    <n v="0"/>
    <s v="AFMELDT"/>
    <m/>
    <n v="222.72847999999999"/>
    <n v="0"/>
    <n v="77120"/>
  </r>
  <r>
    <x v="12"/>
    <m/>
    <s v="Søndersøhallen, KV50"/>
    <n v="9521"/>
    <m/>
    <s v="Søndersøhallen"/>
    <x v="77"/>
    <x v="1"/>
    <x v="4"/>
    <n v="0"/>
    <n v="12"/>
    <m/>
    <n v="0"/>
    <n v="2433"/>
    <n v="0"/>
    <n v="1"/>
    <x v="3"/>
    <x v="1"/>
    <n v="0"/>
    <n v="1"/>
    <m/>
    <m/>
    <n v="0"/>
    <n v="74445"/>
    <n v="74446"/>
  </r>
  <r>
    <x v="12"/>
    <m/>
    <s v="Søndersøhallen, KV50"/>
    <n v="9521"/>
    <m/>
    <s v="Søndersøhallen"/>
    <x v="77"/>
    <x v="0"/>
    <x v="4"/>
    <n v="0"/>
    <n v="12"/>
    <m/>
    <n v="0"/>
    <n v="2433"/>
    <n v="0"/>
    <n v="1"/>
    <x v="1"/>
    <x v="1"/>
    <n v="0"/>
    <n v="0"/>
    <m/>
    <m/>
    <n v="0"/>
    <n v="0"/>
    <n v="74445"/>
  </r>
  <r>
    <x v="12"/>
    <m/>
    <s v="Søndersøhallen, KV50"/>
    <n v="9521"/>
    <m/>
    <s v="Søndersøhallen"/>
    <x v="77"/>
    <x v="0"/>
    <x v="4"/>
    <n v="343913.7"/>
    <n v="3"/>
    <s v="2011-09-14"/>
    <n v="0"/>
    <n v="2433"/>
    <n v="141.34795099999999"/>
    <n v="1"/>
    <x v="5"/>
    <x v="1719"/>
    <n v="63624.02"/>
    <n v="0"/>
    <s v="AFMELDT"/>
    <m/>
    <n v="343.91370000000001"/>
    <n v="0"/>
    <n v="77120"/>
  </r>
  <r>
    <x v="12"/>
    <m/>
    <s v="Søndersøhallen, KV50"/>
    <n v="9521"/>
    <m/>
    <s v="Søndersøhallen"/>
    <x v="77"/>
    <x v="0"/>
    <x v="5"/>
    <n v="0"/>
    <n v="12"/>
    <m/>
    <n v="0"/>
    <n v="2433"/>
    <n v="0"/>
    <n v="1"/>
    <x v="1"/>
    <x v="1"/>
    <n v="0"/>
    <n v="0"/>
    <m/>
    <m/>
    <n v="0"/>
    <n v="0"/>
    <n v="74445"/>
  </r>
  <r>
    <x v="12"/>
    <m/>
    <s v="Søndersøhallen, KV50"/>
    <n v="9521"/>
    <m/>
    <s v="Søndersøhallen"/>
    <x v="77"/>
    <x v="1"/>
    <x v="5"/>
    <n v="0"/>
    <n v="12"/>
    <m/>
    <n v="0"/>
    <n v="2433"/>
    <n v="0"/>
    <n v="1"/>
    <x v="3"/>
    <x v="1"/>
    <n v="0"/>
    <n v="1"/>
    <m/>
    <m/>
    <n v="0"/>
    <n v="74445"/>
    <n v="74446"/>
  </r>
  <r>
    <x v="12"/>
    <m/>
    <s v="Søndersøhallen, KV50"/>
    <n v="9521"/>
    <m/>
    <s v="Søndersøhallen"/>
    <x v="77"/>
    <x v="0"/>
    <x v="5"/>
    <n v="401794.75"/>
    <n v="4"/>
    <s v="2011-09-14"/>
    <n v="0"/>
    <n v="2433"/>
    <n v="165.136965"/>
    <n v="1"/>
    <x v="5"/>
    <x v="1720"/>
    <n v="74332.03"/>
    <n v="0"/>
    <s v="AFMELDT"/>
    <m/>
    <n v="401.79475000000002"/>
    <n v="0"/>
    <n v="77120"/>
  </r>
  <r>
    <x v="12"/>
    <m/>
    <s v="Søndersøhallen, KV50"/>
    <n v="9521"/>
    <m/>
    <s v="Søndersøhallen"/>
    <x v="77"/>
    <x v="0"/>
    <x v="6"/>
    <n v="0"/>
    <n v="12"/>
    <m/>
    <n v="0"/>
    <n v="2433"/>
    <n v="0"/>
    <n v="1"/>
    <x v="1"/>
    <x v="1"/>
    <n v="0"/>
    <n v="0"/>
    <m/>
    <m/>
    <n v="0"/>
    <n v="0"/>
    <n v="74445"/>
  </r>
  <r>
    <x v="12"/>
    <m/>
    <s v="Søndersøhallen, KV50"/>
    <n v="9521"/>
    <m/>
    <s v="Søndersøhallen"/>
    <x v="77"/>
    <x v="1"/>
    <x v="6"/>
    <n v="2.79"/>
    <n v="12"/>
    <m/>
    <n v="0"/>
    <n v="2433"/>
    <n v="1.1460000000000001E-3"/>
    <n v="1"/>
    <x v="3"/>
    <x v="1721"/>
    <n v="0.01"/>
    <n v="1"/>
    <m/>
    <m/>
    <n v="0.08"/>
    <n v="74445"/>
    <n v="74446"/>
  </r>
  <r>
    <x v="12"/>
    <m/>
    <s v="Søndersøhallen, KV50"/>
    <n v="9521"/>
    <m/>
    <s v="Søndersøhallen"/>
    <x v="77"/>
    <x v="0"/>
    <x v="6"/>
    <n v="319737.28000000003"/>
    <n v="13"/>
    <s v="2011-09-14"/>
    <n v="0"/>
    <n v="2433"/>
    <n v="131.411483"/>
    <n v="1"/>
    <x v="5"/>
    <x v="1722"/>
    <n v="59151.39"/>
    <n v="0"/>
    <s v="AFMELDT"/>
    <m/>
    <n v="319.73728"/>
    <n v="0"/>
    <n v="77120"/>
  </r>
  <r>
    <x v="12"/>
    <m/>
    <s v="Værløsehallerne, Stiager 8"/>
    <n v="9523"/>
    <m/>
    <s v="Værløse gl. hal"/>
    <x v="78"/>
    <x v="0"/>
    <x v="0"/>
    <n v="65610"/>
    <n v="5"/>
    <m/>
    <n v="0"/>
    <n v="2103"/>
    <n v="19.12415"/>
    <n v="1"/>
    <x v="1"/>
    <x v="1723"/>
    <n v="2946.98"/>
    <n v="0"/>
    <s v="4080353"/>
    <m/>
    <n v="40220"/>
    <n v="0"/>
    <n v="74453"/>
  </r>
  <r>
    <x v="12"/>
    <m/>
    <s v="Værløsehallerne, Stiager 8"/>
    <n v="9523"/>
    <m/>
    <s v="Værløse gl. hal"/>
    <x v="78"/>
    <x v="1"/>
    <x v="0"/>
    <n v="44777.83"/>
    <n v="5"/>
    <m/>
    <n v="0"/>
    <n v="2103"/>
    <n v="21.291346000000001"/>
    <n v="1"/>
    <x v="3"/>
    <x v="1724"/>
    <n v="94.47"/>
    <n v="1"/>
    <m/>
    <m/>
    <n v="1283.4000000000001"/>
    <n v="74453"/>
    <n v="74454"/>
  </r>
  <r>
    <x v="12"/>
    <m/>
    <s v="Hareskov Hallen, Måne 8"/>
    <n v="10324"/>
    <m/>
    <s v="Hareskov Hallen"/>
    <x v="76"/>
    <x v="0"/>
    <x v="7"/>
    <n v="129363"/>
    <n v="12"/>
    <m/>
    <n v="0"/>
    <n v="2027"/>
    <n v="63.816782000000003"/>
    <n v="1"/>
    <x v="5"/>
    <x v="1725"/>
    <n v="27963.07"/>
    <n v="0"/>
    <m/>
    <m/>
    <n v="129.363"/>
    <n v="0"/>
    <n v="77834"/>
  </r>
  <r>
    <x v="12"/>
    <m/>
    <s v="Værløsehallerne, Stiager 8"/>
    <n v="9523"/>
    <m/>
    <s v="Værløse gl. hal"/>
    <x v="78"/>
    <x v="1"/>
    <x v="1"/>
    <n v="165239.04999999999"/>
    <n v="12"/>
    <m/>
    <n v="0"/>
    <n v="2103"/>
    <n v="78.569277999999997"/>
    <n v="1"/>
    <x v="3"/>
    <x v="1726"/>
    <n v="309.20999999999998"/>
    <n v="1"/>
    <m/>
    <m/>
    <n v="4736"/>
    <n v="74453"/>
    <n v="74454"/>
  </r>
  <r>
    <x v="12"/>
    <m/>
    <s v="Værløsehallerne, Stiager 8"/>
    <n v="9523"/>
    <m/>
    <s v="Værløse gl. hal"/>
    <x v="78"/>
    <x v="0"/>
    <x v="1"/>
    <n v="93670"/>
    <n v="12"/>
    <m/>
    <n v="0"/>
    <n v="2103"/>
    <n v="44.539012999999997"/>
    <n v="1"/>
    <x v="1"/>
    <x v="1727"/>
    <n v="6118.78"/>
    <n v="0"/>
    <s v="4080353"/>
    <m/>
    <n v="93670"/>
    <n v="0"/>
    <n v="74453"/>
  </r>
  <r>
    <x v="12"/>
    <m/>
    <s v="Værløsehallerne, Stiager 8"/>
    <n v="9523"/>
    <m/>
    <s v="Værløse gl. hal"/>
    <x v="78"/>
    <x v="0"/>
    <x v="2"/>
    <n v="93490"/>
    <n v="12"/>
    <m/>
    <n v="0"/>
    <n v="2103"/>
    <n v="44.453425000000003"/>
    <n v="1"/>
    <x v="1"/>
    <x v="1728"/>
    <n v="18168.349999999999"/>
    <n v="0"/>
    <s v="4080353"/>
    <m/>
    <n v="93490"/>
    <n v="0"/>
    <n v="74453"/>
  </r>
  <r>
    <x v="12"/>
    <m/>
    <s v="Værløsehallerne, Stiager 8"/>
    <n v="9523"/>
    <m/>
    <s v="Værløse gl. hal"/>
    <x v="78"/>
    <x v="1"/>
    <x v="2"/>
    <n v="282225.21000000002"/>
    <n v="12"/>
    <m/>
    <n v="0"/>
    <n v="2103"/>
    <n v="134.19485900000001"/>
    <n v="1"/>
    <x v="3"/>
    <x v="1729"/>
    <n v="1574.78"/>
    <n v="1"/>
    <m/>
    <m/>
    <n v="8089"/>
    <n v="74453"/>
    <n v="74454"/>
  </r>
  <r>
    <x v="12"/>
    <m/>
    <s v="Værløsehallerne, Stiager 8"/>
    <n v="9523"/>
    <m/>
    <s v="Værløse gl. hal"/>
    <x v="78"/>
    <x v="0"/>
    <x v="3"/>
    <n v="96090"/>
    <n v="12"/>
    <m/>
    <n v="0"/>
    <n v="2103"/>
    <n v="45.689695999999998"/>
    <n v="1"/>
    <x v="1"/>
    <x v="1730"/>
    <n v="18972.919999999998"/>
    <n v="0"/>
    <s v="4080353"/>
    <m/>
    <n v="96090"/>
    <n v="0"/>
    <n v="74453"/>
  </r>
  <r>
    <x v="12"/>
    <m/>
    <s v="Værløsehallerne, Stiager 8"/>
    <n v="9523"/>
    <m/>
    <s v="Værløse gl. hal"/>
    <x v="78"/>
    <x v="1"/>
    <x v="3"/>
    <n v="191560.06"/>
    <n v="12"/>
    <m/>
    <n v="0"/>
    <n v="2103"/>
    <n v="91.084616999999994"/>
    <n v="1"/>
    <x v="3"/>
    <x v="1731"/>
    <n v="1075.3499999999999"/>
    <n v="1"/>
    <m/>
    <m/>
    <n v="5490.4"/>
    <n v="74453"/>
    <n v="74454"/>
  </r>
  <r>
    <x v="12"/>
    <m/>
    <s v="Værløsehallerne, Stiager 8"/>
    <n v="9523"/>
    <m/>
    <s v="Værløse gl. hal"/>
    <x v="78"/>
    <x v="1"/>
    <x v="4"/>
    <n v="229122.63"/>
    <n v="12"/>
    <m/>
    <n v="0"/>
    <n v="2103"/>
    <n v="108.94519"/>
    <n v="1"/>
    <x v="3"/>
    <x v="1732"/>
    <n v="1078.1099999999999"/>
    <n v="1"/>
    <m/>
    <m/>
    <n v="6567"/>
    <n v="74453"/>
    <n v="74454"/>
  </r>
  <r>
    <x v="12"/>
    <m/>
    <s v="Værløsehallerne, Stiager 8"/>
    <n v="9523"/>
    <m/>
    <s v="Værløse gl. hal"/>
    <x v="78"/>
    <x v="0"/>
    <x v="4"/>
    <n v="114960"/>
    <n v="12"/>
    <m/>
    <n v="0"/>
    <n v="2103"/>
    <n v="54.662165000000002"/>
    <n v="1"/>
    <x v="1"/>
    <x v="1733"/>
    <n v="19032.21"/>
    <n v="0"/>
    <s v="4080353"/>
    <m/>
    <n v="114960"/>
    <n v="0"/>
    <n v="74453"/>
  </r>
  <r>
    <x v="12"/>
    <m/>
    <s v="Værløsehallerne, Stiager 8"/>
    <n v="9523"/>
    <m/>
    <s v="Værløse gl. hal"/>
    <x v="78"/>
    <x v="1"/>
    <x v="5"/>
    <n v="112530.71"/>
    <n v="12"/>
    <m/>
    <n v="0"/>
    <n v="2103"/>
    <n v="53.507064999999997"/>
    <n v="1"/>
    <x v="3"/>
    <x v="1734"/>
    <n v="617.69000000000005"/>
    <n v="1"/>
    <m/>
    <m/>
    <n v="3225.3"/>
    <n v="74453"/>
    <n v="74454"/>
  </r>
  <r>
    <x v="12"/>
    <m/>
    <s v="Værløsehallerne, Stiager 8"/>
    <n v="9523"/>
    <m/>
    <s v="Værløse gl. hal"/>
    <x v="78"/>
    <x v="0"/>
    <x v="5"/>
    <n v="86460"/>
    <n v="12"/>
    <m/>
    <n v="0"/>
    <n v="2103"/>
    <n v="41.110740999999997"/>
    <n v="1"/>
    <x v="1"/>
    <x v="1735"/>
    <n v="16740.47"/>
    <n v="0"/>
    <s v="4080353"/>
    <m/>
    <n v="86460"/>
    <n v="0"/>
    <n v="74453"/>
  </r>
  <r>
    <x v="12"/>
    <m/>
    <s v="Værløsehallerne, Stiager 8"/>
    <n v="9523"/>
    <m/>
    <s v="Værløse gl. hal"/>
    <x v="78"/>
    <x v="0"/>
    <x v="6"/>
    <n v="78370"/>
    <n v="12"/>
    <m/>
    <n v="0"/>
    <n v="2103"/>
    <n v="37.264037999999999"/>
    <n v="1"/>
    <x v="1"/>
    <x v="1736"/>
    <n v="16778.55"/>
    <n v="0"/>
    <s v="4080353"/>
    <m/>
    <n v="78370"/>
    <n v="0"/>
    <n v="74453"/>
  </r>
  <r>
    <x v="12"/>
    <m/>
    <s v="Værløsehallerne, Stiager 8"/>
    <n v="9523"/>
    <m/>
    <s v="Værløse gl. hal"/>
    <x v="78"/>
    <x v="1"/>
    <x v="6"/>
    <n v="71503.58"/>
    <n v="12"/>
    <m/>
    <n v="0"/>
    <n v="2103"/>
    <n v="33.999133999999998"/>
    <n v="1"/>
    <x v="3"/>
    <x v="1737"/>
    <n v="439.68"/>
    <n v="1"/>
    <m/>
    <m/>
    <n v="2049.4"/>
    <n v="74453"/>
    <n v="74454"/>
  </r>
  <r>
    <x v="12"/>
    <m/>
    <s v="Værløsehallerne, Stiager 8"/>
    <n v="9522"/>
    <m/>
    <s v="Værløse hal Ny hal"/>
    <x v="78"/>
    <x v="1"/>
    <x v="0"/>
    <n v="344632.95"/>
    <n v="5"/>
    <m/>
    <n v="0"/>
    <n v="5224"/>
    <n v="65.969821999999994"/>
    <n v="1"/>
    <x v="3"/>
    <x v="1738"/>
    <n v="696.52"/>
    <n v="1"/>
    <m/>
    <m/>
    <n v="9877.7000000000007"/>
    <n v="74449"/>
    <n v="74450"/>
  </r>
  <r>
    <x v="12"/>
    <m/>
    <s v="Værløsehallerne, Stiager 8"/>
    <n v="9522"/>
    <m/>
    <s v="Værløse hal Ny hal"/>
    <x v="78"/>
    <x v="0"/>
    <x v="0"/>
    <n v="242270"/>
    <n v="5"/>
    <m/>
    <n v="0"/>
    <n v="5224"/>
    <n v="29.781206000000001"/>
    <n v="1"/>
    <x v="1"/>
    <x v="1739"/>
    <n v="11410.78"/>
    <n v="0"/>
    <m/>
    <m/>
    <n v="155580"/>
    <n v="0"/>
    <n v="74449"/>
  </r>
  <r>
    <x v="12"/>
    <m/>
    <s v="Værløsehallerne, Stiager 8"/>
    <n v="9522"/>
    <m/>
    <s v="Værløse hal Ny hal"/>
    <x v="78"/>
    <x v="0"/>
    <x v="1"/>
    <n v="296570"/>
    <n v="12"/>
    <m/>
    <n v="0"/>
    <n v="5224"/>
    <n v="56.769587000000001"/>
    <n v="1"/>
    <x v="1"/>
    <x v="1740"/>
    <n v="19450.88"/>
    <n v="0"/>
    <m/>
    <m/>
    <n v="296570"/>
    <n v="0"/>
    <n v="74449"/>
  </r>
  <r>
    <x v="12"/>
    <m/>
    <s v="Værløsehallerne, Stiager 8"/>
    <n v="9522"/>
    <m/>
    <s v="Værløse hal Ny hal"/>
    <x v="78"/>
    <x v="1"/>
    <x v="1"/>
    <n v="331179.37"/>
    <n v="12"/>
    <m/>
    <n v="0"/>
    <n v="5224"/>
    <n v="63.394531000000001"/>
    <n v="1"/>
    <x v="3"/>
    <x v="1741"/>
    <n v="620.92999999999995"/>
    <n v="1"/>
    <m/>
    <m/>
    <n v="9492.1"/>
    <n v="74449"/>
    <n v="74450"/>
  </r>
  <r>
    <x v="12"/>
    <m/>
    <s v="Værløsehallerne, Stiager 8"/>
    <n v="9522"/>
    <m/>
    <s v="Værløse hal Ny hal"/>
    <x v="78"/>
    <x v="0"/>
    <x v="2"/>
    <n v="302740"/>
    <n v="12"/>
    <m/>
    <n v="0"/>
    <n v="5224"/>
    <n v="57.950651000000001"/>
    <n v="1"/>
    <x v="1"/>
    <x v="1742"/>
    <n v="58552.53"/>
    <n v="0"/>
    <m/>
    <m/>
    <n v="302740"/>
    <n v="0"/>
    <n v="74449"/>
  </r>
  <r>
    <x v="12"/>
    <m/>
    <s v="Værløsehallerne, Stiager 8"/>
    <n v="9522"/>
    <m/>
    <s v="Værløse hal Ny hal"/>
    <x v="78"/>
    <x v="1"/>
    <x v="2"/>
    <n v="359419.33"/>
    <n v="12"/>
    <m/>
    <n v="0"/>
    <n v="5224"/>
    <n v="68.800239000000005"/>
    <n v="1"/>
    <x v="3"/>
    <x v="1743"/>
    <n v="2006.92"/>
    <n v="1"/>
    <m/>
    <m/>
    <n v="10301.5"/>
    <n v="74449"/>
    <n v="74450"/>
  </r>
  <r>
    <x v="12"/>
    <m/>
    <s v="Værløsehallerne, Stiager 8"/>
    <n v="9522"/>
    <m/>
    <s v="Værløse hal Ny hal"/>
    <x v="78"/>
    <x v="1"/>
    <x v="3"/>
    <n v="485860.71"/>
    <n v="12"/>
    <m/>
    <n v="0"/>
    <n v="5224"/>
    <n v="93.003715"/>
    <n v="1"/>
    <x v="3"/>
    <x v="1744"/>
    <n v="2792.34"/>
    <n v="1"/>
    <m/>
    <m/>
    <n v="13925.5"/>
    <n v="74449"/>
    <n v="74450"/>
  </r>
  <r>
    <x v="12"/>
    <m/>
    <s v="Værløsehallerne, Stiager 8"/>
    <n v="9522"/>
    <m/>
    <s v="Værløse hal Ny hal"/>
    <x v="78"/>
    <x v="0"/>
    <x v="3"/>
    <n v="320460"/>
    <n v="12"/>
    <m/>
    <n v="0"/>
    <n v="5224"/>
    <n v="61.342623000000003"/>
    <n v="1"/>
    <x v="1"/>
    <x v="1745"/>
    <n v="63970.93"/>
    <n v="0"/>
    <m/>
    <m/>
    <n v="320460"/>
    <n v="0"/>
    <n v="74449"/>
  </r>
  <r>
    <x v="12"/>
    <m/>
    <s v="Værløsehallerne, Stiager 8"/>
    <n v="9522"/>
    <m/>
    <s v="Værløse hal Ny hal"/>
    <x v="78"/>
    <x v="1"/>
    <x v="4"/>
    <n v="660931.75"/>
    <n v="12"/>
    <m/>
    <n v="0"/>
    <n v="5224"/>
    <n v="126.515907"/>
    <n v="1"/>
    <x v="3"/>
    <x v="1746"/>
    <n v="3290.04"/>
    <n v="1"/>
    <m/>
    <m/>
    <n v="18943.3"/>
    <n v="74449"/>
    <n v="74450"/>
  </r>
  <r>
    <x v="12"/>
    <m/>
    <s v="Værløsehallerne, Stiager 8"/>
    <n v="9522"/>
    <m/>
    <s v="Værløse hal Ny hal"/>
    <x v="78"/>
    <x v="0"/>
    <x v="4"/>
    <n v="490530"/>
    <n v="12"/>
    <m/>
    <n v="0"/>
    <n v="5224"/>
    <n v="93.897513000000004"/>
    <n v="1"/>
    <x v="1"/>
    <x v="1747"/>
    <n v="82809.31"/>
    <n v="0"/>
    <m/>
    <m/>
    <n v="490530"/>
    <n v="0"/>
    <n v="74449"/>
  </r>
  <r>
    <x v="12"/>
    <m/>
    <s v="Værløsehallerne, Stiager 8"/>
    <n v="9522"/>
    <m/>
    <s v="Værløse hal Ny hal"/>
    <x v="78"/>
    <x v="0"/>
    <x v="5"/>
    <n v="408920"/>
    <n v="12"/>
    <m/>
    <n v="0"/>
    <n v="5224"/>
    <n v="78.275683000000001"/>
    <n v="1"/>
    <x v="1"/>
    <x v="1748"/>
    <n v="81391.22"/>
    <n v="0"/>
    <m/>
    <m/>
    <n v="408920"/>
    <n v="0"/>
    <n v="74449"/>
  </r>
  <r>
    <x v="12"/>
    <m/>
    <s v="Værløsehallerne, Stiager 8"/>
    <n v="9522"/>
    <m/>
    <s v="Værløse hal Ny hal"/>
    <x v="78"/>
    <x v="1"/>
    <x v="5"/>
    <n v="562807.11"/>
    <n v="12"/>
    <m/>
    <n v="0"/>
    <n v="5224"/>
    <n v="107.73283600000001"/>
    <n v="1"/>
    <x v="3"/>
    <x v="1749"/>
    <n v="3227.65"/>
    <n v="1"/>
    <m/>
    <m/>
    <n v="16130.9"/>
    <n v="74449"/>
    <n v="74450"/>
  </r>
  <r>
    <x v="12"/>
    <m/>
    <s v="Værløsehallerne, Stiager 8"/>
    <n v="9522"/>
    <m/>
    <s v="Værløse hal Ny hal"/>
    <x v="78"/>
    <x v="0"/>
    <x v="6"/>
    <n v="374700"/>
    <n v="12"/>
    <m/>
    <n v="0"/>
    <n v="5224"/>
    <n v="71.725273000000001"/>
    <n v="1"/>
    <x v="1"/>
    <x v="1750"/>
    <n v="79848.039999999994"/>
    <n v="0"/>
    <m/>
    <m/>
    <n v="374700"/>
    <n v="0"/>
    <n v="74449"/>
  </r>
  <r>
    <x v="12"/>
    <m/>
    <s v="Værløsehallerne, Stiager 8"/>
    <n v="9522"/>
    <m/>
    <s v="Værløse hal Ny hal"/>
    <x v="78"/>
    <x v="1"/>
    <x v="6"/>
    <n v="537047.81999999995"/>
    <n v="12"/>
    <m/>
    <n v="0"/>
    <n v="5224"/>
    <n v="102.801979"/>
    <n v="1"/>
    <x v="3"/>
    <x v="1751"/>
    <n v="3276.43"/>
    <n v="1"/>
    <m/>
    <m/>
    <n v="15392.6"/>
    <n v="74449"/>
    <n v="74450"/>
  </r>
  <r>
    <x v="12"/>
    <m/>
    <s v="Søndersøhallen, KV50"/>
    <n v="9521"/>
    <m/>
    <s v="Søndersøhallen"/>
    <x v="77"/>
    <x v="0"/>
    <x v="1"/>
    <n v="92671.87"/>
    <n v="12"/>
    <m/>
    <n v="0"/>
    <n v="2433"/>
    <n v="38.087981999999997"/>
    <n v="2"/>
    <x v="2"/>
    <x v="1752"/>
    <n v="27801.57"/>
    <n v="0"/>
    <s v="BI 0150323"/>
    <s v="Bimåler"/>
    <n v="92671.884999999995"/>
    <n v="0"/>
    <n v="74443"/>
  </r>
  <r>
    <x v="12"/>
    <m/>
    <s v="Værløsehallerne, Stiager 8"/>
    <n v="10229"/>
    <m/>
    <s v="Cafeterie"/>
    <x v="78"/>
    <x v="0"/>
    <x v="1"/>
    <n v="25656.45"/>
    <n v="13"/>
    <s v="2015-04-30"/>
    <n v="0"/>
    <n v="0"/>
    <n v="256564.5"/>
    <n v="2"/>
    <x v="2"/>
    <x v="1753"/>
    <n v="12032.88"/>
    <n v="1"/>
    <m/>
    <m/>
    <n v="25656.439409999999"/>
    <n v="0"/>
    <n v="77492"/>
  </r>
  <r>
    <x v="12"/>
    <s v="03953-5"/>
    <s v="Farum Arena, STA41"/>
    <n v="5467"/>
    <m/>
    <s v="Farum Hallen"/>
    <x v="75"/>
    <x v="0"/>
    <x v="2"/>
    <n v="263158.5"/>
    <n v="12"/>
    <s v="2005-11-30"/>
    <n v="0"/>
    <n v="6415"/>
    <n v="41.021729000000001"/>
    <n v="2"/>
    <x v="2"/>
    <x v="1754"/>
    <n v="105263.4"/>
    <n v="0"/>
    <s v="741607  FH"/>
    <s v="5713131 74120010389"/>
    <n v="263158.5"/>
    <n v="0"/>
    <n v="57798"/>
  </r>
  <r>
    <x v="12"/>
    <s v="03953-5"/>
    <s v="Farum Arena, STA41"/>
    <n v="5467"/>
    <m/>
    <s v="Farum Hallen"/>
    <x v="75"/>
    <x v="0"/>
    <x v="3"/>
    <n v="252452.75"/>
    <n v="12"/>
    <s v="2005-11-30"/>
    <n v="0"/>
    <n v="6415"/>
    <n v="39.352893000000002"/>
    <n v="2"/>
    <x v="2"/>
    <x v="1755"/>
    <n v="118400.34"/>
    <n v="0"/>
    <s v="741607  FH"/>
    <s v="5713131 74120010389"/>
    <n v="252452.75"/>
    <n v="0"/>
    <n v="57798"/>
  </r>
  <r>
    <x v="12"/>
    <s v="03953-5"/>
    <s v="Farum Arena, STA41"/>
    <n v="5467"/>
    <m/>
    <s v="Farum Hallen"/>
    <x v="75"/>
    <x v="0"/>
    <x v="4"/>
    <n v="229091.4"/>
    <n v="12"/>
    <s v="2005-11-30"/>
    <n v="0"/>
    <n v="6415"/>
    <n v="35.711274000000003"/>
    <n v="2"/>
    <x v="2"/>
    <x v="1756"/>
    <n v="107443.87"/>
    <n v="0"/>
    <s v="741607  FH"/>
    <s v="5713131 74120010389"/>
    <n v="229091.4"/>
    <n v="0"/>
    <n v="57798"/>
  </r>
  <r>
    <x v="12"/>
    <s v="03953-5"/>
    <s v="Farum Arena, STA41"/>
    <n v="5467"/>
    <m/>
    <s v="Farum Hallen"/>
    <x v="75"/>
    <x v="0"/>
    <x v="5"/>
    <n v="188340"/>
    <n v="12"/>
    <s v="2005-11-30"/>
    <n v="0"/>
    <n v="6415"/>
    <n v="29.358855999999999"/>
    <n v="2"/>
    <x v="2"/>
    <x v="1757"/>
    <n v="88331.47"/>
    <n v="0"/>
    <s v="741607  FH"/>
    <s v="5713131 74120010389"/>
    <n v="188340"/>
    <n v="0"/>
    <n v="57798"/>
  </r>
  <r>
    <x v="12"/>
    <s v="03953-5"/>
    <s v="Farum Arena, STA41"/>
    <n v="5467"/>
    <m/>
    <s v="Farum Hallen"/>
    <x v="75"/>
    <x v="0"/>
    <x v="6"/>
    <n v="199339.65"/>
    <n v="12"/>
    <s v="2005-11-30"/>
    <n v="0"/>
    <n v="6415"/>
    <n v="31.073505999999998"/>
    <n v="2"/>
    <x v="2"/>
    <x v="1758"/>
    <n v="93490.31"/>
    <n v="0"/>
    <s v="741607  FH"/>
    <s v="5713131 74120010389"/>
    <n v="199339.65"/>
    <n v="0"/>
    <n v="57798"/>
  </r>
  <r>
    <x v="12"/>
    <m/>
    <s v="Værløsehallerne, Stiager 8"/>
    <n v="9522"/>
    <m/>
    <s v="Værløse hal Ny hal"/>
    <x v="78"/>
    <x v="0"/>
    <x v="1"/>
    <n v="321521.27"/>
    <n v="12"/>
    <m/>
    <n v="0"/>
    <n v="5224"/>
    <n v="61.545771999999999"/>
    <n v="2"/>
    <x v="2"/>
    <x v="1759"/>
    <n v="96456.39"/>
    <n v="0"/>
    <m/>
    <s v="5713131 74112209302"/>
    <n v="321521.27"/>
    <n v="0"/>
    <n v="74447"/>
  </r>
  <r>
    <x v="12"/>
    <s v="03953-5"/>
    <s v="Farum Arena, STA41"/>
    <n v="5467"/>
    <m/>
    <s v="Farum Hallen"/>
    <x v="75"/>
    <x v="0"/>
    <x v="7"/>
    <n v="241046.39999999999"/>
    <n v="12"/>
    <s v="2005-11-30"/>
    <n v="0"/>
    <n v="6415"/>
    <n v="37.574846000000001"/>
    <n v="2"/>
    <x v="2"/>
    <x v="1079"/>
    <n v="96418.559999999998"/>
    <n v="0"/>
    <s v="741607  FH"/>
    <s v="5713131 74120010389"/>
    <n v="241046.39999999999"/>
    <n v="0"/>
    <n v="57798"/>
  </r>
  <r>
    <x v="12"/>
    <s v="03953-5"/>
    <s v="Farum Arena, STA41"/>
    <n v="14135"/>
    <s v="0"/>
    <s v="Stavnsholthallen"/>
    <x v="75"/>
    <x v="0"/>
    <x v="2"/>
    <n v="138866.85"/>
    <n v="12"/>
    <s v="2005-11-30"/>
    <n v="0"/>
    <n v="3594"/>
    <n v="38.637447000000002"/>
    <n v="2"/>
    <x v="2"/>
    <x v="1760"/>
    <n v="55546.74"/>
    <n v="0"/>
    <s v="1129204 STH"/>
    <s v="74120010297"/>
    <n v="138866.85"/>
    <n v="0"/>
    <n v="57799"/>
  </r>
  <r>
    <x v="12"/>
    <s v="03953-5"/>
    <s v="Farum Arena, STA41"/>
    <n v="14135"/>
    <s v="0"/>
    <s v="Stavnsholthallen"/>
    <x v="75"/>
    <x v="0"/>
    <x v="3"/>
    <n v="122987.65"/>
    <n v="12"/>
    <s v="2005-11-30"/>
    <n v="0"/>
    <n v="3594"/>
    <n v="34.219316999999997"/>
    <n v="2"/>
    <x v="2"/>
    <x v="1761"/>
    <n v="57681.22"/>
    <n v="0"/>
    <s v="1129204 STH"/>
    <s v="74120010297"/>
    <n v="122987.64982000001"/>
    <n v="0"/>
    <n v="57799"/>
  </r>
  <r>
    <x v="12"/>
    <s v="03953-5"/>
    <s v="Farum Arena, STA41"/>
    <n v="14135"/>
    <s v="0"/>
    <s v="Stavnsholthallen"/>
    <x v="75"/>
    <x v="0"/>
    <x v="4"/>
    <n v="131770.29999999999"/>
    <n v="12"/>
    <s v="2005-11-30"/>
    <n v="0"/>
    <n v="3594"/>
    <n v="36.662947000000003"/>
    <n v="2"/>
    <x v="2"/>
    <x v="1762"/>
    <n v="61800.27"/>
    <n v="0"/>
    <s v="1129204 STH"/>
    <s v="74120010297"/>
    <n v="131770.29999999999"/>
    <n v="0"/>
    <n v="57799"/>
  </r>
  <r>
    <x v="12"/>
    <s v="03953-5"/>
    <s v="Farum Arena, STA41"/>
    <n v="14135"/>
    <s v="0"/>
    <s v="Stavnsholthallen"/>
    <x v="75"/>
    <x v="0"/>
    <x v="5"/>
    <n v="127228.05"/>
    <n v="12"/>
    <s v="2005-11-30"/>
    <n v="0"/>
    <n v="3594"/>
    <n v="35.399140000000003"/>
    <n v="2"/>
    <x v="2"/>
    <x v="1763"/>
    <n v="59669.96"/>
    <n v="0"/>
    <s v="1129204 STH"/>
    <s v="74120010297"/>
    <n v="127228.05"/>
    <n v="0"/>
    <n v="57799"/>
  </r>
  <r>
    <x v="12"/>
    <s v="03953-5"/>
    <s v="Farum Arena, STA41"/>
    <n v="14135"/>
    <s v="0"/>
    <s v="Stavnsholthallen"/>
    <x v="75"/>
    <x v="0"/>
    <x v="6"/>
    <n v="128382.35"/>
    <n v="12"/>
    <s v="2005-11-30"/>
    <n v="0"/>
    <n v="3594"/>
    <n v="35.720305000000003"/>
    <n v="2"/>
    <x v="2"/>
    <x v="1764"/>
    <n v="60211.34"/>
    <n v="0"/>
    <s v="1129204 STH"/>
    <s v="74120010297"/>
    <n v="128382.35"/>
    <n v="0"/>
    <n v="57799"/>
  </r>
  <r>
    <x v="12"/>
    <s v="03953-5"/>
    <s v="Farum Arena, STA41"/>
    <n v="14135"/>
    <s v="0"/>
    <s v="Stavnsholthallen"/>
    <x v="75"/>
    <x v="0"/>
    <x v="7"/>
    <n v="117833.34"/>
    <n v="12"/>
    <s v="2005-11-30"/>
    <n v="0"/>
    <n v="3594"/>
    <n v="32.785214000000003"/>
    <n v="2"/>
    <x v="2"/>
    <x v="1079"/>
    <n v="47133.33"/>
    <n v="0"/>
    <s v="1129204 STH"/>
    <s v="74120010297"/>
    <n v="117833.353"/>
    <n v="0"/>
    <n v="57799"/>
  </r>
  <r>
    <x v="12"/>
    <m/>
    <s v="Hareskov Hallen, Måne 8"/>
    <n v="10324"/>
    <m/>
    <s v="Hareskov Hallen"/>
    <x v="76"/>
    <x v="0"/>
    <x v="7"/>
    <n v="52700.03"/>
    <n v="12"/>
    <m/>
    <n v="0"/>
    <n v="2027"/>
    <n v="25.997744999999998"/>
    <n v="2"/>
    <x v="2"/>
    <x v="1079"/>
    <n v="15810.01"/>
    <n v="0"/>
    <m/>
    <s v="74111706307"/>
    <n v="52700.031999999999"/>
    <n v="0"/>
    <n v="77832"/>
  </r>
  <r>
    <x v="12"/>
    <m/>
    <s v="Hareskov Hallen, Måne 8"/>
    <n v="10324"/>
    <m/>
    <s v="Hareskov Hallen"/>
    <x v="76"/>
    <x v="0"/>
    <x v="2"/>
    <n v="57626.19"/>
    <n v="12"/>
    <m/>
    <n v="0"/>
    <n v="2027"/>
    <n v="28.427896"/>
    <n v="2"/>
    <x v="2"/>
    <x v="1765"/>
    <n v="23050.49"/>
    <n v="0"/>
    <m/>
    <s v="74111706307"/>
    <n v="57626.188999999998"/>
    <n v="0"/>
    <n v="77832"/>
  </r>
  <r>
    <x v="12"/>
    <m/>
    <s v="Hareskov Hallen, Måne 8"/>
    <n v="10324"/>
    <m/>
    <s v="Hareskov Hallen"/>
    <x v="76"/>
    <x v="0"/>
    <x v="3"/>
    <n v="58042.13"/>
    <n v="12"/>
    <m/>
    <n v="0"/>
    <n v="2027"/>
    <n v="28.633085999999999"/>
    <n v="2"/>
    <x v="2"/>
    <x v="1766"/>
    <n v="27221.75"/>
    <n v="0"/>
    <m/>
    <s v="74111706307"/>
    <n v="58042.125"/>
    <n v="0"/>
    <n v="77832"/>
  </r>
  <r>
    <x v="12"/>
    <m/>
    <s v="Hareskov Hallen, Måne 8"/>
    <n v="10324"/>
    <m/>
    <s v="Hareskov Hallen"/>
    <x v="76"/>
    <x v="0"/>
    <x v="4"/>
    <n v="83685.899999999994"/>
    <n v="12"/>
    <m/>
    <n v="0"/>
    <n v="2027"/>
    <n v="41.283557000000002"/>
    <n v="2"/>
    <x v="2"/>
    <x v="1767"/>
    <n v="39248.69"/>
    <n v="0"/>
    <m/>
    <s v="74111706307"/>
    <n v="83685.907999999996"/>
    <n v="0"/>
    <n v="77832"/>
  </r>
  <r>
    <x v="12"/>
    <m/>
    <s v="Hareskov Hallen, Måne 8"/>
    <n v="10324"/>
    <m/>
    <s v="Hareskov Hallen"/>
    <x v="76"/>
    <x v="0"/>
    <x v="5"/>
    <n v="84893.1"/>
    <n v="12"/>
    <m/>
    <n v="0"/>
    <n v="2027"/>
    <n v="41.879088000000003"/>
    <n v="2"/>
    <x v="2"/>
    <x v="1768"/>
    <n v="39814.870000000003"/>
    <n v="0"/>
    <m/>
    <s v="74111706307"/>
    <n v="84893.099000000002"/>
    <n v="0"/>
    <n v="77832"/>
  </r>
  <r>
    <x v="12"/>
    <m/>
    <s v="Hareskov Hallen, Måne 8"/>
    <n v="10324"/>
    <m/>
    <s v="Hareskov Hallen"/>
    <x v="76"/>
    <x v="0"/>
    <x v="6"/>
    <n v="27368.25"/>
    <n v="4"/>
    <s v="2008-04-22"/>
    <n v="0"/>
    <n v="2027"/>
    <n v="13.501182999999999"/>
    <n v="2"/>
    <x v="2"/>
    <x v="1769"/>
    <n v="12835.7"/>
    <n v="0"/>
    <s v="655315"/>
    <m/>
    <n v="27368.25806"/>
    <n v="0"/>
    <n v="77896"/>
  </r>
  <r>
    <x v="12"/>
    <m/>
    <s v="Hareskov Hallen, Måne 8"/>
    <n v="10324"/>
    <m/>
    <s v="Hareskov Hallen"/>
    <x v="76"/>
    <x v="0"/>
    <x v="6"/>
    <n v="54714.400000000001"/>
    <n v="12"/>
    <m/>
    <n v="0"/>
    <n v="2027"/>
    <n v="26.991465000000002"/>
    <n v="2"/>
    <x v="2"/>
    <x v="1770"/>
    <n v="25661.05"/>
    <n v="0"/>
    <m/>
    <s v="74111706307"/>
    <n v="54714.377999999997"/>
    <n v="0"/>
    <n v="77832"/>
  </r>
  <r>
    <x v="12"/>
    <m/>
    <s v="Søndersøhallen, KV50"/>
    <n v="9521"/>
    <m/>
    <s v="Søndersøhallen"/>
    <x v="77"/>
    <x v="0"/>
    <x v="7"/>
    <n v="94992.66"/>
    <n v="12"/>
    <m/>
    <n v="0"/>
    <n v="2433"/>
    <n v="39.041823000000001"/>
    <n v="2"/>
    <x v="2"/>
    <x v="1079"/>
    <n v="28497.79"/>
    <n v="0"/>
    <s v="BI 0150323"/>
    <s v="Bimåler"/>
    <n v="94992.683000000005"/>
    <n v="0"/>
    <n v="74443"/>
  </r>
  <r>
    <x v="12"/>
    <m/>
    <s v="Værløsehallerne, Stiager 8"/>
    <n v="10229"/>
    <m/>
    <s v="Cafeterie"/>
    <x v="78"/>
    <x v="0"/>
    <x v="7"/>
    <n v="25884.57"/>
    <n v="12"/>
    <s v="2015-04-30"/>
    <n v="0"/>
    <n v="0"/>
    <n v="258845.7"/>
    <n v="2"/>
    <x v="2"/>
    <x v="1079"/>
    <n v="12139.86"/>
    <n v="1"/>
    <m/>
    <m/>
    <n v="25884.558799999999"/>
    <n v="0"/>
    <n v="77492"/>
  </r>
  <r>
    <x v="12"/>
    <m/>
    <s v="Søndersøhallen, KV50"/>
    <n v="9521"/>
    <m/>
    <s v="Søndersøhallen"/>
    <x v="77"/>
    <x v="0"/>
    <x v="2"/>
    <n v="91579.44"/>
    <n v="12"/>
    <m/>
    <n v="0"/>
    <n v="2433"/>
    <n v="37.638995000000001"/>
    <n v="2"/>
    <x v="2"/>
    <x v="1771"/>
    <n v="36631.79"/>
    <n v="0"/>
    <s v="BI 0150323"/>
    <s v="Bimåler"/>
    <n v="91579.432000000001"/>
    <n v="0"/>
    <n v="74443"/>
  </r>
  <r>
    <x v="12"/>
    <m/>
    <s v="Søndersøhallen, KV50"/>
    <n v="9521"/>
    <m/>
    <s v="Søndersøhallen"/>
    <x v="77"/>
    <x v="0"/>
    <x v="3"/>
    <n v="99991.62"/>
    <n v="12"/>
    <m/>
    <n v="0"/>
    <n v="2433"/>
    <n v="41.096387"/>
    <n v="2"/>
    <x v="2"/>
    <x v="1772"/>
    <n v="46896.08"/>
    <n v="0"/>
    <s v="BI 0150323"/>
    <s v="Bimåler"/>
    <n v="99991.626999999993"/>
    <n v="0"/>
    <n v="74443"/>
  </r>
  <r>
    <x v="12"/>
    <m/>
    <s v="Søndersøhallen, KV50"/>
    <n v="9521"/>
    <m/>
    <s v="Søndersøhallen"/>
    <x v="77"/>
    <x v="0"/>
    <x v="4"/>
    <n v="96310.02"/>
    <n v="12"/>
    <m/>
    <n v="0"/>
    <n v="2433"/>
    <n v="39.583255000000001"/>
    <n v="2"/>
    <x v="2"/>
    <x v="1773"/>
    <n v="45169.4"/>
    <n v="0"/>
    <s v="BI 0150323"/>
    <s v="Bimåler"/>
    <n v="96310.028999999995"/>
    <n v="0"/>
    <n v="74443"/>
  </r>
  <r>
    <x v="12"/>
    <m/>
    <s v="Søndersøhallen, KV50"/>
    <n v="9521"/>
    <m/>
    <s v="Søndersøhallen"/>
    <x v="77"/>
    <x v="0"/>
    <x v="5"/>
    <n v="97723.77"/>
    <n v="12"/>
    <m/>
    <n v="0"/>
    <n v="2433"/>
    <n v="40.164304000000001"/>
    <n v="2"/>
    <x v="2"/>
    <x v="1774"/>
    <n v="45832.45"/>
    <n v="0"/>
    <s v="BI 0150323"/>
    <s v="Bimåler"/>
    <n v="97723.778000000006"/>
    <n v="0"/>
    <n v="74443"/>
  </r>
  <r>
    <x v="12"/>
    <m/>
    <s v="Søndersøhallen, KV50"/>
    <n v="9521"/>
    <m/>
    <s v="Søndersøhallen"/>
    <x v="77"/>
    <x v="0"/>
    <x v="6"/>
    <n v="85182.67"/>
    <n v="12"/>
    <m/>
    <n v="0"/>
    <n v="2433"/>
    <n v="35.009932999999997"/>
    <n v="2"/>
    <x v="2"/>
    <x v="1775"/>
    <n v="39950.65"/>
    <n v="0"/>
    <s v="BI 0150323"/>
    <s v="Bimåler"/>
    <n v="85182.642000000007"/>
    <n v="0"/>
    <n v="74443"/>
  </r>
  <r>
    <x v="12"/>
    <m/>
    <s v="Værløsehallerne, Stiager 8"/>
    <n v="9522"/>
    <m/>
    <s v="Værløse hal Ny hal"/>
    <x v="78"/>
    <x v="0"/>
    <x v="7"/>
    <n v="306624.67"/>
    <n v="12"/>
    <m/>
    <n v="0"/>
    <n v="5224"/>
    <n v="58.694257"/>
    <n v="2"/>
    <x v="2"/>
    <x v="1079"/>
    <n v="91987.41"/>
    <n v="0"/>
    <m/>
    <s v="5713131 74112209302"/>
    <n v="306624.67"/>
    <n v="0"/>
    <n v="74447"/>
  </r>
  <r>
    <x v="12"/>
    <s v="03953-5"/>
    <s v="Farum Arena, STA41"/>
    <n v="5467"/>
    <m/>
    <s v="Farum Hallen"/>
    <x v="75"/>
    <x v="0"/>
    <x v="0"/>
    <n v="246658"/>
    <n v="5"/>
    <s v="2005-11-30"/>
    <n v="0"/>
    <n v="6415"/>
    <n v="18.039438000000001"/>
    <n v="2"/>
    <x v="2"/>
    <x v="1079"/>
    <n v="46289.919999999998"/>
    <n v="0"/>
    <s v="741607  FH"/>
    <s v="5713131 74120010389"/>
    <n v="115724.8"/>
    <n v="0"/>
    <n v="57798"/>
  </r>
  <r>
    <x v="12"/>
    <m/>
    <s v="Værløsehallerne, Stiager 8"/>
    <n v="10229"/>
    <m/>
    <s v="Cafeterie"/>
    <x v="78"/>
    <x v="0"/>
    <x v="2"/>
    <n v="25936.36"/>
    <n v="10"/>
    <s v="2015-04-30"/>
    <n v="0"/>
    <n v="0"/>
    <n v="259363.6"/>
    <n v="2"/>
    <x v="2"/>
    <x v="1776"/>
    <n v="12164.15"/>
    <n v="1"/>
    <m/>
    <m/>
    <n v="25936.36363"/>
    <n v="0"/>
    <n v="77492"/>
  </r>
  <r>
    <x v="12"/>
    <m/>
    <s v="Værløsehallerne, Stiager 8"/>
    <n v="10229"/>
    <m/>
    <s v="Cafeterie"/>
    <x v="78"/>
    <x v="0"/>
    <x v="3"/>
    <n v="33541.129999999997"/>
    <n v="11"/>
    <s v="2015-04-30"/>
    <n v="0"/>
    <n v="0"/>
    <n v="335411.3"/>
    <n v="2"/>
    <x v="2"/>
    <x v="1777"/>
    <n v="15730.79"/>
    <n v="1"/>
    <m/>
    <m/>
    <n v="33541.125540000001"/>
    <n v="0"/>
    <n v="77492"/>
  </r>
  <r>
    <x v="12"/>
    <m/>
    <s v="Værløsehallerne, Stiager 8"/>
    <n v="10229"/>
    <m/>
    <s v="Cafeterie"/>
    <x v="78"/>
    <x v="0"/>
    <x v="4"/>
    <n v="27395.68"/>
    <n v="12"/>
    <s v="2015-04-30"/>
    <n v="0"/>
    <n v="0"/>
    <n v="273956.8"/>
    <n v="2"/>
    <x v="2"/>
    <x v="1778"/>
    <n v="12848.57"/>
    <n v="1"/>
    <m/>
    <m/>
    <n v="27395.66819"/>
    <n v="0"/>
    <n v="77492"/>
  </r>
  <r>
    <x v="12"/>
    <m/>
    <s v="Værløsehallerne, Stiager 8"/>
    <n v="10229"/>
    <m/>
    <s v="Cafeterie"/>
    <x v="78"/>
    <x v="0"/>
    <x v="5"/>
    <n v="30540.720000000001"/>
    <n v="11"/>
    <s v="2015-04-30"/>
    <n v="0"/>
    <n v="0"/>
    <n v="305407.2"/>
    <n v="2"/>
    <x v="2"/>
    <x v="1779"/>
    <n v="14323.6"/>
    <n v="1"/>
    <m/>
    <m/>
    <n v="30540.726760000001"/>
    <n v="0"/>
    <n v="77492"/>
  </r>
  <r>
    <x v="12"/>
    <m/>
    <s v="Værløsehallerne, Stiager 8"/>
    <n v="10229"/>
    <m/>
    <s v="Cafeterie"/>
    <x v="78"/>
    <x v="0"/>
    <x v="6"/>
    <n v="30080.240000000002"/>
    <n v="11"/>
    <s v="2015-04-30"/>
    <n v="0"/>
    <n v="0"/>
    <n v="300802.40000000002"/>
    <n v="2"/>
    <x v="2"/>
    <x v="1780"/>
    <n v="14107.64"/>
    <n v="1"/>
    <m/>
    <m/>
    <n v="30080.240989999998"/>
    <n v="0"/>
    <n v="77492"/>
  </r>
  <r>
    <x v="12"/>
    <s v="03953-5"/>
    <s v="Farum Arena, STA41"/>
    <n v="14135"/>
    <s v="0"/>
    <s v="Stavnsholthallen"/>
    <x v="75"/>
    <x v="0"/>
    <x v="0"/>
    <n v="111366"/>
    <n v="5"/>
    <s v="2005-11-30"/>
    <n v="0"/>
    <n v="3594"/>
    <n v="13.103152"/>
    <n v="2"/>
    <x v="2"/>
    <x v="1079"/>
    <n v="18837.62"/>
    <n v="0"/>
    <s v="1129204 STH"/>
    <s v="74120010297"/>
    <n v="47094.044999999998"/>
    <n v="0"/>
    <n v="57799"/>
  </r>
  <r>
    <x v="12"/>
    <m/>
    <s v="Hareskov Hallen, Måne 8"/>
    <n v="10324"/>
    <m/>
    <s v="Hareskov Hallen"/>
    <x v="76"/>
    <x v="0"/>
    <x v="0"/>
    <n v="43413"/>
    <n v="5"/>
    <m/>
    <n v="0"/>
    <n v="2027"/>
    <n v="10.401035"/>
    <n v="2"/>
    <x v="2"/>
    <x v="1079"/>
    <n v="6325.18"/>
    <n v="0"/>
    <m/>
    <s v="74111706307"/>
    <n v="21083.938999999998"/>
    <n v="0"/>
    <n v="77832"/>
  </r>
  <r>
    <x v="12"/>
    <m/>
    <s v="Værløsehallerne, Stiager 8"/>
    <n v="9522"/>
    <m/>
    <s v="Værløse hal Ny hal"/>
    <x v="78"/>
    <x v="0"/>
    <x v="2"/>
    <n v="327708.12"/>
    <n v="12"/>
    <m/>
    <n v="0"/>
    <n v="5224"/>
    <n v="62.730061999999997"/>
    <n v="2"/>
    <x v="2"/>
    <x v="1781"/>
    <n v="131083.25"/>
    <n v="0"/>
    <m/>
    <s v="5713131 74112209302"/>
    <n v="327708.12"/>
    <n v="0"/>
    <n v="74447"/>
  </r>
  <r>
    <x v="12"/>
    <m/>
    <s v="Værløsehallerne, Stiager 8"/>
    <n v="9522"/>
    <m/>
    <s v="Værløse hal Ny hal"/>
    <x v="78"/>
    <x v="0"/>
    <x v="3"/>
    <n v="338978.55"/>
    <n v="12"/>
    <m/>
    <n v="0"/>
    <n v="5224"/>
    <n v="64.887454000000005"/>
    <n v="2"/>
    <x v="2"/>
    <x v="1782"/>
    <n v="158980.94"/>
    <n v="0"/>
    <m/>
    <s v="5713131 74112209302"/>
    <n v="338978.55"/>
    <n v="0"/>
    <n v="74447"/>
  </r>
  <r>
    <x v="12"/>
    <m/>
    <s v="Værløsehallerne, Stiager 8"/>
    <n v="9522"/>
    <m/>
    <s v="Værløse hal Ny hal"/>
    <x v="78"/>
    <x v="0"/>
    <x v="4"/>
    <n v="339281.68"/>
    <n v="12"/>
    <m/>
    <n v="0"/>
    <n v="5224"/>
    <n v="64.945479000000006"/>
    <n v="2"/>
    <x v="2"/>
    <x v="1783"/>
    <n v="159123.12"/>
    <n v="0"/>
    <m/>
    <s v="5713131 74112209302"/>
    <n v="339281.68"/>
    <n v="0"/>
    <n v="74447"/>
  </r>
  <r>
    <x v="12"/>
    <m/>
    <s v="Værløsehallerne, Stiager 8"/>
    <n v="9522"/>
    <m/>
    <s v="Værløse hal Ny hal"/>
    <x v="78"/>
    <x v="0"/>
    <x v="5"/>
    <n v="331983.65999999997"/>
    <n v="12"/>
    <m/>
    <n v="0"/>
    <n v="5224"/>
    <n v="63.548487999999999"/>
    <n v="2"/>
    <x v="2"/>
    <x v="1784"/>
    <n v="155700.34"/>
    <n v="0"/>
    <m/>
    <s v="5713131 74112209302"/>
    <n v="331983.65999999997"/>
    <n v="0"/>
    <n v="74447"/>
  </r>
  <r>
    <x v="12"/>
    <m/>
    <s v="Værløsehallerne, Stiager 8"/>
    <n v="9522"/>
    <m/>
    <s v="Værløse hal Ny hal"/>
    <x v="78"/>
    <x v="0"/>
    <x v="6"/>
    <n v="327838.34999999998"/>
    <n v="12"/>
    <m/>
    <n v="0"/>
    <n v="5224"/>
    <n v="62.754990999999997"/>
    <n v="2"/>
    <x v="2"/>
    <x v="1785"/>
    <n v="153756.19"/>
    <n v="0"/>
    <m/>
    <s v="5713131 74112209302"/>
    <n v="327838.34999999998"/>
    <n v="0"/>
    <n v="74447"/>
  </r>
  <r>
    <x v="12"/>
    <m/>
    <s v="Søndersøhallen, KV50"/>
    <n v="9521"/>
    <m/>
    <s v="Søndersøhallen"/>
    <x v="77"/>
    <x v="1"/>
    <x v="7"/>
    <n v="218564.91"/>
    <n v="12"/>
    <m/>
    <n v="0"/>
    <n v="2433"/>
    <n v="89.829808999999997"/>
    <n v="1"/>
    <x v="3"/>
    <x v="1786"/>
    <n v="400.92"/>
    <n v="1"/>
    <m/>
    <m/>
    <n v="6264.3995999999997"/>
    <n v="74445"/>
    <n v="74446"/>
  </r>
  <r>
    <x v="12"/>
    <m/>
    <s v="Søndersøhallen, KV50"/>
    <n v="9521"/>
    <m/>
    <s v="Søndersøhallen"/>
    <x v="77"/>
    <x v="0"/>
    <x v="7"/>
    <n v="554.64"/>
    <n v="12"/>
    <m/>
    <n v="0"/>
    <n v="2433"/>
    <n v="0.22795599999999999"/>
    <n v="3"/>
    <x v="0"/>
    <x v="1787"/>
    <n v="443.7"/>
    <n v="0"/>
    <s v="BVK"/>
    <m/>
    <n v="554.62400000000002"/>
    <n v="0"/>
    <n v="74442"/>
  </r>
  <r>
    <x v="12"/>
    <m/>
    <s v="Søndersøhallen, KV50"/>
    <n v="9521"/>
    <m/>
    <s v="Søndersøhallen"/>
    <x v="77"/>
    <x v="0"/>
    <x v="7"/>
    <n v="184.52"/>
    <n v="12"/>
    <m/>
    <n v="0"/>
    <n v="2433"/>
    <n v="7.5837000000000002E-2"/>
    <n v="3"/>
    <x v="0"/>
    <x v="1788"/>
    <n v="0"/>
    <n v="1"/>
    <s v="BVV"/>
    <m/>
    <n v="184.52"/>
    <n v="0"/>
    <n v="74444"/>
  </r>
  <r>
    <x v="12"/>
    <m/>
    <s v="Søndersøhallen, KV50"/>
    <n v="9521"/>
    <m/>
    <s v="Søndersøhallen"/>
    <x v="77"/>
    <x v="0"/>
    <x v="7"/>
    <n v="193940"/>
    <n v="12"/>
    <m/>
    <n v="0"/>
    <n v="2433"/>
    <n v="79.709012999999999"/>
    <n v="1"/>
    <x v="1"/>
    <x v="1789"/>
    <n v="14607.8"/>
    <n v="0"/>
    <m/>
    <m/>
    <n v="193940"/>
    <n v="0"/>
    <n v="74445"/>
  </r>
  <r>
    <x v="12"/>
    <m/>
    <s v="Søndersøhallen, KV50"/>
    <n v="9521"/>
    <m/>
    <s v="Søndersøhallen"/>
    <x v="77"/>
    <x v="0"/>
    <x v="0"/>
    <n v="85506"/>
    <n v="4"/>
    <m/>
    <n v="0"/>
    <n v="2433"/>
    <n v="12.638305000000001"/>
    <n v="2"/>
    <x v="2"/>
    <x v="1079"/>
    <n v="9225.08"/>
    <n v="0"/>
    <s v="BI 0150323"/>
    <s v="Bimåler"/>
    <n v="30750.26"/>
    <n v="0"/>
    <n v="74443"/>
  </r>
  <r>
    <x v="12"/>
    <m/>
    <s v="Værløsehallerne, Stiager 8"/>
    <n v="9523"/>
    <m/>
    <s v="Værløse gl. hal"/>
    <x v="78"/>
    <x v="1"/>
    <x v="7"/>
    <n v="67260.929999999993"/>
    <n v="12"/>
    <m/>
    <n v="0"/>
    <n v="2103"/>
    <n v="31.981802999999999"/>
    <n v="1"/>
    <x v="3"/>
    <x v="1790"/>
    <n v="145.80000000000001"/>
    <n v="1"/>
    <m/>
    <m/>
    <n v="1927.8"/>
    <n v="74453"/>
    <n v="74454"/>
  </r>
  <r>
    <x v="12"/>
    <m/>
    <s v="Værløsehallerne, Stiager 8"/>
    <n v="9522"/>
    <m/>
    <s v="Værløse hal Ny hal"/>
    <x v="78"/>
    <x v="1"/>
    <x v="7"/>
    <n v="271744.24"/>
    <n v="12"/>
    <m/>
    <n v="0"/>
    <n v="5224"/>
    <n v="52.017426"/>
    <n v="1"/>
    <x v="3"/>
    <x v="1791"/>
    <n v="581.63"/>
    <n v="1"/>
    <m/>
    <m/>
    <n v="7788.6"/>
    <n v="74449"/>
    <n v="74450"/>
  </r>
  <r>
    <x v="12"/>
    <m/>
    <s v="Værløsehallerne, Stiager 8"/>
    <n v="9523"/>
    <m/>
    <s v="Værløse gl. hal"/>
    <x v="78"/>
    <x v="0"/>
    <x v="7"/>
    <n v="378.95"/>
    <n v="12"/>
    <m/>
    <n v="0"/>
    <n v="2103"/>
    <n v="0.18018600000000001"/>
    <n v="3"/>
    <x v="0"/>
    <x v="1792"/>
    <n v="303.16000000000003"/>
    <n v="0"/>
    <m/>
    <m/>
    <n v="378.94200000000001"/>
    <n v="0"/>
    <n v="74452"/>
  </r>
  <r>
    <x v="12"/>
    <m/>
    <s v="Værløsehallerne, Stiager 8"/>
    <n v="9522"/>
    <m/>
    <s v="Værløse hal Ny hal"/>
    <x v="78"/>
    <x v="0"/>
    <x v="7"/>
    <n v="1377.06"/>
    <n v="12"/>
    <m/>
    <n v="0"/>
    <n v="5224"/>
    <n v="0.26359700000000003"/>
    <n v="3"/>
    <x v="0"/>
    <x v="1793"/>
    <n v="1101.6500000000001"/>
    <n v="0"/>
    <m/>
    <m/>
    <n v="1377.0609999999999"/>
    <n v="0"/>
    <n v="74448"/>
  </r>
  <r>
    <x v="12"/>
    <m/>
    <s v="Værløsehallerne, Stiager 8"/>
    <n v="9522"/>
    <m/>
    <s v="Værløse hal Ny hal"/>
    <x v="78"/>
    <x v="0"/>
    <x v="7"/>
    <n v="712.56"/>
    <n v="12"/>
    <m/>
    <n v="0"/>
    <n v="5224"/>
    <n v="0.13639799999999999"/>
    <n v="3"/>
    <x v="0"/>
    <x v="1794"/>
    <n v="0"/>
    <n v="1"/>
    <s v="BVV"/>
    <m/>
    <n v="712.55399999999997"/>
    <n v="0"/>
    <n v="74455"/>
  </r>
  <r>
    <x v="12"/>
    <m/>
    <s v="Værløsehallerne, Stiager 8"/>
    <n v="9523"/>
    <m/>
    <s v="Værløse gl. hal"/>
    <x v="78"/>
    <x v="0"/>
    <x v="7"/>
    <n v="58620"/>
    <n v="12"/>
    <m/>
    <n v="0"/>
    <n v="2103"/>
    <n v="27.873138999999998"/>
    <n v="1"/>
    <x v="1"/>
    <x v="1795"/>
    <n v="4463.3500000000004"/>
    <n v="0"/>
    <s v="4080353"/>
    <m/>
    <n v="58620"/>
    <n v="0"/>
    <n v="74453"/>
  </r>
  <r>
    <x v="12"/>
    <m/>
    <s v="Værløsehallerne, Stiager 8"/>
    <n v="9522"/>
    <m/>
    <s v="Værløse hal Ny hal"/>
    <x v="78"/>
    <x v="0"/>
    <x v="7"/>
    <n v="238560"/>
    <n v="12"/>
    <m/>
    <n v="0"/>
    <n v="5224"/>
    <n v="45.665281999999998"/>
    <n v="1"/>
    <x v="1"/>
    <x v="1796"/>
    <n v="18048.02"/>
    <n v="0"/>
    <m/>
    <m/>
    <n v="238560"/>
    <n v="0"/>
    <n v="74449"/>
  </r>
  <r>
    <x v="12"/>
    <m/>
    <s v="Værløsehallerne, Stiager 8"/>
    <n v="10229"/>
    <m/>
    <s v="Cafeterie"/>
    <x v="78"/>
    <x v="0"/>
    <x v="0"/>
    <n v="0"/>
    <n v="4"/>
    <s v="2015-04-30"/>
    <n v="0"/>
    <n v="0"/>
    <n v="90529.4"/>
    <n v="2"/>
    <x v="2"/>
    <x v="1079"/>
    <n v="4245.83"/>
    <n v="1"/>
    <m/>
    <m/>
    <n v="9052.9411700000001"/>
    <n v="0"/>
    <n v="77492"/>
  </r>
  <r>
    <x v="12"/>
    <m/>
    <s v="Værløsehallerne, Stiager 8"/>
    <n v="9522"/>
    <m/>
    <s v="Værløse hal Ny hal"/>
    <x v="78"/>
    <x v="0"/>
    <x v="0"/>
    <n v="298927"/>
    <n v="5"/>
    <m/>
    <n v="0"/>
    <n v="5224"/>
    <n v="27.089464"/>
    <n v="2"/>
    <x v="2"/>
    <x v="1079"/>
    <n v="42455.42"/>
    <n v="0"/>
    <m/>
    <s v="5713131 74112209302"/>
    <n v="141518.07"/>
    <n v="0"/>
    <n v="74447"/>
  </r>
  <r>
    <x v="9"/>
    <s v="???????"/>
    <s v="Australsk Fodbold, Hvile 3A"/>
    <n v="6354"/>
    <m/>
    <s v="Australsk Fodbold"/>
    <x v="79"/>
    <x v="0"/>
    <x v="7"/>
    <n v="165.13"/>
    <n v="12"/>
    <s v="2011-11-30"/>
    <n v="0"/>
    <n v="196"/>
    <n v="0.84206999999999999"/>
    <n v="3"/>
    <x v="0"/>
    <x v="1797"/>
    <n v="132.11000000000001"/>
    <n v="0"/>
    <s v="99600614"/>
    <m/>
    <n v="165.13900000000001"/>
    <n v="0"/>
    <n v="62637"/>
  </r>
  <r>
    <x v="9"/>
    <s v="???????"/>
    <s v="Australsk Fodbold, Hvile 3A"/>
    <n v="6354"/>
    <m/>
    <s v="Australsk Fodbold"/>
    <x v="79"/>
    <x v="0"/>
    <x v="7"/>
    <n v="6491.44"/>
    <n v="12"/>
    <s v="2011-12-01"/>
    <n v="0"/>
    <n v="196"/>
    <n v="33.102702000000001"/>
    <n v="2"/>
    <x v="2"/>
    <x v="1798"/>
    <n v="2596.58"/>
    <n v="0"/>
    <s v="4118048"/>
    <s v="74111477924"/>
    <n v="6491.4440000000004"/>
    <n v="0"/>
    <n v="62635"/>
  </r>
  <r>
    <x v="9"/>
    <s v="???????"/>
    <s v="Australsk Fodbold, Hvile 3A"/>
    <n v="6354"/>
    <m/>
    <s v="Australsk Fodbold"/>
    <x v="79"/>
    <x v="0"/>
    <x v="7"/>
    <n v="6864"/>
    <n v="12"/>
    <s v="2012-01-25"/>
    <n v="0"/>
    <n v="196"/>
    <n v="35.002549000000002"/>
    <n v="1"/>
    <x v="5"/>
    <x v="1799"/>
    <n v="528.67999999999995"/>
    <n v="0"/>
    <s v="6637874"/>
    <m/>
    <n v="6.8639999999999999"/>
    <n v="0"/>
    <n v="62636"/>
  </r>
  <r>
    <x v="9"/>
    <m/>
    <s v="Bådudlejningen - Fiskerhytten"/>
    <n v="12292"/>
    <s v="0"/>
    <s v="Bådudlejningen - Fiskerhytten"/>
    <x v="80"/>
    <x v="0"/>
    <x v="7"/>
    <n v="6.26"/>
    <n v="4"/>
    <s v="2014-11-10"/>
    <n v="0"/>
    <n v="68"/>
    <n v="9.1923000000000005E-2"/>
    <n v="3"/>
    <x v="0"/>
    <x v="1800"/>
    <n v="4.99"/>
    <n v="0"/>
    <m/>
    <m/>
    <n v="6.2610900000000003"/>
    <n v="0"/>
    <n v="84120"/>
  </r>
  <r>
    <x v="9"/>
    <m/>
    <s v="Bådudlejningen - Fiskerhytten"/>
    <n v="12292"/>
    <s v="0"/>
    <s v="Bådudlejningen - Fiskerhytten"/>
    <x v="80"/>
    <x v="0"/>
    <x v="7"/>
    <n v="7821.76"/>
    <n v="12"/>
    <s v="2013-12-31"/>
    <n v="0"/>
    <n v="68"/>
    <n v="114.85697500000001"/>
    <n v="2"/>
    <x v="2"/>
    <x v="1801"/>
    <n v="2346.5300000000002"/>
    <n v="0"/>
    <s v="4036591"/>
    <s v="74111473544"/>
    <n v="7821.7610000000004"/>
    <n v="0"/>
    <n v="84119"/>
  </r>
  <r>
    <x v="9"/>
    <m/>
    <s v="Det Røde Hus, Poppel 14"/>
    <n v="10231"/>
    <m/>
    <s v="Det Røde Hus"/>
    <x v="81"/>
    <x v="0"/>
    <x v="7"/>
    <n v="196.2"/>
    <n v="12"/>
    <s v="2011-10-31"/>
    <n v="0"/>
    <n v="449"/>
    <n v="0.43687300000000001"/>
    <n v="3"/>
    <x v="0"/>
    <x v="1802"/>
    <n v="156.96"/>
    <n v="0"/>
    <s v="42052"/>
    <m/>
    <n v="196.2"/>
    <n v="0"/>
    <n v="77507"/>
  </r>
  <r>
    <x v="9"/>
    <m/>
    <s v="Det Røde Hus, Poppel 14"/>
    <n v="10231"/>
    <m/>
    <s v="Det Røde Hus"/>
    <x v="81"/>
    <x v="0"/>
    <x v="7"/>
    <n v="5946.13"/>
    <n v="12"/>
    <s v="2011-10-31"/>
    <n v="0"/>
    <n v="449"/>
    <n v="13.240102"/>
    <n v="2"/>
    <x v="2"/>
    <x v="1803"/>
    <n v="1783.84"/>
    <n v="0"/>
    <s v="1096167"/>
    <s v="74110490658"/>
    <n v="5946.1270000000004"/>
    <n v="0"/>
    <n v="77506"/>
  </r>
  <r>
    <x v="9"/>
    <m/>
    <s v="Det Røde Hus, Poppel 14"/>
    <n v="10231"/>
    <m/>
    <s v="Det Røde Hus"/>
    <x v="81"/>
    <x v="0"/>
    <x v="7"/>
    <n v="48998"/>
    <n v="12"/>
    <s v="2011-10-31"/>
    <n v="0"/>
    <n v="449"/>
    <n v="109.102649"/>
    <n v="1"/>
    <x v="5"/>
    <x v="1804"/>
    <n v="3795.54"/>
    <n v="0"/>
    <s v="2772362/06"/>
    <m/>
    <n v="48.997999999999998"/>
    <n v="0"/>
    <n v="77513"/>
  </r>
  <r>
    <x v="9"/>
    <s v="???????"/>
    <s v="Australsk Fodbold, Hvile 3A"/>
    <n v="6354"/>
    <m/>
    <s v="Australsk Fodbold"/>
    <x v="79"/>
    <x v="0"/>
    <x v="0"/>
    <n v="231"/>
    <n v="5"/>
    <s v="2011-11-30"/>
    <n v="0"/>
    <n v="196"/>
    <n v="0.52590499999999996"/>
    <n v="3"/>
    <x v="0"/>
    <x v="1805"/>
    <n v="82.51"/>
    <n v="0"/>
    <s v="99600614"/>
    <m/>
    <n v="103.13200000000001"/>
    <n v="0"/>
    <n v="62637"/>
  </r>
  <r>
    <x v="9"/>
    <m/>
    <s v="Det Røde Hus, Poppel 14"/>
    <n v="10231"/>
    <m/>
    <s v="Det Røde Hus"/>
    <x v="81"/>
    <x v="1"/>
    <x v="7"/>
    <n v="60667.44"/>
    <n v="12"/>
    <m/>
    <n v="0"/>
    <n v="449"/>
    <n v="135.08670599999999"/>
    <n v="1"/>
    <x v="3"/>
    <x v="1806"/>
    <n v="9007.32"/>
    <n v="1"/>
    <s v="2772362"/>
    <m/>
    <n v="1738.82"/>
    <n v="0"/>
    <n v="89939"/>
  </r>
  <r>
    <x v="9"/>
    <s v="???????"/>
    <s v="Australsk Fodbold, Hvile 3A"/>
    <n v="6354"/>
    <m/>
    <s v="Australsk Fodbold"/>
    <x v="79"/>
    <x v="0"/>
    <x v="1"/>
    <n v="132.51"/>
    <n v="12"/>
    <s v="2011-11-30"/>
    <n v="0"/>
    <n v="196"/>
    <n v="0.67572600000000005"/>
    <n v="3"/>
    <x v="0"/>
    <x v="1807"/>
    <n v="106.01"/>
    <n v="0"/>
    <s v="99600614"/>
    <m/>
    <n v="132.52699999999999"/>
    <n v="0"/>
    <n v="62637"/>
  </r>
  <r>
    <x v="9"/>
    <s v="???????"/>
    <s v="Australsk Fodbold, Hvile 3A"/>
    <n v="6354"/>
    <m/>
    <s v="Australsk Fodbold"/>
    <x v="79"/>
    <x v="0"/>
    <x v="2"/>
    <n v="142.87"/>
    <n v="12"/>
    <s v="2011-11-30"/>
    <n v="0"/>
    <n v="196"/>
    <n v="0.72855599999999998"/>
    <n v="3"/>
    <x v="0"/>
    <x v="1808"/>
    <n v="114.28"/>
    <n v="0"/>
    <s v="99600614"/>
    <m/>
    <n v="142.86699999999999"/>
    <n v="0"/>
    <n v="62637"/>
  </r>
  <r>
    <x v="9"/>
    <s v="???????"/>
    <s v="Australsk Fodbold, Hvile 3A"/>
    <n v="6354"/>
    <m/>
    <s v="Australsk Fodbold"/>
    <x v="79"/>
    <x v="0"/>
    <x v="3"/>
    <n v="139.79"/>
    <n v="10"/>
    <s v="2011-11-30"/>
    <n v="0"/>
    <n v="196"/>
    <n v="0.71284999999999998"/>
    <n v="3"/>
    <x v="0"/>
    <x v="1809"/>
    <n v="111.82"/>
    <n v="0"/>
    <s v="99600614"/>
    <m/>
    <n v="139.76883000000001"/>
    <n v="0"/>
    <n v="62637"/>
  </r>
  <r>
    <x v="9"/>
    <s v="???????"/>
    <s v="Australsk Fodbold, Hvile 3A"/>
    <n v="6354"/>
    <m/>
    <s v="Australsk Fodbold"/>
    <x v="79"/>
    <x v="0"/>
    <x v="4"/>
    <n v="263.42"/>
    <n v="4"/>
    <s v="2011-11-30"/>
    <n v="0"/>
    <n v="196"/>
    <n v="1.343294"/>
    <n v="3"/>
    <x v="0"/>
    <x v="1810"/>
    <n v="210.74"/>
    <n v="0"/>
    <s v="99600614"/>
    <m/>
    <n v="263.43248"/>
    <n v="0"/>
    <n v="62637"/>
  </r>
  <r>
    <x v="9"/>
    <s v="???????"/>
    <s v="Australsk Fodbold, Hvile 3A"/>
    <n v="6354"/>
    <m/>
    <s v="Australsk Fodbold"/>
    <x v="79"/>
    <x v="0"/>
    <x v="5"/>
    <n v="235.3"/>
    <n v="6"/>
    <s v="2011-11-30"/>
    <n v="0"/>
    <n v="196"/>
    <n v="1.1998979999999999"/>
    <n v="3"/>
    <x v="0"/>
    <x v="1811"/>
    <n v="188.21"/>
    <n v="0"/>
    <s v="99600614"/>
    <m/>
    <n v="235.28996000000001"/>
    <n v="0"/>
    <n v="62637"/>
  </r>
  <r>
    <x v="9"/>
    <s v="???????"/>
    <s v="Australsk Fodbold, Hvile 3A"/>
    <n v="6354"/>
    <m/>
    <s v="Australsk Fodbold"/>
    <x v="79"/>
    <x v="0"/>
    <x v="6"/>
    <n v="99.23"/>
    <n v="12"/>
    <s v="2011-11-30"/>
    <n v="0"/>
    <n v="196"/>
    <n v="0.50601700000000005"/>
    <n v="3"/>
    <x v="0"/>
    <x v="1812"/>
    <n v="79.36"/>
    <n v="0"/>
    <s v="99600614"/>
    <m/>
    <n v="99.218739999999997"/>
    <n v="0"/>
    <n v="62637"/>
  </r>
  <r>
    <x v="9"/>
    <m/>
    <s v="Bådudlejningen - Fiskerhytten"/>
    <n v="12292"/>
    <s v="0"/>
    <s v="Bådudlejningen - Fiskerhytten"/>
    <x v="80"/>
    <x v="0"/>
    <x v="1"/>
    <n v="21.06"/>
    <n v="4"/>
    <s v="2014-11-10"/>
    <n v="0"/>
    <n v="68"/>
    <n v="0.309251"/>
    <n v="3"/>
    <x v="0"/>
    <x v="1813"/>
    <n v="16.850000000000001"/>
    <n v="0"/>
    <m/>
    <m/>
    <n v="21.07142"/>
    <n v="0"/>
    <n v="84120"/>
  </r>
  <r>
    <x v="9"/>
    <m/>
    <s v="Bådudlejningen - Fiskerhytten"/>
    <n v="12292"/>
    <s v="0"/>
    <s v="Bådudlejningen - Fiskerhytten"/>
    <x v="80"/>
    <x v="0"/>
    <x v="2"/>
    <n v="8.5399999999999991"/>
    <n v="4"/>
    <s v="2014-11-10"/>
    <n v="0"/>
    <n v="68"/>
    <n v="0.12540299999999999"/>
    <n v="3"/>
    <x v="0"/>
    <x v="1814"/>
    <n v="6.85"/>
    <n v="0"/>
    <m/>
    <m/>
    <n v="8.56752"/>
    <n v="0"/>
    <n v="84120"/>
  </r>
  <r>
    <x v="9"/>
    <m/>
    <s v="Bådudlejningen - Fiskerhytten"/>
    <n v="12292"/>
    <s v="0"/>
    <s v="Bådudlejningen - Fiskerhytten"/>
    <x v="80"/>
    <x v="0"/>
    <x v="3"/>
    <n v="11.74"/>
    <n v="4"/>
    <s v="2014-11-10"/>
    <n v="0"/>
    <n v="68"/>
    <n v="0.17239299999999999"/>
    <n v="3"/>
    <x v="0"/>
    <x v="1815"/>
    <n v="9.36"/>
    <n v="0"/>
    <m/>
    <m/>
    <n v="11.713340000000001"/>
    <n v="0"/>
    <n v="84120"/>
  </r>
  <r>
    <x v="9"/>
    <m/>
    <s v="Bådudlejningen - Fiskerhytten"/>
    <n v="12292"/>
    <s v="0"/>
    <s v="Bådudlejningen - Fiskerhytten"/>
    <x v="80"/>
    <x v="0"/>
    <x v="4"/>
    <n v="52.28"/>
    <n v="3"/>
    <s v="2014-11-10"/>
    <n v="0"/>
    <n v="68"/>
    <n v="0.76769399999999999"/>
    <n v="3"/>
    <x v="0"/>
    <x v="1816"/>
    <n v="41.83"/>
    <n v="0"/>
    <m/>
    <m/>
    <n v="52.286670000000001"/>
    <n v="0"/>
    <n v="84120"/>
  </r>
  <r>
    <x v="9"/>
    <m/>
    <s v="Det Røde Hus, Poppel 14"/>
    <n v="10231"/>
    <m/>
    <s v="Det Røde Hus"/>
    <x v="81"/>
    <x v="0"/>
    <x v="0"/>
    <n v="421"/>
    <n v="5"/>
    <s v="2011-10-31"/>
    <n v="0"/>
    <n v="449"/>
    <n v="0.35272700000000001"/>
    <n v="3"/>
    <x v="0"/>
    <x v="1817"/>
    <n v="126.72"/>
    <n v="0"/>
    <s v="42052"/>
    <m/>
    <n v="158.40600000000001"/>
    <n v="0"/>
    <n v="77507"/>
  </r>
  <r>
    <x v="9"/>
    <m/>
    <s v="Det Røde Hus, Poppel 14"/>
    <n v="10231"/>
    <m/>
    <s v="Det Røde Hus"/>
    <x v="81"/>
    <x v="0"/>
    <x v="1"/>
    <n v="159.6"/>
    <n v="12"/>
    <s v="2011-10-31"/>
    <n v="0"/>
    <n v="449"/>
    <n v="0.355377"/>
    <n v="3"/>
    <x v="0"/>
    <x v="1818"/>
    <n v="127.68"/>
    <n v="0"/>
    <s v="42052"/>
    <m/>
    <n v="159.6"/>
    <n v="0"/>
    <n v="77507"/>
  </r>
  <r>
    <x v="9"/>
    <m/>
    <s v="Det Røde Hus, Poppel 14"/>
    <n v="10231"/>
    <m/>
    <s v="Det Røde Hus"/>
    <x v="81"/>
    <x v="0"/>
    <x v="2"/>
    <n v="162.6"/>
    <n v="12"/>
    <s v="2011-10-31"/>
    <n v="0"/>
    <n v="449"/>
    <n v="0.36205700000000002"/>
    <n v="3"/>
    <x v="0"/>
    <x v="1819"/>
    <n v="130.08000000000001"/>
    <n v="0"/>
    <s v="42052"/>
    <m/>
    <n v="162.6"/>
    <n v="0"/>
    <n v="77507"/>
  </r>
  <r>
    <x v="9"/>
    <m/>
    <s v="Det Røde Hus, Poppel 14"/>
    <n v="10231"/>
    <m/>
    <s v="Det Røde Hus"/>
    <x v="81"/>
    <x v="0"/>
    <x v="3"/>
    <n v="530.53"/>
    <n v="12"/>
    <s v="2011-10-31"/>
    <n v="0"/>
    <n v="449"/>
    <n v="1.1813180000000001"/>
    <n v="3"/>
    <x v="0"/>
    <x v="1820"/>
    <n v="424.41"/>
    <n v="0"/>
    <s v="42052"/>
    <m/>
    <n v="530.52052000000003"/>
    <n v="0"/>
    <n v="77507"/>
  </r>
  <r>
    <x v="9"/>
    <m/>
    <s v="Det Røde Hus, Poppel 14"/>
    <n v="10231"/>
    <m/>
    <s v="Det Røde Hus"/>
    <x v="81"/>
    <x v="0"/>
    <x v="4"/>
    <n v="226.45"/>
    <n v="12"/>
    <s v="2011-10-31"/>
    <n v="0"/>
    <n v="449"/>
    <n v="0.50422999999999996"/>
    <n v="3"/>
    <x v="0"/>
    <x v="1821"/>
    <n v="181.16"/>
    <n v="0"/>
    <s v="42052"/>
    <m/>
    <n v="226.43664000000001"/>
    <n v="0"/>
    <n v="77507"/>
  </r>
  <r>
    <x v="9"/>
    <m/>
    <s v="Det Røde Hus, Poppel 14"/>
    <n v="10231"/>
    <m/>
    <s v="Det Røde Hus"/>
    <x v="81"/>
    <x v="0"/>
    <x v="5"/>
    <n v="193.97"/>
    <n v="11"/>
    <s v="2011-10-31"/>
    <n v="0"/>
    <n v="449"/>
    <n v="0.43190800000000001"/>
    <n v="3"/>
    <x v="0"/>
    <x v="1822"/>
    <n v="155.18"/>
    <n v="0"/>
    <s v="42052"/>
    <m/>
    <n v="193.97237999999999"/>
    <n v="0"/>
    <n v="77507"/>
  </r>
  <r>
    <x v="9"/>
    <m/>
    <s v="Det Røde Hus, Poppel 14"/>
    <n v="10231"/>
    <m/>
    <s v="Det Røde Hus"/>
    <x v="81"/>
    <x v="0"/>
    <x v="6"/>
    <n v="245.04"/>
    <n v="10"/>
    <s v="2011-10-31"/>
    <n v="0"/>
    <n v="449"/>
    <n v="0.545624"/>
    <n v="3"/>
    <x v="0"/>
    <x v="1823"/>
    <n v="196.02"/>
    <n v="0"/>
    <s v="42052"/>
    <m/>
    <n v="245.02853999999999"/>
    <n v="0"/>
    <n v="77507"/>
  </r>
  <r>
    <x v="9"/>
    <s v="06157-9"/>
    <s v="Furesøbad"/>
    <n v="5489"/>
    <m/>
    <s v="Furesøbad"/>
    <x v="53"/>
    <x v="1"/>
    <x v="0"/>
    <n v="615"/>
    <n v="5"/>
    <m/>
    <n v="0"/>
    <n v="2801"/>
    <n v="0.219556"/>
    <n v="3"/>
    <x v="0"/>
    <x v="1824"/>
    <n v="492"/>
    <n v="1"/>
    <s v="Byg 1 02401115"/>
    <m/>
    <n v="615"/>
    <n v="0"/>
    <n v="58005"/>
  </r>
  <r>
    <x v="9"/>
    <s v="06157-9"/>
    <s v="Furesøbad"/>
    <n v="5489"/>
    <m/>
    <s v="Furesøbad"/>
    <x v="53"/>
    <x v="1"/>
    <x v="0"/>
    <n v="51.06"/>
    <n v="5"/>
    <m/>
    <n v="0"/>
    <n v="2801"/>
    <n v="1.8228000000000001E-2"/>
    <n v="3"/>
    <x v="0"/>
    <x v="1825"/>
    <n v="40.85"/>
    <n v="1"/>
    <s v="Byg 3 04016459"/>
    <m/>
    <n v="51.057000000000002"/>
    <n v="0"/>
    <n v="58106"/>
  </r>
  <r>
    <x v="9"/>
    <s v="06157-9"/>
    <s v="Furesøbad"/>
    <n v="5489"/>
    <m/>
    <s v="Furesøbad"/>
    <x v="53"/>
    <x v="0"/>
    <x v="1"/>
    <n v="1144.8"/>
    <n v="12"/>
    <m/>
    <n v="0"/>
    <n v="2801"/>
    <n v="0.408696"/>
    <n v="3"/>
    <x v="0"/>
    <x v="1826"/>
    <n v="915.84"/>
    <n v="1"/>
    <s v="Byg 1 02401115"/>
    <m/>
    <n v="1144.8"/>
    <n v="0"/>
    <n v="58005"/>
  </r>
  <r>
    <x v="9"/>
    <s v="06157-9"/>
    <s v="Furesøbad"/>
    <n v="5489"/>
    <m/>
    <s v="Furesøbad"/>
    <x v="53"/>
    <x v="0"/>
    <x v="1"/>
    <n v="358.82"/>
    <n v="12"/>
    <m/>
    <n v="0"/>
    <n v="2801"/>
    <n v="0.12809899999999999"/>
    <n v="3"/>
    <x v="0"/>
    <x v="1827"/>
    <n v="287.08"/>
    <n v="1"/>
    <s v="Byg 3 04016459"/>
    <m/>
    <n v="358.83300000000003"/>
    <n v="0"/>
    <n v="58106"/>
  </r>
  <r>
    <x v="9"/>
    <s v="06157-9"/>
    <s v="Furesøbad"/>
    <n v="5489"/>
    <m/>
    <s v="Furesøbad"/>
    <x v="53"/>
    <x v="0"/>
    <x v="2"/>
    <n v="1966.1"/>
    <n v="12"/>
    <m/>
    <n v="0"/>
    <n v="2801"/>
    <n v="0.70190200000000003"/>
    <n v="3"/>
    <x v="0"/>
    <x v="1828"/>
    <n v="1572.88"/>
    <n v="1"/>
    <s v="Byg 1 02401115"/>
    <m/>
    <n v="1966.1"/>
    <n v="0"/>
    <n v="58005"/>
  </r>
  <r>
    <x v="9"/>
    <s v="06157-9"/>
    <s v="Furesøbad"/>
    <n v="5489"/>
    <m/>
    <s v="Furesøbad"/>
    <x v="53"/>
    <x v="0"/>
    <x v="2"/>
    <n v="265.45999999999998"/>
    <n v="12"/>
    <m/>
    <n v="0"/>
    <n v="2801"/>
    <n v="9.4769000000000006E-2"/>
    <n v="3"/>
    <x v="0"/>
    <x v="1829"/>
    <n v="212.37"/>
    <n v="1"/>
    <s v="Byg 3 04016459"/>
    <m/>
    <n v="265.46800000000002"/>
    <n v="0"/>
    <n v="58106"/>
  </r>
  <r>
    <x v="9"/>
    <s v="06157-9"/>
    <s v="Furesøbad"/>
    <n v="5489"/>
    <m/>
    <s v="Furesøbad"/>
    <x v="53"/>
    <x v="0"/>
    <x v="3"/>
    <n v="477.81"/>
    <n v="12"/>
    <m/>
    <n v="0"/>
    <n v="2801"/>
    <n v="0.17057900000000001"/>
    <n v="3"/>
    <x v="0"/>
    <x v="1830"/>
    <n v="382.25"/>
    <n v="1"/>
    <s v="Byg 1 02401115"/>
    <m/>
    <n v="477.81"/>
    <n v="0"/>
    <n v="58005"/>
  </r>
  <r>
    <x v="9"/>
    <s v="06157-9"/>
    <s v="Furesøbad"/>
    <n v="5489"/>
    <m/>
    <s v="Furesøbad"/>
    <x v="53"/>
    <x v="0"/>
    <x v="3"/>
    <n v="266.56"/>
    <n v="12"/>
    <m/>
    <n v="0"/>
    <n v="2801"/>
    <n v="9.5161999999999997E-2"/>
    <n v="3"/>
    <x v="0"/>
    <x v="1831"/>
    <n v="213.25"/>
    <n v="1"/>
    <s v="Byg 3 04016459"/>
    <m/>
    <n v="266.572"/>
    <n v="0"/>
    <n v="58106"/>
  </r>
  <r>
    <x v="9"/>
    <s v="06157-9"/>
    <s v="Furesøbad"/>
    <n v="5489"/>
    <m/>
    <s v="Furesøbad"/>
    <x v="53"/>
    <x v="0"/>
    <x v="4"/>
    <n v="0"/>
    <n v="12"/>
    <m/>
    <n v="0"/>
    <n v="2801"/>
    <n v="0"/>
    <n v="3"/>
    <x v="0"/>
    <x v="1"/>
    <n v="0"/>
    <n v="1"/>
    <s v="Byg 1 02401115"/>
    <m/>
    <n v="0"/>
    <n v="0"/>
    <n v="58005"/>
  </r>
  <r>
    <x v="9"/>
    <s v="06157-9"/>
    <s v="Furesøbad"/>
    <n v="5489"/>
    <m/>
    <s v="Furesøbad"/>
    <x v="53"/>
    <x v="0"/>
    <x v="4"/>
    <n v="309.33"/>
    <n v="12"/>
    <m/>
    <n v="0"/>
    <n v="2801"/>
    <n v="0.110431"/>
    <n v="3"/>
    <x v="0"/>
    <x v="1832"/>
    <n v="247.47"/>
    <n v="1"/>
    <s v="Byg 3 04016459"/>
    <m/>
    <n v="309.33199999999999"/>
    <n v="0"/>
    <n v="58106"/>
  </r>
  <r>
    <x v="9"/>
    <s v="06157-9"/>
    <s v="Furesøbad"/>
    <n v="5489"/>
    <m/>
    <s v="Furesøbad"/>
    <x v="53"/>
    <x v="0"/>
    <x v="5"/>
    <n v="1940.38"/>
    <n v="12"/>
    <m/>
    <n v="0"/>
    <n v="2801"/>
    <n v="0.69272"/>
    <n v="3"/>
    <x v="0"/>
    <x v="1833"/>
    <n v="1552.32"/>
    <n v="1"/>
    <s v="Byg 1 02401115"/>
    <m/>
    <n v="1940.38"/>
    <n v="0"/>
    <n v="58005"/>
  </r>
  <r>
    <x v="9"/>
    <s v="06157-9"/>
    <s v="Furesøbad"/>
    <n v="5489"/>
    <m/>
    <s v="Furesøbad"/>
    <x v="53"/>
    <x v="0"/>
    <x v="5"/>
    <n v="271.81"/>
    <n v="12"/>
    <m/>
    <n v="0"/>
    <n v="2801"/>
    <n v="9.7035999999999997E-2"/>
    <n v="3"/>
    <x v="0"/>
    <x v="1834"/>
    <n v="217.45"/>
    <n v="1"/>
    <s v="Byg 3 04016459"/>
    <m/>
    <n v="271.81400000000002"/>
    <n v="0"/>
    <n v="58106"/>
  </r>
  <r>
    <x v="9"/>
    <s v="06157-9"/>
    <s v="Furesøbad"/>
    <n v="5489"/>
    <m/>
    <s v="Furesøbad"/>
    <x v="53"/>
    <x v="0"/>
    <x v="6"/>
    <n v="1834.48"/>
    <n v="12"/>
    <m/>
    <n v="0"/>
    <n v="2801"/>
    <n v="0.654914"/>
    <n v="3"/>
    <x v="0"/>
    <x v="1835"/>
    <n v="1467.59"/>
    <n v="1"/>
    <s v="Byg 1 02401115"/>
    <m/>
    <n v="1834.48"/>
    <n v="0"/>
    <n v="58005"/>
  </r>
  <r>
    <x v="9"/>
    <s v="06157-9"/>
    <s v="Furesøbad"/>
    <n v="5489"/>
    <m/>
    <s v="Furesøbad"/>
    <x v="53"/>
    <x v="0"/>
    <x v="6"/>
    <n v="258.20999999999998"/>
    <n v="12"/>
    <m/>
    <n v="0"/>
    <n v="2801"/>
    <n v="9.2180999999999999E-2"/>
    <n v="3"/>
    <x v="0"/>
    <x v="1836"/>
    <n v="206.59"/>
    <n v="1"/>
    <s v="Byg 3 04016459"/>
    <m/>
    <n v="258.22800000000001"/>
    <n v="0"/>
    <n v="58106"/>
  </r>
  <r>
    <x v="9"/>
    <s v="06157-9"/>
    <s v="Furesøbad"/>
    <n v="6031"/>
    <m/>
    <s v="Manuel aflæsning"/>
    <x v="53"/>
    <x v="1"/>
    <x v="0"/>
    <n v="102.37"/>
    <n v="4"/>
    <s v="2015-05-05"/>
    <n v="0"/>
    <n v="0"/>
    <n v="1023.7"/>
    <n v="3"/>
    <x v="0"/>
    <x v="1837"/>
    <n v="81.900000000000006"/>
    <n v="1"/>
    <s v="-2192309"/>
    <m/>
    <n v="102.36666"/>
    <n v="0"/>
    <n v="60682"/>
  </r>
  <r>
    <x v="9"/>
    <s v="06157-9"/>
    <s v="Furesøbad"/>
    <n v="6031"/>
    <m/>
    <s v="Manuel aflæsning"/>
    <x v="53"/>
    <x v="1"/>
    <x v="0"/>
    <n v="842.26"/>
    <n v="4"/>
    <s v="2015-05-05"/>
    <n v="0"/>
    <n v="0"/>
    <n v="8422.6"/>
    <n v="3"/>
    <x v="0"/>
    <x v="1838"/>
    <n v="673.8"/>
    <n v="0"/>
    <s v="98600209 Vand total"/>
    <m/>
    <n v="842.25554999999997"/>
    <n v="0"/>
    <n v="60683"/>
  </r>
  <r>
    <x v="9"/>
    <s v="06157-9"/>
    <s v="Furesøbad"/>
    <n v="6031"/>
    <m/>
    <s v="Manuel aflæsning"/>
    <x v="53"/>
    <x v="1"/>
    <x v="0"/>
    <n v="0.68"/>
    <n v="4"/>
    <s v="2015-05-05"/>
    <n v="0"/>
    <n v="0"/>
    <n v="6.8"/>
    <n v="3"/>
    <x v="0"/>
    <x v="1839"/>
    <n v="0.54"/>
    <n v="1"/>
    <s v="7502 7887"/>
    <m/>
    <n v="0.67722000000000004"/>
    <n v="0"/>
    <n v="62512"/>
  </r>
  <r>
    <x v="9"/>
    <s v="06157-9"/>
    <s v="Furesøbad"/>
    <n v="6031"/>
    <m/>
    <s v="Manuel aflæsning"/>
    <x v="53"/>
    <x v="0"/>
    <x v="1"/>
    <n v="310.39999999999998"/>
    <n v="11"/>
    <s v="2015-05-05"/>
    <n v="0"/>
    <n v="0"/>
    <n v="3104"/>
    <n v="3"/>
    <x v="0"/>
    <x v="1840"/>
    <n v="248.32"/>
    <n v="1"/>
    <s v="-2192309"/>
    <m/>
    <n v="310.3922"/>
    <n v="0"/>
    <n v="60682"/>
  </r>
  <r>
    <x v="9"/>
    <s v="06157-9"/>
    <s v="Furesøbad"/>
    <n v="6031"/>
    <m/>
    <s v="Manuel aflæsning"/>
    <x v="53"/>
    <x v="0"/>
    <x v="1"/>
    <n v="661.36"/>
    <n v="2"/>
    <s v="2015-05-05"/>
    <n v="0"/>
    <n v="0"/>
    <n v="6613.6"/>
    <n v="3"/>
    <x v="0"/>
    <x v="1841"/>
    <n v="529.11"/>
    <n v="0"/>
    <s v="98600209 Vand total"/>
    <m/>
    <n v="661.37552000000005"/>
    <n v="0"/>
    <n v="60683"/>
  </r>
  <r>
    <x v="9"/>
    <s v="06157-9"/>
    <s v="Furesøbad"/>
    <n v="6031"/>
    <m/>
    <s v="Manuel aflæsning"/>
    <x v="53"/>
    <x v="0"/>
    <x v="1"/>
    <n v="5.05"/>
    <n v="11"/>
    <s v="2015-05-05"/>
    <n v="0"/>
    <n v="0"/>
    <n v="50.5"/>
    <n v="3"/>
    <x v="0"/>
    <x v="1842"/>
    <n v="4.03"/>
    <n v="1"/>
    <s v="7502 7887"/>
    <m/>
    <n v="5.0461600000000004"/>
    <n v="0"/>
    <n v="62512"/>
  </r>
  <r>
    <x v="9"/>
    <s v="06157-9"/>
    <s v="Furesøbad"/>
    <n v="6031"/>
    <m/>
    <s v="Manuel aflæsning"/>
    <x v="53"/>
    <x v="0"/>
    <x v="2"/>
    <n v="239.85"/>
    <n v="10"/>
    <s v="2015-05-05"/>
    <n v="0"/>
    <n v="0"/>
    <n v="2398.5"/>
    <n v="3"/>
    <x v="0"/>
    <x v="1843"/>
    <n v="191.89"/>
    <n v="1"/>
    <s v="-2192309"/>
    <m/>
    <n v="239.84584000000001"/>
    <n v="0"/>
    <n v="60682"/>
  </r>
  <r>
    <x v="9"/>
    <s v="06157-9"/>
    <s v="Furesøbad"/>
    <n v="6031"/>
    <m/>
    <s v="Manuel aflæsning"/>
    <x v="53"/>
    <x v="0"/>
    <x v="2"/>
    <n v="1813.82"/>
    <n v="9"/>
    <s v="2015-05-05"/>
    <n v="0"/>
    <n v="0"/>
    <n v="18138.2"/>
    <n v="3"/>
    <x v="0"/>
    <x v="1844"/>
    <n v="1451.04"/>
    <n v="0"/>
    <s v="98600209 Vand total"/>
    <m/>
    <n v="1813.80908"/>
    <n v="0"/>
    <n v="60683"/>
  </r>
  <r>
    <x v="9"/>
    <s v="06157-9"/>
    <s v="Furesøbad"/>
    <n v="6031"/>
    <m/>
    <s v="Manuel aflæsning"/>
    <x v="53"/>
    <x v="0"/>
    <x v="2"/>
    <n v="3.15"/>
    <n v="10"/>
    <s v="2015-05-05"/>
    <n v="0"/>
    <n v="0"/>
    <n v="31.5"/>
    <n v="3"/>
    <x v="0"/>
    <x v="1845"/>
    <n v="2.52"/>
    <n v="1"/>
    <s v="7502 7887"/>
    <m/>
    <n v="3.1432699999999998"/>
    <n v="0"/>
    <n v="62512"/>
  </r>
  <r>
    <x v="9"/>
    <s v="06157-9"/>
    <s v="Furesøbad"/>
    <n v="6031"/>
    <m/>
    <s v="Manuel aflæsning"/>
    <x v="53"/>
    <x v="0"/>
    <x v="3"/>
    <n v="393.51"/>
    <n v="11"/>
    <s v="2015-05-05"/>
    <n v="0"/>
    <n v="0"/>
    <n v="3935.1"/>
    <n v="3"/>
    <x v="0"/>
    <x v="1846"/>
    <n v="314.8"/>
    <n v="1"/>
    <s v="-2192309"/>
    <m/>
    <n v="393.49892"/>
    <n v="0"/>
    <n v="60682"/>
  </r>
  <r>
    <x v="9"/>
    <s v="06157-9"/>
    <s v="Furesøbad"/>
    <n v="6031"/>
    <m/>
    <s v="Manuel aflæsning"/>
    <x v="53"/>
    <x v="0"/>
    <x v="3"/>
    <n v="1819.43"/>
    <n v="6"/>
    <s v="2015-05-05"/>
    <n v="0"/>
    <n v="0"/>
    <n v="18194.3"/>
    <n v="3"/>
    <x v="0"/>
    <x v="1847"/>
    <n v="1455.55"/>
    <n v="0"/>
    <s v="98600209 Vand total"/>
    <m/>
    <n v="1819.42578"/>
    <n v="0"/>
    <n v="60683"/>
  </r>
  <r>
    <x v="9"/>
    <s v="06157-9"/>
    <s v="Furesøbad"/>
    <n v="6031"/>
    <m/>
    <s v="Manuel aflæsning"/>
    <x v="53"/>
    <x v="0"/>
    <x v="3"/>
    <n v="3.59"/>
    <n v="11"/>
    <s v="2015-05-05"/>
    <n v="0"/>
    <n v="0"/>
    <n v="35.9"/>
    <n v="3"/>
    <x v="0"/>
    <x v="1848"/>
    <n v="2.86"/>
    <n v="1"/>
    <s v="7502 7887"/>
    <m/>
    <n v="3.5871900000000001"/>
    <n v="0"/>
    <n v="62512"/>
  </r>
  <r>
    <x v="9"/>
    <s v="06157-9"/>
    <s v="Furesøbad"/>
    <n v="6031"/>
    <m/>
    <s v="Manuel aflæsning"/>
    <x v="53"/>
    <x v="0"/>
    <x v="4"/>
    <n v="285.60000000000002"/>
    <n v="12"/>
    <s v="2015-05-05"/>
    <n v="0"/>
    <n v="0"/>
    <n v="2856"/>
    <n v="3"/>
    <x v="0"/>
    <x v="1849"/>
    <n v="228.48"/>
    <n v="1"/>
    <s v="-2192309"/>
    <m/>
    <n v="285.59931999999998"/>
    <n v="0"/>
    <n v="60682"/>
  </r>
  <r>
    <x v="9"/>
    <s v="06157-9"/>
    <s v="Furesøbad"/>
    <n v="6031"/>
    <m/>
    <s v="Manuel aflæsning"/>
    <x v="53"/>
    <x v="0"/>
    <x v="4"/>
    <n v="2035.88"/>
    <n v="11"/>
    <s v="2015-05-05"/>
    <n v="0"/>
    <n v="0"/>
    <n v="20358.8"/>
    <n v="3"/>
    <x v="0"/>
    <x v="1850"/>
    <n v="1628.73"/>
    <n v="0"/>
    <s v="98600209 Vand total"/>
    <m/>
    <n v="2035.8896"/>
    <n v="0"/>
    <n v="60683"/>
  </r>
  <r>
    <x v="9"/>
    <s v="06157-9"/>
    <s v="Furesøbad"/>
    <n v="6031"/>
    <m/>
    <s v="Manuel aflæsning"/>
    <x v="53"/>
    <x v="0"/>
    <x v="4"/>
    <n v="6.53"/>
    <n v="12"/>
    <s v="2015-05-05"/>
    <n v="0"/>
    <n v="0"/>
    <n v="65.3"/>
    <n v="3"/>
    <x v="0"/>
    <x v="1851"/>
    <n v="5.23"/>
    <n v="1"/>
    <s v="7502 7887"/>
    <m/>
    <n v="6.5260199999999999"/>
    <n v="0"/>
    <n v="62512"/>
  </r>
  <r>
    <x v="9"/>
    <s v="06157-9"/>
    <s v="Furesøbad"/>
    <n v="6031"/>
    <m/>
    <s v="Manuel aflæsning"/>
    <x v="53"/>
    <x v="0"/>
    <x v="5"/>
    <n v="373.85"/>
    <n v="6"/>
    <s v="2015-05-05"/>
    <n v="0"/>
    <n v="0"/>
    <n v="3738.5"/>
    <n v="3"/>
    <x v="0"/>
    <x v="1852"/>
    <n v="299.08"/>
    <n v="1"/>
    <s v="-2192309"/>
    <m/>
    <n v="373.83902"/>
    <n v="0"/>
    <n v="60682"/>
  </r>
  <r>
    <x v="9"/>
    <s v="06157-9"/>
    <s v="Furesøbad"/>
    <n v="6031"/>
    <m/>
    <s v="Manuel aflæsning"/>
    <x v="53"/>
    <x v="0"/>
    <x v="5"/>
    <n v="2287.0100000000002"/>
    <n v="13"/>
    <s v="2015-05-05"/>
    <n v="0"/>
    <n v="0"/>
    <n v="22870.1"/>
    <n v="3"/>
    <x v="0"/>
    <x v="1853"/>
    <n v="1829.61"/>
    <n v="0"/>
    <s v="98600209 Vand total"/>
    <m/>
    <n v="2287.02943"/>
    <n v="0"/>
    <n v="60683"/>
  </r>
  <r>
    <x v="9"/>
    <s v="06157-9"/>
    <s v="Furesøbad"/>
    <n v="6031"/>
    <m/>
    <s v="Manuel aflæsning"/>
    <x v="53"/>
    <x v="0"/>
    <x v="5"/>
    <n v="8.6199999999999992"/>
    <n v="12"/>
    <s v="2015-05-05"/>
    <n v="0"/>
    <n v="0"/>
    <n v="86.2"/>
    <n v="3"/>
    <x v="0"/>
    <x v="1854"/>
    <n v="6.88"/>
    <n v="1"/>
    <s v="7502 7887"/>
    <m/>
    <n v="8.6229999999999993"/>
    <n v="0"/>
    <n v="62512"/>
  </r>
  <r>
    <x v="9"/>
    <s v="06157-9"/>
    <s v="Furesøbad"/>
    <n v="6031"/>
    <m/>
    <s v="Manuel aflæsning"/>
    <x v="53"/>
    <x v="0"/>
    <x v="6"/>
    <n v="328.78"/>
    <n v="12"/>
    <s v="2015-05-05"/>
    <n v="0"/>
    <n v="0"/>
    <n v="3287.8"/>
    <n v="3"/>
    <x v="0"/>
    <x v="1855"/>
    <n v="263.02"/>
    <n v="1"/>
    <s v="-2192309"/>
    <m/>
    <n v="328.78748000000002"/>
    <n v="0"/>
    <n v="60682"/>
  </r>
  <r>
    <x v="9"/>
    <s v="06157-9"/>
    <s v="Furesøbad"/>
    <n v="6031"/>
    <m/>
    <s v="Manuel aflæsning"/>
    <x v="53"/>
    <x v="0"/>
    <x v="6"/>
    <n v="2100.79"/>
    <n v="12"/>
    <s v="2015-05-05"/>
    <n v="0"/>
    <n v="0"/>
    <n v="21007.9"/>
    <n v="3"/>
    <x v="0"/>
    <x v="1856"/>
    <n v="1680.64"/>
    <n v="0"/>
    <s v="98600209 Vand total"/>
    <m/>
    <n v="2100.7931699999999"/>
    <n v="0"/>
    <n v="60683"/>
  </r>
  <r>
    <x v="9"/>
    <s v="06157-9"/>
    <s v="Furesøbad"/>
    <n v="6031"/>
    <m/>
    <s v="Manuel aflæsning"/>
    <x v="53"/>
    <x v="0"/>
    <x v="6"/>
    <n v="5.0199999999999996"/>
    <n v="12"/>
    <s v="2015-05-05"/>
    <n v="0"/>
    <n v="0"/>
    <n v="50.2"/>
    <n v="3"/>
    <x v="0"/>
    <x v="1857"/>
    <n v="4.0199999999999996"/>
    <n v="1"/>
    <s v="7502 7887"/>
    <m/>
    <n v="5.0134400000000001"/>
    <n v="0"/>
    <n v="62512"/>
  </r>
  <r>
    <x v="9"/>
    <m/>
    <s v="Hareskov Idræt, Birke 15"/>
    <n v="10207"/>
    <m/>
    <s v="Hareskov Idræt"/>
    <x v="82"/>
    <x v="0"/>
    <x v="0"/>
    <n v="171"/>
    <n v="5"/>
    <s v="2011-11-30"/>
    <n v="0"/>
    <n v="505"/>
    <n v="0.11809500000000001"/>
    <n v="3"/>
    <x v="0"/>
    <x v="1858"/>
    <n v="47.73"/>
    <n v="0"/>
    <s v="02PC501277"/>
    <m/>
    <n v="59.661000000000001"/>
    <n v="0"/>
    <n v="77400"/>
  </r>
  <r>
    <x v="9"/>
    <m/>
    <s v="Hareskov Idræt, Birke 15"/>
    <n v="10207"/>
    <m/>
    <s v="Hareskov Idræt"/>
    <x v="82"/>
    <x v="0"/>
    <x v="1"/>
    <n v="296.47000000000003"/>
    <n v="12"/>
    <s v="2011-11-30"/>
    <n v="0"/>
    <n v="505"/>
    <n v="0.58695299999999995"/>
    <n v="3"/>
    <x v="0"/>
    <x v="1859"/>
    <n v="237.18"/>
    <n v="0"/>
    <s v="02PC501277"/>
    <m/>
    <n v="296.46100000000001"/>
    <n v="0"/>
    <n v="77400"/>
  </r>
  <r>
    <x v="9"/>
    <m/>
    <s v="Hareskov Idræt, Birke 15"/>
    <n v="10207"/>
    <m/>
    <s v="Hareskov Idræt"/>
    <x v="82"/>
    <x v="0"/>
    <x v="2"/>
    <n v="315.47000000000003"/>
    <n v="12"/>
    <s v="2011-11-30"/>
    <n v="0"/>
    <n v="505"/>
    <n v="0.62456900000000004"/>
    <n v="3"/>
    <x v="0"/>
    <x v="1860"/>
    <n v="252.37"/>
    <n v="0"/>
    <s v="02PC501277"/>
    <m/>
    <n v="315.45600000000002"/>
    <n v="0"/>
    <n v="77400"/>
  </r>
  <r>
    <x v="9"/>
    <m/>
    <s v="Hareskov Idræt, Birke 15"/>
    <n v="10207"/>
    <m/>
    <s v="Hareskov Idræt"/>
    <x v="82"/>
    <x v="0"/>
    <x v="3"/>
    <n v="514.64"/>
    <n v="2"/>
    <s v="2011-11-30"/>
    <n v="0"/>
    <n v="505"/>
    <n v="1.0188870000000001"/>
    <n v="3"/>
    <x v="0"/>
    <x v="1861"/>
    <n v="411.7"/>
    <n v="0"/>
    <s v="02PC501277"/>
    <m/>
    <n v="514.65198999999996"/>
    <n v="0"/>
    <n v="77400"/>
  </r>
  <r>
    <x v="9"/>
    <m/>
    <s v="Hareskov Idræt, Birke 15"/>
    <n v="10207"/>
    <m/>
    <s v="Hareskov Idræt"/>
    <x v="82"/>
    <x v="0"/>
    <x v="4"/>
    <n v="530.96"/>
    <n v="1"/>
    <s v="2011-11-30"/>
    <n v="0"/>
    <n v="505"/>
    <n v="1.0511969999999999"/>
    <n v="3"/>
    <x v="0"/>
    <x v="1862"/>
    <n v="424.75"/>
    <n v="0"/>
    <s v="02PC501277"/>
    <m/>
    <n v="530.96369000000004"/>
    <n v="0"/>
    <n v="77400"/>
  </r>
  <r>
    <x v="9"/>
    <m/>
    <s v="Hareskov Idræt, Birke 15"/>
    <n v="10207"/>
    <m/>
    <s v="Hareskov Idræt"/>
    <x v="82"/>
    <x v="0"/>
    <x v="5"/>
    <n v="603.91999999999996"/>
    <n v="0"/>
    <s v="2011-11-30"/>
    <n v="0"/>
    <n v="505"/>
    <n v="1.1956439999999999"/>
    <n v="3"/>
    <x v="0"/>
    <x v="1863"/>
    <n v="483.11"/>
    <n v="0"/>
    <s v="02PC501277"/>
    <m/>
    <n v="603.89639"/>
    <n v="0"/>
    <n v="77400"/>
  </r>
  <r>
    <x v="9"/>
    <m/>
    <s v="Hareskov Idræt, Birke 15"/>
    <n v="10207"/>
    <m/>
    <s v="Hareskov Idræt"/>
    <x v="82"/>
    <x v="0"/>
    <x v="6"/>
    <n v="566.9"/>
    <n v="4"/>
    <s v="2011-11-30"/>
    <n v="0"/>
    <n v="505"/>
    <n v="1.122352"/>
    <n v="3"/>
    <x v="0"/>
    <x v="1864"/>
    <n v="453.5"/>
    <n v="0"/>
    <s v="02PC501277"/>
    <m/>
    <n v="566.86701000000005"/>
    <n v="0"/>
    <n v="77400"/>
  </r>
  <r>
    <x v="9"/>
    <m/>
    <s v="Kirke Værløse Idrætanlæg, Lejr 21"/>
    <n v="10204"/>
    <m/>
    <s v="Kirke Værløse Idrætsanlæg"/>
    <x v="61"/>
    <x v="0"/>
    <x v="0"/>
    <n v="145"/>
    <n v="5"/>
    <s v="2010-07-31"/>
    <n v="0"/>
    <n v="445"/>
    <n v="0.12922900000000001"/>
    <n v="3"/>
    <x v="0"/>
    <x v="1865"/>
    <n v="46.03"/>
    <n v="0"/>
    <s v="00PC500634"/>
    <m/>
    <n v="57.527000000000001"/>
    <n v="0"/>
    <n v="77387"/>
  </r>
  <r>
    <x v="9"/>
    <m/>
    <s v="Kirke Værløse Idrætanlæg, Lejr 21"/>
    <n v="10204"/>
    <m/>
    <s v="Kirke Værløse Idrætsanlæg"/>
    <x v="61"/>
    <x v="0"/>
    <x v="1"/>
    <n v="191.9"/>
    <n v="12"/>
    <s v="2010-07-31"/>
    <n v="0"/>
    <n v="445"/>
    <n v="0.43113899999999999"/>
    <n v="3"/>
    <x v="0"/>
    <x v="1866"/>
    <n v="153.53"/>
    <n v="0"/>
    <s v="00PC500634"/>
    <m/>
    <n v="191.90799999999999"/>
    <n v="0"/>
    <n v="77387"/>
  </r>
  <r>
    <x v="9"/>
    <m/>
    <s v="Kirke Værløse Idrætanlæg, Lejr 21"/>
    <n v="10204"/>
    <m/>
    <s v="Kirke Værløse Idrætsanlæg"/>
    <x v="61"/>
    <x v="0"/>
    <x v="2"/>
    <n v="200.06"/>
    <n v="12"/>
    <s v="2010-07-31"/>
    <n v="0"/>
    <n v="445"/>
    <n v="0.44947199999999998"/>
    <n v="3"/>
    <x v="0"/>
    <x v="1867"/>
    <n v="160.04"/>
    <n v="0"/>
    <s v="00PC500634"/>
    <m/>
    <n v="200.047"/>
    <n v="0"/>
    <n v="77387"/>
  </r>
  <r>
    <x v="9"/>
    <m/>
    <s v="Kirke Værløse Idrætanlæg, Lejr 21"/>
    <n v="10204"/>
    <m/>
    <s v="Kirke Værløse Idrætsanlæg"/>
    <x v="61"/>
    <x v="0"/>
    <x v="3"/>
    <n v="194.46"/>
    <n v="12"/>
    <s v="2010-07-31"/>
    <n v="0"/>
    <n v="445"/>
    <n v="0.43689"/>
    <n v="3"/>
    <x v="0"/>
    <x v="1868"/>
    <n v="155.54"/>
    <n v="0"/>
    <s v="00PC500634"/>
    <m/>
    <n v="194.45099999999999"/>
    <n v="0"/>
    <n v="77387"/>
  </r>
  <r>
    <x v="9"/>
    <m/>
    <s v="Kirke Værløse Idrætanlæg, Lejr 21"/>
    <n v="10204"/>
    <m/>
    <s v="Kirke Værløse Idrætsanlæg"/>
    <x v="61"/>
    <x v="0"/>
    <x v="4"/>
    <n v="145.16999999999999"/>
    <n v="8"/>
    <s v="2010-07-31"/>
    <n v="0"/>
    <n v="445"/>
    <n v="0.32615100000000002"/>
    <n v="3"/>
    <x v="0"/>
    <x v="1869"/>
    <n v="116.13"/>
    <n v="0"/>
    <s v="00PC500634"/>
    <m/>
    <n v="145.16747000000001"/>
    <n v="0"/>
    <n v="77387"/>
  </r>
  <r>
    <x v="9"/>
    <m/>
    <s v="Kirke Værløse Idrætanlæg, Lejr 21"/>
    <n v="10204"/>
    <m/>
    <s v="Kirke Værløse Idrætsanlæg"/>
    <x v="61"/>
    <x v="0"/>
    <x v="5"/>
    <n v="207.72"/>
    <n v="1"/>
    <s v="2010-07-31"/>
    <n v="0"/>
    <n v="445"/>
    <n v="0.46668100000000001"/>
    <n v="3"/>
    <x v="0"/>
    <x v="1870"/>
    <n v="166.15"/>
    <n v="0"/>
    <s v="00PC500634"/>
    <m/>
    <n v="207.7199"/>
    <n v="0"/>
    <n v="77387"/>
  </r>
  <r>
    <x v="9"/>
    <m/>
    <s v="Kirke Værløse Idrætanlæg, Lejr 21"/>
    <n v="10204"/>
    <m/>
    <s v="Kirke Værløse Idrætsanlæg"/>
    <x v="61"/>
    <x v="0"/>
    <x v="6"/>
    <n v="216.03"/>
    <n v="5"/>
    <s v="2010-07-31"/>
    <n v="0"/>
    <n v="445"/>
    <n v="0.48535099999999998"/>
    <n v="3"/>
    <x v="0"/>
    <x v="1871"/>
    <n v="172.83"/>
    <n v="0"/>
    <s v="00PC500634"/>
    <m/>
    <n v="216.02709999999999"/>
    <n v="0"/>
    <n v="77387"/>
  </r>
  <r>
    <x v="9"/>
    <s v="6408"/>
    <s v="Skallepanden V M Amdrupvej 17"/>
    <n v="13664"/>
    <s v="0"/>
    <s v="Skallepanden"/>
    <x v="55"/>
    <x v="0"/>
    <x v="0"/>
    <n v="16"/>
    <n v="5"/>
    <s v="2013-11-29"/>
    <n v="0"/>
    <n v="138"/>
    <n v="1.7739999999999999E-2"/>
    <n v="3"/>
    <x v="0"/>
    <x v="1872"/>
    <n v="1.97"/>
    <n v="0"/>
    <m/>
    <m/>
    <n v="2.448"/>
    <n v="0"/>
    <n v="91256"/>
  </r>
  <r>
    <x v="9"/>
    <s v="6408"/>
    <s v="Skallepanden V M Amdrupvej 17"/>
    <n v="13664"/>
    <s v="0"/>
    <s v="Skallepanden"/>
    <x v="55"/>
    <x v="0"/>
    <x v="1"/>
    <n v="21.68"/>
    <n v="4"/>
    <s v="2013-11-29"/>
    <n v="0"/>
    <n v="138"/>
    <n v="0.15698699999999999"/>
    <n v="3"/>
    <x v="0"/>
    <x v="1873"/>
    <n v="17.32"/>
    <n v="0"/>
    <m/>
    <m/>
    <n v="21.669530000000002"/>
    <n v="0"/>
    <n v="91256"/>
  </r>
  <r>
    <x v="9"/>
    <s v="6408"/>
    <s v="Skallepanden V M Amdrupvej 17"/>
    <n v="13664"/>
    <s v="0"/>
    <s v="Skallepanden"/>
    <x v="55"/>
    <x v="0"/>
    <x v="2"/>
    <n v="0.1"/>
    <n v="1"/>
    <s v="2013-11-29"/>
    <n v="0"/>
    <n v="138"/>
    <n v="7.2400000000000003E-4"/>
    <n v="3"/>
    <x v="0"/>
    <x v="1874"/>
    <n v="0.08"/>
    <n v="0"/>
    <m/>
    <m/>
    <n v="0.10446"/>
    <n v="0"/>
    <n v="91256"/>
  </r>
  <r>
    <x v="9"/>
    <m/>
    <s v="Værløse Boldklub, Stiager 6"/>
    <n v="10179"/>
    <m/>
    <s v="Værløse Boldklub"/>
    <x v="83"/>
    <x v="0"/>
    <x v="0"/>
    <n v="645"/>
    <n v="5"/>
    <s v="2010-08-30"/>
    <n v="0"/>
    <n v="792"/>
    <n v="0.337343"/>
    <n v="3"/>
    <x v="0"/>
    <x v="1875"/>
    <n v="0"/>
    <n v="0"/>
    <s v="01PC502543"/>
    <m/>
    <n v="267.21100000000001"/>
    <n v="0"/>
    <n v="77211"/>
  </r>
  <r>
    <x v="9"/>
    <m/>
    <s v="Værløse Boldklub, Stiager 6"/>
    <n v="10179"/>
    <m/>
    <s v="Værløse Boldklub"/>
    <x v="83"/>
    <x v="0"/>
    <x v="1"/>
    <n v="700.63"/>
    <n v="12"/>
    <s v="2010-08-30"/>
    <n v="0"/>
    <n v="792"/>
    <n v="0.88452200000000003"/>
    <n v="3"/>
    <x v="0"/>
    <x v="1876"/>
    <n v="0"/>
    <n v="0"/>
    <s v="01PC502543"/>
    <m/>
    <n v="700.61500000000001"/>
    <n v="0"/>
    <n v="77211"/>
  </r>
  <r>
    <x v="9"/>
    <m/>
    <s v="Værløse Boldklub, Stiager 6"/>
    <n v="10179"/>
    <m/>
    <s v="Værløse Boldklub"/>
    <x v="83"/>
    <x v="0"/>
    <x v="2"/>
    <n v="737.68"/>
    <n v="12"/>
    <s v="2010-08-30"/>
    <n v="0"/>
    <n v="792"/>
    <n v="0.93129600000000001"/>
    <n v="3"/>
    <x v="0"/>
    <x v="1877"/>
    <n v="0"/>
    <n v="0"/>
    <s v="01PC502543"/>
    <m/>
    <n v="737.69"/>
    <n v="0"/>
    <n v="77211"/>
  </r>
  <r>
    <x v="9"/>
    <m/>
    <s v="Værløse Boldklub, Stiager 6"/>
    <n v="10179"/>
    <m/>
    <s v="Værløse Boldklub"/>
    <x v="83"/>
    <x v="0"/>
    <x v="3"/>
    <n v="867.27"/>
    <n v="12"/>
    <s v="2010-08-30"/>
    <n v="0"/>
    <n v="792"/>
    <n v="1.0948990000000001"/>
    <n v="3"/>
    <x v="0"/>
    <x v="1878"/>
    <n v="0"/>
    <n v="0"/>
    <s v="01PC502543"/>
    <m/>
    <n v="867.26300000000003"/>
    <n v="0"/>
    <n v="77211"/>
  </r>
  <r>
    <x v="9"/>
    <m/>
    <s v="Værløse Boldklub, Stiager 6"/>
    <n v="10179"/>
    <m/>
    <s v="Værløse Boldklub"/>
    <x v="83"/>
    <x v="0"/>
    <x v="4"/>
    <n v="897.14"/>
    <n v="9"/>
    <s v="2010-08-30"/>
    <n v="0"/>
    <n v="792"/>
    <n v="1.132609"/>
    <n v="3"/>
    <x v="0"/>
    <x v="1879"/>
    <n v="0"/>
    <n v="0"/>
    <s v="01PC502543"/>
    <m/>
    <n v="897.13383999999996"/>
    <n v="0"/>
    <n v="77211"/>
  </r>
  <r>
    <x v="9"/>
    <m/>
    <s v="Værløse Boldklub, Stiager 6"/>
    <n v="10179"/>
    <m/>
    <s v="Værløse Boldklub"/>
    <x v="83"/>
    <x v="0"/>
    <x v="5"/>
    <n v="1097.1099999999999"/>
    <n v="2"/>
    <s v="2010-08-30"/>
    <n v="0"/>
    <n v="792"/>
    <n v="1.385065"/>
    <n v="3"/>
    <x v="0"/>
    <x v="1880"/>
    <n v="0"/>
    <n v="0"/>
    <s v="01PC502543"/>
    <m/>
    <n v="1097.0716600000001"/>
    <n v="0"/>
    <n v="77211"/>
  </r>
  <r>
    <x v="9"/>
    <m/>
    <s v="Værløse Boldklub, Stiager 6"/>
    <n v="10179"/>
    <m/>
    <s v="Værløse Boldklub"/>
    <x v="83"/>
    <x v="0"/>
    <x v="6"/>
    <n v="1200.54"/>
    <n v="5"/>
    <s v="2010-08-30"/>
    <n v="0"/>
    <n v="792"/>
    <n v="1.515641"/>
    <n v="3"/>
    <x v="0"/>
    <x v="1881"/>
    <n v="0"/>
    <n v="0"/>
    <s v="01PC502543"/>
    <m/>
    <n v="1200.5423800000001"/>
    <n v="0"/>
    <n v="77211"/>
  </r>
  <r>
    <x v="9"/>
    <s v="5532"/>
    <s v="Værløse Tennis, LV77"/>
    <n v="13667"/>
    <s v="0"/>
    <s v="Værløse Tennis"/>
    <x v="84"/>
    <x v="0"/>
    <x v="1"/>
    <n v="642.82000000000005"/>
    <n v="2"/>
    <s v="2014-12-10"/>
    <n v="0"/>
    <n v="292"/>
    <n v="2.2006839999999999"/>
    <n v="3"/>
    <x v="0"/>
    <x v="1882"/>
    <n v="514.25"/>
    <n v="0"/>
    <s v="02501324"/>
    <m/>
    <n v="642.83848"/>
    <n v="0"/>
    <n v="91263"/>
  </r>
  <r>
    <x v="9"/>
    <s v="5532"/>
    <s v="Værløse Tennis, LV77"/>
    <n v="13667"/>
    <s v="0"/>
    <s v="Værløse Tennis"/>
    <x v="84"/>
    <x v="0"/>
    <x v="1"/>
    <n v="36.15"/>
    <n v="2"/>
    <s v="2014-12-10"/>
    <n v="0"/>
    <n v="292"/>
    <n v="0.12375800000000001"/>
    <n v="3"/>
    <x v="0"/>
    <x v="1883"/>
    <n v="28.93"/>
    <n v="0"/>
    <s v="11131959"/>
    <m/>
    <n v="36.151679999999999"/>
    <n v="0"/>
    <n v="93572"/>
  </r>
  <r>
    <x v="9"/>
    <s v="5532"/>
    <s v="Værløse Tennis, LV77"/>
    <n v="13667"/>
    <s v="0"/>
    <s v="Værløse Tennis"/>
    <x v="84"/>
    <x v="0"/>
    <x v="2"/>
    <n v="932.59"/>
    <n v="0"/>
    <s v="2014-12-10"/>
    <n v="0"/>
    <n v="292"/>
    <n v="3.192707"/>
    <n v="3"/>
    <x v="0"/>
    <x v="1884"/>
    <n v="746.05"/>
    <n v="0"/>
    <s v="02501324"/>
    <m/>
    <n v="932.61335999999994"/>
    <n v="0"/>
    <n v="91263"/>
  </r>
  <r>
    <x v="9"/>
    <s v="5532"/>
    <s v="Værløse Tennis, LV77"/>
    <n v="13667"/>
    <s v="0"/>
    <s v="Værløse Tennis"/>
    <x v="84"/>
    <x v="0"/>
    <x v="3"/>
    <n v="2.5499999999999998"/>
    <n v="1"/>
    <s v="2014-12-10"/>
    <n v="0"/>
    <n v="292"/>
    <n v="8.7290000000000006E-3"/>
    <n v="3"/>
    <x v="0"/>
    <x v="1885"/>
    <n v="2.04"/>
    <n v="0"/>
    <s v="02501324"/>
    <m/>
    <n v="2.5481199999999999"/>
    <n v="0"/>
    <n v="91263"/>
  </r>
  <r>
    <x v="9"/>
    <s v="06157-9"/>
    <s v="Furesøbad"/>
    <n v="5489"/>
    <m/>
    <s v="Furesøbad"/>
    <x v="53"/>
    <x v="0"/>
    <x v="7"/>
    <n v="1416.5"/>
    <n v="12"/>
    <m/>
    <n v="0"/>
    <n v="2801"/>
    <n v="0.50569399999999998"/>
    <n v="3"/>
    <x v="0"/>
    <x v="1886"/>
    <n v="1133.2"/>
    <n v="1"/>
    <s v="Byg 1 02401115"/>
    <m/>
    <n v="1416.5"/>
    <n v="0"/>
    <n v="58005"/>
  </r>
  <r>
    <x v="9"/>
    <s v="06157-9"/>
    <s v="Furesøbad"/>
    <n v="5489"/>
    <m/>
    <s v="Furesøbad"/>
    <x v="53"/>
    <x v="0"/>
    <x v="7"/>
    <n v="325.83"/>
    <n v="12"/>
    <m/>
    <n v="0"/>
    <n v="2801"/>
    <n v="0.11632199999999999"/>
    <n v="3"/>
    <x v="0"/>
    <x v="1887"/>
    <n v="260.67"/>
    <n v="1"/>
    <s v="Byg 3 04016459"/>
    <m/>
    <n v="325.83100000000002"/>
    <n v="0"/>
    <n v="58106"/>
  </r>
  <r>
    <x v="9"/>
    <s v="06157-9"/>
    <s v="Furesøbad"/>
    <n v="6031"/>
    <m/>
    <s v="Manuel aflæsning"/>
    <x v="53"/>
    <x v="0"/>
    <x v="7"/>
    <n v="325.94"/>
    <n v="5"/>
    <s v="2015-05-05"/>
    <n v="0"/>
    <n v="0"/>
    <n v="3259.4"/>
    <n v="3"/>
    <x v="0"/>
    <x v="1888"/>
    <n v="260.74"/>
    <n v="1"/>
    <s v="-2192309"/>
    <m/>
    <n v="325.92865"/>
    <n v="0"/>
    <n v="60682"/>
  </r>
  <r>
    <x v="9"/>
    <s v="06157-9"/>
    <s v="Furesøbad"/>
    <n v="6031"/>
    <m/>
    <s v="Manuel aflæsning"/>
    <x v="53"/>
    <x v="0"/>
    <x v="7"/>
    <n v="2252.7600000000002"/>
    <n v="5"/>
    <s v="2015-05-05"/>
    <n v="0"/>
    <n v="0"/>
    <n v="22527.599999999999"/>
    <n v="3"/>
    <x v="0"/>
    <x v="1889"/>
    <n v="1802.2"/>
    <n v="0"/>
    <s v="98600209 Vand total"/>
    <m/>
    <n v="2252.7444500000001"/>
    <n v="0"/>
    <n v="60683"/>
  </r>
  <r>
    <x v="9"/>
    <s v="06157-9"/>
    <s v="Furesøbad"/>
    <n v="6031"/>
    <m/>
    <s v="Manuel aflæsning"/>
    <x v="53"/>
    <x v="0"/>
    <x v="7"/>
    <n v="3.62"/>
    <n v="4"/>
    <s v="2015-05-05"/>
    <n v="0"/>
    <n v="0"/>
    <n v="36.200000000000003"/>
    <n v="3"/>
    <x v="0"/>
    <x v="1890"/>
    <n v="2.91"/>
    <n v="1"/>
    <s v="7502 7887"/>
    <m/>
    <n v="3.6206999999999998"/>
    <n v="0"/>
    <n v="62512"/>
  </r>
  <r>
    <x v="9"/>
    <s v="06157-9"/>
    <s v="Furesøbad"/>
    <n v="6031"/>
    <m/>
    <s v="Manuel aflæsning"/>
    <x v="53"/>
    <x v="0"/>
    <x v="7"/>
    <n v="75220.28"/>
    <n v="5"/>
    <s v="2015-05-05"/>
    <n v="0"/>
    <n v="0"/>
    <n v="752202.8"/>
    <n v="1"/>
    <x v="1"/>
    <x v="1891"/>
    <n v="11070.18"/>
    <n v="1"/>
    <s v="4959412"/>
    <m/>
    <n v="75220.274040000004"/>
    <n v="0"/>
    <n v="60629"/>
  </r>
  <r>
    <x v="9"/>
    <s v="06157-9"/>
    <s v="Furesøbad"/>
    <n v="6031"/>
    <m/>
    <s v="Manuel aflæsning"/>
    <x v="53"/>
    <x v="0"/>
    <x v="7"/>
    <n v="7395.99"/>
    <n v="5"/>
    <s v="2015-05-05"/>
    <n v="0"/>
    <n v="0"/>
    <n v="73959.899999999994"/>
    <n v="1"/>
    <x v="1"/>
    <x v="1892"/>
    <n v="1120.75"/>
    <n v="1"/>
    <s v="Varme Privat"/>
    <m/>
    <n v="7395.9789000000001"/>
    <n v="0"/>
    <n v="60630"/>
  </r>
  <r>
    <x v="9"/>
    <s v="06157-9"/>
    <s v="Furesøbad"/>
    <n v="5489"/>
    <m/>
    <s v="Furesøbad"/>
    <x v="53"/>
    <x v="0"/>
    <x v="7"/>
    <n v="48421.78"/>
    <n v="12"/>
    <m/>
    <n v="0"/>
    <n v="2801"/>
    <n v="17.286701000000001"/>
    <n v="2"/>
    <x v="2"/>
    <x v="1893"/>
    <n v="19368.71"/>
    <n v="0"/>
    <s v="Byg 1 800231/1118660"/>
    <s v="74111808063"/>
    <n v="48421.78"/>
    <n v="0"/>
    <n v="58001"/>
  </r>
  <r>
    <x v="9"/>
    <s v="06157-9"/>
    <s v="Furesøbad"/>
    <n v="5489"/>
    <m/>
    <s v="Furesøbad"/>
    <x v="53"/>
    <x v="0"/>
    <x v="7"/>
    <n v="36415.230000000003"/>
    <n v="12"/>
    <m/>
    <n v="0"/>
    <n v="2801"/>
    <n v="13.000332"/>
    <n v="2"/>
    <x v="2"/>
    <x v="1894"/>
    <n v="14566.11"/>
    <n v="0"/>
    <s v="Byg 2 799430"/>
    <s v="74111885200"/>
    <n v="36415.232000000004"/>
    <n v="0"/>
    <n v="58091"/>
  </r>
  <r>
    <x v="9"/>
    <s v="06157-9"/>
    <s v="Furesøbad"/>
    <n v="5489"/>
    <m/>
    <s v="Furesøbad"/>
    <x v="53"/>
    <x v="0"/>
    <x v="7"/>
    <n v="7992.42"/>
    <n v="12"/>
    <m/>
    <n v="0"/>
    <n v="2801"/>
    <n v="2.8533140000000001"/>
    <n v="2"/>
    <x v="2"/>
    <x v="1895"/>
    <n v="3196.96"/>
    <n v="0"/>
    <s v="Byg 3 1019273"/>
    <s v="74114921226"/>
    <n v="7992.4179999999997"/>
    <n v="0"/>
    <n v="58094"/>
  </r>
  <r>
    <x v="9"/>
    <s v="06157-9"/>
    <s v="Furesøbad"/>
    <n v="6031"/>
    <m/>
    <s v="Manuel aflæsning"/>
    <x v="53"/>
    <x v="0"/>
    <x v="7"/>
    <n v="0"/>
    <n v="4"/>
    <s v="2015-05-05"/>
    <n v="0"/>
    <n v="0"/>
    <n v="0"/>
    <n v="2"/>
    <x v="2"/>
    <x v="1"/>
    <n v="0"/>
    <n v="0"/>
    <s v="813314"/>
    <m/>
    <n v="0"/>
    <n v="0"/>
    <n v="60687"/>
  </r>
  <r>
    <x v="9"/>
    <s v="06157-9"/>
    <s v="Furesøbad"/>
    <n v="6031"/>
    <m/>
    <s v="Manuel aflæsning"/>
    <x v="53"/>
    <x v="0"/>
    <x v="7"/>
    <n v="118606.13"/>
    <n v="4"/>
    <s v="2015-03-31"/>
    <n v="0"/>
    <n v="0"/>
    <n v="1186061.3"/>
    <n v="2"/>
    <x v="2"/>
    <x v="1896"/>
    <n v="47442.46"/>
    <n v="1"/>
    <s v="577109"/>
    <m/>
    <n v="118606.10725"/>
    <n v="0"/>
    <n v="60686"/>
  </r>
  <r>
    <x v="9"/>
    <s v="06157-9"/>
    <s v="Furesøbad"/>
    <n v="6031"/>
    <m/>
    <s v="Manuel aflæsning"/>
    <x v="53"/>
    <x v="0"/>
    <x v="7"/>
    <n v="2209.75"/>
    <n v="4"/>
    <s v="2015-05-05"/>
    <n v="0"/>
    <n v="0"/>
    <n v="22097.5"/>
    <n v="2"/>
    <x v="2"/>
    <x v="1897"/>
    <n v="883.89"/>
    <n v="1"/>
    <s v="0540 00081290"/>
    <m/>
    <n v="2209.7555499999999"/>
    <n v="0"/>
    <n v="62511"/>
  </r>
  <r>
    <x v="9"/>
    <m/>
    <s v="Hareskov Idræt, Birke 15"/>
    <n v="10207"/>
    <m/>
    <s v="Hareskov Idræt"/>
    <x v="82"/>
    <x v="0"/>
    <x v="7"/>
    <n v="55082.91"/>
    <n v="12"/>
    <s v="2011-12-31"/>
    <n v="0"/>
    <n v="505"/>
    <n v="109.05347399999999"/>
    <n v="1"/>
    <x v="4"/>
    <x v="1898"/>
    <n v="14071.62"/>
    <n v="0"/>
    <s v="1203709"/>
    <s v="98003448973"/>
    <n v="5100.2700000000004"/>
    <n v="0"/>
    <n v="77402"/>
  </r>
  <r>
    <x v="11"/>
    <m/>
    <s v="Jonstruphus -Jonstrupvangvej 159"/>
    <n v="10206"/>
    <m/>
    <s v="Jonstruphus"/>
    <x v="66"/>
    <x v="0"/>
    <x v="7"/>
    <n v="56912.33"/>
    <n v="12"/>
    <s v="2011-12-31"/>
    <n v="0"/>
    <n v="439"/>
    <n v="129.61131800000001"/>
    <n v="1"/>
    <x v="4"/>
    <x v="1899"/>
    <n v="14331.75"/>
    <n v="0"/>
    <s v="1203787"/>
    <s v="98004818263"/>
    <n v="5269.66"/>
    <n v="0"/>
    <n v="77398"/>
  </r>
  <r>
    <x v="9"/>
    <s v="06157-9"/>
    <s v="Furesøbad"/>
    <n v="6031"/>
    <m/>
    <s v="Manuel aflæsning"/>
    <x v="53"/>
    <x v="0"/>
    <x v="7"/>
    <n v="151094.29"/>
    <n v="5"/>
    <s v="2015-05-05"/>
    <n v="0"/>
    <n v="0"/>
    <n v="1510942.9"/>
    <n v="1"/>
    <x v="5"/>
    <x v="1900"/>
    <n v="22381.97"/>
    <n v="1"/>
    <s v="Måler efter fyret"/>
    <m/>
    <n v="151.09429"/>
    <n v="0"/>
    <n v="60628"/>
  </r>
  <r>
    <x v="9"/>
    <m/>
    <s v="Hareskov Idræt, Birke 15"/>
    <n v="10207"/>
    <m/>
    <s v="Hareskov Idræt"/>
    <x v="82"/>
    <x v="0"/>
    <x v="7"/>
    <n v="208.69"/>
    <n v="12"/>
    <s v="2011-11-30"/>
    <n v="0"/>
    <n v="505"/>
    <n v="0.413165"/>
    <n v="3"/>
    <x v="0"/>
    <x v="1901"/>
    <n v="166.96"/>
    <n v="0"/>
    <s v="02PC501277"/>
    <m/>
    <n v="208.691"/>
    <n v="0"/>
    <n v="77400"/>
  </r>
  <r>
    <x v="9"/>
    <m/>
    <s v="Hareskov Idræt, Birke 15"/>
    <n v="10207"/>
    <m/>
    <s v="Hareskov Idræt"/>
    <x v="82"/>
    <x v="0"/>
    <x v="7"/>
    <n v="13453.27"/>
    <n v="12"/>
    <s v="2011-11-30"/>
    <n v="0"/>
    <n v="505"/>
    <n v="26.634864"/>
    <n v="2"/>
    <x v="2"/>
    <x v="1902"/>
    <n v="4035.98"/>
    <n v="0"/>
    <s v="4160062"/>
    <s v="74110491822"/>
    <n v="13453.26"/>
    <n v="0"/>
    <n v="77399"/>
  </r>
  <r>
    <x v="2"/>
    <m/>
    <s v="Driftsgården"/>
    <n v="10124"/>
    <m/>
    <s v="Bygning 1"/>
    <x v="11"/>
    <x v="0"/>
    <x v="7"/>
    <n v="58918.11"/>
    <n v="12"/>
    <s v="2008-01-31"/>
    <n v="0"/>
    <n v="780"/>
    <n v="75.526354999999995"/>
    <n v="1"/>
    <x v="4"/>
    <x v="1903"/>
    <n v="15355.24"/>
    <n v="0"/>
    <s v="Afmeldt 1203849"/>
    <s v="98004052476"/>
    <n v="5455.38"/>
    <n v="0"/>
    <n v="77796"/>
  </r>
  <r>
    <x v="9"/>
    <s v="???????"/>
    <s v="Australsk Fodbold, Hvile 3A"/>
    <n v="6354"/>
    <m/>
    <s v="Australsk Fodbold"/>
    <x v="79"/>
    <x v="0"/>
    <x v="0"/>
    <n v="5653"/>
    <n v="5"/>
    <s v="2012-01-25"/>
    <n v="0"/>
    <n v="196"/>
    <n v="20.790413000000001"/>
    <n v="1"/>
    <x v="5"/>
    <x v="1904"/>
    <n v="305.81"/>
    <n v="0"/>
    <s v="6637874"/>
    <m/>
    <n v="4.077"/>
    <n v="0"/>
    <n v="62636"/>
  </r>
  <r>
    <x v="9"/>
    <s v="???????"/>
    <s v="Australsk Fodbold, Hvile 3A"/>
    <n v="6354"/>
    <m/>
    <s v="Australsk Fodbold"/>
    <x v="79"/>
    <x v="0"/>
    <x v="1"/>
    <n v="8678"/>
    <n v="12"/>
    <s v="2012-01-25"/>
    <n v="0"/>
    <n v="196"/>
    <n v="44.252932000000001"/>
    <n v="1"/>
    <x v="5"/>
    <x v="1905"/>
    <n v="577.52"/>
    <n v="0"/>
    <s v="6637874"/>
    <m/>
    <n v="8.6780000000000008"/>
    <n v="0"/>
    <n v="62636"/>
  </r>
  <r>
    <x v="9"/>
    <s v="???????"/>
    <s v="Australsk Fodbold, Hvile 3A"/>
    <n v="6354"/>
    <m/>
    <s v="Australsk Fodbold"/>
    <x v="79"/>
    <x v="0"/>
    <x v="2"/>
    <n v="11491.61"/>
    <n v="14"/>
    <s v="2012-01-25"/>
    <n v="0"/>
    <n v="196"/>
    <n v="58.600763999999998"/>
    <n v="1"/>
    <x v="5"/>
    <x v="1906"/>
    <n v="2254.5500000000002"/>
    <n v="0"/>
    <s v="6637874"/>
    <m/>
    <n v="11.49161"/>
    <n v="0"/>
    <n v="62636"/>
  </r>
  <r>
    <x v="9"/>
    <s v="???????"/>
    <s v="Australsk Fodbold, Hvile 3A"/>
    <n v="6354"/>
    <m/>
    <s v="Australsk Fodbold"/>
    <x v="79"/>
    <x v="0"/>
    <x v="3"/>
    <n v="9479.58"/>
    <n v="9"/>
    <s v="2012-01-25"/>
    <n v="0"/>
    <n v="196"/>
    <n v="48.340539999999997"/>
    <n v="1"/>
    <x v="5"/>
    <x v="1907"/>
    <n v="1989.05"/>
    <n v="0"/>
    <s v="6637874"/>
    <m/>
    <n v="9.4795800000000003"/>
    <n v="0"/>
    <n v="62636"/>
  </r>
  <r>
    <x v="9"/>
    <s v="???????"/>
    <s v="Australsk Fodbold, Hvile 3A"/>
    <n v="6354"/>
    <m/>
    <s v="Australsk Fodbold"/>
    <x v="79"/>
    <x v="0"/>
    <x v="4"/>
    <n v="9340.2000000000007"/>
    <n v="4"/>
    <s v="2012-01-25"/>
    <n v="0"/>
    <n v="196"/>
    <n v="47.629779999999997"/>
    <n v="1"/>
    <x v="5"/>
    <x v="1908"/>
    <n v="1752.16"/>
    <n v="0"/>
    <s v="6637874"/>
    <m/>
    <n v="9.3401999999999994"/>
    <n v="0"/>
    <n v="62636"/>
  </r>
  <r>
    <x v="9"/>
    <s v="???????"/>
    <s v="Australsk Fodbold, Hvile 3A"/>
    <n v="6354"/>
    <m/>
    <s v="Australsk Fodbold"/>
    <x v="79"/>
    <x v="0"/>
    <x v="5"/>
    <n v="11774.56"/>
    <n v="6"/>
    <s v="2012-01-25"/>
    <n v="0"/>
    <n v="196"/>
    <n v="60.043650999999997"/>
    <n v="1"/>
    <x v="5"/>
    <x v="1909"/>
    <n v="2891.49"/>
    <n v="0"/>
    <s v="6637874"/>
    <m/>
    <n v="11.774559999999999"/>
    <n v="0"/>
    <n v="62636"/>
  </r>
  <r>
    <x v="9"/>
    <s v="???????"/>
    <s v="Australsk Fodbold, Hvile 3A"/>
    <n v="6354"/>
    <m/>
    <s v="Australsk Fodbold"/>
    <x v="79"/>
    <x v="0"/>
    <x v="6"/>
    <n v="11488.58"/>
    <n v="12"/>
    <s v="2012-01-25"/>
    <n v="0"/>
    <n v="196"/>
    <n v="58.585312999999999"/>
    <n v="1"/>
    <x v="5"/>
    <x v="1910"/>
    <n v="2411.23"/>
    <n v="0"/>
    <s v="6637874"/>
    <m/>
    <n v="11.488580000000001"/>
    <n v="0"/>
    <n v="62636"/>
  </r>
  <r>
    <x v="9"/>
    <m/>
    <s v="Det Røde Hus, Poppel 14"/>
    <n v="10231"/>
    <m/>
    <s v="Det Røde Hus"/>
    <x v="81"/>
    <x v="0"/>
    <x v="0"/>
    <n v="52001"/>
    <n v="5"/>
    <s v="2011-10-31"/>
    <n v="0"/>
    <n v="449"/>
    <n v="66.323757999999998"/>
    <n v="1"/>
    <x v="5"/>
    <x v="1911"/>
    <n v="2169.15"/>
    <n v="0"/>
    <s v="2772362/06"/>
    <m/>
    <n v="29.786000000000001"/>
    <n v="0"/>
    <n v="77513"/>
  </r>
  <r>
    <x v="9"/>
    <m/>
    <s v="Det Røde Hus, Poppel 14"/>
    <n v="10231"/>
    <m/>
    <s v="Det Røde Hus"/>
    <x v="81"/>
    <x v="1"/>
    <x v="0"/>
    <n v="29814.9"/>
    <n v="5"/>
    <m/>
    <n v="0"/>
    <n v="449"/>
    <n v="66.388109"/>
    <n v="1"/>
    <x v="3"/>
    <x v="1912"/>
    <n v="4209.66"/>
    <n v="1"/>
    <s v="2772362"/>
    <m/>
    <n v="854.54"/>
    <n v="0"/>
    <n v="89939"/>
  </r>
  <r>
    <x v="9"/>
    <m/>
    <s v="Det Røde Hus, Poppel 14"/>
    <n v="10231"/>
    <m/>
    <s v="Det Røde Hus"/>
    <x v="81"/>
    <x v="1"/>
    <x v="1"/>
    <n v="77265.64"/>
    <n v="12"/>
    <m/>
    <n v="0"/>
    <n v="449"/>
    <n v="172.045513"/>
    <n v="1"/>
    <x v="3"/>
    <x v="1913"/>
    <n v="10129.35"/>
    <n v="1"/>
    <s v="2772362"/>
    <m/>
    <n v="2214.5500000000002"/>
    <n v="0"/>
    <n v="89939"/>
  </r>
  <r>
    <x v="9"/>
    <m/>
    <s v="Det Røde Hus, Poppel 14"/>
    <n v="10231"/>
    <m/>
    <s v="Det Røde Hus"/>
    <x v="81"/>
    <x v="0"/>
    <x v="1"/>
    <n v="57674"/>
    <n v="12"/>
    <s v="2011-10-31"/>
    <n v="0"/>
    <n v="449"/>
    <n v="128.42128700000001"/>
    <n v="1"/>
    <x v="5"/>
    <x v="1914"/>
    <n v="3884.95"/>
    <n v="0"/>
    <s v="2772362/06"/>
    <m/>
    <n v="57.673999999999999"/>
    <n v="0"/>
    <n v="77513"/>
  </r>
  <r>
    <x v="9"/>
    <m/>
    <s v="Det Røde Hus, Poppel 14"/>
    <n v="10231"/>
    <m/>
    <s v="Det Røde Hus"/>
    <x v="81"/>
    <x v="1"/>
    <x v="2"/>
    <n v="130314.84"/>
    <n v="12"/>
    <m/>
    <n v="0"/>
    <n v="449"/>
    <n v="290.16887100000002"/>
    <n v="1"/>
    <x v="3"/>
    <x v="1915"/>
    <n v="17868.650000000001"/>
    <n v="1"/>
    <s v="2772362"/>
    <m/>
    <n v="3735.02"/>
    <n v="0"/>
    <n v="89939"/>
  </r>
  <r>
    <x v="9"/>
    <m/>
    <s v="Det Røde Hus, Poppel 14"/>
    <n v="10231"/>
    <m/>
    <s v="Det Røde Hus"/>
    <x v="81"/>
    <x v="0"/>
    <x v="2"/>
    <n v="64221"/>
    <n v="12"/>
    <s v="2011-10-31"/>
    <n v="0"/>
    <n v="449"/>
    <n v="142.99933100000001"/>
    <n v="1"/>
    <x v="5"/>
    <x v="1916"/>
    <n v="12608.45"/>
    <n v="0"/>
    <s v="2772362/06"/>
    <m/>
    <n v="64.221000000000004"/>
    <n v="0"/>
    <n v="77513"/>
  </r>
  <r>
    <x v="9"/>
    <m/>
    <s v="Det Røde Hus, Poppel 14"/>
    <n v="10231"/>
    <m/>
    <s v="Det Røde Hus"/>
    <x v="81"/>
    <x v="0"/>
    <x v="3"/>
    <n v="63197.06"/>
    <n v="13"/>
    <s v="2011-10-31"/>
    <n v="0"/>
    <n v="449"/>
    <n v="140.71934899999999"/>
    <n v="1"/>
    <x v="5"/>
    <x v="1917"/>
    <n v="13051.51"/>
    <n v="0"/>
    <s v="2772362/06"/>
    <m/>
    <n v="63.19706"/>
    <n v="0"/>
    <n v="77513"/>
  </r>
  <r>
    <x v="9"/>
    <m/>
    <s v="Det Røde Hus, Poppel 14"/>
    <n v="10231"/>
    <m/>
    <s v="Det Røde Hus"/>
    <x v="81"/>
    <x v="1"/>
    <x v="3"/>
    <n v="35099.339999999997"/>
    <n v="12"/>
    <m/>
    <n v="0"/>
    <n v="449"/>
    <n v="78.154843"/>
    <n v="1"/>
    <x v="3"/>
    <x v="1918"/>
    <n v="5078.6000000000004"/>
    <n v="1"/>
    <s v="2772362"/>
    <m/>
    <n v="1006"/>
    <n v="0"/>
    <n v="89939"/>
  </r>
  <r>
    <x v="9"/>
    <m/>
    <s v="Det Røde Hus, Poppel 14"/>
    <n v="10231"/>
    <m/>
    <s v="Det Røde Hus"/>
    <x v="81"/>
    <x v="0"/>
    <x v="4"/>
    <n v="78157.38"/>
    <n v="12"/>
    <s v="2011-10-31"/>
    <n v="0"/>
    <n v="449"/>
    <n v="174.031128"/>
    <n v="1"/>
    <x v="5"/>
    <x v="1919"/>
    <n v="13134.19"/>
    <n v="0"/>
    <s v="2772362/06"/>
    <m/>
    <n v="78.157380000000003"/>
    <n v="0"/>
    <n v="77513"/>
  </r>
  <r>
    <x v="9"/>
    <m/>
    <s v="Det Røde Hus, Poppel 14"/>
    <n v="10231"/>
    <m/>
    <s v="Det Røde Hus"/>
    <x v="81"/>
    <x v="1"/>
    <x v="4"/>
    <n v="0"/>
    <n v="12"/>
    <m/>
    <n v="0"/>
    <n v="449"/>
    <n v="0"/>
    <n v="1"/>
    <x v="3"/>
    <x v="1"/>
    <n v="0"/>
    <n v="1"/>
    <s v="2772362"/>
    <m/>
    <n v="0"/>
    <n v="0"/>
    <n v="89939"/>
  </r>
  <r>
    <x v="9"/>
    <m/>
    <s v="Det Røde Hus, Poppel 14"/>
    <n v="10231"/>
    <m/>
    <s v="Det Røde Hus"/>
    <x v="81"/>
    <x v="1"/>
    <x v="5"/>
    <n v="0"/>
    <n v="12"/>
    <m/>
    <n v="0"/>
    <n v="449"/>
    <n v="0"/>
    <n v="1"/>
    <x v="3"/>
    <x v="1"/>
    <n v="0"/>
    <n v="1"/>
    <s v="2772362"/>
    <m/>
    <n v="0"/>
    <n v="0"/>
    <n v="89939"/>
  </r>
  <r>
    <x v="9"/>
    <m/>
    <s v="Det Røde Hus, Poppel 14"/>
    <n v="10231"/>
    <m/>
    <s v="Det Røde Hus"/>
    <x v="81"/>
    <x v="0"/>
    <x v="5"/>
    <n v="78606.039999999994"/>
    <n v="11"/>
    <s v="2011-10-31"/>
    <n v="0"/>
    <n v="449"/>
    <n v="175.03014899999999"/>
    <n v="1"/>
    <x v="5"/>
    <x v="1920"/>
    <n v="16261.35"/>
    <n v="0"/>
    <s v="2772362/06"/>
    <m/>
    <n v="78.606039999999993"/>
    <n v="0"/>
    <n v="77513"/>
  </r>
  <r>
    <x v="9"/>
    <m/>
    <s v="Det Røde Hus, Poppel 14"/>
    <n v="10231"/>
    <m/>
    <s v="Det Røde Hus"/>
    <x v="81"/>
    <x v="1"/>
    <x v="6"/>
    <n v="0"/>
    <n v="12"/>
    <m/>
    <n v="0"/>
    <n v="449"/>
    <n v="0"/>
    <n v="1"/>
    <x v="3"/>
    <x v="1"/>
    <n v="0"/>
    <n v="1"/>
    <s v="2772362"/>
    <m/>
    <n v="0"/>
    <n v="0"/>
    <n v="89939"/>
  </r>
  <r>
    <x v="9"/>
    <m/>
    <s v="Det Røde Hus, Poppel 14"/>
    <n v="10231"/>
    <m/>
    <s v="Det Røde Hus"/>
    <x v="81"/>
    <x v="0"/>
    <x v="6"/>
    <n v="77172.81"/>
    <n v="10"/>
    <s v="2011-10-31"/>
    <n v="0"/>
    <n v="449"/>
    <n v="171.83881"/>
    <n v="1"/>
    <x v="5"/>
    <x v="1921"/>
    <n v="16634.830000000002"/>
    <n v="0"/>
    <s v="2772362/06"/>
    <m/>
    <n v="77.172809999999998"/>
    <n v="0"/>
    <n v="77513"/>
  </r>
  <r>
    <x v="9"/>
    <s v="06157-9"/>
    <s v="Furesøbad"/>
    <n v="5489"/>
    <m/>
    <s v="Furesøbad"/>
    <x v="53"/>
    <x v="1"/>
    <x v="0"/>
    <n v="0"/>
    <n v="5"/>
    <m/>
    <n v="0"/>
    <n v="2801"/>
    <n v="39.717596"/>
    <n v="1"/>
    <x v="4"/>
    <x v="1"/>
    <n v="26206.49"/>
    <n v="0"/>
    <s v="-525481"/>
    <s v="98004940469"/>
    <n v="10301.200000000001"/>
    <n v="0"/>
    <n v="58006"/>
  </r>
  <r>
    <x v="9"/>
    <s v="06157-9"/>
    <s v="Furesøbad"/>
    <n v="5489"/>
    <m/>
    <s v="Furesøbad"/>
    <x v="53"/>
    <x v="0"/>
    <x v="1"/>
    <n v="234584.64"/>
    <n v="12"/>
    <m/>
    <n v="0"/>
    <n v="2801"/>
    <n v="83.747326999999999"/>
    <n v="1"/>
    <x v="4"/>
    <x v="1922"/>
    <n v="59746.78"/>
    <n v="0"/>
    <s v="-525481"/>
    <s v="98004940469"/>
    <n v="21720.799999999999"/>
    <n v="0"/>
    <n v="58006"/>
  </r>
  <r>
    <x v="9"/>
    <s v="06157-9"/>
    <s v="Furesøbad"/>
    <n v="5489"/>
    <m/>
    <s v="Furesøbad"/>
    <x v="53"/>
    <x v="0"/>
    <x v="2"/>
    <n v="246387.96"/>
    <n v="12"/>
    <m/>
    <n v="0"/>
    <n v="2801"/>
    <n v="87.961143000000007"/>
    <n v="1"/>
    <x v="4"/>
    <x v="1923"/>
    <n v="56091.37"/>
    <n v="0"/>
    <s v="-525481"/>
    <s v="98004940469"/>
    <n v="22813.7"/>
    <n v="0"/>
    <n v="58006"/>
  </r>
  <r>
    <x v="9"/>
    <s v="06157-9"/>
    <s v="Furesøbad"/>
    <n v="5489"/>
    <m/>
    <s v="Furesøbad"/>
    <x v="53"/>
    <x v="0"/>
    <x v="3"/>
    <n v="242751.84"/>
    <n v="12"/>
    <m/>
    <n v="0"/>
    <n v="2801"/>
    <n v="86.663038999999998"/>
    <n v="1"/>
    <x v="4"/>
    <x v="1924"/>
    <n v="59972.44"/>
    <n v="0"/>
    <s v="-525481"/>
    <s v="98004940469"/>
    <n v="22477.023000000001"/>
    <n v="0"/>
    <n v="58006"/>
  </r>
  <r>
    <x v="9"/>
    <s v="06157-9"/>
    <s v="Furesøbad"/>
    <n v="5489"/>
    <m/>
    <s v="Furesøbad"/>
    <x v="53"/>
    <x v="0"/>
    <x v="4"/>
    <n v="284970.71999999997"/>
    <n v="12"/>
    <m/>
    <n v="0"/>
    <n v="2801"/>
    <n v="101.73528899999999"/>
    <n v="1"/>
    <x v="4"/>
    <x v="1925"/>
    <n v="74441.539999999994"/>
    <n v="0"/>
    <s v="-525481"/>
    <s v="98004940469"/>
    <n v="26386.178"/>
    <n v="0"/>
    <n v="58006"/>
  </r>
  <r>
    <x v="9"/>
    <s v="06157-9"/>
    <s v="Furesøbad"/>
    <n v="5489"/>
    <m/>
    <s v="Furesøbad"/>
    <x v="53"/>
    <x v="0"/>
    <x v="5"/>
    <n v="255852"/>
    <n v="12"/>
    <m/>
    <n v="0"/>
    <n v="2801"/>
    <n v="91.339830000000006"/>
    <n v="1"/>
    <x v="4"/>
    <x v="1926"/>
    <n v="63551.19"/>
    <n v="0"/>
    <s v="-525481"/>
    <s v="98004940469"/>
    <n v="23690"/>
    <n v="0"/>
    <n v="58006"/>
  </r>
  <r>
    <x v="9"/>
    <s v="06157-9"/>
    <s v="Furesøbad"/>
    <n v="5489"/>
    <m/>
    <s v="Furesøbad"/>
    <x v="53"/>
    <x v="0"/>
    <x v="6"/>
    <n v="238377.60000000001"/>
    <n v="12"/>
    <m/>
    <n v="0"/>
    <n v="2801"/>
    <n v="85.101423999999994"/>
    <n v="1"/>
    <x v="4"/>
    <x v="1927"/>
    <n v="59886.89"/>
    <n v="0"/>
    <s v="-525481"/>
    <s v="98004940469"/>
    <n v="22072"/>
    <n v="0"/>
    <n v="58006"/>
  </r>
  <r>
    <x v="9"/>
    <s v="06157-9"/>
    <s v="Furesøbad"/>
    <n v="6031"/>
    <m/>
    <s v="Manuel aflæsning"/>
    <x v="53"/>
    <x v="1"/>
    <x v="0"/>
    <n v="0"/>
    <n v="4"/>
    <s v="2015-05-05"/>
    <n v="0"/>
    <n v="0"/>
    <n v="377098.4"/>
    <n v="1"/>
    <x v="1"/>
    <x v="1"/>
    <n v="5340.36"/>
    <n v="1"/>
    <s v="4959412"/>
    <m/>
    <n v="37709.833319999998"/>
    <n v="0"/>
    <n v="60629"/>
  </r>
  <r>
    <x v="9"/>
    <s v="06157-9"/>
    <s v="Furesøbad"/>
    <n v="6031"/>
    <m/>
    <s v="Manuel aflæsning"/>
    <x v="53"/>
    <x v="1"/>
    <x v="0"/>
    <n v="0"/>
    <n v="4"/>
    <s v="2015-05-05"/>
    <n v="0"/>
    <n v="0"/>
    <n v="39639.599999999999"/>
    <n v="1"/>
    <x v="4"/>
    <x v="1"/>
    <n v="901.78"/>
    <n v="1"/>
    <s v="-1528401"/>
    <m/>
    <n v="367.03334000000001"/>
    <n v="0"/>
    <n v="60685"/>
  </r>
  <r>
    <x v="9"/>
    <s v="06157-9"/>
    <s v="Furesøbad"/>
    <n v="6031"/>
    <m/>
    <s v="Manuel aflæsning"/>
    <x v="53"/>
    <x v="1"/>
    <x v="0"/>
    <n v="0"/>
    <n v="4"/>
    <s v="2015-05-05"/>
    <n v="0"/>
    <n v="0"/>
    <n v="43081.9"/>
    <n v="1"/>
    <x v="1"/>
    <x v="1"/>
    <n v="610.73"/>
    <n v="1"/>
    <s v="Varme Privat"/>
    <m/>
    <n v="4308.1888900000004"/>
    <n v="0"/>
    <n v="60630"/>
  </r>
  <r>
    <x v="9"/>
    <s v="06157-9"/>
    <s v="Furesøbad"/>
    <n v="6031"/>
    <m/>
    <s v="Manuel aflæsning"/>
    <x v="53"/>
    <x v="1"/>
    <x v="0"/>
    <n v="0"/>
    <n v="4"/>
    <s v="2015-05-05"/>
    <n v="0"/>
    <n v="0"/>
    <n v="862906.6"/>
    <n v="1"/>
    <x v="5"/>
    <x v="1"/>
    <n v="12259.84"/>
    <n v="1"/>
    <s v="Måler efter fyret"/>
    <m/>
    <n v="86.290660000000003"/>
    <n v="0"/>
    <n v="60628"/>
  </r>
  <r>
    <x v="9"/>
    <s v="06157-9"/>
    <s v="Furesøbad"/>
    <n v="6031"/>
    <m/>
    <s v="Manuel aflæsning"/>
    <x v="53"/>
    <x v="0"/>
    <x v="1"/>
    <n v="77486.02"/>
    <n v="11"/>
    <s v="2015-05-05"/>
    <n v="0"/>
    <n v="0"/>
    <n v="774860.2"/>
    <n v="1"/>
    <x v="1"/>
    <x v="1928"/>
    <n v="12095.34"/>
    <n v="1"/>
    <s v="4959412"/>
    <m/>
    <n v="77486.017619999999"/>
    <n v="0"/>
    <n v="60629"/>
  </r>
  <r>
    <x v="9"/>
    <s v="06157-9"/>
    <s v="Furesøbad"/>
    <n v="6031"/>
    <m/>
    <s v="Manuel aflæsning"/>
    <x v="53"/>
    <x v="0"/>
    <x v="1"/>
    <n v="5428.81"/>
    <n v="10"/>
    <s v="2015-05-05"/>
    <n v="0"/>
    <n v="0"/>
    <n v="54288.1"/>
    <n v="1"/>
    <x v="4"/>
    <x v="1929"/>
    <n v="1856.13"/>
    <n v="1"/>
    <s v="-1528401"/>
    <m/>
    <n v="502.66813000000002"/>
    <n v="0"/>
    <n v="60685"/>
  </r>
  <r>
    <x v="9"/>
    <s v="06157-9"/>
    <s v="Furesøbad"/>
    <n v="6031"/>
    <m/>
    <s v="Manuel aflæsning"/>
    <x v="53"/>
    <x v="0"/>
    <x v="1"/>
    <n v="7166.56"/>
    <n v="11"/>
    <s v="2015-05-05"/>
    <n v="0"/>
    <n v="0"/>
    <n v="71665.600000000006"/>
    <n v="1"/>
    <x v="1"/>
    <x v="1930"/>
    <n v="950.13"/>
    <n v="1"/>
    <s v="Varme Privat"/>
    <m/>
    <n v="7166.5509599999996"/>
    <n v="0"/>
    <n v="60630"/>
  </r>
  <r>
    <x v="9"/>
    <s v="06157-9"/>
    <s v="Furesøbad"/>
    <n v="6031"/>
    <m/>
    <s v="Manuel aflæsning"/>
    <x v="53"/>
    <x v="0"/>
    <x v="1"/>
    <n v="170263.15"/>
    <n v="11"/>
    <s v="2015-05-05"/>
    <n v="0"/>
    <n v="0"/>
    <n v="1702631.5"/>
    <n v="1"/>
    <x v="5"/>
    <x v="1931"/>
    <n v="24727.96"/>
    <n v="1"/>
    <s v="Måler efter fyret"/>
    <m/>
    <n v="170.26315"/>
    <n v="0"/>
    <n v="60628"/>
  </r>
  <r>
    <x v="9"/>
    <s v="06157-9"/>
    <s v="Furesøbad"/>
    <n v="6031"/>
    <m/>
    <s v="Manuel aflæsning"/>
    <x v="53"/>
    <x v="0"/>
    <x v="2"/>
    <n v="189746.55"/>
    <n v="10"/>
    <s v="2015-05-05"/>
    <n v="0"/>
    <n v="0"/>
    <n v="1897465.5"/>
    <n v="1"/>
    <x v="5"/>
    <x v="1932"/>
    <n v="25458.46"/>
    <n v="1"/>
    <s v="Måler efter fyret"/>
    <m/>
    <n v="189.74655000000001"/>
    <n v="0"/>
    <n v="60628"/>
  </r>
  <r>
    <x v="9"/>
    <s v="06157-9"/>
    <s v="Furesøbad"/>
    <n v="6031"/>
    <m/>
    <s v="Manuel aflæsning"/>
    <x v="53"/>
    <x v="0"/>
    <x v="2"/>
    <n v="74443.47"/>
    <n v="10"/>
    <s v="2015-05-05"/>
    <n v="0"/>
    <n v="0"/>
    <n v="744434.7"/>
    <n v="1"/>
    <x v="1"/>
    <x v="1933"/>
    <n v="10210.69"/>
    <n v="1"/>
    <s v="4959412"/>
    <m/>
    <n v="74443.474979999999"/>
    <n v="0"/>
    <n v="60629"/>
  </r>
  <r>
    <x v="9"/>
    <s v="06157-9"/>
    <s v="Furesøbad"/>
    <n v="6031"/>
    <m/>
    <s v="Manuel aflæsning"/>
    <x v="53"/>
    <x v="0"/>
    <x v="2"/>
    <n v="8205.42"/>
    <n v="10"/>
    <s v="2015-05-05"/>
    <n v="0"/>
    <n v="0"/>
    <n v="82054.2"/>
    <n v="1"/>
    <x v="1"/>
    <x v="1934"/>
    <n v="1098.76"/>
    <n v="1"/>
    <s v="Varme Privat"/>
    <m/>
    <n v="8205.4145900000003"/>
    <n v="0"/>
    <n v="60630"/>
  </r>
  <r>
    <x v="9"/>
    <s v="06157-9"/>
    <s v="Furesøbad"/>
    <n v="6031"/>
    <m/>
    <s v="Manuel aflæsning"/>
    <x v="53"/>
    <x v="0"/>
    <x v="2"/>
    <n v="5414.82"/>
    <n v="10"/>
    <s v="2015-05-05"/>
    <n v="0"/>
    <n v="0"/>
    <n v="54148.2"/>
    <n v="1"/>
    <x v="4"/>
    <x v="1935"/>
    <n v="1297.32"/>
    <n v="1"/>
    <s v="-1528401"/>
    <m/>
    <n v="501.37186000000003"/>
    <n v="0"/>
    <n v="60685"/>
  </r>
  <r>
    <x v="9"/>
    <s v="06157-9"/>
    <s v="Furesøbad"/>
    <n v="6031"/>
    <m/>
    <s v="Manuel aflæsning"/>
    <x v="53"/>
    <x v="0"/>
    <x v="3"/>
    <n v="7194.19"/>
    <n v="11"/>
    <s v="2015-05-05"/>
    <n v="0"/>
    <n v="0"/>
    <n v="71941.899999999994"/>
    <n v="1"/>
    <x v="1"/>
    <x v="1936"/>
    <n v="964.55"/>
    <n v="1"/>
    <s v="Varme Privat"/>
    <m/>
    <n v="7194.1892500000004"/>
    <n v="0"/>
    <n v="60630"/>
  </r>
  <r>
    <x v="9"/>
    <s v="06157-9"/>
    <s v="Furesøbad"/>
    <n v="6031"/>
    <m/>
    <s v="Manuel aflæsning"/>
    <x v="53"/>
    <x v="0"/>
    <x v="3"/>
    <n v="186642.43"/>
    <n v="11"/>
    <s v="2015-05-05"/>
    <n v="0"/>
    <n v="0"/>
    <n v="1866424.3"/>
    <n v="1"/>
    <x v="5"/>
    <x v="1937"/>
    <n v="25660.400000000001"/>
    <n v="1"/>
    <s v="Måler efter fyret"/>
    <m/>
    <n v="186.64242999999999"/>
    <n v="0"/>
    <n v="60628"/>
  </r>
  <r>
    <x v="9"/>
    <s v="06157-9"/>
    <s v="Furesøbad"/>
    <n v="6031"/>
    <m/>
    <s v="Manuel aflæsning"/>
    <x v="53"/>
    <x v="0"/>
    <x v="3"/>
    <n v="75121.56"/>
    <n v="11"/>
    <s v="2015-05-05"/>
    <n v="0"/>
    <n v="0"/>
    <n v="751215.6"/>
    <n v="1"/>
    <x v="1"/>
    <x v="1938"/>
    <n v="10495.25"/>
    <n v="1"/>
    <s v="4959412"/>
    <m/>
    <n v="75121.561289999998"/>
    <n v="0"/>
    <n v="60629"/>
  </r>
  <r>
    <x v="9"/>
    <s v="06157-9"/>
    <s v="Furesøbad"/>
    <n v="6031"/>
    <m/>
    <s v="Manuel aflæsning"/>
    <x v="53"/>
    <x v="0"/>
    <x v="3"/>
    <n v="5977.19"/>
    <n v="11"/>
    <s v="2015-05-05"/>
    <n v="0"/>
    <n v="0"/>
    <n v="59771.9"/>
    <n v="1"/>
    <x v="4"/>
    <x v="1939"/>
    <n v="1532.11"/>
    <n v="1"/>
    <s v="-1528401"/>
    <m/>
    <n v="553.44321000000002"/>
    <n v="0"/>
    <n v="60685"/>
  </r>
  <r>
    <x v="9"/>
    <s v="06157-9"/>
    <s v="Furesøbad"/>
    <n v="6031"/>
    <m/>
    <s v="Manuel aflæsning"/>
    <x v="53"/>
    <x v="0"/>
    <x v="4"/>
    <n v="9969.89"/>
    <n v="12"/>
    <s v="2015-05-05"/>
    <n v="0"/>
    <n v="0"/>
    <n v="99698.9"/>
    <n v="1"/>
    <x v="1"/>
    <x v="1940"/>
    <n v="1137.03"/>
    <n v="1"/>
    <s v="Varme Privat"/>
    <m/>
    <n v="9969.8879500000003"/>
    <n v="0"/>
    <n v="60630"/>
  </r>
  <r>
    <x v="9"/>
    <s v="06157-9"/>
    <s v="Furesøbad"/>
    <n v="6031"/>
    <m/>
    <s v="Manuel aflæsning"/>
    <x v="53"/>
    <x v="0"/>
    <x v="4"/>
    <n v="227672.91"/>
    <n v="12"/>
    <s v="2015-05-05"/>
    <n v="0"/>
    <n v="0"/>
    <n v="2276729.1"/>
    <n v="1"/>
    <x v="5"/>
    <x v="1941"/>
    <n v="27425.74"/>
    <n v="1"/>
    <s v="Måler efter fyret"/>
    <m/>
    <n v="227.67291"/>
    <n v="0"/>
    <n v="60628"/>
  </r>
  <r>
    <x v="9"/>
    <s v="06157-9"/>
    <s v="Furesøbad"/>
    <n v="6031"/>
    <m/>
    <s v="Manuel aflæsning"/>
    <x v="53"/>
    <x v="0"/>
    <x v="4"/>
    <n v="83202.95"/>
    <n v="12"/>
    <s v="2015-05-05"/>
    <n v="0"/>
    <n v="0"/>
    <n v="832029.5"/>
    <n v="1"/>
    <x v="1"/>
    <x v="1942"/>
    <n v="11672.67"/>
    <n v="1"/>
    <s v="4959412"/>
    <m/>
    <n v="83202.943969999993"/>
    <n v="0"/>
    <n v="60629"/>
  </r>
  <r>
    <x v="9"/>
    <s v="06157-9"/>
    <s v="Furesøbad"/>
    <n v="6031"/>
    <m/>
    <s v="Manuel aflæsning"/>
    <x v="53"/>
    <x v="0"/>
    <x v="4"/>
    <n v="7232.57"/>
    <n v="11"/>
    <s v="2015-05-05"/>
    <n v="0"/>
    <n v="0"/>
    <n v="72325.7"/>
    <n v="1"/>
    <x v="4"/>
    <x v="1943"/>
    <n v="2300.34"/>
    <n v="1"/>
    <s v="-1528401"/>
    <m/>
    <n v="669.68308999999999"/>
    <n v="0"/>
    <n v="60685"/>
  </r>
  <r>
    <x v="9"/>
    <s v="06157-9"/>
    <s v="Furesøbad"/>
    <n v="6031"/>
    <m/>
    <s v="Manuel aflæsning"/>
    <x v="53"/>
    <x v="0"/>
    <x v="5"/>
    <n v="7410.39"/>
    <n v="12"/>
    <s v="2015-05-05"/>
    <n v="0"/>
    <n v="0"/>
    <n v="74103.899999999994"/>
    <n v="1"/>
    <x v="1"/>
    <x v="1944"/>
    <n v="990.53"/>
    <n v="1"/>
    <s v="Varme Privat"/>
    <m/>
    <n v="7410.3777"/>
    <n v="0"/>
    <n v="60630"/>
  </r>
  <r>
    <x v="9"/>
    <s v="06157-9"/>
    <s v="Furesøbad"/>
    <n v="6031"/>
    <m/>
    <s v="Manuel aflæsning"/>
    <x v="53"/>
    <x v="0"/>
    <x v="5"/>
    <n v="200189.41"/>
    <n v="12"/>
    <s v="2015-05-05"/>
    <n v="0"/>
    <n v="0"/>
    <n v="2001894.1"/>
    <n v="1"/>
    <x v="5"/>
    <x v="1945"/>
    <n v="27997.11"/>
    <n v="1"/>
    <s v="Måler efter fyret"/>
    <m/>
    <n v="200.18941000000001"/>
    <n v="0"/>
    <n v="60628"/>
  </r>
  <r>
    <x v="9"/>
    <s v="06157-9"/>
    <s v="Furesøbad"/>
    <n v="6031"/>
    <m/>
    <s v="Manuel aflæsning"/>
    <x v="53"/>
    <x v="0"/>
    <x v="5"/>
    <n v="78841.69"/>
    <n v="12"/>
    <s v="2015-05-05"/>
    <n v="0"/>
    <n v="0"/>
    <n v="788416.9"/>
    <n v="1"/>
    <x v="1"/>
    <x v="1946"/>
    <n v="11763.58"/>
    <n v="1"/>
    <s v="4959412"/>
    <m/>
    <n v="78841.688850000006"/>
    <n v="0"/>
    <n v="60629"/>
  </r>
  <r>
    <x v="9"/>
    <s v="06157-9"/>
    <s v="Furesøbad"/>
    <n v="6031"/>
    <m/>
    <s v="Manuel aflæsning"/>
    <x v="53"/>
    <x v="0"/>
    <x v="5"/>
    <n v="13554.09"/>
    <n v="12"/>
    <s v="2015-05-05"/>
    <n v="0"/>
    <n v="0"/>
    <n v="135540.9"/>
    <n v="1"/>
    <x v="4"/>
    <x v="1947"/>
    <n v="4266.09"/>
    <n v="1"/>
    <s v="-1528401"/>
    <m/>
    <n v="1255.0089700000001"/>
    <n v="0"/>
    <n v="60685"/>
  </r>
  <r>
    <x v="9"/>
    <s v="06157-9"/>
    <s v="Furesøbad"/>
    <n v="6031"/>
    <m/>
    <s v="Manuel aflæsning"/>
    <x v="53"/>
    <x v="0"/>
    <x v="6"/>
    <n v="58968.24"/>
    <n v="12"/>
    <s v="2015-05-05"/>
    <n v="0"/>
    <n v="0"/>
    <n v="589682.4"/>
    <n v="1"/>
    <x v="1"/>
    <x v="1948"/>
    <n v="8538.83"/>
    <n v="1"/>
    <s v="4959412"/>
    <m/>
    <n v="58968.238140000001"/>
    <n v="0"/>
    <n v="60629"/>
  </r>
  <r>
    <x v="9"/>
    <s v="06157-9"/>
    <s v="Furesøbad"/>
    <n v="6031"/>
    <m/>
    <s v="Manuel aflæsning"/>
    <x v="53"/>
    <x v="0"/>
    <x v="6"/>
    <n v="3336.41"/>
    <n v="12"/>
    <s v="2015-05-05"/>
    <n v="0"/>
    <n v="0"/>
    <n v="33364.1"/>
    <n v="1"/>
    <x v="1"/>
    <x v="1949"/>
    <n v="502.42"/>
    <n v="1"/>
    <s v="Varme Privat"/>
    <m/>
    <n v="3336.4117700000002"/>
    <n v="0"/>
    <n v="60630"/>
  </r>
  <r>
    <x v="9"/>
    <s v="06157-9"/>
    <s v="Furesøbad"/>
    <n v="6031"/>
    <m/>
    <s v="Manuel aflæsning"/>
    <x v="53"/>
    <x v="0"/>
    <x v="6"/>
    <n v="184738.35"/>
    <n v="12"/>
    <s v="2015-05-05"/>
    <n v="0"/>
    <n v="0"/>
    <n v="1847383.5"/>
    <n v="1"/>
    <x v="5"/>
    <x v="1950"/>
    <n v="26814.97"/>
    <n v="1"/>
    <s v="Måler efter fyret"/>
    <m/>
    <n v="184.73835"/>
    <n v="0"/>
    <n v="60628"/>
  </r>
  <r>
    <x v="9"/>
    <s v="06157-9"/>
    <s v="Furesøbad"/>
    <n v="6031"/>
    <m/>
    <s v="Manuel aflæsning"/>
    <x v="53"/>
    <x v="0"/>
    <x v="6"/>
    <n v="4207.37"/>
    <n v="12"/>
    <s v="2015-05-05"/>
    <n v="0"/>
    <n v="0"/>
    <n v="42073.7"/>
    <n v="1"/>
    <x v="4"/>
    <x v="1951"/>
    <n v="984.55"/>
    <n v="1"/>
    <s v="-1528401"/>
    <m/>
    <n v="389.57191"/>
    <n v="0"/>
    <n v="60685"/>
  </r>
  <r>
    <x v="9"/>
    <m/>
    <s v="Hareskov Idræt, Birke 15"/>
    <n v="10207"/>
    <m/>
    <s v="Hareskov Idræt"/>
    <x v="82"/>
    <x v="0"/>
    <x v="0"/>
    <n v="51160"/>
    <n v="5"/>
    <s v="2011-12-31"/>
    <n v="0"/>
    <n v="505"/>
    <n v="67.361768999999995"/>
    <n v="1"/>
    <x v="4"/>
    <x v="1952"/>
    <n v="8069.37"/>
    <n v="0"/>
    <s v="1203709"/>
    <s v="98003448973"/>
    <n v="3150.41"/>
    <n v="0"/>
    <n v="77402"/>
  </r>
  <r>
    <x v="9"/>
    <m/>
    <s v="Hareskov Idræt, Birke 15"/>
    <n v="10207"/>
    <m/>
    <s v="Hareskov Idræt"/>
    <x v="82"/>
    <x v="0"/>
    <x v="1"/>
    <n v="74438.009999999995"/>
    <n v="12"/>
    <s v="2011-12-31"/>
    <n v="0"/>
    <n v="505"/>
    <n v="147.372817"/>
    <n v="1"/>
    <x v="4"/>
    <x v="1953"/>
    <n v="16439.82"/>
    <n v="0"/>
    <s v="1203709"/>
    <s v="98003448973"/>
    <n v="6892.41"/>
    <n v="0"/>
    <n v="77402"/>
  </r>
  <r>
    <x v="9"/>
    <m/>
    <s v="Hareskov Idræt, Birke 15"/>
    <n v="10207"/>
    <m/>
    <s v="Hareskov Idræt"/>
    <x v="82"/>
    <x v="0"/>
    <x v="2"/>
    <n v="90262.61"/>
    <n v="12"/>
    <s v="2011-12-31"/>
    <n v="0"/>
    <n v="505"/>
    <n v="178.70245399999999"/>
    <n v="1"/>
    <x v="4"/>
    <x v="1954"/>
    <n v="19945.97"/>
    <n v="0"/>
    <s v="1203709"/>
    <s v="98003448973"/>
    <n v="8357.65"/>
    <n v="0"/>
    <n v="77402"/>
  </r>
  <r>
    <x v="9"/>
    <m/>
    <s v="Hareskov Idræt, Birke 15"/>
    <n v="10207"/>
    <m/>
    <s v="Hareskov Idræt"/>
    <x v="82"/>
    <x v="0"/>
    <x v="3"/>
    <n v="75706.259999999995"/>
    <n v="2"/>
    <s v="2011-12-31"/>
    <n v="0"/>
    <n v="505"/>
    <n v="149.88370599999999"/>
    <n v="1"/>
    <x v="4"/>
    <x v="1955"/>
    <n v="18708.63"/>
    <n v="0"/>
    <s v="1203709"/>
    <s v="98003448973"/>
    <n v="7009.8386099999998"/>
    <n v="0"/>
    <n v="77402"/>
  </r>
  <r>
    <x v="9"/>
    <m/>
    <s v="Hareskov Idræt, Birke 15"/>
    <n v="10207"/>
    <m/>
    <s v="Hareskov Idræt"/>
    <x v="82"/>
    <x v="0"/>
    <x v="4"/>
    <n v="93370.96"/>
    <n v="2"/>
    <s v="2011-12-31"/>
    <n v="0"/>
    <n v="505"/>
    <n v="184.85638399999999"/>
    <n v="1"/>
    <x v="4"/>
    <x v="1956"/>
    <n v="26122.15"/>
    <n v="0"/>
    <s v="1203709"/>
    <s v="98003448973"/>
    <n v="8645.4579799999992"/>
    <n v="0"/>
    <n v="77402"/>
  </r>
  <r>
    <x v="9"/>
    <m/>
    <s v="Hareskov Idræt, Birke 15"/>
    <n v="10207"/>
    <m/>
    <s v="Hareskov Idræt"/>
    <x v="82"/>
    <x v="0"/>
    <x v="5"/>
    <n v="81765.89"/>
    <n v="1"/>
    <s v="2011-12-31"/>
    <n v="0"/>
    <n v="505"/>
    <n v="161.88059699999999"/>
    <n v="1"/>
    <x v="4"/>
    <x v="1957"/>
    <n v="24799.49"/>
    <n v="0"/>
    <s v="1203709"/>
    <s v="98003448973"/>
    <n v="7570.9198299999998"/>
    <n v="0"/>
    <n v="77402"/>
  </r>
  <r>
    <x v="9"/>
    <m/>
    <s v="Hareskov Idræt, Birke 15"/>
    <n v="10207"/>
    <m/>
    <s v="Hareskov Idræt"/>
    <x v="82"/>
    <x v="0"/>
    <x v="6"/>
    <n v="73036.990000000005"/>
    <n v="5"/>
    <s v="2011-12-31"/>
    <n v="0"/>
    <n v="505"/>
    <n v="144.59906899999999"/>
    <n v="1"/>
    <x v="4"/>
    <x v="1958"/>
    <n v="18268.61"/>
    <n v="0"/>
    <s v="1203709"/>
    <s v="98003448973"/>
    <n v="6762.6846999999998"/>
    <n v="0"/>
    <n v="77402"/>
  </r>
  <r>
    <x v="9"/>
    <m/>
    <s v="Kirke Værløse Idrætanlæg, Lejr 21"/>
    <n v="10204"/>
    <m/>
    <s v="Kirke Værløse Idrætsanlæg"/>
    <x v="61"/>
    <x v="0"/>
    <x v="0"/>
    <n v="46988"/>
    <n v="5"/>
    <s v="2011-02-28"/>
    <n v="0"/>
    <n v="445"/>
    <n v="58.387462999999997"/>
    <n v="1"/>
    <x v="4"/>
    <x v="1959"/>
    <n v="6126.16"/>
    <n v="0"/>
    <s v="3100528"/>
    <s v="98004377937"/>
    <n v="2406.3200000000002"/>
    <n v="0"/>
    <n v="77388"/>
  </r>
  <r>
    <x v="9"/>
    <m/>
    <s v="Kirke Værløse Idrætanlæg, Lejr 21"/>
    <n v="10204"/>
    <m/>
    <s v="Kirke Værløse Idrætsanlæg"/>
    <x v="61"/>
    <x v="0"/>
    <x v="1"/>
    <n v="52063.87"/>
    <n v="12"/>
    <s v="2011-02-28"/>
    <n v="0"/>
    <n v="445"/>
    <n v="116.971175"/>
    <n v="1"/>
    <x v="4"/>
    <x v="1960"/>
    <n v="11543.63"/>
    <n v="0"/>
    <s v="3100528"/>
    <s v="98004377937"/>
    <n v="4820.7299999999996"/>
    <n v="0"/>
    <n v="77388"/>
  </r>
  <r>
    <x v="9"/>
    <m/>
    <s v="Kirke Værløse Idrætanlæg, Lejr 21"/>
    <n v="10204"/>
    <m/>
    <s v="Kirke Værløse Idrætsanlæg"/>
    <x v="61"/>
    <x v="0"/>
    <x v="2"/>
    <n v="54163.62"/>
    <n v="12"/>
    <s v="2011-02-28"/>
    <n v="0"/>
    <n v="445"/>
    <n v="121.688654"/>
    <n v="1"/>
    <x v="4"/>
    <x v="1961"/>
    <n v="11975.18"/>
    <n v="0"/>
    <s v="3100528"/>
    <s v="98004377937"/>
    <n v="5015.1499999999996"/>
    <n v="0"/>
    <n v="77388"/>
  </r>
  <r>
    <x v="9"/>
    <m/>
    <s v="Kirke Værløse Idrætanlæg, Lejr 21"/>
    <n v="10204"/>
    <m/>
    <s v="Kirke Værløse Idrætsanlæg"/>
    <x v="61"/>
    <x v="0"/>
    <x v="3"/>
    <n v="55424.36"/>
    <n v="12"/>
    <s v="2011-02-28"/>
    <n v="0"/>
    <n v="445"/>
    <n v="124.521141"/>
    <n v="1"/>
    <x v="4"/>
    <x v="1962"/>
    <n v="13054.08"/>
    <n v="0"/>
    <s v="3100528"/>
    <s v="98004377937"/>
    <n v="5131.8851800000002"/>
    <n v="0"/>
    <n v="77388"/>
  </r>
  <r>
    <x v="9"/>
    <m/>
    <s v="Kirke Værløse Idrætanlæg, Lejr 21"/>
    <n v="10204"/>
    <m/>
    <s v="Kirke Værløse Idrætsanlæg"/>
    <x v="61"/>
    <x v="0"/>
    <x v="4"/>
    <n v="69154.539999999994"/>
    <n v="2"/>
    <s v="2011-02-28"/>
    <n v="0"/>
    <n v="445"/>
    <n v="155.36854600000001"/>
    <n v="1"/>
    <x v="4"/>
    <x v="1963"/>
    <n v="18961.37"/>
    <n v="0"/>
    <s v="3100528"/>
    <s v="98004377937"/>
    <n v="6403.1975000000002"/>
    <n v="0"/>
    <n v="77388"/>
  </r>
  <r>
    <x v="9"/>
    <m/>
    <s v="Kirke Værløse Idrætanlæg, Lejr 21"/>
    <n v="10204"/>
    <m/>
    <s v="Kirke Værløse Idrætsanlæg"/>
    <x v="61"/>
    <x v="0"/>
    <x v="5"/>
    <n v="78009.320000000007"/>
    <n v="1"/>
    <s v="2011-02-28"/>
    <n v="0"/>
    <n v="445"/>
    <n v="175.26245700000001"/>
    <n v="1"/>
    <x v="4"/>
    <x v="1964"/>
    <n v="23659.279999999999"/>
    <n v="0"/>
    <s v="3100528"/>
    <s v="98004377937"/>
    <n v="7223.0839400000004"/>
    <n v="0"/>
    <n v="77388"/>
  </r>
  <r>
    <x v="9"/>
    <m/>
    <s v="Kirke Værløse Idrætanlæg, Lejr 21"/>
    <n v="10204"/>
    <m/>
    <s v="Kirke Værløse Idrætsanlæg"/>
    <x v="61"/>
    <x v="0"/>
    <x v="6"/>
    <n v="68155.429999999993"/>
    <n v="5"/>
    <s v="2011-02-28"/>
    <n v="0"/>
    <n v="445"/>
    <n v="153.12385900000001"/>
    <n v="1"/>
    <x v="4"/>
    <x v="1965"/>
    <n v="16797.23"/>
    <n v="0"/>
    <s v="3100528"/>
    <s v="98004377937"/>
    <n v="6310.6871600000004"/>
    <n v="0"/>
    <n v="77388"/>
  </r>
  <r>
    <x v="9"/>
    <s v="6408"/>
    <s v="Skallepanden V M Amdrupvej 17"/>
    <n v="13664"/>
    <s v="0"/>
    <s v="Skallepanden"/>
    <x v="55"/>
    <x v="0"/>
    <x v="0"/>
    <n v="28064"/>
    <n v="5"/>
    <s v="2013-11-30"/>
    <n v="0"/>
    <n v="138"/>
    <n v="112.631788"/>
    <n v="1"/>
    <x v="6"/>
    <x v="1966"/>
    <n v="3609.78"/>
    <n v="0"/>
    <s v="1549931"/>
    <s v="98001986118"/>
    <n v="1388.79"/>
    <n v="0"/>
    <n v="92671"/>
  </r>
  <r>
    <x v="9"/>
    <s v="6408"/>
    <s v="Skallepanden V M Amdrupvej 17"/>
    <n v="13664"/>
    <s v="0"/>
    <s v="Skallepanden"/>
    <x v="55"/>
    <x v="0"/>
    <x v="1"/>
    <n v="25646.43"/>
    <n v="5"/>
    <s v="2013-11-30"/>
    <n v="0"/>
    <n v="138"/>
    <n v="185.70912300000001"/>
    <n v="1"/>
    <x v="6"/>
    <x v="1967"/>
    <n v="7492.45"/>
    <n v="0"/>
    <s v="1549931"/>
    <s v="98001986118"/>
    <n v="2289.8599800000002"/>
    <n v="0"/>
    <n v="92671"/>
  </r>
  <r>
    <x v="9"/>
    <s v="6408"/>
    <s v="Skallepanden V M Amdrupvej 17"/>
    <n v="13664"/>
    <s v="0"/>
    <s v="Skallepanden"/>
    <x v="55"/>
    <x v="0"/>
    <x v="2"/>
    <n v="30064.48"/>
    <n v="1"/>
    <s v="2013-11-30"/>
    <n v="0"/>
    <n v="138"/>
    <n v="217.700796"/>
    <n v="1"/>
    <x v="6"/>
    <x v="1968"/>
    <n v="6879.47"/>
    <n v="0"/>
    <s v="1549931"/>
    <s v="98001986118"/>
    <n v="2684.3290000000002"/>
    <n v="0"/>
    <n v="92671"/>
  </r>
  <r>
    <x v="9"/>
    <s v="6408"/>
    <s v="Skallepanden V M Amdrupvej 17"/>
    <n v="13664"/>
    <s v="0"/>
    <s v="Skallepanden"/>
    <x v="55"/>
    <x v="0"/>
    <x v="3"/>
    <n v="27546.799999999999"/>
    <n v="1"/>
    <s v="2013-11-30"/>
    <n v="0"/>
    <n v="138"/>
    <n v="199.46994900000001"/>
    <n v="1"/>
    <x v="6"/>
    <x v="1969"/>
    <n v="6712.2"/>
    <n v="0"/>
    <s v="1549931"/>
    <s v="98001986118"/>
    <n v="2459.53602"/>
    <n v="0"/>
    <n v="92671"/>
  </r>
  <r>
    <x v="9"/>
    <s v="6408"/>
    <s v="Skallepanden V M Amdrupvej 17"/>
    <n v="13664"/>
    <s v="0"/>
    <s v="Skallepanden"/>
    <x v="55"/>
    <x v="0"/>
    <x v="4"/>
    <n v="20287.240000000002"/>
    <n v="2"/>
    <s v="2013-11-30"/>
    <n v="0"/>
    <n v="138"/>
    <n v="146.902534"/>
    <n v="1"/>
    <x v="6"/>
    <x v="1970"/>
    <n v="5496.82"/>
    <n v="0"/>
    <s v="1549931"/>
    <s v="98001986118"/>
    <n v="1811.36247"/>
    <n v="0"/>
    <n v="92671"/>
  </r>
  <r>
    <x v="9"/>
    <s v="6408"/>
    <s v="Skallepanden V M Amdrupvej 17"/>
    <n v="13664"/>
    <s v="0"/>
    <s v="Skallepanden"/>
    <x v="55"/>
    <x v="0"/>
    <x v="5"/>
    <n v="25920.43"/>
    <n v="1"/>
    <s v="2013-11-30"/>
    <n v="0"/>
    <n v="138"/>
    <n v="187.69319300000001"/>
    <n v="1"/>
    <x v="6"/>
    <x v="1971"/>
    <n v="7499.06"/>
    <n v="0"/>
    <s v="1549931"/>
    <s v="98001986118"/>
    <n v="2314.3224500000001"/>
    <n v="0"/>
    <n v="92671"/>
  </r>
  <r>
    <x v="9"/>
    <s v="6408"/>
    <s v="Skallepanden V M Amdrupvej 17"/>
    <n v="13664"/>
    <s v="0"/>
    <s v="Skallepanden"/>
    <x v="55"/>
    <x v="0"/>
    <x v="6"/>
    <n v="34224.720000000001"/>
    <n v="1"/>
    <s v="2013-11-30"/>
    <n v="0"/>
    <n v="138"/>
    <n v="247.82563300000001"/>
    <n v="1"/>
    <x v="6"/>
    <x v="1972"/>
    <n v="9070.76"/>
    <n v="0"/>
    <s v="1549931"/>
    <s v="98001986118"/>
    <n v="3055.7777000000001"/>
    <n v="0"/>
    <n v="92671"/>
  </r>
  <r>
    <x v="9"/>
    <m/>
    <s v="Værløse Boldklub, Stiager 6"/>
    <n v="10179"/>
    <m/>
    <s v="Værløse Boldklub"/>
    <x v="83"/>
    <x v="0"/>
    <x v="0"/>
    <n v="88223"/>
    <n v="5"/>
    <s v="2011-03-31"/>
    <n v="0"/>
    <n v="792"/>
    <n v="58.424011999999998"/>
    <n v="1"/>
    <x v="4"/>
    <x v="1973"/>
    <n v="10952.26"/>
    <n v="0"/>
    <s v="229728/97"/>
    <s v="98004894182"/>
    <n v="4284.97"/>
    <n v="0"/>
    <n v="77212"/>
  </r>
  <r>
    <x v="9"/>
    <m/>
    <s v="Værløse Boldklub, Stiager 6"/>
    <n v="10179"/>
    <m/>
    <s v="Værløse Boldklub"/>
    <x v="83"/>
    <x v="0"/>
    <x v="1"/>
    <n v="105105.61"/>
    <n v="12"/>
    <s v="2011-03-31"/>
    <n v="0"/>
    <n v="792"/>
    <n v="132.69234900000001"/>
    <n v="1"/>
    <x v="4"/>
    <x v="1974"/>
    <n v="23413.48"/>
    <n v="0"/>
    <s v="229728/97"/>
    <s v="98004894182"/>
    <n v="9732"/>
    <n v="0"/>
    <n v="77212"/>
  </r>
  <r>
    <x v="9"/>
    <m/>
    <s v="Værløse Boldklub, Stiager 6"/>
    <n v="10179"/>
    <m/>
    <s v="Værløse Boldklub"/>
    <x v="83"/>
    <x v="0"/>
    <x v="2"/>
    <n v="111325.86"/>
    <n v="12"/>
    <s v="2011-03-31"/>
    <n v="0"/>
    <n v="792"/>
    <n v="140.545208"/>
    <n v="1"/>
    <x v="4"/>
    <x v="1975"/>
    <n v="24722.76"/>
    <n v="0"/>
    <s v="229728/97"/>
    <s v="98004894182"/>
    <n v="10307.950000000001"/>
    <n v="0"/>
    <n v="77212"/>
  </r>
  <r>
    <x v="9"/>
    <m/>
    <s v="Værløse Boldklub, Stiager 6"/>
    <n v="10179"/>
    <m/>
    <s v="Værløse Boldklub"/>
    <x v="83"/>
    <x v="0"/>
    <x v="3"/>
    <n v="108722.73"/>
    <n v="10"/>
    <s v="2011-03-31"/>
    <n v="0"/>
    <n v="792"/>
    <n v="137.25884300000001"/>
    <n v="1"/>
    <x v="4"/>
    <x v="1976"/>
    <n v="25673.02"/>
    <n v="0"/>
    <s v="229728/97"/>
    <s v="98004894182"/>
    <n v="10066.92"/>
    <n v="0"/>
    <n v="77212"/>
  </r>
  <r>
    <x v="9"/>
    <m/>
    <s v="Værløse Boldklub, Stiager 6"/>
    <n v="10179"/>
    <m/>
    <s v="Værløse Boldklub"/>
    <x v="83"/>
    <x v="0"/>
    <x v="4"/>
    <n v="111449.32"/>
    <n v="5"/>
    <s v="2011-03-31"/>
    <n v="0"/>
    <n v="792"/>
    <n v="140.70107300000001"/>
    <n v="1"/>
    <x v="4"/>
    <x v="1977"/>
    <n v="23670.25"/>
    <n v="0"/>
    <s v="229728/97"/>
    <s v="98004894182"/>
    <n v="10319.380510000001"/>
    <n v="0"/>
    <n v="77212"/>
  </r>
  <r>
    <x v="9"/>
    <m/>
    <s v="Værløse Boldklub, Stiager 6"/>
    <n v="10179"/>
    <m/>
    <s v="Værløse Boldklub"/>
    <x v="83"/>
    <x v="0"/>
    <x v="5"/>
    <n v="143401.43"/>
    <n v="2"/>
    <s v="2011-03-31"/>
    <n v="0"/>
    <n v="792"/>
    <n v="181.03955300000001"/>
    <n v="1"/>
    <x v="4"/>
    <x v="1978"/>
    <n v="42234.47"/>
    <n v="0"/>
    <s v="229728/97"/>
    <s v="98004894182"/>
    <n v="13277.90674"/>
    <n v="0"/>
    <n v="77212"/>
  </r>
  <r>
    <x v="9"/>
    <m/>
    <s v="Værløse Boldklub, Stiager 6"/>
    <n v="10179"/>
    <m/>
    <s v="Værløse Boldklub"/>
    <x v="83"/>
    <x v="0"/>
    <x v="6"/>
    <n v="115853.83"/>
    <n v="5"/>
    <s v="2011-03-31"/>
    <n v="0"/>
    <n v="792"/>
    <n v="146.26162099999999"/>
    <n v="1"/>
    <x v="4"/>
    <x v="1979"/>
    <n v="28556.95"/>
    <n v="0"/>
    <s v="229728/97"/>
    <s v="98004894182"/>
    <n v="10727.20721"/>
    <n v="0"/>
    <n v="77212"/>
  </r>
  <r>
    <x v="8"/>
    <m/>
    <s v="Gasværket, Birke 14A"/>
    <n v="10208"/>
    <m/>
    <s v="Gasværket"/>
    <x v="69"/>
    <x v="0"/>
    <x v="7"/>
    <n v="62527.45"/>
    <n v="12"/>
    <s v="2011-12-30"/>
    <n v="0"/>
    <n v="741"/>
    <n v="84.371137000000004"/>
    <n v="1"/>
    <x v="4"/>
    <x v="1980"/>
    <n v="15708.74"/>
    <n v="0"/>
    <s v="1569154"/>
    <s v="98003884306"/>
    <n v="5789.5778"/>
    <n v="0"/>
    <n v="77414"/>
  </r>
  <r>
    <x v="9"/>
    <m/>
    <s v="Kirke Værløse Idrætanlæg, Lejr 21"/>
    <n v="10204"/>
    <m/>
    <s v="Kirke Værløse Idrætsanlæg"/>
    <x v="61"/>
    <x v="0"/>
    <x v="7"/>
    <n v="162.13"/>
    <n v="12"/>
    <s v="2010-07-31"/>
    <n v="0"/>
    <n v="445"/>
    <n v="0.364255"/>
    <n v="3"/>
    <x v="0"/>
    <x v="1981"/>
    <n v="129.71"/>
    <n v="0"/>
    <s v="00PC500634"/>
    <m/>
    <n v="162.12200000000001"/>
    <n v="0"/>
    <n v="77387"/>
  </r>
  <r>
    <x v="9"/>
    <m/>
    <s v="Kirke Værløse Idrætanlæg, Lejr 21"/>
    <n v="10204"/>
    <m/>
    <s v="Kirke Værløse Idrætsanlæg"/>
    <x v="61"/>
    <x v="0"/>
    <x v="7"/>
    <n v="11133.04"/>
    <n v="12"/>
    <s v="2011-09-30"/>
    <n v="0"/>
    <n v="445"/>
    <n v="25.012446000000001"/>
    <n v="2"/>
    <x v="2"/>
    <x v="1982"/>
    <n v="3339.9"/>
    <n v="0"/>
    <s v="4161811"/>
    <s v="74112222622"/>
    <n v="11133.040999999999"/>
    <n v="0"/>
    <n v="77386"/>
  </r>
  <r>
    <x v="3"/>
    <m/>
    <s v="Kirke Værløse Børnehus, BY27"/>
    <n v="10017"/>
    <m/>
    <s v="Kirke Værløse Børnehus"/>
    <x v="35"/>
    <x v="0"/>
    <x v="7"/>
    <n v="64216.79"/>
    <n v="12"/>
    <s v="2010-10-31"/>
    <n v="0"/>
    <n v="602"/>
    <n v="106.654691"/>
    <n v="1"/>
    <x v="4"/>
    <x v="1983"/>
    <n v="16087.47"/>
    <n v="0"/>
    <m/>
    <s v="98003838729"/>
    <n v="5946"/>
    <n v="0"/>
    <n v="76521"/>
  </r>
  <r>
    <x v="9"/>
    <s v="6408"/>
    <s v="Skallepanden V M Amdrupvej 17"/>
    <n v="13664"/>
    <s v="0"/>
    <s v="Skallepanden"/>
    <x v="55"/>
    <x v="0"/>
    <x v="7"/>
    <n v="17.37"/>
    <n v="12"/>
    <s v="2013-11-29"/>
    <n v="0"/>
    <n v="138"/>
    <n v="0.125778"/>
    <n v="3"/>
    <x v="0"/>
    <x v="1984"/>
    <n v="13.9"/>
    <n v="0"/>
    <m/>
    <m/>
    <n v="17.375"/>
    <n v="0"/>
    <n v="91256"/>
  </r>
  <r>
    <x v="9"/>
    <s v="6408"/>
    <s v="Skallepanden V M Amdrupvej 17"/>
    <n v="13664"/>
    <s v="0"/>
    <s v="Skallepanden"/>
    <x v="55"/>
    <x v="0"/>
    <x v="7"/>
    <n v="1669.74"/>
    <n v="12"/>
    <s v="2013-11-30"/>
    <n v="0"/>
    <n v="138"/>
    <n v="12.090802999999999"/>
    <n v="2"/>
    <x v="2"/>
    <x v="1985"/>
    <n v="500.93"/>
    <n v="0"/>
    <s v="4219857"/>
    <s v="74111476767"/>
    <n v="1669.748"/>
    <n v="0"/>
    <n v="91255"/>
  </r>
  <r>
    <x v="9"/>
    <s v="???????"/>
    <s v="Australsk Fodbold, Hvile 3A"/>
    <n v="6354"/>
    <m/>
    <s v="Australsk Fodbold"/>
    <x v="79"/>
    <x v="0"/>
    <x v="0"/>
    <n v="7268"/>
    <n v="5"/>
    <s v="2011-12-01"/>
    <n v="0"/>
    <n v="196"/>
    <n v="16.669861999999998"/>
    <n v="2"/>
    <x v="2"/>
    <x v="1986"/>
    <n v="1307.5899999999999"/>
    <n v="0"/>
    <s v="4118048"/>
    <s v="74111477924"/>
    <n v="3268.9609999999998"/>
    <n v="0"/>
    <n v="62635"/>
  </r>
  <r>
    <x v="9"/>
    <s v="???????"/>
    <s v="Australsk Fodbold, Hvile 3A"/>
    <n v="6354"/>
    <m/>
    <s v="Australsk Fodbold"/>
    <x v="79"/>
    <x v="0"/>
    <x v="1"/>
    <n v="6766.01"/>
    <n v="12"/>
    <s v="2011-12-01"/>
    <n v="0"/>
    <n v="196"/>
    <n v="34.502854999999997"/>
    <n v="2"/>
    <x v="2"/>
    <x v="1987"/>
    <n v="2706.41"/>
    <n v="0"/>
    <s v="4118048"/>
    <s v="74111477924"/>
    <n v="6766.0219999999999"/>
    <n v="0"/>
    <n v="62635"/>
  </r>
  <r>
    <x v="9"/>
    <s v="???????"/>
    <s v="Australsk Fodbold, Hvile 3A"/>
    <n v="6354"/>
    <m/>
    <s v="Australsk Fodbold"/>
    <x v="79"/>
    <x v="0"/>
    <x v="2"/>
    <n v="5960.66"/>
    <n v="12"/>
    <s v="2011-12-01"/>
    <n v="0"/>
    <n v="196"/>
    <n v="30.396021999999999"/>
    <n v="2"/>
    <x v="2"/>
    <x v="1988"/>
    <n v="2384.2600000000002"/>
    <n v="0"/>
    <s v="4118048"/>
    <s v="74111477924"/>
    <n v="5960.6679999999997"/>
    <n v="0"/>
    <n v="62635"/>
  </r>
  <r>
    <x v="9"/>
    <s v="???????"/>
    <s v="Australsk Fodbold, Hvile 3A"/>
    <n v="6354"/>
    <m/>
    <s v="Australsk Fodbold"/>
    <x v="79"/>
    <x v="0"/>
    <x v="3"/>
    <n v="6102.2"/>
    <n v="12"/>
    <s v="2011-12-01"/>
    <n v="0"/>
    <n v="196"/>
    <n v="31.117796999999999"/>
    <n v="2"/>
    <x v="2"/>
    <x v="1989"/>
    <n v="2861.92"/>
    <n v="0"/>
    <s v="4118048"/>
    <s v="74111477924"/>
    <n v="6102.2021199999999"/>
    <n v="0"/>
    <n v="62635"/>
  </r>
  <r>
    <x v="9"/>
    <s v="???????"/>
    <s v="Australsk Fodbold, Hvile 3A"/>
    <n v="6354"/>
    <m/>
    <s v="Australsk Fodbold"/>
    <x v="79"/>
    <x v="0"/>
    <x v="4"/>
    <n v="6134.42"/>
    <n v="4"/>
    <s v="2011-12-01"/>
    <n v="0"/>
    <n v="196"/>
    <n v="31.2821"/>
    <n v="2"/>
    <x v="2"/>
    <x v="1990"/>
    <n v="2877.05"/>
    <n v="0"/>
    <s v="4118048"/>
    <s v="74111477924"/>
    <n v="6134.42328"/>
    <n v="0"/>
    <n v="62635"/>
  </r>
  <r>
    <x v="9"/>
    <s v="???????"/>
    <s v="Australsk Fodbold, Hvile 3A"/>
    <n v="6354"/>
    <m/>
    <s v="Australsk Fodbold"/>
    <x v="79"/>
    <x v="0"/>
    <x v="5"/>
    <n v="6590.91"/>
    <n v="6"/>
    <s v="2011-12-01"/>
    <n v="0"/>
    <n v="196"/>
    <n v="33.609943000000001"/>
    <n v="2"/>
    <x v="2"/>
    <x v="1991"/>
    <n v="3091.15"/>
    <n v="0"/>
    <s v="4118048"/>
    <s v="74111477924"/>
    <n v="6590.9388499999995"/>
    <n v="0"/>
    <n v="62635"/>
  </r>
  <r>
    <x v="9"/>
    <s v="???????"/>
    <s v="Australsk Fodbold, Hvile 3A"/>
    <n v="6354"/>
    <m/>
    <s v="Australsk Fodbold"/>
    <x v="79"/>
    <x v="0"/>
    <x v="6"/>
    <n v="7183.1"/>
    <n v="12"/>
    <s v="2011-12-01"/>
    <n v="0"/>
    <n v="196"/>
    <n v="36.629779999999997"/>
    <n v="2"/>
    <x v="2"/>
    <x v="1992"/>
    <n v="3368.88"/>
    <n v="0"/>
    <s v="4118048"/>
    <s v="74111477924"/>
    <n v="7183.0937599999997"/>
    <n v="0"/>
    <n v="62635"/>
  </r>
  <r>
    <x v="9"/>
    <m/>
    <s v="Bådudlejningen - Fiskerhytten"/>
    <n v="12292"/>
    <s v="0"/>
    <s v="Bådudlejningen - Fiskerhytten"/>
    <x v="80"/>
    <x v="0"/>
    <x v="0"/>
    <n v="8133"/>
    <n v="5"/>
    <s v="2013-12-31"/>
    <n v="0"/>
    <n v="68"/>
    <n v="71.116885999999994"/>
    <n v="2"/>
    <x v="2"/>
    <x v="1993"/>
    <n v="1452.92"/>
    <n v="0"/>
    <s v="4036591"/>
    <s v="74111473544"/>
    <n v="4843.0540000000001"/>
    <n v="0"/>
    <n v="84119"/>
  </r>
  <r>
    <x v="9"/>
    <m/>
    <s v="Bådudlejningen - Fiskerhytten"/>
    <n v="12292"/>
    <s v="0"/>
    <s v="Bådudlejningen - Fiskerhytten"/>
    <x v="80"/>
    <x v="0"/>
    <x v="1"/>
    <n v="9048.2099999999991"/>
    <n v="11"/>
    <s v="2013-12-31"/>
    <n v="0"/>
    <n v="68"/>
    <n v="132.86651900000001"/>
    <n v="2"/>
    <x v="2"/>
    <x v="1994"/>
    <n v="2714.48"/>
    <n v="0"/>
    <s v="4036591"/>
    <s v="74111473544"/>
    <n v="9048.2127799999998"/>
    <n v="0"/>
    <n v="84119"/>
  </r>
  <r>
    <x v="9"/>
    <m/>
    <s v="Bådudlejningen - Fiskerhytten"/>
    <n v="12292"/>
    <s v="0"/>
    <s v="Bådudlejningen - Fiskerhytten"/>
    <x v="80"/>
    <x v="0"/>
    <x v="2"/>
    <n v="12460.45"/>
    <n v="6"/>
    <s v="2013-12-31"/>
    <n v="0"/>
    <n v="68"/>
    <n v="182.97283400000001"/>
    <n v="2"/>
    <x v="2"/>
    <x v="1995"/>
    <n v="4984.18"/>
    <n v="0"/>
    <s v="4036591"/>
    <s v="74111473544"/>
    <n v="12460.453890000001"/>
    <n v="0"/>
    <n v="84119"/>
  </r>
  <r>
    <x v="9"/>
    <m/>
    <s v="Bådudlejningen - Fiskerhytten"/>
    <n v="12292"/>
    <s v="0"/>
    <s v="Bådudlejningen - Fiskerhytten"/>
    <x v="80"/>
    <x v="0"/>
    <x v="3"/>
    <n v="4718.93"/>
    <n v="4"/>
    <s v="2013-12-31"/>
    <n v="0"/>
    <n v="68"/>
    <n v="69.294126000000006"/>
    <n v="2"/>
    <x v="2"/>
    <x v="1996"/>
    <n v="2213.17"/>
    <n v="0"/>
    <s v="4036591"/>
    <s v="74111473544"/>
    <n v="4718.9348399999999"/>
    <n v="0"/>
    <n v="84119"/>
  </r>
  <r>
    <x v="9"/>
    <m/>
    <s v="Bådudlejningen - Fiskerhytten"/>
    <n v="12292"/>
    <s v="0"/>
    <s v="Bådudlejningen - Fiskerhytten"/>
    <x v="80"/>
    <x v="0"/>
    <x v="4"/>
    <n v="4880.3900000000003"/>
    <n v="3"/>
    <s v="2013-12-31"/>
    <n v="0"/>
    <n v="68"/>
    <n v="71.665051000000005"/>
    <n v="2"/>
    <x v="2"/>
    <x v="1997"/>
    <n v="2288.9"/>
    <n v="0"/>
    <s v="4036591"/>
    <s v="74111473544"/>
    <n v="4880.3984899999996"/>
    <n v="0"/>
    <n v="84119"/>
  </r>
  <r>
    <x v="9"/>
    <m/>
    <s v="Det Røde Hus, Poppel 14"/>
    <n v="10231"/>
    <m/>
    <s v="Det Røde Hus"/>
    <x v="81"/>
    <x v="0"/>
    <x v="0"/>
    <n v="4668"/>
    <n v="5"/>
    <s v="2011-10-31"/>
    <n v="0"/>
    <n v="449"/>
    <n v="4.5107989999999996"/>
    <n v="2"/>
    <x v="2"/>
    <x v="1998"/>
    <n v="607.74"/>
    <n v="0"/>
    <s v="1096167"/>
    <s v="74110490658"/>
    <n v="2025.8030000000001"/>
    <n v="0"/>
    <n v="77506"/>
  </r>
  <r>
    <x v="9"/>
    <m/>
    <s v="Det Røde Hus, Poppel 14"/>
    <n v="10231"/>
    <m/>
    <s v="Det Røde Hus"/>
    <x v="81"/>
    <x v="0"/>
    <x v="1"/>
    <n v="6620.39"/>
    <n v="12"/>
    <s v="2011-10-31"/>
    <n v="0"/>
    <n v="449"/>
    <n v="14.74146"/>
    <n v="2"/>
    <x v="2"/>
    <x v="1999"/>
    <n v="1986.14"/>
    <n v="0"/>
    <s v="1096167"/>
    <s v="74110490658"/>
    <n v="6620.4009999999998"/>
    <n v="0"/>
    <n v="77506"/>
  </r>
  <r>
    <x v="9"/>
    <m/>
    <s v="Det Røde Hus, Poppel 14"/>
    <n v="10231"/>
    <m/>
    <s v="Det Røde Hus"/>
    <x v="81"/>
    <x v="0"/>
    <x v="2"/>
    <n v="4783.41"/>
    <n v="12"/>
    <s v="2011-10-31"/>
    <n v="0"/>
    <n v="449"/>
    <n v="10.651102"/>
    <n v="2"/>
    <x v="2"/>
    <x v="2000"/>
    <n v="1913.37"/>
    <n v="0"/>
    <s v="1096167"/>
    <s v="74110490658"/>
    <n v="4783.4179999999997"/>
    <n v="0"/>
    <n v="77506"/>
  </r>
  <r>
    <x v="9"/>
    <m/>
    <s v="Det Røde Hus, Poppel 14"/>
    <n v="10231"/>
    <m/>
    <s v="Det Røde Hus"/>
    <x v="81"/>
    <x v="0"/>
    <x v="3"/>
    <n v="6203.08"/>
    <n v="13"/>
    <s v="2011-10-31"/>
    <n v="0"/>
    <n v="449"/>
    <n v="13.812246"/>
    <n v="2"/>
    <x v="2"/>
    <x v="2001"/>
    <n v="2909.24"/>
    <n v="0"/>
    <s v="1096167"/>
    <s v="74110490658"/>
    <n v="6203.07665"/>
    <n v="0"/>
    <n v="77506"/>
  </r>
  <r>
    <x v="9"/>
    <m/>
    <s v="Det Røde Hus, Poppel 14"/>
    <n v="10231"/>
    <m/>
    <s v="Det Røde Hus"/>
    <x v="81"/>
    <x v="0"/>
    <x v="4"/>
    <n v="6522.85"/>
    <n v="12"/>
    <s v="2011-10-31"/>
    <n v="0"/>
    <n v="449"/>
    <n v="14.52427"/>
    <n v="2"/>
    <x v="2"/>
    <x v="2002"/>
    <n v="3059.21"/>
    <n v="0"/>
    <s v="1096167"/>
    <s v="74110490658"/>
    <n v="6522.8476199999996"/>
    <n v="0"/>
    <n v="77506"/>
  </r>
  <r>
    <x v="9"/>
    <m/>
    <s v="Det Røde Hus, Poppel 14"/>
    <n v="10231"/>
    <m/>
    <s v="Det Røde Hus"/>
    <x v="81"/>
    <x v="0"/>
    <x v="5"/>
    <n v="8476.6200000000008"/>
    <n v="12"/>
    <s v="2011-10-31"/>
    <n v="0"/>
    <n v="449"/>
    <n v="18.874682"/>
    <n v="2"/>
    <x v="2"/>
    <x v="2003"/>
    <n v="3975.53"/>
    <n v="0"/>
    <s v="1096167"/>
    <s v="74110490658"/>
    <n v="8476.6004699999994"/>
    <n v="0"/>
    <n v="77506"/>
  </r>
  <r>
    <x v="9"/>
    <m/>
    <s v="Det Røde Hus, Poppel 14"/>
    <n v="10231"/>
    <m/>
    <s v="Det Røde Hus"/>
    <x v="81"/>
    <x v="0"/>
    <x v="6"/>
    <n v="14396.89"/>
    <n v="10"/>
    <s v="2011-10-31"/>
    <n v="0"/>
    <n v="449"/>
    <n v="32.057203000000001"/>
    <n v="2"/>
    <x v="2"/>
    <x v="2004"/>
    <n v="6752.15"/>
    <n v="0"/>
    <s v="1096167"/>
    <s v="74110490658"/>
    <n v="14396.88524"/>
    <n v="0"/>
    <n v="77506"/>
  </r>
  <r>
    <x v="9"/>
    <s v="06157-9"/>
    <s v="Furesøbad"/>
    <n v="5489"/>
    <m/>
    <s v="Furesøbad"/>
    <x v="53"/>
    <x v="1"/>
    <x v="0"/>
    <n v="0"/>
    <n v="5"/>
    <m/>
    <n v="0"/>
    <n v="2801"/>
    <n v="7.3072889999999999"/>
    <n v="2"/>
    <x v="2"/>
    <x v="2005"/>
    <n v="8187.39"/>
    <n v="0"/>
    <s v="Byg 1 800231/1118660"/>
    <s v="74111808063"/>
    <n v="20468.45"/>
    <n v="0"/>
    <n v="58001"/>
  </r>
  <r>
    <x v="9"/>
    <s v="06157-9"/>
    <s v="Furesøbad"/>
    <n v="5489"/>
    <m/>
    <s v="Furesøbad"/>
    <x v="53"/>
    <x v="1"/>
    <x v="0"/>
    <n v="0"/>
    <n v="5"/>
    <m/>
    <n v="0"/>
    <n v="2801"/>
    <n v="3.8535430000000002"/>
    <n v="2"/>
    <x v="2"/>
    <x v="2006"/>
    <n v="4317.68"/>
    <n v="0"/>
    <s v="Byg 2 799430"/>
    <s v="74111885200"/>
    <n v="10794.16"/>
    <n v="0"/>
    <n v="58091"/>
  </r>
  <r>
    <x v="9"/>
    <s v="06157-9"/>
    <s v="Furesøbad"/>
    <n v="5489"/>
    <m/>
    <s v="Furesøbad"/>
    <x v="53"/>
    <x v="1"/>
    <x v="0"/>
    <n v="0"/>
    <n v="5"/>
    <m/>
    <n v="0"/>
    <n v="2801"/>
    <n v="1.1522749999999999"/>
    <n v="2"/>
    <x v="2"/>
    <x v="2007"/>
    <n v="1291.06"/>
    <n v="0"/>
    <s v="Byg 3 1019273"/>
    <s v="74114921226"/>
    <n v="3227.6439999999998"/>
    <n v="0"/>
    <n v="58094"/>
  </r>
  <r>
    <x v="9"/>
    <s v="06157-9"/>
    <s v="Furesøbad"/>
    <n v="5489"/>
    <m/>
    <s v="Furesøbad"/>
    <x v="53"/>
    <x v="0"/>
    <x v="1"/>
    <n v="8477.59"/>
    <n v="12"/>
    <m/>
    <n v="0"/>
    <n v="2801"/>
    <n v="3.0265209999999998"/>
    <n v="2"/>
    <x v="2"/>
    <x v="2008"/>
    <n v="3391.03"/>
    <n v="0"/>
    <s v="Byg 3 1019273"/>
    <s v="74114921226"/>
    <n v="8477.5859999999993"/>
    <n v="0"/>
    <n v="58094"/>
  </r>
  <r>
    <x v="9"/>
    <s v="06157-9"/>
    <s v="Furesøbad"/>
    <n v="5489"/>
    <m/>
    <s v="Furesøbad"/>
    <x v="53"/>
    <x v="0"/>
    <x v="1"/>
    <n v="55073.97"/>
    <n v="12"/>
    <m/>
    <n v="0"/>
    <n v="2801"/>
    <n v="19.661549999999998"/>
    <n v="2"/>
    <x v="2"/>
    <x v="2009"/>
    <n v="22029.599999999999"/>
    <n v="0"/>
    <s v="Byg 1 800231/1118660"/>
    <s v="74111808063"/>
    <n v="55073.964999999997"/>
    <n v="0"/>
    <n v="58001"/>
  </r>
  <r>
    <x v="9"/>
    <s v="06157-9"/>
    <s v="Furesøbad"/>
    <n v="5489"/>
    <m/>
    <s v="Furesøbad"/>
    <x v="53"/>
    <x v="0"/>
    <x v="1"/>
    <n v="43978.239999999998"/>
    <n v="12"/>
    <m/>
    <n v="0"/>
    <n v="2801"/>
    <n v="15.700346"/>
    <n v="2"/>
    <x v="2"/>
    <x v="2010"/>
    <n v="17591.310000000001"/>
    <n v="0"/>
    <s v="Byg 2 799430"/>
    <s v="74111885200"/>
    <n v="43978.237999999998"/>
    <n v="0"/>
    <n v="58091"/>
  </r>
  <r>
    <x v="9"/>
    <s v="06157-9"/>
    <s v="Furesøbad"/>
    <n v="5489"/>
    <m/>
    <s v="Furesøbad"/>
    <x v="53"/>
    <x v="0"/>
    <x v="2"/>
    <n v="63544.93"/>
    <n v="12"/>
    <m/>
    <n v="0"/>
    <n v="2801"/>
    <n v="22.685704999999999"/>
    <n v="2"/>
    <x v="2"/>
    <x v="2011"/>
    <n v="25417.97"/>
    <n v="0"/>
    <s v="Byg 1 800231/1118660"/>
    <s v="74111808063"/>
    <n v="63544.934999999998"/>
    <n v="0"/>
    <n v="58001"/>
  </r>
  <r>
    <x v="9"/>
    <s v="06157-9"/>
    <s v="Furesøbad"/>
    <n v="5489"/>
    <m/>
    <s v="Furesøbad"/>
    <x v="53"/>
    <x v="0"/>
    <x v="2"/>
    <n v="38210.69"/>
    <n v="12"/>
    <m/>
    <n v="0"/>
    <n v="2801"/>
    <n v="13.641315000000001"/>
    <n v="2"/>
    <x v="2"/>
    <x v="2012"/>
    <n v="15284.29"/>
    <n v="0"/>
    <s v="Byg 2 799430"/>
    <s v="74111885200"/>
    <n v="38210.697999999997"/>
    <n v="0"/>
    <n v="58091"/>
  </r>
  <r>
    <x v="9"/>
    <s v="06157-9"/>
    <s v="Furesøbad"/>
    <n v="5489"/>
    <m/>
    <s v="Furesøbad"/>
    <x v="53"/>
    <x v="0"/>
    <x v="2"/>
    <n v="7506.76"/>
    <n v="12"/>
    <m/>
    <n v="0"/>
    <n v="2801"/>
    <n v="2.679932"/>
    <n v="2"/>
    <x v="2"/>
    <x v="2013"/>
    <n v="3002.71"/>
    <n v="0"/>
    <s v="Byg 3 1019273"/>
    <s v="74114921226"/>
    <n v="7506.7719999999999"/>
    <n v="0"/>
    <n v="58094"/>
  </r>
  <r>
    <x v="9"/>
    <s v="06157-9"/>
    <s v="Furesøbad"/>
    <n v="5489"/>
    <m/>
    <s v="Furesøbad"/>
    <x v="53"/>
    <x v="0"/>
    <x v="3"/>
    <n v="69202.92"/>
    <n v="12"/>
    <m/>
    <n v="0"/>
    <n v="2801"/>
    <n v="24.705622000000002"/>
    <n v="2"/>
    <x v="2"/>
    <x v="2014"/>
    <n v="32456.16"/>
    <n v="0"/>
    <s v="Byg 1 800231/1118660"/>
    <s v="74111808063"/>
    <n v="69202.904999999999"/>
    <n v="0"/>
    <n v="58001"/>
  </r>
  <r>
    <x v="9"/>
    <s v="06157-9"/>
    <s v="Furesøbad"/>
    <n v="5489"/>
    <m/>
    <s v="Furesøbad"/>
    <x v="53"/>
    <x v="0"/>
    <x v="3"/>
    <n v="42798.03"/>
    <n v="12"/>
    <m/>
    <n v="0"/>
    <n v="2801"/>
    <n v="15.279007999999999"/>
    <n v="2"/>
    <x v="2"/>
    <x v="2015"/>
    <n v="20072.29"/>
    <n v="0"/>
    <s v="Byg 2 799430"/>
    <s v="74111885200"/>
    <n v="42798.044000000002"/>
    <n v="0"/>
    <n v="58091"/>
  </r>
  <r>
    <x v="9"/>
    <s v="06157-9"/>
    <s v="Furesøbad"/>
    <n v="5489"/>
    <m/>
    <s v="Furesøbad"/>
    <x v="53"/>
    <x v="0"/>
    <x v="3"/>
    <n v="7497.98"/>
    <n v="12"/>
    <m/>
    <n v="0"/>
    <n v="2801"/>
    <n v="2.6767979999999998"/>
    <n v="2"/>
    <x v="2"/>
    <x v="2016"/>
    <n v="3516.55"/>
    <n v="0"/>
    <s v="Byg 3 1019273"/>
    <s v="74114921226"/>
    <n v="7497.9759999999997"/>
    <n v="0"/>
    <n v="58094"/>
  </r>
  <r>
    <x v="9"/>
    <s v="06157-9"/>
    <s v="Furesøbad"/>
    <n v="5489"/>
    <m/>
    <s v="Furesøbad"/>
    <x v="53"/>
    <x v="0"/>
    <x v="4"/>
    <n v="70223.77"/>
    <n v="12"/>
    <m/>
    <n v="0"/>
    <n v="2801"/>
    <n v="25.070067999999999"/>
    <n v="2"/>
    <x v="2"/>
    <x v="2017"/>
    <n v="32934.93"/>
    <n v="0"/>
    <s v="Byg 1 800231/1118660"/>
    <s v="74111808063"/>
    <n v="70223.759999999995"/>
    <n v="0"/>
    <n v="58001"/>
  </r>
  <r>
    <x v="9"/>
    <s v="06157-9"/>
    <s v="Furesøbad"/>
    <n v="5489"/>
    <m/>
    <s v="Furesøbad"/>
    <x v="53"/>
    <x v="0"/>
    <x v="4"/>
    <n v="39572.82"/>
    <n v="12"/>
    <m/>
    <n v="0"/>
    <n v="2801"/>
    <n v="14.127599"/>
    <n v="2"/>
    <x v="2"/>
    <x v="2018"/>
    <n v="18559.66"/>
    <n v="0"/>
    <s v="Byg 2 799430"/>
    <s v="74111885200"/>
    <n v="39572.813999999998"/>
    <n v="0"/>
    <n v="58091"/>
  </r>
  <r>
    <x v="9"/>
    <s v="06157-9"/>
    <s v="Furesøbad"/>
    <n v="5489"/>
    <m/>
    <s v="Furesøbad"/>
    <x v="53"/>
    <x v="0"/>
    <x v="4"/>
    <n v="7601.35"/>
    <n v="12"/>
    <m/>
    <n v="0"/>
    <n v="2801"/>
    <n v="2.7137009999999999"/>
    <n v="2"/>
    <x v="2"/>
    <x v="2019"/>
    <n v="3565.01"/>
    <n v="0"/>
    <s v="Byg 3 1019273"/>
    <s v="74114921226"/>
    <n v="7601.35"/>
    <n v="0"/>
    <n v="58094"/>
  </r>
  <r>
    <x v="9"/>
    <s v="06157-9"/>
    <s v="Furesøbad"/>
    <n v="5489"/>
    <m/>
    <s v="Furesøbad"/>
    <x v="53"/>
    <x v="0"/>
    <x v="5"/>
    <n v="7593.27"/>
    <n v="12"/>
    <m/>
    <n v="0"/>
    <n v="2801"/>
    <n v="2.710817"/>
    <n v="2"/>
    <x v="2"/>
    <x v="2020"/>
    <n v="3561.25"/>
    <n v="0"/>
    <s v="Byg 3 1019273"/>
    <s v="74114921226"/>
    <n v="7593.2619999999997"/>
    <n v="0"/>
    <n v="58094"/>
  </r>
  <r>
    <x v="9"/>
    <s v="06157-9"/>
    <s v="Furesøbad"/>
    <n v="5489"/>
    <m/>
    <s v="Furesøbad"/>
    <x v="53"/>
    <x v="0"/>
    <x v="5"/>
    <n v="63919.85"/>
    <n v="12"/>
    <m/>
    <n v="0"/>
    <n v="2801"/>
    <n v="22.819552999999999"/>
    <n v="2"/>
    <x v="2"/>
    <x v="2021"/>
    <n v="29978.41"/>
    <n v="0"/>
    <s v="Byg 1 800231/1118660"/>
    <s v="74111808063"/>
    <n v="63919.845000000001"/>
    <n v="0"/>
    <n v="58001"/>
  </r>
  <r>
    <x v="9"/>
    <s v="06157-9"/>
    <s v="Furesøbad"/>
    <n v="5489"/>
    <m/>
    <s v="Furesøbad"/>
    <x v="53"/>
    <x v="0"/>
    <x v="5"/>
    <n v="42891.15"/>
    <n v="12"/>
    <m/>
    <n v="0"/>
    <n v="2801"/>
    <n v="15.312252000000001"/>
    <n v="2"/>
    <x v="2"/>
    <x v="2022"/>
    <n v="20115.97"/>
    <n v="0"/>
    <s v="Byg 2 799430"/>
    <s v="74111885200"/>
    <n v="42891.161999999997"/>
    <n v="0"/>
    <n v="58091"/>
  </r>
  <r>
    <x v="9"/>
    <s v="06157-9"/>
    <s v="Furesøbad"/>
    <n v="5489"/>
    <m/>
    <s v="Furesøbad"/>
    <x v="53"/>
    <x v="0"/>
    <x v="6"/>
    <n v="55416.92"/>
    <n v="12"/>
    <m/>
    <n v="0"/>
    <n v="2801"/>
    <n v="19.783984"/>
    <n v="2"/>
    <x v="2"/>
    <x v="2023"/>
    <n v="25990.55"/>
    <n v="0"/>
    <s v="Byg 1 800231/1118660"/>
    <s v="74111808063"/>
    <n v="55416.93"/>
    <n v="0"/>
    <n v="58001"/>
  </r>
  <r>
    <x v="9"/>
    <s v="06157-9"/>
    <s v="Furesøbad"/>
    <n v="5489"/>
    <m/>
    <s v="Furesøbad"/>
    <x v="53"/>
    <x v="0"/>
    <x v="6"/>
    <n v="44284.19"/>
    <n v="12"/>
    <m/>
    <n v="0"/>
    <n v="2801"/>
    <n v="15.809571"/>
    <n v="2"/>
    <x v="2"/>
    <x v="2024"/>
    <n v="20769.28"/>
    <n v="0"/>
    <s v="Byg 2 799430"/>
    <s v="74111885200"/>
    <n v="44284.188000000002"/>
    <n v="0"/>
    <n v="58091"/>
  </r>
  <r>
    <x v="9"/>
    <s v="06157-9"/>
    <s v="Furesøbad"/>
    <n v="5489"/>
    <m/>
    <s v="Furesøbad"/>
    <x v="53"/>
    <x v="0"/>
    <x v="6"/>
    <n v="7190.55"/>
    <n v="12"/>
    <m/>
    <n v="0"/>
    <n v="2801"/>
    <n v="2.5670449999999998"/>
    <n v="2"/>
    <x v="2"/>
    <x v="2025"/>
    <n v="3372.35"/>
    <n v="0"/>
    <s v="Byg 3 1019273"/>
    <s v="74114921226"/>
    <n v="7190.55"/>
    <n v="0"/>
    <n v="58094"/>
  </r>
  <r>
    <x v="9"/>
    <s v="06157-9"/>
    <s v="Furesøbad"/>
    <n v="6031"/>
    <m/>
    <s v="Manuel aflæsning"/>
    <x v="53"/>
    <x v="1"/>
    <x v="0"/>
    <n v="0"/>
    <n v="3"/>
    <s v="2015-03-31"/>
    <n v="0"/>
    <n v="0"/>
    <n v="245814.6"/>
    <n v="2"/>
    <x v="2"/>
    <x v="2026"/>
    <n v="9832.59"/>
    <n v="1"/>
    <s v="577109"/>
    <m/>
    <n v="24581.466670000002"/>
    <n v="0"/>
    <n v="60686"/>
  </r>
  <r>
    <x v="9"/>
    <s v="06157-9"/>
    <s v="Furesøbad"/>
    <n v="6031"/>
    <m/>
    <s v="Manuel aflæsning"/>
    <x v="53"/>
    <x v="1"/>
    <x v="0"/>
    <n v="0"/>
    <n v="4"/>
    <s v="2015-05-05"/>
    <n v="0"/>
    <n v="0"/>
    <n v="24060"/>
    <n v="2"/>
    <x v="2"/>
    <x v="2027"/>
    <n v="962.4"/>
    <n v="0"/>
    <s v="813314"/>
    <m/>
    <n v="2406"/>
    <n v="0"/>
    <n v="60687"/>
  </r>
  <r>
    <x v="9"/>
    <s v="06157-9"/>
    <s v="Furesøbad"/>
    <n v="6031"/>
    <m/>
    <s v="Manuel aflæsning"/>
    <x v="53"/>
    <x v="1"/>
    <x v="0"/>
    <n v="0"/>
    <n v="4"/>
    <s v="2015-05-05"/>
    <n v="0"/>
    <n v="0"/>
    <n v="4906.3999999999996"/>
    <n v="2"/>
    <x v="2"/>
    <x v="2028"/>
    <n v="196.27"/>
    <n v="1"/>
    <s v="0540 00081290"/>
    <m/>
    <n v="490.64445000000001"/>
    <n v="0"/>
    <n v="62511"/>
  </r>
  <r>
    <x v="9"/>
    <s v="06157-9"/>
    <s v="Furesøbad"/>
    <n v="6031"/>
    <m/>
    <s v="Manuel aflæsning"/>
    <x v="53"/>
    <x v="0"/>
    <x v="1"/>
    <n v="0"/>
    <n v="11"/>
    <s v="2015-05-05"/>
    <n v="0"/>
    <n v="0"/>
    <n v="0"/>
    <n v="2"/>
    <x v="2"/>
    <x v="1"/>
    <n v="0"/>
    <n v="0"/>
    <s v="813314"/>
    <m/>
    <n v="0"/>
    <n v="0"/>
    <n v="60687"/>
  </r>
  <r>
    <x v="9"/>
    <s v="06157-9"/>
    <s v="Furesøbad"/>
    <n v="6031"/>
    <m/>
    <s v="Manuel aflæsning"/>
    <x v="53"/>
    <x v="0"/>
    <x v="1"/>
    <n v="105430.93"/>
    <n v="9"/>
    <s v="2015-03-31"/>
    <n v="0"/>
    <n v="0"/>
    <n v="1054309.3"/>
    <n v="2"/>
    <x v="2"/>
    <x v="2029"/>
    <n v="42172.37"/>
    <n v="1"/>
    <s v="577109"/>
    <m/>
    <n v="105430.91761"/>
    <n v="0"/>
    <n v="60686"/>
  </r>
  <r>
    <x v="9"/>
    <s v="06157-9"/>
    <s v="Furesøbad"/>
    <n v="6031"/>
    <m/>
    <s v="Manuel aflæsning"/>
    <x v="53"/>
    <x v="0"/>
    <x v="1"/>
    <n v="3331.39"/>
    <n v="11"/>
    <s v="2015-05-05"/>
    <n v="0"/>
    <n v="0"/>
    <n v="33313.9"/>
    <n v="2"/>
    <x v="2"/>
    <x v="2030"/>
    <n v="1332.56"/>
    <n v="1"/>
    <s v="0540 00081290"/>
    <m/>
    <n v="3331.3812499999999"/>
    <n v="0"/>
    <n v="62511"/>
  </r>
  <r>
    <x v="9"/>
    <s v="06157-9"/>
    <s v="Furesøbad"/>
    <n v="6031"/>
    <m/>
    <s v="Manuel aflæsning"/>
    <x v="53"/>
    <x v="0"/>
    <x v="2"/>
    <n v="0"/>
    <n v="8"/>
    <s v="2015-05-05"/>
    <n v="0"/>
    <n v="0"/>
    <n v="0"/>
    <n v="2"/>
    <x v="2"/>
    <x v="1"/>
    <n v="0"/>
    <n v="0"/>
    <s v="813314"/>
    <m/>
    <n v="0"/>
    <n v="0"/>
    <n v="60687"/>
  </r>
  <r>
    <x v="9"/>
    <s v="06157-9"/>
    <s v="Furesøbad"/>
    <n v="6031"/>
    <m/>
    <s v="Manuel aflæsning"/>
    <x v="53"/>
    <x v="0"/>
    <x v="2"/>
    <n v="114923.93"/>
    <n v="8"/>
    <s v="2015-03-31"/>
    <n v="0"/>
    <n v="0"/>
    <n v="1149239.3"/>
    <n v="2"/>
    <x v="2"/>
    <x v="2031"/>
    <n v="45969.57"/>
    <n v="1"/>
    <s v="577109"/>
    <m/>
    <n v="114923.90846999999"/>
    <n v="0"/>
    <n v="60686"/>
  </r>
  <r>
    <x v="9"/>
    <s v="06157-9"/>
    <s v="Furesøbad"/>
    <n v="6031"/>
    <m/>
    <s v="Manuel aflæsning"/>
    <x v="53"/>
    <x v="0"/>
    <x v="2"/>
    <n v="1708.62"/>
    <n v="10"/>
    <s v="2015-05-05"/>
    <n v="0"/>
    <n v="0"/>
    <n v="17086.2"/>
    <n v="2"/>
    <x v="2"/>
    <x v="2032"/>
    <n v="683.44"/>
    <n v="1"/>
    <s v="0540 00081290"/>
    <m/>
    <n v="1708.6187500000001"/>
    <n v="0"/>
    <n v="62511"/>
  </r>
  <r>
    <x v="9"/>
    <s v="06157-9"/>
    <s v="Furesøbad"/>
    <n v="6031"/>
    <m/>
    <s v="Manuel aflæsning"/>
    <x v="53"/>
    <x v="0"/>
    <x v="3"/>
    <n v="122910.31"/>
    <n v="13"/>
    <s v="2015-03-31"/>
    <n v="0"/>
    <n v="0"/>
    <n v="1229103.1000000001"/>
    <n v="2"/>
    <x v="2"/>
    <x v="2033"/>
    <n v="57644.92"/>
    <n v="1"/>
    <s v="577109"/>
    <m/>
    <n v="122910.30967"/>
    <n v="0"/>
    <n v="60686"/>
  </r>
  <r>
    <x v="9"/>
    <s v="06157-9"/>
    <s v="Furesøbad"/>
    <n v="6031"/>
    <m/>
    <s v="Manuel aflæsning"/>
    <x v="53"/>
    <x v="0"/>
    <x v="3"/>
    <n v="924"/>
    <n v="11"/>
    <s v="2015-05-05"/>
    <n v="0"/>
    <n v="0"/>
    <n v="9240"/>
    <n v="2"/>
    <x v="2"/>
    <x v="2034"/>
    <n v="433.36"/>
    <n v="0"/>
    <s v="813314"/>
    <m/>
    <n v="924"/>
    <n v="0"/>
    <n v="60687"/>
  </r>
  <r>
    <x v="9"/>
    <s v="06157-9"/>
    <s v="Furesøbad"/>
    <n v="6031"/>
    <m/>
    <s v="Manuel aflæsning"/>
    <x v="53"/>
    <x v="0"/>
    <x v="3"/>
    <n v="2044.64"/>
    <n v="11"/>
    <s v="2015-05-05"/>
    <n v="0"/>
    <n v="0"/>
    <n v="20446.400000000001"/>
    <n v="2"/>
    <x v="2"/>
    <x v="2035"/>
    <n v="958.94"/>
    <n v="1"/>
    <s v="0540 00081290"/>
    <m/>
    <n v="2044.6322500000001"/>
    <n v="0"/>
    <n v="62511"/>
  </r>
  <r>
    <x v="9"/>
    <s v="06157-9"/>
    <s v="Furesøbad"/>
    <n v="6031"/>
    <m/>
    <s v="Manuel aflæsning"/>
    <x v="53"/>
    <x v="0"/>
    <x v="4"/>
    <n v="1113"/>
    <n v="12"/>
    <s v="2015-05-05"/>
    <n v="0"/>
    <n v="0"/>
    <n v="11130"/>
    <n v="2"/>
    <x v="2"/>
    <x v="2036"/>
    <n v="522"/>
    <n v="0"/>
    <s v="813314"/>
    <m/>
    <n v="1113"/>
    <n v="0"/>
    <n v="60687"/>
  </r>
  <r>
    <x v="9"/>
    <s v="06157-9"/>
    <s v="Furesøbad"/>
    <n v="6031"/>
    <m/>
    <s v="Manuel aflæsning"/>
    <x v="53"/>
    <x v="0"/>
    <x v="4"/>
    <n v="146109.71"/>
    <n v="12"/>
    <s v="2015-03-31"/>
    <n v="0"/>
    <n v="0"/>
    <n v="1461097.1"/>
    <n v="2"/>
    <x v="2"/>
    <x v="2037"/>
    <n v="68525.45"/>
    <n v="1"/>
    <s v="577109"/>
    <m/>
    <n v="146109.71139000001"/>
    <n v="0"/>
    <n v="60686"/>
  </r>
  <r>
    <x v="9"/>
    <s v="06157-9"/>
    <s v="Furesøbad"/>
    <n v="6031"/>
    <m/>
    <s v="Manuel aflæsning"/>
    <x v="53"/>
    <x v="0"/>
    <x v="4"/>
    <n v="2980.43"/>
    <n v="12"/>
    <s v="2015-05-05"/>
    <n v="0"/>
    <n v="0"/>
    <n v="29804.3"/>
    <n v="2"/>
    <x v="2"/>
    <x v="2038"/>
    <n v="1397.83"/>
    <n v="1"/>
    <s v="0540 00081290"/>
    <m/>
    <n v="2980.4414200000001"/>
    <n v="0"/>
    <n v="62511"/>
  </r>
  <r>
    <x v="9"/>
    <s v="06157-9"/>
    <s v="Furesøbad"/>
    <n v="6031"/>
    <m/>
    <s v="Manuel aflæsning"/>
    <x v="53"/>
    <x v="0"/>
    <x v="5"/>
    <n v="384"/>
    <n v="12"/>
    <s v="2015-05-05"/>
    <n v="0"/>
    <n v="0"/>
    <n v="3840"/>
    <n v="2"/>
    <x v="2"/>
    <x v="2039"/>
    <n v="180.09"/>
    <n v="0"/>
    <s v="813314"/>
    <m/>
    <n v="384"/>
    <n v="0"/>
    <n v="60687"/>
  </r>
  <r>
    <x v="9"/>
    <s v="06157-9"/>
    <s v="Furesøbad"/>
    <n v="6031"/>
    <m/>
    <s v="Manuel aflæsning"/>
    <x v="53"/>
    <x v="0"/>
    <x v="5"/>
    <n v="158843.04999999999"/>
    <n v="12"/>
    <s v="2015-03-31"/>
    <n v="0"/>
    <n v="0"/>
    <n v="1588430.5"/>
    <n v="2"/>
    <x v="2"/>
    <x v="2040"/>
    <n v="74497.38"/>
    <n v="1"/>
    <s v="577109"/>
    <m/>
    <n v="158843.04954000001"/>
    <n v="0"/>
    <n v="60686"/>
  </r>
  <r>
    <x v="9"/>
    <s v="06157-9"/>
    <s v="Furesøbad"/>
    <n v="6031"/>
    <m/>
    <s v="Manuel aflæsning"/>
    <x v="53"/>
    <x v="0"/>
    <x v="5"/>
    <n v="4572.59"/>
    <n v="12"/>
    <s v="2015-05-05"/>
    <n v="0"/>
    <n v="0"/>
    <n v="45725.9"/>
    <n v="2"/>
    <x v="2"/>
    <x v="2041"/>
    <n v="2144.5500000000002"/>
    <n v="1"/>
    <s v="0540 00081290"/>
    <m/>
    <n v="4572.5851400000001"/>
    <n v="0"/>
    <n v="62511"/>
  </r>
  <r>
    <x v="9"/>
    <s v="06157-9"/>
    <s v="Furesøbad"/>
    <n v="6031"/>
    <m/>
    <s v="Manuel aflæsning"/>
    <x v="53"/>
    <x v="0"/>
    <x v="6"/>
    <n v="1215"/>
    <n v="12"/>
    <s v="2015-05-05"/>
    <n v="0"/>
    <n v="0"/>
    <n v="12150"/>
    <n v="2"/>
    <x v="2"/>
    <x v="2042"/>
    <n v="569.84"/>
    <n v="0"/>
    <s v="813314"/>
    <m/>
    <n v="1215"/>
    <n v="0"/>
    <n v="60687"/>
  </r>
  <r>
    <x v="9"/>
    <s v="06157-9"/>
    <s v="Furesøbad"/>
    <n v="6031"/>
    <m/>
    <s v="Manuel aflæsning"/>
    <x v="53"/>
    <x v="0"/>
    <x v="6"/>
    <n v="117311.39"/>
    <n v="8"/>
    <s v="2015-03-31"/>
    <n v="0"/>
    <n v="0"/>
    <n v="1173113.8999999999"/>
    <n v="2"/>
    <x v="2"/>
    <x v="2043"/>
    <n v="55019.02"/>
    <n v="1"/>
    <s v="577109"/>
    <m/>
    <n v="117311.38657"/>
    <n v="0"/>
    <n v="60686"/>
  </r>
  <r>
    <x v="9"/>
    <s v="06157-9"/>
    <s v="Furesøbad"/>
    <n v="6031"/>
    <m/>
    <s v="Manuel aflæsning"/>
    <x v="53"/>
    <x v="0"/>
    <x v="6"/>
    <n v="2345.16"/>
    <n v="12"/>
    <s v="2015-05-05"/>
    <n v="0"/>
    <n v="0"/>
    <n v="23451.599999999999"/>
    <n v="2"/>
    <x v="2"/>
    <x v="2044"/>
    <n v="1099.8800000000001"/>
    <n v="1"/>
    <s v="0540 00081290"/>
    <m/>
    <n v="2345.1669900000002"/>
    <n v="0"/>
    <n v="62511"/>
  </r>
  <r>
    <x v="9"/>
    <m/>
    <s v="Hareskov Idræt, Birke 15"/>
    <n v="10207"/>
    <m/>
    <s v="Hareskov Idræt"/>
    <x v="82"/>
    <x v="0"/>
    <x v="0"/>
    <n v="9939"/>
    <n v="5"/>
    <s v="2011-11-30"/>
    <n v="0"/>
    <n v="505"/>
    <n v="8.0257769999999997"/>
    <n v="2"/>
    <x v="2"/>
    <x v="2045"/>
    <n v="1216.1500000000001"/>
    <n v="0"/>
    <s v="4160062"/>
    <s v="74110491822"/>
    <n v="4053.826"/>
    <n v="0"/>
    <n v="77399"/>
  </r>
  <r>
    <x v="9"/>
    <m/>
    <s v="Hareskov Idræt, Birke 15"/>
    <n v="10207"/>
    <m/>
    <s v="Hareskov Idræt"/>
    <x v="82"/>
    <x v="0"/>
    <x v="1"/>
    <n v="14695.89"/>
    <n v="12"/>
    <s v="2011-11-30"/>
    <n v="0"/>
    <n v="505"/>
    <n v="29.095009999999998"/>
    <n v="2"/>
    <x v="2"/>
    <x v="2046"/>
    <n v="4408.7700000000004"/>
    <n v="0"/>
    <s v="4160062"/>
    <s v="74110491822"/>
    <n v="14695.894"/>
    <n v="0"/>
    <n v="77399"/>
  </r>
  <r>
    <x v="9"/>
    <m/>
    <s v="Hareskov Idræt, Birke 15"/>
    <n v="10207"/>
    <m/>
    <s v="Hareskov Idræt"/>
    <x v="82"/>
    <x v="0"/>
    <x v="2"/>
    <n v="12294.21"/>
    <n v="12"/>
    <s v="2011-11-30"/>
    <n v="0"/>
    <n v="505"/>
    <n v="24.340150000000001"/>
    <n v="2"/>
    <x v="2"/>
    <x v="2047"/>
    <n v="4917.7"/>
    <n v="0"/>
    <s v="4160062"/>
    <s v="74110491822"/>
    <n v="12294.207"/>
    <n v="0"/>
    <n v="77399"/>
  </r>
  <r>
    <x v="9"/>
    <m/>
    <s v="Hareskov Idræt, Birke 15"/>
    <n v="10207"/>
    <m/>
    <s v="Hareskov Idræt"/>
    <x v="82"/>
    <x v="0"/>
    <x v="3"/>
    <n v="9790.56"/>
    <n v="3"/>
    <s v="2011-11-30"/>
    <n v="0"/>
    <n v="505"/>
    <n v="19.383409"/>
    <n v="2"/>
    <x v="2"/>
    <x v="2048"/>
    <n v="4591.7700000000004"/>
    <n v="0"/>
    <s v="4160062"/>
    <s v="74110491822"/>
    <n v="9790.5600200000008"/>
    <n v="0"/>
    <n v="77399"/>
  </r>
  <r>
    <x v="9"/>
    <m/>
    <s v="Hareskov Idræt, Birke 15"/>
    <n v="10207"/>
    <m/>
    <s v="Hareskov Idræt"/>
    <x v="82"/>
    <x v="0"/>
    <x v="4"/>
    <n v="12505.92"/>
    <n v="3"/>
    <s v="2011-11-30"/>
    <n v="0"/>
    <n v="505"/>
    <n v="24.759295000000002"/>
    <n v="2"/>
    <x v="2"/>
    <x v="2049"/>
    <n v="5865.28"/>
    <n v="0"/>
    <s v="4160062"/>
    <s v="74110491822"/>
    <n v="12505.9139"/>
    <n v="0"/>
    <n v="77399"/>
  </r>
  <r>
    <x v="9"/>
    <m/>
    <s v="Hareskov Idræt, Birke 15"/>
    <n v="10207"/>
    <m/>
    <s v="Hareskov Idræt"/>
    <x v="82"/>
    <x v="0"/>
    <x v="5"/>
    <n v="13360.55"/>
    <n v="0"/>
    <s v="2011-11-30"/>
    <n v="0"/>
    <n v="505"/>
    <n v="26.451295999999999"/>
    <n v="2"/>
    <x v="2"/>
    <x v="2050"/>
    <n v="6266.1"/>
    <n v="0"/>
    <s v="4160062"/>
    <s v="74110491822"/>
    <n v="13360.532209999999"/>
    <n v="0"/>
    <n v="77399"/>
  </r>
  <r>
    <x v="9"/>
    <m/>
    <s v="Hareskov Idræt, Birke 15"/>
    <n v="10207"/>
    <m/>
    <s v="Hareskov Idræt"/>
    <x v="82"/>
    <x v="0"/>
    <x v="6"/>
    <n v="13203.23"/>
    <n v="6"/>
    <s v="2011-11-30"/>
    <n v="0"/>
    <n v="505"/>
    <n v="26.139832999999999"/>
    <n v="2"/>
    <x v="2"/>
    <x v="2051"/>
    <n v="6192.33"/>
    <n v="0"/>
    <s v="4160062"/>
    <s v="74110491822"/>
    <n v="13203.22892"/>
    <n v="0"/>
    <n v="77399"/>
  </r>
  <r>
    <x v="9"/>
    <m/>
    <s v="Kirke Værløse Idrætanlæg, Lejr 21"/>
    <n v="10204"/>
    <m/>
    <s v="Kirke Værløse Idrætsanlæg"/>
    <x v="61"/>
    <x v="0"/>
    <x v="0"/>
    <n v="9970"/>
    <n v="5"/>
    <s v="2011-09-30"/>
    <n v="0"/>
    <n v="445"/>
    <n v="8.7925179999999994"/>
    <n v="2"/>
    <x v="2"/>
    <x v="2052"/>
    <n v="1174.06"/>
    <n v="0"/>
    <s v="4161811"/>
    <s v="74112222622"/>
    <n v="3913.5410000000002"/>
    <n v="0"/>
    <n v="77386"/>
  </r>
  <r>
    <x v="9"/>
    <m/>
    <s v="Kirke Værløse Idrætanlæg, Lejr 21"/>
    <n v="10204"/>
    <m/>
    <s v="Kirke Værløse Idrætsanlæg"/>
    <x v="61"/>
    <x v="0"/>
    <x v="1"/>
    <n v="12708.84"/>
    <n v="12"/>
    <s v="2011-09-30"/>
    <n v="0"/>
    <n v="445"/>
    <n v="28.552773999999999"/>
    <n v="2"/>
    <x v="2"/>
    <x v="2053"/>
    <n v="3812.64"/>
    <n v="0"/>
    <s v="4161811"/>
    <s v="74112222622"/>
    <n v="12708.844999999999"/>
    <n v="0"/>
    <n v="77386"/>
  </r>
  <r>
    <x v="9"/>
    <m/>
    <s v="Kirke Værløse Idrætanlæg, Lejr 21"/>
    <n v="10204"/>
    <m/>
    <s v="Kirke Værløse Idrætsanlæg"/>
    <x v="61"/>
    <x v="0"/>
    <x v="2"/>
    <n v="12475.99"/>
    <n v="12"/>
    <s v="2011-09-30"/>
    <n v="0"/>
    <n v="445"/>
    <n v="28.029633"/>
    <n v="2"/>
    <x v="2"/>
    <x v="2054"/>
    <n v="4990.3999999999996"/>
    <n v="0"/>
    <s v="4161811"/>
    <s v="74112222622"/>
    <n v="12476.007"/>
    <n v="0"/>
    <n v="77386"/>
  </r>
  <r>
    <x v="9"/>
    <m/>
    <s v="Kirke Værløse Idrætanlæg, Lejr 21"/>
    <n v="10204"/>
    <m/>
    <s v="Kirke Værløse Idrætsanlæg"/>
    <x v="61"/>
    <x v="0"/>
    <x v="3"/>
    <n v="12867.88"/>
    <n v="5"/>
    <s v="2011-09-30"/>
    <n v="0"/>
    <n v="445"/>
    <n v="28.910087000000001"/>
    <n v="2"/>
    <x v="2"/>
    <x v="2055"/>
    <n v="6035.03"/>
    <n v="0"/>
    <s v="4161811"/>
    <s v="74112222622"/>
    <n v="12867.882670000001"/>
    <n v="0"/>
    <n v="77386"/>
  </r>
  <r>
    <x v="9"/>
    <m/>
    <s v="Kirke Værløse Idrætanlæg, Lejr 21"/>
    <n v="10204"/>
    <m/>
    <s v="Kirke Værløse Idrætsanlæg"/>
    <x v="61"/>
    <x v="0"/>
    <x v="4"/>
    <n v="14453.25"/>
    <n v="3"/>
    <s v="2011-09-30"/>
    <n v="0"/>
    <n v="445"/>
    <n v="32.471916"/>
    <n v="2"/>
    <x v="2"/>
    <x v="2056"/>
    <n v="6778.58"/>
    <n v="0"/>
    <s v="4161811"/>
    <s v="74112222622"/>
    <n v="14453.2302"/>
    <n v="0"/>
    <n v="77386"/>
  </r>
  <r>
    <x v="9"/>
    <m/>
    <s v="Kirke Værløse Idrætanlæg, Lejr 21"/>
    <n v="10204"/>
    <m/>
    <s v="Kirke Værløse Idrætsanlæg"/>
    <x v="61"/>
    <x v="0"/>
    <x v="5"/>
    <n v="14953.93"/>
    <n v="0"/>
    <s v="2011-09-30"/>
    <n v="0"/>
    <n v="445"/>
    <n v="33.596786999999999"/>
    <n v="2"/>
    <x v="2"/>
    <x v="2057"/>
    <n v="7013.39"/>
    <n v="0"/>
    <s v="4161811"/>
    <s v="74112222622"/>
    <n v="14953.90741"/>
    <n v="0"/>
    <n v="77386"/>
  </r>
  <r>
    <x v="9"/>
    <m/>
    <s v="Kirke Værløse Idrætanlæg, Lejr 21"/>
    <n v="10204"/>
    <m/>
    <s v="Kirke Værløse Idrætsanlæg"/>
    <x v="61"/>
    <x v="0"/>
    <x v="6"/>
    <n v="16051.45"/>
    <n v="7"/>
    <s v="2011-09-30"/>
    <n v="0"/>
    <n v="445"/>
    <n v="36.062570000000001"/>
    <n v="2"/>
    <x v="2"/>
    <x v="2058"/>
    <n v="7528.14"/>
    <n v="0"/>
    <s v="4161811"/>
    <s v="74112222622"/>
    <n v="16051.43446"/>
    <n v="0"/>
    <n v="77386"/>
  </r>
  <r>
    <x v="9"/>
    <s v="6408"/>
    <s v="Skallepanden V M Amdrupvej 17"/>
    <n v="13664"/>
    <s v="0"/>
    <s v="Skallepanden"/>
    <x v="55"/>
    <x v="0"/>
    <x v="0"/>
    <n v="1512"/>
    <n v="5"/>
    <s v="2013-11-30"/>
    <n v="0"/>
    <n v="138"/>
    <n v="4.3294709999999998"/>
    <n v="2"/>
    <x v="2"/>
    <x v="2059"/>
    <n v="179.36"/>
    <n v="0"/>
    <s v="4219857"/>
    <s v="74111476767"/>
    <n v="597.89099999999996"/>
    <n v="0"/>
    <n v="91255"/>
  </r>
  <r>
    <x v="9"/>
    <s v="6408"/>
    <s v="Skallepanden V M Amdrupvej 17"/>
    <n v="13664"/>
    <s v="0"/>
    <s v="Skallepanden"/>
    <x v="55"/>
    <x v="0"/>
    <x v="1"/>
    <n v="1522.36"/>
    <n v="7"/>
    <s v="2013-11-30"/>
    <n v="0"/>
    <n v="138"/>
    <n v="11.023605999999999"/>
    <n v="2"/>
    <x v="2"/>
    <x v="2060"/>
    <n v="456.71"/>
    <n v="0"/>
    <s v="4219857"/>
    <s v="74111476767"/>
    <n v="1522.3584599999999"/>
    <n v="0"/>
    <n v="91255"/>
  </r>
  <r>
    <x v="9"/>
    <s v="6408"/>
    <s v="Skallepanden V M Amdrupvej 17"/>
    <n v="13664"/>
    <s v="0"/>
    <s v="Skallepanden"/>
    <x v="55"/>
    <x v="0"/>
    <x v="2"/>
    <n v="1669.92"/>
    <n v="1"/>
    <s v="2013-11-30"/>
    <n v="0"/>
    <n v="138"/>
    <n v="12.092107"/>
    <n v="2"/>
    <x v="2"/>
    <x v="2061"/>
    <n v="667.97"/>
    <n v="0"/>
    <s v="4219857"/>
    <s v="74111476767"/>
    <n v="1669.92914"/>
    <n v="0"/>
    <n v="91255"/>
  </r>
  <r>
    <x v="9"/>
    <s v="6408"/>
    <s v="Skallepanden V M Amdrupvej 17"/>
    <n v="13664"/>
    <s v="0"/>
    <s v="Skallepanden"/>
    <x v="55"/>
    <x v="0"/>
    <x v="3"/>
    <n v="1423.62"/>
    <n v="1"/>
    <s v="2013-11-30"/>
    <n v="0"/>
    <n v="138"/>
    <n v="10.308616000000001"/>
    <n v="2"/>
    <x v="2"/>
    <x v="2062"/>
    <n v="667.67"/>
    <n v="0"/>
    <s v="4219857"/>
    <s v="74111476767"/>
    <n v="1423.6315099999999"/>
    <n v="0"/>
    <n v="91255"/>
  </r>
  <r>
    <x v="9"/>
    <s v="6408"/>
    <s v="Skallepanden V M Amdrupvej 17"/>
    <n v="13664"/>
    <s v="0"/>
    <s v="Skallepanden"/>
    <x v="55"/>
    <x v="0"/>
    <x v="4"/>
    <n v="1204.45"/>
    <n v="1"/>
    <s v="2013-11-30"/>
    <n v="0"/>
    <n v="138"/>
    <n v="8.7215779999999992"/>
    <n v="2"/>
    <x v="2"/>
    <x v="2063"/>
    <n v="564.89"/>
    <n v="0"/>
    <s v="4219857"/>
    <s v="74111476767"/>
    <n v="1204.4830400000001"/>
    <n v="0"/>
    <n v="91255"/>
  </r>
  <r>
    <x v="9"/>
    <s v="6408"/>
    <s v="Skallepanden V M Amdrupvej 17"/>
    <n v="13664"/>
    <s v="0"/>
    <s v="Skallepanden"/>
    <x v="55"/>
    <x v="0"/>
    <x v="5"/>
    <n v="1157.8900000000001"/>
    <n v="0"/>
    <s v="2013-11-30"/>
    <n v="0"/>
    <n v="138"/>
    <n v="8.3844309999999993"/>
    <n v="2"/>
    <x v="2"/>
    <x v="2064"/>
    <n v="543.05999999999995"/>
    <n v="0"/>
    <s v="4219857"/>
    <s v="74111476767"/>
    <n v="1157.9310399999999"/>
    <n v="0"/>
    <n v="91255"/>
  </r>
  <r>
    <x v="9"/>
    <s v="6408"/>
    <s v="Skallepanden V M Amdrupvej 17"/>
    <n v="13664"/>
    <s v="0"/>
    <s v="Skallepanden"/>
    <x v="55"/>
    <x v="0"/>
    <x v="6"/>
    <n v="1226.83"/>
    <n v="1"/>
    <s v="2013-11-30"/>
    <n v="0"/>
    <n v="138"/>
    <n v="8.8836349999999999"/>
    <n v="2"/>
    <x v="2"/>
    <x v="2065"/>
    <n v="575.38"/>
    <n v="0"/>
    <s v="4219857"/>
    <s v="74111476767"/>
    <n v="1226.8199500000001"/>
    <n v="0"/>
    <n v="91255"/>
  </r>
  <r>
    <x v="9"/>
    <m/>
    <s v="Værløse Boldklub, Stiager 6"/>
    <n v="10179"/>
    <m/>
    <s v="Værløse Boldklub"/>
    <x v="83"/>
    <x v="0"/>
    <x v="0"/>
    <n v="38785"/>
    <n v="4"/>
    <s v="2010-08-30"/>
    <n v="0"/>
    <n v="792"/>
    <n v="17.857984999999999"/>
    <n v="2"/>
    <x v="2"/>
    <x v="2066"/>
    <n v="4243.59"/>
    <n v="0"/>
    <s v="826640"/>
    <s v="74110486064"/>
    <n v="14145.306"/>
    <n v="0"/>
    <n v="77210"/>
  </r>
  <r>
    <x v="9"/>
    <m/>
    <s v="Værløse Boldklub, Stiager 6"/>
    <n v="10179"/>
    <m/>
    <s v="Værløse Boldklub"/>
    <x v="83"/>
    <x v="0"/>
    <x v="1"/>
    <n v="44179.99"/>
    <n v="12"/>
    <s v="2010-08-30"/>
    <n v="0"/>
    <n v="792"/>
    <n v="55.775773000000001"/>
    <n v="2"/>
    <x v="2"/>
    <x v="2067"/>
    <n v="13253.99"/>
    <n v="0"/>
    <s v="826640"/>
    <s v="74110486064"/>
    <n v="44179.982000000004"/>
    <n v="0"/>
    <n v="77210"/>
  </r>
  <r>
    <x v="9"/>
    <m/>
    <s v="Værløse Boldklub, Stiager 6"/>
    <n v="10179"/>
    <m/>
    <s v="Værløse Boldklub"/>
    <x v="83"/>
    <x v="0"/>
    <x v="2"/>
    <n v="43335.44"/>
    <n v="12"/>
    <s v="2010-08-30"/>
    <n v="0"/>
    <n v="792"/>
    <n v="54.709555999999999"/>
    <n v="2"/>
    <x v="2"/>
    <x v="2068"/>
    <n v="17334.169999999998"/>
    <n v="0"/>
    <s v="826640"/>
    <s v="74110486064"/>
    <n v="43335.438000000002"/>
    <n v="0"/>
    <n v="77210"/>
  </r>
  <r>
    <x v="9"/>
    <m/>
    <s v="Værløse Boldklub, Stiager 6"/>
    <n v="10179"/>
    <m/>
    <s v="Værløse Boldklub"/>
    <x v="83"/>
    <x v="0"/>
    <x v="3"/>
    <n v="46134.06"/>
    <n v="12"/>
    <s v="2010-08-30"/>
    <n v="0"/>
    <n v="792"/>
    <n v="58.242721000000003"/>
    <n v="2"/>
    <x v="2"/>
    <x v="2069"/>
    <n v="21636.880000000001"/>
    <n v="0"/>
    <s v="826640"/>
    <s v="74110486064"/>
    <n v="46134.06"/>
    <n v="0"/>
    <n v="77210"/>
  </r>
  <r>
    <x v="9"/>
    <m/>
    <s v="Værløse Boldklub, Stiager 6"/>
    <n v="10179"/>
    <m/>
    <s v="Værløse Boldklub"/>
    <x v="83"/>
    <x v="0"/>
    <x v="4"/>
    <n v="51099.22"/>
    <n v="9"/>
    <s v="2010-08-30"/>
    <n v="0"/>
    <n v="792"/>
    <n v="64.511071000000001"/>
    <n v="2"/>
    <x v="2"/>
    <x v="2070"/>
    <n v="23965.55"/>
    <n v="0"/>
    <s v="826640"/>
    <s v="74110486064"/>
    <n v="51099.238010000001"/>
    <n v="0"/>
    <n v="77210"/>
  </r>
  <r>
    <x v="9"/>
    <m/>
    <s v="Værløse Boldklub, Stiager 6"/>
    <n v="10179"/>
    <m/>
    <s v="Værløse Boldklub"/>
    <x v="83"/>
    <x v="0"/>
    <x v="5"/>
    <n v="53818.71"/>
    <n v="3"/>
    <s v="2010-08-30"/>
    <n v="0"/>
    <n v="792"/>
    <n v="67.944337000000004"/>
    <n v="2"/>
    <x v="2"/>
    <x v="2071"/>
    <n v="25240.97"/>
    <n v="0"/>
    <s v="826640"/>
    <s v="74110486064"/>
    <n v="53818.70912"/>
    <n v="0"/>
    <n v="77210"/>
  </r>
  <r>
    <x v="9"/>
    <m/>
    <s v="Værløse Boldklub, Stiager 6"/>
    <n v="10179"/>
    <m/>
    <s v="Værløse Boldklub"/>
    <x v="83"/>
    <x v="0"/>
    <x v="6"/>
    <n v="54268"/>
    <n v="7"/>
    <s v="2010-08-30"/>
    <n v="0"/>
    <n v="792"/>
    <n v="68.511550999999997"/>
    <n v="2"/>
    <x v="2"/>
    <x v="2072"/>
    <n v="25451.69"/>
    <n v="0"/>
    <s v="826640"/>
    <s v="74110486064"/>
    <n v="54267.994209999997"/>
    <n v="0"/>
    <n v="77210"/>
  </r>
  <r>
    <x v="9"/>
    <s v="5532"/>
    <s v="Værløse Tennis, LV77"/>
    <n v="13667"/>
    <s v="0"/>
    <s v="Værløse Tennis"/>
    <x v="84"/>
    <x v="0"/>
    <x v="0"/>
    <n v="29194"/>
    <n v="5"/>
    <m/>
    <n v="0"/>
    <n v="292"/>
    <n v="24.415645000000001"/>
    <n v="2"/>
    <x v="2"/>
    <x v="2073"/>
    <n v="2139.54"/>
    <n v="0"/>
    <s v="3103161"/>
    <s v="741 1600 8215"/>
    <n v="7131.8109999999997"/>
    <n v="0"/>
    <n v="96386"/>
  </r>
  <r>
    <x v="9"/>
    <s v="5532"/>
    <s v="Værløse Tennis, LV77"/>
    <n v="13667"/>
    <s v="0"/>
    <s v="Værløse Tennis"/>
    <x v="84"/>
    <x v="0"/>
    <x v="1"/>
    <n v="732.1"/>
    <n v="2"/>
    <s v="2013-07-30"/>
    <n v="0"/>
    <n v="292"/>
    <n v="2.5063330000000001"/>
    <n v="2"/>
    <x v="2"/>
    <x v="2074"/>
    <n v="219.63"/>
    <n v="1"/>
    <s v="BI 211800-210"/>
    <m/>
    <n v="732.1"/>
    <n v="0"/>
    <n v="94556"/>
  </r>
  <r>
    <x v="9"/>
    <m/>
    <s v="Boldbaner"/>
    <n v="14504"/>
    <s v="0"/>
    <s v="Værløse Bold og Tennis"/>
    <x v="85"/>
    <x v="0"/>
    <x v="1"/>
    <n v="20102.38"/>
    <n v="1"/>
    <s v="2014-03-18"/>
    <n v="0"/>
    <n v="0"/>
    <n v="201023.8"/>
    <n v="2"/>
    <x v="2"/>
    <x v="2075"/>
    <n v="6030.69"/>
    <n v="0"/>
    <s v="814763 - Kunstgræsbane"/>
    <m/>
    <n v="20102.361430000001"/>
    <n v="0"/>
    <n v="91262"/>
  </r>
  <r>
    <x v="9"/>
    <m/>
    <s v="Boldbaner"/>
    <n v="14504"/>
    <s v="0"/>
    <s v="Værløse Bold og Tennis"/>
    <x v="85"/>
    <x v="0"/>
    <x v="2"/>
    <n v="19442.150000000001"/>
    <n v="0"/>
    <s v="2014-03-18"/>
    <n v="0"/>
    <n v="0"/>
    <n v="194421.5"/>
    <n v="2"/>
    <x v="2"/>
    <x v="2076"/>
    <n v="7776.83"/>
    <n v="0"/>
    <s v="814763 - Kunstgræsbane"/>
    <m/>
    <n v="19442.10324"/>
    <n v="0"/>
    <n v="91262"/>
  </r>
  <r>
    <x v="9"/>
    <m/>
    <s v="Boldbaner"/>
    <n v="14504"/>
    <s v="0"/>
    <s v="Værløse Bold og Tennis"/>
    <x v="85"/>
    <x v="0"/>
    <x v="3"/>
    <n v="19647.509999999998"/>
    <n v="1"/>
    <s v="2014-03-18"/>
    <n v="0"/>
    <n v="0"/>
    <n v="196475.1"/>
    <n v="2"/>
    <x v="2"/>
    <x v="2077"/>
    <n v="9214.66"/>
    <n v="0"/>
    <s v="814763 - Kunstgræsbane"/>
    <m/>
    <n v="19647.49494"/>
    <n v="0"/>
    <n v="91262"/>
  </r>
  <r>
    <x v="9"/>
    <m/>
    <s v="Boldbaner"/>
    <n v="14504"/>
    <s v="0"/>
    <s v="Værløse Bold og Tennis"/>
    <x v="85"/>
    <x v="0"/>
    <x v="4"/>
    <n v="20933.96"/>
    <n v="1"/>
    <s v="2014-03-18"/>
    <n v="0"/>
    <n v="0"/>
    <n v="209339.6"/>
    <n v="2"/>
    <x v="2"/>
    <x v="2078"/>
    <n v="9818"/>
    <n v="0"/>
    <s v="814763 - Kunstgræsbane"/>
    <m/>
    <n v="20933.979579999999"/>
    <n v="0"/>
    <n v="91262"/>
  </r>
  <r>
    <x v="9"/>
    <m/>
    <s v="Boldbaner"/>
    <n v="14504"/>
    <s v="0"/>
    <s v="Værløse Bold og Tennis"/>
    <x v="85"/>
    <x v="0"/>
    <x v="5"/>
    <n v="21786.86"/>
    <n v="1"/>
    <s v="2014-03-18"/>
    <n v="0"/>
    <n v="0"/>
    <n v="217868.6"/>
    <n v="2"/>
    <x v="2"/>
    <x v="2079"/>
    <n v="10218.01"/>
    <n v="0"/>
    <s v="814763 - Kunstgræsbane"/>
    <m/>
    <n v="21786.879079999999"/>
    <n v="0"/>
    <n v="91262"/>
  </r>
  <r>
    <x v="9"/>
    <m/>
    <s v="Boldbaner"/>
    <n v="14504"/>
    <s v="0"/>
    <s v="Værløse Bold og Tennis"/>
    <x v="85"/>
    <x v="0"/>
    <x v="6"/>
    <n v="21468.46"/>
    <n v="4"/>
    <s v="2014-03-18"/>
    <n v="0"/>
    <n v="0"/>
    <n v="214684.6"/>
    <n v="2"/>
    <x v="2"/>
    <x v="2080"/>
    <n v="10068.700000000001"/>
    <n v="0"/>
    <s v="814763 - Kunstgræsbane"/>
    <m/>
    <n v="21468.445500000002"/>
    <n v="0"/>
    <n v="91262"/>
  </r>
  <r>
    <x v="9"/>
    <m/>
    <s v="Boldbaner"/>
    <n v="14504"/>
    <s v="0"/>
    <s v="Værløse Bold og Tennis"/>
    <x v="85"/>
    <x v="0"/>
    <x v="0"/>
    <n v="5579"/>
    <n v="1"/>
    <s v="2014-03-18"/>
    <n v="0"/>
    <n v="0"/>
    <m/>
    <n v="2"/>
    <x v="2"/>
    <x v="1079"/>
    <m/>
    <n v="0"/>
    <s v="814763 - Kunstgræsbane"/>
    <m/>
    <m/>
    <n v="0"/>
    <n v="91262"/>
  </r>
  <r>
    <x v="9"/>
    <m/>
    <s v="Boldbaner"/>
    <n v="14504"/>
    <s v="0"/>
    <s v="Værløse Bold og Tennis"/>
    <x v="85"/>
    <x v="0"/>
    <x v="7"/>
    <n v="14386.94"/>
    <n v="1"/>
    <s v="2014-03-18"/>
    <n v="0"/>
    <n v="0"/>
    <n v="43869.4"/>
    <n v="2"/>
    <x v="2"/>
    <x v="2081"/>
    <n v="1316.08"/>
    <n v="0"/>
    <s v="814763 - Kunstgræsbane"/>
    <m/>
    <n v="4386.9437200000002"/>
    <n v="0"/>
    <n v="91262"/>
  </r>
  <r>
    <x v="6"/>
    <m/>
    <s v="Lillestjernen, LV 91-93"/>
    <n v="9519"/>
    <m/>
    <s v="Lillestjernen miniklub"/>
    <x v="86"/>
    <x v="0"/>
    <x v="7"/>
    <n v="67681.45"/>
    <n v="12"/>
    <m/>
    <n v="0"/>
    <n v="353"/>
    <n v="191.677853"/>
    <n v="1"/>
    <x v="4"/>
    <x v="2082"/>
    <n v="17080.150000000001"/>
    <n v="0"/>
    <m/>
    <s v="98004940124"/>
    <n v="6266.8"/>
    <n v="0"/>
    <n v="74433"/>
  </r>
  <r>
    <x v="9"/>
    <m/>
    <s v="Værløse Boldklub, Stiager 6"/>
    <n v="10179"/>
    <m/>
    <s v="Værløse Boldklub"/>
    <x v="83"/>
    <x v="0"/>
    <x v="7"/>
    <n v="592.84"/>
    <n v="12"/>
    <s v="2010-08-30"/>
    <n v="0"/>
    <n v="792"/>
    <n v="0.74843999999999999"/>
    <n v="3"/>
    <x v="0"/>
    <x v="2083"/>
    <n v="0"/>
    <n v="0"/>
    <s v="01PC502543"/>
    <m/>
    <n v="592.83399999999995"/>
    <n v="0"/>
    <n v="77211"/>
  </r>
  <r>
    <x v="9"/>
    <m/>
    <s v="Værløse Boldklub, Stiager 6"/>
    <n v="10179"/>
    <m/>
    <s v="Værløse Boldklub"/>
    <x v="83"/>
    <x v="0"/>
    <x v="7"/>
    <n v="44961.96"/>
    <n v="12"/>
    <s v="2010-08-30"/>
    <n v="0"/>
    <n v="792"/>
    <n v="56.762984000000003"/>
    <n v="2"/>
    <x v="2"/>
    <x v="2084"/>
    <n v="13488.56"/>
    <n v="0"/>
    <s v="826640"/>
    <s v="74110486064"/>
    <n v="44961.944000000003"/>
    <n v="0"/>
    <n v="77210"/>
  </r>
  <r>
    <x v="9"/>
    <s v="5532"/>
    <s v="Værløse Tennis, LV77"/>
    <n v="13667"/>
    <s v="0"/>
    <s v="Værløse Tennis"/>
    <x v="84"/>
    <x v="0"/>
    <x v="0"/>
    <n v="672"/>
    <n v="3"/>
    <m/>
    <m/>
    <n v="292"/>
    <m/>
    <n v="3"/>
    <x v="0"/>
    <x v="1079"/>
    <m/>
    <n v="0"/>
    <s v="02501324"/>
    <m/>
    <n v="1026"/>
    <n v="0"/>
    <n v="91263"/>
  </r>
  <r>
    <x v="9"/>
    <s v="5532"/>
    <s v="Værløse Tennis, LV77"/>
    <n v="13667"/>
    <s v="0"/>
    <s v="Værløse Tennis"/>
    <x v="84"/>
    <x v="0"/>
    <x v="7"/>
    <n v="1026.02"/>
    <n v="3"/>
    <s v="2014-12-10"/>
    <n v="0"/>
    <n v="292"/>
    <n v="3.5125639999999998"/>
    <n v="3"/>
    <x v="0"/>
    <x v="2085"/>
    <n v="820.79"/>
    <n v="0"/>
    <s v="02501324"/>
    <m/>
    <n v="1026"/>
    <n v="0"/>
    <n v="91263"/>
  </r>
  <r>
    <x v="9"/>
    <s v="5532"/>
    <s v="Værløse Tennis, LV77"/>
    <n v="13667"/>
    <s v="0"/>
    <s v="Værløse Tennis"/>
    <x v="84"/>
    <x v="0"/>
    <x v="7"/>
    <n v="274.85000000000002"/>
    <n v="3"/>
    <s v="2014-12-10"/>
    <n v="0"/>
    <n v="292"/>
    <n v="0.940944"/>
    <n v="3"/>
    <x v="0"/>
    <x v="2086"/>
    <n v="219.87"/>
    <n v="0"/>
    <s v="11131959"/>
    <m/>
    <n v="274.84832"/>
    <n v="0"/>
    <n v="93572"/>
  </r>
  <r>
    <x v="9"/>
    <s v="5532"/>
    <s v="Værløse Tennis, LV77"/>
    <n v="13667"/>
    <s v="0"/>
    <s v="Værløse Tennis"/>
    <x v="84"/>
    <x v="0"/>
    <x v="7"/>
    <n v="9059.99"/>
    <n v="3"/>
    <s v="2014-06-30"/>
    <n v="0"/>
    <n v="292"/>
    <n v="31.016739999999999"/>
    <n v="2"/>
    <x v="2"/>
    <x v="2087"/>
    <n v="2717.99"/>
    <n v="0"/>
    <s v="3103161 x 60 AFMELDT"/>
    <s v="74116008215"/>
    <n v="9060.0000099999997"/>
    <n v="0"/>
    <n v="95928"/>
  </r>
  <r>
    <x v="9"/>
    <s v="5532"/>
    <s v="Værløse Tennis, LV77"/>
    <n v="13667"/>
    <s v="0"/>
    <s v="Værløse Tennis"/>
    <x v="84"/>
    <x v="0"/>
    <x v="7"/>
    <n v="10970.31"/>
    <n v="6"/>
    <m/>
    <n v="0"/>
    <n v="292"/>
    <n v="37.556691999999998"/>
    <n v="2"/>
    <x v="2"/>
    <x v="2088"/>
    <n v="3291.11"/>
    <n v="0"/>
    <s v="3103161"/>
    <s v="741 1600 8215"/>
    <n v="10970.31018"/>
    <n v="0"/>
    <n v="96386"/>
  </r>
  <r>
    <x v="13"/>
    <s v="04323-0"/>
    <s v="Billen, Stavns 5"/>
    <n v="6071"/>
    <m/>
    <s v="Billen"/>
    <x v="87"/>
    <x v="0"/>
    <x v="7"/>
    <n v="24.47"/>
    <n v="12"/>
    <s v="2011-12-31"/>
    <n v="0"/>
    <n v="222"/>
    <n v="0.110175"/>
    <n v="3"/>
    <x v="0"/>
    <x v="2089"/>
    <n v="19.57"/>
    <n v="0"/>
    <s v="05206576"/>
    <m/>
    <n v="24.466000000000001"/>
    <n v="0"/>
    <n v="60884"/>
  </r>
  <r>
    <x v="13"/>
    <s v="04323-0"/>
    <s v="Billen, Stavns 5"/>
    <n v="6071"/>
    <m/>
    <s v="Billen"/>
    <x v="87"/>
    <x v="0"/>
    <x v="7"/>
    <n v="3774.41"/>
    <n v="12"/>
    <s v="2012-03-31"/>
    <n v="0"/>
    <n v="222"/>
    <n v="16.994191000000001"/>
    <n v="2"/>
    <x v="2"/>
    <x v="2090"/>
    <n v="1509.76"/>
    <n v="0"/>
    <s v="228690"/>
    <s v="74112196275"/>
    <n v="3774.4"/>
    <n v="0"/>
    <n v="60882"/>
  </r>
  <r>
    <x v="13"/>
    <s v="04323-0"/>
    <s v="Billen, Stavns 5"/>
    <n v="6071"/>
    <m/>
    <s v="Billen"/>
    <x v="87"/>
    <x v="0"/>
    <x v="7"/>
    <n v="24083"/>
    <n v="12"/>
    <s v="2012-09-01"/>
    <n v="0"/>
    <n v="222"/>
    <n v="108.433138"/>
    <n v="1"/>
    <x v="5"/>
    <x v="2091"/>
    <n v="1816.35"/>
    <n v="0"/>
    <s v="98024806"/>
    <m/>
    <n v="24.082999999999998"/>
    <n v="0"/>
    <n v="60883"/>
  </r>
  <r>
    <x v="13"/>
    <s v="04323-0"/>
    <s v="Billen, Stavns 5"/>
    <n v="6071"/>
    <m/>
    <s v="Billen"/>
    <x v="87"/>
    <x v="0"/>
    <x v="0"/>
    <n v="28"/>
    <n v="5"/>
    <s v="2011-12-31"/>
    <n v="0"/>
    <n v="222"/>
    <n v="6.2673999999999994E-2"/>
    <n v="3"/>
    <x v="0"/>
    <x v="2092"/>
    <n v="11.12"/>
    <n v="0"/>
    <s v="05206576"/>
    <m/>
    <n v="13.904999999999999"/>
    <n v="0"/>
    <n v="60884"/>
  </r>
  <r>
    <x v="13"/>
    <s v="04323-0"/>
    <s v="Billen, Stavns 5"/>
    <n v="6071"/>
    <m/>
    <s v="Billen"/>
    <x v="87"/>
    <x v="0"/>
    <x v="1"/>
    <n v="23.98"/>
    <n v="12"/>
    <s v="2011-12-31"/>
    <n v="0"/>
    <n v="222"/>
    <n v="0.107969"/>
    <n v="3"/>
    <x v="0"/>
    <x v="2093"/>
    <n v="19.18"/>
    <n v="0"/>
    <s v="05206576"/>
    <m/>
    <n v="23.978000000000002"/>
    <n v="0"/>
    <n v="60884"/>
  </r>
  <r>
    <x v="13"/>
    <s v="04323-0"/>
    <s v="Billen, Stavns 5"/>
    <n v="6071"/>
    <m/>
    <s v="Billen"/>
    <x v="87"/>
    <x v="0"/>
    <x v="2"/>
    <n v="50.46"/>
    <n v="12"/>
    <s v="2011-12-31"/>
    <n v="0"/>
    <n v="222"/>
    <n v="0.22719400000000001"/>
    <n v="3"/>
    <x v="0"/>
    <x v="2094"/>
    <n v="40.340000000000003"/>
    <n v="0"/>
    <s v="05206576"/>
    <m/>
    <n v="50.45"/>
    <n v="0"/>
    <n v="60884"/>
  </r>
  <r>
    <x v="13"/>
    <s v="04323-0"/>
    <s v="Billen, Stavns 5"/>
    <n v="6071"/>
    <m/>
    <s v="Billen"/>
    <x v="87"/>
    <x v="0"/>
    <x v="3"/>
    <n v="18.010000000000002"/>
    <n v="4"/>
    <s v="2011-12-31"/>
    <n v="0"/>
    <n v="222"/>
    <n v="8.1088999999999994E-2"/>
    <n v="3"/>
    <x v="0"/>
    <x v="2095"/>
    <n v="14.4"/>
    <n v="0"/>
    <s v="05206576"/>
    <m/>
    <n v="17.99999"/>
    <n v="0"/>
    <n v="60884"/>
  </r>
  <r>
    <x v="13"/>
    <s v="04323-0"/>
    <s v="Billen, Stavns 5"/>
    <n v="6071"/>
    <m/>
    <s v="Billen"/>
    <x v="87"/>
    <x v="0"/>
    <x v="4"/>
    <n v="31.2"/>
    <n v="5"/>
    <s v="2011-12-31"/>
    <n v="0"/>
    <n v="222"/>
    <n v="0.14047699999999999"/>
    <n v="3"/>
    <x v="0"/>
    <x v="2096"/>
    <n v="24.95"/>
    <n v="0"/>
    <s v="05206576"/>
    <m/>
    <n v="31.197620000000001"/>
    <n v="0"/>
    <n v="60884"/>
  </r>
  <r>
    <x v="13"/>
    <s v="04323-0"/>
    <s v="Billen, Stavns 5"/>
    <n v="6071"/>
    <m/>
    <s v="Billen"/>
    <x v="87"/>
    <x v="0"/>
    <x v="5"/>
    <n v="13.11"/>
    <n v="6"/>
    <s v="2011-12-31"/>
    <n v="0"/>
    <n v="222"/>
    <n v="5.9027000000000003E-2"/>
    <n v="3"/>
    <x v="0"/>
    <x v="2097"/>
    <n v="10.49"/>
    <n v="0"/>
    <s v="05206576"/>
    <m/>
    <n v="13.115550000000001"/>
    <n v="0"/>
    <n v="60884"/>
  </r>
  <r>
    <x v="13"/>
    <s v="04323-0"/>
    <s v="Billen, Stavns 5"/>
    <n v="6071"/>
    <m/>
    <s v="Billen"/>
    <x v="87"/>
    <x v="0"/>
    <x v="6"/>
    <n v="14.91"/>
    <n v="6"/>
    <s v="2011-12-31"/>
    <n v="0"/>
    <n v="222"/>
    <n v="6.7130999999999996E-2"/>
    <n v="3"/>
    <x v="0"/>
    <x v="2098"/>
    <n v="11.93"/>
    <n v="0"/>
    <s v="05206576"/>
    <m/>
    <n v="14.89615"/>
    <n v="0"/>
    <n v="60884"/>
  </r>
  <r>
    <x v="13"/>
    <m/>
    <s v="Hareskov Bibliotek"/>
    <n v="10191"/>
    <m/>
    <s v="Hareskov Bibliotek"/>
    <x v="88"/>
    <x v="1"/>
    <x v="0"/>
    <n v="2.6"/>
    <n v="5"/>
    <m/>
    <n v="0"/>
    <n v="711"/>
    <n v="3.656E-3"/>
    <n v="3"/>
    <x v="0"/>
    <x v="2099"/>
    <n v="0"/>
    <n v="1"/>
    <s v="V.vand"/>
    <m/>
    <n v="2.6"/>
    <n v="0"/>
    <n v="77257"/>
  </r>
  <r>
    <x v="13"/>
    <m/>
    <s v="Hareskov Bibliotek"/>
    <n v="10191"/>
    <m/>
    <s v="Hareskov Bibliotek"/>
    <x v="88"/>
    <x v="1"/>
    <x v="0"/>
    <n v="22.7"/>
    <n v="5"/>
    <m/>
    <n v="0"/>
    <n v="711"/>
    <n v="3.1921999999999999E-2"/>
    <n v="3"/>
    <x v="0"/>
    <x v="2100"/>
    <n v="18.16"/>
    <n v="0"/>
    <s v="K.vand"/>
    <m/>
    <n v="22.7"/>
    <n v="0"/>
    <n v="77258"/>
  </r>
  <r>
    <x v="13"/>
    <m/>
    <s v="Hareskov Bibliotek"/>
    <n v="10191"/>
    <m/>
    <s v="Hareskov Bibliotek"/>
    <x v="88"/>
    <x v="1"/>
    <x v="1"/>
    <n v="4.55"/>
    <n v="12"/>
    <m/>
    <n v="0"/>
    <n v="711"/>
    <n v="6.398E-3"/>
    <n v="3"/>
    <x v="0"/>
    <x v="2101"/>
    <n v="0"/>
    <n v="1"/>
    <s v="V.vand"/>
    <m/>
    <n v="4.55"/>
    <n v="0"/>
    <n v="77257"/>
  </r>
  <r>
    <x v="13"/>
    <m/>
    <s v="Hareskov Bibliotek"/>
    <n v="10191"/>
    <m/>
    <s v="Hareskov Bibliotek"/>
    <x v="88"/>
    <x v="1"/>
    <x v="1"/>
    <n v="38.590000000000003"/>
    <n v="12"/>
    <m/>
    <n v="0"/>
    <n v="711"/>
    <n v="5.4267999999999997E-2"/>
    <n v="3"/>
    <x v="0"/>
    <x v="2102"/>
    <n v="30.88"/>
    <n v="0"/>
    <s v="K.vand"/>
    <m/>
    <n v="38.590000000000003"/>
    <n v="0"/>
    <n v="77258"/>
  </r>
  <r>
    <x v="13"/>
    <m/>
    <s v="Hareskov Bibliotek"/>
    <n v="10191"/>
    <m/>
    <s v="Hareskov Bibliotek"/>
    <x v="88"/>
    <x v="1"/>
    <x v="2"/>
    <n v="5.63"/>
    <n v="12"/>
    <m/>
    <n v="0"/>
    <n v="711"/>
    <n v="7.9170000000000004E-3"/>
    <n v="3"/>
    <x v="0"/>
    <x v="2103"/>
    <n v="0"/>
    <n v="1"/>
    <s v="V.vand"/>
    <m/>
    <n v="5.63"/>
    <n v="0"/>
    <n v="77257"/>
  </r>
  <r>
    <x v="13"/>
    <m/>
    <s v="Hareskov Bibliotek"/>
    <n v="10191"/>
    <m/>
    <s v="Hareskov Bibliotek"/>
    <x v="88"/>
    <x v="1"/>
    <x v="2"/>
    <n v="31.18"/>
    <n v="12"/>
    <m/>
    <n v="0"/>
    <n v="711"/>
    <n v="4.3846999999999997E-2"/>
    <n v="3"/>
    <x v="0"/>
    <x v="2104"/>
    <n v="24.95"/>
    <n v="0"/>
    <s v="K.vand"/>
    <m/>
    <n v="31.18"/>
    <n v="0"/>
    <n v="77258"/>
  </r>
  <r>
    <x v="13"/>
    <m/>
    <s v="Hareskov Bibliotek"/>
    <n v="10191"/>
    <m/>
    <s v="Hareskov Bibliotek"/>
    <x v="88"/>
    <x v="1"/>
    <x v="3"/>
    <n v="5.73"/>
    <n v="12"/>
    <m/>
    <n v="0"/>
    <n v="711"/>
    <n v="8.0569999999999999E-3"/>
    <n v="3"/>
    <x v="0"/>
    <x v="2105"/>
    <n v="0"/>
    <n v="1"/>
    <s v="V.vand"/>
    <m/>
    <n v="5.73"/>
    <n v="0"/>
    <n v="77257"/>
  </r>
  <r>
    <x v="13"/>
    <m/>
    <s v="Hareskov Bibliotek"/>
    <n v="10191"/>
    <m/>
    <s v="Hareskov Bibliotek"/>
    <x v="88"/>
    <x v="1"/>
    <x v="3"/>
    <n v="34.020000000000003"/>
    <n v="12"/>
    <m/>
    <n v="0"/>
    <n v="711"/>
    <n v="4.7841000000000002E-2"/>
    <n v="3"/>
    <x v="0"/>
    <x v="2106"/>
    <n v="27.24"/>
    <n v="0"/>
    <s v="K.vand"/>
    <m/>
    <n v="34.020679999999999"/>
    <n v="0"/>
    <n v="77258"/>
  </r>
  <r>
    <x v="13"/>
    <m/>
    <s v="Hareskov Bibliotek"/>
    <n v="10191"/>
    <m/>
    <s v="Hareskov Bibliotek"/>
    <x v="88"/>
    <x v="1"/>
    <x v="4"/>
    <n v="3.36"/>
    <n v="12"/>
    <m/>
    <n v="0"/>
    <n v="711"/>
    <n v="4.725E-3"/>
    <n v="3"/>
    <x v="0"/>
    <x v="2107"/>
    <n v="0"/>
    <n v="1"/>
    <s v="V.vand"/>
    <m/>
    <n v="3.3482099999999999"/>
    <n v="0"/>
    <n v="77257"/>
  </r>
  <r>
    <x v="13"/>
    <m/>
    <s v="Hareskov Bibliotek"/>
    <n v="10191"/>
    <m/>
    <s v="Hareskov Bibliotek"/>
    <x v="88"/>
    <x v="1"/>
    <x v="4"/>
    <n v="57.37"/>
    <n v="12"/>
    <m/>
    <n v="0"/>
    <n v="711"/>
    <n v="8.0676999999999999E-2"/>
    <n v="3"/>
    <x v="0"/>
    <x v="2108"/>
    <n v="45.9"/>
    <n v="0"/>
    <s v="K.vand"/>
    <m/>
    <n v="57.366930000000004"/>
    <n v="0"/>
    <n v="77258"/>
  </r>
  <r>
    <x v="13"/>
    <m/>
    <s v="Hareskov Bibliotek"/>
    <n v="10191"/>
    <m/>
    <s v="Hareskov Bibliotek"/>
    <x v="88"/>
    <x v="1"/>
    <x v="5"/>
    <n v="6.11"/>
    <n v="12"/>
    <m/>
    <n v="0"/>
    <n v="711"/>
    <n v="8.5920000000000007E-3"/>
    <n v="3"/>
    <x v="0"/>
    <x v="2109"/>
    <n v="0"/>
    <n v="1"/>
    <s v="V.vand"/>
    <m/>
    <n v="6.1117800000000004"/>
    <n v="0"/>
    <n v="77257"/>
  </r>
  <r>
    <x v="13"/>
    <m/>
    <s v="Hareskov Bibliotek"/>
    <n v="10191"/>
    <m/>
    <s v="Hareskov Bibliotek"/>
    <x v="88"/>
    <x v="1"/>
    <x v="5"/>
    <n v="50.97"/>
    <n v="12"/>
    <m/>
    <n v="0"/>
    <n v="711"/>
    <n v="7.1677000000000005E-2"/>
    <n v="3"/>
    <x v="0"/>
    <x v="2110"/>
    <n v="40.78"/>
    <n v="0"/>
    <s v="K.vand"/>
    <m/>
    <n v="50.9724"/>
    <n v="0"/>
    <n v="77258"/>
  </r>
  <r>
    <x v="13"/>
    <m/>
    <s v="Hareskov Bibliotek"/>
    <n v="10191"/>
    <m/>
    <s v="Hareskov Bibliotek"/>
    <x v="88"/>
    <x v="1"/>
    <x v="6"/>
    <n v="10.83"/>
    <n v="12"/>
    <m/>
    <n v="0"/>
    <n v="711"/>
    <n v="1.5228999999999999E-2"/>
    <n v="3"/>
    <x v="0"/>
    <x v="2111"/>
    <n v="0"/>
    <n v="1"/>
    <s v="V.vand"/>
    <m/>
    <n v="10.83"/>
    <n v="0"/>
    <n v="77257"/>
  </r>
  <r>
    <x v="13"/>
    <m/>
    <s v="Hareskov Bibliotek"/>
    <n v="10191"/>
    <m/>
    <s v="Hareskov Bibliotek"/>
    <x v="88"/>
    <x v="1"/>
    <x v="6"/>
    <n v="31.23"/>
    <n v="9"/>
    <m/>
    <n v="0"/>
    <n v="711"/>
    <n v="4.3916999999999998E-2"/>
    <n v="3"/>
    <x v="0"/>
    <x v="2112"/>
    <n v="24.97"/>
    <n v="0"/>
    <s v="K.vand"/>
    <m/>
    <n v="31.23"/>
    <n v="0"/>
    <n v="77258"/>
  </r>
  <r>
    <x v="13"/>
    <m/>
    <s v="Kulturhuset Satelitten, BM46"/>
    <n v="9517"/>
    <m/>
    <s v="Kulturhuset Satelitten"/>
    <x v="89"/>
    <x v="0"/>
    <x v="0"/>
    <n v="74"/>
    <n v="5"/>
    <m/>
    <n v="0"/>
    <n v="784"/>
    <n v="4.5338000000000003E-2"/>
    <n v="3"/>
    <x v="0"/>
    <x v="109"/>
    <n v="28.44"/>
    <n v="0"/>
    <m/>
    <m/>
    <n v="35.542999999999999"/>
    <n v="0"/>
    <n v="74425"/>
  </r>
  <r>
    <x v="13"/>
    <m/>
    <s v="Kulturhuset Satelitten, BM46"/>
    <n v="9517"/>
    <m/>
    <s v="Kulturhuset Satelitten"/>
    <x v="89"/>
    <x v="0"/>
    <x v="1"/>
    <n v="75.739999999999995"/>
    <n v="12"/>
    <m/>
    <n v="0"/>
    <n v="784"/>
    <n v="9.6593999999999999E-2"/>
    <n v="3"/>
    <x v="0"/>
    <x v="2113"/>
    <n v="60.59"/>
    <n v="0"/>
    <m/>
    <m/>
    <n v="75.730999999999995"/>
    <n v="0"/>
    <n v="74425"/>
  </r>
  <r>
    <x v="13"/>
    <m/>
    <s v="Kulturhuset Satelitten, BM46"/>
    <n v="9517"/>
    <m/>
    <s v="Kulturhuset Satelitten"/>
    <x v="89"/>
    <x v="0"/>
    <x v="2"/>
    <n v="74.37"/>
    <n v="12"/>
    <m/>
    <n v="0"/>
    <n v="784"/>
    <n v="9.4847000000000001E-2"/>
    <n v="3"/>
    <x v="0"/>
    <x v="2114"/>
    <n v="59.5"/>
    <n v="0"/>
    <m/>
    <m/>
    <n v="74.376000000000005"/>
    <n v="0"/>
    <n v="74425"/>
  </r>
  <r>
    <x v="13"/>
    <m/>
    <s v="Kulturhuset Satelitten, BM46"/>
    <n v="9517"/>
    <m/>
    <s v="Kulturhuset Satelitten"/>
    <x v="89"/>
    <x v="0"/>
    <x v="3"/>
    <n v="67.83"/>
    <n v="12"/>
    <m/>
    <n v="0"/>
    <n v="784"/>
    <n v="8.6506E-2"/>
    <n v="3"/>
    <x v="0"/>
    <x v="2115"/>
    <n v="54.25"/>
    <n v="0"/>
    <m/>
    <m/>
    <n v="67.831999999999994"/>
    <n v="0"/>
    <n v="74425"/>
  </r>
  <r>
    <x v="13"/>
    <m/>
    <s v="Kulturhuset Satelitten, BM46"/>
    <n v="9517"/>
    <m/>
    <s v="Kulturhuset Satelitten"/>
    <x v="89"/>
    <x v="0"/>
    <x v="4"/>
    <n v="76.59"/>
    <n v="12"/>
    <m/>
    <n v="0"/>
    <n v="784"/>
    <n v="9.7678000000000001E-2"/>
    <n v="3"/>
    <x v="0"/>
    <x v="2116"/>
    <n v="61.28"/>
    <n v="0"/>
    <m/>
    <m/>
    <n v="76.601420000000005"/>
    <n v="0"/>
    <n v="74425"/>
  </r>
  <r>
    <x v="13"/>
    <m/>
    <s v="Kulturhuset Satelitten, BM46"/>
    <n v="9517"/>
    <m/>
    <s v="Kulturhuset Satelitten"/>
    <x v="89"/>
    <x v="0"/>
    <x v="5"/>
    <n v="77.39"/>
    <n v="12"/>
    <m/>
    <n v="0"/>
    <n v="784"/>
    <n v="9.8698999999999995E-2"/>
    <n v="3"/>
    <x v="0"/>
    <x v="2117"/>
    <n v="61.94"/>
    <n v="0"/>
    <m/>
    <m/>
    <n v="77.419589999999999"/>
    <n v="0"/>
    <n v="74425"/>
  </r>
  <r>
    <x v="13"/>
    <m/>
    <s v="Kulturhuset Satelitten, BM46"/>
    <n v="9517"/>
    <m/>
    <s v="Kulturhuset Satelitten"/>
    <x v="89"/>
    <x v="0"/>
    <x v="6"/>
    <n v="75.69"/>
    <n v="12"/>
    <m/>
    <n v="0"/>
    <n v="784"/>
    <n v="9.6531000000000006E-2"/>
    <n v="3"/>
    <x v="0"/>
    <x v="2118"/>
    <n v="60.57"/>
    <n v="0"/>
    <m/>
    <m/>
    <n v="75.692999999999998"/>
    <n v="0"/>
    <n v="74425"/>
  </r>
  <r>
    <x v="13"/>
    <s v="04423-7"/>
    <s v="Kulturhuset, Stavns 3"/>
    <n v="5300"/>
    <m/>
    <s v="Kulturhuset"/>
    <x v="90"/>
    <x v="0"/>
    <x v="1"/>
    <n v="1158.57"/>
    <n v="12"/>
    <m/>
    <n v="0"/>
    <n v="7375"/>
    <n v="0.15709200000000001"/>
    <n v="3"/>
    <x v="0"/>
    <x v="2119"/>
    <n v="926.86"/>
    <n v="0"/>
    <s v="BK 24126636"/>
    <m/>
    <n v="1158.5609999999999"/>
    <n v="0"/>
    <n v="56969"/>
  </r>
  <r>
    <x v="13"/>
    <s v="04423-7"/>
    <s v="Kulturhuset, Stavns 3"/>
    <n v="5300"/>
    <m/>
    <s v="Kulturhuset"/>
    <x v="90"/>
    <x v="0"/>
    <x v="1"/>
    <n v="82.97"/>
    <n v="16"/>
    <s v="2013-10-31"/>
    <n v="0"/>
    <n v="7375"/>
    <n v="1.125E-2"/>
    <n v="3"/>
    <x v="0"/>
    <x v="2120"/>
    <n v="66.39"/>
    <n v="0"/>
    <s v="BK 99600686"/>
    <m/>
    <n v="82.977090000000004"/>
    <n v="0"/>
    <n v="56972"/>
  </r>
  <r>
    <x v="13"/>
    <s v="04423-7"/>
    <s v="Kulturhuset, Stavns 3"/>
    <n v="5300"/>
    <m/>
    <s v="Kulturhuset"/>
    <x v="90"/>
    <x v="0"/>
    <x v="1"/>
    <n v="494.97"/>
    <n v="12"/>
    <m/>
    <n v="0"/>
    <n v="7375"/>
    <n v="6.7113000000000006E-2"/>
    <n v="3"/>
    <x v="0"/>
    <x v="2121"/>
    <n v="395.98"/>
    <n v="1"/>
    <s v="BV 24126631"/>
    <m/>
    <n v="494.97"/>
    <n v="0"/>
    <n v="56992"/>
  </r>
  <r>
    <x v="13"/>
    <s v="04423-7"/>
    <s v="Kulturhuset, Stavns 3"/>
    <n v="5300"/>
    <m/>
    <s v="Kulturhuset"/>
    <x v="90"/>
    <x v="0"/>
    <x v="1"/>
    <n v="845445"/>
    <n v="12"/>
    <s v="2005-06-01"/>
    <n v="0"/>
    <n v="7375"/>
    <n v="114.63505499999999"/>
    <n v="1"/>
    <x v="1"/>
    <x v="2122"/>
    <n v="167541.49"/>
    <n v="0"/>
    <s v="4107843 aut"/>
    <m/>
    <n v="845445"/>
    <n v="0"/>
    <n v="56974"/>
  </r>
  <r>
    <x v="13"/>
    <s v="04423-7"/>
    <s v="Kulturhuset, Stavns 3"/>
    <n v="5300"/>
    <m/>
    <s v="Kulturhuset"/>
    <x v="90"/>
    <x v="0"/>
    <x v="1"/>
    <n v="284793.56"/>
    <n v="12"/>
    <s v="2005-06-01"/>
    <n v="0"/>
    <n v="7375"/>
    <n v="38.615552000000001"/>
    <n v="2"/>
    <x v="2"/>
    <x v="2123"/>
    <n v="113917.44"/>
    <n v="0"/>
    <s v="360164"/>
    <s v="741 1145 9616"/>
    <n v="284793.56"/>
    <n v="0"/>
    <n v="56967"/>
  </r>
  <r>
    <x v="13"/>
    <s v="04423-7"/>
    <s v="Kulturhuset, Stavns 3"/>
    <n v="5300"/>
    <m/>
    <s v="Kulturhuset"/>
    <x v="90"/>
    <x v="0"/>
    <x v="7"/>
    <n v="1071.67"/>
    <n v="12"/>
    <m/>
    <n v="0"/>
    <n v="7375"/>
    <n v="0.14530899999999999"/>
    <n v="3"/>
    <x v="0"/>
    <x v="2124"/>
    <n v="857.35"/>
    <n v="0"/>
    <s v="BK 24126636"/>
    <m/>
    <n v="1071.681"/>
    <n v="0"/>
    <n v="56969"/>
  </r>
  <r>
    <x v="13"/>
    <s v="04423-7"/>
    <s v="Kulturhuset, Stavns 3"/>
    <n v="5300"/>
    <m/>
    <s v="Kulturhuset"/>
    <x v="90"/>
    <x v="0"/>
    <x v="2"/>
    <n v="1236.92"/>
    <n v="12"/>
    <m/>
    <n v="0"/>
    <n v="7375"/>
    <n v="0.167715"/>
    <n v="3"/>
    <x v="0"/>
    <x v="2125"/>
    <n v="989.55"/>
    <n v="0"/>
    <s v="BK 24126636"/>
    <m/>
    <n v="1236.93"/>
    <n v="0"/>
    <n v="56969"/>
  </r>
  <r>
    <x v="13"/>
    <s v="04423-7"/>
    <s v="Kulturhuset, Stavns 3"/>
    <n v="5300"/>
    <m/>
    <s v="Kulturhuset"/>
    <x v="90"/>
    <x v="0"/>
    <x v="2"/>
    <n v="39.07"/>
    <n v="0"/>
    <s v="2013-10-31"/>
    <n v="0"/>
    <n v="7375"/>
    <n v="5.2969999999999996E-3"/>
    <n v="3"/>
    <x v="0"/>
    <x v="2126"/>
    <n v="31.27"/>
    <n v="0"/>
    <s v="BK 99600686"/>
    <m/>
    <n v="39.08737"/>
    <n v="0"/>
    <n v="56972"/>
  </r>
  <r>
    <x v="13"/>
    <s v="04423-7"/>
    <s v="Kulturhuset, Stavns 3"/>
    <n v="5300"/>
    <m/>
    <s v="Kulturhuset"/>
    <x v="90"/>
    <x v="0"/>
    <x v="2"/>
    <n v="453.21"/>
    <n v="12"/>
    <m/>
    <n v="0"/>
    <n v="7375"/>
    <n v="6.1450999999999999E-2"/>
    <n v="3"/>
    <x v="0"/>
    <x v="2127"/>
    <n v="362.57"/>
    <n v="1"/>
    <s v="BV 24126631"/>
    <m/>
    <n v="453.21"/>
    <n v="0"/>
    <n v="56992"/>
  </r>
  <r>
    <x v="13"/>
    <s v="04423-7"/>
    <s v="Kulturhuset, Stavns 3"/>
    <n v="5300"/>
    <m/>
    <s v="Kulturhuset"/>
    <x v="90"/>
    <x v="0"/>
    <x v="3"/>
    <n v="1145.8499999999999"/>
    <n v="12"/>
    <m/>
    <n v="0"/>
    <n v="7375"/>
    <n v="0.15536700000000001"/>
    <n v="3"/>
    <x v="0"/>
    <x v="2128"/>
    <n v="916.71"/>
    <n v="0"/>
    <s v="BK 24126636"/>
    <m/>
    <n v="1145.8499999999999"/>
    <n v="0"/>
    <n v="56969"/>
  </r>
  <r>
    <x v="13"/>
    <s v="04423-7"/>
    <s v="Kulturhuset, Stavns 3"/>
    <n v="5300"/>
    <m/>
    <s v="Kulturhuset"/>
    <x v="90"/>
    <x v="0"/>
    <x v="3"/>
    <n v="85.91"/>
    <n v="1"/>
    <s v="2013-10-31"/>
    <n v="0"/>
    <n v="7375"/>
    <n v="1.1648E-2"/>
    <n v="3"/>
    <x v="0"/>
    <x v="2129"/>
    <n v="68.709999999999994"/>
    <n v="0"/>
    <s v="BK 99600686"/>
    <m/>
    <n v="85.937690000000003"/>
    <n v="0"/>
    <n v="56972"/>
  </r>
  <r>
    <x v="13"/>
    <s v="04423-7"/>
    <s v="Kulturhuset, Stavns 3"/>
    <n v="5300"/>
    <m/>
    <s v="Kulturhuset"/>
    <x v="90"/>
    <x v="0"/>
    <x v="3"/>
    <n v="111.36"/>
    <n v="12"/>
    <m/>
    <n v="0"/>
    <n v="7375"/>
    <n v="1.5099E-2"/>
    <n v="3"/>
    <x v="0"/>
    <x v="2130"/>
    <n v="89.11"/>
    <n v="1"/>
    <s v="BV 24126631"/>
    <m/>
    <n v="111.37"/>
    <n v="0"/>
    <n v="56992"/>
  </r>
  <r>
    <x v="13"/>
    <s v="04423-7"/>
    <s v="Kulturhuset, Stavns 3"/>
    <n v="5300"/>
    <m/>
    <s v="Kulturhuset"/>
    <x v="90"/>
    <x v="0"/>
    <x v="4"/>
    <n v="1181.5899999999999"/>
    <n v="12"/>
    <m/>
    <n v="0"/>
    <n v="7375"/>
    <n v="0.16021299999999999"/>
    <n v="3"/>
    <x v="0"/>
    <x v="2131"/>
    <n v="945.26"/>
    <n v="0"/>
    <s v="BK 24126636"/>
    <m/>
    <n v="1181.5899999999999"/>
    <n v="0"/>
    <n v="56969"/>
  </r>
  <r>
    <x v="13"/>
    <s v="04423-7"/>
    <s v="Kulturhuset, Stavns 3"/>
    <n v="5300"/>
    <m/>
    <s v="Kulturhuset"/>
    <x v="90"/>
    <x v="0"/>
    <x v="4"/>
    <n v="88.2"/>
    <n v="0"/>
    <s v="2013-10-31"/>
    <n v="0"/>
    <n v="7375"/>
    <n v="1.1958999999999999E-2"/>
    <n v="3"/>
    <x v="0"/>
    <x v="2132"/>
    <n v="70.540000000000006"/>
    <n v="0"/>
    <s v="BK 99600686"/>
    <m/>
    <n v="88.231570000000005"/>
    <n v="0"/>
    <n v="56972"/>
  </r>
  <r>
    <x v="13"/>
    <s v="04423-7"/>
    <s v="Kulturhuset, Stavns 3"/>
    <n v="5300"/>
    <m/>
    <s v="Kulturhuset"/>
    <x v="90"/>
    <x v="0"/>
    <x v="4"/>
    <n v="356.47"/>
    <n v="12"/>
    <m/>
    <n v="0"/>
    <n v="7375"/>
    <n v="4.8334000000000002E-2"/>
    <n v="3"/>
    <x v="0"/>
    <x v="2133"/>
    <n v="285.17"/>
    <n v="1"/>
    <s v="BV 24126631"/>
    <m/>
    <n v="356.47"/>
    <n v="0"/>
    <n v="56992"/>
  </r>
  <r>
    <x v="13"/>
    <s v="04423-7"/>
    <s v="Kulturhuset, Stavns 3"/>
    <n v="5300"/>
    <m/>
    <s v="Kulturhuset"/>
    <x v="90"/>
    <x v="0"/>
    <x v="5"/>
    <n v="1095.46"/>
    <n v="12"/>
    <m/>
    <n v="0"/>
    <n v="7375"/>
    <n v="0.148534"/>
    <n v="3"/>
    <x v="0"/>
    <x v="2134"/>
    <n v="876.4"/>
    <n v="0"/>
    <s v="BK 24126636"/>
    <m/>
    <n v="1095.4639999999999"/>
    <n v="0"/>
    <n v="56969"/>
  </r>
  <r>
    <x v="13"/>
    <s v="04423-7"/>
    <s v="Kulturhuset, Stavns 3"/>
    <n v="5300"/>
    <m/>
    <s v="Kulturhuset"/>
    <x v="90"/>
    <x v="0"/>
    <x v="5"/>
    <n v="88.2"/>
    <n v="0"/>
    <s v="2013-10-31"/>
    <n v="0"/>
    <n v="7375"/>
    <n v="1.1958999999999999E-2"/>
    <n v="3"/>
    <x v="0"/>
    <x v="2132"/>
    <n v="70.540000000000006"/>
    <n v="0"/>
    <s v="BK 99600686"/>
    <m/>
    <n v="88.231570000000005"/>
    <n v="0"/>
    <n v="56972"/>
  </r>
  <r>
    <x v="13"/>
    <s v="04423-7"/>
    <s v="Kulturhuset, Stavns 3"/>
    <n v="5300"/>
    <m/>
    <s v="Kulturhuset"/>
    <x v="90"/>
    <x v="0"/>
    <x v="5"/>
    <n v="506.33"/>
    <n v="12"/>
    <m/>
    <n v="0"/>
    <n v="7375"/>
    <n v="6.8653000000000006E-2"/>
    <n v="3"/>
    <x v="0"/>
    <x v="2135"/>
    <n v="405.08"/>
    <n v="1"/>
    <s v="BV 24126631"/>
    <m/>
    <n v="506.33"/>
    <n v="0"/>
    <n v="56992"/>
  </r>
  <r>
    <x v="13"/>
    <s v="04423-7"/>
    <s v="Kulturhuset, Stavns 3"/>
    <n v="5300"/>
    <m/>
    <s v="Kulturhuset"/>
    <x v="90"/>
    <x v="0"/>
    <x v="6"/>
    <n v="1146.83"/>
    <n v="12"/>
    <m/>
    <n v="0"/>
    <n v="7375"/>
    <n v="0.1555"/>
    <n v="3"/>
    <x v="0"/>
    <x v="2136"/>
    <n v="917.48"/>
    <n v="0"/>
    <s v="BK 24126636"/>
    <m/>
    <n v="1146.836"/>
    <n v="0"/>
    <n v="56969"/>
  </r>
  <r>
    <x v="13"/>
    <s v="04423-7"/>
    <s v="Kulturhuset, Stavns 3"/>
    <n v="5300"/>
    <m/>
    <s v="Kulturhuset"/>
    <x v="90"/>
    <x v="0"/>
    <x v="6"/>
    <n v="88.44"/>
    <n v="0"/>
    <s v="2013-10-31"/>
    <n v="0"/>
    <n v="7375"/>
    <n v="1.1991E-2"/>
    <n v="3"/>
    <x v="0"/>
    <x v="2137"/>
    <n v="70.739999999999995"/>
    <n v="0"/>
    <s v="BK 99600686"/>
    <m/>
    <n v="88.473299999999995"/>
    <n v="0"/>
    <n v="56972"/>
  </r>
  <r>
    <x v="13"/>
    <s v="04423-7"/>
    <s v="Kulturhuset, Stavns 3"/>
    <n v="5300"/>
    <m/>
    <s v="Kulturhuset"/>
    <x v="90"/>
    <x v="0"/>
    <x v="6"/>
    <n v="349.25"/>
    <n v="12"/>
    <m/>
    <n v="0"/>
    <n v="7375"/>
    <n v="4.7355000000000001E-2"/>
    <n v="3"/>
    <x v="0"/>
    <x v="2138"/>
    <n v="279.39"/>
    <n v="1"/>
    <s v="BV 24126631"/>
    <m/>
    <n v="349.25"/>
    <n v="0"/>
    <n v="56992"/>
  </r>
  <r>
    <x v="13"/>
    <m/>
    <s v="Musikhuset"/>
    <n v="5271"/>
    <m/>
    <s v="Musikhuset"/>
    <x v="91"/>
    <x v="1"/>
    <x v="0"/>
    <n v="9.5500000000000007"/>
    <n v="5"/>
    <s v="2005-07-01"/>
    <n v="0"/>
    <n v="255"/>
    <n v="3.7435999999999997E-2"/>
    <n v="3"/>
    <x v="0"/>
    <x v="2139"/>
    <n v="7.63"/>
    <n v="0"/>
    <s v="04016499"/>
    <m/>
    <n v="9.5440000000000005"/>
    <n v="0"/>
    <n v="56832"/>
  </r>
  <r>
    <x v="13"/>
    <m/>
    <s v="Musikhuset"/>
    <n v="5271"/>
    <m/>
    <s v="Musikhuset"/>
    <x v="91"/>
    <x v="1"/>
    <x v="1"/>
    <n v="68.430000000000007"/>
    <n v="12"/>
    <s v="2005-07-01"/>
    <n v="0"/>
    <n v="255"/>
    <n v="0.26824700000000001"/>
    <n v="3"/>
    <x v="0"/>
    <x v="2140"/>
    <n v="54.76"/>
    <n v="0"/>
    <s v="04016499"/>
    <m/>
    <n v="68.438999999999993"/>
    <n v="0"/>
    <n v="56832"/>
  </r>
  <r>
    <x v="13"/>
    <m/>
    <s v="Musikhuset"/>
    <n v="5271"/>
    <m/>
    <s v="Musikhuset"/>
    <x v="91"/>
    <x v="1"/>
    <x v="2"/>
    <n v="33.549999999999997"/>
    <n v="12"/>
    <s v="2005-07-01"/>
    <n v="0"/>
    <n v="255"/>
    <n v="0.131517"/>
    <n v="3"/>
    <x v="0"/>
    <x v="2141"/>
    <n v="26.83"/>
    <n v="0"/>
    <s v="04016499"/>
    <m/>
    <n v="33.54"/>
    <n v="0"/>
    <n v="56832"/>
  </r>
  <r>
    <x v="13"/>
    <m/>
    <s v="Musikhuset"/>
    <n v="5271"/>
    <m/>
    <s v="Musikhuset"/>
    <x v="91"/>
    <x v="1"/>
    <x v="3"/>
    <n v="32.72"/>
    <n v="12"/>
    <s v="2005-07-01"/>
    <n v="0"/>
    <n v="255"/>
    <n v="0.12826299999999999"/>
    <n v="3"/>
    <x v="0"/>
    <x v="2142"/>
    <n v="26.16"/>
    <n v="0"/>
    <s v="04016499"/>
    <m/>
    <n v="32.72"/>
    <n v="0"/>
    <n v="56832"/>
  </r>
  <r>
    <x v="13"/>
    <m/>
    <s v="Musikhuset"/>
    <n v="5271"/>
    <m/>
    <s v="Musikhuset"/>
    <x v="91"/>
    <x v="1"/>
    <x v="4"/>
    <n v="27.44"/>
    <n v="12"/>
    <s v="2005-07-01"/>
    <n v="0"/>
    <n v="255"/>
    <n v="0.10756499999999999"/>
    <n v="3"/>
    <x v="0"/>
    <x v="2143"/>
    <n v="21.96"/>
    <n v="0"/>
    <s v="04016499"/>
    <m/>
    <n v="27.44"/>
    <n v="0"/>
    <n v="56832"/>
  </r>
  <r>
    <x v="13"/>
    <m/>
    <s v="Musikhuset"/>
    <n v="5271"/>
    <m/>
    <s v="Musikhuset"/>
    <x v="91"/>
    <x v="1"/>
    <x v="5"/>
    <n v="48.07"/>
    <n v="12"/>
    <s v="2005-07-01"/>
    <n v="0"/>
    <n v="255"/>
    <n v="0.18843499999999999"/>
    <n v="3"/>
    <x v="0"/>
    <x v="2144"/>
    <n v="38.44"/>
    <n v="0"/>
    <s v="04016499"/>
    <m/>
    <n v="48.066000000000003"/>
    <n v="0"/>
    <n v="56832"/>
  </r>
  <r>
    <x v="13"/>
    <m/>
    <s v="Musikhuset"/>
    <n v="5271"/>
    <m/>
    <s v="Musikhuset"/>
    <x v="91"/>
    <x v="1"/>
    <x v="6"/>
    <n v="30.35"/>
    <n v="12"/>
    <s v="2005-07-01"/>
    <n v="0"/>
    <n v="255"/>
    <n v="0.11897199999999999"/>
    <n v="3"/>
    <x v="0"/>
    <x v="2145"/>
    <n v="24.27"/>
    <n v="0"/>
    <s v="04016499"/>
    <m/>
    <n v="30.344000000000001"/>
    <n v="0"/>
    <n v="56832"/>
  </r>
  <r>
    <x v="13"/>
    <m/>
    <s v="Musikhuset"/>
    <n v="5271"/>
    <m/>
    <s v="Musikhuset"/>
    <x v="56"/>
    <x v="1"/>
    <x v="0"/>
    <n v="9036"/>
    <n v="5"/>
    <s v="2005-07-01"/>
    <n v="0"/>
    <n v="255"/>
    <n v="18.749862"/>
    <n v="2"/>
    <x v="2"/>
    <x v="2146"/>
    <n v="1434.92"/>
    <n v="0"/>
    <s v="814757"/>
    <m/>
    <n v="4783.08"/>
    <n v="0"/>
    <n v="56830"/>
  </r>
  <r>
    <x v="13"/>
    <m/>
    <s v="Værløse Bibliotek og Galaxen, BM48"/>
    <n v="10125"/>
    <m/>
    <s v="Værløse Bibliotek"/>
    <x v="92"/>
    <x v="0"/>
    <x v="1"/>
    <n v="689.37"/>
    <n v="12"/>
    <m/>
    <n v="0"/>
    <n v="2818"/>
    <n v="0.24462200000000001"/>
    <n v="3"/>
    <x v="0"/>
    <x v="2147"/>
    <n v="551.47"/>
    <n v="0"/>
    <s v="02PC501282"/>
    <m/>
    <n v="689.36199999999997"/>
    <n v="0"/>
    <n v="76942"/>
  </r>
  <r>
    <x v="13"/>
    <m/>
    <s v="Værløse Bibliotek og Galaxen, BM48"/>
    <n v="14590"/>
    <s v="0"/>
    <s v="Galaksen"/>
    <x v="92"/>
    <x v="0"/>
    <x v="1"/>
    <n v="135490"/>
    <n v="12"/>
    <m/>
    <n v="0"/>
    <n v="1048"/>
    <n v="129.27201600000001"/>
    <n v="1"/>
    <x v="1"/>
    <x v="2148"/>
    <n v="9256.07"/>
    <n v="0"/>
    <s v="Galaxen 4903233"/>
    <m/>
    <n v="135490"/>
    <n v="0"/>
    <n v="76944"/>
  </r>
  <r>
    <x v="13"/>
    <m/>
    <s v="Værløse Bibliotek og Galaxen, BM48"/>
    <n v="10125"/>
    <m/>
    <s v="Værløse Bibliotek"/>
    <x v="92"/>
    <x v="0"/>
    <x v="2"/>
    <n v="547.37"/>
    <n v="12"/>
    <m/>
    <n v="0"/>
    <n v="2818"/>
    <n v="0.19423299999999999"/>
    <n v="3"/>
    <x v="0"/>
    <x v="2149"/>
    <n v="437.89"/>
    <n v="0"/>
    <s v="02PC501282"/>
    <m/>
    <n v="547.36800000000005"/>
    <n v="0"/>
    <n v="76942"/>
  </r>
  <r>
    <x v="13"/>
    <m/>
    <s v="Værløse Bibliotek og Galaxen, BM48"/>
    <n v="10125"/>
    <m/>
    <s v="Værløse Bibliotek"/>
    <x v="92"/>
    <x v="0"/>
    <x v="3"/>
    <n v="499.94"/>
    <n v="12"/>
    <m/>
    <n v="0"/>
    <n v="2818"/>
    <n v="0.17740300000000001"/>
    <n v="3"/>
    <x v="0"/>
    <x v="2150"/>
    <n v="399.97"/>
    <n v="0"/>
    <s v="02PC501282"/>
    <m/>
    <n v="499.94299999999998"/>
    <n v="0"/>
    <n v="76942"/>
  </r>
  <r>
    <x v="13"/>
    <m/>
    <s v="Værløse Bibliotek og Galaxen, BM48"/>
    <n v="10125"/>
    <m/>
    <s v="Værløse Bibliotek"/>
    <x v="92"/>
    <x v="0"/>
    <x v="4"/>
    <n v="440.55"/>
    <n v="12"/>
    <m/>
    <n v="0"/>
    <n v="2818"/>
    <n v="0.15632799999999999"/>
    <n v="3"/>
    <x v="0"/>
    <x v="2151"/>
    <n v="352.45"/>
    <n v="0"/>
    <s v="02PC501282"/>
    <m/>
    <n v="440.55799999999999"/>
    <n v="0"/>
    <n v="76942"/>
  </r>
  <r>
    <x v="13"/>
    <m/>
    <s v="Værløse Bibliotek og Galaxen, BM48"/>
    <n v="10125"/>
    <m/>
    <s v="Værløse Bibliotek"/>
    <x v="92"/>
    <x v="0"/>
    <x v="5"/>
    <n v="535.61"/>
    <n v="12"/>
    <m/>
    <n v="0"/>
    <n v="2818"/>
    <n v="0.19006000000000001"/>
    <n v="3"/>
    <x v="0"/>
    <x v="2152"/>
    <n v="428.5"/>
    <n v="0"/>
    <s v="02PC501282"/>
    <m/>
    <n v="535.62099999999998"/>
    <n v="0"/>
    <n v="76942"/>
  </r>
  <r>
    <x v="13"/>
    <m/>
    <s v="Værløse Bibliotek og Galaxen, BM48"/>
    <n v="10125"/>
    <m/>
    <s v="Værløse Bibliotek"/>
    <x v="92"/>
    <x v="0"/>
    <x v="6"/>
    <n v="481.07"/>
    <n v="12"/>
    <m/>
    <n v="0"/>
    <n v="2818"/>
    <n v="0.170707"/>
    <n v="3"/>
    <x v="0"/>
    <x v="2153"/>
    <n v="384.81"/>
    <n v="0"/>
    <s v="02PC501282"/>
    <m/>
    <n v="481.05200000000002"/>
    <n v="0"/>
    <n v="76942"/>
  </r>
  <r>
    <x v="13"/>
    <m/>
    <s v="Værløse Bibliotek og Galaxen, BM48"/>
    <n v="10125"/>
    <m/>
    <s v="Værløse Bibliotek"/>
    <x v="92"/>
    <x v="0"/>
    <x v="6"/>
    <n v="37.04"/>
    <n v="1"/>
    <s v="2008-01-29"/>
    <n v="0"/>
    <n v="2818"/>
    <n v="1.3143E-2"/>
    <n v="3"/>
    <x v="0"/>
    <x v="2154"/>
    <n v="29.63"/>
    <n v="0"/>
    <s v="02PC501282"/>
    <m/>
    <n v="37.037239999999997"/>
    <n v="0"/>
    <n v="78854"/>
  </r>
  <r>
    <x v="13"/>
    <m/>
    <s v="Hareskov Bibliotek"/>
    <n v="10191"/>
    <m/>
    <s v="Hareskov Bibliotek"/>
    <x v="88"/>
    <x v="1"/>
    <x v="7"/>
    <n v="5.96"/>
    <n v="12"/>
    <m/>
    <n v="0"/>
    <n v="711"/>
    <n v="8.3809999999999996E-3"/>
    <n v="3"/>
    <x v="0"/>
    <x v="2155"/>
    <n v="0"/>
    <n v="1"/>
    <s v="V.vand"/>
    <m/>
    <n v="5.9600099999999996"/>
    <n v="0"/>
    <n v="77257"/>
  </r>
  <r>
    <x v="13"/>
    <m/>
    <s v="Hareskov Bibliotek"/>
    <n v="10191"/>
    <m/>
    <s v="Hareskov Bibliotek"/>
    <x v="88"/>
    <x v="1"/>
    <x v="7"/>
    <n v="69.94"/>
    <n v="12"/>
    <m/>
    <n v="0"/>
    <n v="711"/>
    <n v="9.8353999999999997E-2"/>
    <n v="3"/>
    <x v="0"/>
    <x v="2156"/>
    <n v="55.93"/>
    <n v="0"/>
    <s v="K.vand"/>
    <m/>
    <n v="69.94"/>
    <n v="0"/>
    <n v="77258"/>
  </r>
  <r>
    <x v="13"/>
    <m/>
    <s v="Hareskov Bibliotek"/>
    <n v="10191"/>
    <m/>
    <s v="Hareskov Bibliotek"/>
    <x v="88"/>
    <x v="1"/>
    <x v="7"/>
    <n v="16213"/>
    <n v="12"/>
    <s v="2012-02-29"/>
    <n v="0"/>
    <n v="711"/>
    <n v="22.799886999999998"/>
    <n v="1"/>
    <x v="1"/>
    <x v="2157"/>
    <n v="1276.95"/>
    <n v="0"/>
    <m/>
    <m/>
    <n v="16212.9997"/>
    <n v="0"/>
    <n v="77259"/>
  </r>
  <r>
    <x v="13"/>
    <m/>
    <s v="Hareskov Bibliotek"/>
    <n v="10191"/>
    <m/>
    <s v="Hareskov Bibliotek"/>
    <x v="88"/>
    <x v="1"/>
    <x v="7"/>
    <n v="15579.94"/>
    <n v="12"/>
    <m/>
    <n v="0"/>
    <n v="711"/>
    <n v="21.909631999999998"/>
    <n v="1"/>
    <x v="3"/>
    <x v="2158"/>
    <n v="35.42"/>
    <n v="1"/>
    <m/>
    <m/>
    <n v="446.54500000000002"/>
    <n v="77259"/>
    <n v="77260"/>
  </r>
  <r>
    <x v="13"/>
    <m/>
    <s v="Hareskov Bibliotek"/>
    <n v="10191"/>
    <m/>
    <s v="Hareskov Bibliotek"/>
    <x v="88"/>
    <x v="1"/>
    <x v="7"/>
    <n v="18174.27"/>
    <n v="12"/>
    <m/>
    <n v="0"/>
    <n v="711"/>
    <n v="25.557966"/>
    <n v="2"/>
    <x v="2"/>
    <x v="2159"/>
    <n v="5452.27"/>
    <n v="0"/>
    <m/>
    <m/>
    <n v="18174.269"/>
    <n v="0"/>
    <n v="77256"/>
  </r>
  <r>
    <x v="13"/>
    <s v="04323-0"/>
    <s v="Billen, Stavns 5"/>
    <n v="6071"/>
    <m/>
    <s v="Billen"/>
    <x v="87"/>
    <x v="0"/>
    <x v="0"/>
    <n v="30067"/>
    <n v="5"/>
    <s v="2012-09-01"/>
    <n v="0"/>
    <n v="222"/>
    <n v="80.823953000000003"/>
    <n v="1"/>
    <x v="5"/>
    <x v="2160"/>
    <n v="1289.72"/>
    <n v="0"/>
    <s v="98024806"/>
    <m/>
    <n v="17.951000000000001"/>
    <n v="0"/>
    <n v="60883"/>
  </r>
  <r>
    <x v="13"/>
    <s v="04323-0"/>
    <s v="Billen, Stavns 5"/>
    <n v="6071"/>
    <m/>
    <s v="Billen"/>
    <x v="87"/>
    <x v="0"/>
    <x v="1"/>
    <n v="32417"/>
    <n v="12"/>
    <s v="2012-09-01"/>
    <n v="0"/>
    <n v="222"/>
    <n v="145.95677599999999"/>
    <n v="1"/>
    <x v="5"/>
    <x v="2161"/>
    <n v="2138.58"/>
    <n v="0"/>
    <s v="98024806"/>
    <m/>
    <n v="32.417000000000002"/>
    <n v="0"/>
    <n v="60883"/>
  </r>
  <r>
    <x v="13"/>
    <s v="04323-0"/>
    <s v="Billen, Stavns 5"/>
    <n v="6071"/>
    <m/>
    <s v="Billen"/>
    <x v="87"/>
    <x v="0"/>
    <x v="2"/>
    <n v="32456.22"/>
    <n v="18"/>
    <s v="2012-09-01"/>
    <n v="0"/>
    <n v="222"/>
    <n v="146.133363"/>
    <n v="1"/>
    <x v="5"/>
    <x v="2162"/>
    <n v="6445.3"/>
    <n v="0"/>
    <s v="98024806"/>
    <m/>
    <n v="32.456220000000002"/>
    <n v="0"/>
    <n v="60883"/>
  </r>
  <r>
    <x v="13"/>
    <s v="04323-0"/>
    <s v="Billen, Stavns 5"/>
    <n v="6071"/>
    <m/>
    <s v="Billen"/>
    <x v="87"/>
    <x v="0"/>
    <x v="3"/>
    <n v="31587.79"/>
    <n v="15"/>
    <s v="2012-09-01"/>
    <n v="0"/>
    <n v="222"/>
    <n v="142.223277"/>
    <n v="1"/>
    <x v="5"/>
    <x v="2163"/>
    <n v="7004.9"/>
    <n v="0"/>
    <s v="98024806"/>
    <m/>
    <n v="31.587789999999998"/>
    <n v="0"/>
    <n v="60883"/>
  </r>
  <r>
    <x v="13"/>
    <s v="04323-0"/>
    <s v="Billen, Stavns 5"/>
    <n v="6071"/>
    <m/>
    <s v="Billen"/>
    <x v="87"/>
    <x v="0"/>
    <x v="4"/>
    <n v="29573.95"/>
    <n v="18"/>
    <s v="2012-09-01"/>
    <n v="0"/>
    <n v="222"/>
    <n v="133.15601000000001"/>
    <n v="1"/>
    <x v="5"/>
    <x v="2164"/>
    <n v="6510.31"/>
    <n v="0"/>
    <s v="98024806"/>
    <m/>
    <n v="29.57395"/>
    <n v="0"/>
    <n v="60883"/>
  </r>
  <r>
    <x v="13"/>
    <s v="04323-0"/>
    <s v="Billen, Stavns 5"/>
    <n v="6071"/>
    <m/>
    <s v="Billen"/>
    <x v="87"/>
    <x v="0"/>
    <x v="5"/>
    <n v="28887.21"/>
    <n v="18"/>
    <s v="2012-09-01"/>
    <n v="0"/>
    <n v="222"/>
    <n v="130.06397999999999"/>
    <n v="1"/>
    <x v="5"/>
    <x v="2165"/>
    <n v="7285.98"/>
    <n v="0"/>
    <s v="98024806"/>
    <m/>
    <n v="28.88721"/>
    <n v="0"/>
    <n v="60883"/>
  </r>
  <r>
    <x v="13"/>
    <s v="04323-0"/>
    <s v="Billen, Stavns 5"/>
    <n v="6071"/>
    <m/>
    <s v="Billen"/>
    <x v="87"/>
    <x v="0"/>
    <x v="6"/>
    <n v="29647.86"/>
    <n v="18"/>
    <s v="2012-09-01"/>
    <n v="0"/>
    <n v="222"/>
    <n v="133.488788"/>
    <n v="1"/>
    <x v="5"/>
    <x v="2166"/>
    <n v="6368.5"/>
    <n v="0"/>
    <s v="98024806"/>
    <m/>
    <n v="29.647860000000001"/>
    <n v="0"/>
    <n v="60883"/>
  </r>
  <r>
    <x v="13"/>
    <m/>
    <s v="Hareskov Bibliotek"/>
    <n v="10191"/>
    <m/>
    <s v="Hareskov Bibliotek"/>
    <x v="88"/>
    <x v="1"/>
    <x v="0"/>
    <n v="0"/>
    <n v="5"/>
    <m/>
    <n v="0"/>
    <n v="711"/>
    <n v="0"/>
    <n v="1"/>
    <x v="3"/>
    <x v="1"/>
    <n v="0"/>
    <n v="1"/>
    <m/>
    <m/>
    <n v="0"/>
    <n v="77259"/>
    <n v="77260"/>
  </r>
  <r>
    <x v="13"/>
    <m/>
    <s v="Hareskov Bibliotek"/>
    <n v="10191"/>
    <m/>
    <s v="Hareskov Bibliotek"/>
    <x v="88"/>
    <x v="1"/>
    <x v="0"/>
    <n v="0"/>
    <n v="5"/>
    <s v="2012-02-29"/>
    <n v="0"/>
    <n v="711"/>
    <n v="0"/>
    <n v="1"/>
    <x v="1"/>
    <x v="1"/>
    <n v="0"/>
    <n v="0"/>
    <m/>
    <m/>
    <n v="0"/>
    <n v="0"/>
    <n v="77259"/>
  </r>
  <r>
    <x v="13"/>
    <m/>
    <s v="Hareskov Bibliotek"/>
    <n v="10191"/>
    <m/>
    <s v="Hareskov Bibliotek"/>
    <x v="88"/>
    <x v="1"/>
    <x v="1"/>
    <n v="39187"/>
    <n v="12"/>
    <s v="2012-02-29"/>
    <n v="0"/>
    <n v="711"/>
    <n v="55.107579000000001"/>
    <n v="1"/>
    <x v="1"/>
    <x v="2167"/>
    <n v="2605.4699999999998"/>
    <n v="0"/>
    <m/>
    <m/>
    <n v="39187"/>
    <n v="0"/>
    <n v="77259"/>
  </r>
  <r>
    <x v="13"/>
    <m/>
    <s v="Hareskov Bibliotek"/>
    <n v="10191"/>
    <m/>
    <s v="Hareskov Bibliotek"/>
    <x v="88"/>
    <x v="1"/>
    <x v="1"/>
    <n v="40520.76"/>
    <n v="12"/>
    <m/>
    <n v="0"/>
    <n v="711"/>
    <n v="56.983209000000002"/>
    <n v="1"/>
    <x v="3"/>
    <x v="2168"/>
    <n v="82.87"/>
    <n v="1"/>
    <m/>
    <m/>
    <n v="1161.3860099999999"/>
    <n v="77259"/>
    <n v="77260"/>
  </r>
  <r>
    <x v="13"/>
    <m/>
    <s v="Hareskov Bibliotek"/>
    <n v="10191"/>
    <m/>
    <s v="Hareskov Bibliotek"/>
    <x v="88"/>
    <x v="1"/>
    <x v="2"/>
    <n v="31529.93"/>
    <n v="12"/>
    <m/>
    <n v="0"/>
    <n v="711"/>
    <n v="44.339655999999998"/>
    <n v="1"/>
    <x v="3"/>
    <x v="2169"/>
    <n v="178.34"/>
    <n v="1"/>
    <m/>
    <m/>
    <n v="903.69497000000001"/>
    <n v="77259"/>
    <n v="77260"/>
  </r>
  <r>
    <x v="13"/>
    <m/>
    <s v="Hareskov Bibliotek"/>
    <n v="10191"/>
    <m/>
    <s v="Hareskov Bibliotek"/>
    <x v="88"/>
    <x v="1"/>
    <x v="2"/>
    <n v="30035.21"/>
    <n v="13"/>
    <s v="2012-02-29"/>
    <n v="0"/>
    <n v="711"/>
    <n v="42.237673999999998"/>
    <n v="1"/>
    <x v="1"/>
    <x v="2170"/>
    <n v="5930.14"/>
    <n v="0"/>
    <m/>
    <m/>
    <n v="30035.21429"/>
    <n v="0"/>
    <n v="77259"/>
  </r>
  <r>
    <x v="13"/>
    <m/>
    <s v="Hareskov Bibliotek"/>
    <n v="10191"/>
    <m/>
    <s v="Hareskov Bibliotek"/>
    <x v="88"/>
    <x v="1"/>
    <x v="3"/>
    <n v="2896076.07"/>
    <n v="12"/>
    <m/>
    <n v="0"/>
    <n v="711"/>
    <n v="4072.6706079999999"/>
    <n v="1"/>
    <x v="3"/>
    <x v="2171"/>
    <n v="17410.87"/>
    <n v="1"/>
    <m/>
    <m/>
    <n v="83005.906040000002"/>
    <n v="77259"/>
    <n v="77260"/>
  </r>
  <r>
    <x v="13"/>
    <m/>
    <s v="Hareskov Bibliotek"/>
    <n v="10191"/>
    <m/>
    <s v="Hareskov Bibliotek"/>
    <x v="88"/>
    <x v="1"/>
    <x v="3"/>
    <n v="44458.66"/>
    <n v="12"/>
    <s v="2012-02-29"/>
    <n v="0"/>
    <n v="711"/>
    <n v="62.520966999999999"/>
    <n v="1"/>
    <x v="1"/>
    <x v="2172"/>
    <n v="9008.59"/>
    <n v="0"/>
    <m/>
    <m/>
    <n v="44458.664510000002"/>
    <n v="0"/>
    <n v="77259"/>
  </r>
  <r>
    <x v="13"/>
    <m/>
    <s v="Hareskov Bibliotek"/>
    <n v="10191"/>
    <m/>
    <s v="Hareskov Bibliotek"/>
    <x v="88"/>
    <x v="1"/>
    <x v="4"/>
    <n v="54846.52"/>
    <n v="12"/>
    <s v="2012-02-29"/>
    <n v="0"/>
    <n v="711"/>
    <n v="77.129123000000007"/>
    <n v="1"/>
    <x v="1"/>
    <x v="2173"/>
    <n v="9263.4599999999991"/>
    <n v="0"/>
    <m/>
    <m/>
    <n v="54846.521209999999"/>
    <n v="0"/>
    <n v="77259"/>
  </r>
  <r>
    <x v="13"/>
    <m/>
    <s v="Hareskov Bibliotek"/>
    <n v="10191"/>
    <m/>
    <s v="Hareskov Bibliotek"/>
    <x v="88"/>
    <x v="1"/>
    <x v="4"/>
    <n v="4149558.18"/>
    <n v="12"/>
    <m/>
    <n v="0"/>
    <n v="711"/>
    <n v="5835.4073680000001"/>
    <n v="1"/>
    <x v="3"/>
    <x v="2174"/>
    <n v="32653.71"/>
    <n v="1"/>
    <m/>
    <m/>
    <n v="118932.59299999999"/>
    <n v="77259"/>
    <n v="77260"/>
  </r>
  <r>
    <x v="13"/>
    <m/>
    <s v="Hareskov Bibliotek"/>
    <n v="10191"/>
    <m/>
    <s v="Hareskov Bibliotek"/>
    <x v="88"/>
    <x v="1"/>
    <x v="5"/>
    <n v="50999.15"/>
    <n v="11"/>
    <s v="2012-02-29"/>
    <n v="0"/>
    <n v="711"/>
    <n v="71.718675000000005"/>
    <n v="1"/>
    <x v="1"/>
    <x v="2175"/>
    <n v="9933.24"/>
    <n v="0"/>
    <m/>
    <m/>
    <n v="50999.148390000002"/>
    <n v="0"/>
    <n v="77259"/>
  </r>
  <r>
    <x v="13"/>
    <m/>
    <s v="Hareskov Bibliotek"/>
    <n v="10191"/>
    <m/>
    <s v="Hareskov Bibliotek"/>
    <x v="88"/>
    <x v="1"/>
    <x v="5"/>
    <n v="4058691.26"/>
    <n v="12"/>
    <m/>
    <n v="0"/>
    <n v="711"/>
    <n v="5707.6237650000003"/>
    <n v="1"/>
    <x v="3"/>
    <x v="2176"/>
    <n v="24421.56"/>
    <n v="1"/>
    <m/>
    <m/>
    <n v="116328.21"/>
    <n v="77259"/>
    <n v="77260"/>
  </r>
  <r>
    <x v="13"/>
    <m/>
    <s v="Hareskov Bibliotek"/>
    <n v="10191"/>
    <m/>
    <s v="Hareskov Bibliotek"/>
    <x v="88"/>
    <x v="1"/>
    <x v="6"/>
    <n v="2043489.87"/>
    <n v="12"/>
    <m/>
    <n v="0"/>
    <n v="711"/>
    <n v="2873.7025309999999"/>
    <n v="1"/>
    <x v="3"/>
    <x v="2177"/>
    <n v="12466.52"/>
    <n v="1"/>
    <m/>
    <m/>
    <n v="58569.5"/>
    <n v="77259"/>
    <n v="77260"/>
  </r>
  <r>
    <x v="13"/>
    <m/>
    <s v="Hareskov Bibliotek"/>
    <n v="10191"/>
    <m/>
    <s v="Hareskov Bibliotek"/>
    <x v="88"/>
    <x v="1"/>
    <x v="6"/>
    <n v="275.45"/>
    <n v="1"/>
    <s v="2012-02-29"/>
    <n v="0"/>
    <n v="711"/>
    <n v="0.38735700000000001"/>
    <n v="1"/>
    <x v="1"/>
    <x v="2178"/>
    <n v="54.44"/>
    <n v="0"/>
    <m/>
    <m/>
    <n v="275.45161000000002"/>
    <n v="0"/>
    <n v="77259"/>
  </r>
  <r>
    <x v="13"/>
    <m/>
    <s v="Kulturhuset Satelitten, BM46"/>
    <n v="9517"/>
    <m/>
    <s v="Kulturhuset Satelitten"/>
    <x v="89"/>
    <x v="0"/>
    <x v="0"/>
    <n v="72265"/>
    <n v="5"/>
    <m/>
    <n v="0"/>
    <n v="784"/>
    <n v="57.335799000000002"/>
    <n v="1"/>
    <x v="1"/>
    <x v="2179"/>
    <n v="3243.48"/>
    <n v="0"/>
    <m/>
    <m/>
    <n v="44957"/>
    <n v="0"/>
    <n v="74426"/>
  </r>
  <r>
    <x v="13"/>
    <m/>
    <s v="Kulturhuset Satelitten, BM46"/>
    <n v="9517"/>
    <m/>
    <s v="Kulturhuset Satelitten"/>
    <x v="89"/>
    <x v="1"/>
    <x v="0"/>
    <n v="75843.88"/>
    <n v="5"/>
    <m/>
    <n v="0"/>
    <n v="784"/>
    <n v="96.727305000000001"/>
    <n v="1"/>
    <x v="3"/>
    <x v="2180"/>
    <n v="155.19"/>
    <n v="1"/>
    <m/>
    <m/>
    <n v="2173.8000000000002"/>
    <n v="74426"/>
    <n v="74427"/>
  </r>
  <r>
    <x v="13"/>
    <m/>
    <s v="Kulturhuset Satelitten, BM46"/>
    <n v="9517"/>
    <m/>
    <s v="Kulturhuset Satelitten"/>
    <x v="89"/>
    <x v="1"/>
    <x v="1"/>
    <n v="109643.22"/>
    <n v="12"/>
    <m/>
    <n v="0"/>
    <n v="784"/>
    <n v="139.83321000000001"/>
    <n v="1"/>
    <x v="3"/>
    <x v="2181"/>
    <n v="206.11"/>
    <n v="1"/>
    <m/>
    <m/>
    <n v="3142.54"/>
    <n v="74426"/>
    <n v="74427"/>
  </r>
  <r>
    <x v="13"/>
    <m/>
    <s v="Kulturhuset Satelitten, BM46"/>
    <n v="9517"/>
    <m/>
    <s v="Kulturhuset Satelitten"/>
    <x v="89"/>
    <x v="0"/>
    <x v="1"/>
    <n v="80317"/>
    <n v="12"/>
    <m/>
    <n v="0"/>
    <n v="784"/>
    <n v="102.432087"/>
    <n v="1"/>
    <x v="1"/>
    <x v="2182"/>
    <n v="5348.19"/>
    <n v="0"/>
    <m/>
    <m/>
    <n v="80317"/>
    <n v="0"/>
    <n v="74426"/>
  </r>
  <r>
    <x v="13"/>
    <m/>
    <s v="Kulturhuset Satelitten, BM46"/>
    <n v="9517"/>
    <m/>
    <s v="Kulturhuset Satelitten"/>
    <x v="89"/>
    <x v="1"/>
    <x v="2"/>
    <n v="159334.26"/>
    <n v="12"/>
    <m/>
    <n v="0"/>
    <n v="784"/>
    <n v="203.20655500000001"/>
    <n v="1"/>
    <x v="3"/>
    <x v="2183"/>
    <n v="890.3"/>
    <n v="1"/>
    <m/>
    <m/>
    <n v="4566.76"/>
    <n v="74426"/>
    <n v="74427"/>
  </r>
  <r>
    <x v="13"/>
    <m/>
    <s v="Kulturhuset Satelitten, BM46"/>
    <n v="9517"/>
    <m/>
    <s v="Kulturhuset Satelitten"/>
    <x v="89"/>
    <x v="0"/>
    <x v="2"/>
    <n v="86208"/>
    <n v="12"/>
    <m/>
    <n v="0"/>
    <n v="784"/>
    <n v="109.94516"/>
    <n v="1"/>
    <x v="1"/>
    <x v="2184"/>
    <n v="16846.28"/>
    <n v="0"/>
    <m/>
    <m/>
    <n v="86208"/>
    <n v="0"/>
    <n v="74426"/>
  </r>
  <r>
    <x v="13"/>
    <m/>
    <s v="Kulturhuset Satelitten, BM46"/>
    <n v="9517"/>
    <m/>
    <s v="Kulturhuset Satelitten"/>
    <x v="89"/>
    <x v="0"/>
    <x v="3"/>
    <n v="88982"/>
    <n v="12"/>
    <m/>
    <n v="0"/>
    <n v="784"/>
    <n v="113.482974"/>
    <n v="1"/>
    <x v="1"/>
    <x v="2185"/>
    <n v="17962.72"/>
    <n v="0"/>
    <m/>
    <m/>
    <n v="88982"/>
    <n v="0"/>
    <n v="74426"/>
  </r>
  <r>
    <x v="13"/>
    <m/>
    <s v="Kulturhuset Satelitten, BM46"/>
    <n v="9517"/>
    <m/>
    <s v="Kulturhuset Satelitten"/>
    <x v="89"/>
    <x v="1"/>
    <x v="3"/>
    <n v="160100.44"/>
    <n v="12"/>
    <m/>
    <n v="0"/>
    <n v="784"/>
    <n v="204.18370100000001"/>
    <n v="1"/>
    <x v="3"/>
    <x v="2186"/>
    <n v="906.09"/>
    <n v="1"/>
    <m/>
    <m/>
    <n v="4588.72"/>
    <n v="74426"/>
    <n v="74427"/>
  </r>
  <r>
    <x v="13"/>
    <m/>
    <s v="Kulturhuset Satelitten, BM46"/>
    <n v="9517"/>
    <m/>
    <s v="Kulturhuset Satelitten"/>
    <x v="89"/>
    <x v="0"/>
    <x v="4"/>
    <n v="92248.19"/>
    <n v="12"/>
    <m/>
    <n v="0"/>
    <n v="784"/>
    <n v="117.648501"/>
    <n v="1"/>
    <x v="1"/>
    <x v="2187"/>
    <n v="20844.52"/>
    <n v="0"/>
    <m/>
    <m/>
    <n v="92248.209000000003"/>
    <n v="0"/>
    <n v="74426"/>
  </r>
  <r>
    <x v="13"/>
    <m/>
    <s v="Kulturhuset Satelitten, BM46"/>
    <n v="9517"/>
    <m/>
    <s v="Kulturhuset Satelitten"/>
    <x v="89"/>
    <x v="1"/>
    <x v="4"/>
    <n v="470358.76"/>
    <n v="12"/>
    <m/>
    <n v="0"/>
    <n v="784"/>
    <n v="599.87088300000005"/>
    <n v="1"/>
    <x v="3"/>
    <x v="2188"/>
    <n v="3048.78"/>
    <n v="1"/>
    <m/>
    <m/>
    <n v="13481.1911"/>
    <n v="74426"/>
    <n v="74427"/>
  </r>
  <r>
    <x v="13"/>
    <m/>
    <s v="Kulturhuset Satelitten, BM46"/>
    <n v="9517"/>
    <m/>
    <s v="Kulturhuset Satelitten"/>
    <x v="89"/>
    <x v="1"/>
    <x v="5"/>
    <n v="362409.38"/>
    <n v="12"/>
    <m/>
    <n v="0"/>
    <n v="784"/>
    <n v="462.19790799999998"/>
    <n v="1"/>
    <x v="3"/>
    <x v="2189"/>
    <n v="2802.41"/>
    <n v="1"/>
    <m/>
    <m/>
    <n v="10387.1988"/>
    <n v="74426"/>
    <n v="74427"/>
  </r>
  <r>
    <x v="13"/>
    <m/>
    <s v="Kulturhuset Satelitten, BM46"/>
    <n v="9517"/>
    <m/>
    <s v="Kulturhuset Satelitten"/>
    <x v="89"/>
    <x v="0"/>
    <x v="5"/>
    <n v="104998.77"/>
    <n v="12"/>
    <m/>
    <n v="0"/>
    <n v="784"/>
    <n v="133.90992199999999"/>
    <n v="1"/>
    <x v="1"/>
    <x v="2190"/>
    <n v="26090.16"/>
    <n v="0"/>
    <m/>
    <m/>
    <n v="104998.784"/>
    <n v="0"/>
    <n v="74426"/>
  </r>
  <r>
    <x v="13"/>
    <m/>
    <s v="Kulturhuset Satelitten, BM46"/>
    <n v="9517"/>
    <m/>
    <s v="Kulturhuset Satelitten"/>
    <x v="89"/>
    <x v="1"/>
    <x v="6"/>
    <n v="124028.36"/>
    <n v="12"/>
    <m/>
    <n v="0"/>
    <n v="784"/>
    <n v="158.17926199999999"/>
    <n v="1"/>
    <x v="3"/>
    <x v="2191"/>
    <n v="757.7"/>
    <n v="1"/>
    <m/>
    <m/>
    <n v="3554.84"/>
    <n v="74426"/>
    <n v="74427"/>
  </r>
  <r>
    <x v="13"/>
    <m/>
    <s v="Kulturhuset Satelitten, BM46"/>
    <n v="9517"/>
    <m/>
    <s v="Kulturhuset Satelitten"/>
    <x v="89"/>
    <x v="0"/>
    <x v="6"/>
    <n v="78901"/>
    <n v="12"/>
    <m/>
    <n v="0"/>
    <n v="784"/>
    <n v="100.626195"/>
    <n v="1"/>
    <x v="1"/>
    <x v="2192"/>
    <n v="16778.93"/>
    <n v="0"/>
    <m/>
    <m/>
    <n v="78901"/>
    <n v="0"/>
    <n v="74426"/>
  </r>
  <r>
    <x v="13"/>
    <s v="04423-7"/>
    <s v="Kulturhuset, Stavns 3"/>
    <n v="5300"/>
    <m/>
    <s v="Kulturhuset"/>
    <x v="90"/>
    <x v="0"/>
    <x v="7"/>
    <n v="39.630000000000003"/>
    <n v="12"/>
    <s v="2013-10-31"/>
    <n v="0"/>
    <n v="7375"/>
    <n v="5.3730000000000002E-3"/>
    <n v="3"/>
    <x v="0"/>
    <x v="2193"/>
    <n v="31.7"/>
    <n v="0"/>
    <s v="BK 99600686"/>
    <m/>
    <n v="39.630000000000003"/>
    <n v="0"/>
    <n v="56972"/>
  </r>
  <r>
    <x v="13"/>
    <s v="04423-7"/>
    <s v="Kulturhuset, Stavns 3"/>
    <n v="5300"/>
    <m/>
    <s v="Kulturhuset"/>
    <x v="90"/>
    <x v="1"/>
    <x v="0"/>
    <n v="564795.81999999995"/>
    <n v="5"/>
    <s v="2005-06-01"/>
    <n v="0"/>
    <n v="7375"/>
    <n v="76.581445000000002"/>
    <n v="1"/>
    <x v="3"/>
    <x v="2194"/>
    <n v="3403562.45"/>
    <n v="1"/>
    <s v="4107843 aut"/>
    <m/>
    <n v="16187.9"/>
    <n v="0"/>
    <n v="56990"/>
  </r>
  <r>
    <x v="13"/>
    <s v="04423-7"/>
    <s v="Kulturhuset, Stavns 3"/>
    <n v="5300"/>
    <m/>
    <s v="Kulturhuset"/>
    <x v="90"/>
    <x v="0"/>
    <x v="7"/>
    <n v="196.25"/>
    <n v="11"/>
    <m/>
    <n v="0"/>
    <n v="7375"/>
    <n v="2.6609000000000001E-2"/>
    <n v="3"/>
    <x v="0"/>
    <x v="2195"/>
    <n v="156.99"/>
    <n v="1"/>
    <s v="BV 24126631"/>
    <m/>
    <n v="196.239"/>
    <n v="0"/>
    <n v="56992"/>
  </r>
  <r>
    <x v="13"/>
    <s v="04423-7"/>
    <s v="Kulturhuset, Stavns 3"/>
    <n v="5300"/>
    <m/>
    <s v="Kulturhuset"/>
    <x v="90"/>
    <x v="1"/>
    <x v="1"/>
    <n v="854351.42"/>
    <n v="12"/>
    <s v="2005-06-01"/>
    <n v="0"/>
    <n v="7375"/>
    <n v="115.84268899999999"/>
    <n v="1"/>
    <x v="3"/>
    <x v="2196"/>
    <n v="4765.6899999999996"/>
    <n v="1"/>
    <s v="4107843 aut"/>
    <m/>
    <n v="24487"/>
    <n v="0"/>
    <n v="56990"/>
  </r>
  <r>
    <x v="13"/>
    <s v="04423-7"/>
    <s v="Kulturhuset, Stavns 3"/>
    <n v="5300"/>
    <m/>
    <s v="Kulturhuset"/>
    <x v="90"/>
    <x v="1"/>
    <x v="2"/>
    <n v="1042673.7"/>
    <n v="12"/>
    <s v="2005-06-01"/>
    <n v="0"/>
    <n v="7375"/>
    <n v="141.377567"/>
    <n v="1"/>
    <x v="3"/>
    <x v="2197"/>
    <n v="5926.9"/>
    <n v="1"/>
    <s v="4107843 aut"/>
    <m/>
    <n v="29884.6"/>
    <n v="0"/>
    <n v="56990"/>
  </r>
  <r>
    <x v="13"/>
    <s v="04423-7"/>
    <s v="Kulturhuset, Stavns 3"/>
    <n v="5300"/>
    <m/>
    <s v="Kulturhuset"/>
    <x v="90"/>
    <x v="0"/>
    <x v="2"/>
    <n v="875725"/>
    <n v="12"/>
    <s v="2005-06-01"/>
    <n v="0"/>
    <n v="7375"/>
    <n v="118.740762"/>
    <n v="1"/>
    <x v="1"/>
    <x v="2198"/>
    <n v="175091.1"/>
    <n v="0"/>
    <s v="4107843 aut"/>
    <m/>
    <n v="875725"/>
    <n v="0"/>
    <n v="56974"/>
  </r>
  <r>
    <x v="13"/>
    <s v="04423-7"/>
    <s v="Kulturhuset, Stavns 3"/>
    <n v="5300"/>
    <m/>
    <s v="Kulturhuset"/>
    <x v="90"/>
    <x v="1"/>
    <x v="3"/>
    <n v="1041190.88"/>
    <n v="12"/>
    <s v="2005-06-01"/>
    <n v="0"/>
    <n v="7375"/>
    <n v="141.17651000000001"/>
    <n v="1"/>
    <x v="3"/>
    <x v="2199"/>
    <n v="6117.04"/>
    <n v="1"/>
    <s v="4107843 aut"/>
    <m/>
    <n v="29842.1001"/>
    <n v="0"/>
    <n v="56990"/>
  </r>
  <r>
    <x v="13"/>
    <s v="04423-7"/>
    <s v="Kulturhuset, Stavns 3"/>
    <n v="5300"/>
    <m/>
    <s v="Kulturhuset"/>
    <x v="90"/>
    <x v="0"/>
    <x v="3"/>
    <n v="896780"/>
    <n v="12"/>
    <s v="2005-06-01"/>
    <n v="0"/>
    <n v="7375"/>
    <n v="121.59563900000001"/>
    <n v="1"/>
    <x v="1"/>
    <x v="2200"/>
    <n v="188639.21"/>
    <n v="0"/>
    <s v="4107843 aut"/>
    <m/>
    <n v="896779.99199999997"/>
    <n v="0"/>
    <n v="56974"/>
  </r>
  <r>
    <x v="13"/>
    <s v="04423-7"/>
    <s v="Kulturhuset, Stavns 3"/>
    <n v="5300"/>
    <m/>
    <s v="Kulturhuset"/>
    <x v="90"/>
    <x v="1"/>
    <x v="4"/>
    <n v="1173849.6299999999"/>
    <n v="12"/>
    <s v="2005-06-01"/>
    <n v="0"/>
    <n v="7375"/>
    <n v="159.163893"/>
    <n v="1"/>
    <x v="3"/>
    <x v="2201"/>
    <n v="5572.65"/>
    <n v="1"/>
    <s v="4107843 aut"/>
    <m/>
    <n v="33644.300000000003"/>
    <n v="0"/>
    <n v="56990"/>
  </r>
  <r>
    <x v="13"/>
    <s v="04423-7"/>
    <s v="Kulturhuset, Stavns 3"/>
    <n v="5300"/>
    <m/>
    <s v="Kulturhuset"/>
    <x v="90"/>
    <x v="0"/>
    <x v="4"/>
    <n v="1026830.01"/>
    <n v="12"/>
    <s v="2005-06-01"/>
    <n v="0"/>
    <n v="7375"/>
    <n v="139.229299"/>
    <n v="1"/>
    <x v="1"/>
    <x v="2202"/>
    <n v="165977.18"/>
    <n v="0"/>
    <s v="4107843 aut"/>
    <m/>
    <n v="1026830.01"/>
    <n v="0"/>
    <n v="56974"/>
  </r>
  <r>
    <x v="13"/>
    <s v="04423-7"/>
    <s v="Kulturhuset, Stavns 3"/>
    <n v="5300"/>
    <m/>
    <s v="Kulturhuset"/>
    <x v="90"/>
    <x v="0"/>
    <x v="5"/>
    <n v="887170"/>
    <n v="12"/>
    <s v="2005-06-01"/>
    <n v="0"/>
    <n v="7375"/>
    <n v="120.29260600000001"/>
    <n v="1"/>
    <x v="1"/>
    <x v="2203"/>
    <n v="178791.05"/>
    <n v="0"/>
    <s v="4107843 aut"/>
    <m/>
    <n v="887170"/>
    <n v="0"/>
    <n v="56974"/>
  </r>
  <r>
    <x v="13"/>
    <s v="04423-7"/>
    <s v="Kulturhuset, Stavns 3"/>
    <n v="5300"/>
    <m/>
    <s v="Kulturhuset"/>
    <x v="90"/>
    <x v="1"/>
    <x v="5"/>
    <n v="923810.46"/>
    <n v="12"/>
    <s v="2005-06-01"/>
    <n v="0"/>
    <n v="7375"/>
    <n v="125.26073599999999"/>
    <n v="1"/>
    <x v="3"/>
    <x v="2204"/>
    <n v="5232.57"/>
    <n v="1"/>
    <s v="4107843 aut"/>
    <m/>
    <n v="26477.8"/>
    <n v="0"/>
    <n v="56990"/>
  </r>
  <r>
    <x v="13"/>
    <s v="04423-7"/>
    <s v="Kulturhuset, Stavns 3"/>
    <n v="5300"/>
    <m/>
    <s v="Kulturhuset"/>
    <x v="90"/>
    <x v="1"/>
    <x v="6"/>
    <n v="902398.47"/>
    <n v="12"/>
    <s v="2005-06-01"/>
    <n v="0"/>
    <n v="7375"/>
    <n v="122.357455"/>
    <n v="1"/>
    <x v="3"/>
    <x v="2205"/>
    <n v="5725.52"/>
    <n v="1"/>
    <s v="4107843 aut"/>
    <m/>
    <n v="25864.1"/>
    <n v="0"/>
    <n v="56990"/>
  </r>
  <r>
    <x v="13"/>
    <s v="04423-7"/>
    <s v="Kulturhuset, Stavns 3"/>
    <n v="5300"/>
    <m/>
    <s v="Kulturhuset"/>
    <x v="90"/>
    <x v="0"/>
    <x v="6"/>
    <n v="842660"/>
    <n v="12"/>
    <s v="2005-06-01"/>
    <n v="0"/>
    <n v="7375"/>
    <n v="114.25743300000001"/>
    <n v="1"/>
    <x v="1"/>
    <x v="2206"/>
    <n v="188334.74"/>
    <n v="0"/>
    <s v="4107843 aut"/>
    <m/>
    <n v="842659.99699999997"/>
    <n v="0"/>
    <n v="56974"/>
  </r>
  <r>
    <x v="13"/>
    <m/>
    <s v="Musikhuset"/>
    <n v="5271"/>
    <m/>
    <s v="Musikhuset"/>
    <x v="91"/>
    <x v="1"/>
    <x v="0"/>
    <n v="6178"/>
    <n v="5"/>
    <s v="2005-07-01"/>
    <n v="0"/>
    <n v="255"/>
    <n v="24.217953000000001"/>
    <n v="1"/>
    <x v="1"/>
    <x v="2207"/>
    <n v="1307224.8"/>
    <n v="0"/>
    <s v="4231383"/>
    <m/>
    <n v="6178"/>
    <n v="0"/>
    <n v="56831"/>
  </r>
  <r>
    <x v="13"/>
    <m/>
    <s v="Musikhuset"/>
    <n v="5271"/>
    <m/>
    <s v="Musikhuset"/>
    <x v="91"/>
    <x v="1"/>
    <x v="0"/>
    <n v="9221.7800000000007"/>
    <n v="5"/>
    <s v="2005-07-01"/>
    <n v="0"/>
    <n v="255"/>
    <n v="36.149666000000003"/>
    <n v="1"/>
    <x v="3"/>
    <x v="2208"/>
    <n v="55550.22"/>
    <n v="1"/>
    <s v="4231383"/>
    <m/>
    <n v="264.31"/>
    <n v="0"/>
    <n v="58278"/>
  </r>
  <r>
    <x v="13"/>
    <m/>
    <s v="Musikhuset"/>
    <n v="5271"/>
    <m/>
    <s v="Musikhuset"/>
    <x v="91"/>
    <x v="1"/>
    <x v="1"/>
    <n v="16583.22"/>
    <n v="12"/>
    <s v="2005-07-01"/>
    <n v="0"/>
    <n v="255"/>
    <n v="65.006742000000003"/>
    <n v="1"/>
    <x v="3"/>
    <x v="2209"/>
    <n v="95.78"/>
    <n v="1"/>
    <s v="4231383"/>
    <m/>
    <n v="475.3"/>
    <n v="0"/>
    <n v="58278"/>
  </r>
  <r>
    <x v="13"/>
    <m/>
    <s v="Musikhuset"/>
    <n v="5271"/>
    <m/>
    <s v="Musikhuset"/>
    <x v="91"/>
    <x v="1"/>
    <x v="1"/>
    <n v="10795"/>
    <n v="12"/>
    <s v="2005-07-01"/>
    <n v="0"/>
    <n v="255"/>
    <n v="42.316738000000001"/>
    <n v="1"/>
    <x v="1"/>
    <x v="2210"/>
    <n v="2070.46"/>
    <n v="0"/>
    <s v="4231383"/>
    <m/>
    <n v="10795"/>
    <n v="0"/>
    <n v="56831"/>
  </r>
  <r>
    <x v="13"/>
    <m/>
    <s v="Musikhuset"/>
    <n v="5271"/>
    <m/>
    <s v="Musikhuset"/>
    <x v="91"/>
    <x v="1"/>
    <x v="2"/>
    <n v="22175.02"/>
    <n v="12"/>
    <s v="2005-07-01"/>
    <n v="0"/>
    <n v="255"/>
    <n v="86.926772999999997"/>
    <n v="1"/>
    <x v="3"/>
    <x v="2211"/>
    <n v="125.41"/>
    <n v="1"/>
    <s v="4231383"/>
    <m/>
    <n v="635.57000000000005"/>
    <n v="0"/>
    <n v="58278"/>
  </r>
  <r>
    <x v="13"/>
    <m/>
    <s v="Musikhuset"/>
    <n v="5271"/>
    <m/>
    <s v="Musikhuset"/>
    <x v="91"/>
    <x v="1"/>
    <x v="2"/>
    <n v="14606"/>
    <n v="12"/>
    <s v="2005-07-01"/>
    <n v="0"/>
    <n v="255"/>
    <n v="57.255977999999999"/>
    <n v="1"/>
    <x v="1"/>
    <x v="2212"/>
    <n v="2922.13"/>
    <n v="0"/>
    <s v="4231383"/>
    <m/>
    <n v="14606"/>
    <n v="0"/>
    <n v="56831"/>
  </r>
  <r>
    <x v="13"/>
    <m/>
    <s v="Musikhuset"/>
    <n v="5271"/>
    <m/>
    <s v="Musikhuset"/>
    <x v="91"/>
    <x v="1"/>
    <x v="3"/>
    <n v="13761"/>
    <n v="12"/>
    <s v="2005-07-01"/>
    <n v="0"/>
    <n v="255"/>
    <n v="53.943550999999999"/>
    <n v="1"/>
    <x v="1"/>
    <x v="2213"/>
    <n v="2929.16"/>
    <n v="0"/>
    <s v="4231383"/>
    <m/>
    <n v="13761"/>
    <n v="0"/>
    <n v="56831"/>
  </r>
  <r>
    <x v="13"/>
    <m/>
    <s v="Musikhuset"/>
    <n v="5271"/>
    <m/>
    <s v="Musikhuset"/>
    <x v="91"/>
    <x v="1"/>
    <x v="3"/>
    <n v="23829.5"/>
    <n v="12"/>
    <s v="2005-07-01"/>
    <n v="0"/>
    <n v="255"/>
    <n v="93.412386999999995"/>
    <n v="1"/>
    <x v="3"/>
    <x v="2214"/>
    <n v="146.94"/>
    <n v="1"/>
    <s v="4231383"/>
    <m/>
    <n v="682.99"/>
    <n v="0"/>
    <n v="58278"/>
  </r>
  <r>
    <x v="13"/>
    <m/>
    <s v="Musikhuset"/>
    <n v="5271"/>
    <m/>
    <s v="Musikhuset"/>
    <x v="91"/>
    <x v="1"/>
    <x v="4"/>
    <n v="15504"/>
    <n v="12"/>
    <s v="2005-07-01"/>
    <n v="0"/>
    <n v="255"/>
    <n v="60.776166000000003"/>
    <n v="1"/>
    <x v="1"/>
    <x v="2215"/>
    <n v="2567.46"/>
    <n v="0"/>
    <s v="4231383"/>
    <m/>
    <n v="15504"/>
    <n v="0"/>
    <n v="56831"/>
  </r>
  <r>
    <x v="13"/>
    <m/>
    <s v="Musikhuset"/>
    <n v="5271"/>
    <m/>
    <s v="Musikhuset"/>
    <x v="91"/>
    <x v="1"/>
    <x v="4"/>
    <n v="26041.88"/>
    <n v="12"/>
    <s v="2005-07-01"/>
    <n v="0"/>
    <n v="255"/>
    <n v="102.084986"/>
    <n v="1"/>
    <x v="3"/>
    <x v="2216"/>
    <n v="126.58"/>
    <n v="1"/>
    <s v="4231383"/>
    <m/>
    <n v="746.4"/>
    <n v="0"/>
    <n v="58278"/>
  </r>
  <r>
    <x v="13"/>
    <m/>
    <s v="Musikhuset"/>
    <n v="5271"/>
    <m/>
    <s v="Musikhuset"/>
    <x v="91"/>
    <x v="1"/>
    <x v="5"/>
    <n v="23107.63"/>
    <n v="12"/>
    <s v="2005-07-01"/>
    <n v="0"/>
    <n v="255"/>
    <n v="90.582633999999999"/>
    <n v="1"/>
    <x v="3"/>
    <x v="2217"/>
    <n v="136.07"/>
    <n v="1"/>
    <s v="4231383"/>
    <m/>
    <n v="662.3"/>
    <n v="0"/>
    <n v="58278"/>
  </r>
  <r>
    <x v="13"/>
    <m/>
    <s v="Musikhuset"/>
    <n v="5271"/>
    <m/>
    <s v="Musikhuset"/>
    <x v="91"/>
    <x v="1"/>
    <x v="5"/>
    <n v="17405"/>
    <n v="12"/>
    <s v="2005-07-01"/>
    <n v="0"/>
    <n v="255"/>
    <n v="68.228144999999998"/>
    <n v="1"/>
    <x v="1"/>
    <x v="2218"/>
    <n v="3484.26"/>
    <n v="0"/>
    <s v="4231383"/>
    <m/>
    <n v="17405"/>
    <n v="0"/>
    <n v="56831"/>
  </r>
  <r>
    <x v="13"/>
    <m/>
    <s v="Musikhuset"/>
    <n v="5271"/>
    <m/>
    <s v="Musikhuset"/>
    <x v="91"/>
    <x v="1"/>
    <x v="6"/>
    <n v="23192.43"/>
    <n v="12"/>
    <s v="2005-07-01"/>
    <n v="0"/>
    <n v="255"/>
    <n v="90.915052000000003"/>
    <n v="1"/>
    <x v="3"/>
    <x v="2219"/>
    <n v="145.41"/>
    <n v="1"/>
    <s v="4231383"/>
    <m/>
    <n v="664.73"/>
    <n v="0"/>
    <n v="58278"/>
  </r>
  <r>
    <x v="13"/>
    <m/>
    <s v="Musikhuset"/>
    <n v="5271"/>
    <m/>
    <s v="Musikhuset"/>
    <x v="91"/>
    <x v="1"/>
    <x v="6"/>
    <n v="17628"/>
    <n v="12"/>
    <s v="2005-07-01"/>
    <n v="0"/>
    <n v="255"/>
    <n v="69.102311999999998"/>
    <n v="1"/>
    <x v="1"/>
    <x v="2220"/>
    <n v="3819.55"/>
    <n v="0"/>
    <s v="4231383"/>
    <m/>
    <n v="17628"/>
    <n v="0"/>
    <n v="56831"/>
  </r>
  <r>
    <x v="13"/>
    <m/>
    <s v="Musikhuset"/>
    <n v="5271"/>
    <m/>
    <s v="Musikhuset"/>
    <x v="56"/>
    <x v="1"/>
    <x v="1"/>
    <n v="10987.37"/>
    <n v="12"/>
    <s v="2005-07-01"/>
    <n v="0"/>
    <n v="255"/>
    <n v="43.070833999999998"/>
    <n v="2"/>
    <x v="2"/>
    <x v="2221"/>
    <n v="3296.18"/>
    <n v="0"/>
    <s v="814757"/>
    <m/>
    <n v="10987.365"/>
    <n v="0"/>
    <n v="56830"/>
  </r>
  <r>
    <x v="13"/>
    <m/>
    <s v="Musikhuset"/>
    <n v="5271"/>
    <m/>
    <s v="Musikhuset"/>
    <x v="56"/>
    <x v="1"/>
    <x v="2"/>
    <n v="12506.64"/>
    <n v="12"/>
    <s v="2005-07-01"/>
    <n v="0"/>
    <n v="255"/>
    <n v="49.026420999999999"/>
    <n v="2"/>
    <x v="2"/>
    <x v="2222"/>
    <n v="5002.66"/>
    <n v="0"/>
    <s v="814757"/>
    <m/>
    <n v="12506.64"/>
    <n v="0"/>
    <n v="56830"/>
  </r>
  <r>
    <x v="13"/>
    <m/>
    <s v="Musikhuset"/>
    <n v="5271"/>
    <m/>
    <s v="Musikhuset"/>
    <x v="56"/>
    <x v="1"/>
    <x v="3"/>
    <n v="15065.35"/>
    <n v="12"/>
    <s v="2005-07-01"/>
    <n v="0"/>
    <n v="255"/>
    <n v="59.056643999999999"/>
    <n v="2"/>
    <x v="2"/>
    <x v="2223"/>
    <n v="7065.65"/>
    <n v="0"/>
    <s v="814757"/>
    <m/>
    <n v="15065.34"/>
    <n v="0"/>
    <n v="56830"/>
  </r>
  <r>
    <x v="13"/>
    <m/>
    <s v="Musikhuset"/>
    <n v="5271"/>
    <m/>
    <s v="Musikhuset"/>
    <x v="56"/>
    <x v="1"/>
    <x v="4"/>
    <n v="12153.38"/>
    <n v="12"/>
    <s v="2005-07-01"/>
    <n v="0"/>
    <n v="255"/>
    <n v="47.641629999999999"/>
    <n v="2"/>
    <x v="2"/>
    <x v="2224"/>
    <n v="5699.94"/>
    <n v="0"/>
    <s v="814757"/>
    <m/>
    <n v="12153.39"/>
    <n v="0"/>
    <n v="56830"/>
  </r>
  <r>
    <x v="13"/>
    <m/>
    <s v="Værløse Bibliotek og Galaxen, BM48"/>
    <n v="14590"/>
    <s v="0"/>
    <s v="Galaksen"/>
    <x v="92"/>
    <x v="1"/>
    <x v="0"/>
    <n v="77361.600000000006"/>
    <n v="5"/>
    <m/>
    <n v="0"/>
    <n v="1048"/>
    <n v="73.811277000000004"/>
    <n v="1"/>
    <x v="3"/>
    <x v="2225"/>
    <n v="160.32"/>
    <n v="1"/>
    <s v="Galaxen 4903233"/>
    <m/>
    <n v="2217.3000000000002"/>
    <n v="76944"/>
    <n v="76945"/>
  </r>
  <r>
    <x v="13"/>
    <m/>
    <s v="Værløse Bibliotek og Galaxen, BM48"/>
    <n v="10125"/>
    <m/>
    <s v="Værløse Bibliotek"/>
    <x v="92"/>
    <x v="0"/>
    <x v="1"/>
    <n v="183070"/>
    <n v="12"/>
    <m/>
    <n v="0"/>
    <n v="2818"/>
    <n v="64.962208000000004"/>
    <n v="1"/>
    <x v="1"/>
    <x v="2226"/>
    <n v="12418.97"/>
    <n v="0"/>
    <s v="Bibliotek 902153"/>
    <m/>
    <n v="183070"/>
    <n v="0"/>
    <n v="76943"/>
  </r>
  <r>
    <x v="13"/>
    <m/>
    <s v="Værløse Bibliotek og Galaxen, BM48"/>
    <n v="10125"/>
    <m/>
    <s v="Værløse Bibliotek"/>
    <x v="92"/>
    <x v="0"/>
    <x v="1"/>
    <n v="11426.96"/>
    <n v="7"/>
    <s v="2014-12-02"/>
    <n v="0"/>
    <n v="2818"/>
    <n v="4.0548450000000003"/>
    <n v="2"/>
    <x v="2"/>
    <x v="2227"/>
    <n v="3428.11"/>
    <n v="1"/>
    <s v="Cafe, 2345026"/>
    <m/>
    <n v="11426.96"/>
    <n v="0"/>
    <n v="93977"/>
  </r>
  <r>
    <x v="13"/>
    <m/>
    <s v="Værløse Bibliotek og Galaxen, BM48"/>
    <n v="14590"/>
    <s v="0"/>
    <s v="Galaksen"/>
    <x v="92"/>
    <x v="1"/>
    <x v="1"/>
    <n v="233592.06"/>
    <n v="12"/>
    <m/>
    <n v="0"/>
    <n v="1048"/>
    <n v="222.87191999999999"/>
    <n v="1"/>
    <x v="3"/>
    <x v="2228"/>
    <n v="443.24"/>
    <n v="1"/>
    <s v="Galaxen 4903233"/>
    <m/>
    <n v="6695.1"/>
    <n v="76944"/>
    <n v="76945"/>
  </r>
  <r>
    <x v="13"/>
    <m/>
    <s v="Værløse Bibliotek og Galaxen, BM48"/>
    <n v="14590"/>
    <s v="0"/>
    <s v="Galaksen"/>
    <x v="92"/>
    <x v="1"/>
    <x v="2"/>
    <n v="238302.19"/>
    <n v="12"/>
    <m/>
    <n v="0"/>
    <n v="1048"/>
    <n v="227.36589000000001"/>
    <n v="1"/>
    <x v="3"/>
    <x v="2229"/>
    <n v="1399.68"/>
    <n v="1"/>
    <s v="Galaxen 4903233"/>
    <m/>
    <n v="6830.1"/>
    <n v="76944"/>
    <n v="76945"/>
  </r>
  <r>
    <x v="13"/>
    <m/>
    <s v="Værløse Bibliotek og Galaxen, BM48"/>
    <n v="14590"/>
    <s v="0"/>
    <s v="Galaksen"/>
    <x v="92"/>
    <x v="0"/>
    <x v="2"/>
    <n v="149760"/>
    <n v="12"/>
    <m/>
    <n v="0"/>
    <n v="1048"/>
    <n v="142.88712899999999"/>
    <n v="1"/>
    <x v="1"/>
    <x v="2230"/>
    <n v="30230.27"/>
    <n v="0"/>
    <s v="Galaxen 4903233"/>
    <m/>
    <n v="149760"/>
    <n v="0"/>
    <n v="76944"/>
  </r>
  <r>
    <x v="13"/>
    <m/>
    <s v="Værløse Bibliotek og Galaxen, BM48"/>
    <n v="14590"/>
    <s v="0"/>
    <s v="Galaksen"/>
    <x v="92"/>
    <x v="1"/>
    <x v="3"/>
    <n v="178301.85"/>
    <n v="12"/>
    <m/>
    <n v="0"/>
    <n v="1048"/>
    <n v="170.11912000000001"/>
    <n v="1"/>
    <x v="3"/>
    <x v="2231"/>
    <n v="1050.29"/>
    <n v="1"/>
    <s v="Galaxen 4903233"/>
    <m/>
    <n v="5110.3999999999996"/>
    <n v="76944"/>
    <n v="76945"/>
  </r>
  <r>
    <x v="13"/>
    <m/>
    <s v="Værløse Bibliotek og Galaxen, BM48"/>
    <n v="14590"/>
    <s v="0"/>
    <s v="Galaksen"/>
    <x v="92"/>
    <x v="0"/>
    <x v="3"/>
    <n v="138140"/>
    <n v="12"/>
    <m/>
    <n v="0"/>
    <n v="1048"/>
    <n v="131.8004"/>
    <n v="1"/>
    <x v="1"/>
    <x v="2232"/>
    <n v="28337.69"/>
    <n v="0"/>
    <s v="Galaxen 4903233"/>
    <m/>
    <n v="138140"/>
    <n v="0"/>
    <n v="76944"/>
  </r>
  <r>
    <x v="13"/>
    <m/>
    <s v="Værløse Bibliotek og Galaxen, BM48"/>
    <n v="14590"/>
    <s v="0"/>
    <s v="Galaksen"/>
    <x v="92"/>
    <x v="0"/>
    <x v="4"/>
    <n v="156550"/>
    <n v="12"/>
    <m/>
    <n v="0"/>
    <n v="1048"/>
    <n v="149.36551800000001"/>
    <n v="1"/>
    <x v="1"/>
    <x v="2233"/>
    <n v="26304.15"/>
    <n v="0"/>
    <s v="Galaxen 4903233"/>
    <m/>
    <n v="156550"/>
    <n v="0"/>
    <n v="76944"/>
  </r>
  <r>
    <x v="13"/>
    <m/>
    <s v="Værløse Bibliotek og Galaxen, BM48"/>
    <n v="14590"/>
    <s v="0"/>
    <s v="Galaksen"/>
    <x v="92"/>
    <x v="1"/>
    <x v="4"/>
    <n v="259079.18"/>
    <n v="12"/>
    <m/>
    <n v="0"/>
    <n v="1048"/>
    <n v="247.18937099999999"/>
    <n v="1"/>
    <x v="3"/>
    <x v="2234"/>
    <n v="1252.18"/>
    <n v="1"/>
    <s v="Galaxen 4903233"/>
    <m/>
    <n v="7425.6"/>
    <n v="76944"/>
    <n v="76945"/>
  </r>
  <r>
    <x v="13"/>
    <m/>
    <s v="Værløse Bibliotek og Galaxen, BM48"/>
    <n v="14590"/>
    <s v="0"/>
    <s v="Galaksen"/>
    <x v="92"/>
    <x v="0"/>
    <x v="5"/>
    <n v="127880"/>
    <n v="12"/>
    <m/>
    <n v="0"/>
    <n v="1048"/>
    <n v="122.011258"/>
    <n v="1"/>
    <x v="1"/>
    <x v="2235"/>
    <n v="25220.69"/>
    <n v="0"/>
    <s v="Galaxen 4903233"/>
    <m/>
    <n v="127880"/>
    <n v="0"/>
    <n v="76944"/>
  </r>
  <r>
    <x v="13"/>
    <m/>
    <s v="Værløse Bibliotek og Galaxen, BM48"/>
    <n v="14590"/>
    <s v="0"/>
    <s v="Galaksen"/>
    <x v="92"/>
    <x v="1"/>
    <x v="5"/>
    <n v="286251.52000000002"/>
    <n v="12"/>
    <m/>
    <n v="0"/>
    <n v="1048"/>
    <n v="273.11470200000002"/>
    <n v="1"/>
    <x v="3"/>
    <x v="2236"/>
    <n v="1605.96"/>
    <n v="1"/>
    <s v="Galaxen 4903233"/>
    <m/>
    <n v="8204.4"/>
    <n v="76944"/>
    <n v="76945"/>
  </r>
  <r>
    <x v="13"/>
    <m/>
    <s v="Værløse Bibliotek og Galaxen, BM48"/>
    <n v="14590"/>
    <s v="0"/>
    <s v="Galaksen"/>
    <x v="92"/>
    <x v="1"/>
    <x v="6"/>
    <n v="213045.33"/>
    <n v="12"/>
    <m/>
    <n v="0"/>
    <n v="1048"/>
    <n v="203.26813200000001"/>
    <n v="1"/>
    <x v="3"/>
    <x v="2237"/>
    <n v="1293.56"/>
    <n v="1"/>
    <s v="Galaxen 4903233"/>
    <m/>
    <n v="6106.2"/>
    <n v="76944"/>
    <n v="76945"/>
  </r>
  <r>
    <x v="13"/>
    <m/>
    <s v="Værløse Bibliotek og Galaxen, BM48"/>
    <n v="14590"/>
    <s v="0"/>
    <s v="Galaksen"/>
    <x v="92"/>
    <x v="0"/>
    <x v="6"/>
    <n v="18208.48"/>
    <n v="1"/>
    <s v="2008-01-29"/>
    <n v="0"/>
    <n v="1048"/>
    <n v="17.372845999999999"/>
    <n v="1"/>
    <x v="5"/>
    <x v="2238"/>
    <n v="4.32"/>
    <n v="0"/>
    <s v="Galaxen 492153"/>
    <m/>
    <n v="18.208480000000002"/>
    <n v="0"/>
    <n v="78918"/>
  </r>
  <r>
    <x v="13"/>
    <m/>
    <s v="Værløse Bibliotek og Galaxen, BM48"/>
    <n v="14590"/>
    <s v="0"/>
    <s v="Galaksen"/>
    <x v="92"/>
    <x v="0"/>
    <x v="6"/>
    <n v="100480"/>
    <n v="12"/>
    <m/>
    <n v="0"/>
    <n v="1048"/>
    <n v="95.868713999999997"/>
    <n v="1"/>
    <x v="1"/>
    <x v="2239"/>
    <n v="21176.45"/>
    <n v="0"/>
    <s v="Galaxen 4903233"/>
    <m/>
    <n v="100480"/>
    <n v="0"/>
    <n v="76944"/>
  </r>
  <r>
    <x v="13"/>
    <m/>
    <s v="Værløse Bibliotek og Galaxen, BM48"/>
    <n v="10125"/>
    <m/>
    <s v="Værløse Bibliotek"/>
    <x v="92"/>
    <x v="0"/>
    <x v="1"/>
    <n v="120473.14"/>
    <n v="12"/>
    <m/>
    <n v="0"/>
    <n v="2818"/>
    <n v="42.749774000000002"/>
    <n v="2"/>
    <x v="2"/>
    <x v="2240"/>
    <n v="36141.94"/>
    <n v="0"/>
    <s v="100530"/>
    <s v="74110486033"/>
    <n v="120473.13"/>
    <n v="0"/>
    <n v="76941"/>
  </r>
  <r>
    <x v="13"/>
    <m/>
    <s v="Værløse Bibliotek og Galaxen, BM48"/>
    <n v="10125"/>
    <m/>
    <s v="Værløse Bibliotek"/>
    <x v="92"/>
    <x v="1"/>
    <x v="0"/>
    <n v="160602.16"/>
    <n v="5"/>
    <m/>
    <n v="0"/>
    <n v="2818"/>
    <n v="56.989516999999999"/>
    <n v="1"/>
    <x v="3"/>
    <x v="2241"/>
    <n v="338.61"/>
    <n v="1"/>
    <s v="Bibliotek 902153"/>
    <m/>
    <n v="4603.1000000000004"/>
    <n v="76943"/>
    <n v="76946"/>
  </r>
  <r>
    <x v="13"/>
    <m/>
    <s v="Værløse Bibliotek og Galaxen, BM48"/>
    <n v="10125"/>
    <m/>
    <s v="Værløse Bibliotek"/>
    <x v="92"/>
    <x v="0"/>
    <x v="1"/>
    <n v="19048.16"/>
    <n v="5"/>
    <s v="2014-12-02"/>
    <n v="0"/>
    <n v="2818"/>
    <n v="6.75922"/>
    <n v="2"/>
    <x v="2"/>
    <x v="2242"/>
    <n v="5714.44"/>
    <n v="1"/>
    <s v="Cafekøkken"/>
    <m/>
    <n v="19048.149990000002"/>
    <n v="0"/>
    <n v="94453"/>
  </r>
  <r>
    <x v="13"/>
    <m/>
    <s v="Værløse Bibliotek og Galaxen, BM48"/>
    <n v="10125"/>
    <m/>
    <s v="Værløse Bibliotek"/>
    <x v="92"/>
    <x v="1"/>
    <x v="1"/>
    <n v="557036.30000000005"/>
    <n v="12"/>
    <m/>
    <n v="0"/>
    <n v="2818"/>
    <n v="197.66378"/>
    <n v="1"/>
    <x v="3"/>
    <x v="2243"/>
    <n v="1288.1600000000001"/>
    <n v="1"/>
    <s v="Bibliotek 902153"/>
    <m/>
    <n v="15965.5"/>
    <n v="76943"/>
    <n v="76946"/>
  </r>
  <r>
    <x v="13"/>
    <m/>
    <s v="Værløse Bibliotek og Galaxen, BM48"/>
    <n v="10125"/>
    <m/>
    <s v="Værløse Bibliotek"/>
    <x v="92"/>
    <x v="0"/>
    <x v="2"/>
    <n v="191850"/>
    <n v="12"/>
    <m/>
    <n v="0"/>
    <n v="2818"/>
    <n v="68.077781999999999"/>
    <n v="1"/>
    <x v="1"/>
    <x v="2244"/>
    <n v="37622.03"/>
    <n v="0"/>
    <s v="Bibliotek 902153"/>
    <m/>
    <n v="191850"/>
    <n v="0"/>
    <n v="76943"/>
  </r>
  <r>
    <x v="13"/>
    <m/>
    <s v="Værløse Bibliotek og Galaxen, BM48"/>
    <n v="10125"/>
    <m/>
    <s v="Værløse Bibliotek"/>
    <x v="92"/>
    <x v="1"/>
    <x v="2"/>
    <n v="541004.32999999996"/>
    <n v="12"/>
    <m/>
    <n v="0"/>
    <n v="2818"/>
    <n v="191.974851"/>
    <n v="1"/>
    <x v="3"/>
    <x v="2245"/>
    <n v="3134.16"/>
    <n v="1"/>
    <s v="Bibliotek 902153"/>
    <m/>
    <n v="15506"/>
    <n v="76943"/>
    <n v="76946"/>
  </r>
  <r>
    <x v="13"/>
    <m/>
    <s v="Værløse Bibliotek og Galaxen, BM48"/>
    <n v="10125"/>
    <m/>
    <s v="Værløse Bibliotek"/>
    <x v="92"/>
    <x v="0"/>
    <x v="3"/>
    <n v="184320"/>
    <n v="12"/>
    <m/>
    <n v="0"/>
    <n v="2818"/>
    <n v="65.405769000000006"/>
    <n v="1"/>
    <x v="1"/>
    <x v="2246"/>
    <n v="37690.839999999997"/>
    <n v="0"/>
    <s v="Bibliotek 902153"/>
    <m/>
    <n v="184320"/>
    <n v="0"/>
    <n v="76943"/>
  </r>
  <r>
    <x v="13"/>
    <m/>
    <s v="Værløse Bibliotek og Galaxen, BM48"/>
    <n v="10125"/>
    <m/>
    <s v="Værløse Bibliotek"/>
    <x v="92"/>
    <x v="1"/>
    <x v="3"/>
    <n v="255586.68"/>
    <n v="12"/>
    <m/>
    <n v="0"/>
    <n v="2818"/>
    <n v="90.694680000000005"/>
    <n v="1"/>
    <x v="3"/>
    <x v="2247"/>
    <n v="1486.51"/>
    <n v="1"/>
    <s v="Bibliotek 902153"/>
    <m/>
    <n v="7325.5"/>
    <n v="76943"/>
    <n v="76946"/>
  </r>
  <r>
    <x v="13"/>
    <m/>
    <s v="Værløse Bibliotek og Galaxen, BM48"/>
    <n v="10125"/>
    <m/>
    <s v="Værløse Bibliotek"/>
    <x v="92"/>
    <x v="0"/>
    <x v="4"/>
    <n v="251470"/>
    <n v="12"/>
    <m/>
    <n v="0"/>
    <n v="2818"/>
    <n v="89.233879999999999"/>
    <n v="1"/>
    <x v="1"/>
    <x v="2248"/>
    <n v="42021.47"/>
    <n v="0"/>
    <s v="Bibliotek 902153"/>
    <m/>
    <n v="251470"/>
    <n v="0"/>
    <n v="76943"/>
  </r>
  <r>
    <x v="13"/>
    <m/>
    <s v="Værløse Bibliotek og Galaxen, BM48"/>
    <n v="10125"/>
    <m/>
    <s v="Værløse Bibliotek"/>
    <x v="92"/>
    <x v="1"/>
    <x v="4"/>
    <n v="390680.78"/>
    <n v="12"/>
    <m/>
    <n v="0"/>
    <n v="2818"/>
    <n v="138.632688"/>
    <n v="1"/>
    <x v="3"/>
    <x v="2249"/>
    <n v="1879.81"/>
    <n v="1"/>
    <s v="Bibliotek 902153"/>
    <m/>
    <n v="11197.5"/>
    <n v="76943"/>
    <n v="76946"/>
  </r>
  <r>
    <x v="13"/>
    <m/>
    <s v="Værløse Bibliotek og Galaxen, BM48"/>
    <n v="10125"/>
    <m/>
    <s v="Værløse Bibliotek"/>
    <x v="92"/>
    <x v="0"/>
    <x v="5"/>
    <n v="191570"/>
    <n v="12"/>
    <m/>
    <n v="0"/>
    <n v="2818"/>
    <n v="67.978425000000001"/>
    <n v="1"/>
    <x v="1"/>
    <x v="2250"/>
    <n v="37696.03"/>
    <n v="0"/>
    <s v="Bibliotek 902153"/>
    <m/>
    <n v="191570"/>
    <n v="0"/>
    <n v="76943"/>
  </r>
  <r>
    <x v="13"/>
    <m/>
    <s v="Værløse Bibliotek og Galaxen, BM48"/>
    <n v="10125"/>
    <m/>
    <s v="Værløse Bibliotek"/>
    <x v="92"/>
    <x v="1"/>
    <x v="5"/>
    <n v="306222.55"/>
    <n v="12"/>
    <m/>
    <n v="0"/>
    <n v="2818"/>
    <n v="108.662769"/>
    <n v="1"/>
    <x v="3"/>
    <x v="2251"/>
    <n v="1726.53"/>
    <n v="1"/>
    <s v="Bibliotek 902153"/>
    <m/>
    <n v="8776.7999999999993"/>
    <n v="76943"/>
    <n v="76946"/>
  </r>
  <r>
    <x v="13"/>
    <m/>
    <s v="Værløse Bibliotek og Galaxen, BM48"/>
    <n v="10125"/>
    <m/>
    <s v="Værløse Bibliotek"/>
    <x v="92"/>
    <x v="0"/>
    <x v="6"/>
    <n v="23621.82"/>
    <n v="1"/>
    <s v="2008-01-29"/>
    <n v="0"/>
    <n v="2818"/>
    <n v="8.3821790000000007"/>
    <n v="1"/>
    <x v="5"/>
    <x v="2252"/>
    <n v="5.62"/>
    <n v="0"/>
    <s v="Bibliotek 902153"/>
    <m/>
    <n v="23.62182"/>
    <n v="0"/>
    <n v="78917"/>
  </r>
  <r>
    <x v="13"/>
    <m/>
    <s v="Værløse Bibliotek og Galaxen, BM48"/>
    <n v="10125"/>
    <m/>
    <s v="Værløse Bibliotek"/>
    <x v="92"/>
    <x v="0"/>
    <x v="6"/>
    <n v="161580"/>
    <n v="12"/>
    <m/>
    <n v="0"/>
    <n v="2818"/>
    <n v="57.336503"/>
    <n v="1"/>
    <x v="1"/>
    <x v="2253"/>
    <n v="34437.64"/>
    <n v="0"/>
    <s v="Bibliotek 902153"/>
    <m/>
    <n v="161580"/>
    <n v="0"/>
    <n v="76943"/>
  </r>
  <r>
    <x v="13"/>
    <m/>
    <s v="Værløse Bibliotek og Galaxen, BM48"/>
    <n v="10125"/>
    <m/>
    <s v="Værløse Bibliotek"/>
    <x v="92"/>
    <x v="1"/>
    <x v="6"/>
    <n v="256835.76"/>
    <n v="12"/>
    <m/>
    <n v="0"/>
    <n v="2818"/>
    <n v="91.137915000000007"/>
    <n v="1"/>
    <x v="3"/>
    <x v="2254"/>
    <n v="1575.42"/>
    <n v="1"/>
    <s v="Bibliotek 902153"/>
    <m/>
    <n v="7361.3"/>
    <n v="76943"/>
    <n v="76946"/>
  </r>
  <r>
    <x v="13"/>
    <m/>
    <s v="Kulturhuset Satelitten, BM46"/>
    <n v="9517"/>
    <m/>
    <s v="Kulturhuset Satelitten"/>
    <x v="89"/>
    <x v="1"/>
    <x v="7"/>
    <n v="141619.92000000001"/>
    <n v="12"/>
    <m/>
    <n v="0"/>
    <n v="784"/>
    <n v="180.61461499999999"/>
    <n v="1"/>
    <x v="3"/>
    <x v="2255"/>
    <n v="305.31"/>
    <n v="1"/>
    <m/>
    <m/>
    <n v="4059.04"/>
    <n v="74426"/>
    <n v="74427"/>
  </r>
  <r>
    <x v="13"/>
    <m/>
    <s v="Kulturhuset Satelitten, BM46"/>
    <n v="9517"/>
    <m/>
    <s v="Kulturhuset Satelitten"/>
    <x v="89"/>
    <x v="0"/>
    <x v="7"/>
    <n v="91.44"/>
    <n v="12"/>
    <m/>
    <n v="0"/>
    <n v="784"/>
    <n v="0.116617"/>
    <n v="3"/>
    <x v="0"/>
    <x v="2256"/>
    <n v="73.150000000000006"/>
    <n v="0"/>
    <m/>
    <m/>
    <n v="91.436999999999998"/>
    <n v="0"/>
    <n v="74425"/>
  </r>
  <r>
    <x v="13"/>
    <m/>
    <s v="Kulturhuset Satelitten, BM46"/>
    <n v="9517"/>
    <m/>
    <s v="Kulturhuset Satelitten"/>
    <x v="89"/>
    <x v="0"/>
    <x v="7"/>
    <n v="72494"/>
    <n v="12"/>
    <m/>
    <n v="0"/>
    <n v="784"/>
    <n v="92.455043000000003"/>
    <n v="1"/>
    <x v="1"/>
    <x v="2257"/>
    <n v="5519.22"/>
    <n v="0"/>
    <m/>
    <m/>
    <n v="72494"/>
    <n v="0"/>
    <n v="74426"/>
  </r>
  <r>
    <x v="13"/>
    <m/>
    <s v="Kulturhuset Satelitten, BM46"/>
    <n v="9517"/>
    <m/>
    <s v="Kulturhuset Satelitten"/>
    <x v="89"/>
    <x v="0"/>
    <x v="7"/>
    <n v="8617.6299999999992"/>
    <n v="12"/>
    <m/>
    <n v="0"/>
    <n v="784"/>
    <n v="10.990473"/>
    <n v="2"/>
    <x v="2"/>
    <x v="2258"/>
    <n v="2585.27"/>
    <n v="0"/>
    <s v="14396244"/>
    <m/>
    <n v="8617.6201000000001"/>
    <n v="0"/>
    <n v="74424"/>
  </r>
  <r>
    <x v="13"/>
    <s v="04423-7"/>
    <s v="Kulturhuset, Stavns 3"/>
    <n v="5300"/>
    <m/>
    <s v="Kulturhuset"/>
    <x v="90"/>
    <x v="1"/>
    <x v="7"/>
    <n v="900828.41"/>
    <n v="12"/>
    <s v="2005-06-01"/>
    <n v="0"/>
    <n v="7375"/>
    <n v="122.14456800000001"/>
    <n v="1"/>
    <x v="3"/>
    <x v="2259"/>
    <n v="2419247.46"/>
    <n v="1"/>
    <s v="4107843 aut"/>
    <m/>
    <n v="25819.1"/>
    <n v="0"/>
    <n v="56990"/>
  </r>
  <r>
    <x v="13"/>
    <s v="04423-7"/>
    <s v="Kulturhuset, Stavns 3"/>
    <n v="5300"/>
    <m/>
    <s v="Kulturhuset"/>
    <x v="90"/>
    <x v="0"/>
    <x v="7"/>
    <n v="790621"/>
    <n v="12"/>
    <s v="2005-06-01"/>
    <n v="0"/>
    <n v="7375"/>
    <n v="107.201393"/>
    <n v="1"/>
    <x v="1"/>
    <x v="2260"/>
    <n v="75126657.980000004"/>
    <n v="0"/>
    <s v="4107843 aut"/>
    <m/>
    <n v="790620.99985999998"/>
    <n v="0"/>
    <n v="56974"/>
  </r>
  <r>
    <x v="13"/>
    <s v="04423-7"/>
    <s v="Kulturhuset, Stavns 3"/>
    <n v="5300"/>
    <m/>
    <s v="Kulturhuset"/>
    <x v="90"/>
    <x v="0"/>
    <x v="7"/>
    <n v="175150.81"/>
    <n v="12"/>
    <s v="2005-06-01"/>
    <n v="0"/>
    <n v="7375"/>
    <n v="23.748940000000001"/>
    <n v="2"/>
    <x v="2"/>
    <x v="2261"/>
    <n v="70060.320000000007"/>
    <n v="0"/>
    <s v="360164"/>
    <s v="741 1145 9616"/>
    <n v="175150.81"/>
    <n v="0"/>
    <n v="56967"/>
  </r>
  <r>
    <x v="13"/>
    <s v="04423-7"/>
    <s v="Kulturhuset, Stavns 3"/>
    <n v="5300"/>
    <m/>
    <s v="Kulturhuset"/>
    <x v="90"/>
    <x v="0"/>
    <x v="0"/>
    <n v="1138"/>
    <n v="5"/>
    <m/>
    <n v="0"/>
    <n v="7375"/>
    <n v="6.6049999999999998E-2"/>
    <n v="3"/>
    <x v="0"/>
    <x v="2262"/>
    <n v="389.72"/>
    <n v="0"/>
    <s v="BK 24126636"/>
    <m/>
    <n v="487.13600000000002"/>
    <n v="0"/>
    <n v="56969"/>
  </r>
  <r>
    <x v="13"/>
    <s v="04423-7"/>
    <s v="Kulturhuset, Stavns 3"/>
    <n v="5300"/>
    <m/>
    <s v="Kulturhuset"/>
    <x v="90"/>
    <x v="0"/>
    <x v="0"/>
    <m/>
    <n v="5"/>
    <s v="2013-10-31"/>
    <n v="0"/>
    <n v="7375"/>
    <n v="1.369E-3"/>
    <n v="3"/>
    <x v="0"/>
    <x v="2263"/>
    <n v="8.08"/>
    <n v="0"/>
    <s v="BK 99600686"/>
    <m/>
    <n v="10.1"/>
    <n v="0"/>
    <n v="56972"/>
  </r>
  <r>
    <x v="13"/>
    <s v="04423-7"/>
    <s v="Kulturhuset, Stavns 3"/>
    <n v="5300"/>
    <m/>
    <s v="Kulturhuset"/>
    <x v="90"/>
    <x v="0"/>
    <x v="0"/>
    <m/>
    <n v="5"/>
    <m/>
    <n v="0"/>
    <n v="7375"/>
    <n v="3.1549999999999998E-3"/>
    <n v="3"/>
    <x v="0"/>
    <x v="2264"/>
    <n v="18.600000000000001"/>
    <n v="1"/>
    <s v="BV 24126631"/>
    <m/>
    <n v="23.265999999999998"/>
    <n v="0"/>
    <n v="56992"/>
  </r>
  <r>
    <x v="13"/>
    <m/>
    <s v="Musikhuset"/>
    <n v="5271"/>
    <m/>
    <s v="Musikhuset"/>
    <x v="56"/>
    <x v="1"/>
    <x v="5"/>
    <n v="11214.91"/>
    <n v="12"/>
    <s v="2005-07-01"/>
    <n v="0"/>
    <n v="255"/>
    <n v="43.962797999999999"/>
    <n v="2"/>
    <x v="2"/>
    <x v="2265"/>
    <n v="5259.78"/>
    <n v="0"/>
    <s v="814757"/>
    <m/>
    <n v="11214.9"/>
    <n v="0"/>
    <n v="56830"/>
  </r>
  <r>
    <x v="13"/>
    <m/>
    <s v="Musikhuset"/>
    <n v="5271"/>
    <m/>
    <s v="Musikhuset"/>
    <x v="56"/>
    <x v="1"/>
    <x v="6"/>
    <n v="10926.88"/>
    <n v="12"/>
    <s v="2005-07-01"/>
    <n v="0"/>
    <n v="255"/>
    <n v="42.833711999999998"/>
    <n v="2"/>
    <x v="2"/>
    <x v="2266"/>
    <n v="5124.6899999999996"/>
    <n v="0"/>
    <s v="814757"/>
    <m/>
    <n v="10926.885"/>
    <n v="0"/>
    <n v="56830"/>
  </r>
  <r>
    <x v="4"/>
    <s v="1737"/>
    <s v="Musikskolen KV36"/>
    <n v="13660"/>
    <m/>
    <s v="Musikskolen"/>
    <x v="56"/>
    <x v="0"/>
    <x v="6"/>
    <n v="12325.68"/>
    <n v="1"/>
    <s v="2014-04-30"/>
    <n v="0"/>
    <n v="532"/>
    <n v="23.164217000000001"/>
    <n v="2"/>
    <x v="2"/>
    <x v="2267"/>
    <n v="5780.75"/>
    <n v="0"/>
    <s v="1018671-38070"/>
    <s v="74115437542"/>
    <n v="12325.700930000001"/>
    <n v="0"/>
    <n v="91247"/>
  </r>
  <r>
    <x v="13"/>
    <s v="04323-0"/>
    <s v="Billen, Stavns 5"/>
    <n v="6071"/>
    <m/>
    <s v="Billen"/>
    <x v="87"/>
    <x v="0"/>
    <x v="0"/>
    <n v="3924"/>
    <n v="5"/>
    <s v="2012-03-31"/>
    <n v="0"/>
    <n v="222"/>
    <n v="7.2968929999999999"/>
    <n v="2"/>
    <x v="2"/>
    <x v="2268"/>
    <n v="648.25"/>
    <n v="0"/>
    <s v="228690"/>
    <s v="74112196275"/>
    <n v="1620.6320000000001"/>
    <n v="0"/>
    <n v="60882"/>
  </r>
  <r>
    <x v="13"/>
    <s v="04323-0"/>
    <s v="Billen, Stavns 5"/>
    <n v="6071"/>
    <m/>
    <s v="Billen"/>
    <x v="87"/>
    <x v="0"/>
    <x v="1"/>
    <n v="8235.68"/>
    <n v="12"/>
    <s v="2012-03-31"/>
    <n v="0"/>
    <n v="222"/>
    <n v="37.080953999999998"/>
    <n v="2"/>
    <x v="2"/>
    <x v="2269"/>
    <n v="3294.29"/>
    <n v="0"/>
    <s v="228690"/>
    <s v="74112196275"/>
    <n v="8235.69"/>
    <n v="0"/>
    <n v="60882"/>
  </r>
  <r>
    <x v="13"/>
    <s v="04323-0"/>
    <s v="Billen, Stavns 5"/>
    <n v="6071"/>
    <m/>
    <s v="Billen"/>
    <x v="87"/>
    <x v="0"/>
    <x v="2"/>
    <n v="7026.95"/>
    <n v="13"/>
    <s v="2012-03-31"/>
    <n v="0"/>
    <n v="222"/>
    <n v="31.638676"/>
    <n v="2"/>
    <x v="2"/>
    <x v="2270"/>
    <n v="2810.79"/>
    <n v="0"/>
    <s v="228690"/>
    <s v="74112196275"/>
    <n v="7026.9534199999998"/>
    <n v="0"/>
    <n v="60882"/>
  </r>
  <r>
    <x v="13"/>
    <s v="04323-0"/>
    <s v="Billen, Stavns 5"/>
    <n v="6071"/>
    <m/>
    <s v="Billen"/>
    <x v="87"/>
    <x v="0"/>
    <x v="3"/>
    <n v="4970.7299999999996"/>
    <n v="4"/>
    <s v="2012-03-31"/>
    <n v="0"/>
    <n v="222"/>
    <n v="22.380593999999999"/>
    <n v="2"/>
    <x v="2"/>
    <x v="2271"/>
    <n v="2331.27"/>
    <n v="0"/>
    <s v="228690"/>
    <s v="74112196275"/>
    <n v="4970.7285899999997"/>
    <n v="0"/>
    <n v="60882"/>
  </r>
  <r>
    <x v="13"/>
    <s v="04323-0"/>
    <s v="Billen, Stavns 5"/>
    <n v="6071"/>
    <m/>
    <s v="Billen"/>
    <x v="87"/>
    <x v="0"/>
    <x v="4"/>
    <n v="8830.6200000000008"/>
    <n v="5"/>
    <s v="2012-03-31"/>
    <n v="0"/>
    <n v="222"/>
    <n v="39.759656999999997"/>
    <n v="2"/>
    <x v="2"/>
    <x v="2272"/>
    <n v="4141.5600000000004"/>
    <n v="0"/>
    <s v="228690"/>
    <s v="74112196275"/>
    <n v="8830.6249800000005"/>
    <n v="0"/>
    <n v="60882"/>
  </r>
  <r>
    <x v="13"/>
    <s v="04323-0"/>
    <s v="Billen, Stavns 5"/>
    <n v="6071"/>
    <m/>
    <s v="Billen"/>
    <x v="87"/>
    <x v="0"/>
    <x v="5"/>
    <n v="4617.54"/>
    <n v="7"/>
    <s v="2012-03-31"/>
    <n v="0"/>
    <n v="222"/>
    <n v="20.790364"/>
    <n v="2"/>
    <x v="2"/>
    <x v="2273"/>
    <n v="2165.61"/>
    <n v="0"/>
    <s v="228690"/>
    <s v="74112196275"/>
    <n v="4617.5271599999996"/>
    <n v="0"/>
    <n v="60882"/>
  </r>
  <r>
    <x v="13"/>
    <s v="04323-0"/>
    <s v="Billen, Stavns 5"/>
    <n v="6071"/>
    <m/>
    <s v="Billen"/>
    <x v="87"/>
    <x v="0"/>
    <x v="6"/>
    <n v="4480.91"/>
    <n v="6"/>
    <s v="2012-03-31"/>
    <n v="0"/>
    <n v="222"/>
    <n v="20.175191000000002"/>
    <n v="2"/>
    <x v="2"/>
    <x v="2274"/>
    <n v="2101.5500000000002"/>
    <n v="0"/>
    <s v="228690"/>
    <s v="74112196275"/>
    <n v="4480.9292100000002"/>
    <n v="0"/>
    <n v="60882"/>
  </r>
  <r>
    <x v="13"/>
    <m/>
    <s v="Hareskov Bibliotek"/>
    <n v="10191"/>
    <m/>
    <s v="Hareskov Bibliotek"/>
    <x v="88"/>
    <x v="1"/>
    <x v="0"/>
    <n v="11430"/>
    <n v="5"/>
    <m/>
    <n v="0"/>
    <n v="711"/>
    <n v="6.7445639999999996"/>
    <n v="2"/>
    <x v="2"/>
    <x v="2275"/>
    <n v="1438.82"/>
    <n v="0"/>
    <m/>
    <m/>
    <n v="4796.0603000000001"/>
    <n v="0"/>
    <n v="77256"/>
  </r>
  <r>
    <x v="13"/>
    <m/>
    <s v="Hareskov Bibliotek"/>
    <n v="10191"/>
    <m/>
    <s v="Hareskov Bibliotek"/>
    <x v="88"/>
    <x v="1"/>
    <x v="1"/>
    <n v="24268.13"/>
    <n v="12"/>
    <m/>
    <n v="0"/>
    <n v="711"/>
    <n v="34.127591000000002"/>
    <n v="2"/>
    <x v="2"/>
    <x v="2276"/>
    <n v="7280.44"/>
    <n v="0"/>
    <m/>
    <m/>
    <n v="24268.13"/>
    <n v="0"/>
    <n v="77256"/>
  </r>
  <r>
    <x v="13"/>
    <m/>
    <s v="Hareskov Bibliotek"/>
    <n v="10191"/>
    <m/>
    <s v="Hareskov Bibliotek"/>
    <x v="88"/>
    <x v="1"/>
    <x v="2"/>
    <n v="19742.47"/>
    <n v="12"/>
    <m/>
    <n v="0"/>
    <n v="711"/>
    <n v="27.763282"/>
    <n v="2"/>
    <x v="2"/>
    <x v="2277"/>
    <n v="7896.99"/>
    <n v="0"/>
    <m/>
    <m/>
    <n v="19742.48"/>
    <n v="0"/>
    <n v="77256"/>
  </r>
  <r>
    <x v="13"/>
    <m/>
    <s v="Hareskov Bibliotek"/>
    <n v="10191"/>
    <m/>
    <s v="Hareskov Bibliotek"/>
    <x v="88"/>
    <x v="1"/>
    <x v="3"/>
    <n v="14139.5"/>
    <n v="12"/>
    <m/>
    <n v="0"/>
    <n v="711"/>
    <n v="19.883982"/>
    <n v="2"/>
    <x v="2"/>
    <x v="2278"/>
    <n v="6631.42"/>
    <n v="0"/>
    <m/>
    <m/>
    <n v="14139.499900000001"/>
    <n v="0"/>
    <n v="77256"/>
  </r>
  <r>
    <x v="13"/>
    <m/>
    <s v="Hareskov Bibliotek"/>
    <n v="10191"/>
    <m/>
    <s v="Hareskov Bibliotek"/>
    <x v="88"/>
    <x v="1"/>
    <x v="4"/>
    <n v="15337.26"/>
    <n v="12"/>
    <m/>
    <n v="0"/>
    <n v="711"/>
    <n v="21.568358"/>
    <n v="2"/>
    <x v="2"/>
    <x v="2279"/>
    <n v="7193.17"/>
    <n v="0"/>
    <m/>
    <m/>
    <n v="15337.258599999999"/>
    <n v="0"/>
    <n v="77256"/>
  </r>
  <r>
    <x v="13"/>
    <m/>
    <s v="Hareskov Bibliotek"/>
    <n v="10191"/>
    <m/>
    <s v="Hareskov Bibliotek"/>
    <x v="88"/>
    <x v="1"/>
    <x v="5"/>
    <n v="15727.98"/>
    <n v="12"/>
    <m/>
    <n v="0"/>
    <n v="711"/>
    <n v="22.117816999999999"/>
    <n v="2"/>
    <x v="2"/>
    <x v="2280"/>
    <n v="7376.43"/>
    <n v="0"/>
    <m/>
    <m/>
    <n v="15727.978999999999"/>
    <n v="0"/>
    <n v="77256"/>
  </r>
  <r>
    <x v="13"/>
    <m/>
    <s v="Hareskov Bibliotek"/>
    <n v="10191"/>
    <m/>
    <s v="Hareskov Bibliotek"/>
    <x v="88"/>
    <x v="1"/>
    <x v="6"/>
    <n v="13634.12"/>
    <n v="12"/>
    <m/>
    <n v="0"/>
    <n v="711"/>
    <n v="19.173279999999998"/>
    <n v="2"/>
    <x v="2"/>
    <x v="2281"/>
    <n v="6394.41"/>
    <n v="0"/>
    <m/>
    <m/>
    <n v="13634.12"/>
    <n v="0"/>
    <n v="77256"/>
  </r>
  <r>
    <x v="13"/>
    <m/>
    <s v="Kulturhuset Satelitten, BM46"/>
    <n v="9517"/>
    <m/>
    <s v="Kulturhuset Satelitten"/>
    <x v="89"/>
    <x v="0"/>
    <x v="0"/>
    <n v="8728"/>
    <n v="5"/>
    <m/>
    <n v="0"/>
    <n v="784"/>
    <n v="5.0714569999999997"/>
    <n v="2"/>
    <x v="2"/>
    <x v="2282"/>
    <n v="1192.95"/>
    <n v="0"/>
    <s v="14396244"/>
    <m/>
    <n v="3976.5239000000001"/>
    <n v="0"/>
    <n v="74424"/>
  </r>
  <r>
    <x v="13"/>
    <m/>
    <s v="Kulturhuset Satelitten, BM46"/>
    <n v="9517"/>
    <m/>
    <s v="Kulturhuset Satelitten"/>
    <x v="89"/>
    <x v="0"/>
    <x v="1"/>
    <n v="9634.75"/>
    <n v="12"/>
    <m/>
    <n v="0"/>
    <n v="784"/>
    <n v="12.287654"/>
    <n v="2"/>
    <x v="2"/>
    <x v="2283"/>
    <n v="2890.46"/>
    <n v="0"/>
    <s v="14396244"/>
    <m/>
    <n v="9634.7690000000002"/>
    <n v="0"/>
    <n v="74424"/>
  </r>
  <r>
    <x v="13"/>
    <m/>
    <s v="Kulturhuset Satelitten, BM46"/>
    <n v="9517"/>
    <m/>
    <s v="Kulturhuset Satelitten"/>
    <x v="89"/>
    <x v="0"/>
    <x v="2"/>
    <n v="11652.15"/>
    <n v="12"/>
    <m/>
    <n v="0"/>
    <n v="784"/>
    <n v="14.86054"/>
    <n v="2"/>
    <x v="2"/>
    <x v="2284"/>
    <n v="4660.8500000000004"/>
    <n v="0"/>
    <s v="14396244"/>
    <m/>
    <n v="11652.1425"/>
    <n v="0"/>
    <n v="74424"/>
  </r>
  <r>
    <x v="13"/>
    <m/>
    <s v="Kulturhuset Satelitten, BM46"/>
    <n v="9517"/>
    <m/>
    <s v="Kulturhuset Satelitten"/>
    <x v="89"/>
    <x v="0"/>
    <x v="3"/>
    <n v="10606.52"/>
    <n v="12"/>
    <m/>
    <n v="0"/>
    <n v="784"/>
    <n v="13.526999"/>
    <n v="2"/>
    <x v="2"/>
    <x v="2285"/>
    <n v="4974.4399999999996"/>
    <n v="0"/>
    <s v="14396244"/>
    <m/>
    <n v="10606.511500000001"/>
    <n v="0"/>
    <n v="74424"/>
  </r>
  <r>
    <x v="13"/>
    <m/>
    <s v="Kulturhuset Satelitten, BM46"/>
    <n v="9517"/>
    <m/>
    <s v="Kulturhuset Satelitten"/>
    <x v="89"/>
    <x v="0"/>
    <x v="4"/>
    <n v="8894.84"/>
    <n v="12"/>
    <m/>
    <n v="0"/>
    <n v="784"/>
    <n v="11.344011999999999"/>
    <n v="2"/>
    <x v="2"/>
    <x v="2286"/>
    <n v="4171.6499999999996"/>
    <n v="0"/>
    <s v="14396244"/>
    <m/>
    <n v="8894.8215999999993"/>
    <n v="0"/>
    <n v="74424"/>
  </r>
  <r>
    <x v="13"/>
    <m/>
    <s v="Kulturhuset Satelitten, BM46"/>
    <n v="9517"/>
    <m/>
    <s v="Kulturhuset Satelitten"/>
    <x v="89"/>
    <x v="0"/>
    <x v="5"/>
    <n v="10683.87"/>
    <n v="12"/>
    <m/>
    <n v="0"/>
    <n v="784"/>
    <n v="13.625647000000001"/>
    <n v="2"/>
    <x v="2"/>
    <x v="2287"/>
    <n v="5010.7"/>
    <n v="0"/>
    <s v="14396244"/>
    <m/>
    <n v="10683.8622"/>
    <n v="0"/>
    <n v="74424"/>
  </r>
  <r>
    <x v="13"/>
    <m/>
    <s v="Kulturhuset Satelitten, BM46"/>
    <n v="9517"/>
    <m/>
    <s v="Kulturhuset Satelitten"/>
    <x v="89"/>
    <x v="0"/>
    <x v="6"/>
    <n v="14111.19"/>
    <n v="12"/>
    <m/>
    <n v="0"/>
    <n v="784"/>
    <n v="17.996670999999999"/>
    <n v="2"/>
    <x v="2"/>
    <x v="2288"/>
    <n v="6618.14"/>
    <n v="0"/>
    <s v="14396244"/>
    <m/>
    <n v="14111.1875"/>
    <n v="0"/>
    <n v="74424"/>
  </r>
  <r>
    <x v="13"/>
    <s v="04423-7"/>
    <s v="Kulturhuset, Stavns 3"/>
    <n v="5300"/>
    <m/>
    <s v="Kulturhuset"/>
    <x v="90"/>
    <x v="0"/>
    <x v="0"/>
    <n v="757546"/>
    <n v="5"/>
    <s v="2005-06-01"/>
    <n v="0"/>
    <n v="7375"/>
    <n v="59.180213999999999"/>
    <n v="1"/>
    <x v="1"/>
    <x v="2289"/>
    <n v="95843312.599999994"/>
    <n v="0"/>
    <s v="4107843 aut"/>
    <m/>
    <n v="436460"/>
    <n v="0"/>
    <n v="56974"/>
  </r>
  <r>
    <x v="13"/>
    <s v="04423-7"/>
    <s v="Kulturhuset, Stavns 3"/>
    <n v="5300"/>
    <m/>
    <s v="Kulturhuset"/>
    <x v="90"/>
    <x v="0"/>
    <x v="0"/>
    <n v="127841"/>
    <n v="5"/>
    <s v="2005-06-01"/>
    <n v="0"/>
    <n v="7375"/>
    <n v="8.2334150000000008"/>
    <n v="2"/>
    <x v="2"/>
    <x v="2290"/>
    <n v="24288.9"/>
    <n v="0"/>
    <s v="360164"/>
    <s v="741 1145 9616"/>
    <n v="60722.26"/>
    <n v="0"/>
    <n v="56967"/>
  </r>
  <r>
    <x v="13"/>
    <s v="04423-7"/>
    <s v="Kulturhuset, Stavns 3"/>
    <n v="5300"/>
    <m/>
    <s v="Kulturhuset"/>
    <x v="90"/>
    <x v="0"/>
    <x v="2"/>
    <n v="300655.03999999998"/>
    <n v="12"/>
    <s v="2005-06-01"/>
    <n v="0"/>
    <n v="7375"/>
    <n v="40.766232000000002"/>
    <n v="2"/>
    <x v="2"/>
    <x v="2291"/>
    <n v="120262.01"/>
    <n v="0"/>
    <s v="360164"/>
    <s v="741 1145 9616"/>
    <n v="300655.03999999998"/>
    <n v="0"/>
    <n v="56967"/>
  </r>
  <r>
    <x v="13"/>
    <s v="04423-7"/>
    <s v="Kulturhuset, Stavns 3"/>
    <n v="5300"/>
    <m/>
    <s v="Kulturhuset"/>
    <x v="90"/>
    <x v="0"/>
    <x v="3"/>
    <n v="283081.15999999997"/>
    <n v="12"/>
    <s v="2005-06-01"/>
    <n v="0"/>
    <n v="7375"/>
    <n v="38.383364999999998"/>
    <n v="2"/>
    <x v="2"/>
    <x v="2292"/>
    <n v="132765.07999999999"/>
    <n v="0"/>
    <s v="360164"/>
    <s v="741 1145 9616"/>
    <n v="283081.15999999997"/>
    <n v="0"/>
    <n v="56967"/>
  </r>
  <r>
    <x v="13"/>
    <s v="04423-7"/>
    <s v="Kulturhuset, Stavns 3"/>
    <n v="5300"/>
    <m/>
    <s v="Kulturhuset"/>
    <x v="90"/>
    <x v="0"/>
    <x v="4"/>
    <n v="322591.24"/>
    <n v="12"/>
    <s v="2005-06-01"/>
    <n v="0"/>
    <n v="7375"/>
    <n v="43.740591000000002"/>
    <n v="2"/>
    <x v="2"/>
    <x v="2293"/>
    <n v="151295.29999999999"/>
    <n v="0"/>
    <s v="360164"/>
    <s v="741 1145 9616"/>
    <n v="322591.24"/>
    <n v="0"/>
    <n v="56967"/>
  </r>
  <r>
    <x v="13"/>
    <s v="04423-7"/>
    <s v="Kulturhuset, Stavns 3"/>
    <n v="5300"/>
    <m/>
    <s v="Kulturhuset"/>
    <x v="90"/>
    <x v="0"/>
    <x v="5"/>
    <n v="311880.76"/>
    <n v="12"/>
    <s v="2005-06-01"/>
    <n v="0"/>
    <n v="7375"/>
    <n v="42.288342999999998"/>
    <n v="2"/>
    <x v="2"/>
    <x v="2294"/>
    <n v="146272.07"/>
    <n v="0"/>
    <s v="360164"/>
    <s v="741 1145 9616"/>
    <n v="311880.76"/>
    <n v="0"/>
    <n v="56967"/>
  </r>
  <r>
    <x v="13"/>
    <s v="04423-7"/>
    <s v="Kulturhuset, Stavns 3"/>
    <n v="5300"/>
    <m/>
    <s v="Kulturhuset"/>
    <x v="90"/>
    <x v="0"/>
    <x v="6"/>
    <n v="363484"/>
    <n v="12"/>
    <s v="2005-06-01"/>
    <n v="0"/>
    <n v="7375"/>
    <n v="49.285297"/>
    <n v="2"/>
    <x v="2"/>
    <x v="2295"/>
    <n v="170473.99"/>
    <n v="0"/>
    <s v="360164"/>
    <s v="741 1145 9616"/>
    <n v="363484"/>
    <n v="0"/>
    <n v="56967"/>
  </r>
  <r>
    <x v="4"/>
    <s v="1737"/>
    <s v="Musikskolen KV36"/>
    <n v="13660"/>
    <m/>
    <s v="Musikskolen"/>
    <x v="56"/>
    <x v="0"/>
    <x v="5"/>
    <n v="11660.3"/>
    <n v="1"/>
    <s v="2014-04-30"/>
    <n v="0"/>
    <n v="532"/>
    <n v="21.913737999999999"/>
    <n v="2"/>
    <x v="2"/>
    <x v="2296"/>
    <n v="5468.68"/>
    <n v="0"/>
    <s v="1018671-38070"/>
    <s v="74115437542"/>
    <n v="11660.28853"/>
    <n v="0"/>
    <n v="91247"/>
  </r>
  <r>
    <x v="4"/>
    <s v="1737"/>
    <s v="Musikskolen KV36"/>
    <n v="13660"/>
    <m/>
    <s v="Musikskolen"/>
    <x v="56"/>
    <x v="0"/>
    <x v="4"/>
    <n v="10646.06"/>
    <n v="1"/>
    <s v="2014-04-30"/>
    <n v="0"/>
    <n v="532"/>
    <n v="20.007629999999999"/>
    <n v="2"/>
    <x v="2"/>
    <x v="2297"/>
    <n v="4992.99"/>
    <n v="0"/>
    <s v="1018671-38070"/>
    <s v="74115437542"/>
    <n v="10646.03926"/>
    <n v="0"/>
    <n v="91247"/>
  </r>
  <r>
    <x v="4"/>
    <s v="1737"/>
    <s v="Musikskolen KV36"/>
    <n v="13660"/>
    <m/>
    <s v="Musikskolen"/>
    <x v="56"/>
    <x v="0"/>
    <x v="3"/>
    <n v="9604.3799999999992"/>
    <n v="1"/>
    <s v="2014-04-30"/>
    <n v="0"/>
    <n v="532"/>
    <n v="18.049952999999999"/>
    <n v="2"/>
    <x v="2"/>
    <x v="2298"/>
    <n v="4504.51"/>
    <n v="0"/>
    <s v="1018671-38070"/>
    <s v="74115437542"/>
    <n v="9604.4035600000007"/>
    <n v="0"/>
    <n v="91247"/>
  </r>
  <r>
    <x v="4"/>
    <s v="1737"/>
    <s v="Musikskolen KV36"/>
    <n v="13660"/>
    <m/>
    <s v="Musikskolen"/>
    <x v="56"/>
    <x v="0"/>
    <x v="2"/>
    <n v="8037.29"/>
    <n v="3"/>
    <s v="2014-04-30"/>
    <n v="0"/>
    <n v="532"/>
    <n v="15.104848"/>
    <n v="2"/>
    <x v="2"/>
    <x v="2299"/>
    <n v="3214.92"/>
    <n v="0"/>
    <s v="1018671-38070"/>
    <s v="74115437542"/>
    <n v="8037.2933300000004"/>
    <n v="0"/>
    <n v="91247"/>
  </r>
  <r>
    <x v="4"/>
    <s v="1737"/>
    <s v="Musikskolen KV36"/>
    <n v="13660"/>
    <m/>
    <s v="Musikskolen"/>
    <x v="56"/>
    <x v="0"/>
    <x v="1"/>
    <n v="12.89"/>
    <n v="3"/>
    <s v="2013-12-19"/>
    <n v="0"/>
    <n v="532"/>
    <n v="2.4223999999999999E-2"/>
    <n v="3"/>
    <x v="0"/>
    <x v="2300"/>
    <n v="10.31"/>
    <n v="1"/>
    <s v="BI 866130"/>
    <m/>
    <n v="12.89"/>
    <n v="0"/>
    <n v="91248"/>
  </r>
  <r>
    <x v="4"/>
    <s v="1737"/>
    <s v="Musikskolen KV36"/>
    <n v="13660"/>
    <m/>
    <s v="Musikskolen"/>
    <x v="56"/>
    <x v="1"/>
    <x v="1"/>
    <n v="4273.3"/>
    <n v="4"/>
    <s v="2014-04-30"/>
    <n v="0"/>
    <n v="532"/>
    <n v="8.0310089999999992"/>
    <n v="1"/>
    <x v="5"/>
    <x v="2301"/>
    <n v="335.17"/>
    <n v="1"/>
    <s v="4673727"/>
    <m/>
    <n v="4.2732999999999999"/>
    <n v="0"/>
    <n v="94331"/>
  </r>
  <r>
    <x v="4"/>
    <s v="1737"/>
    <s v="Musikskolen KV36"/>
    <n v="13660"/>
    <m/>
    <s v="Musikskolen"/>
    <x v="56"/>
    <x v="1"/>
    <x v="1"/>
    <n v="16042.38"/>
    <n v="4"/>
    <s v="2014-04-30"/>
    <n v="0"/>
    <n v="532"/>
    <n v="30.149182"/>
    <n v="1"/>
    <x v="5"/>
    <x v="2302"/>
    <n v="1202.83"/>
    <n v="1"/>
    <s v="4664092"/>
    <m/>
    <n v="16.042380000000001"/>
    <n v="0"/>
    <n v="94332"/>
  </r>
  <r>
    <x v="4"/>
    <s v="1737"/>
    <s v="Musikskolen KV36"/>
    <n v="13660"/>
    <m/>
    <s v="Musikskolen"/>
    <x v="56"/>
    <x v="0"/>
    <x v="1"/>
    <n v="7643.68"/>
    <n v="6"/>
    <s v="2014-04-30"/>
    <n v="0"/>
    <n v="532"/>
    <n v="14.365119"/>
    <n v="2"/>
    <x v="2"/>
    <x v="2303"/>
    <n v="2293.09"/>
    <n v="0"/>
    <s v="1018671-38070"/>
    <s v="74115437542"/>
    <n v="7643.6547600000004"/>
    <n v="0"/>
    <n v="91247"/>
  </r>
  <r>
    <x v="4"/>
    <s v="1737"/>
    <s v="Musikskolen KV36"/>
    <n v="13660"/>
    <m/>
    <s v="Musikskolen"/>
    <x v="56"/>
    <x v="0"/>
    <x v="7"/>
    <n v="8007.35"/>
    <n v="11"/>
    <s v="2014-04-30"/>
    <n v="0"/>
    <n v="532"/>
    <n v="15.048581"/>
    <n v="2"/>
    <x v="2"/>
    <x v="2304"/>
    <n v="2402.21"/>
    <n v="0"/>
    <s v="1018671-38070"/>
    <s v="74115437542"/>
    <n v="8007.3570399999999"/>
    <n v="0"/>
    <n v="91247"/>
  </r>
  <r>
    <x v="4"/>
    <s v="1737"/>
    <s v="Musikskolen KV36"/>
    <n v="13660"/>
    <m/>
    <s v="Musikskolen"/>
    <x v="56"/>
    <x v="1"/>
    <x v="7"/>
    <n v="14643.66"/>
    <n v="11"/>
    <s v="2014-04-30"/>
    <n v="0"/>
    <n v="532"/>
    <n v="27.520503000000001"/>
    <n v="1"/>
    <x v="5"/>
    <x v="2305"/>
    <n v="1145.05"/>
    <n v="1"/>
    <s v="4673727"/>
    <m/>
    <n v="14.643660000000001"/>
    <n v="0"/>
    <n v="94331"/>
  </r>
  <r>
    <x v="4"/>
    <s v="1737"/>
    <s v="Musikskolen KV36"/>
    <n v="13660"/>
    <m/>
    <s v="Musikskolen"/>
    <x v="56"/>
    <x v="1"/>
    <x v="7"/>
    <n v="43447.32"/>
    <n v="11"/>
    <s v="2014-04-30"/>
    <n v="0"/>
    <n v="532"/>
    <n v="81.652546000000001"/>
    <n v="1"/>
    <x v="5"/>
    <x v="2306"/>
    <n v="3380.29"/>
    <n v="1"/>
    <s v="4664092"/>
    <m/>
    <n v="43.447319999999998"/>
    <n v="0"/>
    <n v="94332"/>
  </r>
  <r>
    <x v="4"/>
    <s v="1737"/>
    <s v="Musikskolen KV36"/>
    <n v="13660"/>
    <m/>
    <s v="Musikskolen"/>
    <x v="56"/>
    <x v="1"/>
    <x v="0"/>
    <n v="12816.03"/>
    <n v="5"/>
    <s v="2014-04-30"/>
    <n v="0"/>
    <n v="532"/>
    <n v="24.085754000000001"/>
    <n v="1"/>
    <x v="5"/>
    <x v="2307"/>
    <n v="926.16"/>
    <n v="1"/>
    <s v="4673727"/>
    <m/>
    <n v="12.81603"/>
    <n v="0"/>
    <n v="94331"/>
  </r>
  <r>
    <x v="4"/>
    <s v="1737"/>
    <s v="Musikskolen KV36"/>
    <n v="13660"/>
    <m/>
    <s v="Musikskolen"/>
    <x v="56"/>
    <x v="1"/>
    <x v="0"/>
    <n v="32950.300000000003"/>
    <n v="5"/>
    <s v="2014-04-30"/>
    <n v="0"/>
    <n v="532"/>
    <n v="61.925013999999997"/>
    <n v="1"/>
    <x v="5"/>
    <x v="2308"/>
    <n v="2396.14"/>
    <n v="1"/>
    <s v="4664092"/>
    <m/>
    <n v="32.950299999999999"/>
    <n v="0"/>
    <n v="94332"/>
  </r>
  <r>
    <x v="4"/>
    <m/>
    <s v="Sygeplejeklinik Paltholm 13"/>
    <n v="14571"/>
    <s v="0"/>
    <s v="Sygeplejeklinik Paltholm 13"/>
    <x v="93"/>
    <x v="0"/>
    <x v="1"/>
    <n v="11897.73"/>
    <n v="0"/>
    <s v="2014-11-12"/>
    <n v="0"/>
    <n v="0"/>
    <n v="118977.3"/>
    <n v="2"/>
    <x v="2"/>
    <x v="2309"/>
    <n v="3569.34"/>
    <n v="0"/>
    <s v="530060"/>
    <s v="74112010823"/>
    <n v="11897.76007"/>
    <n v="0"/>
    <n v="95279"/>
  </r>
  <r>
    <x v="13"/>
    <m/>
    <s v="Værløse Bibliotek og Galaxen, BM48"/>
    <n v="10125"/>
    <m/>
    <s v="Værløse Bibliotek"/>
    <x v="92"/>
    <x v="0"/>
    <x v="7"/>
    <n v="468.3"/>
    <n v="12"/>
    <m/>
    <n v="0"/>
    <n v="2818"/>
    <n v="0.16617499999999999"/>
    <n v="3"/>
    <x v="0"/>
    <x v="2310"/>
    <n v="374.63"/>
    <n v="0"/>
    <s v="02PC501282"/>
    <m/>
    <n v="468.29899999999998"/>
    <n v="0"/>
    <n v="76942"/>
  </r>
  <r>
    <x v="13"/>
    <m/>
    <s v="Værløse Bibliotek og Galaxen, BM48"/>
    <n v="14590"/>
    <s v="0"/>
    <s v="Galaksen"/>
    <x v="92"/>
    <x v="0"/>
    <x v="7"/>
    <n v="122250"/>
    <n v="12"/>
    <m/>
    <n v="0"/>
    <n v="1048"/>
    <n v="116.639633"/>
    <n v="1"/>
    <x v="1"/>
    <x v="2311"/>
    <n v="9703.1200000000008"/>
    <n v="0"/>
    <s v="Galaxen 4903233"/>
    <m/>
    <n v="122250"/>
    <n v="0"/>
    <n v="76944"/>
  </r>
  <r>
    <x v="13"/>
    <m/>
    <s v="Værløse Bibliotek og Galaxen, BM48"/>
    <n v="10125"/>
    <m/>
    <s v="Værløse Bibliotek"/>
    <x v="92"/>
    <x v="0"/>
    <x v="7"/>
    <n v="168540"/>
    <n v="12"/>
    <m/>
    <n v="0"/>
    <n v="2818"/>
    <n v="59.806252000000001"/>
    <n v="1"/>
    <x v="1"/>
    <x v="2312"/>
    <n v="13096.99"/>
    <n v="0"/>
    <s v="Bibliotek 902153"/>
    <m/>
    <n v="168540"/>
    <n v="0"/>
    <n v="76943"/>
  </r>
  <r>
    <x v="13"/>
    <m/>
    <s v="Værløse Bibliotek og Galaxen, BM48"/>
    <n v="10125"/>
    <m/>
    <s v="Værløse Bibliotek"/>
    <x v="92"/>
    <x v="0"/>
    <x v="7"/>
    <n v="114490.4"/>
    <n v="12"/>
    <m/>
    <n v="0"/>
    <n v="2818"/>
    <n v="40.626804999999997"/>
    <n v="2"/>
    <x v="2"/>
    <x v="2313"/>
    <n v="34347.14"/>
    <n v="0"/>
    <s v="100530"/>
    <s v="74110486033"/>
    <n v="114490.39599999999"/>
    <n v="0"/>
    <n v="76941"/>
  </r>
  <r>
    <x v="13"/>
    <m/>
    <s v="Værløse Bibliotek og Galaxen, BM48"/>
    <n v="10125"/>
    <m/>
    <s v="Værløse Bibliotek"/>
    <x v="92"/>
    <x v="0"/>
    <x v="2"/>
    <n v="224242.07"/>
    <n v="12"/>
    <m/>
    <n v="0"/>
    <n v="2818"/>
    <n v="79.572075999999996"/>
    <n v="2"/>
    <x v="2"/>
    <x v="2314"/>
    <n v="89696.82"/>
    <n v="0"/>
    <s v="100530"/>
    <s v="74110486033"/>
    <n v="224242.06599999999"/>
    <n v="0"/>
    <n v="76941"/>
  </r>
  <r>
    <x v="13"/>
    <m/>
    <s v="Værløse Bibliotek og Galaxen, BM48"/>
    <n v="10125"/>
    <m/>
    <s v="Værløse Bibliotek"/>
    <x v="92"/>
    <x v="0"/>
    <x v="3"/>
    <n v="220823.35"/>
    <n v="12"/>
    <m/>
    <n v="0"/>
    <n v="2818"/>
    <n v="78.358947000000001"/>
    <n v="2"/>
    <x v="2"/>
    <x v="2315"/>
    <n v="103566.16"/>
    <n v="0"/>
    <s v="100530"/>
    <s v="74110486033"/>
    <n v="220823.35"/>
    <n v="0"/>
    <n v="76941"/>
  </r>
  <r>
    <x v="13"/>
    <m/>
    <s v="Værløse Bibliotek og Galaxen, BM48"/>
    <n v="10125"/>
    <m/>
    <s v="Værløse Bibliotek"/>
    <x v="92"/>
    <x v="0"/>
    <x v="4"/>
    <n v="232691.51"/>
    <n v="12"/>
    <m/>
    <n v="0"/>
    <n v="2818"/>
    <n v="82.570352"/>
    <n v="2"/>
    <x v="2"/>
    <x v="2316"/>
    <n v="109132.32"/>
    <n v="0"/>
    <s v="100530"/>
    <s v="74110486033"/>
    <n v="232691.51"/>
    <n v="0"/>
    <n v="76941"/>
  </r>
  <r>
    <x v="13"/>
    <m/>
    <s v="Værløse Bibliotek og Galaxen, BM48"/>
    <n v="10125"/>
    <m/>
    <s v="Værløse Bibliotek"/>
    <x v="92"/>
    <x v="0"/>
    <x v="5"/>
    <n v="226076.19"/>
    <n v="12"/>
    <m/>
    <n v="0"/>
    <n v="2818"/>
    <n v="80.222911999999994"/>
    <n v="2"/>
    <x v="2"/>
    <x v="2317"/>
    <n v="106029.74"/>
    <n v="0"/>
    <s v="100530"/>
    <s v="74110486033"/>
    <n v="226076.19"/>
    <n v="0"/>
    <n v="76941"/>
  </r>
  <r>
    <x v="13"/>
    <m/>
    <s v="Værløse Bibliotek og Galaxen, BM48"/>
    <n v="10125"/>
    <m/>
    <s v="Værløse Bibliotek"/>
    <x v="92"/>
    <x v="0"/>
    <x v="6"/>
    <n v="158929.26999999999"/>
    <n v="12"/>
    <m/>
    <n v="0"/>
    <n v="2818"/>
    <n v="56.395893999999998"/>
    <n v="2"/>
    <x v="2"/>
    <x v="2318"/>
    <n v="74537.820000000007"/>
    <n v="0"/>
    <s v="100530"/>
    <s v="74110486033"/>
    <n v="158929.272"/>
    <n v="0"/>
    <n v="76941"/>
  </r>
  <r>
    <x v="13"/>
    <m/>
    <s v="Værløse Bibliotek og Galaxen, BM48"/>
    <n v="10125"/>
    <m/>
    <s v="Værløse Bibliotek"/>
    <x v="92"/>
    <x v="0"/>
    <x v="6"/>
    <n v="43644"/>
    <n v="2"/>
    <s v="2008-02-27"/>
    <n v="0"/>
    <n v="2818"/>
    <n v="15.487030000000001"/>
    <n v="2"/>
    <x v="2"/>
    <x v="2319"/>
    <n v="20469.04"/>
    <n v="0"/>
    <s v="47113606"/>
    <m/>
    <n v="43644"/>
    <n v="0"/>
    <n v="78853"/>
  </r>
  <r>
    <x v="13"/>
    <m/>
    <s v="Værløse Bibliotek og Galaxen, BM48"/>
    <n v="10125"/>
    <m/>
    <s v="Værløse Bibliotek"/>
    <x v="92"/>
    <x v="0"/>
    <x v="6"/>
    <n v="26520"/>
    <n v="2"/>
    <s v="2008-03-31"/>
    <n v="0"/>
    <n v="2818"/>
    <n v="9.4105950000000007"/>
    <n v="2"/>
    <x v="2"/>
    <x v="2320"/>
    <n v="12437.88"/>
    <n v="0"/>
    <s v="100530"/>
    <m/>
    <n v="26520"/>
    <n v="0"/>
    <n v="78916"/>
  </r>
  <r>
    <x v="13"/>
    <m/>
    <s v="Værløse Bibliotek og Galaxen, BM48"/>
    <n v="14590"/>
    <s v="0"/>
    <s v="Galaksen"/>
    <x v="92"/>
    <x v="1"/>
    <x v="7"/>
    <n v="145606.43"/>
    <n v="12"/>
    <m/>
    <n v="0"/>
    <n v="1048"/>
    <n v="138.92417699999999"/>
    <n v="1"/>
    <x v="3"/>
    <x v="2321"/>
    <n v="331.63"/>
    <n v="1"/>
    <s v="Galaxen 4903233"/>
    <m/>
    <n v="4173.3"/>
    <n v="76944"/>
    <n v="76945"/>
  </r>
  <r>
    <x v="13"/>
    <m/>
    <s v="Værløse Bibliotek og Galaxen, BM48"/>
    <n v="10125"/>
    <m/>
    <s v="Værløse Bibliotek"/>
    <x v="92"/>
    <x v="1"/>
    <x v="7"/>
    <n v="229705.3"/>
    <n v="12"/>
    <m/>
    <n v="0"/>
    <n v="2818"/>
    <n v="81.510698000000005"/>
    <n v="1"/>
    <x v="3"/>
    <x v="2322"/>
    <n v="506.65"/>
    <n v="1"/>
    <s v="Bibliotek 902153"/>
    <m/>
    <n v="6583.6998999999996"/>
    <n v="76943"/>
    <n v="76946"/>
  </r>
  <r>
    <x v="13"/>
    <m/>
    <s v="Værløse Bibliotek og Galaxen, BM48"/>
    <n v="10125"/>
    <m/>
    <s v="Værløse Bibliotek"/>
    <x v="92"/>
    <x v="0"/>
    <x v="7"/>
    <n v="4910.04"/>
    <n v="6"/>
    <s v="2014-12-02"/>
    <n v="0"/>
    <n v="2818"/>
    <n v="1.7423219999999999"/>
    <n v="2"/>
    <x v="2"/>
    <x v="2323"/>
    <n v="1473.02"/>
    <n v="1"/>
    <s v="Cafe, 2345026"/>
    <m/>
    <n v="4910.0399900000002"/>
    <n v="0"/>
    <n v="93977"/>
  </r>
  <r>
    <x v="13"/>
    <m/>
    <s v="Værløse Bibliotek og Galaxen, BM48"/>
    <n v="10125"/>
    <m/>
    <s v="Værløse Bibliotek"/>
    <x v="92"/>
    <x v="0"/>
    <x v="7"/>
    <n v="13858.84"/>
    <n v="6"/>
    <s v="2014-12-02"/>
    <n v="0"/>
    <n v="2818"/>
    <n v="4.9177949999999999"/>
    <n v="2"/>
    <x v="2"/>
    <x v="2324"/>
    <n v="4157.66"/>
    <n v="1"/>
    <s v="Cafekøkken"/>
    <m/>
    <n v="13858.85"/>
    <n v="0"/>
    <n v="94453"/>
  </r>
  <r>
    <x v="13"/>
    <m/>
    <s v="Værløse Bibliotek og Galaxen, BM48"/>
    <n v="10125"/>
    <m/>
    <s v="Værløse Bibliotek"/>
    <x v="92"/>
    <x v="0"/>
    <x v="0"/>
    <n v="445"/>
    <n v="5"/>
    <m/>
    <n v="0"/>
    <n v="2818"/>
    <n v="6.5969E-2"/>
    <n v="3"/>
    <x v="0"/>
    <x v="2325"/>
    <n v="148.72999999999999"/>
    <n v="0"/>
    <s v="02PC501282"/>
    <m/>
    <n v="185.91499999999999"/>
    <n v="0"/>
    <n v="76942"/>
  </r>
  <r>
    <x v="13"/>
    <m/>
    <s v="Værløse Bibliotek og Galaxen, BM48"/>
    <n v="14590"/>
    <s v="0"/>
    <s v="Galaksen"/>
    <x v="92"/>
    <x v="0"/>
    <x v="0"/>
    <n v="136500"/>
    <n v="5"/>
    <m/>
    <n v="0"/>
    <n v="1048"/>
    <n v="69.153706"/>
    <n v="1"/>
    <x v="1"/>
    <x v="2326"/>
    <n v="5228.99"/>
    <n v="0"/>
    <s v="Galaxen 4903233"/>
    <m/>
    <n v="72480"/>
    <n v="0"/>
    <n v="76944"/>
  </r>
  <r>
    <x v="13"/>
    <m/>
    <s v="Værløse Bibliotek og Galaxen, BM48"/>
    <n v="10125"/>
    <m/>
    <s v="Værløse Bibliotek"/>
    <x v="92"/>
    <x v="0"/>
    <x v="0"/>
    <n v="190910"/>
    <n v="5"/>
    <m/>
    <n v="0"/>
    <n v="2818"/>
    <n v="39.984386000000001"/>
    <n v="1"/>
    <x v="1"/>
    <x v="2327"/>
    <n v="8234.68"/>
    <n v="0"/>
    <s v="Bibliotek 902153"/>
    <m/>
    <n v="112680"/>
    <n v="0"/>
    <n v="76943"/>
  </r>
  <r>
    <x v="13"/>
    <m/>
    <s v="Værløse Bibliotek og Galaxen, BM48"/>
    <n v="10125"/>
    <m/>
    <s v="Værløse Bibliotek"/>
    <x v="92"/>
    <x v="0"/>
    <x v="0"/>
    <n v="117226"/>
    <n v="5"/>
    <m/>
    <n v="0"/>
    <n v="2818"/>
    <n v="16.237997"/>
    <n v="2"/>
    <x v="2"/>
    <x v="2328"/>
    <n v="13728.09"/>
    <n v="0"/>
    <s v="100530"/>
    <s v="74110486033"/>
    <n v="45760.303999999996"/>
    <n v="0"/>
    <n v="76941"/>
  </r>
  <r>
    <x v="13"/>
    <m/>
    <s v="Musikhuset"/>
    <n v="5271"/>
    <m/>
    <s v="Musikhuset"/>
    <x v="91"/>
    <x v="1"/>
    <x v="7"/>
    <n v="14606.7"/>
    <n v="12"/>
    <s v="2005-07-01"/>
    <n v="0"/>
    <n v="255"/>
    <n v="57.258721999999999"/>
    <n v="1"/>
    <x v="3"/>
    <x v="2329"/>
    <n v="39649.589999999997"/>
    <n v="1"/>
    <s v="4231383"/>
    <m/>
    <n v="418.65"/>
    <n v="0"/>
    <n v="58278"/>
  </r>
  <r>
    <x v="13"/>
    <m/>
    <s v="Musikhuset"/>
    <n v="5271"/>
    <m/>
    <s v="Musikhuset"/>
    <x v="91"/>
    <x v="1"/>
    <x v="7"/>
    <n v="45.47"/>
    <n v="12"/>
    <s v="2005-07-01"/>
    <n v="0"/>
    <n v="255"/>
    <n v="0.17824300000000001"/>
    <n v="3"/>
    <x v="0"/>
    <x v="2330"/>
    <n v="36.369999999999997"/>
    <n v="0"/>
    <s v="04016499"/>
    <m/>
    <n v="45.459000000000003"/>
    <n v="0"/>
    <n v="56832"/>
  </r>
  <r>
    <x v="13"/>
    <m/>
    <s v="Musikhuset"/>
    <n v="5271"/>
    <m/>
    <s v="Musikhuset"/>
    <x v="91"/>
    <x v="1"/>
    <x v="7"/>
    <n v="9700"/>
    <n v="12"/>
    <s v="2005-07-01"/>
    <n v="0"/>
    <n v="255"/>
    <n v="38.024304000000001"/>
    <n v="1"/>
    <x v="1"/>
    <x v="2331"/>
    <n v="725648.57"/>
    <n v="0"/>
    <s v="4231383"/>
    <m/>
    <n v="9700"/>
    <n v="0"/>
    <n v="56831"/>
  </r>
  <r>
    <x v="13"/>
    <m/>
    <s v="Musikhuset"/>
    <n v="5271"/>
    <m/>
    <s v="Musikhuset"/>
    <x v="91"/>
    <x v="1"/>
    <x v="7"/>
    <n v="11341.11"/>
    <n v="12"/>
    <s v="2005-07-01"/>
    <n v="0"/>
    <n v="255"/>
    <n v="44.457506000000002"/>
    <n v="2"/>
    <x v="2"/>
    <x v="2332"/>
    <n v="3402.32"/>
    <n v="0"/>
    <s v="814757"/>
    <m/>
    <n v="11341.125"/>
    <n v="0"/>
    <n v="56830"/>
  </r>
  <r>
    <x v="10"/>
    <s v="9985"/>
    <s v="Cornelen Stavnsholtvej 186"/>
    <n v="13662"/>
    <m/>
    <s v="Cornelen"/>
    <x v="94"/>
    <x v="0"/>
    <x v="7"/>
    <n v="0.52"/>
    <n v="4"/>
    <s v="2014-12-11"/>
    <n v="0"/>
    <n v="129"/>
    <n v="4.0270000000000002E-3"/>
    <n v="3"/>
    <x v="0"/>
    <x v="1376"/>
    <n v="0.41"/>
    <n v="0"/>
    <s v="95142416"/>
    <m/>
    <n v="0.51766000000000001"/>
    <n v="0"/>
    <n v="91252"/>
  </r>
  <r>
    <x v="10"/>
    <s v="9985"/>
    <s v="Cornelen Stavnsholtvej 186"/>
    <n v="13662"/>
    <m/>
    <s v="Cornelen"/>
    <x v="94"/>
    <x v="0"/>
    <x v="1"/>
    <n v="20430.37"/>
    <n v="8"/>
    <s v="2013-11-30"/>
    <n v="0"/>
    <n v="129"/>
    <n v="158.252285"/>
    <n v="2"/>
    <x v="2"/>
    <x v="2333"/>
    <n v="6129.11"/>
    <n v="0"/>
    <s v="4213311"/>
    <s v="74111477986"/>
    <n v="20430.36289"/>
    <n v="0"/>
    <n v="91251"/>
  </r>
  <r>
    <x v="10"/>
    <s v="9985"/>
    <s v="Cornelen Stavnsholtvej 186"/>
    <n v="13662"/>
    <m/>
    <s v="Cornelen"/>
    <x v="94"/>
    <x v="0"/>
    <x v="1"/>
    <n v="1.1599999999999999"/>
    <n v="5"/>
    <s v="2014-12-11"/>
    <n v="0"/>
    <n v="129"/>
    <n v="8.9849999999999999E-3"/>
    <n v="3"/>
    <x v="0"/>
    <x v="2334"/>
    <n v="0.91"/>
    <n v="0"/>
    <s v="95142416"/>
    <m/>
    <n v="1.15676"/>
    <n v="0"/>
    <n v="91252"/>
  </r>
  <r>
    <x v="10"/>
    <s v="9985"/>
    <s v="Cornelen Stavnsholtvej 186"/>
    <n v="13662"/>
    <m/>
    <s v="Cornelen"/>
    <x v="94"/>
    <x v="0"/>
    <x v="2"/>
    <n v="1.1499999999999999"/>
    <n v="2"/>
    <s v="2014-12-11"/>
    <n v="0"/>
    <n v="129"/>
    <n v="8.907E-3"/>
    <n v="3"/>
    <x v="0"/>
    <x v="2335"/>
    <n v="0.94"/>
    <n v="0"/>
    <s v="95142416"/>
    <m/>
    <n v="1.1620200000000001"/>
    <n v="0"/>
    <n v="91252"/>
  </r>
  <r>
    <x v="10"/>
    <s v="9985"/>
    <s v="Cornelen Stavnsholtvej 186"/>
    <n v="13662"/>
    <m/>
    <s v="Cornelen"/>
    <x v="94"/>
    <x v="0"/>
    <x v="3"/>
    <n v="0.95"/>
    <n v="0"/>
    <s v="2014-12-11"/>
    <n v="0"/>
    <n v="129"/>
    <n v="7.358E-3"/>
    <n v="3"/>
    <x v="0"/>
    <x v="2336"/>
    <n v="0.72"/>
    <n v="0"/>
    <s v="95142416"/>
    <m/>
    <n v="0.93959999999999999"/>
    <n v="0"/>
    <n v="91252"/>
  </r>
  <r>
    <x v="10"/>
    <s v="9985"/>
    <s v="Cornelen Stavnsholtvej 186"/>
    <n v="13662"/>
    <m/>
    <s v="Cornelen"/>
    <x v="94"/>
    <x v="0"/>
    <x v="4"/>
    <n v="0.95"/>
    <n v="0"/>
    <s v="2014-12-11"/>
    <n v="0"/>
    <n v="129"/>
    <n v="7.358E-3"/>
    <n v="3"/>
    <x v="0"/>
    <x v="2336"/>
    <n v="0.72"/>
    <n v="0"/>
    <s v="95142416"/>
    <m/>
    <n v="0.93959999999999999"/>
    <n v="0"/>
    <n v="91252"/>
  </r>
  <r>
    <x v="10"/>
    <s v="9985"/>
    <s v="Cornelen Stavnsholtvej 186"/>
    <n v="13662"/>
    <m/>
    <s v="Cornelen"/>
    <x v="94"/>
    <x v="0"/>
    <x v="5"/>
    <n v="0.95"/>
    <n v="0"/>
    <s v="2014-12-11"/>
    <n v="0"/>
    <n v="129"/>
    <n v="7.358E-3"/>
    <n v="3"/>
    <x v="0"/>
    <x v="2336"/>
    <n v="0.72"/>
    <n v="0"/>
    <s v="95142416"/>
    <m/>
    <n v="0.93959999999999999"/>
    <n v="0"/>
    <n v="91252"/>
  </r>
  <r>
    <x v="10"/>
    <s v="9985"/>
    <s v="Cornelen Stavnsholtvej 186"/>
    <n v="13662"/>
    <m/>
    <s v="Cornelen"/>
    <x v="94"/>
    <x v="0"/>
    <x v="6"/>
    <n v="0.95"/>
    <n v="0"/>
    <s v="2014-12-11"/>
    <n v="0"/>
    <n v="129"/>
    <n v="7.358E-3"/>
    <n v="3"/>
    <x v="0"/>
    <x v="2336"/>
    <n v="0.72"/>
    <n v="0"/>
    <s v="95142416"/>
    <m/>
    <n v="0.94216999999999995"/>
    <n v="0"/>
    <n v="91252"/>
  </r>
  <r>
    <x v="10"/>
    <m/>
    <s v="Mosegården Skovgårds Alle 37"/>
    <n v="10228"/>
    <m/>
    <s v="Mosegården"/>
    <x v="95"/>
    <x v="0"/>
    <x v="0"/>
    <n v="24"/>
    <n v="5"/>
    <s v="2009-12-31"/>
    <n v="0"/>
    <n v="605"/>
    <n v="1.8013000000000001E-2"/>
    <n v="3"/>
    <x v="0"/>
    <x v="2337"/>
    <n v="8.7200000000000006"/>
    <n v="0"/>
    <s v="44266"/>
    <m/>
    <n v="10.9"/>
    <n v="0"/>
    <n v="77474"/>
  </r>
  <r>
    <x v="10"/>
    <m/>
    <s v="Mosegården Skovgårds Alle 37"/>
    <n v="10228"/>
    <m/>
    <s v="Mosegården"/>
    <x v="95"/>
    <x v="0"/>
    <x v="1"/>
    <n v="34.9"/>
    <n v="12"/>
    <s v="2009-12-31"/>
    <n v="0"/>
    <n v="605"/>
    <n v="5.7675999999999998E-2"/>
    <n v="3"/>
    <x v="0"/>
    <x v="2338"/>
    <n v="27.92"/>
    <n v="0"/>
    <s v="44266"/>
    <m/>
    <n v="34.9"/>
    <n v="0"/>
    <n v="77474"/>
  </r>
  <r>
    <x v="10"/>
    <m/>
    <s v="Mosegården Skovgårds Alle 37"/>
    <n v="10228"/>
    <m/>
    <s v="Mosegården"/>
    <x v="95"/>
    <x v="0"/>
    <x v="2"/>
    <n v="27.2"/>
    <n v="12"/>
    <s v="2009-12-31"/>
    <n v="0"/>
    <n v="605"/>
    <n v="4.4950999999999998E-2"/>
    <n v="3"/>
    <x v="0"/>
    <x v="2339"/>
    <n v="21.76"/>
    <n v="0"/>
    <s v="44266"/>
    <m/>
    <n v="27.2"/>
    <n v="0"/>
    <n v="77474"/>
  </r>
  <r>
    <x v="10"/>
    <m/>
    <s v="Mosegården Skovgårds Alle 37"/>
    <n v="10228"/>
    <m/>
    <s v="Mosegården"/>
    <x v="95"/>
    <x v="0"/>
    <x v="3"/>
    <n v="27.9"/>
    <n v="12"/>
    <s v="2009-12-31"/>
    <n v="0"/>
    <n v="605"/>
    <n v="4.6108000000000003E-2"/>
    <n v="3"/>
    <x v="0"/>
    <x v="2340"/>
    <n v="22.32"/>
    <n v="0"/>
    <s v="44266"/>
    <m/>
    <n v="27.9"/>
    <n v="0"/>
    <n v="77474"/>
  </r>
  <r>
    <x v="10"/>
    <m/>
    <s v="Mosegården Skovgårds Alle 37"/>
    <n v="10228"/>
    <m/>
    <s v="Mosegården"/>
    <x v="95"/>
    <x v="0"/>
    <x v="4"/>
    <n v="26.7"/>
    <n v="12"/>
    <s v="2009-12-31"/>
    <n v="0"/>
    <n v="605"/>
    <n v="4.4123999999999997E-2"/>
    <n v="3"/>
    <x v="0"/>
    <x v="2341"/>
    <n v="21.36"/>
    <n v="0"/>
    <s v="44266"/>
    <m/>
    <n v="26.7"/>
    <n v="0"/>
    <n v="77474"/>
  </r>
  <r>
    <x v="10"/>
    <m/>
    <s v="Mosegården Skovgårds Alle 37"/>
    <n v="10228"/>
    <m/>
    <s v="Mosegården"/>
    <x v="95"/>
    <x v="0"/>
    <x v="5"/>
    <n v="32.159999999999997"/>
    <n v="12"/>
    <s v="2009-12-31"/>
    <n v="0"/>
    <n v="605"/>
    <n v="5.3148000000000001E-2"/>
    <n v="3"/>
    <x v="0"/>
    <x v="2342"/>
    <n v="25.73"/>
    <n v="0"/>
    <s v="44266"/>
    <m/>
    <n v="32.161619999999999"/>
    <n v="0"/>
    <n v="77474"/>
  </r>
  <r>
    <x v="10"/>
    <m/>
    <s v="Mosegården Skovgårds Alle 37"/>
    <n v="10228"/>
    <m/>
    <s v="Mosegården"/>
    <x v="95"/>
    <x v="0"/>
    <x v="6"/>
    <n v="33.119999999999997"/>
    <n v="6"/>
    <s v="2009-12-31"/>
    <n v="0"/>
    <n v="605"/>
    <n v="5.4733999999999998E-2"/>
    <n v="3"/>
    <x v="0"/>
    <x v="2343"/>
    <n v="26.5"/>
    <n v="0"/>
    <s v="44266"/>
    <m/>
    <n v="33.130479999999999"/>
    <n v="0"/>
    <n v="77474"/>
  </r>
  <r>
    <x v="10"/>
    <m/>
    <s v="Skovhuset Ballerupvej 60"/>
    <n v="10190"/>
    <m/>
    <s v="Skovhuset"/>
    <x v="59"/>
    <x v="0"/>
    <x v="0"/>
    <n v="61"/>
    <n v="5"/>
    <s v="2011-12-31"/>
    <n v="0"/>
    <n v="475"/>
    <n v="5.6409000000000001E-2"/>
    <n v="3"/>
    <x v="0"/>
    <x v="2344"/>
    <n v="21.44"/>
    <n v="0"/>
    <m/>
    <m/>
    <n v="26.8"/>
    <n v="0"/>
    <n v="77252"/>
  </r>
  <r>
    <x v="10"/>
    <m/>
    <s v="Skovhuset Ballerupvej 60"/>
    <n v="10190"/>
    <m/>
    <s v="Skovhuset"/>
    <x v="59"/>
    <x v="0"/>
    <x v="1"/>
    <n v="53.6"/>
    <n v="12"/>
    <s v="2011-12-31"/>
    <n v="0"/>
    <n v="475"/>
    <n v="0.112818"/>
    <n v="3"/>
    <x v="0"/>
    <x v="2345"/>
    <n v="42.88"/>
    <n v="0"/>
    <m/>
    <m/>
    <n v="53.6"/>
    <n v="0"/>
    <n v="77252"/>
  </r>
  <r>
    <x v="10"/>
    <m/>
    <s v="Skovhuset Ballerupvej 60"/>
    <n v="10190"/>
    <m/>
    <s v="Skovhuset"/>
    <x v="59"/>
    <x v="0"/>
    <x v="2"/>
    <n v="50.3"/>
    <n v="12"/>
    <s v="2011-12-31"/>
    <n v="0"/>
    <n v="475"/>
    <n v="0.10587199999999999"/>
    <n v="3"/>
    <x v="0"/>
    <x v="2346"/>
    <n v="40.24"/>
    <n v="0"/>
    <m/>
    <m/>
    <n v="50.3"/>
    <n v="0"/>
    <n v="77252"/>
  </r>
  <r>
    <x v="10"/>
    <m/>
    <s v="Skovhuset Ballerupvej 60"/>
    <n v="10190"/>
    <m/>
    <s v="Skovhuset"/>
    <x v="59"/>
    <x v="0"/>
    <x v="3"/>
    <n v="99.02"/>
    <n v="5"/>
    <s v="2011-12-31"/>
    <n v="0"/>
    <n v="475"/>
    <n v="0.20841899999999999"/>
    <n v="3"/>
    <x v="0"/>
    <x v="2347"/>
    <n v="79.22"/>
    <n v="0"/>
    <m/>
    <m/>
    <n v="99.045460000000006"/>
    <n v="0"/>
    <n v="77252"/>
  </r>
  <r>
    <x v="10"/>
    <m/>
    <s v="Skovhuset Ballerupvej 60"/>
    <n v="10190"/>
    <m/>
    <s v="Skovhuset"/>
    <x v="59"/>
    <x v="0"/>
    <x v="4"/>
    <n v="98.74"/>
    <n v="4"/>
    <s v="2011-12-31"/>
    <n v="0"/>
    <n v="475"/>
    <n v="0.20782900000000001"/>
    <n v="3"/>
    <x v="0"/>
    <x v="2348"/>
    <n v="79"/>
    <n v="0"/>
    <m/>
    <m/>
    <n v="98.723190000000002"/>
    <n v="0"/>
    <n v="77252"/>
  </r>
  <r>
    <x v="10"/>
    <m/>
    <s v="Skovhuset Ballerupvej 60"/>
    <n v="10190"/>
    <m/>
    <s v="Skovhuset"/>
    <x v="59"/>
    <x v="0"/>
    <x v="5"/>
    <n v="67.650000000000006"/>
    <n v="5"/>
    <s v="2011-12-31"/>
    <n v="0"/>
    <n v="475"/>
    <n v="0.14239099999999999"/>
    <n v="3"/>
    <x v="0"/>
    <x v="2349"/>
    <n v="54.13"/>
    <n v="0"/>
    <m/>
    <m/>
    <n v="67.65992"/>
    <n v="0"/>
    <n v="77252"/>
  </r>
  <r>
    <x v="10"/>
    <m/>
    <s v="Skovhuset Ballerupvej 60"/>
    <n v="10190"/>
    <m/>
    <s v="Skovhuset"/>
    <x v="59"/>
    <x v="0"/>
    <x v="6"/>
    <n v="53.41"/>
    <n v="4"/>
    <s v="2011-12-31"/>
    <n v="0"/>
    <n v="475"/>
    <n v="0.112418"/>
    <n v="3"/>
    <x v="0"/>
    <x v="2350"/>
    <n v="42.71"/>
    <n v="0"/>
    <m/>
    <m/>
    <n v="53.395600000000002"/>
    <n v="0"/>
    <n v="77252"/>
  </r>
  <r>
    <x v="10"/>
    <s v="03991-8"/>
    <s v="Farums Arkiver &amp; Museer Stavnholtvej 170"/>
    <n v="5427"/>
    <m/>
    <s v="Farums Arkiver &amp; Museer"/>
    <x v="74"/>
    <x v="0"/>
    <x v="1"/>
    <n v="2413.34"/>
    <n v="12"/>
    <s v="2005-05-01"/>
    <n v="0"/>
    <n v="361"/>
    <n v="6.6833010000000002"/>
    <n v="2"/>
    <x v="2"/>
    <x v="2351"/>
    <n v="965.33"/>
    <n v="0"/>
    <s v="1014972"/>
    <m/>
    <n v="2413.34"/>
    <n v="0"/>
    <n v="57397"/>
  </r>
  <r>
    <x v="3"/>
    <s v="03322-7"/>
    <s v="Brudedalen Legestue, Brudedalen 54-58"/>
    <n v="5276"/>
    <m/>
    <s v="Legestuen"/>
    <x v="20"/>
    <x v="0"/>
    <x v="7"/>
    <n v="69154.06"/>
    <n v="8"/>
    <s v="2005-10-03"/>
    <n v="0"/>
    <n v="284"/>
    <n v="243.414501"/>
    <n v="1"/>
    <x v="4"/>
    <x v="2352"/>
    <n v="11482.38"/>
    <n v="0"/>
    <s v="1153166"/>
    <m/>
    <n v="6403.1535999999996"/>
    <n v="0"/>
    <n v="56862"/>
  </r>
  <r>
    <x v="10"/>
    <s v="03991-8"/>
    <s v="Farums Arkiver &amp; Museer Stavnholtvej 170"/>
    <n v="5427"/>
    <m/>
    <s v="Farums Arkiver &amp; Museer"/>
    <x v="74"/>
    <x v="0"/>
    <x v="0"/>
    <n v="50053"/>
    <n v="5"/>
    <s v="2005-05-01"/>
    <n v="0"/>
    <n v="361"/>
    <n v="80.046801000000002"/>
    <n v="1"/>
    <x v="4"/>
    <x v="2353"/>
    <n v="6929.7"/>
    <n v="0"/>
    <s v="1204824"/>
    <s v="98004665867"/>
    <n v="2676.38"/>
    <n v="0"/>
    <n v="57398"/>
  </r>
  <r>
    <x v="10"/>
    <s v="03991-8"/>
    <s v="Farums Arkiver &amp; Museer Stavnholtvej 170"/>
    <n v="5427"/>
    <m/>
    <s v="Farums Arkiver &amp; Museer"/>
    <x v="74"/>
    <x v="0"/>
    <x v="1"/>
    <n v="66414.84"/>
    <n v="12"/>
    <s v="2005-05-01"/>
    <n v="0"/>
    <n v="361"/>
    <n v="183.923677"/>
    <n v="1"/>
    <x v="4"/>
    <x v="2354"/>
    <n v="15352.47"/>
    <n v="0"/>
    <s v="1204824"/>
    <s v="98004665867"/>
    <n v="6149.52"/>
    <n v="0"/>
    <n v="57398"/>
  </r>
  <r>
    <x v="10"/>
    <s v="03991-8"/>
    <s v="Farums Arkiver &amp; Museer Stavnholtvej 170"/>
    <n v="5427"/>
    <m/>
    <s v="Farums Arkiver &amp; Museer"/>
    <x v="74"/>
    <x v="0"/>
    <x v="2"/>
    <n v="69631.039999999994"/>
    <n v="12"/>
    <s v="2005-05-01"/>
    <n v="0"/>
    <n v="361"/>
    <n v="192.83035100000001"/>
    <n v="1"/>
    <x v="4"/>
    <x v="2355"/>
    <n v="15814.66"/>
    <n v="0"/>
    <s v="1204824"/>
    <s v="98004665867"/>
    <n v="6447.32"/>
    <n v="0"/>
    <n v="57398"/>
  </r>
  <r>
    <x v="10"/>
    <s v="03991-8"/>
    <s v="Farums Arkiver &amp; Museer Stavnholtvej 170"/>
    <n v="5427"/>
    <m/>
    <s v="Farums Arkiver &amp; Museer"/>
    <x v="74"/>
    <x v="0"/>
    <x v="3"/>
    <n v="62701.36"/>
    <n v="12"/>
    <s v="2005-05-01"/>
    <n v="0"/>
    <n v="361"/>
    <n v="173.63987800000001"/>
    <n v="1"/>
    <x v="4"/>
    <x v="2356"/>
    <n v="14841.04"/>
    <n v="0"/>
    <s v="1204824"/>
    <s v="98004665867"/>
    <n v="5805.68"/>
    <n v="0"/>
    <n v="57398"/>
  </r>
  <r>
    <x v="10"/>
    <s v="03991-8"/>
    <s v="Farums Arkiver &amp; Museer Stavnholtvej 170"/>
    <n v="5427"/>
    <m/>
    <s v="Farums Arkiver &amp; Museer"/>
    <x v="74"/>
    <x v="0"/>
    <x v="4"/>
    <n v="73212.56"/>
    <n v="12"/>
    <s v="2005-05-01"/>
    <n v="0"/>
    <n v="361"/>
    <n v="202.74871200000001"/>
    <n v="1"/>
    <x v="4"/>
    <x v="2357"/>
    <n v="13929.63"/>
    <n v="0"/>
    <s v="1204824"/>
    <s v="98004665867"/>
    <n v="6778.94"/>
    <n v="0"/>
    <n v="57398"/>
  </r>
  <r>
    <x v="10"/>
    <s v="03991-8"/>
    <s v="Farums Arkiver &amp; Museer Stavnholtvej 170"/>
    <n v="5427"/>
    <m/>
    <s v="Farums Arkiver &amp; Museer"/>
    <x v="74"/>
    <x v="0"/>
    <x v="5"/>
    <n v="62430.68"/>
    <n v="12"/>
    <s v="2005-05-01"/>
    <n v="0"/>
    <n v="361"/>
    <n v="172.89027899999999"/>
    <n v="1"/>
    <x v="4"/>
    <x v="2358"/>
    <n v="14369.74"/>
    <n v="0"/>
    <s v="1204824"/>
    <s v="98004665867"/>
    <n v="5780.62"/>
    <n v="0"/>
    <n v="57398"/>
  </r>
  <r>
    <x v="10"/>
    <s v="03991-8"/>
    <s v="Farums Arkiver &amp; Museer Stavnholtvej 170"/>
    <n v="5427"/>
    <m/>
    <s v="Farums Arkiver &amp; Museer"/>
    <x v="74"/>
    <x v="0"/>
    <x v="6"/>
    <n v="57226.8"/>
    <n v="12"/>
    <s v="2005-05-01"/>
    <n v="0"/>
    <n v="361"/>
    <n v="158.47909100000001"/>
    <n v="1"/>
    <x v="4"/>
    <x v="2359"/>
    <n v="14134.03"/>
    <n v="0"/>
    <s v="1204824"/>
    <s v="98004665867"/>
    <n v="5298.78"/>
    <n v="0"/>
    <n v="57398"/>
  </r>
  <r>
    <x v="10"/>
    <m/>
    <s v="Mosegården Skovgårds Alle 37"/>
    <n v="10228"/>
    <m/>
    <s v="Mosegården"/>
    <x v="95"/>
    <x v="0"/>
    <x v="0"/>
    <n v="89895"/>
    <n v="5"/>
    <m/>
    <n v="0"/>
    <n v="605"/>
    <n v="82.345066000000003"/>
    <n v="1"/>
    <x v="1"/>
    <x v="2360"/>
    <n v="3624.01"/>
    <n v="0"/>
    <s v="4531660"/>
    <m/>
    <n v="49827"/>
    <n v="0"/>
    <n v="90940"/>
  </r>
  <r>
    <x v="10"/>
    <m/>
    <s v="Mosegården Skovgårds Alle 37"/>
    <n v="10228"/>
    <m/>
    <s v="Mosegården"/>
    <x v="95"/>
    <x v="0"/>
    <x v="1"/>
    <n v="88756"/>
    <n v="12"/>
    <m/>
    <n v="0"/>
    <n v="605"/>
    <n v="146.65509800000001"/>
    <n v="1"/>
    <x v="1"/>
    <x v="2361"/>
    <n v="5974.32"/>
    <n v="0"/>
    <s v="4531660"/>
    <m/>
    <n v="88741"/>
    <n v="0"/>
    <n v="90940"/>
  </r>
  <r>
    <x v="10"/>
    <m/>
    <s v="Mosegården Skovgårds Alle 37"/>
    <n v="10228"/>
    <m/>
    <s v="Mosegården"/>
    <x v="95"/>
    <x v="0"/>
    <x v="2"/>
    <n v="95866"/>
    <n v="12"/>
    <m/>
    <n v="0"/>
    <n v="605"/>
    <n v="158.43001100000001"/>
    <n v="1"/>
    <x v="1"/>
    <x v="2362"/>
    <n v="18790.37"/>
    <n v="0"/>
    <s v="4531660"/>
    <m/>
    <n v="95866"/>
    <n v="0"/>
    <n v="90940"/>
  </r>
  <r>
    <x v="10"/>
    <m/>
    <s v="Mosegården Skovgårds Alle 37"/>
    <n v="10228"/>
    <m/>
    <s v="Mosegården"/>
    <x v="95"/>
    <x v="0"/>
    <x v="3"/>
    <n v="87084.06"/>
    <n v="1"/>
    <s v="2011-12-30"/>
    <n v="0"/>
    <n v="605"/>
    <n v="143.91680700000001"/>
    <n v="1"/>
    <x v="5"/>
    <x v="2363"/>
    <n v="19361.12"/>
    <n v="0"/>
    <s v="4531660/2003"/>
    <m/>
    <n v="87.084059999999994"/>
    <n v="0"/>
    <n v="77477"/>
  </r>
  <r>
    <x v="10"/>
    <m/>
    <s v="Mosegården Skovgårds Alle 37"/>
    <n v="10228"/>
    <m/>
    <s v="Mosegården"/>
    <x v="95"/>
    <x v="0"/>
    <x v="4"/>
    <n v="92718.99"/>
    <n v="1"/>
    <s v="2011-12-30"/>
    <n v="0"/>
    <n v="605"/>
    <n v="153.22920099999999"/>
    <n v="1"/>
    <x v="5"/>
    <x v="2364"/>
    <n v="22976.36"/>
    <n v="0"/>
    <s v="4531660/2003"/>
    <m/>
    <n v="92.718990000000005"/>
    <n v="0"/>
    <n v="77477"/>
  </r>
  <r>
    <x v="10"/>
    <m/>
    <s v="Mosegården Skovgårds Alle 37"/>
    <n v="10228"/>
    <m/>
    <s v="Mosegården"/>
    <x v="95"/>
    <x v="0"/>
    <x v="5"/>
    <n v="81038.06"/>
    <n v="19"/>
    <s v="2011-12-30"/>
    <n v="0"/>
    <n v="605"/>
    <n v="133.92507000000001"/>
    <n v="1"/>
    <x v="5"/>
    <x v="2365"/>
    <n v="17051.330000000002"/>
    <n v="0"/>
    <s v="4531660/2003"/>
    <m/>
    <n v="81.038060000000002"/>
    <n v="0"/>
    <n v="77477"/>
  </r>
  <r>
    <x v="10"/>
    <m/>
    <s v="Mosegården Skovgårds Alle 37"/>
    <n v="10228"/>
    <m/>
    <s v="Mosegården"/>
    <x v="95"/>
    <x v="0"/>
    <x v="6"/>
    <n v="77713.37"/>
    <n v="17"/>
    <s v="2011-12-30"/>
    <n v="0"/>
    <n v="605"/>
    <n v="128.430623"/>
    <n v="1"/>
    <x v="5"/>
    <x v="2366"/>
    <n v="16936.009999999998"/>
    <n v="0"/>
    <s v="4531660/2003"/>
    <m/>
    <n v="77.713369999999998"/>
    <n v="0"/>
    <n v="77477"/>
  </r>
  <r>
    <x v="10"/>
    <m/>
    <s v="Skovhuset Ballerupvej 60"/>
    <n v="10190"/>
    <m/>
    <s v="Skovhuset"/>
    <x v="59"/>
    <x v="0"/>
    <x v="0"/>
    <n v="51937"/>
    <n v="5"/>
    <s v="2011-12-31"/>
    <n v="0"/>
    <n v="475"/>
    <n v="60.725278000000003"/>
    <n v="1"/>
    <x v="4"/>
    <x v="2367"/>
    <n v="6830.83"/>
    <n v="0"/>
    <m/>
    <s v="98004051172"/>
    <n v="2671.35"/>
    <n v="0"/>
    <n v="77253"/>
  </r>
  <r>
    <x v="10"/>
    <m/>
    <s v="Skovhuset Ballerupvej 60"/>
    <n v="10190"/>
    <m/>
    <s v="Skovhuset"/>
    <x v="59"/>
    <x v="0"/>
    <x v="1"/>
    <n v="55348.05"/>
    <n v="12"/>
    <s v="2011-12-31"/>
    <n v="0"/>
    <n v="475"/>
    <n v="116.49768400000001"/>
    <n v="1"/>
    <x v="4"/>
    <x v="2368"/>
    <n v="12131.42"/>
    <n v="0"/>
    <m/>
    <s v="98004051172"/>
    <n v="5124.82"/>
    <n v="0"/>
    <n v="77253"/>
  </r>
  <r>
    <x v="10"/>
    <m/>
    <s v="Skovhuset Ballerupvej 60"/>
    <n v="10190"/>
    <m/>
    <s v="Skovhuset"/>
    <x v="59"/>
    <x v="0"/>
    <x v="2"/>
    <n v="55474.53"/>
    <n v="12"/>
    <s v="2011-12-31"/>
    <n v="0"/>
    <n v="475"/>
    <n v="116.763902"/>
    <n v="1"/>
    <x v="4"/>
    <x v="2369"/>
    <n v="12290.68"/>
    <n v="0"/>
    <m/>
    <s v="98004051172"/>
    <n v="5136.53"/>
    <n v="0"/>
    <n v="77253"/>
  </r>
  <r>
    <x v="10"/>
    <m/>
    <s v="Skovhuset Ballerupvej 60"/>
    <n v="10190"/>
    <m/>
    <s v="Skovhuset"/>
    <x v="59"/>
    <x v="0"/>
    <x v="3"/>
    <n v="49334.32"/>
    <n v="5"/>
    <s v="2011-12-31"/>
    <n v="0"/>
    <n v="475"/>
    <n v="103.839865"/>
    <n v="1"/>
    <x v="4"/>
    <x v="2370"/>
    <n v="11608.94"/>
    <n v="0"/>
    <m/>
    <s v="98004051172"/>
    <n v="4567.9915300000002"/>
    <n v="0"/>
    <n v="77253"/>
  </r>
  <r>
    <x v="10"/>
    <m/>
    <s v="Skovhuset Ballerupvej 60"/>
    <n v="10190"/>
    <m/>
    <s v="Skovhuset"/>
    <x v="59"/>
    <x v="0"/>
    <x v="4"/>
    <n v="52904.86"/>
    <n v="3"/>
    <s v="2011-12-31"/>
    <n v="0"/>
    <n v="475"/>
    <n v="111.355209"/>
    <n v="1"/>
    <x v="4"/>
    <x v="2371"/>
    <n v="10303.59"/>
    <n v="0"/>
    <m/>
    <s v="98004051172"/>
    <n v="4898.5980200000004"/>
    <n v="0"/>
    <n v="77253"/>
  </r>
  <r>
    <x v="10"/>
    <m/>
    <s v="Skovhuset Ballerupvej 60"/>
    <n v="10190"/>
    <m/>
    <s v="Skovhuset"/>
    <x v="59"/>
    <x v="0"/>
    <x v="5"/>
    <n v="49002.46"/>
    <n v="4"/>
    <s v="2011-12-31"/>
    <n v="0"/>
    <n v="475"/>
    <n v="103.14135899999999"/>
    <n v="1"/>
    <x v="4"/>
    <x v="2372"/>
    <n v="12051.3"/>
    <n v="0"/>
    <m/>
    <s v="98004051172"/>
    <n v="4537.2675799999997"/>
    <n v="0"/>
    <n v="77253"/>
  </r>
  <r>
    <x v="10"/>
    <m/>
    <s v="Skovhuset Ballerupvej 60"/>
    <n v="10190"/>
    <m/>
    <s v="Skovhuset"/>
    <x v="59"/>
    <x v="0"/>
    <x v="6"/>
    <n v="40924.75"/>
    <n v="4"/>
    <s v="2011-12-31"/>
    <n v="0"/>
    <n v="475"/>
    <n v="86.139233000000004"/>
    <n v="1"/>
    <x v="4"/>
    <x v="2373"/>
    <n v="9731.85"/>
    <n v="0"/>
    <m/>
    <s v="98004051172"/>
    <n v="3789.3296700000001"/>
    <n v="0"/>
    <n v="77253"/>
  </r>
  <r>
    <x v="10"/>
    <m/>
    <s v="Mosegården Skovgårds Alle 37"/>
    <n v="10228"/>
    <m/>
    <s v="Mosegården"/>
    <x v="95"/>
    <x v="0"/>
    <x v="7"/>
    <n v="30.27"/>
    <n v="5"/>
    <s v="2009-12-31"/>
    <n v="0"/>
    <n v="605"/>
    <n v="5.0023999999999999E-2"/>
    <n v="3"/>
    <x v="0"/>
    <x v="2374"/>
    <n v="24.21"/>
    <n v="0"/>
    <s v="44266"/>
    <m/>
    <n v="30.265339999999998"/>
    <n v="0"/>
    <n v="77474"/>
  </r>
  <r>
    <x v="10"/>
    <m/>
    <s v="Mosegården Skovgårds Alle 37"/>
    <n v="10228"/>
    <m/>
    <s v="Mosegården"/>
    <x v="95"/>
    <x v="0"/>
    <x v="7"/>
    <n v="61737"/>
    <n v="6"/>
    <m/>
    <n v="0"/>
    <n v="605"/>
    <n v="93.134456999999998"/>
    <n v="1"/>
    <x v="1"/>
    <x v="2375"/>
    <n v="4314.21"/>
    <n v="0"/>
    <s v="4531660"/>
    <m/>
    <n v="56355.659699999997"/>
    <n v="0"/>
    <n v="90940"/>
  </r>
  <r>
    <x v="10"/>
    <m/>
    <s v="Mosegården Skovgårds Alle 37"/>
    <n v="10228"/>
    <m/>
    <s v="Mosegården"/>
    <x v="95"/>
    <x v="0"/>
    <x v="1"/>
    <n v="17135.84"/>
    <n v="12"/>
    <m/>
    <n v="0"/>
    <n v="605"/>
    <n v="28.319020999999999"/>
    <n v="2"/>
    <x v="2"/>
    <x v="2376"/>
    <n v="5140.74"/>
    <n v="0"/>
    <s v="3107272"/>
    <s v="74110508421"/>
    <n v="17135.848699999999"/>
    <n v="0"/>
    <n v="90939"/>
  </r>
  <r>
    <x v="11"/>
    <m/>
    <s v="Ellegården, Ladebygning, Stavnsholtvej 168"/>
    <n v="11351"/>
    <s v="0"/>
    <s v="Ellegården, Ladebygninger"/>
    <x v="63"/>
    <x v="0"/>
    <x v="7"/>
    <n v="74468.89"/>
    <n v="12"/>
    <s v="2011-12-31"/>
    <n v="0"/>
    <n v="867"/>
    <n v="85.8827"/>
    <n v="1"/>
    <x v="4"/>
    <x v="2377"/>
    <n v="19567.64"/>
    <n v="0"/>
    <s v="1203600"/>
    <s v="98004815958"/>
    <n v="6895.2695999999996"/>
    <n v="0"/>
    <n v="80928"/>
  </r>
  <r>
    <x v="10"/>
    <m/>
    <s v="Skovhuset Ballerupvej 60"/>
    <n v="10190"/>
    <m/>
    <s v="Skovhuset"/>
    <x v="59"/>
    <x v="0"/>
    <x v="7"/>
    <n v="66.2"/>
    <n v="12"/>
    <s v="2011-12-31"/>
    <n v="0"/>
    <n v="475"/>
    <n v="0.13933899999999999"/>
    <n v="3"/>
    <x v="0"/>
    <x v="2378"/>
    <n v="52.96"/>
    <n v="0"/>
    <m/>
    <m/>
    <n v="66.2"/>
    <n v="0"/>
    <n v="77252"/>
  </r>
  <r>
    <x v="10"/>
    <m/>
    <s v="Skovhuset Ballerupvej 60"/>
    <n v="10190"/>
    <m/>
    <s v="Skovhuset"/>
    <x v="59"/>
    <x v="0"/>
    <x v="1"/>
    <n v="11559.85"/>
    <n v="12"/>
    <s v="2011-12-31"/>
    <n v="0"/>
    <n v="475"/>
    <n v="24.331403000000002"/>
    <n v="2"/>
    <x v="2"/>
    <x v="2379"/>
    <n v="3467.96"/>
    <n v="0"/>
    <s v="4002576"/>
    <s v="74110499910"/>
    <n v="11559.857"/>
    <n v="0"/>
    <n v="77251"/>
  </r>
  <r>
    <x v="10"/>
    <s v="9985"/>
    <s v="Cornelen Stavnsholtvej 186"/>
    <n v="13662"/>
    <m/>
    <s v="Cornelen"/>
    <x v="94"/>
    <x v="0"/>
    <x v="7"/>
    <n v="17750.91"/>
    <n v="12"/>
    <s v="2013-11-30"/>
    <n v="0"/>
    <n v="129"/>
    <n v="137.497366"/>
    <n v="2"/>
    <x v="2"/>
    <x v="2380"/>
    <n v="5325.27"/>
    <n v="0"/>
    <s v="4213311"/>
    <s v="74111477986"/>
    <n v="17750.8933"/>
    <n v="0"/>
    <n v="91251"/>
  </r>
  <r>
    <x v="10"/>
    <s v="03991-8"/>
    <s v="Farums Arkiver &amp; Museer Stavnholtvej 170"/>
    <n v="5427"/>
    <m/>
    <s v="Farums Arkiver &amp; Museer"/>
    <x v="74"/>
    <x v="0"/>
    <x v="7"/>
    <n v="1668.59"/>
    <n v="12"/>
    <s v="2005-05-01"/>
    <n v="0"/>
    <n v="361"/>
    <n v="4.6208520000000002"/>
    <n v="2"/>
    <x v="2"/>
    <x v="2381"/>
    <n v="667.43"/>
    <n v="0"/>
    <s v="1014972"/>
    <m/>
    <n v="1668.5740000000001"/>
    <n v="0"/>
    <n v="57397"/>
  </r>
  <r>
    <x v="10"/>
    <s v="9985"/>
    <s v="Cornelen Stavnsholtvej 186"/>
    <n v="13662"/>
    <m/>
    <s v="Cornelen"/>
    <x v="94"/>
    <x v="0"/>
    <x v="2"/>
    <n v="16860.39"/>
    <n v="3"/>
    <s v="2013-11-30"/>
    <n v="0"/>
    <n v="129"/>
    <n v="130.599457"/>
    <n v="2"/>
    <x v="2"/>
    <x v="2382"/>
    <n v="6744.14"/>
    <n v="0"/>
    <s v="4213311"/>
    <s v="74111477986"/>
    <n v="16860.37761"/>
    <n v="0"/>
    <n v="91251"/>
  </r>
  <r>
    <x v="10"/>
    <s v="9985"/>
    <s v="Cornelen Stavnsholtvej 186"/>
    <n v="13662"/>
    <m/>
    <s v="Cornelen"/>
    <x v="94"/>
    <x v="0"/>
    <x v="3"/>
    <n v="22278.44"/>
    <n v="1"/>
    <s v="2013-11-30"/>
    <n v="0"/>
    <n v="129"/>
    <n v="172.56731199999999"/>
    <n v="2"/>
    <x v="2"/>
    <x v="2383"/>
    <n v="10448.59"/>
    <n v="0"/>
    <s v="4213311"/>
    <s v="74111477986"/>
    <n v="22278.433150000001"/>
    <n v="0"/>
    <n v="91251"/>
  </r>
  <r>
    <x v="10"/>
    <s v="9985"/>
    <s v="Cornelen Stavnsholtvej 186"/>
    <n v="13662"/>
    <m/>
    <s v="Cornelen"/>
    <x v="94"/>
    <x v="0"/>
    <x v="4"/>
    <n v="21263.96"/>
    <n v="1"/>
    <s v="2013-11-30"/>
    <n v="0"/>
    <n v="129"/>
    <n v="164.709217"/>
    <n v="2"/>
    <x v="2"/>
    <x v="2384"/>
    <n v="9972.7800000000007"/>
    <n v="0"/>
    <s v="4213311"/>
    <s v="74111477986"/>
    <n v="21263.947530000001"/>
    <n v="0"/>
    <n v="91251"/>
  </r>
  <r>
    <x v="10"/>
    <s v="9985"/>
    <s v="Cornelen Stavnsholtvej 186"/>
    <n v="13662"/>
    <m/>
    <s v="Cornelen"/>
    <x v="94"/>
    <x v="0"/>
    <x v="5"/>
    <n v="21438.43"/>
    <n v="0"/>
    <s v="2013-11-30"/>
    <n v="0"/>
    <n v="129"/>
    <n v="166.06065000000001"/>
    <n v="2"/>
    <x v="2"/>
    <x v="2385"/>
    <n v="10054.6"/>
    <n v="0"/>
    <s v="4213311"/>
    <s v="74111477986"/>
    <n v="21438.415369999999"/>
    <n v="0"/>
    <n v="91251"/>
  </r>
  <r>
    <x v="10"/>
    <s v="9985"/>
    <s v="Cornelen Stavnsholtvej 186"/>
    <n v="13662"/>
    <m/>
    <s v="Cornelen"/>
    <x v="94"/>
    <x v="0"/>
    <x v="6"/>
    <n v="17640.55"/>
    <n v="1"/>
    <s v="2013-11-30"/>
    <n v="0"/>
    <n v="129"/>
    <n v="136.64252500000001"/>
    <n v="2"/>
    <x v="2"/>
    <x v="2386"/>
    <n v="8273.3799999999992"/>
    <n v="0"/>
    <s v="4213311"/>
    <s v="74111477986"/>
    <n v="17640.566019999998"/>
    <n v="0"/>
    <n v="91251"/>
  </r>
  <r>
    <x v="10"/>
    <m/>
    <s v="Mosegården Skovgårds Alle 37"/>
    <n v="10228"/>
    <m/>
    <s v="Mosegården"/>
    <x v="95"/>
    <x v="0"/>
    <x v="7"/>
    <n v="15419.47"/>
    <n v="6"/>
    <m/>
    <n v="0"/>
    <n v="605"/>
    <n v="8.9563210000000009"/>
    <n v="2"/>
    <x v="2"/>
    <x v="2387"/>
    <n v="1625.85"/>
    <n v="0"/>
    <s v="3107272"/>
    <s v="74110508421"/>
    <n v="5419.4674999999997"/>
    <n v="0"/>
    <n v="90939"/>
  </r>
  <r>
    <x v="10"/>
    <m/>
    <s v="Skovhuset Ballerupvej 60"/>
    <n v="10190"/>
    <m/>
    <s v="Skovhuset"/>
    <x v="59"/>
    <x v="0"/>
    <x v="7"/>
    <n v="11046.97"/>
    <n v="12"/>
    <s v="2011-12-31"/>
    <n v="0"/>
    <n v="475"/>
    <n v="23.251882999999999"/>
    <n v="2"/>
    <x v="2"/>
    <x v="2388"/>
    <n v="3314.11"/>
    <n v="0"/>
    <s v="4002576"/>
    <s v="74110499910"/>
    <n v="11046.985699999999"/>
    <n v="0"/>
    <n v="77251"/>
  </r>
  <r>
    <x v="10"/>
    <s v="03991-8"/>
    <s v="Farums Arkiver &amp; Museer Stavnholtvej 170"/>
    <n v="5427"/>
    <m/>
    <s v="Farums Arkiver &amp; Museer"/>
    <x v="74"/>
    <x v="0"/>
    <x v="2"/>
    <n v="3369.07"/>
    <n v="12"/>
    <s v="2005-05-01"/>
    <n v="0"/>
    <n v="361"/>
    <n v="9.3300190000000001"/>
    <n v="2"/>
    <x v="2"/>
    <x v="2389"/>
    <n v="1347.63"/>
    <n v="0"/>
    <s v="1014972"/>
    <m/>
    <n v="3369.078"/>
    <n v="0"/>
    <n v="57397"/>
  </r>
  <r>
    <x v="10"/>
    <s v="03991-8"/>
    <s v="Farums Arkiver &amp; Museer Stavnholtvej 170"/>
    <n v="5427"/>
    <m/>
    <s v="Farums Arkiver &amp; Museer"/>
    <x v="74"/>
    <x v="0"/>
    <x v="3"/>
    <n v="4068.8"/>
    <n v="12"/>
    <s v="2005-05-01"/>
    <n v="0"/>
    <n v="361"/>
    <n v="11.267792"/>
    <n v="2"/>
    <x v="2"/>
    <x v="2390"/>
    <n v="1908.28"/>
    <n v="0"/>
    <s v="1014972"/>
    <m/>
    <n v="4068.7979999999998"/>
    <n v="0"/>
    <n v="57397"/>
  </r>
  <r>
    <x v="10"/>
    <s v="03991-8"/>
    <s v="Farums Arkiver &amp; Museer Stavnholtvej 170"/>
    <n v="5427"/>
    <m/>
    <s v="Farums Arkiver &amp; Museer"/>
    <x v="74"/>
    <x v="0"/>
    <x v="4"/>
    <n v="5728.29"/>
    <n v="12"/>
    <s v="2005-05-01"/>
    <n v="0"/>
    <n v="361"/>
    <n v="15.863445"/>
    <n v="2"/>
    <x v="2"/>
    <x v="2391"/>
    <n v="2686.57"/>
    <n v="0"/>
    <s v="1014972"/>
    <m/>
    <n v="5728.2860000000001"/>
    <n v="0"/>
    <n v="57397"/>
  </r>
  <r>
    <x v="10"/>
    <s v="03991-8"/>
    <s v="Farums Arkiver &amp; Museer Stavnholtvej 170"/>
    <n v="5427"/>
    <m/>
    <s v="Farums Arkiver &amp; Museer"/>
    <x v="74"/>
    <x v="0"/>
    <x v="5"/>
    <n v="5952.83"/>
    <n v="12"/>
    <s v="2005-05-01"/>
    <n v="0"/>
    <n v="361"/>
    <n v="16.485267"/>
    <n v="2"/>
    <x v="2"/>
    <x v="2392"/>
    <n v="2791.87"/>
    <n v="0"/>
    <s v="1014972"/>
    <m/>
    <n v="5952.83"/>
    <n v="0"/>
    <n v="57397"/>
  </r>
  <r>
    <x v="10"/>
    <s v="03991-8"/>
    <s v="Farums Arkiver &amp; Museer Stavnholtvej 170"/>
    <n v="5427"/>
    <m/>
    <s v="Farums Arkiver &amp; Museer"/>
    <x v="74"/>
    <x v="0"/>
    <x v="6"/>
    <n v="5755.93"/>
    <n v="12"/>
    <s v="2005-05-01"/>
    <n v="0"/>
    <n v="361"/>
    <n v="15.939988"/>
    <n v="2"/>
    <x v="2"/>
    <x v="2393"/>
    <n v="2699.53"/>
    <n v="0"/>
    <s v="1014972"/>
    <m/>
    <n v="5755.924"/>
    <n v="0"/>
    <n v="57397"/>
  </r>
  <r>
    <x v="10"/>
    <s v="9985"/>
    <s v="Cornelen Stavnsholtvej 186"/>
    <n v="13662"/>
    <m/>
    <s v="Cornelen"/>
    <x v="94"/>
    <x v="0"/>
    <x v="0"/>
    <n v="18563"/>
    <n v="5"/>
    <s v="2013-11-30"/>
    <n v="0"/>
    <n v="129"/>
    <n v="77.864446000000001"/>
    <n v="2"/>
    <x v="2"/>
    <x v="2394"/>
    <n v="3015.69"/>
    <n v="0"/>
    <s v="4213311"/>
    <s v="74111477986"/>
    <n v="10052.302"/>
    <n v="0"/>
    <n v="91251"/>
  </r>
  <r>
    <x v="10"/>
    <s v="03991-8"/>
    <s v="Farums Arkiver &amp; Museer Stavnholtvej 170"/>
    <n v="5427"/>
    <m/>
    <s v="Farums Arkiver &amp; Museer"/>
    <x v="74"/>
    <x v="0"/>
    <x v="0"/>
    <n v="2029"/>
    <n v="5"/>
    <s v="2005-05-01"/>
    <n v="0"/>
    <n v="361"/>
    <n v="2.1368040000000001"/>
    <n v="2"/>
    <x v="2"/>
    <x v="2395"/>
    <n v="308.64"/>
    <n v="0"/>
    <s v="1014972"/>
    <m/>
    <n v="771.60199999999998"/>
    <n v="0"/>
    <n v="57397"/>
  </r>
  <r>
    <x v="10"/>
    <m/>
    <s v="Mosegården Skovgårds Alle 37"/>
    <n v="10228"/>
    <m/>
    <s v="Mosegården"/>
    <x v="95"/>
    <x v="0"/>
    <x v="2"/>
    <n v="14600.5"/>
    <n v="12"/>
    <m/>
    <n v="0"/>
    <n v="605"/>
    <n v="24.129069000000001"/>
    <n v="2"/>
    <x v="2"/>
    <x v="2396"/>
    <n v="5840.19"/>
    <n v="0"/>
    <s v="3107272"/>
    <s v="74110508421"/>
    <n v="14600.478999999999"/>
    <n v="0"/>
    <n v="90939"/>
  </r>
  <r>
    <x v="10"/>
    <m/>
    <s v="Mosegården Skovgårds Alle 37"/>
    <n v="10228"/>
    <m/>
    <s v="Mosegården"/>
    <x v="95"/>
    <x v="0"/>
    <x v="3"/>
    <n v="18779.22"/>
    <n v="2"/>
    <s v="2011-12-30"/>
    <n v="0"/>
    <n v="605"/>
    <n v="31.034903"/>
    <n v="2"/>
    <x v="2"/>
    <x v="2397"/>
    <n v="8807.48"/>
    <n v="0"/>
    <s v="048809 NEDTAGET"/>
    <s v="74110508421"/>
    <n v="18779.23443"/>
    <n v="0"/>
    <n v="77473"/>
  </r>
  <r>
    <x v="10"/>
    <m/>
    <s v="Mosegården Skovgårds Alle 37"/>
    <n v="10228"/>
    <m/>
    <s v="Mosegården"/>
    <x v="95"/>
    <x v="0"/>
    <x v="4"/>
    <n v="16367.15"/>
    <n v="8"/>
    <s v="2011-12-30"/>
    <n v="0"/>
    <n v="605"/>
    <n v="27.048669"/>
    <n v="2"/>
    <x v="2"/>
    <x v="2398"/>
    <n v="7676.2"/>
    <n v="0"/>
    <s v="048809 NEDTAGET"/>
    <s v="74110508421"/>
    <n v="16367.15019"/>
    <n v="0"/>
    <n v="77473"/>
  </r>
  <r>
    <x v="10"/>
    <m/>
    <s v="Mosegården Skovgårds Alle 37"/>
    <n v="10228"/>
    <m/>
    <s v="Mosegården"/>
    <x v="95"/>
    <x v="0"/>
    <x v="5"/>
    <n v="18189.990000000002"/>
    <n v="7"/>
    <s v="2011-12-30"/>
    <n v="0"/>
    <n v="605"/>
    <n v="30.061129999999999"/>
    <n v="2"/>
    <x v="2"/>
    <x v="2399"/>
    <n v="8531.14"/>
    <n v="0"/>
    <s v="048809 NEDTAGET"/>
    <s v="74110508421"/>
    <n v="18189.997749999999"/>
    <n v="0"/>
    <n v="77473"/>
  </r>
  <r>
    <x v="10"/>
    <m/>
    <s v="Mosegården Skovgårds Alle 37"/>
    <n v="10228"/>
    <m/>
    <s v="Mosegården"/>
    <x v="95"/>
    <x v="0"/>
    <x v="6"/>
    <n v="18464.72"/>
    <n v="6"/>
    <s v="2011-12-30"/>
    <n v="0"/>
    <n v="605"/>
    <n v="30.515153999999999"/>
    <n v="2"/>
    <x v="2"/>
    <x v="2400"/>
    <n v="8659.9699999999993"/>
    <n v="0"/>
    <s v="048809 NEDTAGET"/>
    <s v="74110508421"/>
    <n v="18464.72755"/>
    <n v="0"/>
    <n v="77473"/>
  </r>
  <r>
    <x v="10"/>
    <m/>
    <s v="Mosegården Skovgårds Alle 37"/>
    <n v="10228"/>
    <m/>
    <s v="Mosegården"/>
    <x v="95"/>
    <x v="0"/>
    <x v="0"/>
    <n v="10895"/>
    <n v="5"/>
    <m/>
    <n v="0"/>
    <n v="605"/>
    <n v="8.4772929999999995"/>
    <n v="2"/>
    <x v="2"/>
    <x v="2401"/>
    <n v="1538.87"/>
    <n v="0"/>
    <s v="3107272"/>
    <s v="74110508421"/>
    <n v="5129.6022999999996"/>
    <n v="0"/>
    <n v="90939"/>
  </r>
  <r>
    <x v="10"/>
    <m/>
    <s v="Skovhuset Ballerupvej 60"/>
    <n v="10190"/>
    <m/>
    <s v="Skovhuset"/>
    <x v="59"/>
    <x v="0"/>
    <x v="0"/>
    <n v="11116"/>
    <n v="5"/>
    <s v="2011-12-31"/>
    <n v="0"/>
    <n v="475"/>
    <n v="10.644011000000001"/>
    <n v="2"/>
    <x v="2"/>
    <x v="2402"/>
    <n v="1517.08"/>
    <n v="0"/>
    <s v="4002576"/>
    <s v="74110499910"/>
    <n v="5056.973"/>
    <n v="0"/>
    <n v="77251"/>
  </r>
  <r>
    <x v="10"/>
    <m/>
    <s v="Skovhuset Ballerupvej 60"/>
    <n v="10190"/>
    <m/>
    <s v="Skovhuset"/>
    <x v="59"/>
    <x v="0"/>
    <x v="2"/>
    <n v="11484.59"/>
    <n v="12"/>
    <s v="2011-12-31"/>
    <n v="0"/>
    <n v="475"/>
    <n v="24.172995"/>
    <n v="2"/>
    <x v="2"/>
    <x v="2403"/>
    <n v="4593.82"/>
    <n v="0"/>
    <s v="4002576"/>
    <s v="74110499910"/>
    <n v="11484.585999999999"/>
    <n v="0"/>
    <n v="77251"/>
  </r>
  <r>
    <x v="10"/>
    <m/>
    <s v="Skovhuset Ballerupvej 60"/>
    <n v="10190"/>
    <m/>
    <s v="Skovhuset"/>
    <x v="59"/>
    <x v="0"/>
    <x v="3"/>
    <n v="13191.31"/>
    <n v="9"/>
    <s v="2011-12-31"/>
    <n v="0"/>
    <n v="475"/>
    <n v="27.765332999999998"/>
    <n v="2"/>
    <x v="2"/>
    <x v="2404"/>
    <n v="6186.72"/>
    <n v="0"/>
    <s v="4002576"/>
    <s v="74110499910"/>
    <n v="13191.31819"/>
    <n v="0"/>
    <n v="77251"/>
  </r>
  <r>
    <x v="10"/>
    <m/>
    <s v="Skovhuset Ballerupvej 60"/>
    <n v="10190"/>
    <m/>
    <s v="Skovhuset"/>
    <x v="59"/>
    <x v="0"/>
    <x v="4"/>
    <n v="23984.53"/>
    <n v="4"/>
    <s v="2011-12-31"/>
    <n v="0"/>
    <n v="475"/>
    <n v="50.483119000000002"/>
    <n v="2"/>
    <x v="2"/>
    <x v="2405"/>
    <n v="11248.75"/>
    <n v="0"/>
    <s v="4002576"/>
    <s v="74110499910"/>
    <n v="23984.502700000001"/>
    <n v="0"/>
    <n v="77251"/>
  </r>
  <r>
    <x v="10"/>
    <m/>
    <s v="Skovhuset Ballerupvej 60"/>
    <n v="10190"/>
    <m/>
    <s v="Skovhuset"/>
    <x v="59"/>
    <x v="0"/>
    <x v="5"/>
    <n v="25331.54"/>
    <n v="5"/>
    <s v="2011-12-31"/>
    <n v="0"/>
    <n v="475"/>
    <n v="53.318331999999998"/>
    <n v="2"/>
    <x v="2"/>
    <x v="2406"/>
    <n v="11880.48"/>
    <n v="0"/>
    <s v="4002576"/>
    <s v="74110499910"/>
    <n v="25331.536230000002"/>
    <n v="0"/>
    <n v="77251"/>
  </r>
  <r>
    <x v="10"/>
    <m/>
    <s v="Skovhuset Ballerupvej 60"/>
    <n v="10190"/>
    <m/>
    <s v="Skovhuset"/>
    <x v="59"/>
    <x v="0"/>
    <x v="6"/>
    <n v="22919.33"/>
    <n v="4"/>
    <s v="2011-12-31"/>
    <n v="0"/>
    <n v="475"/>
    <n v="48.241064999999999"/>
    <n v="2"/>
    <x v="2"/>
    <x v="2407"/>
    <n v="10749.17"/>
    <n v="0"/>
    <s v="4002576"/>
    <s v="74110499910"/>
    <n v="22919.32417"/>
    <n v="0"/>
    <n v="77251"/>
  </r>
  <r>
    <x v="4"/>
    <s v="03975-6"/>
    <s v="Familiehuset Ellegården Stavnsholtvej 168"/>
    <n v="5261"/>
    <m/>
    <s v="Familiehuset"/>
    <x v="57"/>
    <x v="0"/>
    <x v="0"/>
    <n v="121"/>
    <n v="5"/>
    <s v="2005-07-01"/>
    <n v="0"/>
    <n v="309"/>
    <n v="0.13325699999999999"/>
    <n v="3"/>
    <x v="0"/>
    <x v="2408"/>
    <n v="32.950000000000003"/>
    <n v="0"/>
    <s v="BK 99502460"/>
    <m/>
    <n v="41.194000000000003"/>
    <n v="0"/>
    <n v="56736"/>
  </r>
  <r>
    <x v="4"/>
    <s v="03975-6"/>
    <s v="Familiehuset Ellegården Stavnsholtvej 168"/>
    <n v="5261"/>
    <m/>
    <s v="Familiehuset"/>
    <x v="57"/>
    <x v="0"/>
    <x v="1"/>
    <n v="94.37"/>
    <n v="12"/>
    <s v="2005-07-01"/>
    <n v="0"/>
    <n v="309"/>
    <n v="0.30530499999999999"/>
    <n v="3"/>
    <x v="0"/>
    <x v="2409"/>
    <n v="75.5"/>
    <n v="0"/>
    <s v="BK 99502460"/>
    <m/>
    <n v="94.37"/>
    <n v="0"/>
    <n v="56736"/>
  </r>
  <r>
    <x v="4"/>
    <s v="03975-6"/>
    <s v="Familiehuset Ellegården Stavnsholtvej 168"/>
    <n v="5261"/>
    <m/>
    <s v="Familiehuset"/>
    <x v="57"/>
    <x v="0"/>
    <x v="2"/>
    <n v="73.56"/>
    <n v="12"/>
    <s v="2005-07-01"/>
    <n v="0"/>
    <n v="309"/>
    <n v="0.237981"/>
    <n v="3"/>
    <x v="0"/>
    <x v="2410"/>
    <n v="58.85"/>
    <n v="0"/>
    <s v="BK 99502460"/>
    <m/>
    <n v="73.549000000000007"/>
    <n v="0"/>
    <n v="56736"/>
  </r>
  <r>
    <x v="4"/>
    <s v="03975-6"/>
    <s v="Familiehuset Ellegården Stavnsholtvej 168"/>
    <n v="5261"/>
    <m/>
    <s v="Familiehuset"/>
    <x v="57"/>
    <x v="0"/>
    <x v="3"/>
    <n v="59.69"/>
    <n v="12"/>
    <s v="2005-07-01"/>
    <n v="0"/>
    <n v="309"/>
    <n v="0.193109"/>
    <n v="3"/>
    <x v="0"/>
    <x v="2411"/>
    <n v="47.74"/>
    <n v="0"/>
    <s v="BK 99502460"/>
    <m/>
    <n v="59.683309999999999"/>
    <n v="0"/>
    <n v="56736"/>
  </r>
  <r>
    <x v="4"/>
    <s v="03975-6"/>
    <s v="Familiehuset Ellegården Stavnsholtvej 168"/>
    <n v="5261"/>
    <m/>
    <s v="Familiehuset"/>
    <x v="57"/>
    <x v="0"/>
    <x v="4"/>
    <n v="66.5"/>
    <n v="12"/>
    <s v="2005-07-01"/>
    <n v="0"/>
    <n v="309"/>
    <n v="0.21514"/>
    <n v="3"/>
    <x v="0"/>
    <x v="2412"/>
    <n v="53.23"/>
    <n v="0"/>
    <s v="BK 99502460"/>
    <m/>
    <n v="66.504710000000003"/>
    <n v="0"/>
    <n v="56736"/>
  </r>
  <r>
    <x v="4"/>
    <s v="03975-6"/>
    <s v="Familiehuset Ellegården Stavnsholtvej 168"/>
    <n v="5261"/>
    <m/>
    <s v="Familiehuset"/>
    <x v="57"/>
    <x v="0"/>
    <x v="5"/>
    <n v="86.99"/>
    <n v="12"/>
    <s v="2005-07-01"/>
    <n v="0"/>
    <n v="309"/>
    <n v="0.28142899999999998"/>
    <n v="3"/>
    <x v="0"/>
    <x v="2413"/>
    <n v="69.58"/>
    <n v="0"/>
    <s v="BK 99502460"/>
    <m/>
    <n v="86.980999999999995"/>
    <n v="0"/>
    <n v="56736"/>
  </r>
  <r>
    <x v="4"/>
    <s v="03975-6"/>
    <s v="Familiehuset Ellegården Stavnsholtvej 168"/>
    <n v="5261"/>
    <m/>
    <s v="Familiehuset"/>
    <x v="57"/>
    <x v="0"/>
    <x v="6"/>
    <n v="122.23"/>
    <n v="12"/>
    <s v="2005-07-01"/>
    <n v="0"/>
    <n v="309"/>
    <n v="0.39543800000000001"/>
    <n v="3"/>
    <x v="0"/>
    <x v="2414"/>
    <n v="97.76"/>
    <n v="0"/>
    <s v="BK 99502460"/>
    <m/>
    <n v="122.223"/>
    <n v="0"/>
    <n v="56736"/>
  </r>
  <r>
    <x v="4"/>
    <m/>
    <s v="Familiehuset Villa Solhøj KV54"/>
    <n v="10318"/>
    <m/>
    <s v="Villa Solhøj"/>
    <x v="15"/>
    <x v="0"/>
    <x v="0"/>
    <n v="23"/>
    <n v="5"/>
    <s v="2010-08-31"/>
    <n v="0"/>
    <n v="170"/>
    <n v="5.6437000000000001E-2"/>
    <n v="3"/>
    <x v="0"/>
    <x v="2415"/>
    <n v="7.68"/>
    <n v="0"/>
    <s v="1137120004"/>
    <m/>
    <n v="9.6"/>
    <n v="0"/>
    <n v="85095"/>
  </r>
  <r>
    <x v="4"/>
    <m/>
    <s v="Familiehuset Villa Solhøj KV54"/>
    <n v="10318"/>
    <m/>
    <s v="Villa Solhøj"/>
    <x v="15"/>
    <x v="0"/>
    <x v="1"/>
    <n v="9.9"/>
    <n v="12"/>
    <s v="2010-08-31"/>
    <n v="0"/>
    <n v="170"/>
    <n v="5.8201000000000003E-2"/>
    <n v="3"/>
    <x v="0"/>
    <x v="2416"/>
    <n v="7.92"/>
    <n v="0"/>
    <s v="1137120004"/>
    <m/>
    <n v="9.9"/>
    <n v="0"/>
    <n v="85095"/>
  </r>
  <r>
    <x v="4"/>
    <m/>
    <s v="Familiehuset Villa Solhøj KV54"/>
    <n v="10318"/>
    <m/>
    <s v="Villa Solhøj"/>
    <x v="15"/>
    <x v="0"/>
    <x v="2"/>
    <n v="13.6"/>
    <n v="12"/>
    <s v="2010-08-31"/>
    <n v="0"/>
    <n v="170"/>
    <n v="7.9951999999999995E-2"/>
    <n v="3"/>
    <x v="0"/>
    <x v="2417"/>
    <n v="10.88"/>
    <n v="0"/>
    <s v="1137120004"/>
    <m/>
    <n v="13.6"/>
    <n v="0"/>
    <n v="85095"/>
  </r>
  <r>
    <x v="4"/>
    <m/>
    <s v="Familiehuset Villa Solhøj KV54"/>
    <n v="10318"/>
    <m/>
    <s v="Villa Solhøj"/>
    <x v="15"/>
    <x v="0"/>
    <x v="3"/>
    <n v="11.8"/>
    <n v="12"/>
    <s v="2010-08-31"/>
    <n v="0"/>
    <n v="170"/>
    <n v="6.9370000000000001E-2"/>
    <n v="3"/>
    <x v="0"/>
    <x v="2418"/>
    <n v="9.44"/>
    <n v="0"/>
    <s v="1137120004"/>
    <m/>
    <n v="11.8"/>
    <n v="0"/>
    <n v="85095"/>
  </r>
  <r>
    <x v="4"/>
    <m/>
    <s v="Familiehuset Villa Solhøj KV54"/>
    <n v="10318"/>
    <m/>
    <s v="Villa Solhøj"/>
    <x v="15"/>
    <x v="0"/>
    <x v="4"/>
    <n v="4.9000000000000004"/>
    <n v="8"/>
    <s v="2010-08-31"/>
    <n v="0"/>
    <n v="170"/>
    <n v="2.8805999999999998E-2"/>
    <n v="3"/>
    <x v="0"/>
    <x v="2419"/>
    <n v="3.92"/>
    <n v="0"/>
    <s v="1137120004"/>
    <m/>
    <n v="4.9000000000000004"/>
    <n v="0"/>
    <n v="85095"/>
  </r>
  <r>
    <x v="4"/>
    <m/>
    <s v="Familiehuset Villa Solhøj KV54"/>
    <n v="10318"/>
    <m/>
    <s v="Villa Solhøj"/>
    <x v="15"/>
    <x v="0"/>
    <x v="5"/>
    <n v="11.06"/>
    <n v="3"/>
    <s v="2009-06-02"/>
    <n v="0"/>
    <n v="170"/>
    <n v="6.5019999999999994E-2"/>
    <n v="3"/>
    <x v="0"/>
    <x v="2420"/>
    <n v="8.86"/>
    <n v="0"/>
    <s v="4096"/>
    <m/>
    <n v="11.05645"/>
    <n v="0"/>
    <n v="77793"/>
  </r>
  <r>
    <x v="4"/>
    <m/>
    <s v="Familiehuset Villa Solhøj KV54"/>
    <n v="10318"/>
    <m/>
    <s v="Villa Solhøj"/>
    <x v="15"/>
    <x v="0"/>
    <x v="6"/>
    <n v="30.79"/>
    <n v="4"/>
    <s v="2009-06-02"/>
    <n v="0"/>
    <n v="170"/>
    <n v="0.18101100000000001"/>
    <n v="3"/>
    <x v="0"/>
    <x v="2421"/>
    <n v="24.64"/>
    <n v="0"/>
    <s v="4096"/>
    <m/>
    <n v="30.795999999999999"/>
    <n v="0"/>
    <n v="77793"/>
  </r>
  <r>
    <x v="4"/>
    <m/>
    <s v="Hareskovhvile, BM 118"/>
    <n v="10273"/>
    <m/>
    <s v="Hareskovhvile"/>
    <x v="96"/>
    <x v="0"/>
    <x v="0"/>
    <n v="133"/>
    <n v="5"/>
    <s v="2011-12-31"/>
    <n v="0"/>
    <n v="400"/>
    <n v="0.14043900000000001"/>
    <n v="3"/>
    <x v="0"/>
    <x v="2422"/>
    <n v="44.96"/>
    <n v="0"/>
    <s v="44513"/>
    <m/>
    <n v="56.186999999999998"/>
    <n v="0"/>
    <n v="77660"/>
  </r>
  <r>
    <x v="4"/>
    <m/>
    <s v="Hareskovhvile, BM 118"/>
    <n v="10273"/>
    <m/>
    <s v="Hareskovhvile"/>
    <x v="96"/>
    <x v="0"/>
    <x v="1"/>
    <n v="127.59"/>
    <n v="12"/>
    <s v="2011-12-31"/>
    <n v="0"/>
    <n v="400"/>
    <n v="0.31889499999999998"/>
    <n v="3"/>
    <x v="0"/>
    <x v="2423"/>
    <n v="102.08"/>
    <n v="0"/>
    <s v="44513"/>
    <m/>
    <n v="127.61225"/>
    <n v="0"/>
    <n v="77660"/>
  </r>
  <r>
    <x v="4"/>
    <m/>
    <s v="Hareskovhvile, BM 118"/>
    <n v="10273"/>
    <m/>
    <s v="Hareskovhvile"/>
    <x v="96"/>
    <x v="0"/>
    <x v="2"/>
    <n v="180.3"/>
    <n v="12"/>
    <s v="2011-12-31"/>
    <n v="0"/>
    <n v="400"/>
    <n v="0.45063700000000001"/>
    <n v="3"/>
    <x v="0"/>
    <x v="2424"/>
    <n v="144.22"/>
    <n v="0"/>
    <s v="44513"/>
    <m/>
    <n v="180.28675000000001"/>
    <n v="0"/>
    <n v="77660"/>
  </r>
  <r>
    <x v="4"/>
    <m/>
    <s v="Hareskovhvile, BM 118"/>
    <n v="10273"/>
    <m/>
    <s v="Hareskovhvile"/>
    <x v="96"/>
    <x v="0"/>
    <x v="3"/>
    <n v="185.69"/>
    <n v="13"/>
    <s v="2011-12-31"/>
    <n v="0"/>
    <n v="400"/>
    <n v="0.46410800000000002"/>
    <n v="3"/>
    <x v="0"/>
    <x v="2425"/>
    <n v="148.57"/>
    <n v="0"/>
    <s v="44513"/>
    <m/>
    <n v="185.70023"/>
    <n v="0"/>
    <n v="77660"/>
  </r>
  <r>
    <x v="4"/>
    <m/>
    <s v="Hareskovhvile, BM 118"/>
    <n v="10273"/>
    <m/>
    <s v="Hareskovhvile"/>
    <x v="96"/>
    <x v="0"/>
    <x v="4"/>
    <n v="209.82"/>
    <n v="11"/>
    <s v="2011-12-31"/>
    <n v="0"/>
    <n v="400"/>
    <n v="0.52441800000000005"/>
    <n v="3"/>
    <x v="0"/>
    <x v="2426"/>
    <n v="167.85"/>
    <n v="0"/>
    <s v="44513"/>
    <m/>
    <n v="209.82435000000001"/>
    <n v="0"/>
    <n v="77660"/>
  </r>
  <r>
    <x v="4"/>
    <m/>
    <s v="Hareskovhvile, BM 118"/>
    <n v="10273"/>
    <m/>
    <s v="Hareskovhvile"/>
    <x v="96"/>
    <x v="0"/>
    <x v="5"/>
    <n v="202.35"/>
    <n v="12"/>
    <s v="2011-12-31"/>
    <n v="0"/>
    <n v="400"/>
    <n v="0.50574799999999998"/>
    <n v="3"/>
    <x v="0"/>
    <x v="2427"/>
    <n v="161.9"/>
    <n v="0"/>
    <s v="44513"/>
    <m/>
    <n v="202.37559999999999"/>
    <n v="0"/>
    <n v="77660"/>
  </r>
  <r>
    <x v="4"/>
    <m/>
    <s v="Hareskovhvile, BM 118"/>
    <n v="10273"/>
    <m/>
    <s v="Hareskovhvile"/>
    <x v="96"/>
    <x v="0"/>
    <x v="6"/>
    <n v="170.6"/>
    <n v="6"/>
    <s v="2011-12-31"/>
    <n v="0"/>
    <n v="400"/>
    <n v="0.42639300000000002"/>
    <n v="3"/>
    <x v="0"/>
    <x v="2428"/>
    <n v="136.46"/>
    <n v="0"/>
    <s v="44513"/>
    <m/>
    <n v="170.58335"/>
    <n v="0"/>
    <n v="77660"/>
  </r>
  <r>
    <x v="4"/>
    <m/>
    <s v="Lysthuset, Lille Værløsevej 36A"/>
    <n v="10182"/>
    <m/>
    <s v="Lysthuset"/>
    <x v="97"/>
    <x v="0"/>
    <x v="0"/>
    <n v="53"/>
    <n v="5"/>
    <s v="2013-12-31"/>
    <n v="0"/>
    <n v="152"/>
    <n v="0.15798799999999999"/>
    <n v="3"/>
    <x v="0"/>
    <x v="2429"/>
    <n v="19.239999999999998"/>
    <n v="0"/>
    <s v="4504"/>
    <m/>
    <n v="24.032"/>
    <n v="0"/>
    <n v="77234"/>
  </r>
  <r>
    <x v="4"/>
    <m/>
    <s v="Lysthuset, Lille Værløsevej 36A"/>
    <n v="10182"/>
    <m/>
    <s v="Lysthuset"/>
    <x v="97"/>
    <x v="0"/>
    <x v="1"/>
    <n v="24.69"/>
    <n v="7"/>
    <s v="2013-12-31"/>
    <n v="0"/>
    <n v="152"/>
    <n v="0.162327"/>
    <n v="3"/>
    <x v="0"/>
    <x v="2430"/>
    <n v="19.760000000000002"/>
    <n v="0"/>
    <s v="4504"/>
    <m/>
    <n v="24.693819999999999"/>
    <n v="0"/>
    <n v="77234"/>
  </r>
  <r>
    <x v="4"/>
    <m/>
    <s v="Lysthuset, Lille Værløsevej 36A"/>
    <n v="10182"/>
    <m/>
    <s v="Lysthuset"/>
    <x v="97"/>
    <x v="0"/>
    <x v="2"/>
    <n v="40.85"/>
    <n v="4"/>
    <s v="2013-12-31"/>
    <n v="0"/>
    <n v="152"/>
    <n v="0.26857300000000001"/>
    <n v="3"/>
    <x v="0"/>
    <x v="2431"/>
    <n v="32.69"/>
    <n v="0"/>
    <s v="4504"/>
    <m/>
    <n v="40.868670000000002"/>
    <n v="0"/>
    <n v="77234"/>
  </r>
  <r>
    <x v="4"/>
    <m/>
    <s v="Lysthuset, Lille Værløsevej 36A"/>
    <n v="10182"/>
    <m/>
    <s v="Lysthuset"/>
    <x v="97"/>
    <x v="0"/>
    <x v="3"/>
    <n v="41.8"/>
    <n v="3"/>
    <s v="2013-12-31"/>
    <n v="0"/>
    <n v="152"/>
    <n v="0.27481899999999998"/>
    <n v="3"/>
    <x v="0"/>
    <x v="2432"/>
    <n v="33.43"/>
    <n v="0"/>
    <s v="4504"/>
    <m/>
    <n v="41.801130000000001"/>
    <n v="0"/>
    <n v="77234"/>
  </r>
  <r>
    <x v="4"/>
    <m/>
    <s v="Lysthuset, Lille Værløsevej 36A"/>
    <n v="10182"/>
    <m/>
    <s v="Lysthuset"/>
    <x v="97"/>
    <x v="0"/>
    <x v="4"/>
    <n v="50.49"/>
    <n v="3"/>
    <s v="2013-12-31"/>
    <n v="0"/>
    <n v="152"/>
    <n v="0.33195200000000002"/>
    <n v="3"/>
    <x v="0"/>
    <x v="2433"/>
    <n v="40.409999999999997"/>
    <n v="0"/>
    <s v="4504"/>
    <m/>
    <n v="50.486170000000001"/>
    <n v="0"/>
    <n v="77234"/>
  </r>
  <r>
    <x v="4"/>
    <m/>
    <s v="Lysthuset, Lille Værløsevej 36A"/>
    <n v="10182"/>
    <m/>
    <s v="Lysthuset"/>
    <x v="97"/>
    <x v="0"/>
    <x v="5"/>
    <n v="109.32"/>
    <n v="3"/>
    <s v="2013-12-31"/>
    <n v="0"/>
    <n v="152"/>
    <n v="0.71873699999999996"/>
    <n v="3"/>
    <x v="0"/>
    <x v="2434"/>
    <n v="87.46"/>
    <n v="0"/>
    <s v="4504"/>
    <m/>
    <n v="109.30643999999999"/>
    <n v="0"/>
    <n v="77234"/>
  </r>
  <r>
    <x v="4"/>
    <m/>
    <s v="Lysthuset, Lille Værløsevej 36A"/>
    <n v="10182"/>
    <m/>
    <s v="Lysthuset"/>
    <x v="97"/>
    <x v="0"/>
    <x v="6"/>
    <n v="139.53"/>
    <n v="7"/>
    <s v="2013-12-31"/>
    <n v="0"/>
    <n v="152"/>
    <n v="0.91735699999999998"/>
    <n v="3"/>
    <x v="0"/>
    <x v="2435"/>
    <n v="111.62"/>
    <n v="0"/>
    <s v="4504"/>
    <m/>
    <n v="139.51407"/>
    <n v="0"/>
    <n v="77234"/>
  </r>
  <r>
    <x v="4"/>
    <s v="1737"/>
    <s v="Musikskolen KV36"/>
    <n v="13660"/>
    <m/>
    <s v="Musikskolen"/>
    <x v="56"/>
    <x v="0"/>
    <x v="0"/>
    <n v="9036"/>
    <n v="5"/>
    <s v="2014-04-30"/>
    <n v="0"/>
    <n v="532"/>
    <n v="7.7574889999999996"/>
    <n v="2"/>
    <x v="2"/>
    <x v="2436"/>
    <n v="1238.33"/>
    <n v="0"/>
    <s v="1018671-38070"/>
    <s v="74115437542"/>
    <n v="4127.7602999999999"/>
    <n v="0"/>
    <n v="91247"/>
  </r>
  <r>
    <x v="4"/>
    <s v="1737"/>
    <s v="Musikskolen KV36"/>
    <n v="14495"/>
    <s v="0"/>
    <s v="Værestedet"/>
    <x v="56"/>
    <x v="0"/>
    <x v="1"/>
    <n v="65.7"/>
    <n v="2"/>
    <s v="2014-04-30"/>
    <n v="0"/>
    <n v="878"/>
    <n v="7.4819999999999998E-2"/>
    <n v="3"/>
    <x v="0"/>
    <x v="2437"/>
    <n v="52.56"/>
    <n v="0"/>
    <s v="40879"/>
    <m/>
    <n v="65.702380000000005"/>
    <n v="0"/>
    <n v="94941"/>
  </r>
  <r>
    <x v="4"/>
    <m/>
    <s v="Ryetvej 15"/>
    <n v="10270"/>
    <m/>
    <s v="Ryetvej 15"/>
    <x v="98"/>
    <x v="0"/>
    <x v="0"/>
    <n v="2"/>
    <n v="5"/>
    <s v="2012-01-26"/>
    <n v="0"/>
    <n v="96"/>
    <n v="1.6857E-2"/>
    <n v="3"/>
    <x v="0"/>
    <x v="2438"/>
    <n v="1.29"/>
    <n v="0"/>
    <s v="40456"/>
    <m/>
    <n v="1.6140000000000001"/>
    <n v="0"/>
    <n v="77651"/>
  </r>
  <r>
    <x v="4"/>
    <m/>
    <s v="Ryetvej 15"/>
    <n v="10270"/>
    <m/>
    <s v="Ryetvej 15"/>
    <x v="98"/>
    <x v="0"/>
    <x v="1"/>
    <n v="20.95"/>
    <n v="12"/>
    <s v="2012-01-26"/>
    <n v="0"/>
    <n v="96"/>
    <n v="0.218002"/>
    <n v="3"/>
    <x v="0"/>
    <x v="2439"/>
    <n v="16.760000000000002"/>
    <n v="0"/>
    <s v="40456"/>
    <m/>
    <n v="20.957999999999998"/>
    <n v="0"/>
    <n v="77651"/>
  </r>
  <r>
    <x v="4"/>
    <m/>
    <s v="Ryetvej 15"/>
    <n v="10270"/>
    <m/>
    <s v="Ryetvej 15"/>
    <x v="98"/>
    <x v="0"/>
    <x v="2"/>
    <n v="11.07"/>
    <n v="13"/>
    <s v="2012-01-26"/>
    <n v="0"/>
    <n v="96"/>
    <n v="0.115192"/>
    <n v="3"/>
    <x v="0"/>
    <x v="2440"/>
    <n v="8.86"/>
    <n v="0"/>
    <s v="40456"/>
    <m/>
    <n v="11.074999999999999"/>
    <n v="0"/>
    <n v="77651"/>
  </r>
  <r>
    <x v="4"/>
    <m/>
    <s v="Ryetvej 15"/>
    <n v="10270"/>
    <m/>
    <s v="Ryetvej 15"/>
    <x v="98"/>
    <x v="0"/>
    <x v="3"/>
    <n v="39"/>
    <n v="6"/>
    <s v="2012-01-26"/>
    <n v="0"/>
    <n v="96"/>
    <n v="0.40582699999999999"/>
    <n v="3"/>
    <x v="0"/>
    <x v="2441"/>
    <n v="31.2"/>
    <n v="0"/>
    <s v="40456"/>
    <m/>
    <n v="39"/>
    <n v="0"/>
    <n v="77651"/>
  </r>
  <r>
    <x v="4"/>
    <m/>
    <s v="Ryetvej 15"/>
    <n v="10270"/>
    <m/>
    <s v="Ryetvej 15"/>
    <x v="98"/>
    <x v="0"/>
    <x v="4"/>
    <n v="0"/>
    <n v="2"/>
    <s v="2012-01-26"/>
    <n v="0"/>
    <n v="96"/>
    <n v="0"/>
    <n v="3"/>
    <x v="0"/>
    <x v="1"/>
    <n v="0"/>
    <n v="0"/>
    <s v="40456"/>
    <m/>
    <n v="0"/>
    <n v="0"/>
    <n v="77651"/>
  </r>
  <r>
    <x v="4"/>
    <m/>
    <s v="Ryetvej 15"/>
    <n v="10270"/>
    <m/>
    <s v="Ryetvej 15"/>
    <x v="98"/>
    <x v="0"/>
    <x v="5"/>
    <n v="12.24"/>
    <n v="5"/>
    <s v="2012-01-26"/>
    <n v="0"/>
    <n v="96"/>
    <n v="0.12736700000000001"/>
    <n v="3"/>
    <x v="0"/>
    <x v="2442"/>
    <n v="9.8000000000000007"/>
    <n v="0"/>
    <s v="40456"/>
    <m/>
    <n v="12.242430000000001"/>
    <n v="0"/>
    <n v="77651"/>
  </r>
  <r>
    <x v="4"/>
    <m/>
    <s v="Ryetvej 15"/>
    <n v="10270"/>
    <m/>
    <s v="Ryetvej 15"/>
    <x v="98"/>
    <x v="0"/>
    <x v="6"/>
    <n v="35.67"/>
    <n v="6"/>
    <s v="2012-01-26"/>
    <n v="0"/>
    <n v="96"/>
    <n v="0.37117499999999998"/>
    <n v="3"/>
    <x v="0"/>
    <x v="2443"/>
    <n v="28.52"/>
    <n v="0"/>
    <s v="40456"/>
    <m/>
    <n v="35.658659999999998"/>
    <n v="0"/>
    <n v="77651"/>
  </r>
  <r>
    <x v="4"/>
    <s v="00767-6"/>
    <s v="Sundhedshuset Gammelgårdsvej 88"/>
    <n v="5270"/>
    <m/>
    <s v="Milcon"/>
    <x v="99"/>
    <x v="0"/>
    <x v="0"/>
    <n v="444"/>
    <n v="5"/>
    <s v="2010-01-29"/>
    <n v="0"/>
    <n v="2625"/>
    <n v="6.5726999999999994E-2"/>
    <n v="3"/>
    <x v="0"/>
    <x v="2444"/>
    <n v="138.03"/>
    <n v="0"/>
    <s v="BK 4016439"/>
    <m/>
    <n v="172.541"/>
    <n v="0"/>
    <n v="56824"/>
  </r>
  <r>
    <x v="4"/>
    <s v="00767-6"/>
    <s v="Sundhedshuset Gammelgårdsvej 88"/>
    <n v="5270"/>
    <m/>
    <s v="Milcon"/>
    <x v="99"/>
    <x v="0"/>
    <x v="1"/>
    <n v="462.96"/>
    <n v="12"/>
    <s v="2010-01-29"/>
    <n v="0"/>
    <n v="2625"/>
    <n v="0.17635799999999999"/>
    <n v="3"/>
    <x v="0"/>
    <x v="2445"/>
    <n v="370.36"/>
    <n v="0"/>
    <s v="BK 4016439"/>
    <m/>
    <n v="462.94799999999998"/>
    <n v="0"/>
    <n v="56824"/>
  </r>
  <r>
    <x v="4"/>
    <s v="00767-6"/>
    <s v="Sundhedshuset Gammelgårdsvej 88"/>
    <n v="5270"/>
    <m/>
    <s v="Milcon"/>
    <x v="99"/>
    <x v="0"/>
    <x v="2"/>
    <n v="443.41"/>
    <n v="12"/>
    <s v="2010-01-29"/>
    <n v="0"/>
    <n v="2625"/>
    <n v="0.16891100000000001"/>
    <n v="3"/>
    <x v="0"/>
    <x v="2446"/>
    <n v="354.73"/>
    <n v="0"/>
    <s v="BK 4016439"/>
    <m/>
    <n v="443.40199999999999"/>
    <n v="0"/>
    <n v="56824"/>
  </r>
  <r>
    <x v="4"/>
    <s v="00767-6"/>
    <s v="Sundhedshuset Gammelgårdsvej 88"/>
    <n v="5270"/>
    <m/>
    <s v="Milcon"/>
    <x v="99"/>
    <x v="0"/>
    <x v="3"/>
    <n v="419.84"/>
    <n v="12"/>
    <s v="2010-01-29"/>
    <n v="0"/>
    <n v="2625"/>
    <n v="0.15993199999999999"/>
    <n v="3"/>
    <x v="0"/>
    <x v="2447"/>
    <n v="335.89"/>
    <n v="0"/>
    <s v="BK 4016439"/>
    <m/>
    <n v="419.84800000000001"/>
    <n v="0"/>
    <n v="56824"/>
  </r>
  <r>
    <x v="4"/>
    <s v="00767-6"/>
    <s v="Sundhedshuset Gammelgårdsvej 88"/>
    <n v="5270"/>
    <m/>
    <s v="Milcon"/>
    <x v="99"/>
    <x v="0"/>
    <x v="4"/>
    <n v="413.32"/>
    <n v="13"/>
    <s v="2010-01-29"/>
    <n v="0"/>
    <n v="2625"/>
    <n v="0.15744900000000001"/>
    <n v="3"/>
    <x v="0"/>
    <x v="2448"/>
    <n v="330.68"/>
    <n v="0"/>
    <s v="BK 4016439"/>
    <m/>
    <n v="413.33389"/>
    <n v="0"/>
    <n v="56824"/>
  </r>
  <r>
    <x v="4"/>
    <s v="00767-6"/>
    <s v="Sundhedshuset Gammelgårdsvej 88"/>
    <n v="5270"/>
    <m/>
    <s v="Milcon"/>
    <x v="99"/>
    <x v="0"/>
    <x v="5"/>
    <n v="456.04"/>
    <n v="12"/>
    <s v="2010-01-29"/>
    <n v="0"/>
    <n v="2625"/>
    <n v="0.17372199999999999"/>
    <n v="3"/>
    <x v="0"/>
    <x v="2449"/>
    <n v="364.85"/>
    <n v="0"/>
    <s v="BK 4016439"/>
    <m/>
    <n v="456.03811000000002"/>
    <n v="0"/>
    <n v="56824"/>
  </r>
  <r>
    <x v="4"/>
    <s v="00767-6"/>
    <s v="Sundhedshuset Gammelgårdsvej 88"/>
    <n v="5270"/>
    <m/>
    <s v="Milcon"/>
    <x v="99"/>
    <x v="0"/>
    <x v="6"/>
    <n v="425"/>
    <n v="12"/>
    <s v="2010-01-29"/>
    <n v="0"/>
    <n v="2625"/>
    <n v="0.16189799999999999"/>
    <n v="3"/>
    <x v="0"/>
    <x v="2450"/>
    <n v="339.98"/>
    <n v="0"/>
    <s v="BK 4016439"/>
    <m/>
    <n v="425.00700000000001"/>
    <n v="0"/>
    <n v="56824"/>
  </r>
  <r>
    <x v="4"/>
    <s v="03975-6"/>
    <s v="Familiehuset Ellegården Stavnsholtvej 168"/>
    <n v="5261"/>
    <m/>
    <s v="Familiehuset"/>
    <x v="57"/>
    <x v="0"/>
    <x v="7"/>
    <n v="107.04"/>
    <n v="12"/>
    <s v="2005-07-01"/>
    <n v="0"/>
    <n v="309"/>
    <n v="0.34629500000000002"/>
    <n v="3"/>
    <x v="0"/>
    <x v="2451"/>
    <n v="85.65"/>
    <n v="0"/>
    <s v="BK 99502460"/>
    <m/>
    <n v="107.054"/>
    <n v="0"/>
    <n v="56736"/>
  </r>
  <r>
    <x v="4"/>
    <s v="03975-6"/>
    <s v="Familiehuset Ellegården Stavnsholtvej 168"/>
    <n v="5261"/>
    <m/>
    <s v="Familiehuset"/>
    <x v="57"/>
    <x v="0"/>
    <x v="1"/>
    <n v="7678.83"/>
    <n v="12"/>
    <s v="2005-07-01"/>
    <n v="0"/>
    <n v="309"/>
    <n v="24.842542000000002"/>
    <n v="2"/>
    <x v="2"/>
    <x v="2452"/>
    <n v="3071.54"/>
    <n v="0"/>
    <s v="BIMÅLER"/>
    <m/>
    <n v="7678.83"/>
    <n v="0"/>
    <n v="56734"/>
  </r>
  <r>
    <x v="3"/>
    <m/>
    <s v="Skovstjernen Børnehus, Skovlinien 23"/>
    <n v="10019"/>
    <m/>
    <s v="Skovstjernen Børnehus"/>
    <x v="45"/>
    <x v="0"/>
    <x v="7"/>
    <n v="74762.48"/>
    <n v="12"/>
    <s v="2011-10-31"/>
    <n v="0"/>
    <n v="598"/>
    <n v="124.999966"/>
    <n v="1"/>
    <x v="4"/>
    <x v="2453"/>
    <n v="18984.34"/>
    <n v="0"/>
    <s v="176870"/>
    <s v="98004882257"/>
    <n v="6922.4500200000002"/>
    <n v="0"/>
    <n v="76533"/>
  </r>
  <r>
    <x v="4"/>
    <m/>
    <s v="Familiehuset Villa Solhøj KV54"/>
    <n v="10318"/>
    <m/>
    <s v="Villa Solhøj"/>
    <x v="15"/>
    <x v="0"/>
    <x v="7"/>
    <n v="33.5"/>
    <n v="12"/>
    <s v="2010-08-31"/>
    <n v="0"/>
    <n v="170"/>
    <n v="0.19694200000000001"/>
    <n v="3"/>
    <x v="0"/>
    <x v="2454"/>
    <n v="26.8"/>
    <n v="0"/>
    <s v="1137120004"/>
    <m/>
    <n v="33.5"/>
    <n v="0"/>
    <n v="85095"/>
  </r>
  <r>
    <x v="4"/>
    <m/>
    <s v="Familiehuset Villa Solhøj KV54"/>
    <n v="10318"/>
    <m/>
    <s v="Villa Solhøj"/>
    <x v="15"/>
    <x v="0"/>
    <x v="7"/>
    <n v="25040"/>
    <n v="12"/>
    <s v="2013-11-30"/>
    <n v="0"/>
    <n v="170"/>
    <n v="147.20752400000001"/>
    <n v="1"/>
    <x v="1"/>
    <x v="2455"/>
    <n v="1912.13"/>
    <n v="0"/>
    <s v="6190956"/>
    <m/>
    <n v="25039.999800000001"/>
    <n v="0"/>
    <n v="95104"/>
  </r>
  <r>
    <x v="4"/>
    <m/>
    <s v="Familiehuset Villa Solhøj KV54"/>
    <n v="10318"/>
    <m/>
    <s v="Villa Solhøj"/>
    <x v="15"/>
    <x v="0"/>
    <x v="1"/>
    <n v="2488.9499999999998"/>
    <n v="12"/>
    <s v="2010-04-20"/>
    <n v="0"/>
    <n v="170"/>
    <n v="14.632275"/>
    <n v="2"/>
    <x v="2"/>
    <x v="2456"/>
    <n v="746.69"/>
    <n v="0"/>
    <s v="1099133-38078"/>
    <s v="74110512749"/>
    <n v="2488.9360000000001"/>
    <n v="0"/>
    <n v="77792"/>
  </r>
  <r>
    <x v="8"/>
    <s v="04757-0"/>
    <s v="Solvognen, Nordtoftevej 56B"/>
    <n v="5275"/>
    <m/>
    <s v="Solvognen"/>
    <x v="68"/>
    <x v="0"/>
    <x v="7"/>
    <n v="78278.63"/>
    <n v="12"/>
    <s v="2005-05-01"/>
    <n v="0"/>
    <n v="675"/>
    <n v="115.951162"/>
    <n v="1"/>
    <x v="4"/>
    <x v="2457"/>
    <n v="19717.02"/>
    <n v="0"/>
    <s v="1541448"/>
    <s v="98001998814"/>
    <n v="7248.02"/>
    <n v="0"/>
    <n v="56856"/>
  </r>
  <r>
    <x v="4"/>
    <m/>
    <s v="Hareskovhvile, BM 118"/>
    <n v="10273"/>
    <m/>
    <s v="Hareskovhvile"/>
    <x v="96"/>
    <x v="0"/>
    <x v="7"/>
    <n v="132.69"/>
    <n v="12"/>
    <s v="2011-12-31"/>
    <n v="0"/>
    <n v="400"/>
    <n v="0.33164199999999999"/>
    <n v="3"/>
    <x v="0"/>
    <x v="2458"/>
    <n v="106.16"/>
    <n v="0"/>
    <s v="44513"/>
    <m/>
    <n v="132.685"/>
    <n v="0"/>
    <n v="77660"/>
  </r>
  <r>
    <x v="4"/>
    <m/>
    <s v="Hareskovhvile, BM 118"/>
    <n v="10273"/>
    <m/>
    <s v="Hareskovhvile"/>
    <x v="96"/>
    <x v="0"/>
    <x v="7"/>
    <n v="43733"/>
    <n v="12"/>
    <s v="2012-02-29"/>
    <n v="0"/>
    <n v="400"/>
    <n v="109.305173"/>
    <n v="1"/>
    <x v="1"/>
    <x v="2459"/>
    <n v="3366.9"/>
    <n v="0"/>
    <s v="901636/99"/>
    <m/>
    <n v="43733"/>
    <n v="0"/>
    <n v="77661"/>
  </r>
  <r>
    <x v="4"/>
    <m/>
    <s v="Hareskovhvile, BM 118"/>
    <n v="10273"/>
    <m/>
    <s v="Hareskovhvile"/>
    <x v="96"/>
    <x v="0"/>
    <x v="1"/>
    <n v="14268.89"/>
    <n v="12"/>
    <s v="2011-12-31"/>
    <n v="0"/>
    <n v="400"/>
    <n v="35.663308999999998"/>
    <n v="2"/>
    <x v="2"/>
    <x v="2460"/>
    <n v="4280.68"/>
    <n v="0"/>
    <s v="4038256"/>
    <s v="74110495868"/>
    <n v="14268.880999999999"/>
    <n v="0"/>
    <n v="77659"/>
  </r>
  <r>
    <x v="4"/>
    <s v="03975-6"/>
    <s v="Familiehuset Ellegården Stavnsholtvej 168"/>
    <n v="5261"/>
    <m/>
    <s v="Familiehuset"/>
    <x v="57"/>
    <x v="0"/>
    <x v="0"/>
    <n v="36399"/>
    <n v="5"/>
    <s v="2005-07-01"/>
    <n v="0"/>
    <n v="309"/>
    <n v="58.220058000000002"/>
    <n v="1"/>
    <x v="4"/>
    <x v="2461"/>
    <n v="4143.2700000000004"/>
    <n v="0"/>
    <s v="1114438"/>
    <s v="98001985531"/>
    <n v="1666.28"/>
    <n v="0"/>
    <n v="56735"/>
  </r>
  <r>
    <x v="4"/>
    <s v="03975-6"/>
    <s v="Familiehuset Ellegården Stavnsholtvej 168"/>
    <n v="5261"/>
    <m/>
    <s v="Familiehuset"/>
    <x v="57"/>
    <x v="0"/>
    <x v="1"/>
    <n v="42339.57"/>
    <n v="12"/>
    <s v="2005-07-01"/>
    <n v="0"/>
    <n v="309"/>
    <n v="136.976933"/>
    <n v="1"/>
    <x v="4"/>
    <x v="2462"/>
    <n v="9158.59"/>
    <n v="0"/>
    <s v="1114438"/>
    <s v="98001985531"/>
    <n v="3920.33"/>
    <n v="0"/>
    <n v="56735"/>
  </r>
  <r>
    <x v="4"/>
    <s v="03975-6"/>
    <s v="Familiehuset Ellegården Stavnsholtvej 168"/>
    <n v="5261"/>
    <m/>
    <s v="Familiehuset"/>
    <x v="57"/>
    <x v="0"/>
    <x v="2"/>
    <n v="45062.8"/>
    <n v="12"/>
    <s v="2005-07-01"/>
    <n v="0"/>
    <n v="309"/>
    <n v="145.78712300000001"/>
    <n v="1"/>
    <x v="4"/>
    <x v="2463"/>
    <n v="9873.6299999999992"/>
    <n v="0"/>
    <s v="1114438"/>
    <s v="98001985531"/>
    <n v="4172.4799999999996"/>
    <n v="0"/>
    <n v="56735"/>
  </r>
  <r>
    <x v="4"/>
    <s v="03975-6"/>
    <s v="Familiehuset Ellegården Stavnsholtvej 168"/>
    <n v="5261"/>
    <m/>
    <s v="Familiehuset"/>
    <x v="57"/>
    <x v="0"/>
    <x v="3"/>
    <n v="41182.379999999997"/>
    <n v="12"/>
    <s v="2005-07-01"/>
    <n v="0"/>
    <n v="309"/>
    <n v="133.233193"/>
    <n v="1"/>
    <x v="4"/>
    <x v="2464"/>
    <n v="9295.42"/>
    <n v="0"/>
    <s v="1114438"/>
    <s v="98001985531"/>
    <n v="3813.1824000000001"/>
    <n v="0"/>
    <n v="56735"/>
  </r>
  <r>
    <x v="4"/>
    <s v="03975-6"/>
    <s v="Familiehuset Ellegården Stavnsholtvej 168"/>
    <n v="5261"/>
    <m/>
    <s v="Familiehuset"/>
    <x v="57"/>
    <x v="0"/>
    <x v="4"/>
    <n v="44491.22"/>
    <n v="12"/>
    <s v="2005-07-01"/>
    <n v="0"/>
    <n v="309"/>
    <n v="143.93794800000001"/>
    <n v="1"/>
    <x v="4"/>
    <x v="2465"/>
    <n v="11440.72"/>
    <n v="0"/>
    <s v="1114438"/>
    <s v="98001985531"/>
    <n v="4119.5577999999996"/>
    <n v="0"/>
    <n v="56735"/>
  </r>
  <r>
    <x v="4"/>
    <s v="03975-6"/>
    <s v="Familiehuset Ellegården Stavnsholtvej 168"/>
    <n v="5261"/>
    <m/>
    <s v="Familiehuset"/>
    <x v="57"/>
    <x v="0"/>
    <x v="5"/>
    <n v="36598.29"/>
    <n v="12"/>
    <s v="2005-07-01"/>
    <n v="0"/>
    <n v="309"/>
    <n v="118.402749"/>
    <n v="1"/>
    <x v="4"/>
    <x v="2466"/>
    <n v="8171.93"/>
    <n v="0"/>
    <s v="1114438"/>
    <s v="98001985531"/>
    <n v="3388.73"/>
    <n v="0"/>
    <n v="56735"/>
  </r>
  <r>
    <x v="4"/>
    <s v="03975-6"/>
    <s v="Familiehuset Ellegården Stavnsholtvej 168"/>
    <n v="5261"/>
    <m/>
    <s v="Familiehuset"/>
    <x v="57"/>
    <x v="0"/>
    <x v="6"/>
    <n v="46266.34"/>
    <n v="12"/>
    <s v="2005-07-01"/>
    <n v="0"/>
    <n v="309"/>
    <n v="149.680815"/>
    <n v="1"/>
    <x v="4"/>
    <x v="2467"/>
    <n v="10856.13"/>
    <n v="0"/>
    <s v="1114438"/>
    <s v="98001985531"/>
    <n v="4283.92"/>
    <n v="0"/>
    <n v="56735"/>
  </r>
  <r>
    <x v="4"/>
    <m/>
    <s v="Familiehuset Villa Solhøj KV54"/>
    <n v="10318"/>
    <m/>
    <s v="Villa Solhøj"/>
    <x v="15"/>
    <x v="0"/>
    <x v="0"/>
    <n v="26698"/>
    <n v="5"/>
    <s v="2013-11-30"/>
    <n v="0"/>
    <n v="170"/>
    <n v="100.45855299999999"/>
    <n v="1"/>
    <x v="1"/>
    <x v="2468"/>
    <n v="1231.83"/>
    <n v="0"/>
    <s v="6190956"/>
    <m/>
    <n v="17088"/>
    <n v="0"/>
    <n v="95104"/>
  </r>
  <r>
    <x v="4"/>
    <m/>
    <s v="Familiehuset Villa Solhøj KV54"/>
    <n v="10318"/>
    <m/>
    <s v="Villa Solhøj"/>
    <x v="15"/>
    <x v="0"/>
    <x v="0"/>
    <n v="0"/>
    <n v="5"/>
    <s v="2010-10-31"/>
    <n v="0"/>
    <n v="170"/>
    <n v="0"/>
    <n v="1"/>
    <x v="4"/>
    <x v="1"/>
    <n v="0"/>
    <n v="0"/>
    <s v="AFMELDT"/>
    <s v="98004052360"/>
    <n v="0"/>
    <n v="0"/>
    <n v="77794"/>
  </r>
  <r>
    <x v="4"/>
    <m/>
    <s v="Familiehuset Villa Solhøj KV54"/>
    <n v="10318"/>
    <m/>
    <s v="Villa Solhøj"/>
    <x v="15"/>
    <x v="0"/>
    <x v="1"/>
    <n v="4971"/>
    <n v="3"/>
    <s v="2013-11-30"/>
    <n v="0"/>
    <n v="170"/>
    <n v="29.223984999999999"/>
    <n v="1"/>
    <x v="1"/>
    <x v="2469"/>
    <n v="363.94"/>
    <n v="0"/>
    <s v="6190956"/>
    <m/>
    <n v="4971"/>
    <n v="0"/>
    <n v="95104"/>
  </r>
  <r>
    <x v="4"/>
    <m/>
    <s v="Familiehuset Villa Solhøj KV54"/>
    <n v="10318"/>
    <m/>
    <s v="Villa Solhøj"/>
    <x v="15"/>
    <x v="0"/>
    <x v="1"/>
    <n v="21800.76"/>
    <n v="12"/>
    <s v="2010-10-31"/>
    <n v="0"/>
    <n v="170"/>
    <n v="128.16437300000001"/>
    <n v="1"/>
    <x v="4"/>
    <x v="2470"/>
    <n v="4626.25"/>
    <n v="0"/>
    <s v="AFMELDT"/>
    <s v="98004052360"/>
    <n v="2018.59"/>
    <n v="0"/>
    <n v="77794"/>
  </r>
  <r>
    <x v="4"/>
    <m/>
    <s v="Familiehuset Villa Solhøj KV54"/>
    <n v="10318"/>
    <m/>
    <s v="Villa Solhøj"/>
    <x v="15"/>
    <x v="0"/>
    <x v="2"/>
    <n v="29988.79"/>
    <n v="12"/>
    <s v="2010-10-31"/>
    <n v="0"/>
    <n v="170"/>
    <n v="176.30094"/>
    <n v="1"/>
    <x v="4"/>
    <x v="2471"/>
    <n v="6670.16"/>
    <n v="0"/>
    <s v="AFMELDT"/>
    <s v="98004052360"/>
    <n v="2776.74"/>
    <n v="0"/>
    <n v="77794"/>
  </r>
  <r>
    <x v="4"/>
    <m/>
    <s v="Familiehuset Villa Solhøj KV54"/>
    <n v="10318"/>
    <m/>
    <s v="Villa Solhøj"/>
    <x v="15"/>
    <x v="0"/>
    <x v="3"/>
    <n v="27484.38"/>
    <n v="12"/>
    <s v="2010-10-31"/>
    <n v="0"/>
    <n v="170"/>
    <n v="161.577777"/>
    <n v="1"/>
    <x v="4"/>
    <x v="2472"/>
    <n v="6363.35"/>
    <n v="0"/>
    <s v="AFMELDT"/>
    <s v="98004052360"/>
    <n v="2544.85"/>
    <n v="0"/>
    <n v="77794"/>
  </r>
  <r>
    <x v="4"/>
    <m/>
    <s v="Familiehuset Villa Solhøj KV54"/>
    <n v="10318"/>
    <m/>
    <s v="Villa Solhøj"/>
    <x v="15"/>
    <x v="0"/>
    <x v="4"/>
    <n v="26191.759999999998"/>
    <n v="7"/>
    <s v="2010-10-31"/>
    <n v="0"/>
    <n v="170"/>
    <n v="153.9786"/>
    <n v="1"/>
    <x v="4"/>
    <x v="2473"/>
    <n v="5126.8500000000004"/>
    <n v="0"/>
    <s v="AFMELDT"/>
    <s v="98004052360"/>
    <n v="2425.16212"/>
    <n v="0"/>
    <n v="77794"/>
  </r>
  <r>
    <x v="4"/>
    <m/>
    <s v="Familiehuset Villa Solhøj KV54"/>
    <n v="10318"/>
    <m/>
    <s v="Villa Solhøj"/>
    <x v="15"/>
    <x v="0"/>
    <x v="5"/>
    <n v="32773.46"/>
    <n v="2"/>
    <s v="2010-10-31"/>
    <n v="0"/>
    <n v="170"/>
    <n v="192.67172199999999"/>
    <n v="1"/>
    <x v="4"/>
    <x v="2474"/>
    <n v="9470.26"/>
    <n v="0"/>
    <s v="AFMELDT"/>
    <s v="98004052360"/>
    <n v="3034.5788699999998"/>
    <n v="0"/>
    <n v="77794"/>
  </r>
  <r>
    <x v="4"/>
    <m/>
    <s v="Familiehuset Villa Solhøj KV54"/>
    <n v="10318"/>
    <m/>
    <s v="Villa Solhøj"/>
    <x v="15"/>
    <x v="0"/>
    <x v="6"/>
    <n v="15695.95"/>
    <n v="3"/>
    <s v="2010-10-31"/>
    <n v="0"/>
    <n v="170"/>
    <n v="92.274838000000003"/>
    <n v="1"/>
    <x v="4"/>
    <x v="2475"/>
    <n v="3636.39"/>
    <n v="0"/>
    <s v="AFMELDT"/>
    <s v="98004052360"/>
    <n v="1453.3278600000001"/>
    <n v="0"/>
    <n v="77794"/>
  </r>
  <r>
    <x v="4"/>
    <m/>
    <s v="Hareskovhvile, BM 118"/>
    <n v="10273"/>
    <m/>
    <s v="Hareskovhvile"/>
    <x v="96"/>
    <x v="0"/>
    <x v="0"/>
    <n v="43756"/>
    <n v="5"/>
    <s v="2012-02-29"/>
    <n v="0"/>
    <n v="400"/>
    <n v="63.954011000000001"/>
    <n v="1"/>
    <x v="1"/>
    <x v="2476"/>
    <n v="1853.7"/>
    <n v="0"/>
    <s v="901636/99"/>
    <m/>
    <n v="25588"/>
    <n v="0"/>
    <n v="77661"/>
  </r>
  <r>
    <x v="4"/>
    <m/>
    <s v="Hareskovhvile, BM 118"/>
    <n v="10273"/>
    <m/>
    <s v="Hareskovhvile"/>
    <x v="96"/>
    <x v="0"/>
    <x v="1"/>
    <n v="51975.13"/>
    <n v="12"/>
    <s v="2012-02-29"/>
    <n v="0"/>
    <n v="400"/>
    <n v="129.905348"/>
    <n v="1"/>
    <x v="1"/>
    <x v="2477"/>
    <n v="3484.79"/>
    <n v="0"/>
    <s v="901636/99"/>
    <m/>
    <n v="51975.125"/>
    <n v="0"/>
    <n v="77661"/>
  </r>
  <r>
    <x v="4"/>
    <m/>
    <s v="Hareskovhvile, BM 118"/>
    <n v="10273"/>
    <m/>
    <s v="Hareskovhvile"/>
    <x v="96"/>
    <x v="0"/>
    <x v="2"/>
    <n v="54507.76"/>
    <n v="14"/>
    <s v="2012-02-29"/>
    <n v="0"/>
    <n v="400"/>
    <n v="136.23534100000001"/>
    <n v="1"/>
    <x v="1"/>
    <x v="2478"/>
    <n v="10643.43"/>
    <n v="0"/>
    <s v="901636/99"/>
    <m/>
    <n v="54507.763890000002"/>
    <n v="0"/>
    <n v="77661"/>
  </r>
  <r>
    <x v="4"/>
    <m/>
    <s v="Hareskovhvile, BM 118"/>
    <n v="10273"/>
    <m/>
    <s v="Hareskovhvile"/>
    <x v="96"/>
    <x v="0"/>
    <x v="3"/>
    <n v="51290.03"/>
    <n v="12"/>
    <s v="2012-02-29"/>
    <n v="0"/>
    <n v="400"/>
    <n v="128.193026"/>
    <n v="1"/>
    <x v="1"/>
    <x v="2479"/>
    <n v="10417.08"/>
    <n v="0"/>
    <s v="901636/99"/>
    <m/>
    <n v="51290.02779"/>
    <n v="0"/>
    <n v="77661"/>
  </r>
  <r>
    <x v="4"/>
    <m/>
    <s v="Hareskovhvile, BM 118"/>
    <n v="10273"/>
    <m/>
    <s v="Hareskovhvile"/>
    <x v="96"/>
    <x v="0"/>
    <x v="4"/>
    <n v="58095.51"/>
    <n v="11"/>
    <s v="2012-02-29"/>
    <n v="0"/>
    <n v="400"/>
    <n v="145.202474"/>
    <n v="1"/>
    <x v="1"/>
    <x v="2480"/>
    <n v="9755.7000000000007"/>
    <n v="0"/>
    <s v="901636/99"/>
    <m/>
    <n v="58095.511919999997"/>
    <n v="0"/>
    <n v="77661"/>
  </r>
  <r>
    <x v="4"/>
    <m/>
    <s v="Hareskovhvile, BM 118"/>
    <n v="10273"/>
    <m/>
    <s v="Hareskovhvile"/>
    <x v="96"/>
    <x v="0"/>
    <x v="5"/>
    <n v="47735.12"/>
    <n v="12"/>
    <s v="2012-02-29"/>
    <n v="0"/>
    <n v="400"/>
    <n v="119.307973"/>
    <n v="1"/>
    <x v="1"/>
    <x v="2481"/>
    <n v="9474.73"/>
    <n v="0"/>
    <s v="901636/99"/>
    <m/>
    <n v="47735.114289999998"/>
    <n v="0"/>
    <n v="77661"/>
  </r>
  <r>
    <x v="4"/>
    <m/>
    <s v="Hareskovhvile, BM 118"/>
    <n v="10273"/>
    <m/>
    <s v="Hareskovhvile"/>
    <x v="96"/>
    <x v="0"/>
    <x v="6"/>
    <n v="45137.43"/>
    <n v="6"/>
    <s v="2012-02-29"/>
    <n v="0"/>
    <n v="400"/>
    <n v="112.815371"/>
    <n v="1"/>
    <x v="1"/>
    <x v="2482"/>
    <n v="9639.6"/>
    <n v="0"/>
    <s v="901636/99"/>
    <m/>
    <n v="45137.435160000001"/>
    <n v="0"/>
    <n v="77661"/>
  </r>
  <r>
    <x v="4"/>
    <m/>
    <s v="Lysthuset, Lille Værløsevej 36A"/>
    <n v="10182"/>
    <m/>
    <s v="Lysthuset"/>
    <x v="97"/>
    <x v="0"/>
    <x v="0"/>
    <n v="27321"/>
    <n v="5"/>
    <s v="2014-02-28"/>
    <n v="0"/>
    <n v="152"/>
    <n v="106.883629"/>
    <n v="1"/>
    <x v="1"/>
    <x v="2483"/>
    <n v="1184.05"/>
    <n v="0"/>
    <s v="69293008"/>
    <m/>
    <n v="16257"/>
    <n v="0"/>
    <n v="77235"/>
  </r>
  <r>
    <x v="4"/>
    <m/>
    <s v="Lysthuset, Lille Værløsevej 36A"/>
    <n v="10182"/>
    <m/>
    <s v="Lysthuset"/>
    <x v="97"/>
    <x v="0"/>
    <x v="1"/>
    <n v="26941.67"/>
    <n v="8"/>
    <s v="2014-02-28"/>
    <n v="0"/>
    <n v="152"/>
    <n v="177.13129499999999"/>
    <n v="1"/>
    <x v="1"/>
    <x v="2484"/>
    <n v="1922.22"/>
    <n v="0"/>
    <s v="69293008"/>
    <m/>
    <n v="26941.666659999999"/>
    <n v="0"/>
    <n v="77235"/>
  </r>
  <r>
    <x v="4"/>
    <m/>
    <s v="Lysthuset, Lille Værløsevej 36A"/>
    <n v="10182"/>
    <m/>
    <s v="Lysthuset"/>
    <x v="97"/>
    <x v="0"/>
    <x v="2"/>
    <n v="27738.11"/>
    <n v="3"/>
    <s v="2014-02-28"/>
    <n v="0"/>
    <n v="152"/>
    <n v="182.36758699999999"/>
    <n v="1"/>
    <x v="1"/>
    <x v="2485"/>
    <n v="5672.71"/>
    <n v="0"/>
    <s v="69293008"/>
    <m/>
    <n v="27738.108319999999"/>
    <n v="0"/>
    <n v="77235"/>
  </r>
  <r>
    <x v="4"/>
    <m/>
    <s v="Lysthuset, Lille Værløsevej 36A"/>
    <n v="10182"/>
    <m/>
    <s v="Lysthuset"/>
    <x v="97"/>
    <x v="0"/>
    <x v="3"/>
    <n v="30201.86"/>
    <n v="3"/>
    <s v="2014-02-28"/>
    <n v="0"/>
    <n v="152"/>
    <n v="198.565811"/>
    <n v="1"/>
    <x v="1"/>
    <x v="2486"/>
    <n v="6730.91"/>
    <n v="0"/>
    <s v="69293008"/>
    <m/>
    <n v="30201.83712"/>
    <n v="0"/>
    <n v="77235"/>
  </r>
  <r>
    <x v="4"/>
    <m/>
    <s v="Lysthuset, Lille Værløsevej 36A"/>
    <n v="10182"/>
    <m/>
    <s v="Lysthuset"/>
    <x v="97"/>
    <x v="0"/>
    <x v="4"/>
    <n v="30805.29"/>
    <n v="3"/>
    <s v="2014-02-28"/>
    <n v="0"/>
    <n v="152"/>
    <n v="202.53313600000001"/>
    <n v="1"/>
    <x v="1"/>
    <x v="2487"/>
    <n v="5534.71"/>
    <n v="0"/>
    <s v="69293008"/>
    <m/>
    <n v="30805.309639999999"/>
    <n v="0"/>
    <n v="77235"/>
  </r>
  <r>
    <x v="4"/>
    <m/>
    <s v="Lysthuset, Lille Værløsevej 36A"/>
    <n v="10182"/>
    <m/>
    <s v="Lysthuset"/>
    <x v="97"/>
    <x v="0"/>
    <x v="5"/>
    <n v="27137.75"/>
    <n v="3"/>
    <s v="2014-02-28"/>
    <n v="0"/>
    <n v="152"/>
    <n v="178.420447"/>
    <n v="1"/>
    <x v="1"/>
    <x v="2488"/>
    <n v="5575.37"/>
    <n v="0"/>
    <s v="69293008"/>
    <m/>
    <n v="27137.75952"/>
    <n v="0"/>
    <n v="77235"/>
  </r>
  <r>
    <x v="4"/>
    <m/>
    <s v="Lysthuset, Lille Værløsevej 36A"/>
    <n v="10182"/>
    <m/>
    <s v="Lysthuset"/>
    <x v="97"/>
    <x v="0"/>
    <x v="6"/>
    <n v="25124.15"/>
    <n v="7"/>
    <s v="2014-02-28"/>
    <n v="0"/>
    <n v="152"/>
    <n v="165.18178800000001"/>
    <n v="1"/>
    <x v="1"/>
    <x v="2489"/>
    <n v="5499.71"/>
    <n v="0"/>
    <s v="69293008"/>
    <m/>
    <n v="25124.153539999999"/>
    <n v="0"/>
    <n v="77235"/>
  </r>
  <r>
    <x v="4"/>
    <s v="1737"/>
    <s v="Musikskolen KV36"/>
    <n v="14495"/>
    <s v="0"/>
    <s v="Værestedet"/>
    <x v="56"/>
    <x v="0"/>
    <x v="1"/>
    <n v="28382.799999999999"/>
    <n v="2"/>
    <s v="2014-03-19"/>
    <n v="0"/>
    <n v="878"/>
    <n v="32.322969999999998"/>
    <n v="1"/>
    <x v="4"/>
    <x v="2490"/>
    <n v="6839.36"/>
    <n v="0"/>
    <s v="3100641 afmeldt"/>
    <m/>
    <n v="2628.03703"/>
    <n v="0"/>
    <n v="94939"/>
  </r>
  <r>
    <x v="4"/>
    <m/>
    <s v="Lyspunktet - Nygård 221A"/>
    <n v="5945"/>
    <m/>
    <s v="Lyspunktet - Nygård 221A"/>
    <x v="100"/>
    <x v="0"/>
    <x v="1"/>
    <n v="3595.39"/>
    <n v="2"/>
    <s v="2013-02-28"/>
    <n v="0"/>
    <n v="506"/>
    <n v="7.1041090000000002"/>
    <n v="2"/>
    <x v="2"/>
    <x v="2491"/>
    <n v="1078.6099999999999"/>
    <n v="0"/>
    <s v="3103570 X60 Afmeldt"/>
    <s v="74111704464"/>
    <n v="3595.3846100000001"/>
    <n v="0"/>
    <n v="86355"/>
  </r>
  <r>
    <x v="4"/>
    <m/>
    <s v="Ryetvej 15"/>
    <n v="10270"/>
    <m/>
    <s v="Ryetvej 15"/>
    <x v="98"/>
    <x v="0"/>
    <x v="0"/>
    <n v="6699"/>
    <n v="5"/>
    <s v="2012-02-29"/>
    <n v="0"/>
    <n v="96"/>
    <n v="62.736628000000003"/>
    <n v="1"/>
    <x v="1"/>
    <x v="2492"/>
    <n v="439.24"/>
    <n v="0"/>
    <s v="7235795"/>
    <m/>
    <n v="6029.0001000000002"/>
    <n v="0"/>
    <n v="77652"/>
  </r>
  <r>
    <x v="4"/>
    <m/>
    <s v="Ryetvej 15"/>
    <n v="10270"/>
    <m/>
    <s v="Ryetvej 15"/>
    <x v="98"/>
    <x v="0"/>
    <x v="1"/>
    <n v="12545"/>
    <n v="12"/>
    <s v="2012-02-29"/>
    <n v="0"/>
    <n v="96"/>
    <n v="130.54110299999999"/>
    <n v="1"/>
    <x v="1"/>
    <x v="2493"/>
    <n v="842.66"/>
    <n v="0"/>
    <s v="7235795"/>
    <m/>
    <n v="12544.999"/>
    <n v="0"/>
    <n v="77652"/>
  </r>
  <r>
    <x v="4"/>
    <m/>
    <s v="Ryetvej 15"/>
    <n v="10270"/>
    <m/>
    <s v="Ryetvej 15"/>
    <x v="98"/>
    <x v="0"/>
    <x v="2"/>
    <n v="11926"/>
    <n v="14"/>
    <s v="2012-02-29"/>
    <n v="0"/>
    <n v="96"/>
    <n v="124.099895"/>
    <n v="1"/>
    <x v="1"/>
    <x v="2494"/>
    <n v="2300.66"/>
    <n v="0"/>
    <s v="7235795"/>
    <m/>
    <n v="11926.0003"/>
    <n v="0"/>
    <n v="77652"/>
  </r>
  <r>
    <x v="4"/>
    <m/>
    <s v="Ryetvej 15"/>
    <n v="10270"/>
    <m/>
    <s v="Ryetvej 15"/>
    <x v="98"/>
    <x v="0"/>
    <x v="3"/>
    <n v="0"/>
    <n v="3"/>
    <s v="2012-02-29"/>
    <n v="0"/>
    <n v="96"/>
    <n v="0"/>
    <n v="1"/>
    <x v="1"/>
    <x v="1"/>
    <n v="0"/>
    <n v="0"/>
    <s v="7235795"/>
    <m/>
    <n v="0"/>
    <n v="0"/>
    <n v="77652"/>
  </r>
  <r>
    <x v="4"/>
    <m/>
    <s v="Ryetvej 15"/>
    <n v="10270"/>
    <m/>
    <s v="Ryetvej 15"/>
    <x v="98"/>
    <x v="0"/>
    <x v="4"/>
    <n v="4286.8599999999997"/>
    <n v="2"/>
    <s v="2012-02-29"/>
    <n v="0"/>
    <n v="96"/>
    <n v="44.608324000000003"/>
    <n v="1"/>
    <x v="1"/>
    <x v="2495"/>
    <n v="742.74"/>
    <n v="0"/>
    <s v="7235795"/>
    <m/>
    <n v="4286.8636200000001"/>
    <n v="0"/>
    <n v="77652"/>
  </r>
  <r>
    <x v="4"/>
    <m/>
    <s v="Ryetvej 15"/>
    <n v="10270"/>
    <m/>
    <s v="Ryetvej 15"/>
    <x v="98"/>
    <x v="0"/>
    <x v="5"/>
    <n v="13655.17"/>
    <n v="5"/>
    <s v="2012-02-29"/>
    <n v="0"/>
    <n v="96"/>
    <n v="142.09334000000001"/>
    <n v="1"/>
    <x v="1"/>
    <x v="2496"/>
    <n v="3386.91"/>
    <n v="0"/>
    <s v="7235795"/>
    <m/>
    <n v="13655.166660000001"/>
    <n v="0"/>
    <n v="77652"/>
  </r>
  <r>
    <x v="4"/>
    <m/>
    <s v="Ryetvej 15"/>
    <n v="10270"/>
    <m/>
    <s v="Ryetvej 15"/>
    <x v="98"/>
    <x v="0"/>
    <x v="6"/>
    <n v="18313.32"/>
    <n v="6"/>
    <s v="2012-02-29"/>
    <n v="0"/>
    <n v="96"/>
    <n v="190.56524400000001"/>
    <n v="1"/>
    <x v="1"/>
    <x v="2497"/>
    <n v="3972.7"/>
    <n v="0"/>
    <s v="7235795"/>
    <m/>
    <n v="18313.332330000001"/>
    <n v="0"/>
    <n v="77652"/>
  </r>
  <r>
    <x v="4"/>
    <s v="00767-6"/>
    <s v="Sundhedshuset Gammelgårdsvej 88"/>
    <n v="5270"/>
    <m/>
    <s v="Milcon"/>
    <x v="99"/>
    <x v="0"/>
    <x v="0"/>
    <n v="152128"/>
    <n v="5"/>
    <m/>
    <n v="0"/>
    <n v="2625"/>
    <n v="34.711728999999998"/>
    <n v="1"/>
    <x v="4"/>
    <x v="2498"/>
    <n v="21785"/>
    <n v="0"/>
    <s v="1206500"/>
    <s v="98002006662"/>
    <n v="8437.2000000000007"/>
    <n v="0"/>
    <n v="56823"/>
  </r>
  <r>
    <x v="4"/>
    <s v="00767-6"/>
    <s v="Sundhedshuset Gammelgårdsvej 88"/>
    <n v="5270"/>
    <m/>
    <s v="Milcon"/>
    <x v="99"/>
    <x v="0"/>
    <x v="1"/>
    <n v="193376.16"/>
    <n v="12"/>
    <m/>
    <n v="0"/>
    <n v="2625"/>
    <n v="73.664302000000006"/>
    <n v="1"/>
    <x v="4"/>
    <x v="2499"/>
    <n v="41593.94"/>
    <n v="0"/>
    <s v="1206500"/>
    <s v="98002006662"/>
    <n v="17905.2"/>
    <n v="0"/>
    <n v="56823"/>
  </r>
  <r>
    <x v="4"/>
    <s v="00767-6"/>
    <s v="Sundhedshuset Gammelgårdsvej 88"/>
    <n v="5270"/>
    <m/>
    <s v="Milcon"/>
    <x v="99"/>
    <x v="0"/>
    <x v="2"/>
    <n v="208537.2"/>
    <n v="12"/>
    <m/>
    <n v="0"/>
    <n v="2625"/>
    <n v="79.439716000000004"/>
    <n v="1"/>
    <x v="4"/>
    <x v="2500"/>
    <n v="46203.59"/>
    <n v="0"/>
    <s v="1206500"/>
    <s v="98002006662"/>
    <n v="19309"/>
    <n v="0"/>
    <n v="56823"/>
  </r>
  <r>
    <x v="4"/>
    <s v="00767-6"/>
    <s v="Sundhedshuset Gammelgårdsvej 88"/>
    <n v="5270"/>
    <m/>
    <s v="Milcon"/>
    <x v="99"/>
    <x v="0"/>
    <x v="3"/>
    <n v="184970.52"/>
    <n v="12"/>
    <m/>
    <n v="0"/>
    <n v="2625"/>
    <n v="70.462275000000005"/>
    <n v="1"/>
    <x v="4"/>
    <x v="2501"/>
    <n v="42258.96"/>
    <n v="0"/>
    <s v="1206500"/>
    <s v="98002006662"/>
    <n v="17126.900000000001"/>
    <n v="0"/>
    <n v="56823"/>
  </r>
  <r>
    <x v="4"/>
    <s v="00767-6"/>
    <s v="Sundhedshuset Gammelgårdsvej 88"/>
    <n v="5270"/>
    <m/>
    <s v="Milcon"/>
    <x v="99"/>
    <x v="0"/>
    <x v="4"/>
    <n v="228034.39"/>
    <n v="12"/>
    <m/>
    <n v="0"/>
    <n v="2625"/>
    <n v="86.866934000000001"/>
    <n v="1"/>
    <x v="4"/>
    <x v="2502"/>
    <n v="44082.47"/>
    <n v="0"/>
    <s v="1206500"/>
    <s v="98002006662"/>
    <n v="21114.294999999998"/>
    <n v="0"/>
    <n v="56823"/>
  </r>
  <r>
    <x v="4"/>
    <s v="00767-6"/>
    <s v="Sundhedshuset Gammelgårdsvej 88"/>
    <n v="5270"/>
    <m/>
    <s v="Milcon"/>
    <x v="99"/>
    <x v="0"/>
    <x v="5"/>
    <n v="238522.36"/>
    <n v="12"/>
    <m/>
    <n v="0"/>
    <n v="2625"/>
    <n v="90.862199000000004"/>
    <n v="1"/>
    <x v="4"/>
    <x v="2503"/>
    <n v="53412.46"/>
    <n v="0"/>
    <s v="1206500"/>
    <s v="98002006662"/>
    <n v="22085.403999999999"/>
    <n v="0"/>
    <n v="56823"/>
  </r>
  <r>
    <x v="4"/>
    <s v="00767-6"/>
    <s v="Sundhedshuset Gammelgårdsvej 88"/>
    <n v="5270"/>
    <m/>
    <s v="Milcon"/>
    <x v="99"/>
    <x v="0"/>
    <x v="6"/>
    <n v="212943.6"/>
    <n v="12"/>
    <m/>
    <n v="0"/>
    <n v="2625"/>
    <n v="81.118280999999996"/>
    <n v="1"/>
    <x v="4"/>
    <x v="2504"/>
    <n v="52756.19"/>
    <n v="0"/>
    <s v="1206500"/>
    <s v="98002006662"/>
    <n v="19716.999899999999"/>
    <n v="0"/>
    <n v="56823"/>
  </r>
  <r>
    <x v="4"/>
    <m/>
    <s v="Lyspunktet - Nygård 221A"/>
    <n v="5945"/>
    <m/>
    <s v="Lyspunktet - Nygård 221A"/>
    <x v="100"/>
    <x v="0"/>
    <x v="1"/>
    <n v="13531.29"/>
    <n v="10"/>
    <m/>
    <n v="0"/>
    <n v="506"/>
    <n v="26.736395000000002"/>
    <n v="2"/>
    <x v="2"/>
    <x v="2505"/>
    <n v="4059.41"/>
    <n v="0"/>
    <s v="3103570"/>
    <m/>
    <n v="13531.284"/>
    <n v="0"/>
    <n v="94151"/>
  </r>
  <r>
    <x v="4"/>
    <m/>
    <s v="Lysthuset, Lille Værløsevej 36A"/>
    <n v="10182"/>
    <m/>
    <s v="Lysthuset"/>
    <x v="97"/>
    <x v="0"/>
    <x v="7"/>
    <n v="34.54"/>
    <n v="12"/>
    <s v="2013-12-31"/>
    <n v="0"/>
    <n v="152"/>
    <n v="0.22708700000000001"/>
    <n v="3"/>
    <x v="0"/>
    <x v="2506"/>
    <n v="27.65"/>
    <n v="0"/>
    <s v="4504"/>
    <m/>
    <n v="34.551000000000002"/>
    <n v="0"/>
    <n v="77234"/>
  </r>
  <r>
    <x v="4"/>
    <m/>
    <s v="Lysthuset, Lille Værløsevej 36A"/>
    <n v="10182"/>
    <m/>
    <s v="Lysthuset"/>
    <x v="97"/>
    <x v="0"/>
    <x v="7"/>
    <n v="22586.12"/>
    <n v="12"/>
    <s v="2014-02-28"/>
    <n v="0"/>
    <n v="152"/>
    <n v="148.49520000000001"/>
    <n v="1"/>
    <x v="1"/>
    <x v="2507"/>
    <n v="1736.73"/>
    <n v="0"/>
    <s v="69293008"/>
    <m/>
    <n v="22586.118200000001"/>
    <n v="0"/>
    <n v="77235"/>
  </r>
  <r>
    <x v="4"/>
    <m/>
    <s v="Lysthuset, Lille Værløsevej 36A"/>
    <n v="10182"/>
    <m/>
    <s v="Lysthuset"/>
    <x v="97"/>
    <x v="0"/>
    <x v="1"/>
    <n v="3271.8"/>
    <n v="10"/>
    <s v="2013-12-31"/>
    <n v="0"/>
    <n v="152"/>
    <n v="21.510847999999999"/>
    <n v="2"/>
    <x v="2"/>
    <x v="2508"/>
    <n v="981.54"/>
    <n v="0"/>
    <s v="4032419"/>
    <s v="74110495875"/>
    <n v="3271.8"/>
    <n v="0"/>
    <n v="77233"/>
  </r>
  <r>
    <x v="4"/>
    <m/>
    <s v="Ryetvej 15"/>
    <n v="10270"/>
    <m/>
    <s v="Ryetvej 15"/>
    <x v="98"/>
    <x v="0"/>
    <x v="1"/>
    <n v="1822.05"/>
    <n v="12"/>
    <s v="2012-01-26"/>
    <n v="0"/>
    <n v="96"/>
    <n v="18.959937"/>
    <n v="2"/>
    <x v="2"/>
    <x v="2509"/>
    <n v="546.63"/>
    <n v="0"/>
    <s v="4022873"/>
    <s v="74112521800"/>
    <n v="1822.0608999999999"/>
    <n v="0"/>
    <n v="77650"/>
  </r>
  <r>
    <x v="4"/>
    <s v="00767-6"/>
    <s v="Sundhedshuset Gammelgårdsvej 88"/>
    <n v="5270"/>
    <m/>
    <s v="Milcon"/>
    <x v="99"/>
    <x v="0"/>
    <x v="1"/>
    <n v="84407.34"/>
    <n v="12"/>
    <m/>
    <n v="0"/>
    <n v="2625"/>
    <n v="32.153951999999997"/>
    <n v="2"/>
    <x v="2"/>
    <x v="2510"/>
    <n v="33762.949999999997"/>
    <n v="0"/>
    <s v="23741"/>
    <m/>
    <n v="84407.34"/>
    <n v="0"/>
    <n v="56822"/>
  </r>
  <r>
    <x v="3"/>
    <m/>
    <s v="Bøgely Ravnehusvej 20"/>
    <n v="9970"/>
    <m/>
    <s v="Bøgely"/>
    <x v="21"/>
    <x v="0"/>
    <x v="7"/>
    <n v="80681.679999999993"/>
    <n v="12"/>
    <s v="2010-10-31"/>
    <n v="0"/>
    <n v="864"/>
    <n v="93.370767000000001"/>
    <n v="1"/>
    <x v="6"/>
    <x v="2511"/>
    <n v="19693.009999999998"/>
    <n v="0"/>
    <s v="1503037"/>
    <s v="98003479854"/>
    <n v="7203.7200999999995"/>
    <n v="0"/>
    <n v="76389"/>
  </r>
  <r>
    <x v="4"/>
    <s v="1737"/>
    <s v="Musikskolen KV36"/>
    <n v="14495"/>
    <s v="0"/>
    <s v="Værestedet"/>
    <x v="56"/>
    <x v="0"/>
    <x v="7"/>
    <n v="47348.91"/>
    <n v="12"/>
    <s v="2014-04-30"/>
    <n v="0"/>
    <n v="878"/>
    <n v="53.922001999999999"/>
    <n v="1"/>
    <x v="1"/>
    <x v="2512"/>
    <n v="3613.49"/>
    <n v="0"/>
    <s v="69271173"/>
    <m/>
    <n v="47348.91"/>
    <n v="0"/>
    <n v="95930"/>
  </r>
  <r>
    <x v="4"/>
    <m/>
    <s v="Tandklinikken Nygaard, Nygård 209"/>
    <n v="5946"/>
    <m/>
    <s v="Tandklinikken Nygaard"/>
    <x v="101"/>
    <x v="0"/>
    <x v="1"/>
    <n v="18661.39"/>
    <n v="12"/>
    <s v="2011-11-30"/>
    <n v="0"/>
    <n v="393"/>
    <n v="47.472372999999997"/>
    <n v="2"/>
    <x v="2"/>
    <x v="2513"/>
    <n v="7464.57"/>
    <n v="0"/>
    <s v="4162802"/>
    <s v="74111713671"/>
    <n v="18661.407999999999"/>
    <n v="0"/>
    <n v="59956"/>
  </r>
  <r>
    <x v="4"/>
    <s v="1737"/>
    <s v="Musikskolen KV36"/>
    <n v="14495"/>
    <s v="0"/>
    <s v="Værestedet"/>
    <x v="56"/>
    <x v="0"/>
    <x v="7"/>
    <n v="177.1"/>
    <n v="12"/>
    <s v="2014-04-30"/>
    <n v="0"/>
    <n v="878"/>
    <n v="0.201685"/>
    <n v="3"/>
    <x v="0"/>
    <x v="2514"/>
    <n v="141.68"/>
    <n v="0"/>
    <s v="40879"/>
    <m/>
    <n v="177.09762000000001"/>
    <n v="0"/>
    <n v="94941"/>
  </r>
  <r>
    <x v="4"/>
    <m/>
    <s v="Ryetvej 15"/>
    <n v="10270"/>
    <m/>
    <s v="Ryetvej 15"/>
    <x v="98"/>
    <x v="0"/>
    <x v="7"/>
    <n v="7.68"/>
    <n v="12"/>
    <s v="2012-01-26"/>
    <n v="0"/>
    <n v="96"/>
    <n v="7.9916000000000001E-2"/>
    <n v="3"/>
    <x v="0"/>
    <x v="2515"/>
    <n v="6.14"/>
    <n v="0"/>
    <s v="40456"/>
    <m/>
    <n v="7.665"/>
    <n v="0"/>
    <n v="77651"/>
  </r>
  <r>
    <x v="4"/>
    <m/>
    <s v="Ryetvej 15"/>
    <n v="10270"/>
    <m/>
    <s v="Ryetvej 15"/>
    <x v="98"/>
    <x v="0"/>
    <x v="7"/>
    <n v="9095"/>
    <n v="12"/>
    <s v="2012-02-29"/>
    <n v="0"/>
    <n v="96"/>
    <n v="94.640997999999996"/>
    <n v="1"/>
    <x v="1"/>
    <x v="2516"/>
    <n v="697.42"/>
    <n v="0"/>
    <s v="7235795"/>
    <m/>
    <n v="9095"/>
    <n v="0"/>
    <n v="77652"/>
  </r>
  <r>
    <x v="4"/>
    <s v="1737"/>
    <s v="Musikskolen KV36"/>
    <n v="14495"/>
    <s v="0"/>
    <s v="Værestedet"/>
    <x v="56"/>
    <x v="0"/>
    <x v="0"/>
    <n v="287"/>
    <n v="5"/>
    <s v="2014-04-30"/>
    <n v="0"/>
    <n v="878"/>
    <n v="0.130053"/>
    <n v="3"/>
    <x v="0"/>
    <x v="2517"/>
    <n v="91.36"/>
    <n v="0"/>
    <s v="40879"/>
    <m/>
    <n v="114.2"/>
    <n v="0"/>
    <n v="94941"/>
  </r>
  <r>
    <x v="9"/>
    <m/>
    <s v="Værløse Boldklub, Stiager 6"/>
    <n v="10179"/>
    <m/>
    <s v="Værløse Boldklub"/>
    <x v="83"/>
    <x v="0"/>
    <x v="7"/>
    <n v="84519.4"/>
    <n v="12"/>
    <s v="2011-03-31"/>
    <n v="0"/>
    <n v="792"/>
    <n v="106.702941"/>
    <n v="1"/>
    <x v="4"/>
    <x v="2518"/>
    <n v="21328.75"/>
    <n v="0"/>
    <s v="229728/97"/>
    <s v="98004894182"/>
    <n v="7825.87"/>
    <n v="0"/>
    <n v="77212"/>
  </r>
  <r>
    <x v="4"/>
    <s v="00767-6"/>
    <s v="Sundhedshuset Gammelgårdsvej 88"/>
    <n v="5270"/>
    <m/>
    <s v="Milcon"/>
    <x v="99"/>
    <x v="0"/>
    <x v="7"/>
    <n v="435.6"/>
    <n v="12"/>
    <s v="2010-01-29"/>
    <n v="0"/>
    <n v="2625"/>
    <n v="0.165936"/>
    <n v="3"/>
    <x v="0"/>
    <x v="2519"/>
    <n v="348.47"/>
    <n v="0"/>
    <s v="BK 4016439"/>
    <m/>
    <n v="435.59800000000001"/>
    <n v="0"/>
    <n v="56824"/>
  </r>
  <r>
    <x v="4"/>
    <s v="03975-6"/>
    <s v="Familiehuset Ellegården Stavnsholtvej 168"/>
    <n v="5261"/>
    <m/>
    <s v="Familiehuset"/>
    <x v="57"/>
    <x v="0"/>
    <x v="7"/>
    <n v="5612.98"/>
    <n v="12"/>
    <s v="2005-07-01"/>
    <n v="0"/>
    <n v="309"/>
    <n v="18.159106999999999"/>
    <n v="2"/>
    <x v="2"/>
    <x v="2520"/>
    <n v="2245.1999999999998"/>
    <n v="0"/>
    <s v="BIMÅLER"/>
    <m/>
    <n v="5612.98"/>
    <n v="0"/>
    <n v="56734"/>
  </r>
  <r>
    <x v="4"/>
    <m/>
    <s v="Familiehuset Villa Solhøj KV54"/>
    <n v="10318"/>
    <m/>
    <s v="Villa Solhøj"/>
    <x v="15"/>
    <x v="0"/>
    <x v="7"/>
    <n v="2551.34"/>
    <n v="12"/>
    <s v="2010-04-20"/>
    <n v="0"/>
    <n v="170"/>
    <n v="14.999059000000001"/>
    <n v="2"/>
    <x v="2"/>
    <x v="2521"/>
    <n v="765.4"/>
    <n v="0"/>
    <s v="1099133-38078"/>
    <s v="74110512749"/>
    <n v="2551.3609999999999"/>
    <n v="0"/>
    <n v="77792"/>
  </r>
  <r>
    <x v="4"/>
    <m/>
    <s v="Hareskovhvile, BM 118"/>
    <n v="10273"/>
    <m/>
    <s v="Hareskovhvile"/>
    <x v="96"/>
    <x v="0"/>
    <x v="7"/>
    <n v="15782.48"/>
    <n v="12"/>
    <s v="2011-12-31"/>
    <n v="0"/>
    <n v="400"/>
    <n v="39.446337999999997"/>
    <n v="2"/>
    <x v="2"/>
    <x v="2522"/>
    <n v="4734.76"/>
    <n v="0"/>
    <s v="4038256"/>
    <s v="74110495868"/>
    <n v="15782.4881"/>
    <n v="0"/>
    <n v="77659"/>
  </r>
  <r>
    <x v="4"/>
    <m/>
    <s v="Sygeplejeklinik Paltholm 13"/>
    <n v="14571"/>
    <s v="0"/>
    <s v="Sygeplejeklinik Paltholm 13"/>
    <x v="93"/>
    <x v="0"/>
    <x v="2"/>
    <n v="456.35"/>
    <n v="1"/>
    <s v="2014-11-12"/>
    <n v="0"/>
    <n v="0"/>
    <n v="4563.5"/>
    <n v="2"/>
    <x v="2"/>
    <x v="2523"/>
    <n v="182.54"/>
    <n v="0"/>
    <s v="530060"/>
    <s v="74112010823"/>
    <n v="456.35244"/>
    <n v="0"/>
    <n v="95279"/>
  </r>
  <r>
    <x v="4"/>
    <s v="1737"/>
    <s v="Musikskolen KV36"/>
    <n v="14495"/>
    <s v="0"/>
    <s v="Værestedet"/>
    <x v="56"/>
    <x v="0"/>
    <x v="1"/>
    <n v="1997.25"/>
    <n v="2"/>
    <s v="2014-04-06"/>
    <n v="0"/>
    <n v="878"/>
    <n v="2.2745129999999998"/>
    <n v="2"/>
    <x v="2"/>
    <x v="2524"/>
    <n v="599.17999999999995"/>
    <n v="0"/>
    <s v="283724-51099"/>
    <m/>
    <n v="1997.25"/>
    <n v="0"/>
    <n v="94940"/>
  </r>
  <r>
    <x v="4"/>
    <m/>
    <s v="Lyspunktet - Nygård 221A"/>
    <n v="5945"/>
    <m/>
    <s v="Lyspunktet - Nygård 221A"/>
    <x v="100"/>
    <x v="0"/>
    <x v="7"/>
    <n v="15928.36"/>
    <n v="12"/>
    <m/>
    <n v="0"/>
    <n v="506"/>
    <n v="31.472752"/>
    <n v="2"/>
    <x v="2"/>
    <x v="2525"/>
    <n v="4778.5"/>
    <n v="0"/>
    <s v="3103570"/>
    <m/>
    <n v="15928.3511"/>
    <n v="0"/>
    <n v="94151"/>
  </r>
  <r>
    <x v="4"/>
    <s v="03975-6"/>
    <s v="Familiehuset Ellegården Stavnsholtvej 168"/>
    <n v="5261"/>
    <m/>
    <s v="Familiehuset"/>
    <x v="57"/>
    <x v="0"/>
    <x v="2"/>
    <n v="6262.72"/>
    <n v="12"/>
    <s v="2005-07-01"/>
    <n v="0"/>
    <n v="309"/>
    <n v="20.261144999999999"/>
    <n v="2"/>
    <x v="2"/>
    <x v="2526"/>
    <n v="2505.09"/>
    <n v="0"/>
    <s v="BIMÅLER"/>
    <m/>
    <n v="6262.72"/>
    <n v="0"/>
    <n v="56734"/>
  </r>
  <r>
    <x v="4"/>
    <s v="03975-6"/>
    <s v="Familiehuset Ellegården Stavnsholtvej 168"/>
    <n v="5261"/>
    <m/>
    <s v="Familiehuset"/>
    <x v="57"/>
    <x v="0"/>
    <x v="3"/>
    <n v="7450.22"/>
    <n v="12"/>
    <s v="2005-07-01"/>
    <n v="0"/>
    <n v="309"/>
    <n v="24.102944000000001"/>
    <n v="2"/>
    <x v="2"/>
    <x v="2527"/>
    <n v="3494.15"/>
    <n v="0"/>
    <s v="BIMÅLER"/>
    <m/>
    <n v="7450.2169999999996"/>
    <n v="0"/>
    <n v="56734"/>
  </r>
  <r>
    <x v="4"/>
    <s v="03975-6"/>
    <s v="Familiehuset Ellegården Stavnsholtvej 168"/>
    <n v="5261"/>
    <m/>
    <s v="Familiehuset"/>
    <x v="57"/>
    <x v="0"/>
    <x v="4"/>
    <n v="8039.65"/>
    <n v="12"/>
    <s v="2005-07-01"/>
    <n v="0"/>
    <n v="309"/>
    <n v="26.009867"/>
    <n v="2"/>
    <x v="2"/>
    <x v="2528"/>
    <n v="3770.6"/>
    <n v="0"/>
    <s v="BIMÅLER"/>
    <m/>
    <n v="8039.6630999999998"/>
    <n v="0"/>
    <n v="56734"/>
  </r>
  <r>
    <x v="4"/>
    <s v="03975-6"/>
    <s v="Familiehuset Ellegården Stavnsholtvej 168"/>
    <n v="5261"/>
    <m/>
    <s v="Familiehuset"/>
    <x v="57"/>
    <x v="0"/>
    <x v="5"/>
    <n v="4633.5"/>
    <n v="12"/>
    <s v="2005-07-01"/>
    <n v="0"/>
    <n v="309"/>
    <n v="14.990294"/>
    <n v="2"/>
    <x v="2"/>
    <x v="2529"/>
    <n v="2173.12"/>
    <n v="0"/>
    <s v="BIMÅLER"/>
    <m/>
    <n v="4633.5"/>
    <n v="0"/>
    <n v="56734"/>
  </r>
  <r>
    <x v="4"/>
    <s v="03975-6"/>
    <s v="Familiehuset Ellegården Stavnsholtvej 168"/>
    <n v="5261"/>
    <m/>
    <s v="Familiehuset"/>
    <x v="57"/>
    <x v="0"/>
    <x v="6"/>
    <n v="6491.98"/>
    <n v="12"/>
    <s v="2005-07-01"/>
    <n v="0"/>
    <n v="309"/>
    <n v="21.002846000000002"/>
    <n v="2"/>
    <x v="2"/>
    <x v="2530"/>
    <n v="3044.75"/>
    <n v="0"/>
    <s v="BIMÅLER"/>
    <m/>
    <n v="6491.98"/>
    <n v="0"/>
    <n v="56734"/>
  </r>
  <r>
    <x v="4"/>
    <m/>
    <s v="Lysthuset, Lille Værløsevej 36A"/>
    <n v="10182"/>
    <m/>
    <s v="Lysthuset"/>
    <x v="97"/>
    <x v="0"/>
    <x v="7"/>
    <n v="5494.05"/>
    <n v="10"/>
    <s v="2013-12-31"/>
    <n v="0"/>
    <n v="152"/>
    <n v="15.082511"/>
    <n v="2"/>
    <x v="2"/>
    <x v="2531"/>
    <n v="688.23"/>
    <n v="0"/>
    <s v="4032419"/>
    <s v="74110495875"/>
    <n v="2294.0551999999998"/>
    <n v="0"/>
    <n v="77233"/>
  </r>
  <r>
    <x v="4"/>
    <s v="1737"/>
    <s v="Musikskolen KV36"/>
    <n v="14495"/>
    <s v="0"/>
    <s v="Værestedet"/>
    <x v="56"/>
    <x v="0"/>
    <x v="7"/>
    <n v="2772.75"/>
    <n v="3"/>
    <s v="2014-04-06"/>
    <n v="0"/>
    <n v="878"/>
    <n v="3.1576689999999998"/>
    <n v="2"/>
    <x v="2"/>
    <x v="2532"/>
    <n v="831.83"/>
    <n v="0"/>
    <s v="283724-51099"/>
    <m/>
    <n v="2772.75"/>
    <n v="0"/>
    <n v="94940"/>
  </r>
  <r>
    <x v="4"/>
    <m/>
    <s v="Familiehuset Villa Solhøj KV54"/>
    <n v="10318"/>
    <m/>
    <s v="Villa Solhøj"/>
    <x v="15"/>
    <x v="0"/>
    <x v="2"/>
    <n v="2415.71"/>
    <n v="12"/>
    <s v="2010-04-20"/>
    <n v="0"/>
    <n v="170"/>
    <n v="14.201703999999999"/>
    <n v="2"/>
    <x v="2"/>
    <x v="2533"/>
    <n v="966.29"/>
    <n v="0"/>
    <s v="1099133-38078"/>
    <s v="74110512749"/>
    <n v="2415.7240000000002"/>
    <n v="0"/>
    <n v="77792"/>
  </r>
  <r>
    <x v="4"/>
    <m/>
    <s v="Familiehuset Villa Solhøj KV54"/>
    <n v="10318"/>
    <m/>
    <s v="Villa Solhøj"/>
    <x v="15"/>
    <x v="0"/>
    <x v="3"/>
    <n v="2692.88"/>
    <n v="12"/>
    <s v="2010-04-20"/>
    <n v="0"/>
    <n v="170"/>
    <n v="15.831158"/>
    <n v="2"/>
    <x v="2"/>
    <x v="2534"/>
    <n v="1262.97"/>
    <n v="0"/>
    <s v="1099133-38078"/>
    <s v="74110512749"/>
    <n v="2692.8850000000002"/>
    <n v="0"/>
    <n v="77792"/>
  </r>
  <r>
    <x v="4"/>
    <m/>
    <s v="Familiehuset Villa Solhøj KV54"/>
    <n v="10318"/>
    <m/>
    <s v="Villa Solhøj"/>
    <x v="15"/>
    <x v="0"/>
    <x v="4"/>
    <n v="2472.4699999999998"/>
    <n v="9"/>
    <s v="2010-04-20"/>
    <n v="0"/>
    <n v="170"/>
    <n v="14.53539"/>
    <n v="2"/>
    <x v="2"/>
    <x v="2535"/>
    <n v="1159.5899999999999"/>
    <n v="0"/>
    <s v="1099133-38078"/>
    <s v="74110512749"/>
    <n v="2472.4736800000001"/>
    <n v="0"/>
    <n v="77792"/>
  </r>
  <r>
    <x v="4"/>
    <m/>
    <s v="Familiehuset Villa Solhøj KV54"/>
    <n v="10318"/>
    <m/>
    <s v="Villa Solhøj"/>
    <x v="15"/>
    <x v="0"/>
    <x v="5"/>
    <n v="2464.35"/>
    <n v="4"/>
    <s v="2010-04-20"/>
    <n v="0"/>
    <n v="170"/>
    <n v="14.487653999999999"/>
    <n v="2"/>
    <x v="2"/>
    <x v="2536"/>
    <n v="1155.77"/>
    <n v="0"/>
    <s v="1099133-38078"/>
    <s v="74110512749"/>
    <n v="2464.3424500000001"/>
    <n v="0"/>
    <n v="77792"/>
  </r>
  <r>
    <x v="4"/>
    <m/>
    <s v="Familiehuset Villa Solhøj KV54"/>
    <n v="10318"/>
    <m/>
    <s v="Villa Solhøj"/>
    <x v="15"/>
    <x v="0"/>
    <x v="6"/>
    <n v="2529.15"/>
    <n v="3"/>
    <s v="2010-04-20"/>
    <n v="0"/>
    <n v="170"/>
    <n v="14.868606"/>
    <n v="2"/>
    <x v="2"/>
    <x v="2537"/>
    <n v="1186.1400000000001"/>
    <n v="0"/>
    <s v="1099133-38078"/>
    <s v="74110512749"/>
    <n v="2529.1252899999999"/>
    <n v="0"/>
    <n v="77792"/>
  </r>
  <r>
    <x v="4"/>
    <s v="1737"/>
    <s v="Musikskolen KV36"/>
    <n v="14495"/>
    <s v="0"/>
    <s v="Værestedet"/>
    <x v="56"/>
    <x v="0"/>
    <x v="7"/>
    <n v="660"/>
    <n v="3"/>
    <s v="2014-05-05"/>
    <n v="0"/>
    <n v="878"/>
    <n v="0.75162200000000001"/>
    <n v="2"/>
    <x v="2"/>
    <x v="2538"/>
    <n v="198"/>
    <n v="0"/>
    <s v="3101465"/>
    <m/>
    <n v="660"/>
    <n v="0"/>
    <n v="96076"/>
  </r>
  <r>
    <x v="4"/>
    <m/>
    <s v="Ryetvej 15"/>
    <n v="10270"/>
    <m/>
    <s v="Ryetvej 15"/>
    <x v="98"/>
    <x v="0"/>
    <x v="7"/>
    <n v="1539.18"/>
    <n v="12"/>
    <s v="2012-01-26"/>
    <n v="0"/>
    <n v="96"/>
    <n v="16.016441"/>
    <n v="2"/>
    <x v="2"/>
    <x v="2539"/>
    <n v="461.73"/>
    <n v="0"/>
    <s v="4022873"/>
    <s v="74112521800"/>
    <n v="1539.1780000000001"/>
    <n v="0"/>
    <n v="77650"/>
  </r>
  <r>
    <x v="4"/>
    <m/>
    <s v="Hareskovhvile, BM 118"/>
    <n v="10273"/>
    <m/>
    <s v="Hareskovhvile"/>
    <x v="96"/>
    <x v="0"/>
    <x v="2"/>
    <n v="13766.87"/>
    <n v="12"/>
    <s v="2011-12-31"/>
    <n v="0"/>
    <n v="400"/>
    <n v="34.408571999999999"/>
    <n v="2"/>
    <x v="2"/>
    <x v="2540"/>
    <n v="5506.74"/>
    <n v="0"/>
    <s v="4038256"/>
    <s v="74110495868"/>
    <n v="13766.870999999999"/>
    <n v="0"/>
    <n v="77659"/>
  </r>
  <r>
    <x v="4"/>
    <m/>
    <s v="Hareskovhvile, BM 118"/>
    <n v="10273"/>
    <m/>
    <s v="Hareskovhvile"/>
    <x v="96"/>
    <x v="0"/>
    <x v="3"/>
    <n v="17283.87"/>
    <n v="15"/>
    <s v="2011-12-31"/>
    <n v="0"/>
    <n v="400"/>
    <n v="43.198875000000001"/>
    <n v="2"/>
    <x v="2"/>
    <x v="2541"/>
    <n v="8106.16"/>
    <n v="0"/>
    <s v="4038256"/>
    <s v="74110495868"/>
    <n v="17283.87499"/>
    <n v="0"/>
    <n v="77659"/>
  </r>
  <r>
    <x v="4"/>
    <m/>
    <s v="Hareskovhvile, BM 118"/>
    <n v="10273"/>
    <m/>
    <s v="Hareskovhvile"/>
    <x v="96"/>
    <x v="0"/>
    <x v="4"/>
    <n v="18704.16"/>
    <n v="11"/>
    <s v="2011-12-31"/>
    <n v="0"/>
    <n v="400"/>
    <n v="46.748711999999998"/>
    <n v="2"/>
    <x v="2"/>
    <x v="2542"/>
    <n v="8772.23"/>
    <n v="0"/>
    <s v="4038256"/>
    <s v="74110495868"/>
    <n v="18704.153579999998"/>
    <n v="0"/>
    <n v="77659"/>
  </r>
  <r>
    <x v="4"/>
    <m/>
    <s v="Hareskovhvile, BM 118"/>
    <n v="10273"/>
    <m/>
    <s v="Hareskovhvile"/>
    <x v="96"/>
    <x v="0"/>
    <x v="5"/>
    <n v="17244.75"/>
    <n v="12"/>
    <s v="2011-12-31"/>
    <n v="0"/>
    <n v="400"/>
    <n v="43.101098999999998"/>
    <n v="2"/>
    <x v="2"/>
    <x v="2543"/>
    <n v="8087.8"/>
    <n v="0"/>
    <s v="4038256"/>
    <s v="74110495868"/>
    <n v="17244.742849999999"/>
    <n v="0"/>
    <n v="77659"/>
  </r>
  <r>
    <x v="4"/>
    <m/>
    <s v="Hareskovhvile, BM 118"/>
    <n v="10273"/>
    <m/>
    <s v="Hareskovhvile"/>
    <x v="96"/>
    <x v="0"/>
    <x v="6"/>
    <n v="16763.87"/>
    <n v="5"/>
    <s v="2011-12-31"/>
    <n v="0"/>
    <n v="400"/>
    <n v="41.8992"/>
    <n v="2"/>
    <x v="2"/>
    <x v="2544"/>
    <n v="7862.26"/>
    <n v="0"/>
    <s v="4038256"/>
    <s v="74110495868"/>
    <n v="16763.86764"/>
    <n v="0"/>
    <n v="77659"/>
  </r>
  <r>
    <x v="4"/>
    <s v="00767-6"/>
    <s v="Sundhedshuset Gammelgårdsvej 88"/>
    <n v="5270"/>
    <m/>
    <s v="Milcon"/>
    <x v="99"/>
    <x v="0"/>
    <x v="7"/>
    <n v="66480.53"/>
    <n v="12"/>
    <m/>
    <n v="0"/>
    <n v="2625"/>
    <n v="25.324950999999999"/>
    <n v="2"/>
    <x v="2"/>
    <x v="2545"/>
    <n v="26592.2"/>
    <n v="0"/>
    <s v="23741"/>
    <m/>
    <n v="66480.528000000006"/>
    <n v="0"/>
    <n v="56822"/>
  </r>
  <r>
    <x v="4"/>
    <m/>
    <s v="Sygeplejeklinik Paltholm 13"/>
    <n v="14571"/>
    <s v="0"/>
    <s v="Sygeplejeklinik Paltholm 13"/>
    <x v="93"/>
    <x v="0"/>
    <x v="7"/>
    <n v="11276"/>
    <n v="2"/>
    <s v="2014-11-12"/>
    <n v="0"/>
    <n v="0"/>
    <n v="94388.9"/>
    <n v="2"/>
    <x v="2"/>
    <x v="2546"/>
    <n v="2831.65"/>
    <n v="0"/>
    <s v="530060"/>
    <s v="74112010823"/>
    <n v="9438.8874699999997"/>
    <n v="0"/>
    <n v="95279"/>
  </r>
  <r>
    <x v="4"/>
    <m/>
    <s v="Tandklinikken Nygaard, Nygård 209"/>
    <n v="5946"/>
    <m/>
    <s v="Tandklinikken Nygaard"/>
    <x v="101"/>
    <x v="0"/>
    <x v="7"/>
    <n v="18186.66"/>
    <n v="12"/>
    <s v="2011-11-30"/>
    <n v="0"/>
    <n v="393"/>
    <n v="46.264716"/>
    <n v="2"/>
    <x v="2"/>
    <x v="2547"/>
    <n v="7274.67"/>
    <n v="0"/>
    <s v="4162802"/>
    <s v="74111713671"/>
    <n v="18186.680400000001"/>
    <n v="0"/>
    <n v="59956"/>
  </r>
  <r>
    <x v="4"/>
    <m/>
    <s v="Lyspunktet - Nygård 221A"/>
    <n v="5945"/>
    <m/>
    <s v="Lyspunktet - Nygård 221A"/>
    <x v="100"/>
    <x v="0"/>
    <x v="2"/>
    <n v="11120.27"/>
    <n v="2"/>
    <s v="2013-02-28"/>
    <n v="0"/>
    <n v="506"/>
    <n v="21.972474999999999"/>
    <n v="2"/>
    <x v="2"/>
    <x v="2548"/>
    <n v="4448.1000000000004"/>
    <n v="0"/>
    <s v="3103570 X60 Afmeldt"/>
    <s v="74111704464"/>
    <n v="11120.267540000001"/>
    <n v="0"/>
    <n v="86355"/>
  </r>
  <r>
    <x v="4"/>
    <m/>
    <s v="Lyspunktet - Nygård 221A"/>
    <n v="5945"/>
    <m/>
    <s v="Lyspunktet - Nygård 221A"/>
    <x v="100"/>
    <x v="0"/>
    <x v="3"/>
    <n v="13130.54"/>
    <n v="8"/>
    <s v="2013-02-28"/>
    <n v="0"/>
    <n v="506"/>
    <n v="25.944555999999999"/>
    <n v="2"/>
    <x v="2"/>
    <x v="2549"/>
    <n v="6158.22"/>
    <n v="0"/>
    <s v="3103570 X60 Afmeldt"/>
    <s v="74111704464"/>
    <n v="13130.554700000001"/>
    <n v="0"/>
    <n v="86355"/>
  </r>
  <r>
    <x v="4"/>
    <m/>
    <s v="Lyspunktet - Nygård 221A"/>
    <n v="5945"/>
    <m/>
    <s v="Lyspunktet - Nygård 221A"/>
    <x v="100"/>
    <x v="0"/>
    <x v="4"/>
    <n v="11831.76"/>
    <n v="10"/>
    <s v="2010-09-19"/>
    <n v="0"/>
    <n v="506"/>
    <n v="23.378304"/>
    <n v="2"/>
    <x v="2"/>
    <x v="2550"/>
    <n v="5549.11"/>
    <n v="0"/>
    <s v="3001543"/>
    <m/>
    <n v="11831.764709999999"/>
    <n v="0"/>
    <n v="76512"/>
  </r>
  <r>
    <x v="4"/>
    <m/>
    <s v="Lyspunktet - Nygård 221A"/>
    <n v="5945"/>
    <m/>
    <s v="Lyspunktet - Nygård 221A"/>
    <x v="100"/>
    <x v="0"/>
    <x v="4"/>
    <n v="5273.79"/>
    <n v="3"/>
    <s v="2013-02-28"/>
    <n v="0"/>
    <n v="506"/>
    <n v="10.420450000000001"/>
    <n v="2"/>
    <x v="2"/>
    <x v="2551"/>
    <n v="2473.41"/>
    <n v="0"/>
    <s v="3103570 X60 Afmeldt"/>
    <s v="74111704464"/>
    <n v="5273.7931099999996"/>
    <n v="0"/>
    <n v="86355"/>
  </r>
  <r>
    <x v="4"/>
    <m/>
    <s v="Lyspunktet - Nygård 221A"/>
    <n v="5945"/>
    <m/>
    <s v="Lyspunktet - Nygård 221A"/>
    <x v="100"/>
    <x v="0"/>
    <x v="5"/>
    <n v="17816.810000000001"/>
    <n v="7"/>
    <s v="2010-09-19"/>
    <n v="0"/>
    <n v="506"/>
    <n v="35.204129000000002"/>
    <n v="2"/>
    <x v="2"/>
    <x v="2552"/>
    <n v="8356.07"/>
    <n v="0"/>
    <s v="3001543"/>
    <m/>
    <n v="17816.80672"/>
    <n v="0"/>
    <n v="76512"/>
  </r>
  <r>
    <x v="4"/>
    <m/>
    <s v="Lyspunktet - Nygård 221A"/>
    <n v="5945"/>
    <m/>
    <s v="Lyspunktet - Nygård 221A"/>
    <x v="100"/>
    <x v="0"/>
    <x v="6"/>
    <n v="899.17"/>
    <n v="2"/>
    <s v="2008-01-14"/>
    <n v="0"/>
    <n v="506"/>
    <n v="1.776664"/>
    <n v="2"/>
    <x v="2"/>
    <x v="2553"/>
    <n v="421.71"/>
    <n v="0"/>
    <s v="543933"/>
    <m/>
    <n v="899.16666999999995"/>
    <n v="0"/>
    <n v="59953"/>
  </r>
  <r>
    <x v="4"/>
    <m/>
    <s v="Lyspunktet - Nygård 221A"/>
    <n v="5945"/>
    <m/>
    <s v="Lyspunktet - Nygård 221A"/>
    <x v="100"/>
    <x v="0"/>
    <x v="6"/>
    <n v="16851.45"/>
    <n v="8"/>
    <s v="2010-09-19"/>
    <n v="0"/>
    <n v="506"/>
    <n v="33.296680000000002"/>
    <n v="2"/>
    <x v="2"/>
    <x v="2554"/>
    <n v="7903.32"/>
    <n v="0"/>
    <s v="3001543"/>
    <m/>
    <n v="16851.42857"/>
    <n v="0"/>
    <n v="76512"/>
  </r>
  <r>
    <x v="4"/>
    <s v="1737"/>
    <s v="Musikskolen KV36"/>
    <n v="14495"/>
    <s v="0"/>
    <s v="Værestedet"/>
    <x v="56"/>
    <x v="0"/>
    <x v="7"/>
    <n v="16465.150000000001"/>
    <n v="8"/>
    <m/>
    <n v="0"/>
    <n v="878"/>
    <n v="18.750882000000001"/>
    <n v="2"/>
    <x v="2"/>
    <x v="2555"/>
    <n v="4939.54"/>
    <n v="0"/>
    <s v="3101465"/>
    <m/>
    <n v="16465.13"/>
    <n v="0"/>
    <n v="96151"/>
  </r>
  <r>
    <x v="4"/>
    <s v="03975-6"/>
    <s v="Familiehuset Ellegården Stavnsholtvej 168"/>
    <n v="5261"/>
    <m/>
    <s v="Familiehuset"/>
    <x v="57"/>
    <x v="0"/>
    <x v="0"/>
    <n v="5408"/>
    <n v="5"/>
    <s v="2005-07-01"/>
    <n v="0"/>
    <n v="309"/>
    <n v="7.5621150000000004"/>
    <n v="2"/>
    <x v="2"/>
    <x v="2556"/>
    <n v="934.97"/>
    <n v="0"/>
    <s v="BIMÅLER"/>
    <m/>
    <n v="2337.4499999999998"/>
    <n v="0"/>
    <n v="56734"/>
  </r>
  <r>
    <x v="4"/>
    <m/>
    <s v="Lysthuset, Lille Værløsevej 36A"/>
    <n v="10182"/>
    <m/>
    <s v="Lysthuset"/>
    <x v="97"/>
    <x v="0"/>
    <x v="2"/>
    <n v="6183.44"/>
    <n v="4"/>
    <s v="2013-12-31"/>
    <n v="0"/>
    <n v="152"/>
    <n v="40.653779999999998"/>
    <n v="2"/>
    <x v="2"/>
    <x v="2557"/>
    <n v="2473.38"/>
    <n v="0"/>
    <s v="4032419"/>
    <s v="74110495875"/>
    <n v="6183.45"/>
    <n v="0"/>
    <n v="77233"/>
  </r>
  <r>
    <x v="4"/>
    <m/>
    <s v="Lysthuset, Lille Værløsevej 36A"/>
    <n v="10182"/>
    <m/>
    <s v="Lysthuset"/>
    <x v="97"/>
    <x v="0"/>
    <x v="3"/>
    <n v="4949.09"/>
    <n v="3"/>
    <s v="2013-12-31"/>
    <n v="0"/>
    <n v="152"/>
    <n v="32.538395000000001"/>
    <n v="2"/>
    <x v="2"/>
    <x v="2558"/>
    <n v="2321.12"/>
    <n v="0"/>
    <s v="4032419"/>
    <s v="74110495875"/>
    <n v="4949.0833400000001"/>
    <n v="0"/>
    <n v="77233"/>
  </r>
  <r>
    <x v="4"/>
    <m/>
    <s v="Lysthuset, Lille Værløsevej 36A"/>
    <n v="10182"/>
    <m/>
    <s v="Lysthuset"/>
    <x v="97"/>
    <x v="0"/>
    <x v="4"/>
    <n v="4452.71"/>
    <n v="3"/>
    <s v="2013-12-31"/>
    <n v="0"/>
    <n v="152"/>
    <n v="29.274884"/>
    <n v="2"/>
    <x v="2"/>
    <x v="2559"/>
    <n v="2088.33"/>
    <n v="0"/>
    <s v="4032419"/>
    <s v="74110495875"/>
    <n v="4452.7062100000003"/>
    <n v="0"/>
    <n v="77233"/>
  </r>
  <r>
    <x v="4"/>
    <m/>
    <s v="Lysthuset, Lille Værløsevej 36A"/>
    <n v="10182"/>
    <m/>
    <s v="Lysthuset"/>
    <x v="97"/>
    <x v="0"/>
    <x v="5"/>
    <n v="5549.41"/>
    <n v="3"/>
    <s v="2013-12-31"/>
    <n v="0"/>
    <n v="152"/>
    <n v="36.485272000000002"/>
    <n v="2"/>
    <x v="2"/>
    <x v="2560"/>
    <n v="2602.65"/>
    <n v="0"/>
    <s v="4032419"/>
    <s v="74110495875"/>
    <n v="5549.39797"/>
    <n v="0"/>
    <n v="77233"/>
  </r>
  <r>
    <x v="4"/>
    <m/>
    <s v="Lysthuset, Lille Værløsevej 36A"/>
    <n v="10182"/>
    <m/>
    <s v="Lysthuset"/>
    <x v="97"/>
    <x v="0"/>
    <x v="6"/>
    <n v="6334.28"/>
    <n v="7"/>
    <s v="2013-12-31"/>
    <n v="0"/>
    <n v="152"/>
    <n v="41.645496000000001"/>
    <n v="2"/>
    <x v="2"/>
    <x v="2561"/>
    <n v="2970.76"/>
    <n v="0"/>
    <s v="4032419"/>
    <s v="74110495875"/>
    <n v="6334.2767899999999"/>
    <n v="0"/>
    <n v="77233"/>
  </r>
  <r>
    <x v="4"/>
    <s v="1737"/>
    <s v="Musikskolen KV36"/>
    <n v="14495"/>
    <s v="0"/>
    <s v="Værestedet"/>
    <x v="56"/>
    <x v="0"/>
    <x v="0"/>
    <n v="105843"/>
    <n v="5"/>
    <s v="2014-04-30"/>
    <n v="0"/>
    <n v="878"/>
    <n v="67.477609999999999"/>
    <n v="1"/>
    <x v="1"/>
    <x v="2562"/>
    <n v="4222.3900000000003"/>
    <n v="0"/>
    <s v="69271173"/>
    <m/>
    <n v="59252.084999999999"/>
    <n v="0"/>
    <n v="95930"/>
  </r>
  <r>
    <x v="4"/>
    <m/>
    <s v="Familiehuset Villa Solhøj KV54"/>
    <n v="10318"/>
    <m/>
    <s v="Villa Solhøj"/>
    <x v="15"/>
    <x v="0"/>
    <x v="0"/>
    <n v="2759"/>
    <n v="5"/>
    <s v="2010-04-20"/>
    <n v="0"/>
    <n v="170"/>
    <n v="6.6410929999999997"/>
    <n v="2"/>
    <x v="2"/>
    <x v="2563"/>
    <n v="338.89"/>
    <n v="0"/>
    <s v="1099133-38078"/>
    <s v="74110512749"/>
    <n v="1129.652"/>
    <n v="0"/>
    <n v="77792"/>
  </r>
  <r>
    <x v="4"/>
    <m/>
    <s v="Hareskovhvile, BM 118"/>
    <n v="10273"/>
    <m/>
    <s v="Hareskovhvile"/>
    <x v="96"/>
    <x v="0"/>
    <x v="0"/>
    <n v="12350"/>
    <n v="5"/>
    <s v="2011-12-31"/>
    <n v="0"/>
    <n v="400"/>
    <n v="13.137065"/>
    <n v="2"/>
    <x v="2"/>
    <x v="2564"/>
    <n v="1576.85"/>
    <n v="0"/>
    <s v="4038256"/>
    <s v="74110495868"/>
    <n v="5256.1437999999998"/>
    <n v="0"/>
    <n v="77659"/>
  </r>
  <r>
    <x v="4"/>
    <m/>
    <s v="Lyspunktet - Nygård 221A"/>
    <n v="5945"/>
    <m/>
    <s v="Lyspunktet - Nygård 221A"/>
    <x v="100"/>
    <x v="0"/>
    <x v="0"/>
    <n v="15193"/>
    <n v="5"/>
    <m/>
    <n v="0"/>
    <n v="506"/>
    <n v="12.457261000000001"/>
    <n v="2"/>
    <x v="2"/>
    <x v="2565"/>
    <n v="1891.38"/>
    <n v="0"/>
    <s v="3103570"/>
    <m/>
    <n v="6304.6081000000004"/>
    <n v="0"/>
    <n v="94151"/>
  </r>
  <r>
    <x v="4"/>
    <m/>
    <s v="Ryetvej 15"/>
    <n v="10270"/>
    <m/>
    <s v="Ryetvej 15"/>
    <x v="98"/>
    <x v="0"/>
    <x v="2"/>
    <n v="1682.01"/>
    <n v="15"/>
    <s v="2012-01-26"/>
    <n v="0"/>
    <n v="96"/>
    <n v="17.502704999999999"/>
    <n v="2"/>
    <x v="2"/>
    <x v="2566"/>
    <n v="672.82"/>
    <n v="0"/>
    <s v="4022873"/>
    <s v="74112521800"/>
    <n v="1682.00443"/>
    <n v="0"/>
    <n v="77650"/>
  </r>
  <r>
    <x v="4"/>
    <m/>
    <s v="Ryetvej 15"/>
    <n v="10270"/>
    <m/>
    <s v="Ryetvej 15"/>
    <x v="98"/>
    <x v="0"/>
    <x v="3"/>
    <n v="647.4"/>
    <n v="5"/>
    <s v="2012-01-26"/>
    <n v="0"/>
    <n v="96"/>
    <n v="6.7367319999999999"/>
    <n v="2"/>
    <x v="2"/>
    <x v="2567"/>
    <n v="303.63"/>
    <n v="0"/>
    <s v="4022873"/>
    <s v="74112521800"/>
    <n v="647.42854999999997"/>
    <n v="0"/>
    <n v="77650"/>
  </r>
  <r>
    <x v="4"/>
    <m/>
    <s v="Ryetvej 15"/>
    <n v="10270"/>
    <m/>
    <s v="Ryetvej 15"/>
    <x v="98"/>
    <x v="0"/>
    <x v="4"/>
    <n v="278.43"/>
    <n v="2"/>
    <s v="2012-01-26"/>
    <n v="0"/>
    <n v="96"/>
    <n v="2.897294"/>
    <n v="2"/>
    <x v="2"/>
    <x v="2568"/>
    <n v="130.57"/>
    <n v="0"/>
    <s v="4022873"/>
    <s v="74112521800"/>
    <n v="278.40908000000002"/>
    <n v="0"/>
    <n v="77650"/>
  </r>
  <r>
    <x v="4"/>
    <m/>
    <s v="Ryetvej 15"/>
    <n v="10270"/>
    <m/>
    <s v="Ryetvej 15"/>
    <x v="98"/>
    <x v="0"/>
    <x v="5"/>
    <n v="1330.54"/>
    <n v="5"/>
    <s v="2012-01-26"/>
    <n v="0"/>
    <n v="96"/>
    <n v="13.845369"/>
    <n v="2"/>
    <x v="2"/>
    <x v="2569"/>
    <n v="624"/>
    <n v="0"/>
    <s v="4022873"/>
    <s v="74112521800"/>
    <n v="1330.4999800000001"/>
    <n v="0"/>
    <n v="77650"/>
  </r>
  <r>
    <x v="4"/>
    <m/>
    <s v="Ryetvej 15"/>
    <n v="10270"/>
    <m/>
    <s v="Ryetvej 15"/>
    <x v="98"/>
    <x v="0"/>
    <x v="6"/>
    <n v="2421.84"/>
    <n v="6"/>
    <s v="2012-01-26"/>
    <n v="0"/>
    <n v="96"/>
    <n v="25.201248"/>
    <n v="2"/>
    <x v="2"/>
    <x v="2570"/>
    <n v="1135.8399999999999"/>
    <n v="0"/>
    <s v="4022873"/>
    <s v="74112521800"/>
    <n v="2421.8271599999998"/>
    <n v="0"/>
    <n v="77650"/>
  </r>
  <r>
    <x v="4"/>
    <m/>
    <s v="Lysthuset, Lille Værløsevej 36A"/>
    <n v="10182"/>
    <m/>
    <s v="Lysthuset"/>
    <x v="97"/>
    <x v="0"/>
    <x v="0"/>
    <n v="3622"/>
    <n v="5"/>
    <s v="2013-12-31"/>
    <n v="0"/>
    <n v="152"/>
    <n v="9.8303740000000008"/>
    <n v="2"/>
    <x v="2"/>
    <x v="2571"/>
    <n v="448.55"/>
    <n v="0"/>
    <s v="4032419"/>
    <s v="74110495875"/>
    <n v="1495.2"/>
    <n v="0"/>
    <n v="77233"/>
  </r>
  <r>
    <x v="4"/>
    <s v="1737"/>
    <s v="Musikskolen KV36"/>
    <n v="14495"/>
    <s v="0"/>
    <s v="Værestedet"/>
    <x v="56"/>
    <x v="0"/>
    <x v="0"/>
    <n v="34314"/>
    <n v="5"/>
    <m/>
    <n v="0"/>
    <n v="878"/>
    <n v="14.723846"/>
    <n v="2"/>
    <x v="2"/>
    <x v="2572"/>
    <n v="3878.72"/>
    <n v="0"/>
    <s v="3101465"/>
    <m/>
    <n v="12929.025"/>
    <n v="0"/>
    <n v="96151"/>
  </r>
  <r>
    <x v="4"/>
    <s v="00767-6"/>
    <s v="Sundhedshuset Gammelgårdsvej 88"/>
    <n v="5270"/>
    <m/>
    <s v="Milcon"/>
    <x v="99"/>
    <x v="0"/>
    <x v="2"/>
    <n v="83311.740000000005"/>
    <n v="12"/>
    <m/>
    <n v="0"/>
    <n v="2625"/>
    <n v="31.736595999999999"/>
    <n v="2"/>
    <x v="2"/>
    <x v="2573"/>
    <n v="33324.69"/>
    <n v="0"/>
    <s v="23741"/>
    <m/>
    <n v="83311.740000000005"/>
    <n v="0"/>
    <n v="56822"/>
  </r>
  <r>
    <x v="4"/>
    <s v="00767-6"/>
    <s v="Sundhedshuset Gammelgårdsvej 88"/>
    <n v="5270"/>
    <m/>
    <s v="Milcon"/>
    <x v="99"/>
    <x v="0"/>
    <x v="3"/>
    <n v="88346.52"/>
    <n v="12"/>
    <m/>
    <n v="0"/>
    <n v="2625"/>
    <n v="33.654535000000003"/>
    <n v="2"/>
    <x v="2"/>
    <x v="2574"/>
    <n v="41434.519999999997"/>
    <n v="0"/>
    <s v="23741"/>
    <m/>
    <n v="88346.52"/>
    <n v="0"/>
    <n v="56822"/>
  </r>
  <r>
    <x v="4"/>
    <s v="00767-6"/>
    <s v="Sundhedshuset Gammelgårdsvej 88"/>
    <n v="5270"/>
    <m/>
    <s v="Milcon"/>
    <x v="99"/>
    <x v="0"/>
    <x v="4"/>
    <n v="89047.83"/>
    <n v="12"/>
    <m/>
    <n v="0"/>
    <n v="2625"/>
    <n v="33.921689999999998"/>
    <n v="2"/>
    <x v="2"/>
    <x v="2575"/>
    <n v="41763.449999999997"/>
    <n v="0"/>
    <s v="23741"/>
    <m/>
    <n v="89047.831999999995"/>
    <n v="0"/>
    <n v="56822"/>
  </r>
  <r>
    <x v="4"/>
    <s v="00767-6"/>
    <s v="Sundhedshuset Gammelgårdsvej 88"/>
    <n v="5270"/>
    <m/>
    <s v="Milcon"/>
    <x v="99"/>
    <x v="0"/>
    <x v="5"/>
    <n v="96922.37"/>
    <n v="12"/>
    <m/>
    <n v="0"/>
    <n v="2625"/>
    <n v="36.921401000000003"/>
    <n v="2"/>
    <x v="2"/>
    <x v="2576"/>
    <n v="45456.6"/>
    <n v="0"/>
    <s v="23741"/>
    <m/>
    <n v="96922.366999999998"/>
    <n v="0"/>
    <n v="56822"/>
  </r>
  <r>
    <x v="4"/>
    <s v="00767-6"/>
    <s v="Sundhedshuset Gammelgårdsvej 88"/>
    <n v="5270"/>
    <m/>
    <s v="Milcon"/>
    <x v="99"/>
    <x v="0"/>
    <x v="6"/>
    <n v="87653.03"/>
    <n v="12"/>
    <m/>
    <n v="0"/>
    <n v="2625"/>
    <n v="33.390357999999999"/>
    <n v="2"/>
    <x v="2"/>
    <x v="2577"/>
    <n v="41109.279999999999"/>
    <n v="0"/>
    <s v="23741"/>
    <m/>
    <n v="87653.02"/>
    <n v="0"/>
    <n v="56822"/>
  </r>
  <r>
    <x v="4"/>
    <m/>
    <s v="Ryetvej 15"/>
    <n v="10270"/>
    <m/>
    <s v="Ryetvej 15"/>
    <x v="98"/>
    <x v="0"/>
    <x v="0"/>
    <n v="549"/>
    <n v="5"/>
    <s v="2012-01-26"/>
    <n v="0"/>
    <n v="96"/>
    <n v="3.5200830000000001"/>
    <n v="2"/>
    <x v="2"/>
    <x v="2578"/>
    <n v="101.49"/>
    <n v="0"/>
    <s v="4022873"/>
    <s v="74112521800"/>
    <n v="338.28399000000002"/>
    <n v="0"/>
    <n v="77650"/>
  </r>
  <r>
    <x v="4"/>
    <s v="00767-6"/>
    <s v="Sundhedshuset Gammelgårdsvej 88"/>
    <n v="5270"/>
    <m/>
    <s v="Milcon"/>
    <x v="99"/>
    <x v="0"/>
    <x v="0"/>
    <n v="56374"/>
    <n v="5"/>
    <m/>
    <n v="0"/>
    <n v="2625"/>
    <n v="9.4333089999999995"/>
    <n v="2"/>
    <x v="2"/>
    <x v="2579"/>
    <n v="9905.35"/>
    <n v="0"/>
    <s v="23741"/>
    <m/>
    <n v="24763.38"/>
    <n v="0"/>
    <n v="56822"/>
  </r>
  <r>
    <x v="4"/>
    <m/>
    <s v="Tandklinikken Nygaard, Nygård 209"/>
    <n v="5946"/>
    <m/>
    <s v="Tandklinikken Nygaard"/>
    <x v="101"/>
    <x v="0"/>
    <x v="2"/>
    <n v="13943.42"/>
    <n v="12"/>
    <s v="2011-11-30"/>
    <n v="0"/>
    <n v="393"/>
    <n v="35.470413999999998"/>
    <n v="2"/>
    <x v="2"/>
    <x v="2580"/>
    <n v="5577.38"/>
    <n v="0"/>
    <s v="4162802"/>
    <s v="74111713671"/>
    <n v="13943.423000000001"/>
    <n v="0"/>
    <n v="59956"/>
  </r>
  <r>
    <x v="4"/>
    <m/>
    <s v="Tandklinikken Nygaard, Nygård 209"/>
    <n v="5946"/>
    <m/>
    <s v="Tandklinikken Nygaard"/>
    <x v="101"/>
    <x v="0"/>
    <x v="3"/>
    <n v="15651.75"/>
    <n v="13"/>
    <s v="2011-11-30"/>
    <n v="0"/>
    <n v="393"/>
    <n v="39.816203999999999"/>
    <n v="2"/>
    <x v="2"/>
    <x v="2581"/>
    <n v="7340.67"/>
    <n v="0"/>
    <s v="4162802"/>
    <s v="74111713671"/>
    <n v="15651.74014"/>
    <n v="0"/>
    <n v="59956"/>
  </r>
  <r>
    <x v="4"/>
    <m/>
    <s v="Tandklinikken Nygaard, Nygård 209"/>
    <n v="5946"/>
    <m/>
    <s v="Tandklinikken Nygaard"/>
    <x v="101"/>
    <x v="0"/>
    <x v="4"/>
    <n v="3673.65"/>
    <n v="8"/>
    <s v="2011-11-30"/>
    <n v="0"/>
    <n v="393"/>
    <n v="9.3453309999999998"/>
    <n v="2"/>
    <x v="2"/>
    <x v="2582"/>
    <n v="1722.93"/>
    <n v="0"/>
    <s v="4162802"/>
    <s v="74111713671"/>
    <n v="3673.64284"/>
    <n v="0"/>
    <n v="59956"/>
  </r>
  <r>
    <x v="4"/>
    <m/>
    <s v="Tandklinikken Nygaard, Nygård 209"/>
    <n v="5946"/>
    <m/>
    <s v="Tandklinikken Nygaard"/>
    <x v="101"/>
    <x v="0"/>
    <x v="5"/>
    <n v="3440.4"/>
    <n v="2"/>
    <s v="2011-11-30"/>
    <n v="0"/>
    <n v="393"/>
    <n v="8.7519709999999993"/>
    <n v="2"/>
    <x v="2"/>
    <x v="2583"/>
    <n v="1613.54"/>
    <n v="0"/>
    <s v="4162802"/>
    <s v="74111713671"/>
    <n v="3440.3986599999998"/>
    <n v="0"/>
    <n v="59956"/>
  </r>
  <r>
    <x v="4"/>
    <m/>
    <s v="Tandklinikken Nygaard, Nygård 209"/>
    <n v="5946"/>
    <m/>
    <s v="Tandklinikken Nygaard"/>
    <x v="101"/>
    <x v="0"/>
    <x v="6"/>
    <n v="8039.72"/>
    <n v="9"/>
    <s v="2011-11-30"/>
    <n v="0"/>
    <n v="393"/>
    <n v="20.452097999999999"/>
    <n v="2"/>
    <x v="2"/>
    <x v="2584"/>
    <n v="3770.63"/>
    <n v="0"/>
    <s v="4162802"/>
    <s v="74111713671"/>
    <n v="8039.7218400000002"/>
    <n v="0"/>
    <n v="59956"/>
  </r>
  <r>
    <x v="4"/>
    <m/>
    <s v="Tandklinikken Nygaard, Nygård 209"/>
    <n v="5946"/>
    <m/>
    <s v="Tandklinikken Nygaard"/>
    <x v="101"/>
    <x v="0"/>
    <x v="0"/>
    <n v="16988"/>
    <n v="5"/>
    <s v="2011-11-30"/>
    <n v="0"/>
    <n v="393"/>
    <n v="19.193538"/>
    <n v="2"/>
    <x v="2"/>
    <x v="2585"/>
    <n v="3017.99"/>
    <n v="0"/>
    <s v="4162802"/>
    <s v="74111713671"/>
    <n v="7544.9719999999998"/>
    <n v="0"/>
    <n v="59956"/>
  </r>
  <r>
    <x v="14"/>
    <s v="6388"/>
    <s v="Lillevang plejecenter"/>
    <n v="13266"/>
    <s v="0"/>
    <s v="Lillevang"/>
    <x v="102"/>
    <x v="0"/>
    <x v="0"/>
    <n v="1228"/>
    <n v="5"/>
    <s v="2012-01-01"/>
    <n v="0"/>
    <n v="1357"/>
    <n v="0.32150899999999999"/>
    <n v="3"/>
    <x v="0"/>
    <x v="2586"/>
    <n v="349.07"/>
    <n v="0"/>
    <s v="Bimåler til fællesbygn"/>
    <m/>
    <n v="436.32812999999999"/>
    <n v="0"/>
    <n v="89187"/>
  </r>
  <r>
    <x v="14"/>
    <s v="6388"/>
    <s v="Lillevang plejecenter"/>
    <n v="13266"/>
    <s v="0"/>
    <s v="Lillevang"/>
    <x v="102"/>
    <x v="0"/>
    <x v="1"/>
    <n v="1170.3699999999999"/>
    <n v="12"/>
    <s v="2012-01-01"/>
    <n v="0"/>
    <n v="1357"/>
    <n v="0.86240499999999998"/>
    <n v="3"/>
    <x v="0"/>
    <x v="2587"/>
    <n v="936.3"/>
    <n v="0"/>
    <s v="Bimåler til fællesbygn"/>
    <m/>
    <n v="1170.37967"/>
    <n v="0"/>
    <n v="89187"/>
  </r>
  <r>
    <x v="14"/>
    <s v="6388"/>
    <s v="Lillevang plejecenter"/>
    <n v="13266"/>
    <s v="0"/>
    <s v="Lillevang"/>
    <x v="102"/>
    <x v="0"/>
    <x v="2"/>
    <n v="972.37"/>
    <n v="13"/>
    <s v="2012-01-01"/>
    <n v="0"/>
    <n v="1357"/>
    <n v="0.71650499999999995"/>
    <n v="3"/>
    <x v="0"/>
    <x v="2588"/>
    <n v="777.87"/>
    <n v="0"/>
    <s v="Bimåler til fællesbygn"/>
    <m/>
    <n v="972.36532999999997"/>
    <n v="0"/>
    <n v="89187"/>
  </r>
  <r>
    <x v="14"/>
    <s v="6388"/>
    <s v="Lillevang plejecenter"/>
    <n v="13266"/>
    <s v="0"/>
    <s v="Lillevang"/>
    <x v="102"/>
    <x v="0"/>
    <x v="3"/>
    <n v="999.98"/>
    <n v="1"/>
    <s v="2012-01-01"/>
    <n v="0"/>
    <n v="1357"/>
    <n v="0.73685"/>
    <n v="3"/>
    <x v="0"/>
    <x v="2589"/>
    <n v="800.02"/>
    <n v="0"/>
    <s v="Bimåler til fællesbygn"/>
    <m/>
    <n v="1000.0000199999999"/>
    <n v="0"/>
    <n v="89187"/>
  </r>
  <r>
    <x v="14"/>
    <s v="6388"/>
    <s v="Lillevang plejecenter"/>
    <n v="13266"/>
    <s v="0"/>
    <s v="Lillevang"/>
    <x v="102"/>
    <x v="0"/>
    <x v="4"/>
    <n v="999.98"/>
    <n v="1"/>
    <s v="2012-01-01"/>
    <n v="0"/>
    <n v="1357"/>
    <n v="0.73685"/>
    <n v="3"/>
    <x v="0"/>
    <x v="2589"/>
    <n v="800.02"/>
    <n v="0"/>
    <s v="Bimåler til fællesbygn"/>
    <m/>
    <n v="1000.0000199999999"/>
    <n v="0"/>
    <n v="89187"/>
  </r>
  <r>
    <x v="14"/>
    <s v="6388"/>
    <s v="Lillevang plejecenter"/>
    <n v="13266"/>
    <s v="0"/>
    <s v="Lillevang"/>
    <x v="102"/>
    <x v="0"/>
    <x v="5"/>
    <n v="999.98"/>
    <n v="1"/>
    <s v="2012-01-01"/>
    <n v="0"/>
    <n v="1357"/>
    <n v="0.73685"/>
    <n v="3"/>
    <x v="0"/>
    <x v="2589"/>
    <n v="800.02"/>
    <n v="0"/>
    <s v="Bimåler til fællesbygn"/>
    <m/>
    <n v="1000.0000199999999"/>
    <n v="0"/>
    <n v="89187"/>
  </r>
  <r>
    <x v="14"/>
    <s v="6388"/>
    <s v="Lillevang plejecenter"/>
    <n v="13266"/>
    <s v="0"/>
    <s v="Lillevang"/>
    <x v="102"/>
    <x v="0"/>
    <x v="6"/>
    <n v="1000.01"/>
    <n v="1"/>
    <s v="2012-01-01"/>
    <n v="0"/>
    <n v="1357"/>
    <n v="0.73687199999999997"/>
    <n v="3"/>
    <x v="0"/>
    <x v="2590"/>
    <n v="799.99"/>
    <n v="0"/>
    <s v="Bimåler til fællesbygn"/>
    <m/>
    <n v="999.99995999999999"/>
    <n v="0"/>
    <n v="89187"/>
  </r>
  <r>
    <x v="3"/>
    <m/>
    <s v="Dalgården, Dalsø 107-109"/>
    <n v="10018"/>
    <m/>
    <s v="Dalgården"/>
    <x v="24"/>
    <x v="0"/>
    <x v="7"/>
    <n v="94388.98"/>
    <n v="11"/>
    <s v="2014-02-28"/>
    <n v="0"/>
    <n v="838"/>
    <n v="112.622574"/>
    <n v="1"/>
    <x v="4"/>
    <x v="2591"/>
    <n v="23905.17"/>
    <n v="0"/>
    <m/>
    <s v="98003447822"/>
    <n v="8739.7200599999996"/>
    <n v="0"/>
    <n v="76530"/>
  </r>
  <r>
    <x v="14"/>
    <m/>
    <s v="Plejehjemmet Søndersø"/>
    <n v="10323"/>
    <m/>
    <s v="Plejehjemmet Søndersø"/>
    <x v="103"/>
    <x v="0"/>
    <x v="7"/>
    <n v="1052.5999999999999"/>
    <n v="12"/>
    <s v="2010-10-31"/>
    <n v="0"/>
    <n v="2114"/>
    <n v="0.49789499999999998"/>
    <n v="3"/>
    <x v="0"/>
    <x v="2592"/>
    <n v="842.08"/>
    <n v="0"/>
    <s v="00PC500645/501305"/>
    <m/>
    <n v="1052.5999999999999"/>
    <n v="0"/>
    <n v="77830"/>
  </r>
  <r>
    <x v="14"/>
    <m/>
    <s v="Plejehjemmet Søndersø"/>
    <n v="10323"/>
    <m/>
    <s v="Plejehjemmet Søndersø"/>
    <x v="103"/>
    <x v="0"/>
    <x v="1"/>
    <n v="99690.32"/>
    <n v="12"/>
    <s v="2010-01-30"/>
    <n v="0"/>
    <n v="2114"/>
    <n v="47.154969000000001"/>
    <n v="2"/>
    <x v="2"/>
    <x v="2593"/>
    <n v="29907.1"/>
    <n v="0"/>
    <s v="1100763-56808"/>
    <s v="74110515863"/>
    <n v="99690.323999999993"/>
    <n v="0"/>
    <n v="84599"/>
  </r>
  <r>
    <x v="14"/>
    <m/>
    <s v="Plejehjemmet Søndersø"/>
    <n v="10323"/>
    <m/>
    <s v="Plejehjemmet Søndersø"/>
    <x v="103"/>
    <x v="0"/>
    <x v="1"/>
    <n v="1070.9000000000001"/>
    <n v="12"/>
    <s v="2010-10-31"/>
    <n v="0"/>
    <n v="2114"/>
    <n v="0.50655099999999997"/>
    <n v="3"/>
    <x v="0"/>
    <x v="2594"/>
    <n v="856.72"/>
    <n v="0"/>
    <s v="00PC500645/501305"/>
    <m/>
    <n v="1070.9000000000001"/>
    <n v="0"/>
    <n v="77830"/>
  </r>
  <r>
    <x v="14"/>
    <m/>
    <s v="Skovgården, Skov 1"/>
    <n v="9520"/>
    <m/>
    <s v="Skovgården 1"/>
    <x v="104"/>
    <x v="0"/>
    <x v="0"/>
    <n v="444"/>
    <n v="5"/>
    <m/>
    <n v="0"/>
    <n v="1935"/>
    <n v="9.7461999999999993E-2"/>
    <n v="3"/>
    <x v="0"/>
    <x v="2595"/>
    <n v="150.88999999999999"/>
    <n v="0"/>
    <s v="BVK 01PC502536"/>
    <m/>
    <n v="188.60900000000001"/>
    <n v="0"/>
    <n v="74435"/>
  </r>
  <r>
    <x v="14"/>
    <m/>
    <s v="Skovgården, Skov 1"/>
    <n v="9520"/>
    <m/>
    <s v="Skovgården 1"/>
    <x v="104"/>
    <x v="0"/>
    <x v="0"/>
    <n v="0"/>
    <n v="5"/>
    <m/>
    <n v="0"/>
    <n v="1935"/>
    <n v="2.4510000000000001E-2"/>
    <n v="3"/>
    <x v="0"/>
    <x v="2596"/>
    <n v="0"/>
    <n v="1"/>
    <s v="BVV"/>
    <m/>
    <n v="47.433"/>
    <n v="0"/>
    <n v="74436"/>
  </r>
  <r>
    <x v="14"/>
    <m/>
    <s v="Skovgården, Skov 1"/>
    <n v="9520"/>
    <m/>
    <s v="Skovgården 1"/>
    <x v="104"/>
    <x v="0"/>
    <x v="1"/>
    <n v="421.75"/>
    <n v="12"/>
    <m/>
    <n v="0"/>
    <n v="1935"/>
    <n v="0.217947"/>
    <n v="3"/>
    <x v="0"/>
    <x v="2597"/>
    <n v="337.42"/>
    <n v="0"/>
    <s v="BVK 01PC502536"/>
    <m/>
    <n v="421.76100000000002"/>
    <n v="0"/>
    <n v="74435"/>
  </r>
  <r>
    <x v="5"/>
    <m/>
    <s v="Plejehjemmet Søndersø"/>
    <n v="10323"/>
    <m/>
    <s v="Plejehjemmet Søndersø"/>
    <x v="103"/>
    <x v="0"/>
    <x v="0"/>
    <n v="952"/>
    <n v="5"/>
    <s v="2010-10-31"/>
    <n v="0"/>
    <n v="2114"/>
    <n v="0.170096"/>
    <n v="3"/>
    <x v="0"/>
    <x v="2598"/>
    <n v="287.68"/>
    <n v="0"/>
    <s v="00PC500645/501305"/>
    <m/>
    <n v="359.6"/>
    <n v="0"/>
    <n v="77830"/>
  </r>
  <r>
    <x v="5"/>
    <m/>
    <s v="Plejehjemmet Søndersø"/>
    <n v="10323"/>
    <m/>
    <s v="Plejehjemmet Søndersø"/>
    <x v="103"/>
    <x v="0"/>
    <x v="0"/>
    <n v="235433"/>
    <n v="5"/>
    <s v="2011-12-30"/>
    <n v="0"/>
    <n v="2114"/>
    <n v="67.837750999999997"/>
    <n v="1"/>
    <x v="4"/>
    <x v="2599"/>
    <n v="33927.800000000003"/>
    <n v="0"/>
    <s v="99A368317"/>
    <s v="98000138945"/>
    <n v="13279.24"/>
    <n v="0"/>
    <n v="77831"/>
  </r>
  <r>
    <x v="5"/>
    <m/>
    <s v="Plejehjemmet Søndersø"/>
    <n v="10323"/>
    <m/>
    <s v="Plejehjemmet Søndersø"/>
    <x v="103"/>
    <x v="0"/>
    <x v="0"/>
    <n v="67627"/>
    <n v="5"/>
    <s v="2010-01-30"/>
    <n v="0"/>
    <n v="2114"/>
    <n v="17.385535000000001"/>
    <n v="2"/>
    <x v="2"/>
    <x v="2600"/>
    <n v="11026.44"/>
    <n v="0"/>
    <s v="1100763-56808"/>
    <s v="74110515863"/>
    <n v="36754.764000000003"/>
    <n v="0"/>
    <n v="84599"/>
  </r>
  <r>
    <x v="14"/>
    <m/>
    <s v="Skovgården, Skov 1"/>
    <n v="9520"/>
    <m/>
    <s v="Skovgården 1"/>
    <x v="104"/>
    <x v="0"/>
    <x v="1"/>
    <n v="127.17"/>
    <n v="12"/>
    <m/>
    <n v="0"/>
    <n v="1935"/>
    <n v="6.5716999999999998E-2"/>
    <n v="3"/>
    <x v="0"/>
    <x v="2601"/>
    <n v="0"/>
    <n v="1"/>
    <s v="BVV"/>
    <m/>
    <n v="127.17"/>
    <n v="0"/>
    <n v="74436"/>
  </r>
  <r>
    <x v="14"/>
    <m/>
    <s v="Skovgården, Skov 1"/>
    <n v="9520"/>
    <m/>
    <s v="Skovgården 1"/>
    <x v="104"/>
    <x v="0"/>
    <x v="2"/>
    <n v="482.34"/>
    <n v="12"/>
    <m/>
    <n v="0"/>
    <n v="1935"/>
    <n v="0.24925800000000001"/>
    <n v="3"/>
    <x v="0"/>
    <x v="2602"/>
    <n v="385.89"/>
    <n v="0"/>
    <s v="BVK 01PC502536"/>
    <m/>
    <n v="482.35500000000002"/>
    <n v="0"/>
    <n v="74435"/>
  </r>
  <r>
    <x v="14"/>
    <m/>
    <s v="Skovgården, Skov 1"/>
    <n v="9520"/>
    <m/>
    <s v="Skovgården 1"/>
    <x v="104"/>
    <x v="0"/>
    <x v="2"/>
    <n v="134.83000000000001"/>
    <n v="12"/>
    <m/>
    <n v="0"/>
    <n v="1935"/>
    <n v="6.9675000000000001E-2"/>
    <n v="3"/>
    <x v="0"/>
    <x v="2603"/>
    <n v="0"/>
    <n v="1"/>
    <s v="BVV"/>
    <m/>
    <n v="134.828"/>
    <n v="0"/>
    <n v="74436"/>
  </r>
  <r>
    <x v="14"/>
    <m/>
    <s v="Skovgården, Skov 1"/>
    <n v="9520"/>
    <m/>
    <s v="Skovgården 1"/>
    <x v="104"/>
    <x v="0"/>
    <x v="3"/>
    <n v="617.49"/>
    <n v="12"/>
    <m/>
    <n v="0"/>
    <n v="1935"/>
    <n v="0.31909900000000002"/>
    <n v="3"/>
    <x v="0"/>
    <x v="2604"/>
    <n v="493.95"/>
    <n v="0"/>
    <s v="BVK 01PC502536"/>
    <m/>
    <n v="617.46199999999999"/>
    <n v="0"/>
    <n v="74435"/>
  </r>
  <r>
    <x v="14"/>
    <m/>
    <s v="Skovgården, Skov 1"/>
    <n v="9520"/>
    <m/>
    <s v="Skovgården 1"/>
    <x v="104"/>
    <x v="0"/>
    <x v="3"/>
    <n v="131.03"/>
    <n v="12"/>
    <m/>
    <n v="0"/>
    <n v="1935"/>
    <n v="6.7711999999999994E-2"/>
    <n v="3"/>
    <x v="0"/>
    <x v="2605"/>
    <n v="0"/>
    <n v="1"/>
    <s v="BVV"/>
    <m/>
    <n v="131.017"/>
    <n v="0"/>
    <n v="74436"/>
  </r>
  <r>
    <x v="14"/>
    <m/>
    <s v="Skovgården, Skov 1"/>
    <n v="9520"/>
    <m/>
    <s v="Skovgården 1"/>
    <x v="104"/>
    <x v="0"/>
    <x v="4"/>
    <n v="737.76"/>
    <n v="12"/>
    <m/>
    <n v="0"/>
    <n v="1935"/>
    <n v="0.38125100000000001"/>
    <n v="3"/>
    <x v="0"/>
    <x v="2606"/>
    <n v="590.20000000000005"/>
    <n v="0"/>
    <s v="BVK 01PC502536"/>
    <m/>
    <n v="737.74599999999998"/>
    <n v="0"/>
    <n v="74435"/>
  </r>
  <r>
    <x v="14"/>
    <m/>
    <s v="Skovgården, Skov 1"/>
    <n v="9520"/>
    <m/>
    <s v="Skovgården 1"/>
    <x v="104"/>
    <x v="0"/>
    <x v="4"/>
    <n v="0"/>
    <n v="12"/>
    <m/>
    <n v="0"/>
    <n v="1935"/>
    <n v="0"/>
    <n v="3"/>
    <x v="0"/>
    <x v="1"/>
    <n v="0"/>
    <n v="1"/>
    <s v="BVV"/>
    <m/>
    <n v="0"/>
    <n v="0"/>
    <n v="74436"/>
  </r>
  <r>
    <x v="14"/>
    <m/>
    <s v="Skovgården, Skov 1"/>
    <n v="9520"/>
    <m/>
    <s v="Skovgården 1"/>
    <x v="104"/>
    <x v="0"/>
    <x v="5"/>
    <n v="598.30999999999995"/>
    <n v="12"/>
    <m/>
    <n v="0"/>
    <n v="1935"/>
    <n v="0.30918800000000002"/>
    <n v="3"/>
    <x v="0"/>
    <x v="2607"/>
    <n v="478.65"/>
    <n v="0"/>
    <s v="BVK 01PC502536"/>
    <m/>
    <n v="598.29899999999998"/>
    <n v="0"/>
    <n v="74435"/>
  </r>
  <r>
    <x v="14"/>
    <m/>
    <s v="Skovgården, Skov 1"/>
    <n v="9520"/>
    <m/>
    <s v="Skovgården 1"/>
    <x v="104"/>
    <x v="0"/>
    <x v="5"/>
    <n v="67.790000000000006"/>
    <n v="12"/>
    <m/>
    <n v="0"/>
    <n v="1935"/>
    <n v="3.5031E-2"/>
    <n v="3"/>
    <x v="0"/>
    <x v="2608"/>
    <n v="0"/>
    <n v="1"/>
    <s v="BVV"/>
    <m/>
    <n v="67.795000000000002"/>
    <n v="0"/>
    <n v="74436"/>
  </r>
  <r>
    <x v="14"/>
    <m/>
    <s v="Skovgården, Skov 1"/>
    <n v="9520"/>
    <m/>
    <s v="Skovgården 1"/>
    <x v="104"/>
    <x v="0"/>
    <x v="6"/>
    <n v="565.35"/>
    <n v="12"/>
    <m/>
    <n v="0"/>
    <n v="1935"/>
    <n v="0.292155"/>
    <n v="3"/>
    <x v="0"/>
    <x v="2609"/>
    <n v="452.27"/>
    <n v="0"/>
    <s v="BVK 01PC502536"/>
    <m/>
    <n v="565.35500000000002"/>
    <n v="0"/>
    <n v="74435"/>
  </r>
  <r>
    <x v="14"/>
    <m/>
    <s v="Skovgården, Skov 1"/>
    <n v="9520"/>
    <m/>
    <s v="Skovgården 1"/>
    <x v="104"/>
    <x v="0"/>
    <x v="6"/>
    <n v="177.98"/>
    <n v="12"/>
    <m/>
    <n v="0"/>
    <n v="1935"/>
    <n v="9.1974E-2"/>
    <n v="3"/>
    <x v="0"/>
    <x v="2610"/>
    <n v="0"/>
    <n v="1"/>
    <s v="BVV"/>
    <m/>
    <n v="177.98599999999999"/>
    <n v="0"/>
    <n v="74436"/>
  </r>
  <r>
    <x v="14"/>
    <s v="5864"/>
    <s v="Solbjerghaven Plejecenter"/>
    <n v="13297"/>
    <s v="1"/>
    <s v="Solbjerghaven Plejecenter"/>
    <x v="105"/>
    <x v="0"/>
    <x v="0"/>
    <n v="1051"/>
    <n v="5"/>
    <s v="2011-11-30"/>
    <n v="0"/>
    <n v="1571"/>
    <n v="0.25328699999999998"/>
    <n v="3"/>
    <x v="0"/>
    <x v="2611"/>
    <n v="318.36"/>
    <n v="0"/>
    <s v="00pc502508"/>
    <m/>
    <n v="397.94540999999998"/>
    <n v="0"/>
    <n v="89295"/>
  </r>
  <r>
    <x v="14"/>
    <s v="5864"/>
    <s v="Solbjerghaven Plejecenter"/>
    <n v="13297"/>
    <s v="1"/>
    <s v="Solbjerghaven Plejecenter"/>
    <x v="105"/>
    <x v="0"/>
    <x v="1"/>
    <n v="1027.5899999999999"/>
    <n v="12"/>
    <s v="2011-11-30"/>
    <n v="0"/>
    <n v="1571"/>
    <n v="0.654057"/>
    <n v="3"/>
    <x v="0"/>
    <x v="2612"/>
    <n v="822.07"/>
    <n v="0"/>
    <s v="00pc502508"/>
    <m/>
    <n v="1027.57925"/>
    <n v="0"/>
    <n v="89295"/>
  </r>
  <r>
    <x v="14"/>
    <s v="5864"/>
    <s v="Solbjerghaven Plejecenter"/>
    <n v="13297"/>
    <s v="1"/>
    <s v="Solbjerghaven Plejecenter"/>
    <x v="105"/>
    <x v="0"/>
    <x v="2"/>
    <n v="1135.97"/>
    <n v="12"/>
    <s v="2011-11-30"/>
    <n v="0"/>
    <n v="1571"/>
    <n v="0.72304100000000004"/>
    <n v="3"/>
    <x v="0"/>
    <x v="2613"/>
    <n v="908.78"/>
    <n v="0"/>
    <s v="00pc502508"/>
    <m/>
    <n v="1135.97271"/>
    <n v="0"/>
    <n v="89295"/>
  </r>
  <r>
    <x v="14"/>
    <s v="5864"/>
    <s v="Solbjerghaven Plejecenter"/>
    <n v="13297"/>
    <s v="1"/>
    <s v="Solbjerghaven Plejecenter"/>
    <x v="105"/>
    <x v="0"/>
    <x v="3"/>
    <n v="1437.95"/>
    <n v="4"/>
    <s v="2011-11-30"/>
    <n v="0"/>
    <n v="1571"/>
    <n v="0.91525000000000001"/>
    <n v="3"/>
    <x v="0"/>
    <x v="2614"/>
    <n v="1150.3599999999999"/>
    <n v="0"/>
    <s v="00pc502508"/>
    <m/>
    <n v="1437.94073"/>
    <n v="0"/>
    <n v="89295"/>
  </r>
  <r>
    <x v="14"/>
    <s v="5864"/>
    <s v="Solbjerghaven Plejecenter"/>
    <n v="13297"/>
    <s v="1"/>
    <s v="Solbjerghaven Plejecenter"/>
    <x v="105"/>
    <x v="0"/>
    <x v="4"/>
    <n v="1232.3"/>
    <n v="1"/>
    <s v="2011-11-30"/>
    <n v="0"/>
    <n v="1571"/>
    <n v="0.784354"/>
    <n v="3"/>
    <x v="0"/>
    <x v="2615"/>
    <n v="985.83"/>
    <n v="0"/>
    <s v="00pc502508"/>
    <m/>
    <n v="1232.2992200000001"/>
    <n v="0"/>
    <n v="89295"/>
  </r>
  <r>
    <x v="14"/>
    <s v="5864"/>
    <s v="Solbjerghaven Plejecenter"/>
    <n v="13297"/>
    <s v="1"/>
    <s v="Solbjerghaven Plejecenter"/>
    <x v="105"/>
    <x v="0"/>
    <x v="5"/>
    <n v="1206.97"/>
    <n v="1"/>
    <s v="2011-11-30"/>
    <n v="0"/>
    <n v="1571"/>
    <n v="0.76823200000000003"/>
    <n v="3"/>
    <x v="0"/>
    <x v="2616"/>
    <n v="965.61"/>
    <n v="0"/>
    <s v="00pc502508"/>
    <m/>
    <n v="1206.9921200000001"/>
    <n v="0"/>
    <n v="89295"/>
  </r>
  <r>
    <x v="14"/>
    <s v="5864"/>
    <s v="Solbjerghaven Plejecenter"/>
    <n v="13297"/>
    <s v="1"/>
    <s v="Solbjerghaven Plejecenter"/>
    <x v="105"/>
    <x v="0"/>
    <x v="6"/>
    <n v="1189.1099999999999"/>
    <n v="2"/>
    <s v="2011-11-30"/>
    <n v="0"/>
    <n v="1571"/>
    <n v="0.75686399999999998"/>
    <n v="3"/>
    <x v="0"/>
    <x v="2617"/>
    <n v="951.32"/>
    <n v="0"/>
    <s v="00pc502508"/>
    <m/>
    <n v="1189.1256599999999"/>
    <n v="0"/>
    <n v="89295"/>
  </r>
  <r>
    <x v="14"/>
    <s v="6388"/>
    <s v="Lillevang plejecenter"/>
    <n v="13266"/>
    <s v="0"/>
    <s v="Lillevang"/>
    <x v="102"/>
    <x v="0"/>
    <x v="0"/>
    <n v="274546"/>
    <n v="5"/>
    <s v="2012-01-26"/>
    <n v="0"/>
    <n v="1357"/>
    <n v="109.20756"/>
    <n v="1"/>
    <x v="4"/>
    <x v="2618"/>
    <n v="35449.480000000003"/>
    <n v="0"/>
    <s v="1200501"/>
    <m/>
    <n v="13722.739"/>
    <n v="0"/>
    <n v="90993"/>
  </r>
  <r>
    <x v="14"/>
    <s v="6388"/>
    <s v="Lillevang plejecenter"/>
    <n v="13266"/>
    <s v="0"/>
    <s v="Lillevang"/>
    <x v="102"/>
    <x v="0"/>
    <x v="1"/>
    <n v="299163.53999999998"/>
    <n v="12"/>
    <s v="2012-01-26"/>
    <n v="0"/>
    <n v="1357"/>
    <n v="220.443253"/>
    <n v="1"/>
    <x v="4"/>
    <x v="2619"/>
    <n v="69306.81"/>
    <n v="0"/>
    <s v="1200501"/>
    <m/>
    <n v="27700.328000000001"/>
    <n v="0"/>
    <n v="90993"/>
  </r>
  <r>
    <x v="14"/>
    <s v="6388"/>
    <s v="Lillevang plejecenter"/>
    <n v="13266"/>
    <s v="0"/>
    <s v="Lillevang"/>
    <x v="102"/>
    <x v="0"/>
    <x v="2"/>
    <n v="276513.65999999997"/>
    <n v="13"/>
    <s v="2012-01-26"/>
    <n v="0"/>
    <n v="1357"/>
    <n v="203.75334100000001"/>
    <n v="1"/>
    <x v="4"/>
    <x v="2620"/>
    <n v="61724.42"/>
    <n v="0"/>
    <s v="1200501"/>
    <m/>
    <n v="25603.116399999999"/>
    <n v="0"/>
    <n v="90993"/>
  </r>
  <r>
    <x v="14"/>
    <s v="6388"/>
    <s v="Lillevang plejecenter"/>
    <n v="13266"/>
    <s v="0"/>
    <s v="Lillevang"/>
    <x v="102"/>
    <x v="0"/>
    <x v="3"/>
    <n v="302309.58"/>
    <n v="1"/>
    <s v="2012-01-26"/>
    <n v="0"/>
    <n v="1357"/>
    <n v="222.761461"/>
    <n v="1"/>
    <x v="4"/>
    <x v="2621"/>
    <n v="75415.83"/>
    <n v="0"/>
    <s v="1200501"/>
    <m/>
    <n v="27991.627240000002"/>
    <n v="0"/>
    <n v="90993"/>
  </r>
  <r>
    <x v="14"/>
    <s v="6388"/>
    <s v="Lillevang plejecenter"/>
    <n v="13266"/>
    <s v="0"/>
    <s v="Lillevang"/>
    <x v="102"/>
    <x v="0"/>
    <x v="4"/>
    <n v="302665.8"/>
    <n v="3"/>
    <s v="2012-01-26"/>
    <n v="0"/>
    <n v="1357"/>
    <n v="223.02394799999999"/>
    <n v="1"/>
    <x v="4"/>
    <x v="2622"/>
    <n v="69413.100000000006"/>
    <n v="0"/>
    <s v="1200501"/>
    <m/>
    <n v="28024.612939999999"/>
    <n v="0"/>
    <n v="90993"/>
  </r>
  <r>
    <x v="14"/>
    <s v="6388"/>
    <s v="Lillevang plejecenter"/>
    <n v="13266"/>
    <s v="0"/>
    <s v="Lillevang"/>
    <x v="102"/>
    <x v="0"/>
    <x v="5"/>
    <n v="363212.9"/>
    <n v="1"/>
    <s v="2012-01-26"/>
    <n v="0"/>
    <n v="1357"/>
    <n v="267.63900899999999"/>
    <n v="1"/>
    <x v="4"/>
    <x v="2623"/>
    <n v="115422.61"/>
    <n v="0"/>
    <s v="1200501"/>
    <m/>
    <n v="33630.824670000002"/>
    <n v="0"/>
    <n v="90993"/>
  </r>
  <r>
    <x v="14"/>
    <s v="6388"/>
    <s v="Lillevang plejecenter"/>
    <n v="13266"/>
    <s v="0"/>
    <s v="Lillevang"/>
    <x v="102"/>
    <x v="0"/>
    <x v="6"/>
    <n v="328403.09999999998"/>
    <n v="1"/>
    <s v="2012-01-26"/>
    <n v="0"/>
    <n v="1357"/>
    <n v="241.98887300000001"/>
    <n v="1"/>
    <x v="4"/>
    <x v="2624"/>
    <n v="90124.71"/>
    <n v="0"/>
    <s v="1200501"/>
    <m/>
    <n v="30407.69339"/>
    <n v="0"/>
    <n v="90993"/>
  </r>
  <r>
    <x v="14"/>
    <m/>
    <s v="Plejehjemmet Søndersø"/>
    <n v="10323"/>
    <m/>
    <s v="Plejehjemmet Søndersø"/>
    <x v="103"/>
    <x v="0"/>
    <x v="1"/>
    <n v="308481.81"/>
    <n v="12"/>
    <s v="2011-12-30"/>
    <n v="0"/>
    <n v="2114"/>
    <n v="145.91637499999999"/>
    <n v="1"/>
    <x v="4"/>
    <x v="2625"/>
    <n v="68249.929999999993"/>
    <n v="0"/>
    <s v="99A368317"/>
    <s v="98000138945"/>
    <n v="28563.13"/>
    <n v="0"/>
    <n v="77831"/>
  </r>
  <r>
    <x v="14"/>
    <s v="6388"/>
    <s v="Lillevang plejecenter"/>
    <n v="13266"/>
    <s v="0"/>
    <s v="Lillevang"/>
    <x v="102"/>
    <x v="0"/>
    <x v="1"/>
    <n v="146223.15"/>
    <n v="12"/>
    <m/>
    <n v="0"/>
    <n v="1357"/>
    <n v="107.746776"/>
    <n v="2"/>
    <x v="2"/>
    <x v="2626"/>
    <n v="43866.95"/>
    <n v="0"/>
    <s v="49425"/>
    <m/>
    <n v="146223.15"/>
    <n v="0"/>
    <n v="93520"/>
  </r>
  <r>
    <x v="14"/>
    <m/>
    <s v="Plejehjemmet Søndersø"/>
    <n v="10323"/>
    <m/>
    <s v="Plejehjemmet Søndersø"/>
    <x v="103"/>
    <x v="0"/>
    <x v="2"/>
    <n v="1213.0999999999999"/>
    <n v="12"/>
    <s v="2010-10-31"/>
    <n v="0"/>
    <n v="2114"/>
    <n v="0.57381300000000002"/>
    <n v="3"/>
    <x v="0"/>
    <x v="2627"/>
    <n v="970.48"/>
    <n v="0"/>
    <s v="00PC500645/501305"/>
    <m/>
    <n v="1213.0999999999999"/>
    <n v="0"/>
    <n v="77830"/>
  </r>
  <r>
    <x v="14"/>
    <m/>
    <s v="Plejehjemmet Søndersø"/>
    <n v="10323"/>
    <m/>
    <s v="Plejehjemmet Søndersø"/>
    <x v="103"/>
    <x v="0"/>
    <x v="2"/>
    <n v="306165.95"/>
    <n v="12"/>
    <s v="2011-12-30"/>
    <n v="0"/>
    <n v="2114"/>
    <n v="144.82094000000001"/>
    <n v="1"/>
    <x v="4"/>
    <x v="2628"/>
    <n v="67273.69"/>
    <n v="0"/>
    <s v="99A368317"/>
    <s v="98000138945"/>
    <n v="28348.7"/>
    <n v="0"/>
    <n v="77831"/>
  </r>
  <r>
    <x v="14"/>
    <m/>
    <s v="Plejehjemmet Søndersø"/>
    <n v="10323"/>
    <m/>
    <s v="Plejehjemmet Søndersø"/>
    <x v="103"/>
    <x v="0"/>
    <x v="2"/>
    <n v="96503.58"/>
    <n v="12"/>
    <s v="2010-01-30"/>
    <n v="0"/>
    <n v="2114"/>
    <n v="45.647593999999998"/>
    <n v="2"/>
    <x v="2"/>
    <x v="2629"/>
    <n v="38601.440000000002"/>
    <n v="0"/>
    <s v="1100763-56808"/>
    <s v="74110515863"/>
    <n v="96503.592000000004"/>
    <n v="0"/>
    <n v="84599"/>
  </r>
  <r>
    <x v="14"/>
    <m/>
    <s v="Plejehjemmet Søndersø"/>
    <n v="10323"/>
    <m/>
    <s v="Plejehjemmet Søndersø"/>
    <x v="103"/>
    <x v="0"/>
    <x v="3"/>
    <n v="1283.2"/>
    <n v="12"/>
    <s v="2010-10-31"/>
    <n v="0"/>
    <n v="2114"/>
    <n v="0.60697199999999996"/>
    <n v="3"/>
    <x v="0"/>
    <x v="2630"/>
    <n v="1026.56"/>
    <n v="0"/>
    <s v="00PC500645/501305"/>
    <m/>
    <n v="1283.2"/>
    <n v="0"/>
    <n v="77830"/>
  </r>
  <r>
    <x v="14"/>
    <m/>
    <s v="Plejehjemmet Søndersø"/>
    <n v="10323"/>
    <m/>
    <s v="Plejehjemmet Søndersø"/>
    <x v="103"/>
    <x v="0"/>
    <x v="3"/>
    <n v="309152.52"/>
    <n v="8"/>
    <s v="2011-12-30"/>
    <n v="0"/>
    <n v="2114"/>
    <n v="146.233631"/>
    <n v="1"/>
    <x v="4"/>
    <x v="2631"/>
    <n v="70926.789999999994"/>
    <n v="0"/>
    <s v="99A368317"/>
    <s v="98000138945"/>
    <n v="28625.23331"/>
    <n v="0"/>
    <n v="77831"/>
  </r>
  <r>
    <x v="14"/>
    <m/>
    <s v="Skovgården, Skov 1"/>
    <n v="9520"/>
    <m/>
    <s v="Skovgården 1"/>
    <x v="104"/>
    <x v="0"/>
    <x v="0"/>
    <n v="110136"/>
    <n v="5"/>
    <m/>
    <n v="0"/>
    <n v="1935"/>
    <n v="31.755464"/>
    <n v="1"/>
    <x v="1"/>
    <x v="2632"/>
    <n v="4447.13"/>
    <n v="0"/>
    <s v="977808/2000"/>
    <m/>
    <n v="61450"/>
    <n v="0"/>
    <n v="74437"/>
  </r>
  <r>
    <x v="14"/>
    <m/>
    <s v="Skovgården, Skov 1"/>
    <n v="9520"/>
    <m/>
    <s v="Skovgården 1"/>
    <x v="104"/>
    <x v="0"/>
    <x v="1"/>
    <n v="141660"/>
    <n v="12"/>
    <m/>
    <n v="0"/>
    <n v="1935"/>
    <n v="73.205518999999995"/>
    <n v="1"/>
    <x v="1"/>
    <x v="2633"/>
    <n v="9453.25"/>
    <n v="0"/>
    <s v="977808/2000"/>
    <m/>
    <n v="141660"/>
    <n v="0"/>
    <n v="74437"/>
  </r>
  <r>
    <x v="14"/>
    <m/>
    <s v="Skovgården, Skov 1"/>
    <n v="9520"/>
    <m/>
    <s v="Skovgården 1"/>
    <x v="104"/>
    <x v="0"/>
    <x v="2"/>
    <n v="145040"/>
    <n v="12"/>
    <m/>
    <n v="0"/>
    <n v="1935"/>
    <n v="74.952197999999996"/>
    <n v="1"/>
    <x v="1"/>
    <x v="2634"/>
    <n v="28222.5"/>
    <n v="0"/>
    <s v="977808/2000"/>
    <m/>
    <n v="145040"/>
    <n v="0"/>
    <n v="74437"/>
  </r>
  <r>
    <x v="14"/>
    <m/>
    <s v="Skovgården, Skov 1"/>
    <n v="9520"/>
    <m/>
    <s v="Skovgården 1"/>
    <x v="104"/>
    <x v="0"/>
    <x v="3"/>
    <n v="134260"/>
    <n v="12"/>
    <m/>
    <n v="0"/>
    <n v="1935"/>
    <n v="69.381427000000002"/>
    <n v="1"/>
    <x v="1"/>
    <x v="2635"/>
    <n v="26925.75"/>
    <n v="0"/>
    <s v="977808/2000"/>
    <m/>
    <n v="134260"/>
    <n v="0"/>
    <n v="74437"/>
  </r>
  <r>
    <x v="14"/>
    <m/>
    <s v="Skovgården, Skov 1"/>
    <n v="9520"/>
    <m/>
    <s v="Skovgården 1"/>
    <x v="104"/>
    <x v="0"/>
    <x v="4"/>
    <n v="169800"/>
    <n v="12"/>
    <m/>
    <n v="0"/>
    <n v="1935"/>
    <n v="87.747403000000006"/>
    <n v="1"/>
    <x v="1"/>
    <x v="2636"/>
    <n v="28571.53"/>
    <n v="0"/>
    <s v="977808/2000"/>
    <m/>
    <n v="169800"/>
    <n v="0"/>
    <n v="74437"/>
  </r>
  <r>
    <x v="14"/>
    <m/>
    <s v="Skovgården, Skov 1"/>
    <n v="9520"/>
    <m/>
    <s v="Skovgården 1"/>
    <x v="104"/>
    <x v="0"/>
    <x v="5"/>
    <n v="128630"/>
    <n v="12"/>
    <m/>
    <n v="0"/>
    <n v="1935"/>
    <n v="66.472015999999996"/>
    <n v="1"/>
    <x v="1"/>
    <x v="2637"/>
    <n v="24946.38"/>
    <n v="0"/>
    <s v="977808/2000"/>
    <m/>
    <n v="128630"/>
    <n v="0"/>
    <n v="74437"/>
  </r>
  <r>
    <x v="14"/>
    <m/>
    <s v="Skovgården, Skov 1"/>
    <n v="9520"/>
    <m/>
    <s v="Skovgården 1"/>
    <x v="104"/>
    <x v="0"/>
    <x v="6"/>
    <n v="111150"/>
    <n v="12"/>
    <m/>
    <n v="0"/>
    <n v="1935"/>
    <n v="57.438892000000003"/>
    <n v="1"/>
    <x v="1"/>
    <x v="2638"/>
    <n v="23687.65"/>
    <n v="0"/>
    <s v="977808/2000"/>
    <m/>
    <n v="111150"/>
    <n v="0"/>
    <n v="74437"/>
  </r>
  <r>
    <x v="14"/>
    <s v="5864"/>
    <s v="Solbjerghaven Plejecenter"/>
    <n v="13297"/>
    <s v="1"/>
    <s v="Solbjerghaven Plejecenter"/>
    <x v="105"/>
    <x v="0"/>
    <x v="0"/>
    <n v="194830"/>
    <n v="5"/>
    <m/>
    <n v="0"/>
    <n v="1571"/>
    <n v="68.703844000000004"/>
    <n v="1"/>
    <x v="1"/>
    <x v="2639"/>
    <n v="7780.15"/>
    <n v="0"/>
    <s v="7031829"/>
    <m/>
    <n v="107940.61"/>
    <n v="0"/>
    <n v="90962"/>
  </r>
  <r>
    <x v="14"/>
    <s v="5864"/>
    <s v="Solbjerghaven Plejecenter"/>
    <n v="13297"/>
    <s v="1"/>
    <s v="Solbjerghaven Plejecenter"/>
    <x v="105"/>
    <x v="0"/>
    <x v="1"/>
    <n v="232419.67"/>
    <n v="12"/>
    <m/>
    <n v="0"/>
    <n v="1571"/>
    <n v="147.934358"/>
    <n v="1"/>
    <x v="1"/>
    <x v="2640"/>
    <n v="15584.01"/>
    <n v="0"/>
    <s v="7031829"/>
    <m/>
    <n v="232419.67"/>
    <n v="0"/>
    <n v="90962"/>
  </r>
  <r>
    <x v="14"/>
    <s v="5864"/>
    <s v="Solbjerghaven Plejecenter"/>
    <n v="13297"/>
    <s v="1"/>
    <s v="Solbjerghaven Plejecenter"/>
    <x v="105"/>
    <x v="0"/>
    <x v="2"/>
    <n v="245651.37"/>
    <n v="12"/>
    <m/>
    <n v="0"/>
    <n v="1571"/>
    <n v="156.356291"/>
    <n v="1"/>
    <x v="1"/>
    <x v="2641"/>
    <n v="47732.35"/>
    <n v="0"/>
    <s v="7031829"/>
    <m/>
    <n v="245651.37299999999"/>
    <n v="0"/>
    <n v="90962"/>
  </r>
  <r>
    <x v="14"/>
    <s v="5864"/>
    <s v="Solbjerghaven Plejecenter"/>
    <n v="13297"/>
    <s v="1"/>
    <s v="Solbjerghaven Plejecenter"/>
    <x v="105"/>
    <x v="0"/>
    <x v="3"/>
    <n v="30878.33"/>
    <n v="1"/>
    <m/>
    <n v="0"/>
    <n v="1571"/>
    <n v="19.653955"/>
    <n v="1"/>
    <x v="1"/>
    <x v="2642"/>
    <n v="6565.3"/>
    <n v="0"/>
    <s v="7031829"/>
    <m/>
    <n v="30878.33"/>
    <n v="0"/>
    <n v="90962"/>
  </r>
  <r>
    <x v="14"/>
    <s v="5864"/>
    <s v="Solbjerghaven Plejecenter"/>
    <n v="13297"/>
    <s v="1"/>
    <s v="Solbjerghaven Plejecenter"/>
    <x v="105"/>
    <x v="0"/>
    <x v="3"/>
    <n v="234636.59"/>
    <n v="5"/>
    <s v="2011-12-06"/>
    <n v="0"/>
    <n v="1571"/>
    <n v="149.34541999999999"/>
    <n v="1"/>
    <x v="5"/>
    <x v="2643"/>
    <n v="50571.29"/>
    <n v="0"/>
    <s v="7031829"/>
    <m/>
    <n v="234.63659000000001"/>
    <n v="0"/>
    <n v="89458"/>
  </r>
  <r>
    <x v="14"/>
    <s v="5864"/>
    <s v="Solbjerghaven Plejecenter"/>
    <n v="13297"/>
    <s v="1"/>
    <s v="Solbjerghaven Plejecenter"/>
    <x v="105"/>
    <x v="0"/>
    <x v="4"/>
    <n v="307106.57"/>
    <n v="1"/>
    <s v="2011-12-06"/>
    <n v="0"/>
    <n v="1571"/>
    <n v="195.47232500000001"/>
    <n v="1"/>
    <x v="5"/>
    <x v="2644"/>
    <n v="74298.53"/>
    <n v="0"/>
    <s v="7031829"/>
    <m/>
    <n v="307.10656999999998"/>
    <n v="0"/>
    <n v="89458"/>
  </r>
  <r>
    <x v="14"/>
    <s v="5864"/>
    <s v="Solbjerghaven Plejecenter"/>
    <n v="13297"/>
    <s v="1"/>
    <s v="Solbjerghaven Plejecenter"/>
    <x v="105"/>
    <x v="0"/>
    <x v="5"/>
    <n v="246217.34"/>
    <n v="1"/>
    <s v="2011-12-06"/>
    <n v="0"/>
    <n v="1571"/>
    <n v="156.71652900000001"/>
    <n v="1"/>
    <x v="5"/>
    <x v="2645"/>
    <n v="66019.97"/>
    <n v="0"/>
    <s v="7031829"/>
    <m/>
    <n v="246.21734000000001"/>
    <n v="0"/>
    <n v="89458"/>
  </r>
  <r>
    <x v="14"/>
    <s v="5864"/>
    <s v="Solbjerghaven Plejecenter"/>
    <n v="13297"/>
    <s v="1"/>
    <s v="Solbjerghaven Plejecenter"/>
    <x v="105"/>
    <x v="0"/>
    <x v="6"/>
    <n v="258469.56"/>
    <n v="1"/>
    <s v="2011-12-06"/>
    <n v="0"/>
    <n v="1571"/>
    <n v="164.515027"/>
    <n v="1"/>
    <x v="5"/>
    <x v="2646"/>
    <n v="62526.75"/>
    <n v="0"/>
    <s v="7031829"/>
    <m/>
    <n v="258.46956"/>
    <n v="0"/>
    <n v="89458"/>
  </r>
  <r>
    <x v="3"/>
    <s v="03971-3"/>
    <s v="Farum Vejgård, Stavnsholtvej 170"/>
    <n v="5428"/>
    <m/>
    <s v="Farum Vejgård"/>
    <x v="28"/>
    <x v="0"/>
    <x v="7"/>
    <n v="103001.96"/>
    <n v="12"/>
    <s v="2006-03-15"/>
    <n v="0"/>
    <n v="679"/>
    <n v="151.674215"/>
    <n v="1"/>
    <x v="4"/>
    <x v="2647"/>
    <n v="25851.63"/>
    <n v="0"/>
    <s v="1204444"/>
    <s v="98001985524"/>
    <n v="9537.2199999999993"/>
    <n v="0"/>
    <n v="57403"/>
  </r>
  <r>
    <x v="14"/>
    <s v="6388"/>
    <s v="Lillevang plejecenter"/>
    <n v="13266"/>
    <s v="0"/>
    <s v="Lillevang"/>
    <x v="102"/>
    <x v="0"/>
    <x v="7"/>
    <n v="1199.45"/>
    <n v="12"/>
    <s v="2012-01-01"/>
    <n v="0"/>
    <n v="1357"/>
    <n v="0.88383299999999998"/>
    <n v="3"/>
    <x v="0"/>
    <x v="2648"/>
    <n v="959.56"/>
    <n v="0"/>
    <s v="Bimåler til fællesbygn"/>
    <m/>
    <n v="1199.44093"/>
    <n v="0"/>
    <n v="89187"/>
  </r>
  <r>
    <x v="14"/>
    <m/>
    <s v="Skovgården, Skov 1"/>
    <n v="9951"/>
    <m/>
    <s v="Lilleskolen"/>
    <x v="104"/>
    <x v="0"/>
    <x v="1"/>
    <n v="3635.68"/>
    <n v="7"/>
    <s v="2014-12-10"/>
    <n v="0"/>
    <n v="0"/>
    <n v="36356.800000000003"/>
    <n v="2"/>
    <x v="2"/>
    <x v="2649"/>
    <n v="1090.7"/>
    <n v="0"/>
    <s v="Lilleskolen over superbest 696827"/>
    <s v="74114838777"/>
    <n v="3635.6618400000002"/>
    <n v="0"/>
    <n v="76303"/>
  </r>
  <r>
    <x v="14"/>
    <m/>
    <s v="Plejehjemmet Søndersø"/>
    <n v="10323"/>
    <m/>
    <s v="Plejehjemmet Søndersø"/>
    <x v="103"/>
    <x v="0"/>
    <x v="3"/>
    <n v="102465.44"/>
    <n v="12"/>
    <s v="2010-01-30"/>
    <n v="0"/>
    <n v="2114"/>
    <n v="48.467641"/>
    <n v="2"/>
    <x v="2"/>
    <x v="2650"/>
    <n v="48056.3"/>
    <n v="0"/>
    <s v="1100763-56808"/>
    <s v="74110515863"/>
    <n v="102465.442"/>
    <n v="0"/>
    <n v="84599"/>
  </r>
  <r>
    <x v="14"/>
    <m/>
    <s v="Plejehjemmet Søndersø"/>
    <n v="10323"/>
    <m/>
    <s v="Plejehjemmet Søndersø"/>
    <x v="103"/>
    <x v="0"/>
    <x v="4"/>
    <n v="1998.63"/>
    <n v="4"/>
    <s v="2010-10-31"/>
    <n v="0"/>
    <n v="2114"/>
    <n v="0.94538100000000003"/>
    <n v="3"/>
    <x v="0"/>
    <x v="2651"/>
    <n v="1598.9"/>
    <n v="0"/>
    <s v="00PC500645/501305"/>
    <m/>
    <n v="1998.6327799999999"/>
    <n v="0"/>
    <n v="77830"/>
  </r>
  <r>
    <x v="14"/>
    <m/>
    <s v="Plejehjemmet Søndersø"/>
    <n v="10323"/>
    <m/>
    <s v="Plejehjemmet Søndersø"/>
    <x v="103"/>
    <x v="0"/>
    <x v="4"/>
    <n v="297275.75"/>
    <n v="5"/>
    <s v="2011-12-30"/>
    <n v="0"/>
    <n v="2114"/>
    <n v="140.615746"/>
    <n v="1"/>
    <x v="4"/>
    <x v="2652"/>
    <n v="58125.36"/>
    <n v="0"/>
    <s v="99A368317"/>
    <s v="98000138945"/>
    <n v="27525.533329999998"/>
    <n v="0"/>
    <n v="77831"/>
  </r>
  <r>
    <x v="14"/>
    <m/>
    <s v="Skovgården, Skov 1"/>
    <n v="9520"/>
    <m/>
    <s v="Skovgården 1"/>
    <x v="104"/>
    <x v="0"/>
    <x v="1"/>
    <n v="76199.72"/>
    <n v="12"/>
    <m/>
    <n v="0"/>
    <n v="1935"/>
    <n v="39.377665"/>
    <n v="2"/>
    <x v="2"/>
    <x v="2653"/>
    <n v="22859.919999999998"/>
    <n v="0"/>
    <s v="6.885.808"/>
    <s v="74110486057"/>
    <n v="76199.717999999993"/>
    <n v="0"/>
    <n v="74434"/>
  </r>
  <r>
    <x v="14"/>
    <m/>
    <s v="Skovgården, Skov 1"/>
    <n v="10149"/>
    <m/>
    <s v="Skovgården 2"/>
    <x v="104"/>
    <x v="0"/>
    <x v="1"/>
    <n v="1221.8"/>
    <n v="7"/>
    <s v="2014-07-29"/>
    <n v="0"/>
    <n v="0"/>
    <n v="12218"/>
    <n v="2"/>
    <x v="2"/>
    <x v="2654"/>
    <n v="366.55"/>
    <n v="0"/>
    <m/>
    <m/>
    <n v="1221.79306"/>
    <n v="0"/>
    <n v="77092"/>
  </r>
  <r>
    <x v="14"/>
    <m/>
    <s v="Skovgården, Skov 1"/>
    <n v="14012"/>
    <s v="0"/>
    <s v="Skovgården 2A"/>
    <x v="104"/>
    <x v="0"/>
    <x v="1"/>
    <n v="964.65"/>
    <n v="7"/>
    <s v="2014-07-29"/>
    <n v="0"/>
    <n v="73"/>
    <n v="13.196306"/>
    <n v="2"/>
    <x v="2"/>
    <x v="2655"/>
    <n v="289.39999999999998"/>
    <n v="0"/>
    <s v="58608"/>
    <s v="741 1236 0997"/>
    <n v="964.63823000000002"/>
    <n v="0"/>
    <n v="93107"/>
  </r>
  <r>
    <x v="14"/>
    <s v="5864"/>
    <s v="Solbjerghaven Plejecenter"/>
    <n v="13297"/>
    <s v="1"/>
    <s v="Solbjerghaven Plejecenter"/>
    <x v="105"/>
    <x v="0"/>
    <x v="1"/>
    <n v="61255.5"/>
    <n v="12"/>
    <m/>
    <n v="0"/>
    <n v="1571"/>
    <n v="38.988923999999997"/>
    <n v="2"/>
    <x v="2"/>
    <x v="2656"/>
    <n v="18376.650000000001"/>
    <n v="0"/>
    <s v="31029500?"/>
    <m/>
    <n v="61255.493999999999"/>
    <n v="0"/>
    <n v="90963"/>
  </r>
  <r>
    <x v="14"/>
    <m/>
    <s v="Skovgården, Skov 1"/>
    <n v="9520"/>
    <m/>
    <s v="Skovgården 1"/>
    <x v="104"/>
    <x v="0"/>
    <x v="7"/>
    <n v="458.1"/>
    <n v="12"/>
    <m/>
    <n v="0"/>
    <n v="1935"/>
    <n v="0.236731"/>
    <n v="3"/>
    <x v="0"/>
    <x v="2657"/>
    <n v="366.48"/>
    <n v="0"/>
    <s v="BVK 01PC502536"/>
    <m/>
    <n v="458.10599999999999"/>
    <n v="0"/>
    <n v="74435"/>
  </r>
  <r>
    <x v="14"/>
    <m/>
    <s v="Skovgården, Skov 1"/>
    <n v="9520"/>
    <m/>
    <s v="Skovgården 1"/>
    <x v="104"/>
    <x v="0"/>
    <x v="7"/>
    <n v="125.5"/>
    <n v="12"/>
    <m/>
    <n v="0"/>
    <n v="1935"/>
    <n v="6.4853999999999995E-2"/>
    <n v="3"/>
    <x v="0"/>
    <x v="2658"/>
    <n v="0"/>
    <n v="1"/>
    <s v="BVV"/>
    <m/>
    <n v="125.51600000000001"/>
    <n v="0"/>
    <n v="74436"/>
  </r>
  <r>
    <x v="14"/>
    <m/>
    <s v="Skovgården, Skov 1"/>
    <n v="9520"/>
    <m/>
    <s v="Skovgården 1"/>
    <x v="104"/>
    <x v="0"/>
    <x v="7"/>
    <n v="110660"/>
    <n v="12"/>
    <m/>
    <n v="0"/>
    <n v="1935"/>
    <n v="57.185675000000003"/>
    <n v="1"/>
    <x v="1"/>
    <x v="2659"/>
    <n v="8411.93"/>
    <n v="0"/>
    <s v="977808/2000"/>
    <m/>
    <n v="110660"/>
    <n v="0"/>
    <n v="74437"/>
  </r>
  <r>
    <x v="14"/>
    <m/>
    <s v="Plejehjemmet Søndersø"/>
    <n v="10323"/>
    <m/>
    <s v="Plejehjemmet Søndersø"/>
    <x v="103"/>
    <x v="0"/>
    <x v="7"/>
    <n v="99310.27"/>
    <n v="12"/>
    <s v="2010-01-30"/>
    <n v="0"/>
    <n v="2114"/>
    <n v="46.975199000000003"/>
    <n v="2"/>
    <x v="2"/>
    <x v="2660"/>
    <n v="29793.1"/>
    <n v="0"/>
    <s v="1100763-56808"/>
    <s v="74110515863"/>
    <n v="99310.284"/>
    <n v="0"/>
    <n v="84599"/>
  </r>
  <r>
    <x v="14"/>
    <s v="6388"/>
    <s v="Lillevang plejecenter"/>
    <n v="13266"/>
    <s v="0"/>
    <s v="Lillevang"/>
    <x v="102"/>
    <x v="0"/>
    <x v="7"/>
    <n v="145977.14000000001"/>
    <n v="12"/>
    <m/>
    <n v="0"/>
    <n v="1357"/>
    <n v="107.565499"/>
    <n v="2"/>
    <x v="2"/>
    <x v="2661"/>
    <n v="43793.14"/>
    <n v="0"/>
    <s v="49425"/>
    <m/>
    <n v="145977.14000000001"/>
    <n v="0"/>
    <n v="93520"/>
  </r>
  <r>
    <x v="14"/>
    <m/>
    <s v="Skovgården, Skov 1"/>
    <n v="10149"/>
    <m/>
    <s v="Skovgården 2"/>
    <x v="104"/>
    <x v="0"/>
    <x v="7"/>
    <n v="593.02"/>
    <n v="2"/>
    <s v="2014-07-29"/>
    <n v="0"/>
    <n v="0"/>
    <n v="5930.2"/>
    <n v="2"/>
    <x v="2"/>
    <x v="2662"/>
    <n v="177.9"/>
    <n v="0"/>
    <m/>
    <m/>
    <n v="593.02327000000002"/>
    <n v="0"/>
    <n v="77092"/>
  </r>
  <r>
    <x v="14"/>
    <m/>
    <s v="Skovgården, Skov 1"/>
    <n v="14012"/>
    <s v="0"/>
    <s v="Skovgården 2A"/>
    <x v="104"/>
    <x v="0"/>
    <x v="7"/>
    <n v="498.56"/>
    <n v="2"/>
    <s v="2014-07-29"/>
    <n v="0"/>
    <n v="73"/>
    <n v="6.820246"/>
    <n v="2"/>
    <x v="2"/>
    <x v="2663"/>
    <n v="149.56"/>
    <n v="0"/>
    <s v="58608"/>
    <s v="741 1236 0997"/>
    <n v="498.54545000000002"/>
    <n v="0"/>
    <n v="93107"/>
  </r>
  <r>
    <x v="14"/>
    <s v="5864"/>
    <s v="Solbjerghaven Plejecenter"/>
    <n v="13297"/>
    <s v="1"/>
    <s v="Solbjerghaven Plejecenter"/>
    <x v="105"/>
    <x v="0"/>
    <x v="7"/>
    <n v="1017.12"/>
    <n v="12"/>
    <s v="2011-11-30"/>
    <n v="0"/>
    <n v="1571"/>
    <n v="0.647393"/>
    <n v="3"/>
    <x v="0"/>
    <x v="2664"/>
    <n v="813.7"/>
    <n v="0"/>
    <s v="00pc502508"/>
    <m/>
    <n v="1017.1238"/>
    <n v="0"/>
    <n v="89295"/>
  </r>
  <r>
    <x v="14"/>
    <s v="5864"/>
    <s v="Solbjerghaven Plejecenter"/>
    <n v="13297"/>
    <s v="1"/>
    <s v="Solbjerghaven Plejecenter"/>
    <x v="105"/>
    <x v="0"/>
    <x v="7"/>
    <n v="201130.01"/>
    <n v="12"/>
    <m/>
    <n v="0"/>
    <n v="1571"/>
    <n v="128.01859200000001"/>
    <n v="1"/>
    <x v="1"/>
    <x v="2665"/>
    <n v="15202.78"/>
    <n v="0"/>
    <s v="7031829"/>
    <m/>
    <n v="201130.01"/>
    <n v="0"/>
    <n v="90962"/>
  </r>
  <r>
    <x v="14"/>
    <m/>
    <s v="Skovgården, Skov 1"/>
    <n v="9951"/>
    <m/>
    <s v="Lilleskolen"/>
    <x v="104"/>
    <x v="0"/>
    <x v="7"/>
    <n v="3402.05"/>
    <n v="3"/>
    <s v="2014-12-10"/>
    <n v="0"/>
    <n v="0"/>
    <n v="34020.5"/>
    <n v="2"/>
    <x v="2"/>
    <x v="2666"/>
    <n v="1020.61"/>
    <n v="0"/>
    <s v="Lilleskolen over superbest 696827"/>
    <s v="74114838777"/>
    <n v="3402.0581499999998"/>
    <n v="0"/>
    <n v="76303"/>
  </r>
  <r>
    <x v="14"/>
    <m/>
    <s v="Skovgården, Skov 1"/>
    <n v="9520"/>
    <m/>
    <s v="Skovgården 1"/>
    <x v="104"/>
    <x v="0"/>
    <x v="7"/>
    <n v="69134.87"/>
    <n v="12"/>
    <m/>
    <n v="0"/>
    <n v="1935"/>
    <n v="35.726768"/>
    <n v="2"/>
    <x v="2"/>
    <x v="2667"/>
    <n v="20740.45"/>
    <n v="0"/>
    <s v="6.885.808"/>
    <s v="74110486057"/>
    <n v="69134.868000000002"/>
    <n v="0"/>
    <n v="74434"/>
  </r>
  <r>
    <x v="14"/>
    <s v="5864"/>
    <s v="Solbjerghaven Plejecenter"/>
    <n v="13297"/>
    <s v="1"/>
    <s v="Solbjerghaven Plejecenter"/>
    <x v="105"/>
    <x v="0"/>
    <x v="7"/>
    <n v="61434.17"/>
    <n v="12"/>
    <m/>
    <n v="0"/>
    <n v="1571"/>
    <n v="39.102646999999997"/>
    <n v="2"/>
    <x v="2"/>
    <x v="2668"/>
    <n v="18430.240000000002"/>
    <n v="0"/>
    <s v="31029500?"/>
    <m/>
    <n v="61434.175000000003"/>
    <n v="0"/>
    <n v="90963"/>
  </r>
  <r>
    <x v="14"/>
    <s v="6388"/>
    <s v="Lillevang plejecenter"/>
    <n v="13266"/>
    <s v="0"/>
    <s v="Lillevang"/>
    <x v="102"/>
    <x v="0"/>
    <x v="2"/>
    <n v="152088.21"/>
    <n v="12"/>
    <m/>
    <n v="0"/>
    <n v="1357"/>
    <n v="112.068535"/>
    <n v="2"/>
    <x v="2"/>
    <x v="2669"/>
    <n v="60835.28"/>
    <n v="0"/>
    <s v="49425"/>
    <m/>
    <n v="152088.21"/>
    <n v="0"/>
    <n v="93520"/>
  </r>
  <r>
    <x v="14"/>
    <s v="6388"/>
    <s v="Lillevang plejecenter"/>
    <n v="13266"/>
    <s v="0"/>
    <s v="Lillevang"/>
    <x v="102"/>
    <x v="0"/>
    <x v="3"/>
    <n v="139013.6"/>
    <n v="2"/>
    <s v="2011-11-29"/>
    <n v="0"/>
    <n v="1357"/>
    <n v="102.434308"/>
    <n v="2"/>
    <x v="2"/>
    <x v="2670"/>
    <n v="65197.38"/>
    <n v="0"/>
    <s v="49425"/>
    <s v="74111963243"/>
    <n v="139013.63808"/>
    <n v="0"/>
    <n v="89186"/>
  </r>
  <r>
    <x v="14"/>
    <s v="6388"/>
    <s v="Lillevang plejecenter"/>
    <n v="13266"/>
    <s v="0"/>
    <s v="Lillevang"/>
    <x v="102"/>
    <x v="0"/>
    <x v="3"/>
    <n v="12583.73"/>
    <n v="1"/>
    <m/>
    <n v="0"/>
    <n v="1357"/>
    <n v="9.2725139999999993"/>
    <n v="2"/>
    <x v="2"/>
    <x v="2671"/>
    <n v="5901.77"/>
    <n v="0"/>
    <s v="49425"/>
    <m/>
    <n v="12583.73"/>
    <n v="0"/>
    <n v="93520"/>
  </r>
  <r>
    <x v="14"/>
    <s v="6388"/>
    <s v="Lillevang plejecenter"/>
    <n v="13266"/>
    <s v="0"/>
    <s v="Lillevang"/>
    <x v="102"/>
    <x v="0"/>
    <x v="4"/>
    <n v="158033.66"/>
    <n v="1"/>
    <s v="2011-11-29"/>
    <n v="0"/>
    <n v="1357"/>
    <n v="116.449532"/>
    <n v="2"/>
    <x v="2"/>
    <x v="2672"/>
    <n v="74117.78"/>
    <n v="0"/>
    <s v="49425"/>
    <s v="74111963243"/>
    <n v="158033.67363"/>
    <n v="0"/>
    <n v="89186"/>
  </r>
  <r>
    <x v="14"/>
    <s v="6388"/>
    <s v="Lillevang plejecenter"/>
    <n v="13266"/>
    <s v="0"/>
    <s v="Lillevang"/>
    <x v="102"/>
    <x v="0"/>
    <x v="5"/>
    <n v="151931.51"/>
    <n v="1"/>
    <s v="2011-11-29"/>
    <n v="0"/>
    <n v="1357"/>
    <n v="111.953069"/>
    <n v="2"/>
    <x v="2"/>
    <x v="2673"/>
    <n v="71255.89"/>
    <n v="0"/>
    <s v="49425"/>
    <s v="74111963243"/>
    <n v="151931.53448999999"/>
    <n v="0"/>
    <n v="89186"/>
  </r>
  <r>
    <x v="14"/>
    <s v="6388"/>
    <s v="Lillevang plejecenter"/>
    <n v="13266"/>
    <s v="0"/>
    <s v="Lillevang"/>
    <x v="102"/>
    <x v="0"/>
    <x v="6"/>
    <n v="146941.92000000001"/>
    <n v="0"/>
    <s v="2011-11-29"/>
    <n v="0"/>
    <n v="1357"/>
    <n v="108.27641199999999"/>
    <n v="2"/>
    <x v="2"/>
    <x v="2674"/>
    <n v="68915.77"/>
    <n v="0"/>
    <s v="49425"/>
    <s v="74111963243"/>
    <n v="146941.96158"/>
    <n v="0"/>
    <n v="89186"/>
  </r>
  <r>
    <x v="14"/>
    <m/>
    <s v="Plejehjemmet Søndersø"/>
    <n v="10323"/>
    <m/>
    <s v="Plejehjemmet Søndersø"/>
    <x v="103"/>
    <x v="0"/>
    <x v="4"/>
    <n v="99969.58"/>
    <n v="12"/>
    <s v="2010-01-30"/>
    <n v="0"/>
    <n v="2114"/>
    <n v="47.287063000000003"/>
    <n v="2"/>
    <x v="2"/>
    <x v="2675"/>
    <n v="46885.74"/>
    <n v="0"/>
    <s v="1100763-56808"/>
    <s v="74110515863"/>
    <n v="99969.591310000003"/>
    <n v="0"/>
    <n v="84599"/>
  </r>
  <r>
    <x v="14"/>
    <m/>
    <s v="Plejehjemmet Søndersø"/>
    <n v="10323"/>
    <m/>
    <s v="Plejehjemmet Søndersø"/>
    <x v="103"/>
    <x v="0"/>
    <x v="5"/>
    <n v="1877.8"/>
    <n v="7"/>
    <s v="2010-10-31"/>
    <n v="0"/>
    <n v="2114"/>
    <n v="0.88822599999999996"/>
    <n v="3"/>
    <x v="0"/>
    <x v="2676"/>
    <n v="1502.24"/>
    <n v="0"/>
    <s v="00PC500645/501305"/>
    <m/>
    <n v="1877.8005499999999"/>
    <n v="0"/>
    <n v="77830"/>
  </r>
  <r>
    <x v="14"/>
    <m/>
    <s v="Plejehjemmet Søndersø"/>
    <n v="10323"/>
    <m/>
    <s v="Plejehjemmet Søndersø"/>
    <x v="103"/>
    <x v="0"/>
    <x v="5"/>
    <n v="283348.93"/>
    <n v="7"/>
    <s v="2011-12-30"/>
    <n v="0"/>
    <n v="2114"/>
    <n v="134.02815799999999"/>
    <n v="1"/>
    <x v="4"/>
    <x v="2677"/>
    <n v="80371.990000000005"/>
    <n v="0"/>
    <s v="99A368317"/>
    <s v="98000138945"/>
    <n v="26236.011129999999"/>
    <n v="0"/>
    <n v="77831"/>
  </r>
  <r>
    <x v="14"/>
    <m/>
    <s v="Plejehjemmet Søndersø"/>
    <n v="10323"/>
    <m/>
    <s v="Plejehjemmet Søndersø"/>
    <x v="103"/>
    <x v="0"/>
    <x v="5"/>
    <n v="82447.22"/>
    <n v="8"/>
    <s v="2009-10-21"/>
    <n v="0"/>
    <n v="2114"/>
    <n v="38.998731999999997"/>
    <n v="2"/>
    <x v="2"/>
    <x v="2678"/>
    <n v="38667.74"/>
    <n v="0"/>
    <s v="532418"/>
    <m/>
    <n v="82447.222229999999"/>
    <n v="0"/>
    <n v="77829"/>
  </r>
  <r>
    <x v="14"/>
    <m/>
    <s v="Plejehjemmet Søndersø"/>
    <n v="10323"/>
    <m/>
    <s v="Plejehjemmet Søndersø"/>
    <x v="103"/>
    <x v="0"/>
    <x v="5"/>
    <n v="7666.93"/>
    <n v="1"/>
    <s v="2010-01-30"/>
    <n v="0"/>
    <n v="2114"/>
    <n v="3.6265689999999999"/>
    <n v="2"/>
    <x v="2"/>
    <x v="2679"/>
    <n v="3595.8"/>
    <n v="0"/>
    <s v="1100763-56808"/>
    <s v="74110515863"/>
    <n v="7666.9306900000001"/>
    <n v="0"/>
    <n v="84599"/>
  </r>
  <r>
    <x v="14"/>
    <m/>
    <s v="Plejehjemmet Søndersø"/>
    <n v="10323"/>
    <m/>
    <s v="Plejehjemmet Søndersø"/>
    <x v="103"/>
    <x v="0"/>
    <x v="6"/>
    <n v="1318.19"/>
    <n v="14"/>
    <s v="2010-10-31"/>
    <n v="0"/>
    <n v="2114"/>
    <n v="0.62352300000000005"/>
    <n v="3"/>
    <x v="0"/>
    <x v="2680"/>
    <n v="1054.53"/>
    <n v="0"/>
    <s v="00PC500645/501305"/>
    <m/>
    <n v="1318.18281"/>
    <n v="0"/>
    <n v="77830"/>
  </r>
  <r>
    <x v="14"/>
    <m/>
    <s v="Plejehjemmet Søndersø"/>
    <n v="10323"/>
    <m/>
    <s v="Plejehjemmet Søndersø"/>
    <x v="103"/>
    <x v="0"/>
    <x v="6"/>
    <n v="266704.56"/>
    <n v="12"/>
    <s v="2011-12-30"/>
    <n v="0"/>
    <n v="2114"/>
    <n v="126.155129"/>
    <n v="1"/>
    <x v="4"/>
    <x v="2681"/>
    <n v="63018.15"/>
    <n v="0"/>
    <s v="99A368317"/>
    <s v="98000138945"/>
    <n v="24694.86738"/>
    <n v="0"/>
    <n v="77831"/>
  </r>
  <r>
    <x v="14"/>
    <m/>
    <s v="Plejehjemmet Søndersø"/>
    <n v="10323"/>
    <m/>
    <s v="Plejehjemmet Søndersø"/>
    <x v="103"/>
    <x v="0"/>
    <x v="6"/>
    <n v="114924.07"/>
    <n v="12"/>
    <s v="2009-10-21"/>
    <n v="0"/>
    <n v="2114"/>
    <n v="54.360753000000003"/>
    <n v="2"/>
    <x v="2"/>
    <x v="2682"/>
    <n v="53899.38"/>
    <n v="0"/>
    <s v="532418"/>
    <m/>
    <n v="114924.0681"/>
    <n v="0"/>
    <n v="77829"/>
  </r>
  <r>
    <x v="14"/>
    <m/>
    <s v="Skovgården, Skov 1"/>
    <n v="10149"/>
    <m/>
    <s v="Skovgården 2"/>
    <x v="104"/>
    <x v="0"/>
    <x v="0"/>
    <n v="1157"/>
    <n v="2"/>
    <m/>
    <n v="0"/>
    <n v="0"/>
    <m/>
    <n v="2"/>
    <x v="2"/>
    <x v="1079"/>
    <m/>
    <n v="0"/>
    <m/>
    <m/>
    <m/>
    <n v="0"/>
    <n v="77092"/>
  </r>
  <r>
    <x v="14"/>
    <m/>
    <s v="Skovgården, Skov 1"/>
    <n v="9951"/>
    <m/>
    <s v="Lilleskolen"/>
    <x v="104"/>
    <x v="0"/>
    <x v="2"/>
    <n v="4167.2299999999996"/>
    <n v="5"/>
    <s v="2014-12-10"/>
    <n v="0"/>
    <n v="0"/>
    <n v="41672.300000000003"/>
    <n v="2"/>
    <x v="2"/>
    <x v="2683"/>
    <n v="1666.89"/>
    <n v="0"/>
    <s v="Lilleskolen over superbest 696827"/>
    <s v="74114838777"/>
    <n v="4167.2211600000001"/>
    <n v="0"/>
    <n v="76303"/>
  </r>
  <r>
    <x v="14"/>
    <m/>
    <s v="Skovgården, Skov 1"/>
    <n v="9951"/>
    <m/>
    <s v="Lilleskolen"/>
    <x v="104"/>
    <x v="0"/>
    <x v="3"/>
    <n v="4095.25"/>
    <n v="4"/>
    <s v="2014-12-10"/>
    <n v="0"/>
    <n v="0"/>
    <n v="40952.5"/>
    <n v="2"/>
    <x v="2"/>
    <x v="2684"/>
    <n v="1920.68"/>
    <n v="0"/>
    <s v="Lilleskolen over superbest 696827"/>
    <s v="74114838777"/>
    <n v="4095.2352999999998"/>
    <n v="0"/>
    <n v="76303"/>
  </r>
  <r>
    <x v="14"/>
    <m/>
    <s v="Skovgården, Skov 1"/>
    <n v="9951"/>
    <m/>
    <s v="Lilleskolen"/>
    <x v="104"/>
    <x v="0"/>
    <x v="4"/>
    <n v="3534.62"/>
    <n v="4"/>
    <s v="2014-12-10"/>
    <n v="0"/>
    <n v="0"/>
    <n v="35346.199999999997"/>
    <n v="2"/>
    <x v="2"/>
    <x v="2685"/>
    <n v="1657.75"/>
    <n v="0"/>
    <s v="Lilleskolen over superbest 696827"/>
    <s v="74114838777"/>
    <n v="3534.6261399999999"/>
    <n v="0"/>
    <n v="76303"/>
  </r>
  <r>
    <x v="14"/>
    <m/>
    <s v="Skovgården, Skov 1"/>
    <n v="9951"/>
    <m/>
    <s v="Lilleskolen"/>
    <x v="104"/>
    <x v="0"/>
    <x v="5"/>
    <n v="3401.52"/>
    <n v="7"/>
    <s v="2014-12-10"/>
    <n v="0"/>
    <n v="0"/>
    <n v="34015.199999999997"/>
    <n v="2"/>
    <x v="2"/>
    <x v="2686"/>
    <n v="1595.32"/>
    <n v="0"/>
    <s v="Lilleskolen over superbest 696827"/>
    <s v="74114838777"/>
    <n v="3401.5307200000002"/>
    <n v="0"/>
    <n v="76303"/>
  </r>
  <r>
    <x v="14"/>
    <m/>
    <s v="Skovgården, Skov 1"/>
    <n v="9951"/>
    <m/>
    <s v="Lilleskolen"/>
    <x v="104"/>
    <x v="0"/>
    <x v="6"/>
    <n v="3328.23"/>
    <n v="9"/>
    <s v="2014-12-10"/>
    <n v="0"/>
    <n v="0"/>
    <n v="33282.300000000003"/>
    <n v="2"/>
    <x v="2"/>
    <x v="2687"/>
    <n v="1560.94"/>
    <n v="0"/>
    <s v="Lilleskolen over superbest 696827"/>
    <s v="74114838777"/>
    <n v="3328.21506"/>
    <n v="0"/>
    <n v="76303"/>
  </r>
  <r>
    <x v="14"/>
    <m/>
    <s v="Skovgården, Skov 1"/>
    <n v="14012"/>
    <s v="0"/>
    <s v="Skovgården 2A"/>
    <x v="104"/>
    <x v="0"/>
    <x v="0"/>
    <n v="0"/>
    <n v="2"/>
    <m/>
    <n v="0"/>
    <n v="73"/>
    <m/>
    <n v="2"/>
    <x v="2"/>
    <x v="1079"/>
    <m/>
    <n v="0"/>
    <s v="58608"/>
    <s v="741 1236 0997"/>
    <m/>
    <n v="0"/>
    <n v="93107"/>
  </r>
  <r>
    <x v="14"/>
    <m/>
    <s v="Skovgården, Skov 1"/>
    <n v="9520"/>
    <m/>
    <s v="Skovgården 1"/>
    <x v="104"/>
    <x v="0"/>
    <x v="2"/>
    <n v="83634.899999999994"/>
    <n v="12"/>
    <m/>
    <n v="0"/>
    <n v="1935"/>
    <n v="43.219935999999997"/>
    <n v="2"/>
    <x v="2"/>
    <x v="2688"/>
    <n v="33453.96"/>
    <n v="0"/>
    <s v="6.885.808"/>
    <s v="74110486057"/>
    <n v="83634.906000000003"/>
    <n v="0"/>
    <n v="74434"/>
  </r>
  <r>
    <x v="14"/>
    <m/>
    <s v="Skovgården, Skov 1"/>
    <n v="9520"/>
    <m/>
    <s v="Skovgården 1"/>
    <x v="104"/>
    <x v="0"/>
    <x v="3"/>
    <n v="77189.97"/>
    <n v="12"/>
    <m/>
    <n v="0"/>
    <n v="1935"/>
    <n v="39.889395"/>
    <n v="2"/>
    <x v="2"/>
    <x v="2689"/>
    <n v="36202.080000000002"/>
    <n v="0"/>
    <s v="6.885.808"/>
    <s v="74110486057"/>
    <n v="77189.964000000007"/>
    <n v="0"/>
    <n v="74434"/>
  </r>
  <r>
    <x v="14"/>
    <m/>
    <s v="Skovgården, Skov 1"/>
    <n v="9520"/>
    <m/>
    <s v="Skovgården 1"/>
    <x v="104"/>
    <x v="0"/>
    <x v="4"/>
    <n v="84537.99"/>
    <n v="12"/>
    <m/>
    <n v="0"/>
    <n v="1935"/>
    <n v="43.686625999999997"/>
    <n v="2"/>
    <x v="2"/>
    <x v="2690"/>
    <n v="39648.32"/>
    <n v="0"/>
    <s v="6.885.808"/>
    <s v="74110486057"/>
    <n v="84537.983999999997"/>
    <n v="0"/>
    <n v="74434"/>
  </r>
  <r>
    <x v="14"/>
    <m/>
    <s v="Skovgården, Skov 1"/>
    <n v="9520"/>
    <m/>
    <s v="Skovgården 1"/>
    <x v="104"/>
    <x v="0"/>
    <x v="5"/>
    <n v="84442.43"/>
    <n v="12"/>
    <m/>
    <n v="0"/>
    <n v="1935"/>
    <n v="43.637242999999998"/>
    <n v="2"/>
    <x v="2"/>
    <x v="2691"/>
    <n v="39603.5"/>
    <n v="0"/>
    <s v="6.885.808"/>
    <s v="74110486057"/>
    <n v="84442.422000000006"/>
    <n v="0"/>
    <n v="74434"/>
  </r>
  <r>
    <x v="14"/>
    <m/>
    <s v="Skovgården, Skov 1"/>
    <n v="9520"/>
    <m/>
    <s v="Skovgården 1"/>
    <x v="104"/>
    <x v="0"/>
    <x v="6"/>
    <n v="90784.09"/>
    <n v="12"/>
    <m/>
    <n v="0"/>
    <n v="1935"/>
    <n v="46.914417"/>
    <n v="2"/>
    <x v="2"/>
    <x v="2692"/>
    <n v="42577.74"/>
    <n v="0"/>
    <s v="6.885.808"/>
    <s v="74110486057"/>
    <n v="90784.092000000004"/>
    <n v="0"/>
    <n v="74434"/>
  </r>
  <r>
    <x v="14"/>
    <m/>
    <s v="Skovgården, Skov 1"/>
    <n v="9951"/>
    <m/>
    <s v="Lilleskolen"/>
    <x v="104"/>
    <x v="0"/>
    <x v="0"/>
    <n v="3745"/>
    <n v="3"/>
    <m/>
    <n v="0"/>
    <n v="0"/>
    <n v="0"/>
    <n v="2"/>
    <x v="2"/>
    <x v="1"/>
    <n v="0"/>
    <n v="0"/>
    <s v="Lilleskolen over superbest 696827"/>
    <s v="74114838777"/>
    <n v="0"/>
    <n v="0"/>
    <n v="76303"/>
  </r>
  <r>
    <x v="14"/>
    <m/>
    <s v="Skovgården, Skov 1"/>
    <n v="10149"/>
    <m/>
    <s v="Skovgården 2"/>
    <x v="104"/>
    <x v="0"/>
    <x v="2"/>
    <n v="1258.6600000000001"/>
    <n v="5"/>
    <s v="2014-07-29"/>
    <n v="0"/>
    <n v="0"/>
    <n v="12586.6"/>
    <n v="2"/>
    <x v="2"/>
    <x v="2693"/>
    <n v="503.47"/>
    <n v="0"/>
    <m/>
    <m/>
    <n v="1258.65428"/>
    <n v="0"/>
    <n v="77092"/>
  </r>
  <r>
    <x v="14"/>
    <m/>
    <s v="Skovgården, Skov 1"/>
    <n v="10149"/>
    <m/>
    <s v="Skovgården 2"/>
    <x v="104"/>
    <x v="0"/>
    <x v="3"/>
    <n v="1394.38"/>
    <n v="4"/>
    <s v="2014-07-29"/>
    <n v="0"/>
    <n v="0"/>
    <n v="13943.8"/>
    <n v="2"/>
    <x v="2"/>
    <x v="2694"/>
    <n v="653.97"/>
    <n v="0"/>
    <m/>
    <m/>
    <n v="1394.3725300000001"/>
    <n v="0"/>
    <n v="77092"/>
  </r>
  <r>
    <x v="14"/>
    <m/>
    <s v="Skovgården, Skov 1"/>
    <n v="10149"/>
    <m/>
    <s v="Skovgården 2"/>
    <x v="104"/>
    <x v="0"/>
    <x v="4"/>
    <n v="1477.35"/>
    <n v="4"/>
    <s v="2014-07-29"/>
    <n v="0"/>
    <n v="0"/>
    <n v="14773.5"/>
    <n v="2"/>
    <x v="2"/>
    <x v="2695"/>
    <n v="692.87"/>
    <n v="0"/>
    <m/>
    <m/>
    <n v="1477.3410699999999"/>
    <n v="0"/>
    <n v="77092"/>
  </r>
  <r>
    <x v="14"/>
    <m/>
    <s v="Skovgården, Skov 1"/>
    <n v="10149"/>
    <m/>
    <s v="Skovgården 2"/>
    <x v="104"/>
    <x v="0"/>
    <x v="5"/>
    <n v="1439.16"/>
    <n v="7"/>
    <s v="2014-07-29"/>
    <n v="0"/>
    <n v="0"/>
    <n v="14391.6"/>
    <n v="2"/>
    <x v="2"/>
    <x v="2696"/>
    <n v="674.98"/>
    <n v="0"/>
    <m/>
    <m/>
    <n v="1439.14913"/>
    <n v="0"/>
    <n v="77092"/>
  </r>
  <r>
    <x v="14"/>
    <m/>
    <s v="Skovgården, Skov 1"/>
    <n v="10149"/>
    <m/>
    <s v="Skovgården 2"/>
    <x v="104"/>
    <x v="0"/>
    <x v="6"/>
    <n v="1130.1300000000001"/>
    <n v="9"/>
    <s v="2014-07-29"/>
    <n v="0"/>
    <n v="0"/>
    <n v="11301.3"/>
    <n v="2"/>
    <x v="2"/>
    <x v="2697"/>
    <n v="530.03"/>
    <n v="0"/>
    <m/>
    <m/>
    <n v="1130.1182799999999"/>
    <n v="0"/>
    <n v="77092"/>
  </r>
  <r>
    <x v="14"/>
    <m/>
    <s v="Skovgården, Skov 1"/>
    <n v="9520"/>
    <m/>
    <s v="Skovgården 1"/>
    <x v="104"/>
    <x v="0"/>
    <x v="0"/>
    <n v="69031"/>
    <n v="12"/>
    <m/>
    <n v="0"/>
    <n v="1935"/>
    <m/>
    <n v="2"/>
    <x v="2"/>
    <x v="1079"/>
    <m/>
    <n v="0"/>
    <s v="6.885.808"/>
    <s v="74110486057"/>
    <m/>
    <n v="0"/>
    <n v="74434"/>
  </r>
  <r>
    <x v="14"/>
    <m/>
    <s v="Skovgården, Skov 1"/>
    <n v="14012"/>
    <s v="0"/>
    <s v="Skovgården 2A"/>
    <x v="104"/>
    <x v="0"/>
    <x v="2"/>
    <n v="861.73"/>
    <n v="2"/>
    <s v="2014-07-29"/>
    <n v="0"/>
    <n v="73"/>
    <n v="11.788372000000001"/>
    <n v="2"/>
    <x v="2"/>
    <x v="2698"/>
    <n v="344.68"/>
    <n v="0"/>
    <s v="58608"/>
    <s v="741 1236 0997"/>
    <n v="861.70024000000001"/>
    <n v="0"/>
    <n v="93107"/>
  </r>
  <r>
    <x v="14"/>
    <m/>
    <s v="Skovgården, Skov 1"/>
    <n v="14012"/>
    <s v="0"/>
    <s v="Skovgården 2A"/>
    <x v="104"/>
    <x v="0"/>
    <x v="3"/>
    <n v="877.86"/>
    <n v="0"/>
    <s v="2014-07-29"/>
    <n v="0"/>
    <n v="73"/>
    <n v="12.009028000000001"/>
    <n v="2"/>
    <x v="2"/>
    <x v="2699"/>
    <n v="411.73"/>
    <n v="0"/>
    <s v="58608"/>
    <s v="741 1236 0997"/>
    <n v="877.82983999999999"/>
    <n v="0"/>
    <n v="93107"/>
  </r>
  <r>
    <x v="14"/>
    <m/>
    <s v="Skovgården, Skov 1"/>
    <n v="14012"/>
    <s v="0"/>
    <s v="Skovgården 2A"/>
    <x v="104"/>
    <x v="0"/>
    <x v="4"/>
    <n v="1393.39"/>
    <n v="1"/>
    <s v="2014-07-29"/>
    <n v="0"/>
    <n v="73"/>
    <n v="19.061422"/>
    <n v="2"/>
    <x v="2"/>
    <x v="2700"/>
    <n v="653.54"/>
    <n v="0"/>
    <s v="58608"/>
    <s v="741 1236 0997"/>
    <n v="1393.3958600000001"/>
    <n v="0"/>
    <n v="93107"/>
  </r>
  <r>
    <x v="14"/>
    <m/>
    <s v="Skovgården, Skov 1"/>
    <n v="14012"/>
    <s v="0"/>
    <s v="Skovgården 2A"/>
    <x v="104"/>
    <x v="0"/>
    <x v="5"/>
    <n v="1197.0899999999999"/>
    <n v="1"/>
    <s v="2014-07-29"/>
    <n v="0"/>
    <n v="73"/>
    <n v="16.376059999999999"/>
    <n v="2"/>
    <x v="2"/>
    <x v="2701"/>
    <n v="561.48"/>
    <n v="0"/>
    <s v="58608"/>
    <s v="741 1236 0997"/>
    <n v="1197.12706"/>
    <n v="0"/>
    <n v="93107"/>
  </r>
  <r>
    <x v="14"/>
    <m/>
    <s v="Skovgården, Skov 1"/>
    <n v="14012"/>
    <s v="0"/>
    <s v="Skovgården 2A"/>
    <x v="104"/>
    <x v="0"/>
    <x v="6"/>
    <n v="1061.4000000000001"/>
    <n v="0"/>
    <s v="2014-07-29"/>
    <n v="0"/>
    <n v="73"/>
    <n v="14.519835"/>
    <n v="2"/>
    <x v="2"/>
    <x v="2702"/>
    <n v="497.83"/>
    <n v="0"/>
    <s v="58608"/>
    <s v="741 1236 0997"/>
    <n v="1061.4500499999999"/>
    <n v="0"/>
    <n v="93107"/>
  </r>
  <r>
    <x v="14"/>
    <s v="6388"/>
    <s v="Lillevang plejecenter"/>
    <n v="13266"/>
    <s v="0"/>
    <s v="Lillevang"/>
    <x v="102"/>
    <x v="0"/>
    <x v="0"/>
    <n v="152847"/>
    <n v="5"/>
    <m/>
    <n v="0"/>
    <n v="1357"/>
    <n v="41.803882999999999"/>
    <n v="2"/>
    <x v="2"/>
    <x v="2703"/>
    <n v="17019.61"/>
    <n v="0"/>
    <s v="49425"/>
    <m/>
    <n v="56732.05"/>
    <n v="0"/>
    <n v="93520"/>
  </r>
  <r>
    <x v="14"/>
    <s v="5864"/>
    <s v="Solbjerghaven Plejecenter"/>
    <n v="13297"/>
    <s v="1"/>
    <s v="Solbjerghaven Plejecenter"/>
    <x v="105"/>
    <x v="0"/>
    <x v="0"/>
    <n v="60926"/>
    <n v="5"/>
    <m/>
    <n v="0"/>
    <n v="1571"/>
    <n v="15.167379"/>
    <n v="2"/>
    <x v="2"/>
    <x v="2704"/>
    <n v="7148.85"/>
    <n v="0"/>
    <s v="31029500?"/>
    <m/>
    <n v="23829.474999999999"/>
    <n v="0"/>
    <n v="90963"/>
  </r>
  <r>
    <x v="14"/>
    <s v="5864"/>
    <s v="Solbjerghaven Plejecenter"/>
    <n v="13297"/>
    <s v="1"/>
    <s v="Solbjerghaven Plejecenter"/>
    <x v="105"/>
    <x v="0"/>
    <x v="2"/>
    <n v="59058.559999999998"/>
    <n v="12"/>
    <m/>
    <n v="0"/>
    <n v="1571"/>
    <n v="37.590578999999998"/>
    <n v="2"/>
    <x v="2"/>
    <x v="2705"/>
    <n v="23623.439999999999"/>
    <n v="0"/>
    <s v="31029500?"/>
    <m/>
    <n v="59058.55"/>
    <n v="0"/>
    <n v="90963"/>
  </r>
  <r>
    <x v="14"/>
    <s v="5864"/>
    <s v="Solbjerghaven Plejecenter"/>
    <n v="13297"/>
    <s v="1"/>
    <s v="Solbjerghaven Plejecenter"/>
    <x v="105"/>
    <x v="0"/>
    <x v="3"/>
    <n v="4822.1499999999996"/>
    <n v="1"/>
    <m/>
    <n v="0"/>
    <n v="1571"/>
    <n v="3.0692819999999998"/>
    <n v="2"/>
    <x v="2"/>
    <x v="2706"/>
    <n v="2261.59"/>
    <n v="0"/>
    <s v="31029500?"/>
    <m/>
    <n v="4822.1499999999996"/>
    <n v="0"/>
    <n v="90963"/>
  </r>
  <r>
    <x v="14"/>
    <s v="5864"/>
    <s v="Solbjerghaven Plejecenter"/>
    <n v="13297"/>
    <s v="1"/>
    <s v="Solbjerghaven Plejecenter"/>
    <x v="105"/>
    <x v="0"/>
    <x v="3"/>
    <n v="60087.73"/>
    <n v="3"/>
    <s v="2011-11-30"/>
    <n v="0"/>
    <n v="1571"/>
    <n v="38.245643000000001"/>
    <n v="2"/>
    <x v="2"/>
    <x v="2707"/>
    <n v="28181.13"/>
    <n v="0"/>
    <s v="732269-51096"/>
    <m/>
    <n v="60087.709069999997"/>
    <n v="0"/>
    <n v="89294"/>
  </r>
  <r>
    <x v="14"/>
    <s v="5864"/>
    <s v="Solbjerghaven Plejecenter"/>
    <n v="13297"/>
    <s v="1"/>
    <s v="Solbjerghaven Plejecenter"/>
    <x v="105"/>
    <x v="0"/>
    <x v="4"/>
    <n v="69238.320000000007"/>
    <n v="1"/>
    <s v="2011-11-30"/>
    <n v="0"/>
    <n v="1571"/>
    <n v="44.069963000000001"/>
    <n v="2"/>
    <x v="2"/>
    <x v="2708"/>
    <n v="32472.77"/>
    <n v="0"/>
    <s v="732269-51096"/>
    <m/>
    <n v="69238.324789999999"/>
    <n v="0"/>
    <n v="89294"/>
  </r>
  <r>
    <x v="14"/>
    <s v="5864"/>
    <s v="Solbjerghaven Plejecenter"/>
    <n v="13297"/>
    <s v="1"/>
    <s v="Solbjerghaven Plejecenter"/>
    <x v="105"/>
    <x v="0"/>
    <x v="5"/>
    <n v="72149.25"/>
    <n v="2"/>
    <s v="2011-11-30"/>
    <n v="0"/>
    <n v="1571"/>
    <n v="45.922761000000001"/>
    <n v="2"/>
    <x v="2"/>
    <x v="2709"/>
    <n v="33838.04"/>
    <n v="0"/>
    <s v="732269-51096"/>
    <m/>
    <n v="72149.25765"/>
    <n v="0"/>
    <n v="89294"/>
  </r>
  <r>
    <x v="14"/>
    <s v="5864"/>
    <s v="Solbjerghaven Plejecenter"/>
    <n v="13297"/>
    <s v="1"/>
    <s v="Solbjerghaven Plejecenter"/>
    <x v="105"/>
    <x v="0"/>
    <x v="6"/>
    <n v="74970.539999999994"/>
    <n v="1"/>
    <s v="2011-11-30"/>
    <n v="0"/>
    <n v="1571"/>
    <n v="47.718502000000001"/>
    <n v="2"/>
    <x v="2"/>
    <x v="2710"/>
    <n v="35161.22"/>
    <n v="0"/>
    <s v="732269-51096"/>
    <m/>
    <n v="74970.547460000002"/>
    <n v="0"/>
    <n v="89294"/>
  </r>
  <r>
    <x v="14"/>
    <s v="007378"/>
    <s v="Gedevasevang Plejehjem, Hestetang 30"/>
    <n v="13870"/>
    <s v="0"/>
    <s v="Gedevasevang plejehjem"/>
    <x v="106"/>
    <x v="1"/>
    <x v="0"/>
    <n v="923.58"/>
    <n v="5"/>
    <s v="2013-03-31"/>
    <n v="0"/>
    <n v="1104"/>
    <n v="0.83650000000000002"/>
    <n v="3"/>
    <x v="0"/>
    <x v="2711"/>
    <n v="738.86"/>
    <n v="0"/>
    <s v="08GC378378"/>
    <m/>
    <n v="923.58600000000001"/>
    <n v="0"/>
    <n v="92221"/>
  </r>
  <r>
    <x v="14"/>
    <s v="007378"/>
    <s v="Gedevasevang Plejehjem, Hestetang 30"/>
    <n v="13870"/>
    <s v="0"/>
    <s v="Gedevasevang plejehjem"/>
    <x v="106"/>
    <x v="1"/>
    <x v="1"/>
    <n v="2207.9299999999998"/>
    <n v="11"/>
    <s v="2013-03-31"/>
    <n v="0"/>
    <n v="1104"/>
    <n v="1.9997549999999999"/>
    <n v="3"/>
    <x v="0"/>
    <x v="2712"/>
    <n v="1766.33"/>
    <n v="0"/>
    <s v="08GC378378"/>
    <m/>
    <n v="2207.9195"/>
    <n v="0"/>
    <n v="92221"/>
  </r>
  <r>
    <x v="14"/>
    <s v="007378"/>
    <s v="Gedevasevang Plejehjem, Hestetang 30"/>
    <n v="13870"/>
    <s v="0"/>
    <s v="Gedevasevang plejehjem"/>
    <x v="106"/>
    <x v="1"/>
    <x v="2"/>
    <n v="2434.6799999999998"/>
    <n v="1"/>
    <s v="2013-03-31"/>
    <n v="0"/>
    <n v="1104"/>
    <n v="2.2051259999999999"/>
    <n v="3"/>
    <x v="0"/>
    <x v="2713"/>
    <n v="1947.77"/>
    <n v="0"/>
    <s v="08GC378378"/>
    <m/>
    <n v="2434.6618600000002"/>
    <n v="0"/>
    <n v="92221"/>
  </r>
  <r>
    <x v="14"/>
    <s v="007378"/>
    <s v="Gedevasevang Plejehjem, Hestetang 30"/>
    <n v="13870"/>
    <s v="0"/>
    <s v="Gedevasevang plejehjem"/>
    <x v="106"/>
    <x v="1"/>
    <x v="3"/>
    <n v="2392.27"/>
    <n v="1"/>
    <s v="2013-03-31"/>
    <n v="0"/>
    <n v="1104"/>
    <n v="2.1667139999999998"/>
    <n v="3"/>
    <x v="0"/>
    <x v="2714"/>
    <n v="1913.86"/>
    <n v="0"/>
    <s v="08GC378378"/>
    <m/>
    <n v="2392.2749600000002"/>
    <n v="0"/>
    <n v="92221"/>
  </r>
  <r>
    <x v="14"/>
    <s v="007378"/>
    <s v="Gedevasevang Plejehjem, Hestetang 30"/>
    <n v="13870"/>
    <s v="0"/>
    <s v="Gedevasevang plejehjem"/>
    <x v="106"/>
    <x v="1"/>
    <x v="4"/>
    <n v="2458.3200000000002"/>
    <n v="3"/>
    <s v="2013-03-31"/>
    <n v="0"/>
    <n v="1104"/>
    <n v="2.226537"/>
    <n v="3"/>
    <x v="0"/>
    <x v="2715"/>
    <n v="1966.67"/>
    <n v="0"/>
    <s v="08GC378378"/>
    <m/>
    <n v="2458.3286899999998"/>
    <n v="0"/>
    <n v="92221"/>
  </r>
  <r>
    <x v="14"/>
    <s v="007378"/>
    <s v="Gedevasevang Plejehjem, Hestetang 30"/>
    <n v="13870"/>
    <s v="0"/>
    <s v="Gedevasevang plejehjem"/>
    <x v="106"/>
    <x v="1"/>
    <x v="5"/>
    <n v="2471.64"/>
    <n v="0"/>
    <s v="2013-03-31"/>
    <n v="0"/>
    <n v="1104"/>
    <n v="2.2386010000000001"/>
    <n v="3"/>
    <x v="0"/>
    <x v="2716"/>
    <n v="1977.34"/>
    <n v="0"/>
    <s v="08GC378378"/>
    <m/>
    <n v="2471.6307099999999"/>
    <n v="0"/>
    <n v="92221"/>
  </r>
  <r>
    <x v="14"/>
    <s v="007378"/>
    <s v="Gedevasevang Plejehjem, Hestetang 30"/>
    <n v="13870"/>
    <s v="0"/>
    <s v="Gedevasevang plejehjem"/>
    <x v="106"/>
    <x v="1"/>
    <x v="6"/>
    <n v="2478.42"/>
    <n v="1"/>
    <s v="2013-03-31"/>
    <n v="0"/>
    <n v="1104"/>
    <n v="2.244742"/>
    <n v="3"/>
    <x v="0"/>
    <x v="2717"/>
    <n v="1982.76"/>
    <n v="0"/>
    <s v="08GC378378"/>
    <m/>
    <n v="2478.4023000000002"/>
    <n v="0"/>
    <n v="92221"/>
  </r>
  <r>
    <x v="14"/>
    <s v="2447"/>
    <s v="Ryetbo Plejehjem"/>
    <n v="13869"/>
    <s v="2447"/>
    <s v="Ryetbo"/>
    <x v="107"/>
    <x v="1"/>
    <x v="0"/>
    <n v="609.16"/>
    <n v="5"/>
    <s v="2013-03-31"/>
    <n v="0"/>
    <n v="11569"/>
    <n v="5.2653999999999999E-2"/>
    <n v="3"/>
    <x v="0"/>
    <x v="2718"/>
    <n v="487.32"/>
    <n v="0"/>
    <s v="08GC353143"/>
    <m/>
    <n v="609.15200000000004"/>
    <n v="0"/>
    <n v="92219"/>
  </r>
  <r>
    <x v="14"/>
    <s v="2447"/>
    <s v="Ryetbo Plejehjem"/>
    <n v="13869"/>
    <s v="2447"/>
    <s v="Ryetbo"/>
    <x v="107"/>
    <x v="1"/>
    <x v="1"/>
    <n v="1620.92"/>
    <n v="11"/>
    <s v="2013-03-31"/>
    <n v="0"/>
    <n v="11569"/>
    <n v="0.14010700000000001"/>
    <n v="3"/>
    <x v="0"/>
    <x v="2719"/>
    <n v="1296.74"/>
    <n v="0"/>
    <s v="08GC353143"/>
    <m/>
    <n v="1620.9269999999999"/>
    <n v="0"/>
    <n v="92219"/>
  </r>
  <r>
    <x v="14"/>
    <s v="2447"/>
    <s v="Ryetbo Plejehjem"/>
    <n v="13869"/>
    <s v="2447"/>
    <s v="Ryetbo"/>
    <x v="107"/>
    <x v="1"/>
    <x v="2"/>
    <n v="1856"/>
    <n v="1"/>
    <s v="2013-03-31"/>
    <n v="0"/>
    <n v="11569"/>
    <n v="0.16042699999999999"/>
    <n v="3"/>
    <x v="0"/>
    <x v="2720"/>
    <n v="1484.82"/>
    <n v="0"/>
    <s v="08GC353143"/>
    <m/>
    <n v="1856.01722"/>
    <n v="0"/>
    <n v="92219"/>
  </r>
  <r>
    <x v="14"/>
    <s v="2447"/>
    <s v="Ryetbo Plejehjem"/>
    <n v="13869"/>
    <s v="2447"/>
    <s v="Ryetbo"/>
    <x v="107"/>
    <x v="1"/>
    <x v="3"/>
    <n v="1624.98"/>
    <n v="1"/>
    <s v="2013-03-31"/>
    <n v="0"/>
    <n v="11569"/>
    <n v="0.140458"/>
    <n v="3"/>
    <x v="0"/>
    <x v="2721"/>
    <n v="1300.04"/>
    <n v="0"/>
    <s v="08GC353143"/>
    <m/>
    <n v="1625.01151"/>
    <n v="0"/>
    <n v="92219"/>
  </r>
  <r>
    <x v="14"/>
    <s v="2447"/>
    <s v="Ryetbo Plejehjem"/>
    <n v="13869"/>
    <s v="2447"/>
    <s v="Ryetbo"/>
    <x v="107"/>
    <x v="1"/>
    <x v="4"/>
    <n v="1627.41"/>
    <n v="1"/>
    <s v="2013-03-31"/>
    <n v="0"/>
    <n v="11569"/>
    <n v="0.14066799999999999"/>
    <n v="3"/>
    <x v="0"/>
    <x v="2722"/>
    <n v="1301.92"/>
    <n v="0"/>
    <s v="08GC353143"/>
    <m/>
    <n v="1627.4328399999999"/>
    <n v="0"/>
    <n v="92219"/>
  </r>
  <r>
    <x v="14"/>
    <s v="2447"/>
    <s v="Ryetbo Plejehjem"/>
    <n v="13869"/>
    <s v="2447"/>
    <s v="Ryetbo"/>
    <x v="107"/>
    <x v="1"/>
    <x v="5"/>
    <n v="1490.88"/>
    <n v="1"/>
    <s v="2013-03-31"/>
    <n v="0"/>
    <n v="11569"/>
    <n v="0.12886700000000001"/>
    <n v="3"/>
    <x v="0"/>
    <x v="2723"/>
    <n v="1192.69"/>
    <n v="0"/>
    <s v="08GC353143"/>
    <m/>
    <n v="1490.8716899999999"/>
    <n v="0"/>
    <n v="92219"/>
  </r>
  <r>
    <x v="14"/>
    <s v="2447"/>
    <s v="Ryetbo Plejehjem"/>
    <n v="13869"/>
    <s v="2447"/>
    <s v="Ryetbo"/>
    <x v="107"/>
    <x v="1"/>
    <x v="6"/>
    <n v="450.17"/>
    <n v="1"/>
    <s v="2013-03-31"/>
    <n v="0"/>
    <n v="11569"/>
    <n v="3.8911000000000001E-2"/>
    <n v="3"/>
    <x v="0"/>
    <x v="2724"/>
    <n v="360.13"/>
    <n v="0"/>
    <s v="08GC353143"/>
    <m/>
    <n v="450.16667000000001"/>
    <n v="0"/>
    <n v="92219"/>
  </r>
  <r>
    <x v="14"/>
    <s v="007378"/>
    <s v="Gedevasevang Plejehjem, Hestetang 30"/>
    <n v="13870"/>
    <s v="0"/>
    <s v="Gedevasevang plejehjem"/>
    <x v="106"/>
    <x v="1"/>
    <x v="7"/>
    <n v="2445.0700000000002"/>
    <n v="12"/>
    <s v="2013-03-31"/>
    <n v="0"/>
    <n v="1104"/>
    <n v="2.2145359999999998"/>
    <n v="3"/>
    <x v="0"/>
    <x v="2725"/>
    <n v="1956.05"/>
    <n v="0"/>
    <s v="08GC378378"/>
    <m/>
    <n v="2445.0709999999999"/>
    <n v="0"/>
    <n v="92221"/>
  </r>
  <r>
    <x v="14"/>
    <s v="007378"/>
    <s v="Gedevasevang Plejehjem, Hestetang 30"/>
    <n v="13870"/>
    <s v="0"/>
    <s v="Gedevasevang plejehjem"/>
    <x v="106"/>
    <x v="1"/>
    <x v="7"/>
    <n v="133791.84"/>
    <n v="12"/>
    <s v="2013-03-31"/>
    <n v="0"/>
    <n v="1104"/>
    <n v="121.177284"/>
    <n v="1"/>
    <x v="6"/>
    <x v="2726"/>
    <n v="32415.75"/>
    <n v="0"/>
    <s v="1584004"/>
    <m/>
    <n v="11945.7"/>
    <n v="0"/>
    <n v="92669"/>
  </r>
  <r>
    <x v="14"/>
    <s v="007378"/>
    <s v="Gedevasevang Plejehjem, Hestetang 30"/>
    <n v="13870"/>
    <s v="0"/>
    <s v="Gedevasevang plejehjem"/>
    <x v="106"/>
    <x v="1"/>
    <x v="7"/>
    <n v="63094.03"/>
    <n v="12"/>
    <m/>
    <n v="0"/>
    <n v="1104"/>
    <n v="57.145212999999998"/>
    <n v="2"/>
    <x v="2"/>
    <x v="2727"/>
    <n v="18928.22"/>
    <n v="0"/>
    <s v="3107212"/>
    <m/>
    <n v="63094.031999999999"/>
    <n v="0"/>
    <n v="94115"/>
  </r>
  <r>
    <x v="14"/>
    <s v="007378"/>
    <s v="Gedevasevang Plejehjem, Hestetang 30"/>
    <n v="13870"/>
    <s v="0"/>
    <s v="Gedevasevang plejehjem"/>
    <x v="106"/>
    <x v="1"/>
    <x v="0"/>
    <n v="42528.639999999999"/>
    <n v="5"/>
    <s v="2013-03-31"/>
    <n v="0"/>
    <n v="1104"/>
    <n v="38.518828999999997"/>
    <n v="1"/>
    <x v="6"/>
    <x v="2728"/>
    <n v="9187.06"/>
    <n v="0"/>
    <s v="1584004"/>
    <m/>
    <n v="3797.2"/>
    <n v="0"/>
    <n v="92669"/>
  </r>
  <r>
    <x v="14"/>
    <s v="007378"/>
    <s v="Gedevasevang Plejehjem, Hestetang 30"/>
    <n v="13870"/>
    <s v="0"/>
    <s v="Gedevasevang plejehjem"/>
    <x v="106"/>
    <x v="1"/>
    <x v="1"/>
    <n v="291992.34000000003"/>
    <n v="10"/>
    <s v="2013-03-31"/>
    <n v="0"/>
    <n v="1104"/>
    <n v="264.46186"/>
    <n v="1"/>
    <x v="6"/>
    <x v="2729"/>
    <n v="62559.06"/>
    <n v="0"/>
    <s v="1584004"/>
    <m/>
    <n v="26070.745459999998"/>
    <n v="0"/>
    <n v="92669"/>
  </r>
  <r>
    <x v="14"/>
    <s v="007378"/>
    <s v="Gedevasevang Plejehjem, Hestetang 30"/>
    <n v="13870"/>
    <s v="0"/>
    <s v="Gedevasevang plejehjem"/>
    <x v="106"/>
    <x v="1"/>
    <x v="2"/>
    <n v="491387.66"/>
    <n v="3"/>
    <s v="2013-03-31"/>
    <n v="0"/>
    <n v="1104"/>
    <n v="445.05720400000001"/>
    <n v="1"/>
    <x v="6"/>
    <x v="2730"/>
    <n v="110842.48"/>
    <n v="0"/>
    <s v="1584004"/>
    <m/>
    <n v="43873.898990000002"/>
    <n v="0"/>
    <n v="92669"/>
  </r>
  <r>
    <x v="14"/>
    <s v="007378"/>
    <s v="Gedevasevang Plejehjem, Hestetang 30"/>
    <n v="13870"/>
    <s v="0"/>
    <s v="Gedevasevang plejehjem"/>
    <x v="106"/>
    <x v="1"/>
    <x v="3"/>
    <n v="436345.22"/>
    <n v="1"/>
    <s v="2013-03-31"/>
    <n v="0"/>
    <n v="1104"/>
    <n v="395.20443799999998"/>
    <n v="1"/>
    <x v="6"/>
    <x v="2731"/>
    <n v="103061.91"/>
    <n v="0"/>
    <s v="1584004"/>
    <m/>
    <n v="38959.392140000004"/>
    <n v="0"/>
    <n v="92669"/>
  </r>
  <r>
    <x v="14"/>
    <s v="007378"/>
    <s v="Gedevasevang Plejehjem, Hestetang 30"/>
    <n v="13870"/>
    <s v="0"/>
    <s v="Gedevasevang plejehjem"/>
    <x v="106"/>
    <x v="1"/>
    <x v="4"/>
    <n v="488307.68"/>
    <n v="1"/>
    <s v="2013-03-31"/>
    <n v="0"/>
    <n v="1104"/>
    <n v="442.26762000000002"/>
    <n v="1"/>
    <x v="6"/>
    <x v="2732"/>
    <n v="129804.73"/>
    <n v="0"/>
    <s v="1584004"/>
    <m/>
    <n v="43598.899310000001"/>
    <n v="0"/>
    <n v="92669"/>
  </r>
  <r>
    <x v="14"/>
    <s v="007378"/>
    <s v="Gedevasevang Plejehjem, Hestetang 30"/>
    <n v="13870"/>
    <s v="0"/>
    <s v="Gedevasevang plejehjem"/>
    <x v="106"/>
    <x v="1"/>
    <x v="5"/>
    <n v="475182.12"/>
    <n v="1"/>
    <s v="2013-03-31"/>
    <n v="0"/>
    <n v="1104"/>
    <n v="430.37960299999997"/>
    <n v="1"/>
    <x v="6"/>
    <x v="2733"/>
    <n v="137875.96"/>
    <n v="0"/>
    <s v="1584004"/>
    <m/>
    <n v="42426.975189999997"/>
    <n v="0"/>
    <n v="92669"/>
  </r>
  <r>
    <x v="14"/>
    <s v="007378"/>
    <s v="Gedevasevang Plejehjem, Hestetang 30"/>
    <n v="13870"/>
    <s v="0"/>
    <s v="Gedevasevang plejehjem"/>
    <x v="106"/>
    <x v="1"/>
    <x v="6"/>
    <n v="462852.97"/>
    <n v="1"/>
    <s v="2013-03-31"/>
    <n v="0"/>
    <n v="1104"/>
    <n v="419.21290599999998"/>
    <n v="1"/>
    <x v="6"/>
    <x v="2734"/>
    <n v="118691.84"/>
    <n v="0"/>
    <s v="1584004"/>
    <m/>
    <n v="41326.159910000002"/>
    <n v="0"/>
    <n v="92669"/>
  </r>
  <r>
    <x v="14"/>
    <s v="2447"/>
    <s v="Ryetbo Plejehjem"/>
    <n v="13869"/>
    <s v="2447"/>
    <s v="Ryetbo"/>
    <x v="107"/>
    <x v="1"/>
    <x v="0"/>
    <n v="122180"/>
    <n v="5"/>
    <s v="2013-03-31"/>
    <n v="0"/>
    <n v="11569"/>
    <n v="10.560890000000001"/>
    <n v="1"/>
    <x v="5"/>
    <x v="2735"/>
    <n v="8812.36"/>
    <n v="0"/>
    <s v="6166427"/>
    <m/>
    <n v="122.18"/>
    <n v="0"/>
    <n v="93836"/>
  </r>
  <r>
    <x v="14"/>
    <s v="2447"/>
    <s v="Ryetbo Plejehjem"/>
    <n v="13869"/>
    <s v="2447"/>
    <s v="Ryetbo"/>
    <x v="107"/>
    <x v="1"/>
    <x v="1"/>
    <n v="194113.12"/>
    <n v="11"/>
    <s v="2013-03-31"/>
    <n v="0"/>
    <n v="11569"/>
    <n v="16.778583999999999"/>
    <n v="1"/>
    <x v="5"/>
    <x v="2736"/>
    <n v="13055.87"/>
    <n v="0"/>
    <s v="6166427"/>
    <m/>
    <n v="194.11312000000001"/>
    <n v="0"/>
    <n v="93836"/>
  </r>
  <r>
    <x v="14"/>
    <s v="2447"/>
    <s v="Ryetbo Plejehjem"/>
    <n v="13869"/>
    <s v="2447"/>
    <s v="Ryetbo"/>
    <x v="107"/>
    <x v="1"/>
    <x v="2"/>
    <n v="253349.34"/>
    <n v="1"/>
    <s v="2013-03-31"/>
    <n v="0"/>
    <n v="11569"/>
    <n v="21.898793999999999"/>
    <n v="1"/>
    <x v="5"/>
    <x v="2737"/>
    <n v="50622.3"/>
    <n v="0"/>
    <s v="6166427"/>
    <m/>
    <n v="253.34934000000001"/>
    <n v="0"/>
    <n v="93836"/>
  </r>
  <r>
    <x v="14"/>
    <s v="2447"/>
    <s v="Ryetbo Plejehjem"/>
    <n v="13869"/>
    <s v="2447"/>
    <s v="Ryetbo"/>
    <x v="107"/>
    <x v="1"/>
    <x v="3"/>
    <n v="240458.48"/>
    <n v="1"/>
    <s v="2013-03-31"/>
    <n v="0"/>
    <n v="11569"/>
    <n v="20.784545000000001"/>
    <n v="1"/>
    <x v="5"/>
    <x v="2738"/>
    <n v="51802.879999999997"/>
    <n v="0"/>
    <s v="6166427"/>
    <m/>
    <n v="240.45848000000001"/>
    <n v="0"/>
    <n v="93836"/>
  </r>
  <r>
    <x v="14"/>
    <s v="2447"/>
    <s v="Ryetbo Plejehjem"/>
    <n v="13869"/>
    <s v="2447"/>
    <s v="Ryetbo"/>
    <x v="107"/>
    <x v="1"/>
    <x v="4"/>
    <n v="255452.05"/>
    <n v="1"/>
    <s v="2013-03-31"/>
    <n v="0"/>
    <n v="11569"/>
    <n v="22.080545999999998"/>
    <n v="1"/>
    <x v="5"/>
    <x v="2739"/>
    <n v="61706.41"/>
    <n v="0"/>
    <s v="6166427"/>
    <m/>
    <n v="255.45205000000001"/>
    <n v="0"/>
    <n v="93836"/>
  </r>
  <r>
    <x v="14"/>
    <s v="2447"/>
    <s v="Ryetbo Plejehjem"/>
    <n v="13869"/>
    <s v="2447"/>
    <s v="Ryetbo"/>
    <x v="107"/>
    <x v="1"/>
    <x v="5"/>
    <n v="230628.6"/>
    <n v="1"/>
    <s v="2013-03-31"/>
    <n v="0"/>
    <n v="11569"/>
    <n v="19.934878000000001"/>
    <n v="1"/>
    <x v="5"/>
    <x v="2740"/>
    <n v="59492.29"/>
    <n v="0"/>
    <s v="6166427"/>
    <m/>
    <n v="230.62860000000001"/>
    <n v="0"/>
    <n v="93836"/>
  </r>
  <r>
    <x v="14"/>
    <s v="2447"/>
    <s v="Ryetbo Plejehjem"/>
    <n v="13869"/>
    <s v="2447"/>
    <s v="Ryetbo"/>
    <x v="107"/>
    <x v="1"/>
    <x v="6"/>
    <n v="66108.39"/>
    <n v="2"/>
    <s v="2013-03-31"/>
    <n v="0"/>
    <n v="11569"/>
    <n v="5.7142200000000001"/>
    <n v="1"/>
    <x v="5"/>
    <x v="2741"/>
    <n v="12776.9"/>
    <n v="0"/>
    <s v="6166427"/>
    <m/>
    <n v="66.10839"/>
    <n v="0"/>
    <n v="93836"/>
  </r>
  <r>
    <x v="14"/>
    <m/>
    <s v="Skovgården, Skov 1"/>
    <n v="9520"/>
    <m/>
    <s v="Skovgården 1"/>
    <x v="104"/>
    <x v="1"/>
    <x v="0"/>
    <n v="78802.55"/>
    <n v="5"/>
    <m/>
    <n v="0"/>
    <n v="1935"/>
    <n v="40.722726999999999"/>
    <n v="1"/>
    <x v="3"/>
    <x v="2742"/>
    <n v="163.32"/>
    <n v="1"/>
    <s v="977808/2000"/>
    <m/>
    <n v="2258.6"/>
    <n v="74437"/>
    <n v="74438"/>
  </r>
  <r>
    <x v="14"/>
    <m/>
    <s v="Skovgården, Skov 1"/>
    <n v="9520"/>
    <m/>
    <s v="Skovgården 1"/>
    <x v="104"/>
    <x v="1"/>
    <x v="1"/>
    <n v="189979.51999999999"/>
    <n v="12"/>
    <m/>
    <n v="0"/>
    <n v="1935"/>
    <n v="98.175556"/>
    <n v="1"/>
    <x v="3"/>
    <x v="2743"/>
    <n v="370.36"/>
    <n v="1"/>
    <s v="977808/2000"/>
    <m/>
    <n v="5445.1"/>
    <n v="74437"/>
    <n v="74438"/>
  </r>
  <r>
    <x v="14"/>
    <m/>
    <s v="Skovgården, Skov 1"/>
    <n v="9520"/>
    <m/>
    <s v="Skovgården 1"/>
    <x v="104"/>
    <x v="1"/>
    <x v="2"/>
    <n v="173431.22"/>
    <n v="12"/>
    <m/>
    <n v="0"/>
    <n v="1935"/>
    <n v="89.623904999999993"/>
    <n v="1"/>
    <x v="3"/>
    <x v="2744"/>
    <n v="965.42"/>
    <n v="1"/>
    <s v="977808/2000"/>
    <m/>
    <n v="4970.8"/>
    <n v="74437"/>
    <n v="74438"/>
  </r>
  <r>
    <x v="14"/>
    <m/>
    <s v="Skovgården, Skov 1"/>
    <n v="9520"/>
    <m/>
    <s v="Skovgården 1"/>
    <x v="104"/>
    <x v="1"/>
    <x v="3"/>
    <n v="168382.62"/>
    <n v="12"/>
    <m/>
    <n v="0"/>
    <n v="1935"/>
    <n v="87.014944"/>
    <n v="1"/>
    <x v="3"/>
    <x v="2745"/>
    <n v="968.08"/>
    <n v="1"/>
    <s v="977808/2000"/>
    <m/>
    <n v="4826.1000000000004"/>
    <n v="74437"/>
    <n v="74438"/>
  </r>
  <r>
    <x v="14"/>
    <m/>
    <s v="Skovgården, Skov 1"/>
    <n v="9520"/>
    <m/>
    <s v="Skovgården 1"/>
    <x v="104"/>
    <x v="1"/>
    <x v="4"/>
    <n v="212794.09"/>
    <n v="12"/>
    <m/>
    <n v="0"/>
    <n v="1935"/>
    <n v="109.965422"/>
    <n v="1"/>
    <x v="3"/>
    <x v="2746"/>
    <n v="1030.76"/>
    <n v="1"/>
    <s v="977808/2000"/>
    <m/>
    <n v="6099"/>
    <n v="74437"/>
    <n v="74438"/>
  </r>
  <r>
    <x v="14"/>
    <m/>
    <s v="Skovgården, Skov 1"/>
    <n v="9520"/>
    <m/>
    <s v="Skovgården 1"/>
    <x v="104"/>
    <x v="1"/>
    <x v="5"/>
    <n v="169837.55"/>
    <n v="12"/>
    <m/>
    <n v="0"/>
    <n v="1935"/>
    <n v="87.766807"/>
    <n v="1"/>
    <x v="3"/>
    <x v="2747"/>
    <n v="1306.79"/>
    <n v="1"/>
    <s v="977808/2000"/>
    <m/>
    <n v="4867.8"/>
    <n v="74437"/>
    <n v="74438"/>
  </r>
  <r>
    <x v="14"/>
    <m/>
    <s v="Skovgården, Skov 1"/>
    <n v="9520"/>
    <m/>
    <s v="Skovgården 1"/>
    <x v="104"/>
    <x v="1"/>
    <x v="6"/>
    <n v="132742.5"/>
    <n v="12"/>
    <m/>
    <n v="0"/>
    <n v="1935"/>
    <n v="68.597229999999996"/>
    <n v="1"/>
    <x v="3"/>
    <x v="2748"/>
    <n v="827.45"/>
    <n v="1"/>
    <s v="977808/2000"/>
    <m/>
    <n v="3804.6"/>
    <n v="74437"/>
    <n v="74438"/>
  </r>
  <r>
    <x v="14"/>
    <s v="2447"/>
    <s v="Ryetbo Plejehjem"/>
    <n v="13869"/>
    <s v="2447"/>
    <s v="Ryetbo"/>
    <x v="107"/>
    <x v="1"/>
    <x v="7"/>
    <n v="180060"/>
    <n v="12"/>
    <s v="2013-03-31"/>
    <n v="0"/>
    <n v="11569"/>
    <n v="15.563872"/>
    <n v="1"/>
    <x v="5"/>
    <x v="2749"/>
    <n v="13590.89"/>
    <n v="0"/>
    <s v="6166427"/>
    <m/>
    <n v="180.06"/>
    <n v="0"/>
    <n v="93836"/>
  </r>
  <r>
    <x v="14"/>
    <s v="2447"/>
    <s v="Ryetbo Plejehjem"/>
    <n v="13869"/>
    <s v="2447"/>
    <s v="Ryetbo"/>
    <x v="107"/>
    <x v="1"/>
    <x v="7"/>
    <n v="611997.68000000005"/>
    <n v="12"/>
    <s v="2013-03-31"/>
    <n v="0"/>
    <n v="11569"/>
    <n v="52.899332999999999"/>
    <n v="2"/>
    <x v="2"/>
    <x v="2750"/>
    <n v="183599.31"/>
    <n v="0"/>
    <s v="139938"/>
    <s v="74110510271"/>
    <n v="611997.68000000005"/>
    <n v="0"/>
    <n v="92218"/>
  </r>
  <r>
    <x v="14"/>
    <s v="2447"/>
    <s v="Ryetbo Plejehjem"/>
    <n v="13869"/>
    <s v="2447"/>
    <s v="Ryetbo"/>
    <x v="107"/>
    <x v="1"/>
    <x v="7"/>
    <n v="1593.18"/>
    <n v="12"/>
    <s v="2013-03-31"/>
    <n v="0"/>
    <n v="11569"/>
    <n v="0.137709"/>
    <n v="3"/>
    <x v="0"/>
    <x v="2751"/>
    <n v="1274.56"/>
    <n v="0"/>
    <s v="08GC353143"/>
    <m/>
    <n v="1593.1869999999999"/>
    <n v="0"/>
    <n v="92219"/>
  </r>
  <r>
    <x v="14"/>
    <m/>
    <s v="Skovgården, Skov 1"/>
    <n v="9520"/>
    <m/>
    <s v="Skovgården 1"/>
    <x v="104"/>
    <x v="1"/>
    <x v="7"/>
    <n v="148547.69"/>
    <n v="12"/>
    <m/>
    <n v="0"/>
    <n v="1935"/>
    <n v="76.764864000000003"/>
    <n v="1"/>
    <x v="3"/>
    <x v="2752"/>
    <n v="321.64999999999998"/>
    <n v="1"/>
    <s v="977808/2000"/>
    <m/>
    <n v="4257.6000000000004"/>
    <n v="74437"/>
    <n v="74438"/>
  </r>
  <r>
    <x v="14"/>
    <s v="007378"/>
    <s v="Gedevasevang Plejehjem, Hestetang 30"/>
    <n v="13870"/>
    <s v="0"/>
    <s v="Gedevasevang plejehjem"/>
    <x v="106"/>
    <x v="1"/>
    <x v="0"/>
    <n v="0"/>
    <n v="5"/>
    <m/>
    <n v="0"/>
    <n v="1104"/>
    <n v="23.906312"/>
    <n v="2"/>
    <x v="2"/>
    <x v="2753"/>
    <n v="7918.49"/>
    <n v="0"/>
    <s v="3107212"/>
    <m/>
    <n v="26394.954000000002"/>
    <n v="0"/>
    <n v="94115"/>
  </r>
  <r>
    <x v="14"/>
    <s v="007378"/>
    <s v="Gedevasevang Plejehjem, Hestetang 30"/>
    <n v="13870"/>
    <s v="0"/>
    <s v="Gedevasevang plejehjem"/>
    <x v="106"/>
    <x v="1"/>
    <x v="1"/>
    <n v="44687.08"/>
    <n v="9"/>
    <m/>
    <n v="0"/>
    <n v="1104"/>
    <n v="40.473761000000003"/>
    <n v="2"/>
    <x v="2"/>
    <x v="2754"/>
    <n v="13406.12"/>
    <n v="0"/>
    <s v="3107212"/>
    <m/>
    <n v="44687.088000000003"/>
    <n v="0"/>
    <n v="94115"/>
  </r>
  <r>
    <x v="14"/>
    <s v="007378"/>
    <s v="Gedevasevang Plejehjem, Hestetang 30"/>
    <n v="13870"/>
    <s v="0"/>
    <s v="Gedevasevang plejehjem"/>
    <x v="106"/>
    <x v="1"/>
    <x v="1"/>
    <n v="15396.8"/>
    <n v="1"/>
    <s v="2013-03-31"/>
    <n v="0"/>
    <n v="1104"/>
    <n v="13.945112999999999"/>
    <n v="2"/>
    <x v="2"/>
    <x v="2755"/>
    <n v="4619.04"/>
    <n v="0"/>
    <s v="3107212"/>
    <s v="74111786781"/>
    <n v="15396.796340000001"/>
    <n v="0"/>
    <n v="92220"/>
  </r>
  <r>
    <x v="14"/>
    <s v="007378"/>
    <s v="Gedevasevang Plejehjem, Hestetang 30"/>
    <n v="13870"/>
    <s v="0"/>
    <s v="Gedevasevang plejehjem"/>
    <x v="106"/>
    <x v="1"/>
    <x v="2"/>
    <n v="63332.81"/>
    <n v="1"/>
    <s v="2013-03-31"/>
    <n v="0"/>
    <n v="1104"/>
    <n v="57.361479000000003"/>
    <n v="2"/>
    <x v="2"/>
    <x v="2756"/>
    <n v="25333.1"/>
    <n v="0"/>
    <s v="3107212"/>
    <s v="74111786781"/>
    <n v="63332.816910000001"/>
    <n v="0"/>
    <n v="92220"/>
  </r>
  <r>
    <x v="14"/>
    <s v="007378"/>
    <s v="Gedevasevang Plejehjem, Hestetang 30"/>
    <n v="13870"/>
    <s v="0"/>
    <s v="Gedevasevang plejehjem"/>
    <x v="106"/>
    <x v="1"/>
    <x v="3"/>
    <n v="63921.13"/>
    <n v="1"/>
    <s v="2013-03-31"/>
    <n v="0"/>
    <n v="1104"/>
    <n v="57.894329999999997"/>
    <n v="2"/>
    <x v="2"/>
    <x v="2757"/>
    <n v="29979.01"/>
    <n v="0"/>
    <s v="3107212"/>
    <s v="74111786781"/>
    <n v="63921.136720000002"/>
    <n v="0"/>
    <n v="92220"/>
  </r>
  <r>
    <x v="14"/>
    <s v="007378"/>
    <s v="Gedevasevang Plejehjem, Hestetang 30"/>
    <n v="13870"/>
    <s v="0"/>
    <s v="Gedevasevang plejehjem"/>
    <x v="106"/>
    <x v="1"/>
    <x v="4"/>
    <n v="64759.38"/>
    <n v="5"/>
    <s v="2013-03-31"/>
    <n v="0"/>
    <n v="1104"/>
    <n v="58.653545000000001"/>
    <n v="2"/>
    <x v="2"/>
    <x v="2758"/>
    <n v="30372.15"/>
    <n v="0"/>
    <s v="3107212"/>
    <s v="74111786781"/>
    <n v="64759.38697"/>
    <n v="0"/>
    <n v="92220"/>
  </r>
  <r>
    <x v="14"/>
    <s v="007378"/>
    <s v="Gedevasevang Plejehjem, Hestetang 30"/>
    <n v="13870"/>
    <s v="0"/>
    <s v="Gedevasevang plejehjem"/>
    <x v="106"/>
    <x v="1"/>
    <x v="5"/>
    <n v="69390.03"/>
    <n v="1"/>
    <s v="2013-03-31"/>
    <n v="0"/>
    <n v="1104"/>
    <n v="62.847594999999998"/>
    <n v="2"/>
    <x v="2"/>
    <x v="2759"/>
    <n v="32543.919999999998"/>
    <n v="0"/>
    <s v="3107212"/>
    <s v="74111786781"/>
    <n v="69390.015700000004"/>
    <n v="0"/>
    <n v="92220"/>
  </r>
  <r>
    <x v="14"/>
    <s v="007378"/>
    <s v="Gedevasevang Plejehjem, Hestetang 30"/>
    <n v="13870"/>
    <s v="0"/>
    <s v="Gedevasevang plejehjem"/>
    <x v="106"/>
    <x v="1"/>
    <x v="6"/>
    <n v="62679.81"/>
    <n v="1"/>
    <s v="2013-03-31"/>
    <n v="0"/>
    <n v="1104"/>
    <n v="56.770048000000003"/>
    <n v="2"/>
    <x v="2"/>
    <x v="2760"/>
    <n v="29396.82"/>
    <n v="0"/>
    <s v="3107212"/>
    <s v="74111786781"/>
    <n v="62679.84734"/>
    <n v="0"/>
    <n v="92220"/>
  </r>
  <r>
    <x v="14"/>
    <s v="2447"/>
    <s v="Ryetbo Plejehjem"/>
    <n v="13869"/>
    <s v="2447"/>
    <s v="Ryetbo"/>
    <x v="107"/>
    <x v="1"/>
    <x v="0"/>
    <n v="0"/>
    <n v="5"/>
    <s v="2013-03-31"/>
    <n v="0"/>
    <n v="11569"/>
    <n v="21.379633999999999"/>
    <n v="2"/>
    <x v="2"/>
    <x v="2761"/>
    <n v="74202.95"/>
    <n v="0"/>
    <s v="139938"/>
    <s v="74110510271"/>
    <n v="247343.13"/>
    <n v="0"/>
    <n v="92218"/>
  </r>
  <r>
    <x v="14"/>
    <s v="2447"/>
    <s v="Ryetbo Plejehjem"/>
    <n v="13869"/>
    <s v="2447"/>
    <s v="Ryetbo"/>
    <x v="107"/>
    <x v="1"/>
    <x v="1"/>
    <n v="501064.93"/>
    <n v="11"/>
    <s v="2013-03-31"/>
    <n v="0"/>
    <n v="11569"/>
    <n v="43.310623"/>
    <n v="2"/>
    <x v="2"/>
    <x v="2762"/>
    <n v="150319.49"/>
    <n v="0"/>
    <s v="139938"/>
    <s v="74110510271"/>
    <n v="501064.93"/>
    <n v="0"/>
    <n v="92218"/>
  </r>
  <r>
    <x v="14"/>
    <s v="2447"/>
    <s v="Ryetbo Plejehjem"/>
    <n v="13869"/>
    <s v="2447"/>
    <s v="Ryetbo"/>
    <x v="107"/>
    <x v="1"/>
    <x v="1"/>
    <n v="114054.19"/>
    <n v="1"/>
    <s v="2013-03-06"/>
    <n v="0"/>
    <n v="11569"/>
    <n v="9.8585180000000001"/>
    <n v="2"/>
    <x v="2"/>
    <x v="2763"/>
    <n v="34216.26"/>
    <n v="0"/>
    <s v="NEDTAGET"/>
    <m/>
    <n v="114054.19355"/>
    <n v="0"/>
    <n v="94101"/>
  </r>
  <r>
    <x v="14"/>
    <s v="2447"/>
    <s v="Ryetbo Plejehjem"/>
    <n v="13869"/>
    <s v="2447"/>
    <s v="Ryetbo"/>
    <x v="107"/>
    <x v="1"/>
    <x v="2"/>
    <n v="640848.92000000004"/>
    <n v="1"/>
    <s v="2013-03-06"/>
    <n v="0"/>
    <n v="11569"/>
    <n v="55.393152000000001"/>
    <n v="2"/>
    <x v="2"/>
    <x v="2764"/>
    <n v="256339.57"/>
    <n v="0"/>
    <s v="NEDTAGET"/>
    <m/>
    <n v="640848.92434000003"/>
    <n v="0"/>
    <n v="94101"/>
  </r>
  <r>
    <x v="14"/>
    <s v="2447"/>
    <s v="Ryetbo Plejehjem"/>
    <n v="13869"/>
    <s v="2447"/>
    <s v="Ryetbo"/>
    <x v="107"/>
    <x v="1"/>
    <x v="3"/>
    <n v="20180.77"/>
    <n v="1"/>
    <s v="2011-01-10"/>
    <n v="0"/>
    <n v="11569"/>
    <n v="1.7443679999999999"/>
    <n v="2"/>
    <x v="2"/>
    <x v="2765"/>
    <n v="9464.7800000000007"/>
    <n v="0"/>
    <s v="NEDTAGET"/>
    <m/>
    <n v="20180.769230000002"/>
    <n v="0"/>
    <n v="94102"/>
  </r>
  <r>
    <x v="14"/>
    <s v="2447"/>
    <s v="Ryetbo Plejehjem"/>
    <n v="13869"/>
    <s v="2447"/>
    <s v="Ryetbo"/>
    <x v="107"/>
    <x v="1"/>
    <x v="3"/>
    <n v="613576.9"/>
    <n v="2"/>
    <s v="2013-03-06"/>
    <n v="0"/>
    <n v="11569"/>
    <n v="53.035836000000003"/>
    <n v="2"/>
    <x v="2"/>
    <x v="2766"/>
    <n v="287767.55"/>
    <n v="0"/>
    <s v="NEDTAGET"/>
    <m/>
    <n v="613576.88214999996"/>
    <n v="0"/>
    <n v="94101"/>
  </r>
  <r>
    <x v="14"/>
    <s v="2447"/>
    <s v="Ryetbo Plejehjem"/>
    <n v="13869"/>
    <s v="2447"/>
    <s v="Ryetbo"/>
    <x v="107"/>
    <x v="1"/>
    <x v="4"/>
    <n v="695505.5"/>
    <n v="1"/>
    <s v="2011-01-10"/>
    <n v="0"/>
    <n v="11569"/>
    <n v="60.117511"/>
    <n v="2"/>
    <x v="2"/>
    <x v="2767"/>
    <n v="326192.11"/>
    <n v="0"/>
    <s v="NEDTAGET"/>
    <m/>
    <n v="695505.53212999995"/>
    <n v="0"/>
    <n v="94102"/>
  </r>
  <r>
    <x v="14"/>
    <s v="2447"/>
    <s v="Ryetbo Plejehjem"/>
    <n v="13869"/>
    <s v="2447"/>
    <s v="Ryetbo"/>
    <x v="107"/>
    <x v="1"/>
    <x v="5"/>
    <n v="656511.49"/>
    <n v="1"/>
    <s v="2011-01-10"/>
    <n v="0"/>
    <n v="11569"/>
    <n v="56.746980000000001"/>
    <n v="2"/>
    <x v="2"/>
    <x v="2768"/>
    <n v="307903.90000000002"/>
    <n v="0"/>
    <s v="NEDTAGET"/>
    <m/>
    <n v="656511.50687000004"/>
    <n v="0"/>
    <n v="94102"/>
  </r>
  <r>
    <x v="14"/>
    <s v="2447"/>
    <s v="Ryetbo Plejehjem"/>
    <n v="13869"/>
    <s v="2447"/>
    <s v="Ryetbo"/>
    <x v="107"/>
    <x v="1"/>
    <x v="6"/>
    <n v="647921.81000000006"/>
    <n v="1"/>
    <s v="2011-01-10"/>
    <n v="0"/>
    <n v="11569"/>
    <n v="56.004511999999998"/>
    <n v="2"/>
    <x v="2"/>
    <x v="2769"/>
    <n v="303875.34999999998"/>
    <n v="0"/>
    <s v="NEDTAGET"/>
    <m/>
    <n v="647921.84857000003"/>
    <n v="0"/>
    <n v="94102"/>
  </r>
  <r>
    <x v="6"/>
    <m/>
    <s v="Hareskov gl. bibliotek, Hareskov Skole, POP13"/>
    <n v="10230"/>
    <m/>
    <s v="1.st. klasse huset, Hareskov Skole"/>
    <x v="108"/>
    <x v="0"/>
    <x v="7"/>
    <n v="125.3"/>
    <n v="12"/>
    <s v="2011-12-31"/>
    <n v="0"/>
    <n v="711"/>
    <n v="0.176205"/>
    <n v="3"/>
    <x v="0"/>
    <x v="2770"/>
    <n v="100.24"/>
    <n v="0"/>
    <s v="42150"/>
    <m/>
    <n v="125.3"/>
    <n v="0"/>
    <n v="77502"/>
  </r>
  <r>
    <x v="6"/>
    <m/>
    <s v="Hareskov gl. bibliotek, Hareskov Skole, POP13"/>
    <n v="10230"/>
    <m/>
    <s v="1.st. klasse huset, Hareskov Skole"/>
    <x v="108"/>
    <x v="0"/>
    <x v="7"/>
    <n v="50389"/>
    <n v="12"/>
    <m/>
    <n v="0"/>
    <n v="711"/>
    <n v="70.860637999999994"/>
    <n v="1"/>
    <x v="1"/>
    <x v="2771"/>
    <n v="11071.32"/>
    <n v="0"/>
    <s v="2729798/2006"/>
    <m/>
    <n v="50389.000099999997"/>
    <n v="0"/>
    <n v="90964"/>
  </r>
  <r>
    <x v="6"/>
    <m/>
    <s v="Egeskolen, Jon 150/286"/>
    <n v="9224"/>
    <m/>
    <s v="Egeskolen (under Jonstrup gl. seminarium)"/>
    <x v="109"/>
    <x v="0"/>
    <x v="1"/>
    <n v="84551.05"/>
    <n v="12"/>
    <m/>
    <n v="0"/>
    <n v="4404"/>
    <n v="19.198257999999999"/>
    <n v="2"/>
    <x v="2"/>
    <x v="2772"/>
    <n v="25365.32"/>
    <n v="0"/>
    <s v="459312"/>
    <s v="5713131 74113161562"/>
    <n v="84551.032999999996"/>
    <n v="0"/>
    <n v="72740"/>
  </r>
  <r>
    <x v="6"/>
    <m/>
    <s v="Egeskolen, Jon 150/286"/>
    <n v="9224"/>
    <m/>
    <s v="Egeskolen (under Jonstrup gl. seminarium)"/>
    <x v="109"/>
    <x v="0"/>
    <x v="0"/>
    <n v="0"/>
    <n v="5"/>
    <m/>
    <n v="0"/>
    <n v="4404"/>
    <n v="5.6309999999999997E-3"/>
    <n v="3"/>
    <x v="0"/>
    <x v="2773"/>
    <n v="0"/>
    <n v="1"/>
    <s v="V.Vand"/>
    <m/>
    <n v="24.803999999999998"/>
    <n v="0"/>
    <n v="72741"/>
  </r>
  <r>
    <x v="6"/>
    <m/>
    <s v="Egeskolen, Jon 150/286"/>
    <n v="9224"/>
    <m/>
    <s v="Egeskolen (under Jonstrup gl. seminarium)"/>
    <x v="109"/>
    <x v="0"/>
    <x v="0"/>
    <n v="0"/>
    <n v="5"/>
    <m/>
    <n v="0"/>
    <n v="4404"/>
    <n v="1.8473E-2"/>
    <n v="3"/>
    <x v="0"/>
    <x v="2774"/>
    <n v="0"/>
    <n v="1"/>
    <m/>
    <m/>
    <n v="81.36"/>
    <n v="0"/>
    <n v="77266"/>
  </r>
  <r>
    <x v="6"/>
    <m/>
    <s v="Egeskolen, Jon 150/286"/>
    <n v="9224"/>
    <m/>
    <s v="Egeskolen (under Jonstrup gl. seminarium)"/>
    <x v="109"/>
    <x v="0"/>
    <x v="0"/>
    <n v="329"/>
    <n v="5"/>
    <s v="2012-08-31"/>
    <n v="0"/>
    <n v="4404"/>
    <n v="3.1958E-2"/>
    <n v="3"/>
    <x v="0"/>
    <x v="2775"/>
    <n v="112.59"/>
    <n v="0"/>
    <s v="Hovedmåler i brønd"/>
    <m/>
    <n v="140.74299999999999"/>
    <n v="0"/>
    <n v="77272"/>
  </r>
  <r>
    <x v="6"/>
    <m/>
    <s v="Egeskolen, Jon 150/286"/>
    <n v="9224"/>
    <m/>
    <s v="Egeskolen (under Jonstrup gl. seminarium)"/>
    <x v="109"/>
    <x v="0"/>
    <x v="1"/>
    <n v="88.62"/>
    <n v="12"/>
    <m/>
    <n v="0"/>
    <n v="4404"/>
    <n v="2.0122000000000001E-2"/>
    <n v="3"/>
    <x v="0"/>
    <x v="2776"/>
    <n v="0"/>
    <n v="1"/>
    <s v="V.Vand"/>
    <m/>
    <n v="88.622"/>
    <n v="0"/>
    <n v="72741"/>
  </r>
  <r>
    <x v="6"/>
    <m/>
    <s v="Egeskolen, Jon 150/286"/>
    <n v="9224"/>
    <m/>
    <s v="Egeskolen (under Jonstrup gl. seminarium)"/>
    <x v="109"/>
    <x v="0"/>
    <x v="1"/>
    <n v="259.20999999999998"/>
    <n v="12"/>
    <m/>
    <n v="0"/>
    <n v="4404"/>
    <n v="5.8855999999999999E-2"/>
    <n v="3"/>
    <x v="0"/>
    <x v="2777"/>
    <n v="0"/>
    <n v="1"/>
    <m/>
    <m/>
    <n v="259.20999999999998"/>
    <n v="0"/>
    <n v="77266"/>
  </r>
  <r>
    <x v="6"/>
    <m/>
    <s v="Egeskolen, Jon 150/286"/>
    <n v="9224"/>
    <m/>
    <s v="Egeskolen (under Jonstrup gl. seminarium)"/>
    <x v="109"/>
    <x v="0"/>
    <x v="1"/>
    <n v="443.03"/>
    <n v="12"/>
    <s v="2012-08-31"/>
    <n v="0"/>
    <n v="4404"/>
    <n v="0.100594"/>
    <n v="3"/>
    <x v="0"/>
    <x v="2778"/>
    <n v="354.42"/>
    <n v="0"/>
    <s v="Hovedmåler i brønd"/>
    <m/>
    <n v="443.03199999999998"/>
    <n v="0"/>
    <n v="77272"/>
  </r>
  <r>
    <x v="6"/>
    <m/>
    <s v="Egeskolen, Jon 150/286"/>
    <n v="9224"/>
    <m/>
    <s v="Egeskolen (under Jonstrup gl. seminarium)"/>
    <x v="109"/>
    <x v="0"/>
    <x v="2"/>
    <n v="67.05"/>
    <n v="12"/>
    <m/>
    <n v="0"/>
    <n v="4404"/>
    <n v="1.5224E-2"/>
    <n v="3"/>
    <x v="0"/>
    <x v="2779"/>
    <n v="0"/>
    <n v="1"/>
    <s v="V.Vand"/>
    <m/>
    <n v="67.061000000000007"/>
    <n v="0"/>
    <n v="72741"/>
  </r>
  <r>
    <x v="6"/>
    <m/>
    <s v="Egeskolen, Jon 150/286"/>
    <n v="9224"/>
    <m/>
    <s v="Egeskolen (under Jonstrup gl. seminarium)"/>
    <x v="109"/>
    <x v="0"/>
    <x v="2"/>
    <n v="240.27"/>
    <n v="12"/>
    <m/>
    <n v="0"/>
    <n v="4404"/>
    <n v="5.4554999999999999E-2"/>
    <n v="3"/>
    <x v="0"/>
    <x v="2780"/>
    <n v="0"/>
    <n v="1"/>
    <m/>
    <m/>
    <n v="240.27"/>
    <n v="0"/>
    <n v="77266"/>
  </r>
  <r>
    <x v="6"/>
    <m/>
    <s v="Egeskolen, Jon 150/286"/>
    <n v="9224"/>
    <m/>
    <s v="Egeskolen (under Jonstrup gl. seminarium)"/>
    <x v="109"/>
    <x v="0"/>
    <x v="2"/>
    <n v="520.16"/>
    <n v="10"/>
    <s v="2012-08-31"/>
    <n v="0"/>
    <n v="4404"/>
    <n v="0.118108"/>
    <n v="3"/>
    <x v="0"/>
    <x v="2781"/>
    <n v="416.13"/>
    <n v="0"/>
    <s v="Hovedmåler i brønd"/>
    <m/>
    <n v="520.16355999999996"/>
    <n v="0"/>
    <n v="77272"/>
  </r>
  <r>
    <x v="6"/>
    <m/>
    <s v="Egeskolen, Jon 150/286"/>
    <n v="9224"/>
    <m/>
    <s v="Egeskolen (under Jonstrup gl. seminarium)"/>
    <x v="109"/>
    <x v="0"/>
    <x v="3"/>
    <n v="12.51"/>
    <n v="12"/>
    <m/>
    <n v="0"/>
    <n v="4404"/>
    <n v="2.8400000000000001E-3"/>
    <n v="3"/>
    <x v="0"/>
    <x v="2782"/>
    <n v="0"/>
    <n v="1"/>
    <s v="V.Vand"/>
    <m/>
    <n v="12.515000000000001"/>
    <n v="0"/>
    <n v="72741"/>
  </r>
  <r>
    <x v="6"/>
    <m/>
    <s v="Egeskolen, Jon 150/286"/>
    <n v="9224"/>
    <m/>
    <s v="Egeskolen (under Jonstrup gl. seminarium)"/>
    <x v="109"/>
    <x v="0"/>
    <x v="3"/>
    <n v="404.22"/>
    <n v="12"/>
    <m/>
    <n v="0"/>
    <n v="4404"/>
    <n v="9.1782000000000002E-2"/>
    <n v="3"/>
    <x v="0"/>
    <x v="2783"/>
    <n v="0"/>
    <n v="1"/>
    <m/>
    <m/>
    <n v="404.22"/>
    <n v="0"/>
    <n v="77266"/>
  </r>
  <r>
    <x v="6"/>
    <m/>
    <s v="Egeskolen, Jon 150/286"/>
    <n v="9224"/>
    <m/>
    <s v="Egeskolen (under Jonstrup gl. seminarium)"/>
    <x v="109"/>
    <x v="0"/>
    <x v="3"/>
    <n v="531.49"/>
    <n v="11"/>
    <s v="2012-08-31"/>
    <n v="0"/>
    <n v="4404"/>
    <n v="0.12068"/>
    <n v="3"/>
    <x v="0"/>
    <x v="2784"/>
    <n v="425.19"/>
    <n v="0"/>
    <s v="Hovedmåler i brønd"/>
    <m/>
    <n v="531.48562000000004"/>
    <n v="0"/>
    <n v="77272"/>
  </r>
  <r>
    <x v="6"/>
    <m/>
    <s v="Egeskolen, Jon 150/286"/>
    <n v="9224"/>
    <m/>
    <s v="Egeskolen (under Jonstrup gl. seminarium)"/>
    <x v="109"/>
    <x v="0"/>
    <x v="4"/>
    <n v="87.09"/>
    <n v="12"/>
    <m/>
    <n v="0"/>
    <n v="4404"/>
    <n v="1.9774E-2"/>
    <n v="3"/>
    <x v="0"/>
    <x v="2785"/>
    <n v="0"/>
    <n v="1"/>
    <s v="V.Vand"/>
    <m/>
    <n v="87.081670000000003"/>
    <n v="0"/>
    <n v="72741"/>
  </r>
  <r>
    <x v="6"/>
    <m/>
    <s v="Egeskolen, Jon 150/286"/>
    <n v="9224"/>
    <m/>
    <s v="Egeskolen (under Jonstrup gl. seminarium)"/>
    <x v="109"/>
    <x v="0"/>
    <x v="4"/>
    <n v="245.15"/>
    <n v="12"/>
    <m/>
    <n v="0"/>
    <n v="4404"/>
    <n v="5.5663999999999998E-2"/>
    <n v="3"/>
    <x v="0"/>
    <x v="2786"/>
    <n v="0"/>
    <n v="1"/>
    <m/>
    <m/>
    <n v="245.17751000000001"/>
    <n v="0"/>
    <n v="77266"/>
  </r>
  <r>
    <x v="6"/>
    <m/>
    <s v="Egeskolen, Jon 150/286"/>
    <n v="9224"/>
    <m/>
    <s v="Egeskolen (under Jonstrup gl. seminarium)"/>
    <x v="109"/>
    <x v="0"/>
    <x v="4"/>
    <n v="372.69"/>
    <n v="10"/>
    <s v="2012-08-31"/>
    <n v="0"/>
    <n v="4404"/>
    <n v="8.4623000000000004E-2"/>
    <n v="3"/>
    <x v="0"/>
    <x v="2787"/>
    <n v="298.16000000000003"/>
    <n v="0"/>
    <s v="Hovedmåler i brønd"/>
    <m/>
    <n v="372.68383"/>
    <n v="0"/>
    <n v="77272"/>
  </r>
  <r>
    <x v="6"/>
    <m/>
    <s v="Egeskolen, Jon 150/286"/>
    <n v="9224"/>
    <m/>
    <s v="Egeskolen (under Jonstrup gl. seminarium)"/>
    <x v="109"/>
    <x v="0"/>
    <x v="5"/>
    <n v="91.55"/>
    <n v="12"/>
    <m/>
    <n v="0"/>
    <n v="4404"/>
    <n v="2.0787E-2"/>
    <n v="3"/>
    <x v="0"/>
    <x v="2788"/>
    <n v="0"/>
    <n v="1"/>
    <s v="V.Vand"/>
    <m/>
    <n v="91.548299999999998"/>
    <n v="0"/>
    <n v="72741"/>
  </r>
  <r>
    <x v="6"/>
    <m/>
    <s v="Egeskolen, Jon 150/286"/>
    <n v="9224"/>
    <m/>
    <s v="Egeskolen (under Jonstrup gl. seminarium)"/>
    <x v="109"/>
    <x v="0"/>
    <x v="5"/>
    <n v="271.10000000000002"/>
    <n v="12"/>
    <m/>
    <n v="0"/>
    <n v="4404"/>
    <n v="6.1556E-2"/>
    <n v="3"/>
    <x v="0"/>
    <x v="2789"/>
    <n v="0"/>
    <n v="1"/>
    <m/>
    <m/>
    <n v="271.11250999999999"/>
    <n v="0"/>
    <n v="77266"/>
  </r>
  <r>
    <x v="6"/>
    <m/>
    <s v="Egeskolen, Jon 150/286"/>
    <n v="9224"/>
    <m/>
    <s v="Egeskolen (under Jonstrup gl. seminarium)"/>
    <x v="109"/>
    <x v="0"/>
    <x v="5"/>
    <n v="534.73"/>
    <n v="8"/>
    <s v="2012-08-31"/>
    <n v="0"/>
    <n v="4404"/>
    <n v="0.121416"/>
    <n v="3"/>
    <x v="0"/>
    <x v="2790"/>
    <n v="427.77"/>
    <n v="0"/>
    <s v="Hovedmåler i brønd"/>
    <m/>
    <n v="534.71982000000003"/>
    <n v="0"/>
    <n v="77272"/>
  </r>
  <r>
    <x v="6"/>
    <m/>
    <s v="Egeskolen, Jon 150/286"/>
    <n v="9224"/>
    <m/>
    <s v="Egeskolen (under Jonstrup gl. seminarium)"/>
    <x v="109"/>
    <x v="0"/>
    <x v="6"/>
    <n v="74.34"/>
    <n v="12"/>
    <m/>
    <n v="0"/>
    <n v="4404"/>
    <n v="1.6879000000000002E-2"/>
    <n v="3"/>
    <x v="0"/>
    <x v="2791"/>
    <n v="0"/>
    <n v="1"/>
    <s v="V.Vand"/>
    <m/>
    <n v="74.34"/>
    <n v="0"/>
    <n v="72741"/>
  </r>
  <r>
    <x v="6"/>
    <m/>
    <s v="Egeskolen, Jon 150/286"/>
    <n v="9224"/>
    <m/>
    <s v="Egeskolen (under Jonstrup gl. seminarium)"/>
    <x v="109"/>
    <x v="0"/>
    <x v="6"/>
    <n v="7.66"/>
    <n v="12"/>
    <m/>
    <n v="0"/>
    <n v="4404"/>
    <n v="1.7390000000000001E-3"/>
    <n v="3"/>
    <x v="0"/>
    <x v="2792"/>
    <n v="0"/>
    <n v="1"/>
    <m/>
    <m/>
    <n v="7.66"/>
    <n v="0"/>
    <n v="77266"/>
  </r>
  <r>
    <x v="6"/>
    <m/>
    <s v="Egeskolen, Jon 150/286"/>
    <n v="9224"/>
    <m/>
    <s v="Egeskolen (under Jonstrup gl. seminarium)"/>
    <x v="109"/>
    <x v="0"/>
    <x v="6"/>
    <n v="425.52"/>
    <n v="10"/>
    <s v="2012-08-31"/>
    <n v="0"/>
    <n v="4404"/>
    <n v="9.6618999999999997E-2"/>
    <n v="3"/>
    <x v="0"/>
    <x v="2793"/>
    <n v="340.42"/>
    <n v="0"/>
    <s v="Hovedmåler i brønd"/>
    <m/>
    <n v="425.52614999999997"/>
    <n v="0"/>
    <n v="77272"/>
  </r>
  <r>
    <x v="6"/>
    <m/>
    <s v="Hareskov gl. bibliotek, Hareskov Skole, POP13"/>
    <n v="10230"/>
    <m/>
    <s v="1.st. klasse huset, Hareskov Skole"/>
    <x v="108"/>
    <x v="0"/>
    <x v="0"/>
    <n v="194"/>
    <n v="5"/>
    <s v="2011-12-31"/>
    <n v="0"/>
    <n v="711"/>
    <n v="5.8233E-2"/>
    <n v="3"/>
    <x v="0"/>
    <x v="2794"/>
    <n v="33.130000000000003"/>
    <n v="0"/>
    <s v="42150"/>
    <m/>
    <n v="41.41"/>
    <n v="0"/>
    <n v="77502"/>
  </r>
  <r>
    <x v="6"/>
    <m/>
    <s v="Hareskov gl. bibliotek, Hareskov Skole, POP13"/>
    <n v="10230"/>
    <m/>
    <s v="1.st. klasse huset, Hareskov Skole"/>
    <x v="108"/>
    <x v="0"/>
    <x v="1"/>
    <n v="162.19999999999999"/>
    <n v="12"/>
    <s v="2011-12-31"/>
    <n v="0"/>
    <n v="711"/>
    <n v="0.22809699999999999"/>
    <n v="3"/>
    <x v="0"/>
    <x v="2795"/>
    <n v="129.76"/>
    <n v="0"/>
    <s v="42150"/>
    <m/>
    <n v="162.19999999999999"/>
    <n v="0"/>
    <n v="77502"/>
  </r>
  <r>
    <x v="6"/>
    <m/>
    <s v="Hareskov gl. bibliotek, Hareskov Skole, POP13"/>
    <n v="10230"/>
    <m/>
    <s v="1.st. klasse huset, Hareskov Skole"/>
    <x v="108"/>
    <x v="0"/>
    <x v="2"/>
    <n v="154.1"/>
    <n v="12"/>
    <s v="2011-12-31"/>
    <n v="0"/>
    <n v="711"/>
    <n v="0.21670600000000001"/>
    <n v="3"/>
    <x v="0"/>
    <x v="2796"/>
    <n v="123.28"/>
    <n v="0"/>
    <s v="42150"/>
    <m/>
    <n v="154.1"/>
    <n v="0"/>
    <n v="77502"/>
  </r>
  <r>
    <x v="6"/>
    <m/>
    <s v="Hareskov gl. bibliotek, Hareskov Skole, POP13"/>
    <n v="10230"/>
    <m/>
    <s v="1.st. klasse huset, Hareskov Skole"/>
    <x v="108"/>
    <x v="0"/>
    <x v="3"/>
    <n v="120.64"/>
    <n v="9"/>
    <s v="2011-12-31"/>
    <n v="0"/>
    <n v="711"/>
    <n v="0.169652"/>
    <n v="3"/>
    <x v="0"/>
    <x v="2797"/>
    <n v="96.52"/>
    <n v="0"/>
    <s v="42150"/>
    <m/>
    <n v="120.63636"/>
    <n v="0"/>
    <n v="77502"/>
  </r>
  <r>
    <x v="6"/>
    <m/>
    <s v="Hareskov gl. bibliotek, Hareskov Skole, POP13"/>
    <n v="10230"/>
    <m/>
    <s v="1.st. klasse huset, Hareskov Skole"/>
    <x v="108"/>
    <x v="0"/>
    <x v="4"/>
    <n v="306.42"/>
    <n v="11"/>
    <s v="2011-12-31"/>
    <n v="0"/>
    <n v="711"/>
    <n v="0.43090899999999999"/>
    <n v="3"/>
    <x v="0"/>
    <x v="2798"/>
    <n v="245.15"/>
    <n v="0"/>
    <s v="42150"/>
    <m/>
    <n v="306.42077999999998"/>
    <n v="0"/>
    <n v="77502"/>
  </r>
  <r>
    <x v="6"/>
    <m/>
    <s v="Hareskov gl. bibliotek, Hareskov Skole, POP13"/>
    <n v="10230"/>
    <m/>
    <s v="1.st. klasse huset, Hareskov Skole"/>
    <x v="108"/>
    <x v="0"/>
    <x v="5"/>
    <n v="159.51"/>
    <n v="12"/>
    <s v="2011-12-31"/>
    <n v="0"/>
    <n v="711"/>
    <n v="0.22431400000000001"/>
    <n v="3"/>
    <x v="0"/>
    <x v="2799"/>
    <n v="127.62"/>
    <n v="0"/>
    <s v="42150"/>
    <m/>
    <n v="159.52350000000001"/>
    <n v="0"/>
    <n v="77502"/>
  </r>
  <r>
    <x v="6"/>
    <m/>
    <s v="Hareskov gl. bibliotek, Hareskov Skole, POP13"/>
    <n v="10230"/>
    <m/>
    <s v="1.st. klasse huset, Hareskov Skole"/>
    <x v="108"/>
    <x v="0"/>
    <x v="6"/>
    <n v="182.67"/>
    <n v="13"/>
    <s v="2011-12-31"/>
    <n v="0"/>
    <n v="711"/>
    <n v="0.25688299999999997"/>
    <n v="3"/>
    <x v="0"/>
    <x v="2800"/>
    <n v="146.13999999999999"/>
    <n v="0"/>
    <s v="42150"/>
    <m/>
    <n v="182.67741000000001"/>
    <n v="0"/>
    <n v="77502"/>
  </r>
  <r>
    <x v="6"/>
    <m/>
    <s v="Hareskov Skole, POP 6-12"/>
    <n v="10991"/>
    <m/>
    <s v="Bygning 8, Svømmehal"/>
    <x v="110"/>
    <x v="0"/>
    <x v="0"/>
    <n v="898"/>
    <n v="3"/>
    <s v="2015-05-04"/>
    <n v="0"/>
    <n v="1475"/>
    <n v="0.250471"/>
    <n v="3"/>
    <x v="0"/>
    <x v="2801"/>
    <n v="295.57"/>
    <n v="0"/>
    <s v="PC501303"/>
    <m/>
    <n v="369.46807999999999"/>
    <n v="0"/>
    <n v="79482"/>
  </r>
  <r>
    <x v="6"/>
    <m/>
    <s v="Hareskov Skole, POP 6-12"/>
    <n v="10991"/>
    <m/>
    <s v="Bygning 8, Svømmehal"/>
    <x v="110"/>
    <x v="0"/>
    <x v="0"/>
    <n v="166.74"/>
    <n v="3"/>
    <s v="2015-05-04"/>
    <n v="0"/>
    <n v="1475"/>
    <n v="0.113036"/>
    <n v="3"/>
    <x v="0"/>
    <x v="2802"/>
    <n v="133.4"/>
    <n v="1"/>
    <s v="Bimåler 1"/>
    <m/>
    <n v="166.74467000000001"/>
    <n v="0"/>
    <n v="79717"/>
  </r>
  <r>
    <x v="6"/>
    <m/>
    <s v="Hareskov Skole, POP 6-12"/>
    <n v="10991"/>
    <m/>
    <s v="Bygning 8, Svømmehal"/>
    <x v="110"/>
    <x v="0"/>
    <x v="0"/>
    <n v="30"/>
    <n v="3"/>
    <s v="2015-05-04"/>
    <n v="0"/>
    <n v="1475"/>
    <n v="2.0337000000000001E-2"/>
    <n v="3"/>
    <x v="0"/>
    <x v="2803"/>
    <n v="24"/>
    <n v="1"/>
    <s v="Bimåler 3"/>
    <m/>
    <n v="30"/>
    <n v="0"/>
    <n v="79718"/>
  </r>
  <r>
    <x v="6"/>
    <m/>
    <s v="Hareskov Skole, POP 6-12"/>
    <n v="10991"/>
    <m/>
    <s v="Bygning 8, Svømmehal"/>
    <x v="110"/>
    <x v="0"/>
    <x v="0"/>
    <n v="0"/>
    <n v="3"/>
    <s v="2015-05-04"/>
    <n v="0"/>
    <n v="1475"/>
    <n v="0"/>
    <n v="3"/>
    <x v="0"/>
    <x v="1"/>
    <n v="0"/>
    <n v="1"/>
    <s v="Bimåler 2"/>
    <m/>
    <n v="0"/>
    <n v="0"/>
    <n v="79719"/>
  </r>
  <r>
    <x v="6"/>
    <m/>
    <s v="Egeskolen, Jon 150/286"/>
    <n v="9224"/>
    <m/>
    <s v="Egeskolen (under Jonstrup gl. seminarium)"/>
    <x v="109"/>
    <x v="0"/>
    <x v="7"/>
    <n v="75.08"/>
    <n v="12"/>
    <m/>
    <n v="0"/>
    <n v="4404"/>
    <n v="1.7047E-2"/>
    <n v="3"/>
    <x v="0"/>
    <x v="2804"/>
    <n v="0"/>
    <n v="1"/>
    <s v="V.Vand"/>
    <m/>
    <n v="75.078000000000003"/>
    <n v="0"/>
    <n v="72741"/>
  </r>
  <r>
    <x v="6"/>
    <m/>
    <s v="Hareskov Skole, POP 6-12"/>
    <n v="10991"/>
    <m/>
    <s v="Bygning 8, Svømmehal"/>
    <x v="110"/>
    <x v="0"/>
    <x v="1"/>
    <n v="864.86"/>
    <n v="11"/>
    <s v="2015-05-04"/>
    <n v="0"/>
    <n v="1475"/>
    <n v="0.58630599999999999"/>
    <n v="3"/>
    <x v="0"/>
    <x v="2805"/>
    <n v="691.9"/>
    <n v="0"/>
    <s v="PC501303"/>
    <m/>
    <n v="864.87937999999997"/>
    <n v="0"/>
    <n v="79482"/>
  </r>
  <r>
    <x v="6"/>
    <m/>
    <s v="Hareskov Skole, POP 6-12"/>
    <n v="10991"/>
    <m/>
    <s v="Bygning 8, Svømmehal"/>
    <x v="110"/>
    <x v="0"/>
    <x v="1"/>
    <n v="347.56"/>
    <n v="11"/>
    <s v="2015-05-04"/>
    <n v="0"/>
    <n v="1475"/>
    <n v="0.23561699999999999"/>
    <n v="3"/>
    <x v="0"/>
    <x v="2806"/>
    <n v="278.06"/>
    <n v="1"/>
    <s v="Bimåler 1"/>
    <m/>
    <n v="347.56099999999998"/>
    <n v="0"/>
    <n v="79717"/>
  </r>
  <r>
    <x v="6"/>
    <m/>
    <s v="Hareskov Skole, POP 6-12"/>
    <n v="10991"/>
    <m/>
    <s v="Bygning 8, Svømmehal"/>
    <x v="110"/>
    <x v="0"/>
    <x v="1"/>
    <n v="71.87"/>
    <n v="11"/>
    <s v="2015-05-04"/>
    <n v="0"/>
    <n v="1475"/>
    <n v="4.8722000000000001E-2"/>
    <n v="3"/>
    <x v="0"/>
    <x v="2807"/>
    <n v="57.5"/>
    <n v="1"/>
    <s v="Bimåler 3"/>
    <m/>
    <n v="71.869569999999996"/>
    <n v="0"/>
    <n v="79718"/>
  </r>
  <r>
    <x v="6"/>
    <m/>
    <s v="Hareskov Skole, POP 6-12"/>
    <n v="10991"/>
    <m/>
    <s v="Bygning 8, Svømmehal"/>
    <x v="110"/>
    <x v="0"/>
    <x v="1"/>
    <n v="19"/>
    <n v="11"/>
    <s v="2015-05-04"/>
    <n v="0"/>
    <n v="1475"/>
    <n v="1.2880000000000001E-2"/>
    <n v="3"/>
    <x v="0"/>
    <x v="2808"/>
    <n v="15.19"/>
    <n v="1"/>
    <s v="Bimåler 2"/>
    <m/>
    <n v="19"/>
    <n v="0"/>
    <n v="79719"/>
  </r>
  <r>
    <x v="6"/>
    <m/>
    <s v="Hareskov Skole, POP 6-12"/>
    <n v="10991"/>
    <m/>
    <s v="Bygning 8, Svømmehal"/>
    <x v="110"/>
    <x v="0"/>
    <x v="2"/>
    <n v="896.69"/>
    <n v="11"/>
    <s v="2015-05-04"/>
    <n v="0"/>
    <n v="1475"/>
    <n v="0.60788399999999998"/>
    <n v="3"/>
    <x v="0"/>
    <x v="2809"/>
    <n v="717.37"/>
    <n v="0"/>
    <s v="PC501303"/>
    <m/>
    <n v="896.68894999999998"/>
    <n v="0"/>
    <n v="79482"/>
  </r>
  <r>
    <x v="6"/>
    <m/>
    <s v="Hareskov Skole, POP 6-12"/>
    <n v="10991"/>
    <m/>
    <s v="Bygning 8, Svømmehal"/>
    <x v="110"/>
    <x v="0"/>
    <x v="2"/>
    <n v="332.08"/>
    <n v="11"/>
    <s v="2015-05-04"/>
    <n v="0"/>
    <n v="1475"/>
    <n v="0.22512299999999999"/>
    <n v="3"/>
    <x v="0"/>
    <x v="2810"/>
    <n v="265.66000000000003"/>
    <n v="1"/>
    <s v="Bimåler 1"/>
    <m/>
    <n v="332.0772"/>
    <n v="0"/>
    <n v="79717"/>
  </r>
  <r>
    <x v="6"/>
    <m/>
    <s v="Hareskov Skole, POP 6-12"/>
    <n v="10991"/>
    <m/>
    <s v="Bygning 8, Svømmehal"/>
    <x v="110"/>
    <x v="0"/>
    <x v="2"/>
    <n v="46.99"/>
    <n v="11"/>
    <s v="2015-05-04"/>
    <n v="0"/>
    <n v="1475"/>
    <n v="3.1855000000000001E-2"/>
    <n v="3"/>
    <x v="0"/>
    <x v="2811"/>
    <n v="37.6"/>
    <n v="1"/>
    <s v="Bimåler 3"/>
    <m/>
    <n v="47"/>
    <n v="0"/>
    <n v="79718"/>
  </r>
  <r>
    <x v="6"/>
    <m/>
    <s v="Hareskov Skole, POP 6-12"/>
    <n v="10991"/>
    <m/>
    <s v="Bygning 8, Svømmehal"/>
    <x v="110"/>
    <x v="0"/>
    <x v="2"/>
    <n v="13.15"/>
    <n v="11"/>
    <s v="2015-05-04"/>
    <n v="0"/>
    <n v="1475"/>
    <n v="8.914E-3"/>
    <n v="3"/>
    <x v="0"/>
    <x v="2812"/>
    <n v="10.51"/>
    <n v="1"/>
    <s v="Bimåler 2"/>
    <m/>
    <n v="13.142860000000001"/>
    <n v="0"/>
    <n v="79719"/>
  </r>
  <r>
    <x v="6"/>
    <m/>
    <s v="Hareskov Skole, POP 6-12"/>
    <n v="10991"/>
    <m/>
    <s v="Bygning 8, Svømmehal"/>
    <x v="110"/>
    <x v="0"/>
    <x v="3"/>
    <n v="1298.4000000000001"/>
    <n v="8"/>
    <s v="2015-05-04"/>
    <n v="0"/>
    <n v="1475"/>
    <n v="0.88021099999999997"/>
    <n v="3"/>
    <x v="0"/>
    <x v="2813"/>
    <n v="1038.73"/>
    <n v="0"/>
    <s v="PC501303"/>
    <m/>
    <n v="1298.3961200000001"/>
    <n v="0"/>
    <n v="79482"/>
  </r>
  <r>
    <x v="6"/>
    <m/>
    <s v="Hareskov Skole, POP 6-12"/>
    <n v="10991"/>
    <m/>
    <s v="Bygning 8, Svømmehal"/>
    <x v="110"/>
    <x v="0"/>
    <x v="3"/>
    <n v="380.9"/>
    <n v="8"/>
    <s v="2015-05-04"/>
    <n v="0"/>
    <n v="1475"/>
    <n v="0.25821899999999998"/>
    <n v="3"/>
    <x v="0"/>
    <x v="2814"/>
    <n v="304.70999999999998"/>
    <n v="1"/>
    <s v="Bimåler 1"/>
    <m/>
    <n v="380.89936"/>
    <n v="0"/>
    <n v="79717"/>
  </r>
  <r>
    <x v="6"/>
    <m/>
    <s v="Hareskov Skole, POP 6-12"/>
    <n v="10991"/>
    <m/>
    <s v="Bygning 8, Svømmehal"/>
    <x v="110"/>
    <x v="0"/>
    <x v="3"/>
    <n v="63.19"/>
    <n v="8"/>
    <s v="2015-05-04"/>
    <n v="0"/>
    <n v="1475"/>
    <n v="4.2837E-2"/>
    <n v="3"/>
    <x v="0"/>
    <x v="2815"/>
    <n v="50.55"/>
    <n v="1"/>
    <s v="Bimåler 3"/>
    <m/>
    <n v="63.181829999999998"/>
    <n v="0"/>
    <n v="79718"/>
  </r>
  <r>
    <x v="6"/>
    <m/>
    <s v="Hareskov Skole, POP 6-12"/>
    <n v="10991"/>
    <m/>
    <s v="Bygning 8, Svømmehal"/>
    <x v="110"/>
    <x v="0"/>
    <x v="3"/>
    <n v="337.68"/>
    <n v="8"/>
    <s v="2015-05-04"/>
    <n v="0"/>
    <n v="1475"/>
    <n v="0.22892000000000001"/>
    <n v="3"/>
    <x v="0"/>
    <x v="2816"/>
    <n v="270.13"/>
    <n v="1"/>
    <s v="Bimåler 2"/>
    <m/>
    <n v="337.67532"/>
    <n v="0"/>
    <n v="79719"/>
  </r>
  <r>
    <x v="6"/>
    <m/>
    <s v="Hareskov Skole, POP 6-12"/>
    <n v="10991"/>
    <m/>
    <s v="Bygning 8, Svømmehal"/>
    <x v="110"/>
    <x v="0"/>
    <x v="4"/>
    <n v="967.96"/>
    <n v="12"/>
    <s v="2015-05-04"/>
    <n v="0"/>
    <n v="1475"/>
    <n v="0.65619899999999998"/>
    <n v="3"/>
    <x v="0"/>
    <x v="2817"/>
    <n v="774.38"/>
    <n v="0"/>
    <s v="PC501303"/>
    <m/>
    <n v="967.96104000000003"/>
    <n v="0"/>
    <n v="79482"/>
  </r>
  <r>
    <x v="6"/>
    <m/>
    <s v="Hareskov Skole, POP 6-12"/>
    <n v="10991"/>
    <m/>
    <s v="Bygning 8, Svømmehal"/>
    <x v="110"/>
    <x v="0"/>
    <x v="4"/>
    <n v="374.63"/>
    <n v="12"/>
    <s v="2015-05-04"/>
    <n v="0"/>
    <n v="1475"/>
    <n v="0.253969"/>
    <n v="3"/>
    <x v="0"/>
    <x v="2818"/>
    <n v="299.70999999999998"/>
    <n v="1"/>
    <s v="Bimåler 1"/>
    <m/>
    <n v="374.63637"/>
    <n v="0"/>
    <n v="79717"/>
  </r>
  <r>
    <x v="6"/>
    <m/>
    <s v="Hareskov Skole, POP 6-12"/>
    <n v="10991"/>
    <m/>
    <s v="Bygning 8, Svømmehal"/>
    <x v="110"/>
    <x v="0"/>
    <x v="4"/>
    <n v="53.93"/>
    <n v="12"/>
    <s v="2015-05-04"/>
    <n v="0"/>
    <n v="1475"/>
    <n v="3.6560000000000002E-2"/>
    <n v="3"/>
    <x v="0"/>
    <x v="2819"/>
    <n v="43.14"/>
    <n v="1"/>
    <s v="Bimåler 3"/>
    <m/>
    <n v="53.932470000000002"/>
    <n v="0"/>
    <n v="79718"/>
  </r>
  <r>
    <x v="6"/>
    <m/>
    <s v="Hareskov Skole, POP 6-12"/>
    <n v="10991"/>
    <m/>
    <s v="Bygning 8, Svømmehal"/>
    <x v="110"/>
    <x v="0"/>
    <x v="4"/>
    <n v="27.18"/>
    <n v="12"/>
    <s v="2015-05-04"/>
    <n v="0"/>
    <n v="1475"/>
    <n v="1.8425E-2"/>
    <n v="3"/>
    <x v="0"/>
    <x v="2820"/>
    <n v="21.75"/>
    <n v="1"/>
    <s v="Bimåler 2"/>
    <m/>
    <n v="27.181809999999999"/>
    <n v="0"/>
    <n v="79719"/>
  </r>
  <r>
    <x v="6"/>
    <m/>
    <s v="Hareskov Skole, POP 6-12"/>
    <n v="10991"/>
    <m/>
    <s v="Bygning 8, Svømmehal"/>
    <x v="110"/>
    <x v="0"/>
    <x v="5"/>
    <n v="927.79"/>
    <n v="11"/>
    <s v="2015-05-04"/>
    <n v="0"/>
    <n v="1475"/>
    <n v="0.62896700000000005"/>
    <n v="3"/>
    <x v="0"/>
    <x v="2821"/>
    <n v="742.23"/>
    <n v="0"/>
    <s v="PC501303"/>
    <m/>
    <n v="927.79264000000001"/>
    <n v="0"/>
    <n v="79482"/>
  </r>
  <r>
    <x v="6"/>
    <m/>
    <s v="Hareskov Skole, POP 6-12"/>
    <n v="10991"/>
    <m/>
    <s v="Bygning 8, Svømmehal"/>
    <x v="110"/>
    <x v="0"/>
    <x v="5"/>
    <n v="325.20999999999998"/>
    <n v="11"/>
    <s v="2015-05-04"/>
    <n v="0"/>
    <n v="1475"/>
    <n v="0.220466"/>
    <n v="3"/>
    <x v="0"/>
    <x v="2822"/>
    <n v="260.14999999999998"/>
    <n v="1"/>
    <s v="Bimåler 1"/>
    <m/>
    <n v="325.19355000000002"/>
    <n v="0"/>
    <n v="79717"/>
  </r>
  <r>
    <x v="6"/>
    <m/>
    <s v="Hareskov Skole, POP 6-12"/>
    <n v="10991"/>
    <m/>
    <s v="Bygning 8, Svømmehal"/>
    <x v="110"/>
    <x v="0"/>
    <x v="5"/>
    <n v="94.88"/>
    <n v="11"/>
    <s v="2015-05-04"/>
    <n v="0"/>
    <n v="1475"/>
    <n v="6.4321000000000003E-2"/>
    <n v="3"/>
    <x v="0"/>
    <x v="2823"/>
    <n v="75.92"/>
    <n v="1"/>
    <s v="Bimåler 3"/>
    <m/>
    <n v="94.885720000000006"/>
    <n v="0"/>
    <n v="79718"/>
  </r>
  <r>
    <x v="6"/>
    <m/>
    <s v="Hareskov Skole, POP 6-12"/>
    <n v="10991"/>
    <m/>
    <s v="Bygning 8, Svømmehal"/>
    <x v="110"/>
    <x v="0"/>
    <x v="5"/>
    <n v="24.55"/>
    <n v="11"/>
    <s v="2015-05-04"/>
    <n v="0"/>
    <n v="1475"/>
    <n v="1.6642000000000001E-2"/>
    <n v="3"/>
    <x v="0"/>
    <x v="2824"/>
    <n v="19.64"/>
    <n v="1"/>
    <s v="Bimåler 2"/>
    <m/>
    <n v="24.548390000000001"/>
    <n v="0"/>
    <n v="79719"/>
  </r>
  <r>
    <x v="6"/>
    <m/>
    <s v="Hareskov Skole, POP 6-12"/>
    <n v="10991"/>
    <m/>
    <s v="Bygning 8, Svømmehal"/>
    <x v="110"/>
    <x v="0"/>
    <x v="6"/>
    <n v="1449.66"/>
    <n v="12"/>
    <s v="2015-05-04"/>
    <n v="0"/>
    <n v="1475"/>
    <n v="0.98275299999999999"/>
    <n v="3"/>
    <x v="0"/>
    <x v="2825"/>
    <n v="1159.72"/>
    <n v="0"/>
    <s v="PC501303"/>
    <m/>
    <n v="1449.64516"/>
    <n v="0"/>
    <n v="79482"/>
  </r>
  <r>
    <x v="6"/>
    <m/>
    <s v="Hareskov Skole, POP 6-12"/>
    <n v="10991"/>
    <m/>
    <s v="Bygning 8, Svømmehal"/>
    <x v="110"/>
    <x v="0"/>
    <x v="6"/>
    <n v="283.87"/>
    <n v="12"/>
    <s v="2015-05-04"/>
    <n v="0"/>
    <n v="1475"/>
    <n v="0.192441"/>
    <n v="3"/>
    <x v="0"/>
    <x v="2826"/>
    <n v="227.1"/>
    <n v="1"/>
    <s v="Bimåler 1"/>
    <m/>
    <n v="283.87097"/>
    <n v="0"/>
    <n v="79717"/>
  </r>
  <r>
    <x v="6"/>
    <m/>
    <s v="Hareskov Skole, POP 6-12"/>
    <n v="10991"/>
    <m/>
    <s v="Bygning 8, Svømmehal"/>
    <x v="110"/>
    <x v="0"/>
    <x v="6"/>
    <n v="119.91"/>
    <n v="12"/>
    <s v="2015-05-04"/>
    <n v="0"/>
    <n v="1475"/>
    <n v="8.1289E-2"/>
    <n v="3"/>
    <x v="0"/>
    <x v="2827"/>
    <n v="95.92"/>
    <n v="1"/>
    <s v="Bimåler 3"/>
    <m/>
    <n v="119.90322999999999"/>
    <n v="0"/>
    <n v="79718"/>
  </r>
  <r>
    <x v="6"/>
    <m/>
    <s v="Hareskov Skole, POP 6-12"/>
    <n v="10991"/>
    <m/>
    <s v="Bygning 8, Svømmehal"/>
    <x v="110"/>
    <x v="0"/>
    <x v="6"/>
    <n v="82.45"/>
    <n v="12"/>
    <s v="2015-05-04"/>
    <n v="0"/>
    <n v="1475"/>
    <n v="5.5893999999999999E-2"/>
    <n v="3"/>
    <x v="0"/>
    <x v="2828"/>
    <n v="65.97"/>
    <n v="1"/>
    <s v="Bimåler 2"/>
    <m/>
    <n v="82.451610000000002"/>
    <n v="0"/>
    <n v="79719"/>
  </r>
  <r>
    <x v="6"/>
    <m/>
    <s v="Hareskov Skole, POP 6-12"/>
    <n v="9220"/>
    <m/>
    <s v="Hareskov Skole"/>
    <x v="110"/>
    <x v="0"/>
    <x v="0"/>
    <n v="1005"/>
    <n v="5"/>
    <m/>
    <n v="0"/>
    <n v="7549"/>
    <n v="2.9550000000000002E-3"/>
    <n v="3"/>
    <x v="0"/>
    <x v="2829"/>
    <n v="0"/>
    <n v="0"/>
    <s v="V.Vand"/>
    <m/>
    <n v="22.315999999999999"/>
    <n v="0"/>
    <n v="72733"/>
  </r>
  <r>
    <x v="6"/>
    <m/>
    <s v="Hareskov Skole, POP 6-12"/>
    <n v="9220"/>
    <m/>
    <s v="Hareskov Skole"/>
    <x v="110"/>
    <x v="0"/>
    <x v="0"/>
    <n v="0"/>
    <n v="5"/>
    <s v="2010-11-29"/>
    <n v="0"/>
    <n v="7549"/>
    <n v="5.7318000000000001E-2"/>
    <n v="3"/>
    <x v="0"/>
    <x v="2830"/>
    <n v="346.16"/>
    <n v="0"/>
    <s v="Værksted nr 0223"/>
    <m/>
    <n v="432.7"/>
    <n v="0"/>
    <n v="77261"/>
  </r>
  <r>
    <x v="6"/>
    <m/>
    <s v="Hareskov Skole, POP 6-12"/>
    <n v="9220"/>
    <m/>
    <s v="Hareskov Skole"/>
    <x v="110"/>
    <x v="0"/>
    <x v="0"/>
    <n v="0"/>
    <n v="5"/>
    <s v="2012-05-31"/>
    <n v="0"/>
    <n v="7549"/>
    <n v="1.1990000000000001E-2"/>
    <n v="3"/>
    <x v="0"/>
    <x v="2831"/>
    <n v="72.42"/>
    <n v="0"/>
    <s v="46349 Sløjd"/>
    <m/>
    <n v="90.519000000000005"/>
    <n v="0"/>
    <n v="79481"/>
  </r>
  <r>
    <x v="6"/>
    <m/>
    <s v="Egeskolen, Jon 150/286"/>
    <n v="9224"/>
    <m/>
    <s v="Egeskolen (under Jonstrup gl. seminarium)"/>
    <x v="109"/>
    <x v="0"/>
    <x v="7"/>
    <n v="215.73"/>
    <n v="12"/>
    <m/>
    <n v="0"/>
    <n v="4404"/>
    <n v="4.8982999999999999E-2"/>
    <n v="3"/>
    <x v="0"/>
    <x v="2832"/>
    <n v="0"/>
    <n v="1"/>
    <m/>
    <m/>
    <n v="215.73"/>
    <n v="0"/>
    <n v="77266"/>
  </r>
  <r>
    <x v="6"/>
    <m/>
    <s v="Egeskolen, Jon 150/286"/>
    <n v="9224"/>
    <m/>
    <s v="Egeskolen (under Jonstrup gl. seminarium)"/>
    <x v="109"/>
    <x v="0"/>
    <x v="7"/>
    <n v="385.23"/>
    <n v="12"/>
    <s v="2012-08-31"/>
    <n v="0"/>
    <n v="4404"/>
    <n v="8.7470000000000006E-2"/>
    <n v="3"/>
    <x v="0"/>
    <x v="2833"/>
    <n v="308.2"/>
    <n v="0"/>
    <s v="Hovedmåler i brønd"/>
    <m/>
    <n v="385.25200000000001"/>
    <n v="0"/>
    <n v="77272"/>
  </r>
  <r>
    <x v="6"/>
    <m/>
    <s v="Hareskov gl. bibliotek, Hareskov Skole, POP13"/>
    <n v="10230"/>
    <m/>
    <s v="1.st. klasse huset, Hareskov Skole"/>
    <x v="108"/>
    <x v="0"/>
    <x v="1"/>
    <n v="12593"/>
    <n v="12"/>
    <s v="2011-12-31"/>
    <n v="0"/>
    <n v="711"/>
    <n v="17.709181999999998"/>
    <n v="2"/>
    <x v="2"/>
    <x v="2834"/>
    <n v="3777.91"/>
    <n v="0"/>
    <s v="T 96163"/>
    <s v="74112041124"/>
    <n v="12593.002"/>
    <n v="0"/>
    <n v="77501"/>
  </r>
  <r>
    <x v="6"/>
    <m/>
    <s v="Hareskov Skole, POP 6-12"/>
    <n v="9220"/>
    <m/>
    <s v="Hareskov Skole"/>
    <x v="110"/>
    <x v="0"/>
    <x v="1"/>
    <n v="43.4"/>
    <n v="12"/>
    <m/>
    <n v="0"/>
    <n v="7549"/>
    <n v="5.7489999999999998E-3"/>
    <n v="3"/>
    <x v="0"/>
    <x v="2835"/>
    <n v="0"/>
    <n v="0"/>
    <s v="V.Vand"/>
    <m/>
    <n v="43.384999999999998"/>
    <n v="0"/>
    <n v="72733"/>
  </r>
  <r>
    <x v="6"/>
    <m/>
    <s v="Hareskov Skole, POP 6-12"/>
    <n v="9220"/>
    <m/>
    <s v="Hareskov Skole"/>
    <x v="110"/>
    <x v="0"/>
    <x v="1"/>
    <n v="1278.9000000000001"/>
    <n v="12"/>
    <s v="2010-11-29"/>
    <n v="0"/>
    <n v="7549"/>
    <n v="0.16941000000000001"/>
    <n v="3"/>
    <x v="0"/>
    <x v="2836"/>
    <n v="1023.12"/>
    <n v="0"/>
    <s v="Værksted nr 0223"/>
    <m/>
    <n v="1278.9000000000001"/>
    <n v="0"/>
    <n v="77261"/>
  </r>
  <r>
    <x v="6"/>
    <m/>
    <s v="Hareskov Skole, POP 6-12"/>
    <n v="9220"/>
    <m/>
    <s v="Hareskov Skole"/>
    <x v="110"/>
    <x v="0"/>
    <x v="1"/>
    <n v="181.4"/>
    <n v="12"/>
    <s v="2012-05-31"/>
    <n v="0"/>
    <n v="7549"/>
    <n v="2.4028999999999998E-2"/>
    <n v="3"/>
    <x v="0"/>
    <x v="2837"/>
    <n v="145.12"/>
    <n v="0"/>
    <s v="46349 Sløjd"/>
    <m/>
    <n v="181.4"/>
    <n v="0"/>
    <n v="79481"/>
  </r>
  <r>
    <x v="6"/>
    <m/>
    <s v="Hareskov Skole, POP 6-12"/>
    <n v="9220"/>
    <m/>
    <s v="Hareskov Skole"/>
    <x v="110"/>
    <x v="0"/>
    <x v="2"/>
    <n v="53.61"/>
    <n v="12"/>
    <m/>
    <n v="0"/>
    <n v="7549"/>
    <n v="7.1009999999999997E-3"/>
    <n v="3"/>
    <x v="0"/>
    <x v="2838"/>
    <n v="0"/>
    <n v="0"/>
    <s v="V.Vand"/>
    <m/>
    <n v="53.600999999999999"/>
    <n v="0"/>
    <n v="72733"/>
  </r>
  <r>
    <x v="6"/>
    <m/>
    <s v="Hareskov Skole, POP 6-12"/>
    <n v="9220"/>
    <m/>
    <s v="Hareskov Skole"/>
    <x v="110"/>
    <x v="0"/>
    <x v="2"/>
    <n v="2364.09"/>
    <n v="12"/>
    <s v="2010-11-29"/>
    <n v="0"/>
    <n v="7549"/>
    <n v="0.31316100000000002"/>
    <n v="3"/>
    <x v="0"/>
    <x v="2839"/>
    <n v="1891.27"/>
    <n v="0"/>
    <s v="Værksted nr 0223"/>
    <m/>
    <n v="2364.09"/>
    <n v="0"/>
    <n v="77261"/>
  </r>
  <r>
    <x v="6"/>
    <m/>
    <s v="Hareskov Skole, POP 6-12"/>
    <n v="9220"/>
    <m/>
    <s v="Hareskov Skole"/>
    <x v="110"/>
    <x v="0"/>
    <x v="2"/>
    <n v="204.26"/>
    <n v="13"/>
    <s v="2012-05-31"/>
    <n v="0"/>
    <n v="7549"/>
    <n v="2.7057000000000001E-2"/>
    <n v="3"/>
    <x v="0"/>
    <x v="2840"/>
    <n v="163.4"/>
    <n v="0"/>
    <s v="46349 Sløjd"/>
    <m/>
    <n v="204.26429999999999"/>
    <n v="0"/>
    <n v="79481"/>
  </r>
  <r>
    <x v="6"/>
    <m/>
    <s v="Hareskov Skole, POP 6-12"/>
    <n v="9220"/>
    <m/>
    <s v="Hareskov Skole"/>
    <x v="110"/>
    <x v="0"/>
    <x v="3"/>
    <n v="51.29"/>
    <n v="12"/>
    <m/>
    <n v="0"/>
    <n v="7549"/>
    <n v="6.7939999999999997E-3"/>
    <n v="3"/>
    <x v="0"/>
    <x v="2841"/>
    <n v="0"/>
    <n v="0"/>
    <s v="V.Vand"/>
    <m/>
    <n v="51.29"/>
    <n v="0"/>
    <n v="72733"/>
  </r>
  <r>
    <x v="6"/>
    <m/>
    <s v="Hareskov Skole, POP 6-12"/>
    <n v="9220"/>
    <m/>
    <s v="Hareskov Skole"/>
    <x v="110"/>
    <x v="0"/>
    <x v="3"/>
    <n v="397.89"/>
    <n v="12"/>
    <s v="2010-11-29"/>
    <n v="0"/>
    <n v="7549"/>
    <n v="5.2706000000000003E-2"/>
    <n v="3"/>
    <x v="0"/>
    <x v="2842"/>
    <n v="318.31"/>
    <n v="0"/>
    <s v="Værksted nr 0223"/>
    <m/>
    <n v="397.89"/>
    <n v="0"/>
    <n v="77261"/>
  </r>
  <r>
    <x v="6"/>
    <m/>
    <s v="Hareskov Skole, POP 6-12"/>
    <n v="9220"/>
    <m/>
    <s v="Hareskov Skole"/>
    <x v="110"/>
    <x v="0"/>
    <x v="3"/>
    <n v="191.79"/>
    <n v="8"/>
    <s v="2012-05-31"/>
    <n v="0"/>
    <n v="7549"/>
    <n v="2.5405E-2"/>
    <n v="3"/>
    <x v="0"/>
    <x v="2843"/>
    <n v="153.44999999999999"/>
    <n v="0"/>
    <s v="46349 Sløjd"/>
    <m/>
    <n v="191.80843999999999"/>
    <n v="0"/>
    <n v="79481"/>
  </r>
  <r>
    <x v="6"/>
    <m/>
    <s v="Hareskov Skole, POP 6-12"/>
    <n v="9220"/>
    <m/>
    <s v="Hareskov Skole"/>
    <x v="110"/>
    <x v="0"/>
    <x v="4"/>
    <n v="6.9"/>
    <n v="12"/>
    <m/>
    <n v="0"/>
    <n v="7549"/>
    <n v="9.1399999999999999E-4"/>
    <n v="3"/>
    <x v="0"/>
    <x v="2844"/>
    <n v="0"/>
    <n v="0"/>
    <s v="V.Vand"/>
    <m/>
    <n v="6.899"/>
    <n v="0"/>
    <n v="72733"/>
  </r>
  <r>
    <x v="6"/>
    <m/>
    <s v="Hareskov Skole, POP 6-12"/>
    <n v="9220"/>
    <m/>
    <s v="Hareskov Skole"/>
    <x v="110"/>
    <x v="0"/>
    <x v="4"/>
    <n v="542.9"/>
    <n v="9"/>
    <s v="2010-11-29"/>
    <n v="0"/>
    <n v="7549"/>
    <n v="7.1915000000000007E-2"/>
    <n v="3"/>
    <x v="0"/>
    <x v="2845"/>
    <n v="434.32"/>
    <n v="0"/>
    <s v="Værksted nr 0223"/>
    <m/>
    <n v="542.90058999999997"/>
    <n v="0"/>
    <n v="77261"/>
  </r>
  <r>
    <x v="6"/>
    <m/>
    <s v="Hareskov Skole, POP 6-12"/>
    <n v="9220"/>
    <m/>
    <s v="Hareskov Skole"/>
    <x v="110"/>
    <x v="0"/>
    <x v="4"/>
    <n v="224.27"/>
    <n v="12"/>
    <s v="2012-05-31"/>
    <n v="0"/>
    <n v="7549"/>
    <n v="2.9707999999999998E-2"/>
    <n v="3"/>
    <x v="0"/>
    <x v="2846"/>
    <n v="179.42"/>
    <n v="0"/>
    <s v="46349 Sløjd"/>
    <m/>
    <n v="224.27012999999999"/>
    <n v="0"/>
    <n v="79481"/>
  </r>
  <r>
    <x v="6"/>
    <m/>
    <s v="Hareskov Skole, POP 6-12"/>
    <n v="9220"/>
    <m/>
    <s v="Hareskov Skole"/>
    <x v="110"/>
    <x v="0"/>
    <x v="5"/>
    <n v="17.13"/>
    <n v="12"/>
    <m/>
    <n v="0"/>
    <n v="7549"/>
    <n v="2.2690000000000002E-3"/>
    <n v="3"/>
    <x v="0"/>
    <x v="2847"/>
    <n v="0"/>
    <n v="0"/>
    <s v="V.Vand"/>
    <m/>
    <n v="17.123999999999999"/>
    <n v="0"/>
    <n v="72733"/>
  </r>
  <r>
    <x v="6"/>
    <m/>
    <s v="Hareskov Skole, POP 6-12"/>
    <n v="9220"/>
    <m/>
    <s v="Hareskov Skole"/>
    <x v="110"/>
    <x v="0"/>
    <x v="5"/>
    <n v="417.16"/>
    <n v="12"/>
    <s v="2010-11-29"/>
    <n v="0"/>
    <n v="7549"/>
    <n v="5.5259000000000003E-2"/>
    <n v="3"/>
    <x v="0"/>
    <x v="2848"/>
    <n v="333.74"/>
    <n v="0"/>
    <s v="Værksted nr 0223"/>
    <m/>
    <n v="417.17457999999999"/>
    <n v="0"/>
    <n v="77261"/>
  </r>
  <r>
    <x v="6"/>
    <m/>
    <s v="Hareskov Skole, POP 6-12"/>
    <n v="9220"/>
    <m/>
    <s v="Hareskov Skole"/>
    <x v="110"/>
    <x v="0"/>
    <x v="5"/>
    <n v="272.83"/>
    <n v="11"/>
    <s v="2012-05-31"/>
    <n v="0"/>
    <n v="7549"/>
    <n v="3.6139999999999999E-2"/>
    <n v="3"/>
    <x v="0"/>
    <x v="2849"/>
    <n v="218.29"/>
    <n v="0"/>
    <s v="46349 Sløjd"/>
    <m/>
    <n v="272.84424000000001"/>
    <n v="0"/>
    <n v="79481"/>
  </r>
  <r>
    <x v="6"/>
    <m/>
    <s v="Hareskov Skole, POP 6-12"/>
    <n v="9220"/>
    <m/>
    <s v="Hareskov Skole"/>
    <x v="110"/>
    <x v="0"/>
    <x v="6"/>
    <n v="30.7"/>
    <n v="12"/>
    <m/>
    <n v="0"/>
    <n v="7549"/>
    <n v="4.0660000000000002E-3"/>
    <n v="3"/>
    <x v="0"/>
    <x v="2850"/>
    <n v="0"/>
    <n v="0"/>
    <s v="V.Vand"/>
    <m/>
    <n v="30.687999999999999"/>
    <n v="0"/>
    <n v="72733"/>
  </r>
  <r>
    <x v="6"/>
    <m/>
    <s v="Hareskov Skole, POP 6-12"/>
    <n v="9220"/>
    <m/>
    <s v="Hareskov Skole"/>
    <x v="110"/>
    <x v="0"/>
    <x v="6"/>
    <n v="501.98"/>
    <n v="12"/>
    <s v="2010-11-29"/>
    <n v="0"/>
    <n v="7549"/>
    <n v="6.6494999999999999E-2"/>
    <n v="3"/>
    <x v="0"/>
    <x v="2851"/>
    <n v="401.61"/>
    <n v="0"/>
    <s v="Værksted nr 0223"/>
    <m/>
    <n v="502.00000999999997"/>
    <n v="0"/>
    <n v="77261"/>
  </r>
  <r>
    <x v="6"/>
    <m/>
    <s v="Hareskov Skole, POP 6-12"/>
    <n v="9220"/>
    <m/>
    <s v="Hareskov Skole"/>
    <x v="110"/>
    <x v="0"/>
    <x v="6"/>
    <n v="218.92"/>
    <n v="12"/>
    <s v="2012-05-31"/>
    <n v="0"/>
    <n v="7549"/>
    <n v="2.8999E-2"/>
    <n v="3"/>
    <x v="0"/>
    <x v="2852"/>
    <n v="175.12"/>
    <n v="0"/>
    <s v="46349 Sløjd"/>
    <m/>
    <n v="218.90323000000001"/>
    <n v="0"/>
    <n v="79481"/>
  </r>
  <r>
    <x v="6"/>
    <m/>
    <s v="Hareskov Skole, POP 6-12"/>
    <n v="11000"/>
    <m/>
    <s v="POP-øst"/>
    <x v="110"/>
    <x v="0"/>
    <x v="0"/>
    <n v="285"/>
    <n v="5"/>
    <s v="2010-11-01"/>
    <n v="0"/>
    <n v="652"/>
    <n v="0.20208499999999999"/>
    <n v="3"/>
    <x v="0"/>
    <x v="2853"/>
    <n v="105.42"/>
    <n v="0"/>
    <s v="Gl. fyrkælder"/>
    <m/>
    <n v="131.77799999999999"/>
    <n v="0"/>
    <n v="79480"/>
  </r>
  <r>
    <x v="4"/>
    <s v="00767-6"/>
    <s v="Sundhedshuset Gammelgårdsvej 88"/>
    <n v="5270"/>
    <m/>
    <s v="Milcon"/>
    <x v="99"/>
    <x v="0"/>
    <x v="7"/>
    <n v="130268.52"/>
    <n v="12"/>
    <m/>
    <n v="0"/>
    <n v="2625"/>
    <n v="49.624212"/>
    <n v="1"/>
    <x v="4"/>
    <x v="2854"/>
    <n v="32517.51"/>
    <n v="0"/>
    <s v="1206500"/>
    <s v="98002006662"/>
    <n v="12061.9"/>
    <n v="0"/>
    <n v="56823"/>
  </r>
  <r>
    <x v="6"/>
    <m/>
    <s v="Hareskov Skole, POP 6-12"/>
    <n v="11000"/>
    <m/>
    <s v="POP-øst"/>
    <x v="110"/>
    <x v="0"/>
    <x v="1"/>
    <n v="287.36"/>
    <n v="12"/>
    <s v="2010-11-01"/>
    <n v="0"/>
    <n v="652"/>
    <n v="0.440668"/>
    <n v="3"/>
    <x v="0"/>
    <x v="2855"/>
    <n v="229.9"/>
    <n v="0"/>
    <s v="Gl. fyrkælder"/>
    <m/>
    <n v="287.37200000000001"/>
    <n v="0"/>
    <n v="79480"/>
  </r>
  <r>
    <x v="6"/>
    <m/>
    <s v="Hareskov Skole, POP 6-12"/>
    <n v="11000"/>
    <m/>
    <s v="POP-øst"/>
    <x v="110"/>
    <x v="0"/>
    <x v="2"/>
    <n v="61.61"/>
    <n v="12"/>
    <s v="2010-11-01"/>
    <n v="0"/>
    <n v="652"/>
    <n v="9.4478999999999994E-2"/>
    <n v="3"/>
    <x v="0"/>
    <x v="2856"/>
    <n v="49.29"/>
    <n v="0"/>
    <s v="Gl. fyrkælder"/>
    <m/>
    <n v="61.603999999999999"/>
    <n v="0"/>
    <n v="79480"/>
  </r>
  <r>
    <x v="6"/>
    <m/>
    <s v="Hareskov Skole, POP 6-12"/>
    <n v="11000"/>
    <m/>
    <s v="POP-øst"/>
    <x v="110"/>
    <x v="0"/>
    <x v="3"/>
    <n v="10.35"/>
    <n v="12"/>
    <s v="2010-11-01"/>
    <n v="0"/>
    <n v="652"/>
    <n v="1.5871E-2"/>
    <n v="3"/>
    <x v="0"/>
    <x v="2857"/>
    <n v="8.2899999999999991"/>
    <n v="0"/>
    <s v="Gl. fyrkælder"/>
    <m/>
    <n v="10.343"/>
    <n v="0"/>
    <n v="79480"/>
  </r>
  <r>
    <x v="6"/>
    <m/>
    <s v="Hareskov Skole, POP 6-12"/>
    <n v="11000"/>
    <m/>
    <s v="POP-øst"/>
    <x v="110"/>
    <x v="0"/>
    <x v="4"/>
    <n v="381.6"/>
    <n v="13"/>
    <s v="2010-11-01"/>
    <n v="0"/>
    <n v="652"/>
    <n v="0.58518599999999998"/>
    <n v="3"/>
    <x v="0"/>
    <x v="2858"/>
    <n v="305.27999999999997"/>
    <n v="0"/>
    <s v="Gl. fyrkælder"/>
    <m/>
    <n v="381.60086000000001"/>
    <n v="0"/>
    <n v="79480"/>
  </r>
  <r>
    <x v="6"/>
    <m/>
    <s v="Hareskov Skole, POP 6-12"/>
    <n v="11000"/>
    <m/>
    <s v="POP-øst"/>
    <x v="110"/>
    <x v="0"/>
    <x v="5"/>
    <n v="446.55"/>
    <n v="11"/>
    <s v="2010-11-01"/>
    <n v="0"/>
    <n v="652"/>
    <n v="0.68478700000000003"/>
    <n v="3"/>
    <x v="0"/>
    <x v="2859"/>
    <n v="357.24"/>
    <n v="0"/>
    <s v="Gl. fyrkælder"/>
    <m/>
    <n v="446.56038000000001"/>
    <n v="0"/>
    <n v="79480"/>
  </r>
  <r>
    <x v="6"/>
    <m/>
    <s v="Hareskov Skole, POP 6-12"/>
    <n v="11000"/>
    <m/>
    <s v="POP-øst"/>
    <x v="110"/>
    <x v="0"/>
    <x v="6"/>
    <n v="435.57"/>
    <n v="12"/>
    <s v="2010-11-01"/>
    <n v="0"/>
    <n v="652"/>
    <n v="0.66794900000000001"/>
    <n v="3"/>
    <x v="0"/>
    <x v="2860"/>
    <n v="348.48"/>
    <n v="0"/>
    <s v="Gl. fyrkælder"/>
    <m/>
    <n v="435.58064999999999"/>
    <n v="0"/>
    <n v="79480"/>
  </r>
  <r>
    <x v="6"/>
    <m/>
    <s v="Lille Værløse skole"/>
    <n v="14252"/>
    <s v="0"/>
    <s v="Bygning A"/>
    <x v="111"/>
    <x v="0"/>
    <x v="0"/>
    <n v="878"/>
    <n v="5"/>
    <m/>
    <n v="0"/>
    <n v="3700"/>
    <n v="9.4797000000000006E-2"/>
    <n v="3"/>
    <x v="0"/>
    <x v="2861"/>
    <n v="280.61"/>
    <n v="0"/>
    <s v="Byg A nr 378377"/>
    <m/>
    <n v="350.76600000000002"/>
    <n v="0"/>
    <n v="77354"/>
  </r>
  <r>
    <x v="6"/>
    <m/>
    <s v="Lille Værløse skole"/>
    <n v="14252"/>
    <s v="0"/>
    <s v="Bygning A"/>
    <x v="111"/>
    <x v="0"/>
    <x v="1"/>
    <n v="729.46"/>
    <n v="12"/>
    <m/>
    <n v="0"/>
    <n v="3700"/>
    <n v="0.19714599999999999"/>
    <n v="3"/>
    <x v="0"/>
    <x v="2862"/>
    <n v="583.58000000000004"/>
    <n v="0"/>
    <s v="Byg A nr 378377"/>
    <m/>
    <n v="729.45699999999999"/>
    <n v="0"/>
    <n v="77354"/>
  </r>
  <r>
    <x v="6"/>
    <m/>
    <s v="Lille Værløse skole"/>
    <n v="14252"/>
    <s v="0"/>
    <s v="Bygning A"/>
    <x v="111"/>
    <x v="0"/>
    <x v="2"/>
    <n v="689.86"/>
    <n v="12"/>
    <m/>
    <n v="0"/>
    <n v="3700"/>
    <n v="0.186443"/>
    <n v="3"/>
    <x v="0"/>
    <x v="2863"/>
    <n v="551.89"/>
    <n v="0"/>
    <s v="Byg A nr 378377"/>
    <m/>
    <n v="689.86300000000006"/>
    <n v="0"/>
    <n v="77354"/>
  </r>
  <r>
    <x v="6"/>
    <m/>
    <s v="Lille Værløse skole"/>
    <n v="14252"/>
    <s v="0"/>
    <s v="Bygning A"/>
    <x v="111"/>
    <x v="0"/>
    <x v="3"/>
    <n v="1022.21"/>
    <n v="12"/>
    <m/>
    <n v="0"/>
    <n v="3700"/>
    <n v="0.27626499999999998"/>
    <n v="3"/>
    <x v="0"/>
    <x v="2864"/>
    <n v="817.76"/>
    <n v="0"/>
    <s v="Byg A nr 378377"/>
    <m/>
    <n v="1022.206"/>
    <n v="0"/>
    <n v="77354"/>
  </r>
  <r>
    <x v="6"/>
    <m/>
    <s v="Lille Værløse skole"/>
    <n v="14252"/>
    <s v="0"/>
    <s v="Bygning A"/>
    <x v="111"/>
    <x v="0"/>
    <x v="4"/>
    <n v="1092.7"/>
    <n v="12"/>
    <m/>
    <n v="0"/>
    <n v="3700"/>
    <n v="0.29531600000000002"/>
    <n v="3"/>
    <x v="0"/>
    <x v="2865"/>
    <n v="874.15"/>
    <n v="0"/>
    <s v="Byg A nr 378377"/>
    <m/>
    <n v="1092.6808900000001"/>
    <n v="0"/>
    <n v="77354"/>
  </r>
  <r>
    <x v="6"/>
    <m/>
    <s v="Lille Værløse skole"/>
    <n v="14252"/>
    <s v="0"/>
    <s v="Bygning A"/>
    <x v="111"/>
    <x v="0"/>
    <x v="5"/>
    <n v="1748.76"/>
    <n v="12"/>
    <m/>
    <n v="0"/>
    <n v="3700"/>
    <n v="0.47262500000000002"/>
    <n v="3"/>
    <x v="0"/>
    <x v="2866"/>
    <n v="1399.02"/>
    <n v="0"/>
    <s v="Byg A nr 378377"/>
    <m/>
    <n v="1748.742"/>
    <n v="0"/>
    <n v="77354"/>
  </r>
  <r>
    <x v="6"/>
    <m/>
    <s v="Lille Værløse skole"/>
    <n v="14252"/>
    <s v="0"/>
    <s v="Bygning A"/>
    <x v="111"/>
    <x v="0"/>
    <x v="6"/>
    <n v="541.51"/>
    <n v="12"/>
    <m/>
    <n v="0"/>
    <n v="3700"/>
    <n v="0.14635000000000001"/>
    <n v="3"/>
    <x v="0"/>
    <x v="2867"/>
    <n v="433.2"/>
    <n v="0"/>
    <s v="Byg A nr 378377"/>
    <m/>
    <n v="541.50300000000004"/>
    <n v="0"/>
    <n v="77354"/>
  </r>
  <r>
    <x v="6"/>
    <m/>
    <s v="Lille Værløse skole"/>
    <n v="14253"/>
    <s v="0"/>
    <s v="Bygning B+C"/>
    <x v="111"/>
    <x v="0"/>
    <x v="0"/>
    <n v="957"/>
    <n v="5"/>
    <s v="2011-08-30"/>
    <n v="0"/>
    <n v="6105"/>
    <n v="6.2979999999999994E-2"/>
    <n v="3"/>
    <x v="0"/>
    <x v="2868"/>
    <n v="307.60000000000002"/>
    <n v="0"/>
    <s v="Byg B+C nr 40490"/>
    <m/>
    <n v="384.5"/>
    <n v="0"/>
    <n v="78672"/>
  </r>
  <r>
    <x v="6"/>
    <m/>
    <s v="Lille Værløse skole"/>
    <n v="14253"/>
    <s v="0"/>
    <s v="Bygning B+C"/>
    <x v="111"/>
    <x v="0"/>
    <x v="1"/>
    <n v="639.79999999999995"/>
    <n v="12"/>
    <s v="2011-08-30"/>
    <n v="0"/>
    <n v="6105"/>
    <n v="0.104797"/>
    <n v="3"/>
    <x v="0"/>
    <x v="2869"/>
    <n v="511.84"/>
    <n v="0"/>
    <s v="Byg B+C nr 40490"/>
    <m/>
    <n v="639.79999999999995"/>
    <n v="0"/>
    <n v="78672"/>
  </r>
  <r>
    <x v="6"/>
    <m/>
    <s v="Lille Værløse skole"/>
    <n v="14253"/>
    <s v="0"/>
    <s v="Bygning B+C"/>
    <x v="111"/>
    <x v="0"/>
    <x v="2"/>
    <n v="1026"/>
    <n v="12"/>
    <s v="2011-08-30"/>
    <n v="0"/>
    <n v="6105"/>
    <n v="0.16805600000000001"/>
    <n v="3"/>
    <x v="0"/>
    <x v="2870"/>
    <n v="820.8"/>
    <n v="0"/>
    <s v="Byg B+C nr 40490"/>
    <m/>
    <n v="1026"/>
    <n v="0"/>
    <n v="78672"/>
  </r>
  <r>
    <x v="6"/>
    <m/>
    <s v="Lille Værløse skole"/>
    <n v="14253"/>
    <s v="0"/>
    <s v="Bygning B+C"/>
    <x v="111"/>
    <x v="0"/>
    <x v="3"/>
    <n v="1153.81"/>
    <n v="12"/>
    <s v="2011-08-30"/>
    <n v="0"/>
    <n v="6105"/>
    <n v="0.18899099999999999"/>
    <n v="3"/>
    <x v="0"/>
    <x v="2871"/>
    <n v="923.04"/>
    <n v="0"/>
    <s v="Byg B+C nr 40490"/>
    <m/>
    <n v="1153.80159"/>
    <n v="0"/>
    <n v="78672"/>
  </r>
  <r>
    <x v="6"/>
    <m/>
    <s v="Lille Værløse skole"/>
    <n v="14253"/>
    <s v="0"/>
    <s v="Bygning B+C"/>
    <x v="111"/>
    <x v="0"/>
    <x v="4"/>
    <n v="989.91"/>
    <n v="6"/>
    <s v="2011-08-30"/>
    <n v="0"/>
    <n v="6105"/>
    <n v="0.16214400000000001"/>
    <n v="3"/>
    <x v="0"/>
    <x v="2872"/>
    <n v="791.91"/>
    <n v="0"/>
    <s v="Byg B+C nr 40490"/>
    <m/>
    <n v="989.90130999999997"/>
    <n v="0"/>
    <n v="78672"/>
  </r>
  <r>
    <x v="6"/>
    <m/>
    <s v="Lille Værløse skole"/>
    <n v="14253"/>
    <s v="0"/>
    <s v="Bygning B+C"/>
    <x v="111"/>
    <x v="0"/>
    <x v="5"/>
    <n v="1356.14"/>
    <n v="4"/>
    <s v="2011-08-30"/>
    <n v="0"/>
    <n v="6105"/>
    <n v="0.222132"/>
    <n v="3"/>
    <x v="0"/>
    <x v="2873"/>
    <n v="1084.9000000000001"/>
    <n v="0"/>
    <s v="Byg B+C nr 40490"/>
    <m/>
    <n v="1356.1442300000001"/>
    <n v="0"/>
    <n v="78672"/>
  </r>
  <r>
    <x v="6"/>
    <m/>
    <s v="Lille Værløse skole"/>
    <n v="14253"/>
    <s v="0"/>
    <s v="Bygning B+C"/>
    <x v="111"/>
    <x v="0"/>
    <x v="6"/>
    <n v="708.48"/>
    <n v="11"/>
    <s v="2011-08-30"/>
    <n v="0"/>
    <n v="6105"/>
    <n v="0.116047"/>
    <n v="3"/>
    <x v="0"/>
    <x v="2874"/>
    <n v="566.77"/>
    <n v="0"/>
    <s v="Byg B+C nr 40490"/>
    <m/>
    <n v="708.45160999999996"/>
    <n v="0"/>
    <n v="78672"/>
  </r>
  <r>
    <x v="6"/>
    <m/>
    <s v="Lille Værløse skole"/>
    <n v="14254"/>
    <s v="0"/>
    <s v="Bygning D"/>
    <x v="111"/>
    <x v="0"/>
    <x v="0"/>
    <n v="537"/>
    <n v="5"/>
    <s v="2011-08-30"/>
    <n v="0"/>
    <n v="2840"/>
    <n v="0.107777"/>
    <n v="3"/>
    <x v="0"/>
    <x v="2875"/>
    <n v="244.88"/>
    <n v="0"/>
    <s v="Byg D nr 40415"/>
    <m/>
    <n v="306.10000000000002"/>
    <n v="0"/>
    <n v="78673"/>
  </r>
  <r>
    <x v="6"/>
    <m/>
    <s v="Lille Værløse skole"/>
    <n v="14254"/>
    <s v="0"/>
    <s v="Bygning D"/>
    <x v="111"/>
    <x v="0"/>
    <x v="1"/>
    <n v="370"/>
    <n v="12"/>
    <s v="2011-08-30"/>
    <n v="0"/>
    <n v="2840"/>
    <n v="0.130277"/>
    <n v="3"/>
    <x v="0"/>
    <x v="2876"/>
    <n v="296"/>
    <n v="0"/>
    <s v="Byg D nr 40415"/>
    <m/>
    <n v="370"/>
    <n v="0"/>
    <n v="78673"/>
  </r>
  <r>
    <x v="6"/>
    <m/>
    <s v="Lille Værløse skole"/>
    <n v="14254"/>
    <s v="0"/>
    <s v="Bygning D"/>
    <x v="111"/>
    <x v="0"/>
    <x v="2"/>
    <n v="341.7"/>
    <n v="12"/>
    <s v="2011-08-30"/>
    <n v="0"/>
    <n v="2840"/>
    <n v="0.120312"/>
    <n v="3"/>
    <x v="0"/>
    <x v="2877"/>
    <n v="273.36"/>
    <n v="0"/>
    <s v="Byg D nr 40415"/>
    <m/>
    <n v="341.7"/>
    <n v="0"/>
    <n v="78673"/>
  </r>
  <r>
    <x v="6"/>
    <m/>
    <s v="Lille Værløse skole"/>
    <n v="14254"/>
    <s v="0"/>
    <s v="Bygning D"/>
    <x v="111"/>
    <x v="0"/>
    <x v="3"/>
    <n v="730.79"/>
    <n v="12"/>
    <s v="2011-08-30"/>
    <n v="0"/>
    <n v="2840"/>
    <n v="0.25731100000000001"/>
    <n v="3"/>
    <x v="0"/>
    <x v="2878"/>
    <n v="584.62"/>
    <n v="0"/>
    <s v="Byg D nr 40415"/>
    <m/>
    <n v="730.77885000000003"/>
    <n v="0"/>
    <n v="78673"/>
  </r>
  <r>
    <x v="6"/>
    <m/>
    <s v="Lille Værløse skole"/>
    <n v="14254"/>
    <s v="0"/>
    <s v="Bygning D"/>
    <x v="111"/>
    <x v="0"/>
    <x v="4"/>
    <n v="905.64"/>
    <n v="5"/>
    <s v="2011-08-30"/>
    <n v="0"/>
    <n v="2840"/>
    <n v="0.31887599999999999"/>
    <n v="3"/>
    <x v="0"/>
    <x v="2879"/>
    <n v="724.49"/>
    <n v="0"/>
    <s v="Byg D nr 40415"/>
    <m/>
    <n v="905.63401999999996"/>
    <n v="0"/>
    <n v="78673"/>
  </r>
  <r>
    <x v="6"/>
    <m/>
    <s v="Lille Værløse skole"/>
    <n v="14254"/>
    <s v="0"/>
    <s v="Bygning D"/>
    <x v="111"/>
    <x v="0"/>
    <x v="5"/>
    <n v="1291.95"/>
    <n v="4"/>
    <s v="2011-08-30"/>
    <n v="0"/>
    <n v="2840"/>
    <n v="0.45489499999999999"/>
    <n v="3"/>
    <x v="0"/>
    <x v="2880"/>
    <n v="1033.5899999999999"/>
    <n v="0"/>
    <s v="Byg D nr 40415"/>
    <m/>
    <n v="1291.9650799999999"/>
    <n v="0"/>
    <n v="78673"/>
  </r>
  <r>
    <x v="6"/>
    <m/>
    <s v="Lille Værløse skole"/>
    <n v="14254"/>
    <s v="0"/>
    <s v="Bygning D"/>
    <x v="111"/>
    <x v="0"/>
    <x v="6"/>
    <n v="754.98"/>
    <n v="11"/>
    <s v="2011-08-30"/>
    <n v="0"/>
    <n v="2840"/>
    <n v="0.26582800000000001"/>
    <n v="3"/>
    <x v="0"/>
    <x v="2881"/>
    <n v="604.01"/>
    <n v="0"/>
    <s v="Byg D nr 40415"/>
    <m/>
    <n v="754.99999000000003"/>
    <n v="0"/>
    <n v="78673"/>
  </r>
  <r>
    <x v="6"/>
    <m/>
    <s v="Lillestjernen, LV 91-93"/>
    <n v="9518"/>
    <m/>
    <s v="Lillestjernen"/>
    <x v="86"/>
    <x v="0"/>
    <x v="0"/>
    <n v="440"/>
    <n v="5"/>
    <m/>
    <n v="0"/>
    <n v="2128"/>
    <n v="8.6551000000000003E-2"/>
    <n v="3"/>
    <x v="0"/>
    <x v="2882"/>
    <n v="147.35"/>
    <n v="0"/>
    <m/>
    <m/>
    <n v="184.18299999999999"/>
    <n v="0"/>
    <n v="74429"/>
  </r>
  <r>
    <x v="6"/>
    <m/>
    <s v="Lillestjernen, LV 91-93"/>
    <n v="9518"/>
    <m/>
    <s v="Lillestjernen"/>
    <x v="86"/>
    <x v="0"/>
    <x v="1"/>
    <n v="297.25"/>
    <n v="12"/>
    <m/>
    <n v="0"/>
    <n v="2128"/>
    <n v="0.139678"/>
    <n v="3"/>
    <x v="0"/>
    <x v="2883"/>
    <n v="237.8"/>
    <n v="0"/>
    <m/>
    <m/>
    <n v="297.24900000000002"/>
    <n v="0"/>
    <n v="74429"/>
  </r>
  <r>
    <x v="6"/>
    <m/>
    <s v="Lillestjernen, LV 91-93"/>
    <n v="9518"/>
    <m/>
    <s v="Lillestjernen"/>
    <x v="86"/>
    <x v="0"/>
    <x v="2"/>
    <n v="286.11"/>
    <n v="12"/>
    <m/>
    <n v="0"/>
    <n v="2128"/>
    <n v="0.13444300000000001"/>
    <n v="3"/>
    <x v="0"/>
    <x v="2884"/>
    <n v="228.89"/>
    <n v="0"/>
    <m/>
    <m/>
    <n v="286.11700000000002"/>
    <n v="0"/>
    <n v="74429"/>
  </r>
  <r>
    <x v="6"/>
    <m/>
    <s v="Lillestjernen, LV 91-93"/>
    <n v="9518"/>
    <m/>
    <s v="Lillestjernen"/>
    <x v="86"/>
    <x v="0"/>
    <x v="3"/>
    <n v="301.13"/>
    <n v="12"/>
    <m/>
    <n v="0"/>
    <n v="2128"/>
    <n v="0.14150099999999999"/>
    <n v="3"/>
    <x v="0"/>
    <x v="2885"/>
    <n v="240.9"/>
    <n v="0"/>
    <m/>
    <m/>
    <n v="301.13400000000001"/>
    <n v="0"/>
    <n v="74429"/>
  </r>
  <r>
    <x v="6"/>
    <m/>
    <s v="Lillestjernen, LV 91-93"/>
    <n v="9518"/>
    <m/>
    <s v="Lillestjernen"/>
    <x v="86"/>
    <x v="0"/>
    <x v="4"/>
    <n v="341.5"/>
    <n v="12"/>
    <m/>
    <n v="0"/>
    <n v="2128"/>
    <n v="0.160471"/>
    <n v="3"/>
    <x v="0"/>
    <x v="2886"/>
    <n v="273.19"/>
    <n v="0"/>
    <m/>
    <m/>
    <n v="341.48500000000001"/>
    <n v="0"/>
    <n v="74429"/>
  </r>
  <r>
    <x v="6"/>
    <m/>
    <s v="Lillestjernen, LV 91-93"/>
    <n v="9518"/>
    <m/>
    <s v="Lillestjernen"/>
    <x v="86"/>
    <x v="0"/>
    <x v="5"/>
    <n v="321.75"/>
    <n v="12"/>
    <m/>
    <n v="0"/>
    <n v="2128"/>
    <n v="0.15119099999999999"/>
    <n v="3"/>
    <x v="0"/>
    <x v="2887"/>
    <n v="257.41000000000003"/>
    <n v="0"/>
    <m/>
    <m/>
    <n v="321.75400000000002"/>
    <n v="0"/>
    <n v="74429"/>
  </r>
  <r>
    <x v="6"/>
    <m/>
    <s v="Lillestjernen, LV 91-93"/>
    <n v="9518"/>
    <m/>
    <s v="Lillestjernen"/>
    <x v="86"/>
    <x v="0"/>
    <x v="6"/>
    <n v="285.85000000000002"/>
    <n v="12"/>
    <m/>
    <n v="0"/>
    <n v="2128"/>
    <n v="0.134321"/>
    <n v="3"/>
    <x v="0"/>
    <x v="2888"/>
    <n v="228.69"/>
    <n v="0"/>
    <m/>
    <m/>
    <n v="285.84199999999998"/>
    <n v="0"/>
    <n v="74429"/>
  </r>
  <r>
    <x v="6"/>
    <m/>
    <s v="Lillestjernen, LV 91-93"/>
    <n v="9519"/>
    <m/>
    <s v="Lillestjernen miniklub"/>
    <x v="86"/>
    <x v="0"/>
    <x v="0"/>
    <n v="161"/>
    <n v="5"/>
    <m/>
    <n v="0"/>
    <n v="353"/>
    <n v="0.20305799999999999"/>
    <n v="3"/>
    <x v="0"/>
    <x v="2889"/>
    <n v="57.34"/>
    <n v="0"/>
    <m/>
    <m/>
    <n v="71.69"/>
    <n v="0"/>
    <n v="74432"/>
  </r>
  <r>
    <x v="6"/>
    <m/>
    <s v="Lillestjernen, LV 91-93"/>
    <n v="9519"/>
    <m/>
    <s v="Lillestjernen miniklub"/>
    <x v="86"/>
    <x v="0"/>
    <x v="1"/>
    <n v="155.94999999999999"/>
    <n v="12"/>
    <m/>
    <n v="0"/>
    <n v="353"/>
    <n v="0.44165900000000002"/>
    <n v="3"/>
    <x v="0"/>
    <x v="2890"/>
    <n v="124.78"/>
    <n v="0"/>
    <m/>
    <m/>
    <n v="155.95400000000001"/>
    <n v="0"/>
    <n v="74432"/>
  </r>
  <r>
    <x v="6"/>
    <m/>
    <s v="Lillestjernen, LV 91-93"/>
    <n v="9519"/>
    <m/>
    <s v="Lillestjernen miniklub"/>
    <x v="86"/>
    <x v="0"/>
    <x v="2"/>
    <n v="271.42"/>
    <n v="12"/>
    <m/>
    <n v="0"/>
    <n v="353"/>
    <n v="0.76867700000000005"/>
    <n v="3"/>
    <x v="0"/>
    <x v="2891"/>
    <n v="217.14"/>
    <n v="0"/>
    <m/>
    <m/>
    <n v="271.43"/>
    <n v="0"/>
    <n v="74432"/>
  </r>
  <r>
    <x v="6"/>
    <m/>
    <s v="Lillestjernen, LV 91-93"/>
    <n v="9519"/>
    <m/>
    <s v="Lillestjernen miniklub"/>
    <x v="86"/>
    <x v="0"/>
    <x v="3"/>
    <n v="221.53"/>
    <n v="12"/>
    <m/>
    <n v="0"/>
    <n v="353"/>
    <n v="0.627386"/>
    <n v="3"/>
    <x v="0"/>
    <x v="2892"/>
    <n v="177.24"/>
    <n v="0"/>
    <m/>
    <m/>
    <n v="221.55"/>
    <n v="0"/>
    <n v="74432"/>
  </r>
  <r>
    <x v="6"/>
    <m/>
    <s v="Lillestjernen, LV 91-93"/>
    <n v="9519"/>
    <m/>
    <s v="Lillestjernen miniklub"/>
    <x v="86"/>
    <x v="0"/>
    <x v="4"/>
    <n v="184.39"/>
    <n v="12"/>
    <m/>
    <n v="0"/>
    <n v="353"/>
    <n v="0.52220299999999997"/>
    <n v="3"/>
    <x v="0"/>
    <x v="2893"/>
    <n v="147.51"/>
    <n v="0"/>
    <m/>
    <m/>
    <n v="184.40299999999999"/>
    <n v="0"/>
    <n v="74432"/>
  </r>
  <r>
    <x v="6"/>
    <m/>
    <s v="Lillestjernen, LV 91-93"/>
    <n v="9519"/>
    <m/>
    <s v="Lillestjernen miniklub"/>
    <x v="86"/>
    <x v="0"/>
    <x v="5"/>
    <n v="212.17"/>
    <n v="12"/>
    <m/>
    <n v="0"/>
    <n v="353"/>
    <n v="0.60087699999999999"/>
    <n v="3"/>
    <x v="0"/>
    <x v="2894"/>
    <n v="169.76"/>
    <n v="0"/>
    <m/>
    <m/>
    <n v="212.18"/>
    <n v="0"/>
    <n v="74432"/>
  </r>
  <r>
    <x v="6"/>
    <m/>
    <s v="Lillestjernen, LV 91-93"/>
    <n v="9519"/>
    <m/>
    <s v="Lillestjernen miniklub"/>
    <x v="86"/>
    <x v="0"/>
    <x v="6"/>
    <n v="242.93"/>
    <n v="12"/>
    <m/>
    <n v="0"/>
    <n v="353"/>
    <n v="0.68799200000000005"/>
    <n v="3"/>
    <x v="0"/>
    <x v="2895"/>
    <n v="194.34"/>
    <n v="0"/>
    <m/>
    <m/>
    <n v="242.93199999999999"/>
    <n v="0"/>
    <n v="74432"/>
  </r>
  <r>
    <x v="6"/>
    <s v="5756"/>
    <s v="Lyngholmskolen, Hvile 1"/>
    <n v="5480"/>
    <m/>
    <s v="Bimåler"/>
    <x v="112"/>
    <x v="1"/>
    <x v="0"/>
    <n v="36.08"/>
    <n v="5"/>
    <s v="2005-07-01"/>
    <n v="0"/>
    <n v="0"/>
    <n v="360.8"/>
    <n v="3"/>
    <x v="0"/>
    <x v="2896"/>
    <n v="28.87"/>
    <n v="1"/>
    <s v="BV01"/>
    <m/>
    <n v="36.085000000000001"/>
    <n v="0"/>
    <n v="57940"/>
  </r>
  <r>
    <x v="6"/>
    <s v="5756"/>
    <s v="Lyngholmskolen, Hvile 1"/>
    <n v="5480"/>
    <m/>
    <s v="Bimåler"/>
    <x v="112"/>
    <x v="1"/>
    <x v="1"/>
    <n v="242.06"/>
    <n v="12"/>
    <s v="2005-07-01"/>
    <n v="0"/>
    <n v="0"/>
    <n v="2420.6"/>
    <n v="3"/>
    <x v="0"/>
    <x v="2897"/>
    <n v="193.64"/>
    <n v="1"/>
    <s v="BV01"/>
    <m/>
    <n v="242.054"/>
    <n v="0"/>
    <n v="57940"/>
  </r>
  <r>
    <x v="6"/>
    <s v="5756"/>
    <s v="Lyngholmskolen, Hvile 1"/>
    <n v="5480"/>
    <m/>
    <s v="Bimåler"/>
    <x v="112"/>
    <x v="1"/>
    <x v="2"/>
    <n v="274.8"/>
    <n v="12"/>
    <s v="2005-07-01"/>
    <n v="0"/>
    <n v="0"/>
    <n v="2748"/>
    <n v="3"/>
    <x v="0"/>
    <x v="2898"/>
    <n v="219.86"/>
    <n v="1"/>
    <s v="BV01"/>
    <m/>
    <n v="274.822"/>
    <n v="0"/>
    <n v="57940"/>
  </r>
  <r>
    <x v="6"/>
    <s v="5756"/>
    <s v="Lyngholmskolen, Hvile 1"/>
    <n v="5480"/>
    <m/>
    <s v="Bimåler"/>
    <x v="112"/>
    <x v="1"/>
    <x v="3"/>
    <n v="266.54000000000002"/>
    <n v="12"/>
    <s v="2005-07-01"/>
    <n v="0"/>
    <n v="0"/>
    <n v="2665.4"/>
    <n v="3"/>
    <x v="0"/>
    <x v="2899"/>
    <n v="213.23"/>
    <n v="1"/>
    <s v="BV01"/>
    <m/>
    <n v="266.54300000000001"/>
    <n v="0"/>
    <n v="57940"/>
  </r>
  <r>
    <x v="6"/>
    <s v="5756"/>
    <s v="Lyngholmskolen, Hvile 1"/>
    <n v="5480"/>
    <m/>
    <s v="Bimåler"/>
    <x v="112"/>
    <x v="1"/>
    <x v="4"/>
    <n v="290.62"/>
    <n v="12"/>
    <s v="2005-07-01"/>
    <n v="0"/>
    <n v="0"/>
    <n v="2906.2"/>
    <n v="3"/>
    <x v="0"/>
    <x v="2900"/>
    <n v="232.48"/>
    <n v="1"/>
    <s v="BV01"/>
    <m/>
    <n v="290.608"/>
    <n v="0"/>
    <n v="57940"/>
  </r>
  <r>
    <x v="6"/>
    <s v="5756"/>
    <s v="Lyngholmskolen, Hvile 1"/>
    <n v="5480"/>
    <m/>
    <s v="Bimåler"/>
    <x v="112"/>
    <x v="1"/>
    <x v="5"/>
    <n v="277.94"/>
    <n v="12"/>
    <s v="2005-07-01"/>
    <n v="0"/>
    <n v="0"/>
    <n v="2779.4"/>
    <n v="3"/>
    <x v="0"/>
    <x v="2901"/>
    <n v="222.35"/>
    <n v="1"/>
    <s v="BV01"/>
    <m/>
    <n v="277.93299999999999"/>
    <n v="0"/>
    <n v="57940"/>
  </r>
  <r>
    <x v="6"/>
    <s v="5756"/>
    <s v="Lyngholmskolen, Hvile 1"/>
    <n v="5480"/>
    <m/>
    <s v="Bimåler"/>
    <x v="112"/>
    <x v="1"/>
    <x v="6"/>
    <n v="298.05"/>
    <n v="12"/>
    <s v="2005-07-01"/>
    <n v="0"/>
    <n v="0"/>
    <n v="2980.5"/>
    <n v="3"/>
    <x v="0"/>
    <x v="2902"/>
    <n v="238.45"/>
    <n v="1"/>
    <s v="BV01"/>
    <m/>
    <n v="298.03800000000001"/>
    <n v="0"/>
    <n v="57940"/>
  </r>
  <r>
    <x v="6"/>
    <s v="5756"/>
    <s v="Lyngholmskolen, Hvile 1"/>
    <n v="5481"/>
    <m/>
    <s v="Lyngholmskolen Diamanten"/>
    <x v="112"/>
    <x v="0"/>
    <x v="0"/>
    <n v="0"/>
    <n v="5"/>
    <s v="2005-07-01"/>
    <n v="0"/>
    <n v="1273"/>
    <n v="1.2716E-2"/>
    <n v="3"/>
    <x v="0"/>
    <x v="2903"/>
    <n v="12.94"/>
    <n v="1"/>
    <s v="BV"/>
    <m/>
    <n v="16.18"/>
    <n v="0"/>
    <n v="57946"/>
  </r>
  <r>
    <x v="6"/>
    <s v="5756"/>
    <s v="Lyngholmskolen, Hvile 1"/>
    <n v="5481"/>
    <m/>
    <s v="Lyngholmskolen Diamanten"/>
    <x v="112"/>
    <x v="0"/>
    <x v="1"/>
    <n v="26.1"/>
    <n v="12"/>
    <s v="2005-07-01"/>
    <n v="0"/>
    <n v="1273"/>
    <n v="2.0500999999999998E-2"/>
    <n v="3"/>
    <x v="0"/>
    <x v="2904"/>
    <n v="20.86"/>
    <n v="1"/>
    <s v="BV"/>
    <m/>
    <n v="26.091000000000001"/>
    <n v="0"/>
    <n v="57946"/>
  </r>
  <r>
    <x v="6"/>
    <s v="5756"/>
    <s v="Lyngholmskolen, Hvile 1"/>
    <n v="5481"/>
    <m/>
    <s v="Lyngholmskolen Diamanten"/>
    <x v="112"/>
    <x v="0"/>
    <x v="2"/>
    <n v="42.41"/>
    <n v="12"/>
    <s v="2005-07-01"/>
    <n v="0"/>
    <n v="1273"/>
    <n v="3.3312000000000001E-2"/>
    <n v="3"/>
    <x v="0"/>
    <x v="2905"/>
    <n v="33.92"/>
    <n v="1"/>
    <s v="BV"/>
    <m/>
    <n v="42.399000000000001"/>
    <n v="0"/>
    <n v="57946"/>
  </r>
  <r>
    <x v="6"/>
    <s v="5756"/>
    <s v="Lyngholmskolen, Hvile 1"/>
    <n v="5481"/>
    <m/>
    <s v="Lyngholmskolen Diamanten"/>
    <x v="112"/>
    <x v="0"/>
    <x v="3"/>
    <n v="45.99"/>
    <n v="12"/>
    <s v="2005-07-01"/>
    <n v="0"/>
    <n v="1273"/>
    <n v="3.6124000000000003E-2"/>
    <n v="3"/>
    <x v="0"/>
    <x v="2906"/>
    <n v="36.799999999999997"/>
    <n v="1"/>
    <s v="BV"/>
    <m/>
    <n v="46.018000000000001"/>
    <n v="0"/>
    <n v="57946"/>
  </r>
  <r>
    <x v="6"/>
    <s v="5756"/>
    <s v="Lyngholmskolen, Hvile 1"/>
    <n v="5481"/>
    <m/>
    <s v="Lyngholmskolen Diamanten"/>
    <x v="112"/>
    <x v="0"/>
    <x v="4"/>
    <n v="55.83"/>
    <n v="12"/>
    <s v="2005-07-01"/>
    <n v="0"/>
    <n v="1273"/>
    <n v="4.3853000000000003E-2"/>
    <n v="3"/>
    <x v="0"/>
    <x v="2907"/>
    <n v="44.65"/>
    <n v="1"/>
    <s v="BV"/>
    <m/>
    <n v="55.829000000000001"/>
    <n v="0"/>
    <n v="57946"/>
  </r>
  <r>
    <x v="6"/>
    <s v="5756"/>
    <s v="Lyngholmskolen, Hvile 1"/>
    <n v="5481"/>
    <m/>
    <s v="Lyngholmskolen Diamanten"/>
    <x v="112"/>
    <x v="0"/>
    <x v="5"/>
    <n v="111.03"/>
    <n v="12"/>
    <s v="2005-07-01"/>
    <n v="0"/>
    <n v="1273"/>
    <n v="8.7211999999999998E-2"/>
    <n v="3"/>
    <x v="0"/>
    <x v="2908"/>
    <n v="88.85"/>
    <n v="1"/>
    <s v="BV"/>
    <m/>
    <n v="111.059"/>
    <n v="0"/>
    <n v="57946"/>
  </r>
  <r>
    <x v="6"/>
    <s v="5756"/>
    <s v="Lyngholmskolen, Hvile 1"/>
    <n v="5481"/>
    <m/>
    <s v="Lyngholmskolen Diamanten"/>
    <x v="112"/>
    <x v="0"/>
    <x v="6"/>
    <n v="114.9"/>
    <n v="12"/>
    <s v="2005-07-01"/>
    <n v="0"/>
    <n v="1273"/>
    <n v="9.0251999999999999E-2"/>
    <n v="3"/>
    <x v="0"/>
    <x v="2909"/>
    <n v="91.95"/>
    <n v="1"/>
    <s v="BV"/>
    <m/>
    <n v="114.905"/>
    <n v="0"/>
    <n v="57946"/>
  </r>
  <r>
    <x v="6"/>
    <s v="5756"/>
    <s v="Lyngholmskolen, Hvile 1"/>
    <n v="5479"/>
    <m/>
    <s v="Lyngholmskolenskolen"/>
    <x v="112"/>
    <x v="0"/>
    <x v="0"/>
    <n v="1335"/>
    <n v="5"/>
    <s v="2005-07-01"/>
    <n v="0"/>
    <n v="6089"/>
    <n v="0.13986399999999999"/>
    <n v="3"/>
    <x v="0"/>
    <x v="2910"/>
    <n v="681.32"/>
    <n v="0"/>
    <s v="10012214 aut"/>
    <m/>
    <n v="851.66"/>
    <n v="0"/>
    <n v="57933"/>
  </r>
  <r>
    <x v="6"/>
    <s v="5756"/>
    <s v="Lyngholmskolen, Hvile 1"/>
    <n v="5479"/>
    <m/>
    <s v="Lyngholmskolenskolen"/>
    <x v="112"/>
    <x v="0"/>
    <x v="1"/>
    <n v="1104.99"/>
    <n v="12"/>
    <s v="2005-07-01"/>
    <n v="0"/>
    <n v="6089"/>
    <n v="0.18146999999999999"/>
    <n v="3"/>
    <x v="0"/>
    <x v="2911"/>
    <n v="883.99"/>
    <n v="0"/>
    <s v="10012214 aut"/>
    <m/>
    <n v="1104.9939999999999"/>
    <n v="0"/>
    <n v="57933"/>
  </r>
  <r>
    <x v="6"/>
    <s v="5756"/>
    <s v="Lyngholmskolen, Hvile 1"/>
    <n v="5479"/>
    <m/>
    <s v="Lyngholmskolenskolen"/>
    <x v="112"/>
    <x v="0"/>
    <x v="2"/>
    <n v="1240.31"/>
    <n v="12"/>
    <s v="2005-07-01"/>
    <n v="0"/>
    <n v="6089"/>
    <n v="0.20369300000000001"/>
    <n v="3"/>
    <x v="0"/>
    <x v="2912"/>
    <n v="992.23"/>
    <n v="0"/>
    <s v="10012214 aut"/>
    <m/>
    <n v="1240.2940000000001"/>
    <n v="0"/>
    <n v="57933"/>
  </r>
  <r>
    <x v="6"/>
    <s v="5756"/>
    <s v="Lyngholmskolen, Hvile 1"/>
    <n v="5479"/>
    <m/>
    <s v="Lyngholmskolenskolen"/>
    <x v="112"/>
    <x v="0"/>
    <x v="3"/>
    <n v="1247.25"/>
    <n v="12"/>
    <s v="2005-07-01"/>
    <n v="0"/>
    <n v="6089"/>
    <n v="0.20483299999999999"/>
    <n v="3"/>
    <x v="0"/>
    <x v="2913"/>
    <n v="997.8"/>
    <n v="0"/>
    <s v="10012214 aut"/>
    <m/>
    <n v="1247.2449999999999"/>
    <n v="0"/>
    <n v="57933"/>
  </r>
  <r>
    <x v="6"/>
    <s v="5756"/>
    <s v="Lyngholmskolen, Hvile 1"/>
    <n v="5479"/>
    <m/>
    <s v="Lyngholmskolenskolen"/>
    <x v="112"/>
    <x v="0"/>
    <x v="4"/>
    <n v="1429.95"/>
    <n v="12"/>
    <s v="2005-07-01"/>
    <n v="0"/>
    <n v="6089"/>
    <n v="0.23483699999999999"/>
    <n v="3"/>
    <x v="0"/>
    <x v="2914"/>
    <n v="1144.01"/>
    <n v="0"/>
    <s v="10012214 aut"/>
    <m/>
    <n v="1429.9690000000001"/>
    <n v="0"/>
    <n v="57933"/>
  </r>
  <r>
    <x v="6"/>
    <s v="5756"/>
    <s v="Lyngholmskolen, Hvile 1"/>
    <n v="5479"/>
    <m/>
    <s v="Lyngholmskolenskolen"/>
    <x v="112"/>
    <x v="0"/>
    <x v="5"/>
    <n v="1309.67"/>
    <n v="12"/>
    <s v="2005-07-01"/>
    <n v="0"/>
    <n v="6089"/>
    <n v="0.215084"/>
    <n v="3"/>
    <x v="0"/>
    <x v="2915"/>
    <n v="1047.75"/>
    <n v="0"/>
    <s v="10012214 aut"/>
    <m/>
    <n v="1309.6790000000001"/>
    <n v="0"/>
    <n v="57933"/>
  </r>
  <r>
    <x v="6"/>
    <s v="5756"/>
    <s v="Lyngholmskolen, Hvile 1"/>
    <n v="5479"/>
    <m/>
    <s v="Lyngholmskolenskolen"/>
    <x v="112"/>
    <x v="0"/>
    <x v="6"/>
    <n v="1042.7"/>
    <n v="12"/>
    <s v="2005-07-01"/>
    <n v="0"/>
    <n v="6089"/>
    <n v="0.17124"/>
    <n v="3"/>
    <x v="0"/>
    <x v="2916"/>
    <n v="834.16"/>
    <n v="0"/>
    <s v="10012214 aut"/>
    <m/>
    <n v="1042.7"/>
    <n v="0"/>
    <n v="57933"/>
  </r>
  <r>
    <x v="6"/>
    <m/>
    <s v="Solhøjskolen KV52"/>
    <n v="10161"/>
    <m/>
    <s v="Solhøjskolen"/>
    <x v="113"/>
    <x v="0"/>
    <x v="0"/>
    <n v="66"/>
    <n v="5"/>
    <m/>
    <n v="0"/>
    <n v="265"/>
    <m/>
    <n v="3"/>
    <x v="8"/>
    <x v="1079"/>
    <n v="0"/>
    <n v="0"/>
    <s v="00AA389720"/>
    <m/>
    <n v="29761"/>
    <n v="0"/>
    <n v="92156"/>
  </r>
  <r>
    <x v="6"/>
    <m/>
    <s v="Solhøjskolen KV52"/>
    <n v="10161"/>
    <m/>
    <s v="Solhøjskolen"/>
    <x v="113"/>
    <x v="0"/>
    <x v="1"/>
    <n v="49.9"/>
    <n v="12"/>
    <m/>
    <n v="0"/>
    <n v="265"/>
    <n v="0.18823000000000001"/>
    <n v="3"/>
    <x v="8"/>
    <x v="2917"/>
    <n v="0"/>
    <n v="0"/>
    <s v="00AA389720"/>
    <m/>
    <n v="49898"/>
    <n v="0"/>
    <n v="92156"/>
  </r>
  <r>
    <x v="6"/>
    <m/>
    <s v="Solhøjskolen KV52"/>
    <n v="10161"/>
    <m/>
    <s v="Solhøjskolen"/>
    <x v="113"/>
    <x v="0"/>
    <x v="2"/>
    <n v="39.81"/>
    <n v="12"/>
    <m/>
    <n v="0"/>
    <n v="265"/>
    <n v="0.150169"/>
    <n v="3"/>
    <x v="8"/>
    <x v="2918"/>
    <n v="0"/>
    <n v="0"/>
    <s v="00AA389720"/>
    <m/>
    <n v="39799"/>
    <n v="0"/>
    <n v="92156"/>
  </r>
  <r>
    <x v="6"/>
    <m/>
    <s v="Solhøjskolen KV52"/>
    <n v="10161"/>
    <m/>
    <s v="Solhøjskolen"/>
    <x v="113"/>
    <x v="0"/>
    <x v="3"/>
    <n v="2.54"/>
    <n v="1"/>
    <m/>
    <n v="0"/>
    <n v="265"/>
    <n v="9.5809999999999992E-3"/>
    <n v="3"/>
    <x v="8"/>
    <x v="2919"/>
    <n v="0"/>
    <n v="0"/>
    <s v="00AA389720"/>
    <m/>
    <n v="2543"/>
    <n v="0"/>
    <n v="92156"/>
  </r>
  <r>
    <x v="6"/>
    <m/>
    <s v="Solhøjskolen KV52"/>
    <n v="10161"/>
    <m/>
    <s v="Solhøjskolen"/>
    <x v="113"/>
    <x v="0"/>
    <x v="3"/>
    <n v="98.71"/>
    <n v="1"/>
    <s v="2011-11-30"/>
    <n v="0"/>
    <n v="265"/>
    <n v="0.37235000000000001"/>
    <n v="3"/>
    <x v="0"/>
    <x v="2920"/>
    <n v="78.95"/>
    <n v="0"/>
    <s v="Afmeldt"/>
    <m/>
    <n v="98.703590000000005"/>
    <n v="0"/>
    <n v="77143"/>
  </r>
  <r>
    <x v="6"/>
    <m/>
    <s v="Solhøjskolen KV52"/>
    <n v="10161"/>
    <m/>
    <s v="Solhøjskolen"/>
    <x v="113"/>
    <x v="0"/>
    <x v="4"/>
    <n v="102.38"/>
    <n v="1"/>
    <s v="2011-11-30"/>
    <n v="0"/>
    <n v="265"/>
    <n v="0.38619300000000001"/>
    <n v="3"/>
    <x v="0"/>
    <x v="2921"/>
    <n v="81.89"/>
    <n v="0"/>
    <s v="Afmeldt"/>
    <m/>
    <n v="102.38283"/>
    <n v="0"/>
    <n v="77143"/>
  </r>
  <r>
    <x v="6"/>
    <m/>
    <s v="Solhøjskolen KV52"/>
    <n v="10161"/>
    <m/>
    <s v="Solhøjskolen"/>
    <x v="113"/>
    <x v="0"/>
    <x v="5"/>
    <n v="34.97"/>
    <n v="4"/>
    <s v="2011-11-30"/>
    <n v="0"/>
    <n v="265"/>
    <n v="0.131912"/>
    <n v="3"/>
    <x v="0"/>
    <x v="2922"/>
    <n v="27.98"/>
    <n v="0"/>
    <s v="Afmeldt"/>
    <m/>
    <n v="34.970709999999997"/>
    <n v="0"/>
    <n v="77143"/>
  </r>
  <r>
    <x v="6"/>
    <m/>
    <s v="Solhøjskolen KV52"/>
    <n v="10161"/>
    <m/>
    <s v="Solhøjskolen"/>
    <x v="113"/>
    <x v="0"/>
    <x v="6"/>
    <n v="265.22000000000003"/>
    <n v="6"/>
    <s v="2011-11-30"/>
    <n v="0"/>
    <n v="265"/>
    <n v="1.0004519999999999"/>
    <n v="3"/>
    <x v="0"/>
    <x v="2923"/>
    <n v="212.17"/>
    <n v="0"/>
    <s v="Afmeldt"/>
    <m/>
    <n v="265.22856999999999"/>
    <n v="0"/>
    <n v="77143"/>
  </r>
  <r>
    <x v="6"/>
    <s v="02576-3"/>
    <s v="Solvangskolen Pedelbolig, Nord 60"/>
    <n v="6369"/>
    <m/>
    <s v="Solvangskolen Pedelbolig"/>
    <x v="52"/>
    <x v="0"/>
    <x v="0"/>
    <n v="12"/>
    <n v="5"/>
    <s v="2011-12-31"/>
    <n v="0"/>
    <n v="110"/>
    <n v="6.0581000000000003E-2"/>
    <n v="3"/>
    <x v="0"/>
    <x v="2924"/>
    <n v="5.33"/>
    <n v="0"/>
    <s v="98393075"/>
    <m/>
    <n v="6.6669999999999998"/>
    <n v="0"/>
    <n v="62720"/>
  </r>
  <r>
    <x v="6"/>
    <s v="02576-3"/>
    <s v="Solvangskolen Pedelbolig, Nord 60"/>
    <n v="6369"/>
    <m/>
    <s v="Solvangskolen Pedelbolig"/>
    <x v="52"/>
    <x v="0"/>
    <x v="1"/>
    <n v="19.36"/>
    <n v="12"/>
    <s v="2011-12-31"/>
    <n v="0"/>
    <n v="110"/>
    <n v="0.17584"/>
    <n v="3"/>
    <x v="0"/>
    <x v="2925"/>
    <n v="15.47"/>
    <n v="0"/>
    <s v="98393075"/>
    <m/>
    <n v="19.332999999999998"/>
    <n v="0"/>
    <n v="62720"/>
  </r>
  <r>
    <x v="6"/>
    <s v="02576-3"/>
    <s v="Solvangskolen Pedelbolig, Nord 60"/>
    <n v="6369"/>
    <m/>
    <s v="Solvangskolen Pedelbolig"/>
    <x v="52"/>
    <x v="0"/>
    <x v="2"/>
    <n v="11.65"/>
    <n v="12"/>
    <s v="2011-12-31"/>
    <n v="0"/>
    <n v="110"/>
    <n v="0.105812"/>
    <n v="3"/>
    <x v="0"/>
    <x v="2926"/>
    <n v="9.33"/>
    <n v="0"/>
    <s v="98393075"/>
    <m/>
    <n v="11.656000000000001"/>
    <n v="0"/>
    <n v="62720"/>
  </r>
  <r>
    <x v="6"/>
    <s v="02576-3"/>
    <s v="Solvangskolen Pedelbolig, Nord 60"/>
    <n v="6369"/>
    <m/>
    <s v="Solvangskolen Pedelbolig"/>
    <x v="52"/>
    <x v="0"/>
    <x v="3"/>
    <n v="13.88"/>
    <n v="5"/>
    <s v="2011-12-31"/>
    <n v="0"/>
    <n v="110"/>
    <n v="0.12606700000000001"/>
    <n v="3"/>
    <x v="0"/>
    <x v="2927"/>
    <n v="11.1"/>
    <n v="0"/>
    <s v="98393075"/>
    <m/>
    <n v="13.8718"/>
    <n v="0"/>
    <n v="62720"/>
  </r>
  <r>
    <x v="6"/>
    <s v="02576-3"/>
    <s v="Solvangskolen Pedelbolig, Nord 60"/>
    <n v="6369"/>
    <m/>
    <s v="Solvangskolen Pedelbolig"/>
    <x v="52"/>
    <x v="0"/>
    <x v="4"/>
    <n v="6.14"/>
    <n v="3"/>
    <s v="2011-12-31"/>
    <n v="0"/>
    <n v="110"/>
    <n v="5.5766999999999997E-2"/>
    <n v="3"/>
    <x v="0"/>
    <x v="2928"/>
    <n v="4.8899999999999997"/>
    <n v="0"/>
    <s v="98393075"/>
    <m/>
    <n v="6.1281999999999996"/>
    <n v="0"/>
    <n v="62720"/>
  </r>
  <r>
    <x v="6"/>
    <s v="02576-3"/>
    <s v="Solvangskolen Pedelbolig, Nord 60"/>
    <n v="6369"/>
    <m/>
    <s v="Solvangskolen Pedelbolig"/>
    <x v="52"/>
    <x v="0"/>
    <x v="5"/>
    <n v="54"/>
    <n v="3"/>
    <s v="2011-12-31"/>
    <n v="0"/>
    <n v="110"/>
    <n v="0.49046299999999998"/>
    <n v="3"/>
    <x v="0"/>
    <x v="2929"/>
    <n v="43.2"/>
    <n v="0"/>
    <s v="98393075"/>
    <m/>
    <n v="54"/>
    <n v="0"/>
    <n v="62720"/>
  </r>
  <r>
    <x v="6"/>
    <s v="02576-3"/>
    <s v="Solvangskolen Pedelbolig, Nord 60"/>
    <n v="6369"/>
    <m/>
    <s v="Solvangskolen Pedelbolig"/>
    <x v="52"/>
    <x v="0"/>
    <x v="6"/>
    <n v="13.25"/>
    <n v="10"/>
    <s v="2011-12-31"/>
    <n v="0"/>
    <n v="110"/>
    <n v="0.12034499999999999"/>
    <n v="3"/>
    <x v="0"/>
    <x v="2930"/>
    <n v="10.6"/>
    <n v="0"/>
    <s v="98393075"/>
    <m/>
    <n v="13.24999"/>
    <n v="0"/>
    <n v="62720"/>
  </r>
  <r>
    <x v="6"/>
    <s v="02576-3"/>
    <s v="Solvangskolen, Nord 58"/>
    <n v="5474"/>
    <m/>
    <s v="Solvangskolen"/>
    <x v="52"/>
    <x v="0"/>
    <x v="0"/>
    <n v="1619"/>
    <n v="5"/>
    <s v="2005-06-01"/>
    <n v="0"/>
    <n v="10600"/>
    <n v="6.9767999999999997E-2"/>
    <n v="3"/>
    <x v="0"/>
    <x v="2931"/>
    <n v="591.64"/>
    <n v="0"/>
    <s v="BK 1012217"/>
    <m/>
    <n v="739.55"/>
    <n v="0"/>
    <n v="57911"/>
  </r>
  <r>
    <x v="6"/>
    <s v="02576-3"/>
    <s v="Solvangskolen, Nord 58"/>
    <n v="5474"/>
    <m/>
    <s v="Solvangskolen"/>
    <x v="52"/>
    <x v="0"/>
    <x v="0"/>
    <n v="0"/>
    <n v="5"/>
    <s v="2005-07-01"/>
    <n v="0"/>
    <n v="10600"/>
    <n v="1.2253E-2"/>
    <n v="3"/>
    <x v="0"/>
    <x v="2932"/>
    <n v="0"/>
    <n v="1"/>
    <s v="Varmt vand"/>
    <m/>
    <n v="129.88999999999999"/>
    <n v="0"/>
    <n v="58235"/>
  </r>
  <r>
    <x v="6"/>
    <s v="02576-3"/>
    <s v="Solvangskolen, Nord 58"/>
    <n v="5474"/>
    <m/>
    <s v="Solvangskolen"/>
    <x v="52"/>
    <x v="0"/>
    <x v="1"/>
    <n v="1351.56"/>
    <n v="12"/>
    <s v="2005-06-01"/>
    <n v="0"/>
    <n v="10600"/>
    <n v="0.12750400000000001"/>
    <n v="3"/>
    <x v="0"/>
    <x v="2933"/>
    <n v="1081.25"/>
    <n v="0"/>
    <s v="BK 1012217"/>
    <m/>
    <n v="1351.56"/>
    <n v="0"/>
    <n v="57911"/>
  </r>
  <r>
    <x v="6"/>
    <s v="02576-3"/>
    <s v="Solvangskolen, Nord 58"/>
    <n v="5474"/>
    <m/>
    <s v="Solvangskolen"/>
    <x v="52"/>
    <x v="0"/>
    <x v="1"/>
    <n v="294.49"/>
    <n v="12"/>
    <s v="2005-07-01"/>
    <n v="0"/>
    <n v="10600"/>
    <n v="2.7781E-2"/>
    <n v="3"/>
    <x v="0"/>
    <x v="2934"/>
    <n v="0"/>
    <n v="1"/>
    <s v="Varmt vand"/>
    <m/>
    <n v="294.49"/>
    <n v="0"/>
    <n v="58235"/>
  </r>
  <r>
    <x v="6"/>
    <s v="02576-3"/>
    <s v="Solvangskolen, Nord 58"/>
    <n v="5474"/>
    <m/>
    <s v="Solvangskolen"/>
    <x v="52"/>
    <x v="0"/>
    <x v="2"/>
    <n v="1352.45"/>
    <n v="12"/>
    <s v="2005-06-01"/>
    <n v="0"/>
    <n v="10600"/>
    <n v="0.12758800000000001"/>
    <n v="3"/>
    <x v="0"/>
    <x v="2935"/>
    <n v="1081.96"/>
    <n v="0"/>
    <s v="BK 1012217"/>
    <m/>
    <n v="1352.45"/>
    <n v="0"/>
    <n v="57911"/>
  </r>
  <r>
    <x v="6"/>
    <s v="02576-3"/>
    <s v="Solvangskolen, Nord 58"/>
    <n v="5474"/>
    <m/>
    <s v="Solvangskolen"/>
    <x v="52"/>
    <x v="0"/>
    <x v="2"/>
    <n v="286.47000000000003"/>
    <n v="12"/>
    <s v="2005-07-01"/>
    <n v="0"/>
    <n v="10600"/>
    <n v="2.7025E-2"/>
    <n v="3"/>
    <x v="0"/>
    <x v="2936"/>
    <n v="0"/>
    <n v="1"/>
    <s v="Varmt vand"/>
    <m/>
    <n v="286.47000000000003"/>
    <n v="0"/>
    <n v="58235"/>
  </r>
  <r>
    <x v="6"/>
    <s v="02576-3"/>
    <s v="Solvangskolen, Nord 58"/>
    <n v="5474"/>
    <m/>
    <s v="Solvangskolen"/>
    <x v="52"/>
    <x v="0"/>
    <x v="3"/>
    <n v="1339.23"/>
    <n v="12"/>
    <s v="2005-06-01"/>
    <n v="0"/>
    <n v="10600"/>
    <n v="0.12634100000000001"/>
    <n v="3"/>
    <x v="0"/>
    <x v="2937"/>
    <n v="1071.3800000000001"/>
    <n v="0"/>
    <s v="BK 1012217"/>
    <m/>
    <n v="1339.23"/>
    <n v="0"/>
    <n v="57911"/>
  </r>
  <r>
    <x v="6"/>
    <s v="02576-3"/>
    <s v="Solvangskolen, Nord 58"/>
    <n v="5474"/>
    <m/>
    <s v="Solvangskolen"/>
    <x v="52"/>
    <x v="0"/>
    <x v="3"/>
    <n v="286.44"/>
    <n v="12"/>
    <s v="2005-07-01"/>
    <n v="0"/>
    <n v="10600"/>
    <n v="2.7022000000000001E-2"/>
    <n v="3"/>
    <x v="0"/>
    <x v="2938"/>
    <n v="0"/>
    <n v="1"/>
    <s v="Varmt vand"/>
    <m/>
    <n v="286.44"/>
    <n v="0"/>
    <n v="58235"/>
  </r>
  <r>
    <x v="6"/>
    <s v="02576-3"/>
    <s v="Solvangskolen, Nord 58"/>
    <n v="5474"/>
    <m/>
    <s v="Solvangskolen"/>
    <x v="52"/>
    <x v="0"/>
    <x v="4"/>
    <n v="1400.89"/>
    <n v="12"/>
    <s v="2005-06-01"/>
    <n v="0"/>
    <n v="10600"/>
    <n v="0.132158"/>
    <n v="3"/>
    <x v="0"/>
    <x v="2939"/>
    <n v="1120.71"/>
    <n v="0"/>
    <s v="BK 1012217"/>
    <m/>
    <n v="1400.89"/>
    <n v="0"/>
    <n v="57911"/>
  </r>
  <r>
    <x v="6"/>
    <s v="02576-3"/>
    <s v="Solvangskolen, Nord 58"/>
    <n v="5474"/>
    <m/>
    <s v="Solvangskolen"/>
    <x v="52"/>
    <x v="0"/>
    <x v="4"/>
    <n v="444.44"/>
    <n v="12"/>
    <s v="2005-07-01"/>
    <n v="0"/>
    <n v="10600"/>
    <n v="4.1926999999999999E-2"/>
    <n v="3"/>
    <x v="0"/>
    <x v="2940"/>
    <n v="0"/>
    <n v="1"/>
    <s v="Varmt vand"/>
    <m/>
    <n v="444.44"/>
    <n v="0"/>
    <n v="58235"/>
  </r>
  <r>
    <x v="6"/>
    <s v="02576-3"/>
    <s v="Solvangskolen, Nord 58"/>
    <n v="5474"/>
    <m/>
    <s v="Solvangskolen"/>
    <x v="52"/>
    <x v="0"/>
    <x v="5"/>
    <n v="1539.18"/>
    <n v="12"/>
    <s v="2005-06-01"/>
    <n v="0"/>
    <n v="10600"/>
    <n v="0.145204"/>
    <n v="3"/>
    <x v="0"/>
    <x v="2539"/>
    <n v="1231.3399999999999"/>
    <n v="0"/>
    <s v="BK 1012217"/>
    <m/>
    <n v="1539.18"/>
    <n v="0"/>
    <n v="57911"/>
  </r>
  <r>
    <x v="6"/>
    <s v="02576-3"/>
    <s v="Solvangskolen, Nord 58"/>
    <n v="5474"/>
    <m/>
    <s v="Solvangskolen"/>
    <x v="52"/>
    <x v="0"/>
    <x v="5"/>
    <n v="456.52"/>
    <n v="12"/>
    <s v="2005-07-01"/>
    <n v="0"/>
    <n v="10600"/>
    <n v="4.3067000000000001E-2"/>
    <n v="3"/>
    <x v="0"/>
    <x v="2941"/>
    <n v="0"/>
    <n v="1"/>
    <s v="Varmt vand"/>
    <m/>
    <n v="456.52"/>
    <n v="0"/>
    <n v="58235"/>
  </r>
  <r>
    <x v="6"/>
    <s v="02576-3"/>
    <s v="Solvangskolen, Nord 58"/>
    <n v="5474"/>
    <m/>
    <s v="Solvangskolen"/>
    <x v="52"/>
    <x v="0"/>
    <x v="6"/>
    <n v="1967.75"/>
    <n v="12"/>
    <s v="2005-06-01"/>
    <n v="0"/>
    <n v="10600"/>
    <n v="0.18563499999999999"/>
    <n v="3"/>
    <x v="0"/>
    <x v="2942"/>
    <n v="1574.21"/>
    <n v="0"/>
    <s v="BK 1012217"/>
    <m/>
    <n v="1967.75"/>
    <n v="0"/>
    <n v="57911"/>
  </r>
  <r>
    <x v="6"/>
    <s v="02576-3"/>
    <s v="Solvangskolen, Nord 58"/>
    <n v="5474"/>
    <m/>
    <s v="Solvangskolen"/>
    <x v="52"/>
    <x v="0"/>
    <x v="6"/>
    <n v="397.2"/>
    <n v="12"/>
    <s v="2005-07-01"/>
    <n v="0"/>
    <n v="10600"/>
    <n v="3.7470999999999997E-2"/>
    <n v="3"/>
    <x v="0"/>
    <x v="2943"/>
    <n v="0"/>
    <n v="1"/>
    <s v="Varmt vand"/>
    <m/>
    <n v="397.2"/>
    <n v="0"/>
    <n v="58235"/>
  </r>
  <r>
    <x v="6"/>
    <s v="03953-5"/>
    <s v="Stavnsholtskolen"/>
    <n v="5473"/>
    <m/>
    <s v="Bimåler BV"/>
    <x v="114"/>
    <x v="1"/>
    <x v="0"/>
    <n v="8.2899999999999991"/>
    <n v="5"/>
    <m/>
    <n v="0"/>
    <n v="0"/>
    <n v="82.9"/>
    <n v="3"/>
    <x v="0"/>
    <x v="2944"/>
    <n v="6.63"/>
    <n v="1"/>
    <s v="BV01"/>
    <m/>
    <n v="8.2899999999999991"/>
    <n v="0"/>
    <n v="57899"/>
  </r>
  <r>
    <x v="6"/>
    <s v="03953-5"/>
    <s v="Stavnsholtskolen"/>
    <n v="5473"/>
    <m/>
    <s v="Bimåler BV"/>
    <x v="114"/>
    <x v="1"/>
    <x v="0"/>
    <n v="36.35"/>
    <n v="5"/>
    <m/>
    <n v="0"/>
    <n v="0"/>
    <n v="363.5"/>
    <n v="3"/>
    <x v="0"/>
    <x v="2945"/>
    <n v="29.08"/>
    <n v="1"/>
    <s v="BV02"/>
    <m/>
    <n v="36.35"/>
    <n v="0"/>
    <n v="57900"/>
  </r>
  <r>
    <x v="6"/>
    <s v="03953-5"/>
    <s v="Stavnsholtskolen"/>
    <n v="5473"/>
    <m/>
    <s v="Bimåler BV"/>
    <x v="114"/>
    <x v="1"/>
    <x v="1"/>
    <n v="23.97"/>
    <n v="12"/>
    <m/>
    <n v="0"/>
    <n v="0"/>
    <n v="239.7"/>
    <n v="3"/>
    <x v="0"/>
    <x v="2946"/>
    <n v="19.170000000000002"/>
    <n v="1"/>
    <s v="BV01"/>
    <m/>
    <n v="23.97"/>
    <n v="0"/>
    <n v="57899"/>
  </r>
  <r>
    <x v="6"/>
    <s v="03953-5"/>
    <s v="Stavnsholtskolen"/>
    <n v="5473"/>
    <m/>
    <s v="Bimåler BV"/>
    <x v="114"/>
    <x v="1"/>
    <x v="1"/>
    <n v="85.06"/>
    <n v="12"/>
    <m/>
    <n v="0"/>
    <n v="0"/>
    <n v="850.6"/>
    <n v="3"/>
    <x v="0"/>
    <x v="2947"/>
    <n v="68.05"/>
    <n v="1"/>
    <s v="BV02"/>
    <m/>
    <n v="85.06"/>
    <n v="0"/>
    <n v="57900"/>
  </r>
  <r>
    <x v="6"/>
    <s v="03953-5"/>
    <s v="Stavnsholtskolen"/>
    <n v="5473"/>
    <m/>
    <s v="Bimåler BV"/>
    <x v="114"/>
    <x v="1"/>
    <x v="2"/>
    <n v="22.66"/>
    <n v="12"/>
    <m/>
    <n v="0"/>
    <n v="0"/>
    <n v="226.6"/>
    <n v="3"/>
    <x v="0"/>
    <x v="2948"/>
    <n v="18.13"/>
    <n v="1"/>
    <s v="BV01"/>
    <m/>
    <n v="22.66"/>
    <n v="0"/>
    <n v="57899"/>
  </r>
  <r>
    <x v="6"/>
    <s v="03953-5"/>
    <s v="Stavnsholtskolen"/>
    <n v="5473"/>
    <m/>
    <s v="Bimåler BV"/>
    <x v="114"/>
    <x v="1"/>
    <x v="2"/>
    <n v="65.819999999999993"/>
    <n v="12"/>
    <m/>
    <n v="0"/>
    <n v="0"/>
    <n v="658.2"/>
    <n v="3"/>
    <x v="0"/>
    <x v="2949"/>
    <n v="52.65"/>
    <n v="1"/>
    <s v="BV02"/>
    <m/>
    <n v="65.819999999999993"/>
    <n v="0"/>
    <n v="57900"/>
  </r>
  <r>
    <x v="6"/>
    <s v="03953-5"/>
    <s v="Stavnsholtskolen"/>
    <n v="5473"/>
    <m/>
    <s v="Bimåler BV"/>
    <x v="114"/>
    <x v="1"/>
    <x v="3"/>
    <n v="19.63"/>
    <n v="12"/>
    <m/>
    <n v="0"/>
    <n v="0"/>
    <n v="196.3"/>
    <n v="3"/>
    <x v="0"/>
    <x v="2950"/>
    <n v="15.7"/>
    <n v="1"/>
    <s v="BV01"/>
    <m/>
    <n v="19.63"/>
    <n v="0"/>
    <n v="57899"/>
  </r>
  <r>
    <x v="6"/>
    <s v="03953-5"/>
    <s v="Stavnsholtskolen"/>
    <n v="5473"/>
    <m/>
    <s v="Bimåler BV"/>
    <x v="114"/>
    <x v="1"/>
    <x v="3"/>
    <n v="53.09"/>
    <n v="12"/>
    <m/>
    <n v="0"/>
    <n v="0"/>
    <n v="530.9"/>
    <n v="3"/>
    <x v="0"/>
    <x v="2951"/>
    <n v="42.48"/>
    <n v="1"/>
    <s v="BV02"/>
    <m/>
    <n v="53.09"/>
    <n v="0"/>
    <n v="57900"/>
  </r>
  <r>
    <x v="6"/>
    <s v="03953-5"/>
    <s v="Stavnsholtskolen"/>
    <n v="5473"/>
    <m/>
    <s v="Bimåler BV"/>
    <x v="114"/>
    <x v="1"/>
    <x v="4"/>
    <n v="25.35"/>
    <n v="12"/>
    <m/>
    <n v="0"/>
    <n v="0"/>
    <n v="253.5"/>
    <n v="3"/>
    <x v="0"/>
    <x v="2952"/>
    <n v="20.28"/>
    <n v="1"/>
    <s v="BV01"/>
    <m/>
    <n v="25.35"/>
    <n v="0"/>
    <n v="57899"/>
  </r>
  <r>
    <x v="6"/>
    <s v="03953-5"/>
    <s v="Stavnsholtskolen"/>
    <n v="5473"/>
    <m/>
    <s v="Bimåler BV"/>
    <x v="114"/>
    <x v="1"/>
    <x v="4"/>
    <n v="101.06"/>
    <n v="12"/>
    <m/>
    <n v="0"/>
    <n v="0"/>
    <n v="1010.6"/>
    <n v="3"/>
    <x v="0"/>
    <x v="2953"/>
    <n v="80.849999999999994"/>
    <n v="1"/>
    <s v="BV02"/>
    <m/>
    <n v="101.06"/>
    <n v="0"/>
    <n v="57900"/>
  </r>
  <r>
    <x v="6"/>
    <s v="03953-5"/>
    <s v="Stavnsholtskolen"/>
    <n v="5473"/>
    <m/>
    <s v="Bimåler BV"/>
    <x v="114"/>
    <x v="1"/>
    <x v="5"/>
    <n v="29.8"/>
    <n v="12"/>
    <m/>
    <n v="0"/>
    <n v="0"/>
    <n v="298"/>
    <n v="3"/>
    <x v="0"/>
    <x v="2954"/>
    <n v="23.85"/>
    <n v="1"/>
    <s v="BV01"/>
    <m/>
    <n v="29.8"/>
    <n v="0"/>
    <n v="57899"/>
  </r>
  <r>
    <x v="6"/>
    <s v="03953-5"/>
    <s v="Stavnsholtskolen"/>
    <n v="5473"/>
    <m/>
    <s v="Bimåler BV"/>
    <x v="114"/>
    <x v="1"/>
    <x v="5"/>
    <n v="65.7"/>
    <n v="12"/>
    <m/>
    <n v="0"/>
    <n v="0"/>
    <n v="657"/>
    <n v="3"/>
    <x v="0"/>
    <x v="2437"/>
    <n v="52.56"/>
    <n v="1"/>
    <s v="BV02"/>
    <m/>
    <n v="65.7"/>
    <n v="0"/>
    <n v="57900"/>
  </r>
  <r>
    <x v="6"/>
    <s v="03953-5"/>
    <s v="Stavnsholtskolen"/>
    <n v="5473"/>
    <m/>
    <s v="Bimåler BV"/>
    <x v="114"/>
    <x v="1"/>
    <x v="6"/>
    <n v="30.86"/>
    <n v="12"/>
    <m/>
    <n v="0"/>
    <n v="0"/>
    <n v="308.60000000000002"/>
    <n v="3"/>
    <x v="0"/>
    <x v="2955"/>
    <n v="24.69"/>
    <n v="1"/>
    <s v="BV01"/>
    <m/>
    <n v="30.86"/>
    <n v="0"/>
    <n v="57899"/>
  </r>
  <r>
    <x v="6"/>
    <s v="03953-5"/>
    <s v="Stavnsholtskolen"/>
    <n v="5473"/>
    <m/>
    <s v="Bimåler BV"/>
    <x v="114"/>
    <x v="1"/>
    <x v="6"/>
    <n v="88.68"/>
    <n v="12"/>
    <m/>
    <n v="0"/>
    <n v="0"/>
    <n v="886.8"/>
    <n v="3"/>
    <x v="0"/>
    <x v="2956"/>
    <n v="70.94"/>
    <n v="1"/>
    <s v="BV02"/>
    <m/>
    <n v="88.68"/>
    <n v="0"/>
    <n v="57900"/>
  </r>
  <r>
    <x v="6"/>
    <s v="03953-5"/>
    <s v="Stavnsholtskolen"/>
    <n v="5471"/>
    <m/>
    <s v="Stavnholtskolen"/>
    <x v="114"/>
    <x v="0"/>
    <x v="0"/>
    <n v="1256"/>
    <n v="5"/>
    <s v="2005-06-01"/>
    <n v="0"/>
    <n v="8656"/>
    <n v="6.3768000000000005E-2"/>
    <n v="3"/>
    <x v="0"/>
    <x v="2957"/>
    <n v="441.58"/>
    <n v="0"/>
    <s v="-10012206"/>
    <m/>
    <n v="551.99"/>
    <n v="0"/>
    <n v="57892"/>
  </r>
  <r>
    <x v="6"/>
    <s v="03953-5"/>
    <s v="Stavnsholtskolen"/>
    <n v="5471"/>
    <m/>
    <s v="Stavnholtskolen"/>
    <x v="114"/>
    <x v="0"/>
    <x v="1"/>
    <n v="1498.63"/>
    <n v="12"/>
    <s v="2005-06-01"/>
    <n v="0"/>
    <n v="8656"/>
    <n v="0.17312900000000001"/>
    <n v="3"/>
    <x v="0"/>
    <x v="2958"/>
    <n v="1198.9100000000001"/>
    <n v="0"/>
    <s v="-10012206"/>
    <m/>
    <n v="1498.63"/>
    <n v="0"/>
    <n v="57892"/>
  </r>
  <r>
    <x v="6"/>
    <s v="03953-5"/>
    <s v="Stavnsholtskolen"/>
    <n v="5471"/>
    <m/>
    <s v="Stavnholtskolen"/>
    <x v="114"/>
    <x v="0"/>
    <x v="2"/>
    <n v="1513.88"/>
    <n v="12"/>
    <s v="2005-06-01"/>
    <n v="0"/>
    <n v="8656"/>
    <n v="0.17489099999999999"/>
    <n v="3"/>
    <x v="0"/>
    <x v="2959"/>
    <n v="1211.0999999999999"/>
    <n v="0"/>
    <s v="-10012206"/>
    <m/>
    <n v="1513.88"/>
    <n v="0"/>
    <n v="57892"/>
  </r>
  <r>
    <x v="6"/>
    <s v="03953-5"/>
    <s v="Stavnsholtskolen"/>
    <n v="5471"/>
    <m/>
    <s v="Stavnholtskolen"/>
    <x v="114"/>
    <x v="0"/>
    <x v="3"/>
    <n v="1375.76"/>
    <n v="12"/>
    <s v="2005-06-01"/>
    <n v="0"/>
    <n v="8656"/>
    <n v="0.15893499999999999"/>
    <n v="3"/>
    <x v="0"/>
    <x v="2960"/>
    <n v="1100.5999999999999"/>
    <n v="0"/>
    <s v="-10012206"/>
    <m/>
    <n v="1375.76"/>
    <n v="0"/>
    <n v="57892"/>
  </r>
  <r>
    <x v="6"/>
    <s v="03953-5"/>
    <s v="Stavnsholtskolen"/>
    <n v="5471"/>
    <m/>
    <s v="Stavnholtskolen"/>
    <x v="114"/>
    <x v="0"/>
    <x v="4"/>
    <n v="1609.5"/>
    <n v="12"/>
    <s v="2005-06-01"/>
    <n v="0"/>
    <n v="8656"/>
    <n v="0.18593799999999999"/>
    <n v="3"/>
    <x v="0"/>
    <x v="2961"/>
    <n v="1287.5999999999999"/>
    <n v="0"/>
    <s v="-10012206"/>
    <m/>
    <n v="1609.5"/>
    <n v="0"/>
    <n v="57892"/>
  </r>
  <r>
    <x v="6"/>
    <s v="03953-5"/>
    <s v="Stavnsholtskolen"/>
    <n v="5471"/>
    <m/>
    <s v="Stavnholtskolen"/>
    <x v="114"/>
    <x v="0"/>
    <x v="5"/>
    <n v="1634.61"/>
    <n v="12"/>
    <s v="2005-06-01"/>
    <n v="0"/>
    <n v="8656"/>
    <n v="0.18883900000000001"/>
    <n v="3"/>
    <x v="0"/>
    <x v="2962"/>
    <n v="1307.69"/>
    <n v="0"/>
    <s v="-10012206"/>
    <m/>
    <n v="1634.61"/>
    <n v="0"/>
    <n v="57892"/>
  </r>
  <r>
    <x v="6"/>
    <s v="03953-5"/>
    <s v="Stavnsholtskolen"/>
    <n v="5471"/>
    <m/>
    <s v="Stavnholtskolen"/>
    <x v="114"/>
    <x v="0"/>
    <x v="6"/>
    <n v="1530.07"/>
    <n v="12"/>
    <s v="2005-06-01"/>
    <n v="0"/>
    <n v="8656"/>
    <n v="0.176762"/>
    <n v="3"/>
    <x v="0"/>
    <x v="2963"/>
    <n v="1224.05"/>
    <n v="0"/>
    <s v="-10012206"/>
    <m/>
    <n v="1530.07"/>
    <n v="0"/>
    <n v="57892"/>
  </r>
  <r>
    <x v="6"/>
    <m/>
    <s v="Syvstjerneskolen, Skov 1"/>
    <n v="9223"/>
    <m/>
    <s v="Syvstjerneskolen"/>
    <x v="40"/>
    <x v="0"/>
    <x v="0"/>
    <n v="1042"/>
    <n v="5"/>
    <m/>
    <n v="0"/>
    <n v="7936"/>
    <n v="5.4663999999999997E-2"/>
    <n v="3"/>
    <x v="0"/>
    <x v="2964"/>
    <n v="347.04"/>
    <n v="0"/>
    <m/>
    <m/>
    <n v="433.81"/>
    <n v="0"/>
    <n v="72739"/>
  </r>
  <r>
    <x v="6"/>
    <m/>
    <s v="Syvstjerneskolen, Skov 1"/>
    <n v="9223"/>
    <m/>
    <s v="Syvstjerneskolen"/>
    <x v="40"/>
    <x v="0"/>
    <x v="1"/>
    <n v="1151.01"/>
    <n v="12"/>
    <m/>
    <n v="0"/>
    <n v="7936"/>
    <n v="0.145034"/>
    <n v="3"/>
    <x v="0"/>
    <x v="2965"/>
    <n v="920.8"/>
    <n v="0"/>
    <m/>
    <m/>
    <n v="1150.999"/>
    <n v="0"/>
    <n v="72739"/>
  </r>
  <r>
    <x v="6"/>
    <m/>
    <s v="Syvstjerneskolen, Skov 1"/>
    <n v="9223"/>
    <m/>
    <s v="Syvstjerneskolen"/>
    <x v="40"/>
    <x v="0"/>
    <x v="2"/>
    <n v="1165.83"/>
    <n v="12"/>
    <m/>
    <n v="0"/>
    <n v="7936"/>
    <n v="0.146902"/>
    <n v="3"/>
    <x v="0"/>
    <x v="2966"/>
    <n v="932.64"/>
    <n v="0"/>
    <m/>
    <m/>
    <n v="1165.8340000000001"/>
    <n v="0"/>
    <n v="72739"/>
  </r>
  <r>
    <x v="6"/>
    <m/>
    <s v="Syvstjerneskolen, Skov 1"/>
    <n v="9223"/>
    <m/>
    <s v="Syvstjerneskolen"/>
    <x v="40"/>
    <x v="0"/>
    <x v="3"/>
    <n v="1024.08"/>
    <n v="12"/>
    <m/>
    <n v="0"/>
    <n v="7936"/>
    <n v="0.12903999999999999"/>
    <n v="3"/>
    <x v="0"/>
    <x v="2967"/>
    <n v="819.25"/>
    <n v="0"/>
    <m/>
    <m/>
    <n v="1024.0740000000001"/>
    <n v="0"/>
    <n v="72739"/>
  </r>
  <r>
    <x v="6"/>
    <m/>
    <s v="Syvstjerneskolen, Skov 1"/>
    <n v="9223"/>
    <m/>
    <s v="Syvstjerneskolen"/>
    <x v="40"/>
    <x v="0"/>
    <x v="4"/>
    <n v="1198.06"/>
    <n v="12"/>
    <m/>
    <n v="0"/>
    <n v="7936"/>
    <n v="0.15096300000000001"/>
    <n v="3"/>
    <x v="0"/>
    <x v="2968"/>
    <n v="958.46"/>
    <n v="0"/>
    <m/>
    <m/>
    <n v="1198.0630000000001"/>
    <n v="0"/>
    <n v="72739"/>
  </r>
  <r>
    <x v="6"/>
    <m/>
    <s v="Syvstjerneskolen, Skov 1"/>
    <n v="9223"/>
    <m/>
    <s v="Syvstjerneskolen"/>
    <x v="40"/>
    <x v="0"/>
    <x v="5"/>
    <n v="1387.62"/>
    <n v="12"/>
    <m/>
    <n v="0"/>
    <n v="7936"/>
    <n v="0.174849"/>
    <n v="3"/>
    <x v="0"/>
    <x v="2969"/>
    <n v="1110.08"/>
    <n v="0"/>
    <m/>
    <m/>
    <n v="1387.614"/>
    <n v="0"/>
    <n v="72739"/>
  </r>
  <r>
    <x v="6"/>
    <m/>
    <s v="Syvstjerneskolen, Skov 1"/>
    <n v="9223"/>
    <m/>
    <s v="Syvstjerneskolen"/>
    <x v="40"/>
    <x v="0"/>
    <x v="6"/>
    <n v="1442.75"/>
    <n v="12"/>
    <m/>
    <n v="0"/>
    <n v="7936"/>
    <n v="0.18179500000000001"/>
    <n v="3"/>
    <x v="0"/>
    <x v="2970"/>
    <n v="1154.23"/>
    <n v="0"/>
    <m/>
    <m/>
    <n v="1442.77"/>
    <n v="0"/>
    <n v="72739"/>
  </r>
  <r>
    <x v="6"/>
    <m/>
    <s v="Søndersøskolen Pedelbolig KV48"/>
    <n v="10321"/>
    <m/>
    <s v="Søndersøskolen Pedelbolig"/>
    <x v="115"/>
    <x v="0"/>
    <x v="0"/>
    <n v="22"/>
    <n v="5"/>
    <s v="2012-01-25"/>
    <n v="0"/>
    <n v="126"/>
    <n v="7.034E-2"/>
    <n v="3"/>
    <x v="0"/>
    <x v="2971"/>
    <n v="7.1"/>
    <n v="0"/>
    <s v="07595918"/>
    <m/>
    <n v="8.8770000000000007"/>
    <n v="0"/>
    <n v="77809"/>
  </r>
  <r>
    <x v="6"/>
    <m/>
    <s v="Søndersøskolen Pedelbolig KV48"/>
    <n v="10321"/>
    <m/>
    <s v="Søndersøskolen Pedelbolig"/>
    <x v="115"/>
    <x v="0"/>
    <x v="1"/>
    <n v="16.579999999999998"/>
    <n v="12"/>
    <s v="2012-01-25"/>
    <n v="0"/>
    <n v="126"/>
    <n v="0.13148199999999999"/>
    <n v="3"/>
    <x v="0"/>
    <x v="2972"/>
    <n v="13.27"/>
    <n v="0"/>
    <s v="07595918"/>
    <m/>
    <n v="16.596"/>
    <n v="0"/>
    <n v="77809"/>
  </r>
  <r>
    <x v="6"/>
    <m/>
    <s v="Søndersøskolen Pedelbolig KV48"/>
    <n v="10321"/>
    <m/>
    <s v="Søndersøskolen Pedelbolig"/>
    <x v="115"/>
    <x v="0"/>
    <x v="2"/>
    <n v="29.17"/>
    <n v="12"/>
    <s v="2012-01-25"/>
    <n v="0"/>
    <n v="126"/>
    <n v="0.231324"/>
    <n v="3"/>
    <x v="0"/>
    <x v="2973"/>
    <n v="23.34"/>
    <n v="0"/>
    <s v="07595918"/>
    <m/>
    <n v="29.161180000000002"/>
    <n v="0"/>
    <n v="77809"/>
  </r>
  <r>
    <x v="6"/>
    <m/>
    <s v="Søndersøskolen Pedelbolig KV48"/>
    <n v="10321"/>
    <m/>
    <s v="Søndersøskolen Pedelbolig"/>
    <x v="115"/>
    <x v="0"/>
    <x v="3"/>
    <n v="46.18"/>
    <n v="4"/>
    <s v="2012-01-25"/>
    <n v="0"/>
    <n v="126"/>
    <n v="0.36621700000000001"/>
    <n v="3"/>
    <x v="0"/>
    <x v="2974"/>
    <n v="36.96"/>
    <n v="0"/>
    <s v="07595918"/>
    <m/>
    <n v="46.181820000000002"/>
    <n v="0"/>
    <n v="77809"/>
  </r>
  <r>
    <x v="6"/>
    <m/>
    <s v="Søndersøskolen Pedelbolig KV48"/>
    <n v="10321"/>
    <m/>
    <s v="Søndersøskolen Pedelbolig"/>
    <x v="115"/>
    <x v="0"/>
    <x v="4"/>
    <n v="15.92"/>
    <n v="3"/>
    <s v="2012-01-25"/>
    <n v="0"/>
    <n v="126"/>
    <n v="0.126249"/>
    <n v="3"/>
    <x v="0"/>
    <x v="2975"/>
    <n v="12.74"/>
    <n v="0"/>
    <s v="07595918"/>
    <m/>
    <n v="15.928129999999999"/>
    <n v="0"/>
    <n v="77809"/>
  </r>
  <r>
    <x v="6"/>
    <m/>
    <s v="Søndersøskolen Pedelbolig KV48"/>
    <n v="10321"/>
    <m/>
    <s v="Søndersøskolen Pedelbolig"/>
    <x v="115"/>
    <x v="0"/>
    <x v="5"/>
    <n v="20.079999999999998"/>
    <n v="4"/>
    <s v="2012-01-25"/>
    <n v="0"/>
    <n v="126"/>
    <n v="0.15923799999999999"/>
    <n v="3"/>
    <x v="0"/>
    <x v="2976"/>
    <n v="16.059999999999999"/>
    <n v="0"/>
    <s v="07595918"/>
    <m/>
    <n v="20.071840000000002"/>
    <n v="0"/>
    <n v="77809"/>
  </r>
  <r>
    <x v="6"/>
    <m/>
    <s v="Søndersøskolen Pedelbolig KV48"/>
    <n v="10321"/>
    <m/>
    <s v="Søndersøskolen Pedelbolig"/>
    <x v="115"/>
    <x v="0"/>
    <x v="6"/>
    <n v="4.29"/>
    <n v="6"/>
    <s v="2012-01-25"/>
    <n v="0"/>
    <n v="126"/>
    <n v="3.4020000000000002E-2"/>
    <n v="3"/>
    <x v="0"/>
    <x v="2977"/>
    <n v="3.42"/>
    <n v="0"/>
    <s v="07595918"/>
    <m/>
    <n v="4.2713799999999997"/>
    <n v="0"/>
    <n v="77809"/>
  </r>
  <r>
    <x v="6"/>
    <m/>
    <s v="Søndersøskolen, KV50"/>
    <n v="9222"/>
    <m/>
    <s v="Søndersøskolen"/>
    <x v="116"/>
    <x v="0"/>
    <x v="0"/>
    <n v="1734"/>
    <n v="5"/>
    <m/>
    <n v="0"/>
    <n v="11252"/>
    <n v="6.6655000000000006E-2"/>
    <n v="3"/>
    <x v="0"/>
    <x v="2978"/>
    <n v="600"/>
    <n v="0"/>
    <m/>
    <m/>
    <n v="750.00900000000001"/>
    <n v="0"/>
    <n v="72737"/>
  </r>
  <r>
    <x v="6"/>
    <m/>
    <s v="Søndersøskolen, KV50"/>
    <n v="9222"/>
    <m/>
    <s v="Søndersøskolen"/>
    <x v="116"/>
    <x v="0"/>
    <x v="1"/>
    <n v="1777.58"/>
    <n v="12"/>
    <m/>
    <n v="0"/>
    <n v="11252"/>
    <n v="0.15797700000000001"/>
    <n v="3"/>
    <x v="0"/>
    <x v="2979"/>
    <n v="1422.06"/>
    <n v="0"/>
    <m/>
    <m/>
    <n v="1777.5889999999999"/>
    <n v="0"/>
    <n v="72737"/>
  </r>
  <r>
    <x v="6"/>
    <m/>
    <s v="Søndersøskolen, KV50"/>
    <n v="9222"/>
    <m/>
    <s v="Søndersøskolen"/>
    <x v="116"/>
    <x v="0"/>
    <x v="2"/>
    <n v="1652.64"/>
    <n v="12"/>
    <m/>
    <n v="0"/>
    <n v="11252"/>
    <n v="0.146873"/>
    <n v="3"/>
    <x v="0"/>
    <x v="2980"/>
    <n v="1322.12"/>
    <n v="0"/>
    <m/>
    <m/>
    <n v="1652.6479999999999"/>
    <n v="0"/>
    <n v="72737"/>
  </r>
  <r>
    <x v="6"/>
    <m/>
    <s v="Søndersøskolen, KV50"/>
    <n v="9222"/>
    <m/>
    <s v="Søndersøskolen"/>
    <x v="116"/>
    <x v="0"/>
    <x v="3"/>
    <n v="1979.08"/>
    <n v="12"/>
    <m/>
    <n v="0"/>
    <n v="11252"/>
    <n v="0.17588500000000001"/>
    <n v="3"/>
    <x v="0"/>
    <x v="2981"/>
    <n v="1583.27"/>
    <n v="0"/>
    <m/>
    <m/>
    <n v="1979.079"/>
    <n v="0"/>
    <n v="72737"/>
  </r>
  <r>
    <x v="6"/>
    <m/>
    <s v="Søndersøskolen, KV50"/>
    <n v="9222"/>
    <m/>
    <s v="Søndersøskolen"/>
    <x v="116"/>
    <x v="0"/>
    <x v="4"/>
    <n v="1620.74"/>
    <n v="12"/>
    <m/>
    <n v="0"/>
    <n v="11252"/>
    <n v="0.144038"/>
    <n v="3"/>
    <x v="0"/>
    <x v="2982"/>
    <n v="1296.5999999999999"/>
    <n v="0"/>
    <m/>
    <m/>
    <n v="1620.7360000000001"/>
    <n v="0"/>
    <n v="72737"/>
  </r>
  <r>
    <x v="6"/>
    <m/>
    <s v="Søndersøskolen, KV50"/>
    <n v="9222"/>
    <m/>
    <s v="Søndersøskolen"/>
    <x v="116"/>
    <x v="0"/>
    <x v="5"/>
    <n v="1623.84"/>
    <n v="12"/>
    <m/>
    <n v="0"/>
    <n v="11252"/>
    <n v="0.144314"/>
    <n v="3"/>
    <x v="0"/>
    <x v="2983"/>
    <n v="1299.0899999999999"/>
    <n v="0"/>
    <m/>
    <m/>
    <n v="1623.8489999999999"/>
    <n v="0"/>
    <n v="72737"/>
  </r>
  <r>
    <x v="6"/>
    <m/>
    <s v="Søndersøskolen, KV50"/>
    <n v="9222"/>
    <m/>
    <s v="Søndersøskolen"/>
    <x v="116"/>
    <x v="0"/>
    <x v="6"/>
    <n v="1691.63"/>
    <n v="12"/>
    <m/>
    <n v="0"/>
    <n v="11252"/>
    <n v="0.150339"/>
    <n v="3"/>
    <x v="0"/>
    <x v="2984"/>
    <n v="1353.31"/>
    <n v="0"/>
    <m/>
    <m/>
    <n v="1691.624"/>
    <n v="0"/>
    <n v="72737"/>
  </r>
  <r>
    <x v="6"/>
    <m/>
    <s v="Søndersøskolen Pedelbolig KV48"/>
    <n v="10321"/>
    <m/>
    <s v="Søndersøskolen Pedelbolig"/>
    <x v="115"/>
    <x v="0"/>
    <x v="7"/>
    <n v="28.37"/>
    <n v="12"/>
    <s v="2012-01-25"/>
    <n v="0"/>
    <n v="126"/>
    <n v="0.22498000000000001"/>
    <n v="3"/>
    <x v="0"/>
    <x v="2985"/>
    <n v="22.69"/>
    <n v="0"/>
    <s v="07595918"/>
    <m/>
    <n v="28.381"/>
    <n v="0"/>
    <n v="77809"/>
  </r>
  <r>
    <x v="6"/>
    <m/>
    <s v="Søndersøskolen Pedelbolig KV48"/>
    <n v="10321"/>
    <m/>
    <s v="Søndersøskolen Pedelbolig"/>
    <x v="115"/>
    <x v="0"/>
    <x v="7"/>
    <n v="16772"/>
    <n v="12"/>
    <s v="2012-01-25"/>
    <n v="0"/>
    <n v="126"/>
    <n v="133.005551"/>
    <n v="1"/>
    <x v="1"/>
    <x v="2986"/>
    <n v="1291.28"/>
    <n v="0"/>
    <s v="4080356/2001"/>
    <m/>
    <n v="16772"/>
    <n v="0"/>
    <n v="77810"/>
  </r>
  <r>
    <x v="6"/>
    <m/>
    <s v="Hareskov Skole, POP 6-12"/>
    <n v="10991"/>
    <m/>
    <s v="Bygning 8, Svømmehal"/>
    <x v="110"/>
    <x v="0"/>
    <x v="1"/>
    <n v="63221.45"/>
    <n v="11"/>
    <s v="2015-05-04"/>
    <n v="0"/>
    <n v="1475"/>
    <n v="42.859093999999999"/>
    <n v="2"/>
    <x v="2"/>
    <x v="2987"/>
    <n v="18966.43"/>
    <n v="0"/>
    <s v="211700-210"/>
    <m/>
    <n v="63221.441800000001"/>
    <n v="0"/>
    <n v="79756"/>
  </r>
  <r>
    <x v="6"/>
    <m/>
    <s v="Hareskov Skole, POP 6-12"/>
    <n v="10991"/>
    <m/>
    <s v="Bygning 8, Svømmehal"/>
    <x v="110"/>
    <x v="0"/>
    <x v="7"/>
    <n v="849.75"/>
    <n v="9"/>
    <s v="2015-05-04"/>
    <n v="0"/>
    <n v="1475"/>
    <n v="0.57606199999999996"/>
    <n v="3"/>
    <x v="0"/>
    <x v="2988"/>
    <n v="679.8"/>
    <n v="0"/>
    <s v="PC501303"/>
    <m/>
    <n v="849.74929999999995"/>
    <n v="0"/>
    <n v="79482"/>
  </r>
  <r>
    <x v="6"/>
    <m/>
    <s v="Hareskov Skole, POP 6-12"/>
    <n v="10991"/>
    <m/>
    <s v="Bygning 8, Svømmehal"/>
    <x v="110"/>
    <x v="0"/>
    <x v="7"/>
    <n v="344.08"/>
    <n v="10"/>
    <s v="2015-05-04"/>
    <n v="0"/>
    <n v="1475"/>
    <n v="0.23325799999999999"/>
    <n v="3"/>
    <x v="0"/>
    <x v="2989"/>
    <n v="275.26"/>
    <n v="1"/>
    <s v="Bimåler 1"/>
    <m/>
    <n v="344.08139999999997"/>
    <n v="0"/>
    <n v="79717"/>
  </r>
  <r>
    <x v="6"/>
    <m/>
    <s v="Hareskov Skole, POP 6-12"/>
    <n v="10991"/>
    <m/>
    <s v="Bygning 8, Svømmehal"/>
    <x v="110"/>
    <x v="0"/>
    <x v="7"/>
    <n v="57.12"/>
    <n v="10"/>
    <s v="2015-05-04"/>
    <n v="0"/>
    <n v="1475"/>
    <n v="3.8721999999999999E-2"/>
    <n v="3"/>
    <x v="0"/>
    <x v="2990"/>
    <n v="45.7"/>
    <n v="1"/>
    <s v="Bimåler 3"/>
    <m/>
    <n v="57.13044"/>
    <n v="0"/>
    <n v="79718"/>
  </r>
  <r>
    <x v="6"/>
    <m/>
    <s v="Hareskov Skole, POP 6-12"/>
    <n v="10991"/>
    <m/>
    <s v="Bygning 8, Svømmehal"/>
    <x v="110"/>
    <x v="0"/>
    <x v="7"/>
    <n v="0"/>
    <n v="10"/>
    <s v="2015-05-04"/>
    <n v="0"/>
    <n v="1475"/>
    <n v="0"/>
    <n v="3"/>
    <x v="0"/>
    <x v="1"/>
    <n v="0"/>
    <n v="1"/>
    <s v="Bimåler 2"/>
    <m/>
    <n v="0"/>
    <n v="0"/>
    <n v="79719"/>
  </r>
  <r>
    <x v="6"/>
    <m/>
    <s v="Hareskov Skole, POP 6-12"/>
    <n v="9220"/>
    <m/>
    <s v="Hareskov Skole"/>
    <x v="110"/>
    <x v="0"/>
    <x v="7"/>
    <n v="46.78"/>
    <n v="12"/>
    <m/>
    <n v="0"/>
    <n v="7549"/>
    <n v="6.1960000000000001E-3"/>
    <n v="3"/>
    <x v="0"/>
    <x v="2991"/>
    <n v="0"/>
    <n v="0"/>
    <s v="V.Vand"/>
    <m/>
    <n v="46.779000000000003"/>
    <n v="0"/>
    <n v="72733"/>
  </r>
  <r>
    <x v="6"/>
    <m/>
    <s v="Hareskov Skole, POP 6-12"/>
    <n v="9220"/>
    <m/>
    <s v="Hareskov Skole"/>
    <x v="110"/>
    <x v="0"/>
    <x v="7"/>
    <n v="1255.9000000000001"/>
    <n v="12"/>
    <s v="2010-11-29"/>
    <n v="0"/>
    <n v="7549"/>
    <n v="0.16636400000000001"/>
    <n v="3"/>
    <x v="0"/>
    <x v="2992"/>
    <n v="1004.72"/>
    <n v="0"/>
    <s v="Værksted nr 0223"/>
    <m/>
    <n v="1255.9000000000001"/>
    <n v="0"/>
    <n v="77261"/>
  </r>
  <r>
    <x v="6"/>
    <m/>
    <s v="Hareskov Skole, POP 6-12"/>
    <n v="9220"/>
    <m/>
    <s v="Hareskov Skole"/>
    <x v="110"/>
    <x v="0"/>
    <x v="7"/>
    <n v="250.86"/>
    <n v="12"/>
    <s v="2012-05-31"/>
    <n v="0"/>
    <n v="7549"/>
    <n v="3.3230000000000003E-2"/>
    <n v="3"/>
    <x v="0"/>
    <x v="2993"/>
    <n v="200.67"/>
    <n v="0"/>
    <s v="46349 Sløjd"/>
    <m/>
    <n v="250.852"/>
    <n v="0"/>
    <n v="79481"/>
  </r>
  <r>
    <x v="6"/>
    <m/>
    <s v="Hareskov Skole, POP 6-12"/>
    <n v="11000"/>
    <m/>
    <s v="POP-øst"/>
    <x v="110"/>
    <x v="0"/>
    <x v="7"/>
    <n v="303.51"/>
    <n v="12"/>
    <s v="2010-11-01"/>
    <n v="0"/>
    <n v="652"/>
    <n v="0.46543400000000001"/>
    <n v="3"/>
    <x v="0"/>
    <x v="2994"/>
    <n v="242.8"/>
    <n v="0"/>
    <s v="Gl. fyrkælder"/>
    <m/>
    <n v="303.495"/>
    <n v="0"/>
    <n v="79480"/>
  </r>
  <r>
    <x v="6"/>
    <m/>
    <s v="Hareskov Skole, POP 6-12"/>
    <n v="9220"/>
    <m/>
    <s v="Hareskov Skole"/>
    <x v="110"/>
    <x v="0"/>
    <x v="1"/>
    <n v="58620"/>
    <n v="12"/>
    <m/>
    <n v="0"/>
    <n v="7549"/>
    <n v="7.7651640000000004"/>
    <n v="1"/>
    <x v="1"/>
    <x v="2995"/>
    <n v="10844.7"/>
    <n v="0"/>
    <s v="Pop vest"/>
    <m/>
    <n v="58620"/>
    <n v="0"/>
    <n v="77262"/>
  </r>
  <r>
    <x v="6"/>
    <m/>
    <s v="Hareskov Skole, POP 6-12"/>
    <n v="9220"/>
    <m/>
    <s v="Hareskov Skole"/>
    <x v="110"/>
    <x v="0"/>
    <x v="1"/>
    <n v="703141.52"/>
    <n v="12"/>
    <s v="2011-10-31"/>
    <n v="0"/>
    <n v="7549"/>
    <n v="93.142430000000004"/>
    <n v="1"/>
    <x v="5"/>
    <x v="2996"/>
    <n v="136636.74"/>
    <n v="0"/>
    <s v="Værksted hovedmåler 28434"/>
    <m/>
    <n v="-449617.29100000003"/>
    <n v="0"/>
    <n v="77263"/>
  </r>
  <r>
    <x v="6"/>
    <m/>
    <s v="Hareskov Skole, POP 6-12"/>
    <n v="11000"/>
    <m/>
    <s v="POP-øst"/>
    <x v="110"/>
    <x v="0"/>
    <x v="1"/>
    <n v="5659.85"/>
    <n v="12"/>
    <s v="2010-11-01"/>
    <n v="0"/>
    <n v="652"/>
    <n v="8.6794200000000004"/>
    <n v="1"/>
    <x v="5"/>
    <x v="2997"/>
    <n v="0.37"/>
    <n v="0"/>
    <s v="popgård, 1. KL hus, røde hus"/>
    <m/>
    <n v="-216577.69"/>
    <n v="0"/>
    <n v="80204"/>
  </r>
  <r>
    <x v="6"/>
    <m/>
    <s v="Hareskov Skole, POP 6-12"/>
    <n v="9220"/>
    <m/>
    <s v="Hareskov Skole"/>
    <x v="110"/>
    <x v="0"/>
    <x v="1"/>
    <n v="170431.86"/>
    <n v="12"/>
    <s v="2010-11-29"/>
    <n v="0"/>
    <n v="7549"/>
    <n v="22.576447000000002"/>
    <n v="2"/>
    <x v="2"/>
    <x v="2998"/>
    <n v="51129.56"/>
    <n v="0"/>
    <s v="Hovedmåler 577428"/>
    <m/>
    <n v="170431.8682"/>
    <n v="0"/>
    <n v="78606"/>
  </r>
  <r>
    <x v="6"/>
    <m/>
    <s v="Hareskov Skole, POP 6-12"/>
    <n v="11000"/>
    <m/>
    <s v="POP-øst"/>
    <x v="110"/>
    <x v="0"/>
    <x v="1"/>
    <n v="1896.06"/>
    <n v="12"/>
    <s v="2015-05-04"/>
    <n v="0"/>
    <n v="652"/>
    <n v="2.9076209999999998"/>
    <n v="2"/>
    <x v="2"/>
    <x v="2999"/>
    <n v="568.83000000000004"/>
    <n v="0"/>
    <s v="525766"/>
    <s v="74110490436"/>
    <n v="1896.05485"/>
    <n v="0"/>
    <n v="79720"/>
  </r>
  <r>
    <x v="6"/>
    <m/>
    <s v="Lille Værløse skole"/>
    <n v="14253"/>
    <s v="0"/>
    <s v="Bygning B+C"/>
    <x v="111"/>
    <x v="0"/>
    <x v="1"/>
    <n v="260471.35"/>
    <n v="12"/>
    <s v="2011-05-31"/>
    <n v="0"/>
    <n v="6105"/>
    <n v="42.664549999999998"/>
    <n v="2"/>
    <x v="2"/>
    <x v="3000"/>
    <n v="78141.38"/>
    <n v="0"/>
    <s v="384246"/>
    <s v="74110485968"/>
    <n v="260471.35"/>
    <n v="0"/>
    <n v="72734"/>
  </r>
  <r>
    <x v="6"/>
    <m/>
    <s v="Hareskov Skole, POP 6-12"/>
    <n v="11000"/>
    <m/>
    <s v="POP-øst"/>
    <x v="110"/>
    <x v="0"/>
    <x v="1"/>
    <n v="35315"/>
    <n v="12"/>
    <s v="2010-12-02"/>
    <n v="0"/>
    <n v="652"/>
    <n v="54.155804000000003"/>
    <n v="1"/>
    <x v="1"/>
    <x v="3001"/>
    <n v="2260.17"/>
    <n v="0"/>
    <s v="Ny Pop øst"/>
    <m/>
    <n v="35315"/>
    <n v="0"/>
    <n v="79521"/>
  </r>
  <r>
    <x v="6"/>
    <m/>
    <s v="Hareskov Skole, POP 6-12"/>
    <n v="10991"/>
    <m/>
    <s v="Bygning 8, Svømmehal"/>
    <x v="110"/>
    <x v="0"/>
    <x v="1"/>
    <n v="315730"/>
    <n v="12"/>
    <s v="2013-03-31"/>
    <n v="0"/>
    <n v="1475"/>
    <n v="214.039726"/>
    <n v="1"/>
    <x v="1"/>
    <x v="3002"/>
    <n v="61600.15"/>
    <n v="0"/>
    <s v="Svømmehal KWh"/>
    <m/>
    <n v="315729.99699999997"/>
    <n v="0"/>
    <n v="94185"/>
  </r>
  <r>
    <x v="6"/>
    <m/>
    <s v="Hareskov Skole, POP 6-12"/>
    <n v="9220"/>
    <m/>
    <s v="Hareskov Skole"/>
    <x v="110"/>
    <x v="0"/>
    <x v="1"/>
    <n v="69312.479999999996"/>
    <n v="12"/>
    <m/>
    <n v="0"/>
    <n v="7549"/>
    <n v="9.1815549999999995"/>
    <n v="1"/>
    <x v="3"/>
    <x v="3003"/>
    <n v="367521.04"/>
    <n v="0"/>
    <s v="Pop vest"/>
    <m/>
    <n v="1986.6"/>
    <n v="77262"/>
    <n v="77265"/>
  </r>
  <r>
    <x v="6"/>
    <m/>
    <s v="Egeskolen, Jon 150/286"/>
    <n v="9224"/>
    <m/>
    <s v="Egeskolen (under Jonstrup gl. seminarium)"/>
    <x v="109"/>
    <x v="0"/>
    <x v="0"/>
    <n v="421876"/>
    <n v="5"/>
    <m/>
    <n v="0"/>
    <n v="4404"/>
    <n v="57.315945999999997"/>
    <n v="1"/>
    <x v="4"/>
    <x v="3004"/>
    <n v="60085.91"/>
    <n v="0"/>
    <m/>
    <s v="98001319152"/>
    <n v="23372.7"/>
    <n v="0"/>
    <n v="77267"/>
  </r>
  <r>
    <x v="6"/>
    <m/>
    <s v="Egeskolen, Jon 150/286"/>
    <n v="9224"/>
    <m/>
    <s v="Egeskolen (under Jonstrup gl. seminarium)"/>
    <x v="109"/>
    <x v="0"/>
    <x v="1"/>
    <n v="519220.8"/>
    <n v="12"/>
    <m/>
    <n v="0"/>
    <n v="4404"/>
    <n v="117.89487"/>
    <n v="1"/>
    <x v="4"/>
    <x v="3005"/>
    <n v="114444.56"/>
    <n v="0"/>
    <m/>
    <s v="98001319152"/>
    <n v="48076"/>
    <n v="0"/>
    <n v="77267"/>
  </r>
  <r>
    <x v="6"/>
    <m/>
    <s v="Egeskolen, Jon 150/286"/>
    <n v="9224"/>
    <m/>
    <s v="Egeskolen (under Jonstrup gl. seminarium)"/>
    <x v="109"/>
    <x v="0"/>
    <x v="2"/>
    <n v="542937.59999999998"/>
    <n v="12"/>
    <m/>
    <n v="0"/>
    <n v="4404"/>
    <n v="123.280034"/>
    <n v="1"/>
    <x v="4"/>
    <x v="3006"/>
    <n v="121010.23"/>
    <n v="0"/>
    <m/>
    <s v="98001319152"/>
    <n v="50272"/>
    <n v="0"/>
    <n v="77267"/>
  </r>
  <r>
    <x v="6"/>
    <m/>
    <s v="Egeskolen, Jon 150/286"/>
    <n v="9224"/>
    <m/>
    <s v="Egeskolen (under Jonstrup gl. seminarium)"/>
    <x v="109"/>
    <x v="0"/>
    <x v="3"/>
    <n v="514933.2"/>
    <n v="12"/>
    <m/>
    <n v="0"/>
    <n v="4404"/>
    <n v="116.921323"/>
    <n v="1"/>
    <x v="4"/>
    <x v="3007"/>
    <n v="120038.15"/>
    <n v="0"/>
    <m/>
    <s v="98001319152"/>
    <n v="47679"/>
    <n v="0"/>
    <n v="77267"/>
  </r>
  <r>
    <x v="6"/>
    <m/>
    <s v="Egeskolen, Jon 150/286"/>
    <n v="9224"/>
    <m/>
    <s v="Egeskolen (under Jonstrup gl. seminarium)"/>
    <x v="109"/>
    <x v="0"/>
    <x v="4"/>
    <n v="670544.87"/>
    <n v="12"/>
    <m/>
    <n v="0"/>
    <n v="4404"/>
    <n v="152.25468699999999"/>
    <n v="1"/>
    <x v="4"/>
    <x v="3008"/>
    <n v="188931.13"/>
    <n v="0"/>
    <m/>
    <s v="98001319152"/>
    <n v="62087.487999999998"/>
    <n v="0"/>
    <n v="77267"/>
  </r>
  <r>
    <x v="6"/>
    <m/>
    <s v="Egeskolen, Jon 150/286"/>
    <n v="9224"/>
    <m/>
    <s v="Egeskolen (under Jonstrup gl. seminarium)"/>
    <x v="109"/>
    <x v="0"/>
    <x v="5"/>
    <n v="493306.34"/>
    <n v="12"/>
    <m/>
    <n v="0"/>
    <n v="4404"/>
    <n v="112.01070300000001"/>
    <n v="1"/>
    <x v="4"/>
    <x v="3009"/>
    <n v="111297.19"/>
    <n v="0"/>
    <m/>
    <s v="98001319152"/>
    <n v="45676.512999999999"/>
    <n v="0"/>
    <n v="77267"/>
  </r>
  <r>
    <x v="6"/>
    <m/>
    <s v="Egeskolen, Jon 150/286"/>
    <n v="9224"/>
    <m/>
    <s v="Egeskolen (under Jonstrup gl. seminarium)"/>
    <x v="109"/>
    <x v="0"/>
    <x v="6"/>
    <n v="221851.16"/>
    <n v="3"/>
    <s v="2008-04-01"/>
    <n v="0"/>
    <n v="4404"/>
    <n v="50.373778000000001"/>
    <n v="1"/>
    <x v="4"/>
    <x v="3010"/>
    <n v="58595.97"/>
    <n v="0"/>
    <s v="AFMELDT"/>
    <m/>
    <n v="20541.77419"/>
    <n v="0"/>
    <n v="77972"/>
  </r>
  <r>
    <x v="6"/>
    <m/>
    <s v="Egeskolen, Jon 150/286"/>
    <n v="9224"/>
    <m/>
    <s v="Egeskolen (under Jonstrup gl. seminarium)"/>
    <x v="109"/>
    <x v="0"/>
    <x v="6"/>
    <n v="318265.2"/>
    <n v="12"/>
    <m/>
    <n v="0"/>
    <n v="4404"/>
    <n v="72.265660999999994"/>
    <n v="1"/>
    <x v="4"/>
    <x v="3011"/>
    <n v="74696.41"/>
    <n v="0"/>
    <m/>
    <s v="98001319152"/>
    <n v="29469"/>
    <n v="0"/>
    <n v="77267"/>
  </r>
  <r>
    <x v="6"/>
    <m/>
    <s v="Hareskov gl. bibliotek, Hareskov Skole, POP13"/>
    <n v="10230"/>
    <m/>
    <s v="1.st. klasse huset, Hareskov Skole"/>
    <x v="108"/>
    <x v="0"/>
    <x v="0"/>
    <n v="45505"/>
    <n v="5"/>
    <m/>
    <n v="0"/>
    <n v="711"/>
    <n v="40.561101999999998"/>
    <n v="1"/>
    <x v="1"/>
    <x v="3012"/>
    <n v="6063.02"/>
    <n v="0"/>
    <s v="2729798/2006"/>
    <m/>
    <n v="28843"/>
    <n v="0"/>
    <n v="90964"/>
  </r>
  <r>
    <x v="6"/>
    <m/>
    <s v="Hareskov gl. bibliotek, Hareskov Skole, POP13"/>
    <n v="10230"/>
    <m/>
    <s v="1.st. klasse huset, Hareskov Skole"/>
    <x v="108"/>
    <x v="0"/>
    <x v="1"/>
    <n v="58396"/>
    <n v="12"/>
    <m/>
    <n v="0"/>
    <n v="711"/>
    <n v="82.120658000000006"/>
    <n v="1"/>
    <x v="1"/>
    <x v="3013"/>
    <n v="11199.88"/>
    <n v="0"/>
    <s v="2729798/2006"/>
    <m/>
    <n v="58396"/>
    <n v="0"/>
    <n v="90964"/>
  </r>
  <r>
    <x v="6"/>
    <m/>
    <s v="Hareskov gl. bibliotek, Hareskov Skole, POP13"/>
    <n v="10230"/>
    <m/>
    <s v="1.st. klasse huset, Hareskov Skole"/>
    <x v="108"/>
    <x v="0"/>
    <x v="2"/>
    <n v="59412"/>
    <n v="12"/>
    <m/>
    <n v="0"/>
    <n v="711"/>
    <n v="83.549430000000001"/>
    <n v="1"/>
    <x v="1"/>
    <x v="3014"/>
    <n v="11511"/>
    <n v="0"/>
    <s v="2729798/2006"/>
    <m/>
    <n v="59412.0003"/>
    <n v="0"/>
    <n v="90964"/>
  </r>
  <r>
    <x v="6"/>
    <m/>
    <s v="Hareskov gl. bibliotek, Hareskov Skole, POP13"/>
    <n v="10230"/>
    <m/>
    <s v="1.st. klasse huset, Hareskov Skole"/>
    <x v="108"/>
    <x v="0"/>
    <x v="3"/>
    <n v="55544.01"/>
    <n v="9"/>
    <s v="2011-12-31"/>
    <n v="0"/>
    <n v="711"/>
    <n v="78.109983999999997"/>
    <n v="1"/>
    <x v="5"/>
    <x v="3015"/>
    <n v="11975.81"/>
    <n v="0"/>
    <s v="2729798/2006"/>
    <m/>
    <n v="55.54401"/>
    <n v="0"/>
    <n v="77565"/>
  </r>
  <r>
    <x v="6"/>
    <m/>
    <s v="Hareskov gl. bibliotek, Hareskov Skole, POP13"/>
    <n v="10230"/>
    <m/>
    <s v="1.st. klasse huset, Hareskov Skole"/>
    <x v="108"/>
    <x v="0"/>
    <x v="4"/>
    <n v="73418.740000000005"/>
    <n v="11"/>
    <s v="2011-12-31"/>
    <n v="0"/>
    <n v="711"/>
    <n v="103.24671600000001"/>
    <n v="1"/>
    <x v="5"/>
    <x v="3016"/>
    <n v="12358.25"/>
    <n v="0"/>
    <s v="2729798/2006"/>
    <m/>
    <n v="73.41874"/>
    <n v="0"/>
    <n v="77565"/>
  </r>
  <r>
    <x v="6"/>
    <m/>
    <s v="Hareskov gl. bibliotek, Hareskov Skole, POP13"/>
    <n v="10230"/>
    <m/>
    <s v="1.st. klasse huset, Hareskov Skole"/>
    <x v="108"/>
    <x v="0"/>
    <x v="5"/>
    <n v="55067.57"/>
    <n v="12"/>
    <s v="2011-12-31"/>
    <n v="0"/>
    <n v="711"/>
    <n v="77.439980000000006"/>
    <n v="1"/>
    <x v="5"/>
    <x v="3017"/>
    <n v="10739.83"/>
    <n v="0"/>
    <s v="2729798/2006"/>
    <m/>
    <n v="55.067570000000003"/>
    <n v="0"/>
    <n v="77565"/>
  </r>
  <r>
    <x v="6"/>
    <m/>
    <s v="Hareskov gl. bibliotek, Hareskov Skole, POP13"/>
    <n v="10230"/>
    <m/>
    <s v="1.st. klasse huset, Hareskov Skole"/>
    <x v="108"/>
    <x v="0"/>
    <x v="6"/>
    <n v="57181.55"/>
    <n v="13"/>
    <s v="2011-12-31"/>
    <n v="0"/>
    <n v="711"/>
    <n v="80.412811000000005"/>
    <n v="1"/>
    <x v="5"/>
    <x v="3018"/>
    <n v="12194.19"/>
    <n v="0"/>
    <s v="2729798/2006"/>
    <m/>
    <n v="57.181550000000001"/>
    <n v="0"/>
    <n v="77565"/>
  </r>
  <r>
    <x v="6"/>
    <m/>
    <s v="Hareskov Skole, POP 6-12"/>
    <n v="10991"/>
    <m/>
    <s v="Bygning 8, Svømmehal"/>
    <x v="110"/>
    <x v="0"/>
    <x v="7"/>
    <n v="383300"/>
    <n v="12"/>
    <s v="2013-03-31"/>
    <n v="0"/>
    <n v="1475"/>
    <n v="259.84679"/>
    <n v="1"/>
    <x v="1"/>
    <x v="3019"/>
    <n v="82590.13"/>
    <n v="0"/>
    <s v="Svømmehal KWh"/>
    <m/>
    <n v="383300.00300000003"/>
    <n v="0"/>
    <n v="94185"/>
  </r>
  <r>
    <x v="6"/>
    <m/>
    <s v="Hareskov Skole, POP 6-12"/>
    <n v="9220"/>
    <m/>
    <s v="Hareskov Skole"/>
    <x v="110"/>
    <x v="0"/>
    <x v="7"/>
    <n v="51295.28"/>
    <n v="12"/>
    <m/>
    <n v="0"/>
    <n v="7549"/>
    <n v="6.794886"/>
    <n v="1"/>
    <x v="3"/>
    <x v="3020"/>
    <n v="271987.01"/>
    <n v="0"/>
    <s v="Pop vest"/>
    <m/>
    <n v="1470.2"/>
    <n v="77262"/>
    <n v="77265"/>
  </r>
  <r>
    <x v="6"/>
    <m/>
    <s v="Hareskov Skole, POP 6-12"/>
    <n v="10991"/>
    <m/>
    <s v="Bygning 8, Svømmehal"/>
    <x v="110"/>
    <x v="0"/>
    <x v="2"/>
    <n v="248775.7"/>
    <n v="9"/>
    <s v="2012-10-12"/>
    <n v="0"/>
    <n v="1475"/>
    <n v="168.650057"/>
    <n v="1"/>
    <x v="5"/>
    <x v="3021"/>
    <n v="46023.519999999997"/>
    <n v="0"/>
    <s v="Svømmehal NEDTAGET"/>
    <m/>
    <n v="248.7757"/>
    <n v="0"/>
    <n v="79522"/>
  </r>
  <r>
    <x v="6"/>
    <m/>
    <s v="Hareskov Skole, POP 6-12"/>
    <n v="10991"/>
    <m/>
    <s v="Bygning 8, Svømmehal"/>
    <x v="110"/>
    <x v="0"/>
    <x v="3"/>
    <n v="397827.01"/>
    <n v="8"/>
    <s v="2012-10-12"/>
    <n v="0"/>
    <n v="1475"/>
    <n v="269.69494200000003"/>
    <n v="1"/>
    <x v="5"/>
    <x v="3022"/>
    <n v="73598.009999999995"/>
    <n v="0"/>
    <s v="Svømmehal NEDTAGET"/>
    <m/>
    <n v="397.82700999999997"/>
    <n v="0"/>
    <n v="79522"/>
  </r>
  <r>
    <x v="6"/>
    <m/>
    <s v="Hareskov Skole, POP 6-12"/>
    <n v="10991"/>
    <m/>
    <s v="Bygning 8, Svømmehal"/>
    <x v="110"/>
    <x v="0"/>
    <x v="4"/>
    <n v="449873.56"/>
    <n v="12"/>
    <s v="2012-10-12"/>
    <n v="0"/>
    <n v="1475"/>
    <n v="304.97834699999999"/>
    <n v="1"/>
    <x v="5"/>
    <x v="3023"/>
    <n v="83226.600000000006"/>
    <n v="0"/>
    <s v="Svømmehal NEDTAGET"/>
    <m/>
    <n v="449.87356"/>
    <n v="0"/>
    <n v="79522"/>
  </r>
  <r>
    <x v="6"/>
    <m/>
    <s v="Hareskov Skole, POP 6-12"/>
    <n v="10991"/>
    <m/>
    <s v="Bygning 8, Svømmehal"/>
    <x v="110"/>
    <x v="0"/>
    <x v="5"/>
    <n v="380427.6"/>
    <n v="11"/>
    <s v="2012-10-12"/>
    <n v="0"/>
    <n v="1475"/>
    <n v="257.89953200000002"/>
    <n v="1"/>
    <x v="5"/>
    <x v="3024"/>
    <n v="70379.100000000006"/>
    <n v="0"/>
    <s v="Svømmehal NEDTAGET"/>
    <m/>
    <n v="380.42759999999998"/>
    <n v="0"/>
    <n v="79522"/>
  </r>
  <r>
    <x v="6"/>
    <m/>
    <s v="Hareskov Skole, POP 6-12"/>
    <n v="10991"/>
    <m/>
    <s v="Bygning 8, Svømmehal"/>
    <x v="110"/>
    <x v="0"/>
    <x v="6"/>
    <n v="430283.55"/>
    <n v="12"/>
    <s v="2012-10-12"/>
    <n v="0"/>
    <n v="1475"/>
    <n v="291.69788399999999"/>
    <n v="1"/>
    <x v="5"/>
    <x v="3025"/>
    <n v="79602.45"/>
    <n v="0"/>
    <s v="Svømmehal NEDTAGET"/>
    <m/>
    <n v="430.28354999999999"/>
    <n v="0"/>
    <n v="79522"/>
  </r>
  <r>
    <x v="6"/>
    <m/>
    <s v="Hareskov Skole, POP 6-12"/>
    <n v="9220"/>
    <m/>
    <s v="Hareskov Skole"/>
    <x v="110"/>
    <x v="0"/>
    <x v="7"/>
    <n v="46620"/>
    <n v="12"/>
    <m/>
    <n v="0"/>
    <n v="7549"/>
    <n v="6.1755699999999996"/>
    <n v="1"/>
    <x v="1"/>
    <x v="3026"/>
    <n v="8624.7000000000007"/>
    <n v="0"/>
    <s v="Pop vest"/>
    <m/>
    <n v="46620"/>
    <n v="0"/>
    <n v="77262"/>
  </r>
  <r>
    <x v="6"/>
    <m/>
    <s v="Hareskov Skole, POP 6-12"/>
    <n v="11000"/>
    <m/>
    <s v="POP-øst"/>
    <x v="110"/>
    <x v="0"/>
    <x v="7"/>
    <n v="22869"/>
    <n v="12"/>
    <s v="2010-12-02"/>
    <n v="0"/>
    <n v="652"/>
    <n v="35.069774000000002"/>
    <n v="1"/>
    <x v="1"/>
    <x v="3027"/>
    <n v="1463.61"/>
    <n v="0"/>
    <s v="Ny Pop øst"/>
    <m/>
    <n v="22869"/>
    <n v="0"/>
    <n v="79521"/>
  </r>
  <r>
    <x v="6"/>
    <m/>
    <s v="Hareskov Skole, POP 6-12"/>
    <n v="9220"/>
    <m/>
    <s v="Hareskov Skole"/>
    <x v="110"/>
    <x v="0"/>
    <x v="7"/>
    <n v="560704.72"/>
    <n v="12"/>
    <s v="2011-10-31"/>
    <n v="0"/>
    <n v="7549"/>
    <n v="74.274378999999996"/>
    <n v="1"/>
    <x v="5"/>
    <x v="3028"/>
    <n v="133534.46"/>
    <n v="0"/>
    <s v="Værksted hovedmåler 28434"/>
    <m/>
    <n v="-469391.20069999999"/>
    <n v="0"/>
    <n v="77263"/>
  </r>
  <r>
    <x v="6"/>
    <m/>
    <s v="Hareskov Skole, POP 6-12"/>
    <n v="11000"/>
    <m/>
    <s v="POP-øst"/>
    <x v="110"/>
    <x v="0"/>
    <x v="7"/>
    <n v="14110.89"/>
    <n v="12"/>
    <s v="2010-11-01"/>
    <n v="0"/>
    <n v="652"/>
    <n v="21.639150000000001"/>
    <n v="1"/>
    <x v="5"/>
    <x v="3029"/>
    <n v="0.91"/>
    <n v="0"/>
    <s v="popgård, 1. KL hus, røde hus"/>
    <m/>
    <n v="-178706.10010000001"/>
    <n v="0"/>
    <n v="80204"/>
  </r>
  <r>
    <x v="6"/>
    <m/>
    <s v="Hareskov Skole, POP 6-12"/>
    <n v="10991"/>
    <m/>
    <s v="Bygning 8, Svømmehal"/>
    <x v="110"/>
    <x v="0"/>
    <x v="0"/>
    <n v="199590"/>
    <n v="5"/>
    <s v="2013-03-31"/>
    <n v="0"/>
    <n v="1475"/>
    <n v="135.30608000000001"/>
    <n v="1"/>
    <x v="1"/>
    <x v="3030"/>
    <n v="40931.919999999998"/>
    <n v="0"/>
    <s v="Svømmehal KWh"/>
    <m/>
    <n v="199590"/>
    <n v="0"/>
    <n v="94185"/>
  </r>
  <r>
    <x v="6"/>
    <m/>
    <s v="Hareskov Skole, POP 6-12"/>
    <n v="9220"/>
    <m/>
    <s v="Hareskov Skole"/>
    <x v="110"/>
    <x v="0"/>
    <x v="0"/>
    <n v="38218.51"/>
    <n v="5"/>
    <m/>
    <n v="0"/>
    <n v="7549"/>
    <n v="5.0626569999999997"/>
    <n v="1"/>
    <x v="3"/>
    <x v="3031"/>
    <n v="202649.03"/>
    <n v="0"/>
    <s v="Pop vest"/>
    <m/>
    <n v="1095.4000000000001"/>
    <n v="77262"/>
    <n v="77265"/>
  </r>
  <r>
    <x v="6"/>
    <m/>
    <s v="Hareskov Skole, POP 6-12"/>
    <n v="9220"/>
    <m/>
    <s v="Hareskov Skole"/>
    <x v="110"/>
    <x v="0"/>
    <x v="2"/>
    <n v="68480"/>
    <n v="12"/>
    <m/>
    <n v="0"/>
    <n v="7549"/>
    <n v="9.0712799999999998"/>
    <n v="1"/>
    <x v="1"/>
    <x v="3032"/>
    <n v="12668.8"/>
    <n v="0"/>
    <s v="Pop vest"/>
    <m/>
    <n v="68480"/>
    <n v="0"/>
    <n v="77262"/>
  </r>
  <r>
    <x v="6"/>
    <m/>
    <s v="Hareskov Skole, POP 6-12"/>
    <n v="9220"/>
    <m/>
    <s v="Hareskov Skole"/>
    <x v="110"/>
    <x v="0"/>
    <x v="2"/>
    <n v="56553.2"/>
    <n v="12"/>
    <m/>
    <n v="0"/>
    <n v="7549"/>
    <n v="7.4913829999999999"/>
    <n v="1"/>
    <x v="3"/>
    <x v="3033"/>
    <n v="299866.48"/>
    <n v="0"/>
    <s v="Pop vest"/>
    <m/>
    <n v="1620.9"/>
    <n v="77262"/>
    <n v="77265"/>
  </r>
  <r>
    <x v="6"/>
    <m/>
    <s v="Hareskov Skole, POP 6-12"/>
    <n v="9220"/>
    <m/>
    <s v="Hareskov Skole"/>
    <x v="110"/>
    <x v="0"/>
    <x v="2"/>
    <n v="823264.89"/>
    <n v="12"/>
    <s v="2011-10-31"/>
    <n v="0"/>
    <n v="7549"/>
    <n v="109.05470699999999"/>
    <n v="1"/>
    <x v="5"/>
    <x v="3034"/>
    <n v="162892.32"/>
    <n v="0"/>
    <s v="Værksted hovedmåler 28434"/>
    <m/>
    <n v="-130763.14399"/>
    <n v="0"/>
    <n v="77263"/>
  </r>
  <r>
    <x v="6"/>
    <m/>
    <s v="Hareskov Skole, POP 6-12"/>
    <n v="9220"/>
    <m/>
    <s v="Hareskov Skole"/>
    <x v="110"/>
    <x v="0"/>
    <x v="3"/>
    <n v="752523.9"/>
    <n v="9"/>
    <s v="2011-10-31"/>
    <n v="0"/>
    <n v="7549"/>
    <n v="99.683921999999995"/>
    <n v="1"/>
    <x v="5"/>
    <x v="3035"/>
    <n v="172763.76"/>
    <n v="0"/>
    <s v="Værksted hovedmåler 28434"/>
    <m/>
    <n v="-163799.24012999999"/>
    <n v="0"/>
    <n v="77263"/>
  </r>
  <r>
    <x v="6"/>
    <m/>
    <s v="Hareskov Skole, POP 6-12"/>
    <n v="9220"/>
    <m/>
    <s v="Hareskov Skole"/>
    <x v="110"/>
    <x v="0"/>
    <x v="3"/>
    <n v="51856.37"/>
    <n v="4"/>
    <s v="2011-08-01"/>
    <n v="0"/>
    <n v="7549"/>
    <n v="6.8692120000000001"/>
    <n v="1"/>
    <x v="5"/>
    <x v="3036"/>
    <n v="9.6"/>
    <n v="0"/>
    <s v="Pop Vest"/>
    <m/>
    <n v="51.856369999999998"/>
    <n v="0"/>
    <n v="79520"/>
  </r>
  <r>
    <x v="6"/>
    <m/>
    <s v="Hareskov Skole, POP 6-12"/>
    <n v="9220"/>
    <m/>
    <s v="Hareskov Skole"/>
    <x v="110"/>
    <x v="0"/>
    <x v="3"/>
    <n v="81370"/>
    <n v="12"/>
    <m/>
    <n v="0"/>
    <n v="7549"/>
    <n v="10.778767999999999"/>
    <n v="1"/>
    <x v="1"/>
    <x v="3037"/>
    <n v="15053.45"/>
    <n v="0"/>
    <s v="Pop vest"/>
    <m/>
    <n v="81370"/>
    <n v="0"/>
    <n v="77262"/>
  </r>
  <r>
    <x v="6"/>
    <m/>
    <s v="Hareskov Skole, POP 6-12"/>
    <n v="9220"/>
    <m/>
    <s v="Hareskov Skole"/>
    <x v="110"/>
    <x v="0"/>
    <x v="3"/>
    <n v="61280.82"/>
    <n v="12"/>
    <m/>
    <n v="0"/>
    <n v="7549"/>
    <n v="8.1176320000000004"/>
    <n v="1"/>
    <x v="3"/>
    <x v="3038"/>
    <n v="324934.15000000002"/>
    <n v="0"/>
    <s v="Pop vest"/>
    <m/>
    <n v="1756.4"/>
    <n v="77262"/>
    <n v="77265"/>
  </r>
  <r>
    <x v="6"/>
    <m/>
    <s v="Hareskov Skole, POP 6-12"/>
    <n v="9220"/>
    <m/>
    <s v="Hareskov Skole"/>
    <x v="110"/>
    <x v="0"/>
    <x v="4"/>
    <n v="821040.68"/>
    <n v="13"/>
    <s v="2011-10-31"/>
    <n v="0"/>
    <n v="7549"/>
    <n v="108.760074"/>
    <n v="1"/>
    <x v="5"/>
    <x v="3039"/>
    <n v="132012.21"/>
    <n v="0"/>
    <s v="Værksted hovedmåler 28434"/>
    <m/>
    <n v="-124860.03247999999"/>
    <n v="0"/>
    <n v="77263"/>
  </r>
  <r>
    <x v="6"/>
    <m/>
    <s v="Hareskov Skole, POP 6-12"/>
    <n v="9220"/>
    <m/>
    <s v="Hareskov Skole"/>
    <x v="110"/>
    <x v="0"/>
    <x v="4"/>
    <n v="84159.63"/>
    <n v="12"/>
    <s v="2011-08-01"/>
    <n v="0"/>
    <n v="7549"/>
    <n v="11.148299"/>
    <n v="1"/>
    <x v="5"/>
    <x v="3040"/>
    <n v="15.56"/>
    <n v="0"/>
    <s v="Pop Vest"/>
    <m/>
    <n v="84.159630000000007"/>
    <n v="0"/>
    <n v="79520"/>
  </r>
  <r>
    <x v="6"/>
    <m/>
    <s v="Hareskov Skole, POP 6-12"/>
    <n v="9220"/>
    <m/>
    <s v="Hareskov Skole"/>
    <x v="110"/>
    <x v="0"/>
    <x v="4"/>
    <n v="23010"/>
    <n v="12"/>
    <m/>
    <n v="0"/>
    <n v="7549"/>
    <n v="3.0480450000000001"/>
    <n v="1"/>
    <x v="1"/>
    <x v="3041"/>
    <n v="4256.8500000000004"/>
    <n v="0"/>
    <s v="Pop vest"/>
    <m/>
    <n v="23010"/>
    <n v="0"/>
    <n v="77262"/>
  </r>
  <r>
    <x v="6"/>
    <m/>
    <s v="Hareskov Skole, POP 6-12"/>
    <n v="9220"/>
    <m/>
    <s v="Hareskov Skole"/>
    <x v="110"/>
    <x v="0"/>
    <x v="4"/>
    <n v="16806.52"/>
    <n v="12"/>
    <m/>
    <n v="0"/>
    <n v="7549"/>
    <n v="2.2262940000000002"/>
    <n v="1"/>
    <x v="3"/>
    <x v="3042"/>
    <n v="89114.54"/>
    <n v="0"/>
    <s v="Pop vest"/>
    <m/>
    <n v="481.7"/>
    <n v="77262"/>
    <n v="77265"/>
  </r>
  <r>
    <x v="6"/>
    <m/>
    <s v="Hareskov Skole, POP 6-12"/>
    <n v="9220"/>
    <m/>
    <s v="Hareskov Skole"/>
    <x v="110"/>
    <x v="0"/>
    <x v="5"/>
    <n v="31120"/>
    <n v="12"/>
    <m/>
    <n v="0"/>
    <n v="7549"/>
    <n v="4.1223450000000001"/>
    <n v="1"/>
    <x v="1"/>
    <x v="3043"/>
    <n v="5757.2"/>
    <n v="0"/>
    <s v="Pop vest"/>
    <m/>
    <n v="31120"/>
    <n v="0"/>
    <n v="77262"/>
  </r>
  <r>
    <x v="6"/>
    <m/>
    <s v="Hareskov Skole, POP 6-12"/>
    <n v="9220"/>
    <m/>
    <s v="Hareskov Skole"/>
    <x v="110"/>
    <x v="0"/>
    <x v="5"/>
    <n v="18708.009999999998"/>
    <n v="12"/>
    <m/>
    <n v="0"/>
    <n v="7549"/>
    <n v="2.4781770000000001"/>
    <n v="1"/>
    <x v="3"/>
    <x v="3044"/>
    <n v="99196.96"/>
    <n v="0"/>
    <s v="Pop vest"/>
    <m/>
    <n v="536.20000000000005"/>
    <n v="77262"/>
    <n v="77265"/>
  </r>
  <r>
    <x v="6"/>
    <m/>
    <s v="Hareskov Skole, POP 6-12"/>
    <n v="9220"/>
    <m/>
    <s v="Hareskov Skole"/>
    <x v="110"/>
    <x v="0"/>
    <x v="5"/>
    <n v="702998.53"/>
    <n v="11"/>
    <s v="2011-10-31"/>
    <n v="0"/>
    <n v="7549"/>
    <n v="93.123487999999995"/>
    <n v="1"/>
    <x v="5"/>
    <x v="3045"/>
    <n v="141799.20000000001"/>
    <n v="0"/>
    <s v="Værksted hovedmåler 28434"/>
    <m/>
    <n v="-102488.5102"/>
    <n v="0"/>
    <n v="77263"/>
  </r>
  <r>
    <x v="6"/>
    <m/>
    <s v="Hareskov Skole, POP 6-12"/>
    <n v="9220"/>
    <m/>
    <s v="Hareskov Skole"/>
    <x v="110"/>
    <x v="0"/>
    <x v="5"/>
    <n v="61012.7"/>
    <n v="11"/>
    <s v="2011-08-01"/>
    <n v="0"/>
    <n v="7549"/>
    <n v="8.0821149999999999"/>
    <n v="1"/>
    <x v="5"/>
    <x v="3046"/>
    <n v="11.28"/>
    <n v="0"/>
    <s v="Pop Vest"/>
    <m/>
    <n v="61.012700000000002"/>
    <n v="0"/>
    <n v="79520"/>
  </r>
  <r>
    <x v="6"/>
    <m/>
    <s v="Hareskov Skole, POP 6-12"/>
    <n v="9220"/>
    <m/>
    <s v="Hareskov Skole"/>
    <x v="110"/>
    <x v="0"/>
    <x v="6"/>
    <n v="48887.75"/>
    <n v="12"/>
    <s v="2011-08-01"/>
    <n v="0"/>
    <n v="7549"/>
    <n v="6.4759700000000002"/>
    <n v="1"/>
    <x v="5"/>
    <x v="3047"/>
    <n v="9.0500000000000007"/>
    <n v="0"/>
    <s v="Pop Vest"/>
    <m/>
    <n v="48.887749999999997"/>
    <n v="0"/>
    <n v="79520"/>
  </r>
  <r>
    <x v="6"/>
    <m/>
    <s v="Hareskov Skole, POP 6-12"/>
    <n v="9220"/>
    <m/>
    <s v="Hareskov Skole"/>
    <x v="110"/>
    <x v="0"/>
    <x v="6"/>
    <n v="17860"/>
    <n v="12"/>
    <m/>
    <n v="0"/>
    <n v="7549"/>
    <n v="2.3658440000000001"/>
    <n v="1"/>
    <x v="1"/>
    <x v="3048"/>
    <n v="3304.1"/>
    <n v="0"/>
    <s v="Pop vest"/>
    <m/>
    <n v="17860"/>
    <n v="0"/>
    <n v="77262"/>
  </r>
  <r>
    <x v="6"/>
    <m/>
    <s v="Hareskov Skole, POP 6-12"/>
    <n v="9220"/>
    <m/>
    <s v="Hareskov Skole"/>
    <x v="110"/>
    <x v="0"/>
    <x v="6"/>
    <n v="10774.04"/>
    <n v="12"/>
    <m/>
    <n v="0"/>
    <n v="7549"/>
    <n v="1.427195"/>
    <n v="1"/>
    <x v="3"/>
    <x v="3049"/>
    <n v="57128.04"/>
    <n v="0"/>
    <s v="Pop vest"/>
    <m/>
    <n v="308.8"/>
    <n v="77262"/>
    <n v="77265"/>
  </r>
  <r>
    <x v="6"/>
    <m/>
    <s v="Hareskov Skole, POP 6-12"/>
    <n v="9220"/>
    <m/>
    <s v="Hareskov Skole"/>
    <x v="110"/>
    <x v="0"/>
    <x v="6"/>
    <n v="978541.43"/>
    <n v="12"/>
    <s v="2011-10-31"/>
    <n v="0"/>
    <n v="7549"/>
    <n v="129.62358800000001"/>
    <n v="1"/>
    <x v="5"/>
    <x v="3050"/>
    <n v="211521.63"/>
    <n v="0"/>
    <s v="Værksted hovedmåler 28434"/>
    <m/>
    <n v="-51993.854180000002"/>
    <n v="0"/>
    <n v="77263"/>
  </r>
  <r>
    <x v="6"/>
    <m/>
    <s v="Hareskov Skole, POP 6-12"/>
    <n v="9220"/>
    <m/>
    <s v="Hareskov Skole"/>
    <x v="110"/>
    <x v="0"/>
    <x v="0"/>
    <m/>
    <n v="5"/>
    <m/>
    <n v="0"/>
    <n v="7549"/>
    <n v="0"/>
    <n v="1"/>
    <x v="1"/>
    <x v="1"/>
    <n v="5762.75"/>
    <n v="0"/>
    <s v="Pop vest"/>
    <m/>
    <n v="31150"/>
    <n v="0"/>
    <n v="77262"/>
  </r>
  <r>
    <x v="6"/>
    <m/>
    <s v="Hareskov Skole, POP 6-12"/>
    <n v="9220"/>
    <m/>
    <s v="Hareskov Skole"/>
    <x v="110"/>
    <x v="0"/>
    <x v="0"/>
    <n v="682142"/>
    <n v="5"/>
    <s v="2011-10-31"/>
    <n v="0"/>
    <n v="7549"/>
    <n v="44.206128999999997"/>
    <n v="1"/>
    <x v="5"/>
    <x v="3051"/>
    <n v="75809.740000000005"/>
    <n v="0"/>
    <s v="Værksted hovedmåler 28434"/>
    <m/>
    <n v="-245592.351"/>
    <n v="0"/>
    <n v="77263"/>
  </r>
  <r>
    <x v="6"/>
    <m/>
    <s v="Hareskov Skole, POP 6-12"/>
    <n v="11000"/>
    <m/>
    <s v="POP-øst"/>
    <x v="110"/>
    <x v="0"/>
    <x v="0"/>
    <n v="35733"/>
    <n v="5"/>
    <s v="2010-12-02"/>
    <n v="0"/>
    <n v="652"/>
    <n v="22.042631"/>
    <n v="1"/>
    <x v="1"/>
    <x v="3052"/>
    <n v="919.93"/>
    <n v="0"/>
    <s v="Ny Pop øst"/>
    <m/>
    <n v="14374"/>
    <n v="0"/>
    <n v="79521"/>
  </r>
  <r>
    <x v="6"/>
    <m/>
    <s v="Hareskov Skole, POP 6-12"/>
    <n v="11000"/>
    <m/>
    <s v="POP-øst"/>
    <x v="110"/>
    <x v="0"/>
    <x v="0"/>
    <n v="0"/>
    <n v="5"/>
    <s v="2010-11-01"/>
    <n v="0"/>
    <n v="652"/>
    <n v="12.836865"/>
    <n v="1"/>
    <x v="5"/>
    <x v="1"/>
    <n v="0.52"/>
    <n v="0"/>
    <s v="popgård, 1. KL hus, røde hus"/>
    <m/>
    <n v="-98956.645000000004"/>
    <n v="0"/>
    <n v="80204"/>
  </r>
  <r>
    <x v="6"/>
    <m/>
    <s v="Hareskov Skole, POP 6-12"/>
    <n v="11000"/>
    <m/>
    <s v="POP-øst"/>
    <x v="110"/>
    <x v="0"/>
    <x v="2"/>
    <n v="-2519.09"/>
    <n v="12"/>
    <s v="2010-11-01"/>
    <n v="0"/>
    <n v="652"/>
    <n v="-3.8630420000000001"/>
    <n v="1"/>
    <x v="5"/>
    <x v="3053"/>
    <n v="-0.47"/>
    <n v="0"/>
    <s v="popgård, 1. KL hus, røde hus"/>
    <m/>
    <n v="-194000.98373000001"/>
    <n v="0"/>
    <n v="80204"/>
  </r>
  <r>
    <x v="6"/>
    <m/>
    <s v="Hareskov Skole, POP 6-12"/>
    <n v="11000"/>
    <m/>
    <s v="POP-øst"/>
    <x v="110"/>
    <x v="0"/>
    <x v="2"/>
    <n v="31637"/>
    <n v="12"/>
    <s v="2010-12-02"/>
    <n v="0"/>
    <n v="652"/>
    <n v="48.515565000000002"/>
    <n v="1"/>
    <x v="1"/>
    <x v="3054"/>
    <n v="5852.84"/>
    <n v="0"/>
    <s v="Ny Pop øst"/>
    <m/>
    <n v="31637"/>
    <n v="0"/>
    <n v="79521"/>
  </r>
  <r>
    <x v="6"/>
    <m/>
    <s v="Hareskov Skole, POP 6-12"/>
    <n v="11000"/>
    <m/>
    <s v="POP-øst"/>
    <x v="110"/>
    <x v="0"/>
    <x v="3"/>
    <n v="37191"/>
    <n v="12"/>
    <s v="2010-12-02"/>
    <n v="0"/>
    <n v="652"/>
    <n v="57.032662999999999"/>
    <n v="1"/>
    <x v="1"/>
    <x v="3055"/>
    <n v="6880.34"/>
    <n v="0"/>
    <s v="Ny Pop øst"/>
    <m/>
    <n v="37191"/>
    <n v="0"/>
    <n v="79521"/>
  </r>
  <r>
    <x v="6"/>
    <m/>
    <s v="Hareskov Skole, POP 6-12"/>
    <n v="11000"/>
    <m/>
    <s v="POP-øst"/>
    <x v="110"/>
    <x v="0"/>
    <x v="3"/>
    <n v="-17818.52"/>
    <n v="12"/>
    <s v="2010-11-01"/>
    <n v="0"/>
    <n v="652"/>
    <n v="-27.324826999999999"/>
    <n v="1"/>
    <x v="5"/>
    <x v="3056"/>
    <n v="-3.29"/>
    <n v="0"/>
    <s v="popgård, 1. KL hus, røde hus"/>
    <m/>
    <n v="-17.818519999999999"/>
    <n v="0"/>
    <n v="80204"/>
  </r>
  <r>
    <x v="6"/>
    <m/>
    <s v="Hareskov Skole, POP 6-12"/>
    <n v="11000"/>
    <m/>
    <s v="POP-øst"/>
    <x v="110"/>
    <x v="0"/>
    <x v="4"/>
    <n v="47485.02"/>
    <n v="9"/>
    <s v="2010-12-02"/>
    <n v="0"/>
    <n v="652"/>
    <n v="72.818616000000006"/>
    <n v="1"/>
    <x v="1"/>
    <x v="3057"/>
    <n v="8784.7099999999991"/>
    <n v="0"/>
    <s v="Ny Pop øst"/>
    <m/>
    <n v="47485.000010000003"/>
    <n v="0"/>
    <n v="79521"/>
  </r>
  <r>
    <x v="6"/>
    <m/>
    <s v="Hareskov Skole, POP 6-12"/>
    <n v="11000"/>
    <m/>
    <s v="POP-øst"/>
    <x v="110"/>
    <x v="0"/>
    <x v="4"/>
    <n v="33353.589999999997"/>
    <n v="12"/>
    <s v="2010-11-01"/>
    <n v="0"/>
    <n v="652"/>
    <n v="51.147967999999999"/>
    <n v="1"/>
    <x v="5"/>
    <x v="3058"/>
    <n v="6.2"/>
    <n v="0"/>
    <s v="popgård, 1. KL hus, røde hus"/>
    <m/>
    <n v="33.353589999999997"/>
    <n v="0"/>
    <n v="80204"/>
  </r>
  <r>
    <x v="6"/>
    <m/>
    <s v="Hareskov Skole, POP 6-12"/>
    <n v="11000"/>
    <m/>
    <s v="POP-øst"/>
    <x v="110"/>
    <x v="0"/>
    <x v="5"/>
    <n v="67876.59"/>
    <n v="11"/>
    <s v="2010-11-01"/>
    <n v="0"/>
    <n v="652"/>
    <n v="104.089234"/>
    <n v="1"/>
    <x v="5"/>
    <x v="3059"/>
    <n v="12.54"/>
    <n v="0"/>
    <s v="popgård, 1. KL hus, røde hus"/>
    <m/>
    <n v="67.876589999999993"/>
    <n v="0"/>
    <n v="80204"/>
  </r>
  <r>
    <x v="6"/>
    <m/>
    <s v="Hareskov Skole, POP 6-12"/>
    <n v="11000"/>
    <m/>
    <s v="POP-øst"/>
    <x v="110"/>
    <x v="0"/>
    <x v="5"/>
    <n v="20657.650000000001"/>
    <n v="11"/>
    <s v="2010-12-02"/>
    <n v="0"/>
    <n v="652"/>
    <n v="31.678653000000001"/>
    <n v="1"/>
    <x v="1"/>
    <x v="3060"/>
    <n v="3821.67"/>
    <n v="0"/>
    <s v="Ny Pop øst"/>
    <m/>
    <n v="20657.64515"/>
    <n v="0"/>
    <n v="79521"/>
  </r>
  <r>
    <x v="6"/>
    <m/>
    <s v="Hareskov Skole, POP 6-12"/>
    <n v="11000"/>
    <m/>
    <s v="POP-øst"/>
    <x v="110"/>
    <x v="0"/>
    <x v="6"/>
    <n v="-116295.28"/>
    <n v="7"/>
    <s v="2010-11-01"/>
    <n v="0"/>
    <n v="652"/>
    <n v="-178.339641"/>
    <n v="1"/>
    <x v="5"/>
    <x v="3061"/>
    <n v="-21.49"/>
    <n v="0"/>
    <s v="popgård, 1. KL hus, røde hus"/>
    <m/>
    <n v="-116.29528000000001"/>
    <n v="0"/>
    <n v="80204"/>
  </r>
  <r>
    <x v="6"/>
    <m/>
    <s v="Hareskov Skole, POP 6-12"/>
    <n v="11000"/>
    <m/>
    <s v="POP-øst"/>
    <x v="110"/>
    <x v="0"/>
    <x v="6"/>
    <n v="34591.65"/>
    <n v="12"/>
    <s v="2010-12-02"/>
    <n v="0"/>
    <n v="652"/>
    <n v="53.046540999999998"/>
    <n v="1"/>
    <x v="1"/>
    <x v="3062"/>
    <n v="6399.46"/>
    <n v="0"/>
    <s v="Ny Pop øst"/>
    <m/>
    <n v="34591.645140000001"/>
    <n v="0"/>
    <n v="79521"/>
  </r>
  <r>
    <x v="6"/>
    <m/>
    <s v="Lille Værløse skole"/>
    <n v="14252"/>
    <s v="0"/>
    <s v="Bygning A"/>
    <x v="111"/>
    <x v="0"/>
    <x v="0"/>
    <n v="233150"/>
    <n v="5"/>
    <s v="2010-11-29"/>
    <n v="0"/>
    <n v="3700"/>
    <n v="40.328639000000003"/>
    <n v="1"/>
    <x v="5"/>
    <x v="3063"/>
    <n v="10859.07"/>
    <n v="0"/>
    <s v="Byg A 977804"/>
    <m/>
    <n v="149.22"/>
    <n v="0"/>
    <n v="79444"/>
  </r>
  <r>
    <x v="6"/>
    <m/>
    <s v="Lille Værløse skole"/>
    <n v="14252"/>
    <s v="0"/>
    <s v="Bygning A"/>
    <x v="111"/>
    <x v="0"/>
    <x v="1"/>
    <n v="262440"/>
    <n v="12"/>
    <s v="2010-11-29"/>
    <n v="0"/>
    <n v="3700"/>
    <n v="70.927812000000003"/>
    <n v="1"/>
    <x v="5"/>
    <x v="3064"/>
    <n v="17859.27"/>
    <n v="0"/>
    <s v="Byg A 977804"/>
    <m/>
    <n v="262.44"/>
    <n v="0"/>
    <n v="79444"/>
  </r>
  <r>
    <x v="6"/>
    <m/>
    <s v="Lille Værløse skole"/>
    <n v="14252"/>
    <s v="0"/>
    <s v="Bygning A"/>
    <x v="111"/>
    <x v="0"/>
    <x v="2"/>
    <n v="332700"/>
    <n v="12"/>
    <s v="2010-11-29"/>
    <n v="0"/>
    <n v="3700"/>
    <n v="89.916488000000001"/>
    <n v="1"/>
    <x v="5"/>
    <x v="3065"/>
    <n v="65187.92"/>
    <n v="0"/>
    <s v="Byg A 977804"/>
    <m/>
    <n v="332.7"/>
    <n v="0"/>
    <n v="79444"/>
  </r>
  <r>
    <x v="6"/>
    <m/>
    <s v="Lille Værløse skole"/>
    <n v="14252"/>
    <s v="0"/>
    <s v="Bygning A"/>
    <x v="111"/>
    <x v="0"/>
    <x v="3"/>
    <n v="373500"/>
    <n v="12"/>
    <s v="2010-11-29"/>
    <n v="0"/>
    <n v="3700"/>
    <n v="100.943217"/>
    <n v="1"/>
    <x v="5"/>
    <x v="3066"/>
    <n v="75064.05"/>
    <n v="0"/>
    <s v="Byg A 977804"/>
    <m/>
    <n v="373.5"/>
    <n v="0"/>
    <n v="79444"/>
  </r>
  <r>
    <x v="6"/>
    <m/>
    <s v="Lille Værløse skole"/>
    <n v="14252"/>
    <s v="0"/>
    <s v="Bygning A"/>
    <x v="111"/>
    <x v="0"/>
    <x v="4"/>
    <n v="483073.32"/>
    <n v="8"/>
    <s v="2010-11-29"/>
    <n v="0"/>
    <n v="3700"/>
    <n v="130.556828"/>
    <n v="1"/>
    <x v="5"/>
    <x v="3067"/>
    <n v="111485.58"/>
    <n v="0"/>
    <s v="Byg A 977804"/>
    <m/>
    <n v="483.07332000000002"/>
    <n v="0"/>
    <n v="79444"/>
  </r>
  <r>
    <x v="6"/>
    <m/>
    <s v="Lille Værløse skole"/>
    <n v="14252"/>
    <s v="0"/>
    <s v="Bygning A"/>
    <x v="111"/>
    <x v="0"/>
    <x v="5"/>
    <n v="388825.71"/>
    <n v="15"/>
    <s v="2010-11-29"/>
    <n v="0"/>
    <n v="3700"/>
    <n v="105.085189"/>
    <n v="1"/>
    <x v="5"/>
    <x v="3068"/>
    <n v="78650.5"/>
    <n v="0"/>
    <s v="Byg A 977804"/>
    <m/>
    <n v="388.82571000000002"/>
    <n v="0"/>
    <n v="79444"/>
  </r>
  <r>
    <x v="6"/>
    <m/>
    <s v="Lille Værløse skole"/>
    <n v="14252"/>
    <s v="0"/>
    <s v="Bygning A"/>
    <x v="111"/>
    <x v="0"/>
    <x v="6"/>
    <n v="320088.09000000003"/>
    <n v="14"/>
    <s v="2010-11-29"/>
    <n v="0"/>
    <n v="3700"/>
    <n v="86.507955999999993"/>
    <n v="1"/>
    <x v="5"/>
    <x v="3069"/>
    <n v="68263.55"/>
    <n v="0"/>
    <s v="Byg A 977804"/>
    <m/>
    <n v="320.08809000000002"/>
    <n v="0"/>
    <n v="79444"/>
  </r>
  <r>
    <x v="6"/>
    <m/>
    <s v="Lille Værløse skole"/>
    <n v="14253"/>
    <s v="0"/>
    <s v="Bygning B+C"/>
    <x v="111"/>
    <x v="0"/>
    <x v="0"/>
    <n v="418100"/>
    <n v="5"/>
    <m/>
    <n v="0"/>
    <n v="6105"/>
    <n v="40.195900999999999"/>
    <n v="1"/>
    <x v="5"/>
    <x v="3070"/>
    <n v="17684.75"/>
    <n v="0"/>
    <s v="Byg B+C 4507264"/>
    <m/>
    <n v="245.4"/>
    <n v="0"/>
    <n v="77355"/>
  </r>
  <r>
    <x v="6"/>
    <m/>
    <s v="Lille Værløse skole"/>
    <n v="14253"/>
    <s v="0"/>
    <s v="Bygning B+C"/>
    <x v="111"/>
    <x v="0"/>
    <x v="1"/>
    <n v="533000"/>
    <n v="12"/>
    <m/>
    <n v="0"/>
    <n v="6105"/>
    <n v="87.304057"/>
    <n v="1"/>
    <x v="5"/>
    <x v="3071"/>
    <n v="35549.129999999997"/>
    <n v="0"/>
    <s v="Byg B+C 4507264"/>
    <m/>
    <n v="533"/>
    <n v="0"/>
    <n v="77355"/>
  </r>
  <r>
    <x v="6"/>
    <m/>
    <s v="Lille Værløse skole"/>
    <n v="14253"/>
    <s v="0"/>
    <s v="Bygning B+C"/>
    <x v="111"/>
    <x v="0"/>
    <x v="2"/>
    <n v="598700"/>
    <n v="12"/>
    <m/>
    <n v="0"/>
    <n v="6105"/>
    <n v="98.065550999999999"/>
    <n v="1"/>
    <x v="5"/>
    <x v="3072"/>
    <n v="116628.13"/>
    <n v="0"/>
    <s v="Byg B+C 4507264"/>
    <m/>
    <n v="598.70000000000005"/>
    <n v="0"/>
    <n v="77355"/>
  </r>
  <r>
    <x v="6"/>
    <m/>
    <s v="Lille Værløse skole"/>
    <n v="14253"/>
    <s v="0"/>
    <s v="Bygning B+C"/>
    <x v="111"/>
    <x v="0"/>
    <x v="3"/>
    <n v="635200"/>
    <n v="12"/>
    <m/>
    <n v="0"/>
    <n v="6105"/>
    <n v="104.04415899999999"/>
    <n v="1"/>
    <x v="5"/>
    <x v="3073"/>
    <n v="126583.02"/>
    <n v="0"/>
    <s v="Byg B+C 4507264"/>
    <m/>
    <n v="635.20000000000005"/>
    <n v="0"/>
    <n v="77355"/>
  </r>
  <r>
    <x v="6"/>
    <m/>
    <s v="Lille Værløse skole"/>
    <n v="14253"/>
    <s v="0"/>
    <s v="Bygning B+C"/>
    <x v="111"/>
    <x v="0"/>
    <x v="4"/>
    <n v="755599.99"/>
    <n v="12"/>
    <m/>
    <n v="0"/>
    <n v="6105"/>
    <n v="123.76537399999999"/>
    <n v="1"/>
    <x v="5"/>
    <x v="3074"/>
    <n v="126525.09"/>
    <n v="0"/>
    <s v="Byg B+C 4507264"/>
    <m/>
    <n v="755.59999000000005"/>
    <n v="0"/>
    <n v="77355"/>
  </r>
  <r>
    <x v="6"/>
    <m/>
    <s v="Lille Værløse skole"/>
    <n v="14253"/>
    <s v="0"/>
    <s v="Bygning B+C"/>
    <x v="111"/>
    <x v="0"/>
    <x v="5"/>
    <n v="583600"/>
    <n v="12"/>
    <m/>
    <n v="0"/>
    <n v="6105"/>
    <n v="95.592208999999997"/>
    <n v="1"/>
    <x v="5"/>
    <x v="3075"/>
    <n v="113553.19"/>
    <n v="0"/>
    <s v="Byg B+C 4507264"/>
    <m/>
    <n v="583.6"/>
    <n v="0"/>
    <n v="77355"/>
  </r>
  <r>
    <x v="6"/>
    <m/>
    <s v="Lille Værløse skole"/>
    <n v="14253"/>
    <s v="0"/>
    <s v="Bygning B+C"/>
    <x v="111"/>
    <x v="0"/>
    <x v="6"/>
    <n v="244600"/>
    <n v="12"/>
    <m/>
    <n v="0"/>
    <n v="6105"/>
    <n v="40.064863000000003"/>
    <n v="1"/>
    <x v="5"/>
    <x v="3076"/>
    <n v="48205.63"/>
    <n v="0"/>
    <s v="Byg B+C 4507264"/>
    <m/>
    <n v="244.6"/>
    <n v="0"/>
    <n v="77355"/>
  </r>
  <r>
    <x v="6"/>
    <m/>
    <s v="Lille Værløse skole"/>
    <n v="14254"/>
    <s v="0"/>
    <s v="Bygning D"/>
    <x v="111"/>
    <x v="0"/>
    <x v="0"/>
    <n v="243700"/>
    <n v="5"/>
    <m/>
    <n v="0"/>
    <n v="2840"/>
    <n v="54.748072000000001"/>
    <n v="1"/>
    <x v="1"/>
    <x v="3077"/>
    <n v="11218.72"/>
    <n v="0"/>
    <s v="Byg D."/>
    <m/>
    <n v="155490"/>
    <n v="0"/>
    <n v="77356"/>
  </r>
  <r>
    <x v="6"/>
    <m/>
    <s v="Lille Værløse skole"/>
    <n v="14254"/>
    <s v="0"/>
    <s v="Bygning D"/>
    <x v="111"/>
    <x v="0"/>
    <x v="1"/>
    <n v="311260"/>
    <n v="12"/>
    <m/>
    <n v="0"/>
    <n v="2840"/>
    <n v="109.59473199999999"/>
    <n v="1"/>
    <x v="1"/>
    <x v="3078"/>
    <n v="20770.25"/>
    <n v="0"/>
    <s v="Byg D."/>
    <m/>
    <n v="311260"/>
    <n v="0"/>
    <n v="77356"/>
  </r>
  <r>
    <x v="6"/>
    <m/>
    <s v="Lille Værløse skole"/>
    <n v="14254"/>
    <s v="0"/>
    <s v="Bygning D"/>
    <x v="111"/>
    <x v="0"/>
    <x v="2"/>
    <n v="373540"/>
    <n v="12"/>
    <m/>
    <n v="0"/>
    <n v="2840"/>
    <n v="131.523537"/>
    <n v="1"/>
    <x v="1"/>
    <x v="3079"/>
    <n v="72846.3"/>
    <n v="0"/>
    <s v="Byg D."/>
    <m/>
    <n v="373540"/>
    <n v="0"/>
    <n v="77356"/>
  </r>
  <r>
    <x v="6"/>
    <m/>
    <s v="Lille Værløse skole"/>
    <n v="14254"/>
    <s v="0"/>
    <s v="Bygning D"/>
    <x v="111"/>
    <x v="0"/>
    <x v="3"/>
    <n v="346880"/>
    <n v="12"/>
    <m/>
    <n v="0"/>
    <n v="2840"/>
    <n v="122.136544"/>
    <n v="1"/>
    <x v="1"/>
    <x v="3080"/>
    <n v="70119.22"/>
    <n v="0"/>
    <s v="Byg D."/>
    <m/>
    <n v="346880"/>
    <n v="0"/>
    <n v="77356"/>
  </r>
  <r>
    <x v="6"/>
    <m/>
    <s v="Lille Værløse skole"/>
    <n v="14254"/>
    <s v="0"/>
    <s v="Bygning D"/>
    <x v="111"/>
    <x v="0"/>
    <x v="4"/>
    <n v="451560"/>
    <n v="12"/>
    <m/>
    <n v="0"/>
    <n v="2840"/>
    <n v="158.99440100000001"/>
    <n v="1"/>
    <x v="1"/>
    <x v="3081"/>
    <n v="76703.429999999993"/>
    <n v="0"/>
    <s v="Byg D."/>
    <m/>
    <n v="451560"/>
    <n v="0"/>
    <n v="77356"/>
  </r>
  <r>
    <x v="6"/>
    <m/>
    <s v="Lille Værløse skole"/>
    <n v="14254"/>
    <s v="0"/>
    <s v="Bygning D"/>
    <x v="111"/>
    <x v="0"/>
    <x v="5"/>
    <n v="333340"/>
    <n v="12"/>
    <m/>
    <n v="0"/>
    <n v="2840"/>
    <n v="117.369106"/>
    <n v="1"/>
    <x v="1"/>
    <x v="3082"/>
    <n v="64512.26"/>
    <n v="0"/>
    <s v="Byg D."/>
    <m/>
    <n v="333340"/>
    <n v="0"/>
    <n v="77356"/>
  </r>
  <r>
    <x v="6"/>
    <m/>
    <s v="Lille Værløse skole"/>
    <n v="14254"/>
    <s v="0"/>
    <s v="Bygning D"/>
    <x v="111"/>
    <x v="0"/>
    <x v="6"/>
    <n v="138380"/>
    <n v="12"/>
    <m/>
    <n v="0"/>
    <n v="2840"/>
    <n v="48.723635999999999"/>
    <n v="1"/>
    <x v="1"/>
    <x v="3083"/>
    <n v="27870.93"/>
    <n v="0"/>
    <s v="Byg D."/>
    <m/>
    <n v="138380"/>
    <n v="0"/>
    <n v="77356"/>
  </r>
  <r>
    <x v="6"/>
    <m/>
    <s v="Lillestjernen, LV 91-93"/>
    <n v="9518"/>
    <m/>
    <s v="Lillestjernen"/>
    <x v="86"/>
    <x v="0"/>
    <x v="0"/>
    <n v="183990"/>
    <n v="5"/>
    <m/>
    <n v="0"/>
    <n v="2128"/>
    <n v="47.487110000000001"/>
    <n v="1"/>
    <x v="4"/>
    <x v="3084"/>
    <n v="23985.65"/>
    <n v="0"/>
    <s v="1204726"/>
    <s v="98004940117"/>
    <n v="9357.16"/>
    <n v="0"/>
    <n v="74430"/>
  </r>
  <r>
    <x v="6"/>
    <m/>
    <s v="Lillestjernen, LV 91-93"/>
    <n v="9518"/>
    <m/>
    <s v="Lillestjernen"/>
    <x v="86"/>
    <x v="0"/>
    <x v="1"/>
    <n v="210828.96"/>
    <n v="12"/>
    <m/>
    <n v="0"/>
    <n v="2128"/>
    <n v="99.069102999999998"/>
    <n v="1"/>
    <x v="4"/>
    <x v="3085"/>
    <n v="46553.58"/>
    <n v="0"/>
    <s v="1204726"/>
    <s v="98004940117"/>
    <n v="19521.2"/>
    <n v="0"/>
    <n v="74430"/>
  </r>
  <r>
    <x v="6"/>
    <m/>
    <s v="Lillestjernen, LV 91-93"/>
    <n v="9518"/>
    <m/>
    <s v="Lillestjernen"/>
    <x v="86"/>
    <x v="0"/>
    <x v="2"/>
    <n v="199030.38"/>
    <n v="12"/>
    <m/>
    <n v="0"/>
    <n v="2128"/>
    <n v="93.524918"/>
    <n v="1"/>
    <x v="4"/>
    <x v="3086"/>
    <n v="43999.8"/>
    <n v="0"/>
    <s v="1204726"/>
    <s v="98004940117"/>
    <n v="18428.740000000002"/>
    <n v="0"/>
    <n v="74430"/>
  </r>
  <r>
    <x v="6"/>
    <m/>
    <s v="Lillestjernen, LV 91-93"/>
    <n v="9518"/>
    <m/>
    <s v="Lillestjernen"/>
    <x v="86"/>
    <x v="0"/>
    <x v="3"/>
    <n v="186639.35"/>
    <n v="12"/>
    <m/>
    <n v="0"/>
    <n v="2128"/>
    <n v="87.702340000000007"/>
    <n v="1"/>
    <x v="4"/>
    <x v="3087"/>
    <n v="43092.22"/>
    <n v="0"/>
    <s v="1204726"/>
    <s v="98004940117"/>
    <n v="17281.420020000001"/>
    <n v="0"/>
    <n v="74430"/>
  </r>
  <r>
    <x v="6"/>
    <m/>
    <s v="Lillestjernen, LV 91-93"/>
    <n v="9518"/>
    <m/>
    <s v="Lillestjernen"/>
    <x v="86"/>
    <x v="0"/>
    <x v="4"/>
    <n v="209524.09"/>
    <n v="12"/>
    <m/>
    <n v="0"/>
    <n v="2128"/>
    <n v="98.455940999999996"/>
    <n v="1"/>
    <x v="4"/>
    <x v="3088"/>
    <n v="40494.199999999997"/>
    <n v="0"/>
    <s v="1204726"/>
    <s v="98004940117"/>
    <n v="19400.38"/>
    <n v="0"/>
    <n v="74430"/>
  </r>
  <r>
    <x v="6"/>
    <m/>
    <s v="Lillestjernen, LV 91-93"/>
    <n v="9518"/>
    <m/>
    <s v="Lillestjernen"/>
    <x v="86"/>
    <x v="0"/>
    <x v="5"/>
    <n v="193870.35"/>
    <n v="12"/>
    <m/>
    <n v="0"/>
    <n v="2128"/>
    <n v="91.100206"/>
    <n v="1"/>
    <x v="4"/>
    <x v="3089"/>
    <n v="43676.93"/>
    <n v="0"/>
    <s v="1204726"/>
    <s v="98004940117"/>
    <n v="17950.96"/>
    <n v="0"/>
    <n v="74430"/>
  </r>
  <r>
    <x v="6"/>
    <m/>
    <s v="Lillestjernen, LV 91-93"/>
    <n v="9518"/>
    <m/>
    <s v="Lillestjernen"/>
    <x v="86"/>
    <x v="0"/>
    <x v="6"/>
    <n v="187620.09"/>
    <n v="12"/>
    <m/>
    <n v="0"/>
    <n v="2128"/>
    <n v="88.163191999999995"/>
    <n v="1"/>
    <x v="4"/>
    <x v="3090"/>
    <n v="45070.47"/>
    <n v="0"/>
    <s v="1204726"/>
    <s v="98004940117"/>
    <n v="17372.23"/>
    <n v="0"/>
    <n v="74430"/>
  </r>
  <r>
    <x v="6"/>
    <m/>
    <s v="Lillestjernen, LV 91-93"/>
    <n v="9519"/>
    <m/>
    <s v="Lillestjernen miniklub"/>
    <x v="86"/>
    <x v="0"/>
    <x v="0"/>
    <n v="68607"/>
    <n v="5"/>
    <m/>
    <n v="0"/>
    <n v="353"/>
    <n v="107.848286"/>
    <n v="1"/>
    <x v="4"/>
    <x v="3091"/>
    <n v="9079.8700000000008"/>
    <n v="0"/>
    <m/>
    <s v="98004940124"/>
    <n v="3526.04"/>
    <n v="0"/>
    <n v="74433"/>
  </r>
  <r>
    <x v="6"/>
    <m/>
    <s v="Lillestjernen, LV 91-93"/>
    <n v="9519"/>
    <m/>
    <s v="Lillestjernen miniklub"/>
    <x v="86"/>
    <x v="0"/>
    <x v="1"/>
    <n v="81793.039999999994"/>
    <n v="12"/>
    <m/>
    <n v="0"/>
    <n v="353"/>
    <n v="231.642707"/>
    <n v="1"/>
    <x v="4"/>
    <x v="3092"/>
    <n v="18077.22"/>
    <n v="0"/>
    <m/>
    <s v="98004940124"/>
    <n v="7573.43"/>
    <n v="0"/>
    <n v="74433"/>
  </r>
  <r>
    <x v="6"/>
    <m/>
    <s v="Lillestjernen, LV 91-93"/>
    <n v="9519"/>
    <m/>
    <s v="Lillestjernen miniklub"/>
    <x v="86"/>
    <x v="0"/>
    <x v="2"/>
    <n v="83111.199999999997"/>
    <n v="12"/>
    <m/>
    <n v="0"/>
    <n v="353"/>
    <n v="235.37581399999999"/>
    <n v="1"/>
    <x v="4"/>
    <x v="3093"/>
    <n v="18438.86"/>
    <n v="0"/>
    <m/>
    <s v="98004940124"/>
    <n v="7695.48"/>
    <n v="0"/>
    <n v="74433"/>
  </r>
  <r>
    <x v="6"/>
    <m/>
    <s v="Lillestjernen, LV 91-93"/>
    <n v="9519"/>
    <m/>
    <s v="Lillestjernen miniklub"/>
    <x v="86"/>
    <x v="0"/>
    <x v="3"/>
    <n v="76959.289999999994"/>
    <n v="12"/>
    <m/>
    <n v="0"/>
    <n v="353"/>
    <n v="217.95324199999999"/>
    <n v="1"/>
    <x v="4"/>
    <x v="3094"/>
    <n v="17685.77"/>
    <n v="0"/>
    <m/>
    <s v="98004940124"/>
    <n v="7125.86"/>
    <n v="0"/>
    <n v="74433"/>
  </r>
  <r>
    <x v="6"/>
    <m/>
    <s v="Lillestjernen, LV 91-93"/>
    <n v="9519"/>
    <m/>
    <s v="Lillestjernen miniklub"/>
    <x v="86"/>
    <x v="0"/>
    <x v="4"/>
    <n v="97736.22"/>
    <n v="12"/>
    <m/>
    <n v="0"/>
    <n v="353"/>
    <n v="276.79473200000001"/>
    <n v="1"/>
    <x v="4"/>
    <x v="3095"/>
    <n v="18799.2"/>
    <n v="0"/>
    <m/>
    <s v="98004940124"/>
    <n v="9049.65"/>
    <n v="0"/>
    <n v="74433"/>
  </r>
  <r>
    <x v="6"/>
    <m/>
    <s v="Lillestjernen, LV 91-93"/>
    <n v="9519"/>
    <m/>
    <s v="Lillestjernen miniklub"/>
    <x v="86"/>
    <x v="0"/>
    <x v="5"/>
    <n v="83365.41"/>
    <n v="12"/>
    <m/>
    <n v="0"/>
    <n v="353"/>
    <n v="236.09575100000001"/>
    <n v="1"/>
    <x v="4"/>
    <x v="3096"/>
    <n v="18760.71"/>
    <n v="0"/>
    <m/>
    <s v="98004940124"/>
    <n v="7719.02"/>
    <n v="0"/>
    <n v="74433"/>
  </r>
  <r>
    <x v="6"/>
    <m/>
    <s v="Lillestjernen, LV 91-93"/>
    <n v="9519"/>
    <m/>
    <s v="Lillestjernen miniklub"/>
    <x v="86"/>
    <x v="0"/>
    <x v="6"/>
    <n v="79167.14"/>
    <n v="12"/>
    <m/>
    <n v="0"/>
    <n v="353"/>
    <n v="224.20600300000001"/>
    <n v="1"/>
    <x v="4"/>
    <x v="3097"/>
    <n v="19555.43"/>
    <n v="0"/>
    <m/>
    <s v="98004940124"/>
    <n v="7330.2902000000004"/>
    <n v="0"/>
    <n v="74433"/>
  </r>
  <r>
    <x v="6"/>
    <s v="5756"/>
    <s v="Lyngholmskolen, Hvile 1"/>
    <n v="5481"/>
    <m/>
    <s v="Lyngholmskolen Diamanten"/>
    <x v="112"/>
    <x v="0"/>
    <x v="0"/>
    <n v="80390"/>
    <n v="5"/>
    <s v="2005-10-04"/>
    <n v="0"/>
    <n v="1273"/>
    <n v="34.969757999999999"/>
    <n v="1"/>
    <x v="1"/>
    <x v="3098"/>
    <n v="9446590.25"/>
    <n v="0"/>
    <s v="4106727"/>
    <m/>
    <n v="44520"/>
    <n v="0"/>
    <n v="57945"/>
  </r>
  <r>
    <x v="6"/>
    <s v="5756"/>
    <s v="Lyngholmskolen, Hvile 1"/>
    <n v="5481"/>
    <m/>
    <s v="Lyngholmskolen Diamanten"/>
    <x v="112"/>
    <x v="1"/>
    <x v="0"/>
    <n v="99338.81"/>
    <n v="5"/>
    <s v="2010-01-15"/>
    <n v="0"/>
    <n v="1273"/>
    <n v="78.029070000000004"/>
    <n v="1"/>
    <x v="3"/>
    <x v="3099"/>
    <n v="576114.5"/>
    <n v="1"/>
    <s v="4106727"/>
    <m/>
    <n v="2847.2"/>
    <n v="0"/>
    <n v="58125"/>
  </r>
  <r>
    <x v="6"/>
    <s v="5756"/>
    <s v="Lyngholmskolen, Hvile 1"/>
    <n v="5481"/>
    <m/>
    <s v="Lyngholmskolen Diamanten"/>
    <x v="112"/>
    <x v="0"/>
    <x v="1"/>
    <n v="84330"/>
    <n v="12"/>
    <s v="2005-10-04"/>
    <n v="0"/>
    <n v="1273"/>
    <n v="66.239885999999998"/>
    <n v="1"/>
    <x v="1"/>
    <x v="3100"/>
    <n v="16175.5"/>
    <n v="0"/>
    <s v="4106727"/>
    <m/>
    <n v="84330"/>
    <n v="0"/>
    <n v="57945"/>
  </r>
  <r>
    <x v="6"/>
    <s v="5756"/>
    <s v="Lyngholmskolen, Hvile 1"/>
    <n v="5481"/>
    <m/>
    <s v="Lyngholmskolen Diamanten"/>
    <x v="112"/>
    <x v="1"/>
    <x v="1"/>
    <n v="85400.25"/>
    <n v="12"/>
    <s v="2010-01-15"/>
    <n v="0"/>
    <n v="1273"/>
    <n v="67.080551"/>
    <n v="1"/>
    <x v="3"/>
    <x v="3101"/>
    <n v="516.03"/>
    <n v="1"/>
    <s v="4106727"/>
    <m/>
    <n v="2447.6999999999998"/>
    <n v="0"/>
    <n v="58125"/>
  </r>
  <r>
    <x v="6"/>
    <s v="5756"/>
    <s v="Lyngholmskolen, Hvile 1"/>
    <n v="5481"/>
    <m/>
    <s v="Lyngholmskolen Diamanten"/>
    <x v="112"/>
    <x v="0"/>
    <x v="2"/>
    <n v="100090"/>
    <n v="12"/>
    <s v="2005-10-04"/>
    <n v="0"/>
    <n v="1273"/>
    <n v="78.619118"/>
    <n v="1"/>
    <x v="1"/>
    <x v="3102"/>
    <n v="19656.07"/>
    <n v="0"/>
    <s v="4106727"/>
    <m/>
    <n v="100090"/>
    <n v="0"/>
    <n v="57945"/>
  </r>
  <r>
    <x v="6"/>
    <s v="5756"/>
    <s v="Lyngholmskolen, Hvile 1"/>
    <n v="5481"/>
    <m/>
    <s v="Lyngholmskolen Diamanten"/>
    <x v="112"/>
    <x v="1"/>
    <x v="2"/>
    <n v="85543.3"/>
    <n v="12"/>
    <s v="2010-01-15"/>
    <n v="0"/>
    <n v="1273"/>
    <n v="67.192914000000002"/>
    <n v="1"/>
    <x v="3"/>
    <x v="3103"/>
    <n v="484.91"/>
    <n v="1"/>
    <s v="4106727"/>
    <m/>
    <n v="2451.8000000000002"/>
    <n v="0"/>
    <n v="58125"/>
  </r>
  <r>
    <x v="6"/>
    <s v="5756"/>
    <s v="Lyngholmskolen, Hvile 1"/>
    <n v="5481"/>
    <m/>
    <s v="Lyngholmskolen Diamanten"/>
    <x v="112"/>
    <x v="0"/>
    <x v="3"/>
    <n v="115133.75999999999"/>
    <n v="12"/>
    <s v="2005-10-04"/>
    <n v="0"/>
    <n v="1273"/>
    <n v="90.435755"/>
    <n v="1"/>
    <x v="1"/>
    <x v="3104"/>
    <n v="25330.06"/>
    <n v="0"/>
    <s v="4106727"/>
    <m/>
    <n v="115133.773"/>
    <n v="0"/>
    <n v="57945"/>
  </r>
  <r>
    <x v="6"/>
    <s v="5756"/>
    <s v="Lyngholmskolen, Hvile 1"/>
    <n v="5481"/>
    <m/>
    <s v="Lyngholmskolen Diamanten"/>
    <x v="112"/>
    <x v="1"/>
    <x v="3"/>
    <n v="20326.919999999998"/>
    <n v="12"/>
    <s v="2010-01-15"/>
    <n v="0"/>
    <n v="1273"/>
    <n v="15.966475000000001"/>
    <n v="1"/>
    <x v="3"/>
    <x v="3105"/>
    <n v="128.24"/>
    <n v="1"/>
    <s v="4106727"/>
    <m/>
    <n v="582.6"/>
    <n v="0"/>
    <n v="58125"/>
  </r>
  <r>
    <x v="6"/>
    <s v="5756"/>
    <s v="Lyngholmskolen, Hvile 1"/>
    <n v="5481"/>
    <m/>
    <s v="Lyngholmskolen Diamanten"/>
    <x v="112"/>
    <x v="0"/>
    <x v="4"/>
    <n v="110531.22"/>
    <n v="12"/>
    <s v="2005-10-04"/>
    <n v="0"/>
    <n v="1273"/>
    <n v="86.820532"/>
    <n v="1"/>
    <x v="1"/>
    <x v="3106"/>
    <n v="27606.82"/>
    <n v="0"/>
    <s v="4106727"/>
    <m/>
    <n v="110531.242"/>
    <n v="0"/>
    <n v="57945"/>
  </r>
  <r>
    <x v="6"/>
    <s v="5756"/>
    <s v="Lyngholmskolen, Hvile 1"/>
    <n v="5481"/>
    <m/>
    <s v="Lyngholmskolen Diamanten"/>
    <x v="112"/>
    <x v="1"/>
    <x v="4"/>
    <n v="4278.05"/>
    <n v="13"/>
    <s v="2010-01-15"/>
    <n v="0"/>
    <n v="1273"/>
    <n v="3.3603399999999999"/>
    <n v="1"/>
    <x v="3"/>
    <x v="3107"/>
    <n v="19.57"/>
    <n v="1"/>
    <s v="4106727"/>
    <m/>
    <n v="122.61547"/>
    <n v="0"/>
    <n v="58125"/>
  </r>
  <r>
    <x v="6"/>
    <s v="5756"/>
    <s v="Lyngholmskolen, Hvile 1"/>
    <n v="5481"/>
    <m/>
    <s v="Lyngholmskolen Diamanten"/>
    <x v="112"/>
    <x v="0"/>
    <x v="5"/>
    <n v="104244.99"/>
    <n v="12"/>
    <s v="2005-10-04"/>
    <n v="0"/>
    <n v="1273"/>
    <n v="81.882796999999997"/>
    <n v="1"/>
    <x v="1"/>
    <x v="3108"/>
    <n v="21568.69"/>
    <n v="0"/>
    <s v="4106727"/>
    <m/>
    <n v="104244.993"/>
    <n v="0"/>
    <n v="57945"/>
  </r>
  <r>
    <x v="6"/>
    <s v="5756"/>
    <s v="Lyngholmskolen, Hvile 1"/>
    <n v="5481"/>
    <m/>
    <s v="Lyngholmskolen Diamanten"/>
    <x v="112"/>
    <x v="1"/>
    <x v="5"/>
    <n v="175952.37"/>
    <n v="12"/>
    <s v="2010-01-15"/>
    <n v="0"/>
    <n v="1273"/>
    <n v="138.20781500000001"/>
    <n v="1"/>
    <x v="3"/>
    <x v="3109"/>
    <n v="1336.32"/>
    <n v="1"/>
    <s v="4106727"/>
    <m/>
    <n v="5043.0605400000004"/>
    <n v="0"/>
    <n v="58125"/>
  </r>
  <r>
    <x v="6"/>
    <s v="5756"/>
    <s v="Lyngholmskolen, Hvile 1"/>
    <n v="5481"/>
    <m/>
    <s v="Lyngholmskolen Diamanten"/>
    <x v="112"/>
    <x v="0"/>
    <x v="6"/>
    <n v="101440"/>
    <n v="12"/>
    <s v="2005-10-04"/>
    <n v="0"/>
    <n v="1273"/>
    <n v="79.679522000000006"/>
    <n v="1"/>
    <x v="1"/>
    <x v="3110"/>
    <n v="21661.43"/>
    <n v="0"/>
    <s v="4106727"/>
    <m/>
    <n v="101440"/>
    <n v="0"/>
    <n v="57945"/>
  </r>
  <r>
    <x v="6"/>
    <s v="5756"/>
    <s v="Lyngholmskolen, Hvile 1"/>
    <n v="5481"/>
    <m/>
    <s v="Lyngholmskolen Diamanten"/>
    <x v="112"/>
    <x v="1"/>
    <x v="6"/>
    <n v="204920.07"/>
    <n v="12"/>
    <s v="2010-01-15"/>
    <n v="0"/>
    <n v="1273"/>
    <n v="160.96148700000001"/>
    <n v="1"/>
    <x v="3"/>
    <x v="3111"/>
    <n v="1352.16"/>
    <n v="1"/>
    <s v="4106727"/>
    <m/>
    <n v="5873.3187799999996"/>
    <n v="0"/>
    <n v="58125"/>
  </r>
  <r>
    <x v="6"/>
    <s v="5756"/>
    <s v="Lyngholmskolen, Hvile 1"/>
    <n v="5479"/>
    <m/>
    <s v="Lyngholmskolenskolen"/>
    <x v="112"/>
    <x v="0"/>
    <x v="0"/>
    <n v="394218"/>
    <n v="5"/>
    <s v="2005-10-03"/>
    <n v="0"/>
    <n v="6089"/>
    <n v="36.071012000000003"/>
    <n v="1"/>
    <x v="1"/>
    <x v="3112"/>
    <n v="48136648.5"/>
    <n v="0"/>
    <s v="4860464"/>
    <m/>
    <n v="296882.68"/>
    <n v="0"/>
    <n v="57932"/>
  </r>
  <r>
    <x v="6"/>
    <s v="5756"/>
    <s v="Lyngholmskolen, Hvile 1"/>
    <n v="5479"/>
    <m/>
    <s v="Lyngholmskolenskolen"/>
    <x v="112"/>
    <x v="1"/>
    <x v="0"/>
    <n v="202051.49"/>
    <n v="5"/>
    <s v="2005-10-03"/>
    <n v="0"/>
    <n v="6089"/>
    <n v="33.182487999999999"/>
    <n v="1"/>
    <x v="3"/>
    <x v="3113"/>
    <n v="1214576.75"/>
    <n v="1"/>
    <s v="4860464"/>
    <m/>
    <n v="5791.1"/>
    <n v="0"/>
    <n v="57937"/>
  </r>
  <r>
    <x v="6"/>
    <s v="5756"/>
    <s v="Lyngholmskolen, Hvile 1"/>
    <n v="5479"/>
    <m/>
    <s v="Lyngholmskolenskolen"/>
    <x v="112"/>
    <x v="0"/>
    <x v="1"/>
    <n v="504673.34"/>
    <n v="12"/>
    <s v="2005-10-03"/>
    <n v="0"/>
    <n v="6089"/>
    <n v="82.881433999999999"/>
    <n v="1"/>
    <x v="1"/>
    <x v="3114"/>
    <n v="100927.31"/>
    <n v="0"/>
    <s v="4860464"/>
    <m/>
    <n v="703840.63333999994"/>
    <n v="0"/>
    <n v="57932"/>
  </r>
  <r>
    <x v="6"/>
    <s v="5756"/>
    <s v="Lyngholmskolen, Hvile 1"/>
    <n v="5479"/>
    <m/>
    <s v="Lyngholmskolenskolen"/>
    <x v="112"/>
    <x v="1"/>
    <x v="1"/>
    <n v="547493.86"/>
    <n v="12"/>
    <s v="2005-10-03"/>
    <n v="0"/>
    <n v="6089"/>
    <n v="89.913757000000004"/>
    <n v="1"/>
    <x v="3"/>
    <x v="3115"/>
    <n v="3080.55"/>
    <n v="1"/>
    <s v="4860464"/>
    <m/>
    <n v="15691.9997"/>
    <n v="0"/>
    <n v="57937"/>
  </r>
  <r>
    <x v="6"/>
    <s v="5756"/>
    <s v="Lyngholmskolen, Hvile 1"/>
    <n v="5479"/>
    <m/>
    <s v="Lyngholmskolenskolen"/>
    <x v="112"/>
    <x v="1"/>
    <x v="2"/>
    <n v="677117.22"/>
    <n v="12"/>
    <s v="2005-10-03"/>
    <n v="0"/>
    <n v="6089"/>
    <n v="111.201527"/>
    <n v="1"/>
    <x v="3"/>
    <x v="3116"/>
    <n v="3854.51"/>
    <n v="1"/>
    <s v="4860464"/>
    <m/>
    <n v="19407.2"/>
    <n v="0"/>
    <n v="57937"/>
  </r>
  <r>
    <x v="6"/>
    <s v="5756"/>
    <s v="Lyngholmskolen, Hvile 1"/>
    <n v="5479"/>
    <m/>
    <s v="Lyngholmskolenskolen"/>
    <x v="112"/>
    <x v="0"/>
    <x v="2"/>
    <n v="517674.38"/>
    <n v="12"/>
    <s v="2005-10-03"/>
    <n v="0"/>
    <n v="6089"/>
    <n v="85.016566999999995"/>
    <n v="1"/>
    <x v="1"/>
    <x v="3117"/>
    <n v="103968.98"/>
    <n v="0"/>
    <s v="4860464"/>
    <m/>
    <n v="692315.18437999999"/>
    <n v="0"/>
    <n v="57932"/>
  </r>
  <r>
    <x v="6"/>
    <s v="5756"/>
    <s v="Lyngholmskolen, Hvile 1"/>
    <n v="5479"/>
    <m/>
    <s v="Lyngholmskolenskolen"/>
    <x v="112"/>
    <x v="1"/>
    <x v="3"/>
    <n v="708601.95"/>
    <n v="12"/>
    <s v="2005-10-03"/>
    <n v="0"/>
    <n v="6089"/>
    <n v="116.372197"/>
    <n v="1"/>
    <x v="3"/>
    <x v="3118"/>
    <n v="4153.5200000000004"/>
    <n v="1"/>
    <s v="4860464"/>
    <m/>
    <n v="20309.599999999999"/>
    <n v="0"/>
    <n v="57937"/>
  </r>
  <r>
    <x v="6"/>
    <s v="5756"/>
    <s v="Lyngholmskolen, Hvile 1"/>
    <n v="5479"/>
    <m/>
    <s v="Lyngholmskolenskolen"/>
    <x v="112"/>
    <x v="0"/>
    <x v="3"/>
    <n v="562862.32999999996"/>
    <n v="12"/>
    <s v="2005-10-03"/>
    <n v="0"/>
    <n v="6089"/>
    <n v="92.437687999999994"/>
    <n v="1"/>
    <x v="1"/>
    <x v="3119"/>
    <n v="118078.36"/>
    <n v="0"/>
    <s v="4860464"/>
    <m/>
    <n v="715267.44232999999"/>
    <n v="0"/>
    <n v="57932"/>
  </r>
  <r>
    <x v="6"/>
    <s v="5756"/>
    <s v="Lyngholmskolen, Hvile 1"/>
    <n v="5479"/>
    <m/>
    <s v="Lyngholmskolenskolen"/>
    <x v="112"/>
    <x v="0"/>
    <x v="4"/>
    <n v="614847.49"/>
    <n v="12"/>
    <s v="2005-10-03"/>
    <n v="0"/>
    <n v="6089"/>
    <n v="100.975101"/>
    <n v="1"/>
    <x v="1"/>
    <x v="3120"/>
    <n v="99428.13"/>
    <n v="0"/>
    <s v="4860464"/>
    <m/>
    <n v="812971.67749000003"/>
    <n v="0"/>
    <n v="57932"/>
  </r>
  <r>
    <x v="6"/>
    <s v="5756"/>
    <s v="Lyngholmskolen, Hvile 1"/>
    <n v="5479"/>
    <m/>
    <s v="Lyngholmskolenskolen"/>
    <x v="112"/>
    <x v="1"/>
    <x v="4"/>
    <n v="792247.24"/>
    <n v="12"/>
    <s v="2005-10-03"/>
    <n v="0"/>
    <n v="6089"/>
    <n v="130.10908599999999"/>
    <n v="1"/>
    <x v="3"/>
    <x v="3121"/>
    <n v="3781.95"/>
    <n v="1"/>
    <s v="4860464"/>
    <m/>
    <n v="22707"/>
    <n v="0"/>
    <n v="57937"/>
  </r>
  <r>
    <x v="6"/>
    <s v="5756"/>
    <s v="Lyngholmskolen, Hvile 1"/>
    <n v="5479"/>
    <m/>
    <s v="Lyngholmskolenskolen"/>
    <x v="112"/>
    <x v="0"/>
    <x v="5"/>
    <n v="575298.87"/>
    <n v="12"/>
    <s v="2005-10-03"/>
    <n v="0"/>
    <n v="6089"/>
    <n v="94.480114999999998"/>
    <n v="1"/>
    <x v="1"/>
    <x v="3122"/>
    <n v="114853.16"/>
    <n v="0"/>
    <s v="4860464"/>
    <m/>
    <n v="642672.55886999995"/>
    <n v="0"/>
    <n v="57932"/>
  </r>
  <r>
    <x v="6"/>
    <s v="5756"/>
    <s v="Lyngholmskolen, Hvile 1"/>
    <n v="5479"/>
    <m/>
    <s v="Lyngholmskolenskolen"/>
    <x v="112"/>
    <x v="1"/>
    <x v="5"/>
    <n v="582481.55000000005"/>
    <n v="12"/>
    <s v="2005-10-03"/>
    <n v="0"/>
    <n v="6089"/>
    <n v="95.659711000000001"/>
    <n v="1"/>
    <x v="3"/>
    <x v="3123"/>
    <n v="3359.59"/>
    <n v="1"/>
    <s v="4860464"/>
    <m/>
    <n v="16694.8"/>
    <n v="0"/>
    <n v="57937"/>
  </r>
  <r>
    <x v="6"/>
    <s v="5756"/>
    <s v="Lyngholmskolen, Hvile 1"/>
    <n v="5479"/>
    <m/>
    <s v="Lyngholmskolenskolen"/>
    <x v="112"/>
    <x v="1"/>
    <x v="6"/>
    <n v="486720.74"/>
    <n v="12"/>
    <s v="2005-10-03"/>
    <n v="0"/>
    <n v="6089"/>
    <n v="79.933115999999998"/>
    <n v="1"/>
    <x v="3"/>
    <x v="3124"/>
    <n v="2984.73"/>
    <n v="1"/>
    <s v="4860464"/>
    <m/>
    <n v="13950.15"/>
    <n v="0"/>
    <n v="57937"/>
  </r>
  <r>
    <x v="6"/>
    <s v="5756"/>
    <s v="Lyngholmskolen, Hvile 1"/>
    <n v="5479"/>
    <m/>
    <s v="Lyngholmskolenskolen"/>
    <x v="112"/>
    <x v="0"/>
    <x v="6"/>
    <n v="569610"/>
    <n v="12"/>
    <s v="2005-10-03"/>
    <n v="0"/>
    <n v="6089"/>
    <n v="93.545844000000002"/>
    <n v="1"/>
    <x v="1"/>
    <x v="3125"/>
    <n v="121118.54"/>
    <n v="0"/>
    <s v="4860464"/>
    <m/>
    <n v="569610"/>
    <n v="0"/>
    <n v="57932"/>
  </r>
  <r>
    <x v="6"/>
    <m/>
    <s v="Solhøjskolen KV52"/>
    <n v="10161"/>
    <m/>
    <s v="Solhøjskolen"/>
    <x v="113"/>
    <x v="0"/>
    <x v="0"/>
    <n v="23014"/>
    <n v="5"/>
    <s v="2012-08-13"/>
    <n v="0"/>
    <n v="265"/>
    <n v="53.568463999999999"/>
    <n v="1"/>
    <x v="1"/>
    <x v="3126"/>
    <n v="1015.25"/>
    <n v="0"/>
    <s v="7260019"/>
    <m/>
    <n v="14201"/>
    <n v="0"/>
    <n v="77152"/>
  </r>
  <r>
    <x v="6"/>
    <m/>
    <s v="Solhøjskolen KV52"/>
    <n v="10161"/>
    <m/>
    <s v="Solhøjskolen"/>
    <x v="113"/>
    <x v="0"/>
    <x v="1"/>
    <n v="24789"/>
    <n v="12"/>
    <s v="2012-08-13"/>
    <n v="0"/>
    <n v="265"/>
    <n v="93.508110000000002"/>
    <n v="1"/>
    <x v="1"/>
    <x v="3127"/>
    <n v="1648.78"/>
    <n v="0"/>
    <s v="7260019"/>
    <m/>
    <n v="24789"/>
    <n v="0"/>
    <n v="77152"/>
  </r>
  <r>
    <x v="6"/>
    <m/>
    <s v="Solhøjskolen KV52"/>
    <n v="10161"/>
    <m/>
    <s v="Solhøjskolen"/>
    <x v="113"/>
    <x v="0"/>
    <x v="2"/>
    <n v="27464.51"/>
    <n v="7"/>
    <s v="2012-08-13"/>
    <n v="0"/>
    <n v="265"/>
    <n v="103.600565"/>
    <n v="1"/>
    <x v="1"/>
    <x v="3128"/>
    <n v="5232.24"/>
    <n v="0"/>
    <s v="7260019"/>
    <m/>
    <n v="27464.50001"/>
    <n v="0"/>
    <n v="77152"/>
  </r>
  <r>
    <x v="6"/>
    <m/>
    <s v="Solhøjskolen KV52"/>
    <n v="10161"/>
    <m/>
    <s v="Solhøjskolen"/>
    <x v="113"/>
    <x v="0"/>
    <x v="3"/>
    <n v="25886.91"/>
    <n v="4"/>
    <s v="2012-08-13"/>
    <n v="0"/>
    <n v="265"/>
    <n v="97.649602999999999"/>
    <n v="1"/>
    <x v="1"/>
    <x v="3129"/>
    <n v="5457.6"/>
    <n v="0"/>
    <s v="7260019"/>
    <m/>
    <n v="25886.899990000002"/>
    <n v="0"/>
    <n v="77152"/>
  </r>
  <r>
    <x v="6"/>
    <m/>
    <s v="Solhøjskolen KV52"/>
    <n v="10161"/>
    <m/>
    <s v="Solhøjskolen"/>
    <x v="113"/>
    <x v="0"/>
    <x v="4"/>
    <n v="25054.799999999999"/>
    <n v="7"/>
    <s v="2012-08-13"/>
    <n v="0"/>
    <n v="265"/>
    <n v="94.510750000000002"/>
    <n v="1"/>
    <x v="1"/>
    <x v="3130"/>
    <n v="4287.1000000000004"/>
    <n v="0"/>
    <s v="7260019"/>
    <m/>
    <n v="25054.80226"/>
    <n v="0"/>
    <n v="77152"/>
  </r>
  <r>
    <x v="6"/>
    <m/>
    <s v="Solhøjskolen KV52"/>
    <n v="10161"/>
    <m/>
    <s v="Solhøjskolen"/>
    <x v="113"/>
    <x v="0"/>
    <x v="5"/>
    <n v="27719.79"/>
    <n v="4"/>
    <s v="2012-08-13"/>
    <n v="0"/>
    <n v="265"/>
    <n v="104.563523"/>
    <n v="1"/>
    <x v="1"/>
    <x v="3131"/>
    <n v="6753.15"/>
    <n v="0"/>
    <s v="7260019"/>
    <m/>
    <n v="27719.797760000001"/>
    <n v="0"/>
    <n v="77152"/>
  </r>
  <r>
    <x v="6"/>
    <m/>
    <s v="Solhøjskolen KV52"/>
    <n v="10161"/>
    <m/>
    <s v="Solhøjskolen"/>
    <x v="113"/>
    <x v="0"/>
    <x v="6"/>
    <n v="21255.67"/>
    <n v="6"/>
    <s v="2012-08-13"/>
    <n v="0"/>
    <n v="265"/>
    <n v="80.179817999999997"/>
    <n v="1"/>
    <x v="1"/>
    <x v="3132"/>
    <n v="4371.8500000000004"/>
    <n v="0"/>
    <s v="7260019"/>
    <m/>
    <n v="21255.670340000001"/>
    <n v="0"/>
    <n v="77152"/>
  </r>
  <r>
    <x v="6"/>
    <s v="02576-3"/>
    <s v="Solvangskolen Pedelbolig, Nord 60"/>
    <n v="6369"/>
    <m/>
    <s v="Solvangskolen Pedelbolig"/>
    <x v="52"/>
    <x v="0"/>
    <x v="0"/>
    <n v="14683"/>
    <n v="5"/>
    <s v="2013-05-07"/>
    <n v="0"/>
    <n v="110"/>
    <n v="73.378201000000004"/>
    <n v="1"/>
    <x v="4"/>
    <x v="3133"/>
    <n v="1935.51"/>
    <n v="0"/>
    <s v="1129273"/>
    <s v="98001998845"/>
    <n v="748.05"/>
    <n v="0"/>
    <n v="62719"/>
  </r>
  <r>
    <x v="6"/>
    <s v="02576-3"/>
    <s v="Solvangskolen Pedelbolig, Nord 60"/>
    <n v="6369"/>
    <m/>
    <s v="Solvangskolen Pedelbolig"/>
    <x v="52"/>
    <x v="0"/>
    <x v="1"/>
    <n v="26282.51"/>
    <n v="13"/>
    <s v="2013-05-07"/>
    <n v="0"/>
    <n v="110"/>
    <n v="238.71489500000001"/>
    <n v="1"/>
    <x v="4"/>
    <x v="3134"/>
    <n v="5689.99"/>
    <n v="0"/>
    <s v="1129273"/>
    <s v="98001998845"/>
    <n v="2433.5643799999998"/>
    <n v="0"/>
    <n v="62719"/>
  </r>
  <r>
    <x v="6"/>
    <s v="02576-3"/>
    <s v="Solvangskolen Pedelbolig, Nord 60"/>
    <n v="6369"/>
    <m/>
    <s v="Solvangskolen Pedelbolig"/>
    <x v="52"/>
    <x v="0"/>
    <x v="2"/>
    <n v="40326.46"/>
    <n v="12"/>
    <s v="2013-05-07"/>
    <n v="0"/>
    <n v="110"/>
    <n v="366.271207"/>
    <n v="1"/>
    <x v="4"/>
    <x v="3135"/>
    <n v="9251.86"/>
    <n v="0"/>
    <s v="1129273"/>
    <s v="98001998845"/>
    <n v="3733.9313099999999"/>
    <n v="0"/>
    <n v="62719"/>
  </r>
  <r>
    <x v="6"/>
    <s v="02576-3"/>
    <s v="Solvangskolen Pedelbolig, Nord 60"/>
    <n v="6369"/>
    <m/>
    <s v="Solvangskolen Pedelbolig"/>
    <x v="52"/>
    <x v="0"/>
    <x v="3"/>
    <n v="25591.34"/>
    <n v="5"/>
    <s v="2013-05-07"/>
    <n v="0"/>
    <n v="110"/>
    <n v="232.43723800000001"/>
    <n v="1"/>
    <x v="4"/>
    <x v="3136"/>
    <n v="6018.49"/>
    <n v="0"/>
    <s v="1129273"/>
    <s v="98001998845"/>
    <n v="2369.5686999999998"/>
    <n v="0"/>
    <n v="62719"/>
  </r>
  <r>
    <x v="6"/>
    <s v="02576-3"/>
    <s v="Solvangskolen Pedelbolig, Nord 60"/>
    <n v="6369"/>
    <m/>
    <s v="Solvangskolen Pedelbolig"/>
    <x v="52"/>
    <x v="0"/>
    <x v="4"/>
    <n v="29393.3"/>
    <n v="3"/>
    <s v="2013-05-07"/>
    <n v="0"/>
    <n v="110"/>
    <n v="266.96911799999998"/>
    <n v="1"/>
    <x v="4"/>
    <x v="3137"/>
    <n v="7709.2"/>
    <n v="0"/>
    <s v="1129273"/>
    <s v="98001998845"/>
    <n v="2721.6016100000002"/>
    <n v="0"/>
    <n v="62719"/>
  </r>
  <r>
    <x v="6"/>
    <s v="02576-3"/>
    <s v="Solvangskolen Pedelbolig, Nord 60"/>
    <n v="6369"/>
    <m/>
    <s v="Solvangskolen Pedelbolig"/>
    <x v="52"/>
    <x v="0"/>
    <x v="5"/>
    <n v="28566.71"/>
    <n v="3"/>
    <s v="2013-05-07"/>
    <n v="0"/>
    <n v="110"/>
    <n v="259.46148899999997"/>
    <n v="1"/>
    <x v="4"/>
    <x v="3138"/>
    <n v="8229.14"/>
    <n v="0"/>
    <s v="1129273"/>
    <s v="98001998845"/>
    <n v="2645.0653900000002"/>
    <n v="0"/>
    <n v="62719"/>
  </r>
  <r>
    <x v="6"/>
    <s v="02576-3"/>
    <s v="Solvangskolen Pedelbolig, Nord 60"/>
    <n v="6369"/>
    <m/>
    <s v="Solvangskolen Pedelbolig"/>
    <x v="52"/>
    <x v="0"/>
    <x v="6"/>
    <n v="27961.03"/>
    <n v="9"/>
    <s v="2013-05-07"/>
    <n v="0"/>
    <n v="110"/>
    <n v="253.960308"/>
    <n v="1"/>
    <x v="4"/>
    <x v="3139"/>
    <n v="6915.56"/>
    <n v="0"/>
    <s v="1129273"/>
    <s v="98001998845"/>
    <n v="2588.9836700000001"/>
    <n v="0"/>
    <n v="62719"/>
  </r>
  <r>
    <x v="6"/>
    <s v="02576-3"/>
    <s v="Solvangskolen, Nord 58"/>
    <n v="5474"/>
    <m/>
    <s v="Solvangskolen"/>
    <x v="52"/>
    <x v="0"/>
    <x v="0"/>
    <n v="1262380"/>
    <n v="5"/>
    <m/>
    <n v="0"/>
    <n v="10600"/>
    <n v="79.176497999999995"/>
    <n v="1"/>
    <x v="4"/>
    <x v="3140"/>
    <n v="201590.15"/>
    <n v="0"/>
    <s v="6101943"/>
    <s v="980001304444"/>
    <n v="77711"/>
    <n v="0"/>
    <n v="57912"/>
  </r>
  <r>
    <x v="6"/>
    <s v="02576-3"/>
    <s v="Solvangskolen, Nord 58"/>
    <n v="5474"/>
    <m/>
    <s v="Solvangskolen"/>
    <x v="52"/>
    <x v="0"/>
    <x v="1"/>
    <n v="1350972"/>
    <n v="12"/>
    <m/>
    <n v="0"/>
    <n v="10600"/>
    <n v="127.448986"/>
    <n v="1"/>
    <x v="4"/>
    <x v="3141"/>
    <n v="298911.68"/>
    <n v="0"/>
    <s v="6101943"/>
    <s v="980001304444"/>
    <n v="125090"/>
    <n v="0"/>
    <n v="57912"/>
  </r>
  <r>
    <x v="6"/>
    <s v="02576-3"/>
    <s v="Solvangskolen, Nord 58"/>
    <n v="5474"/>
    <m/>
    <s v="Solvangskolen"/>
    <x v="52"/>
    <x v="0"/>
    <x v="2"/>
    <n v="1500562.8"/>
    <n v="12"/>
    <m/>
    <n v="0"/>
    <n v="10600"/>
    <n v="141.56119200000001"/>
    <n v="1"/>
    <x v="4"/>
    <x v="3142"/>
    <n v="336781.59"/>
    <n v="0"/>
    <s v="6101943"/>
    <s v="980001304444"/>
    <n v="138941"/>
    <n v="0"/>
    <n v="57912"/>
  </r>
  <r>
    <x v="6"/>
    <s v="02576-3"/>
    <s v="Solvangskolen, Nord 58"/>
    <n v="5474"/>
    <m/>
    <s v="Solvangskolen"/>
    <x v="52"/>
    <x v="0"/>
    <x v="3"/>
    <n v="1499461.2"/>
    <n v="12"/>
    <m/>
    <n v="0"/>
    <n v="10600"/>
    <n v="141.457269"/>
    <n v="1"/>
    <x v="4"/>
    <x v="3143"/>
    <n v="351615.63"/>
    <n v="0"/>
    <s v="6101943"/>
    <s v="980001304444"/>
    <n v="138839"/>
    <n v="0"/>
    <n v="57912"/>
  </r>
  <r>
    <x v="6"/>
    <s v="02576-3"/>
    <s v="Solvangskolen, Nord 58"/>
    <n v="5474"/>
    <m/>
    <s v="Solvangskolen"/>
    <x v="52"/>
    <x v="0"/>
    <x v="4"/>
    <n v="1822316.4"/>
    <n v="12"/>
    <m/>
    <n v="0"/>
    <n v="10600"/>
    <n v="171.915019"/>
    <n v="1"/>
    <x v="4"/>
    <x v="3144"/>
    <n v="350130.43"/>
    <n v="0"/>
    <s v="6101943"/>
    <s v="980001304444"/>
    <n v="168733"/>
    <n v="0"/>
    <n v="57912"/>
  </r>
  <r>
    <x v="6"/>
    <s v="02576-3"/>
    <s v="Solvangskolen, Nord 58"/>
    <n v="5474"/>
    <m/>
    <s v="Solvangskolen"/>
    <x v="52"/>
    <x v="0"/>
    <x v="5"/>
    <n v="1702944"/>
    <n v="12"/>
    <m/>
    <n v="0"/>
    <n v="10600"/>
    <n v="160.65357800000001"/>
    <n v="1"/>
    <x v="4"/>
    <x v="3145"/>
    <n v="398633.53"/>
    <n v="0"/>
    <s v="6101943"/>
    <s v="980001304444"/>
    <n v="157680"/>
    <n v="0"/>
    <n v="57912"/>
  </r>
  <r>
    <x v="6"/>
    <s v="02576-3"/>
    <s v="Solvangskolen, Nord 58"/>
    <n v="5474"/>
    <m/>
    <s v="Solvangskolen"/>
    <x v="52"/>
    <x v="0"/>
    <x v="6"/>
    <n v="1725818.4"/>
    <n v="12"/>
    <m/>
    <n v="0"/>
    <n v="10600"/>
    <n v="162.81152"/>
    <n v="1"/>
    <x v="4"/>
    <x v="3146"/>
    <n v="431821.77"/>
    <n v="0"/>
    <s v="6101943"/>
    <s v="980001304444"/>
    <n v="159798"/>
    <n v="0"/>
    <n v="57912"/>
  </r>
  <r>
    <x v="6"/>
    <s v="03953-5"/>
    <s v="Stavnsholtskolen"/>
    <n v="5471"/>
    <m/>
    <s v="Stavnholtskolen"/>
    <x v="114"/>
    <x v="0"/>
    <x v="0"/>
    <n v="0"/>
    <n v="5"/>
    <s v="2005-06-01"/>
    <n v="0"/>
    <n v="8656"/>
    <n v="25.307008"/>
    <n v="1"/>
    <x v="1"/>
    <x v="1"/>
    <n v="46134756.100000001"/>
    <n v="0"/>
    <s v="4202552"/>
    <m/>
    <n v="219060"/>
    <n v="0"/>
    <n v="57891"/>
  </r>
  <r>
    <x v="6"/>
    <s v="03953-5"/>
    <s v="Stavnsholtskolen"/>
    <n v="5471"/>
    <m/>
    <s v="Stavnholtskolen"/>
    <x v="114"/>
    <x v="1"/>
    <x v="0"/>
    <n v="235594.73"/>
    <n v="5"/>
    <s v="2005-06-01"/>
    <n v="0"/>
    <n v="8656"/>
    <n v="27.217191"/>
    <n v="1"/>
    <x v="3"/>
    <x v="3147"/>
    <n v="1418082.64"/>
    <n v="1"/>
    <s v="4202552"/>
    <m/>
    <n v="6752.5"/>
    <n v="0"/>
    <n v="57897"/>
  </r>
  <r>
    <x v="6"/>
    <s v="03953-5"/>
    <s v="Stavnsholtskolen"/>
    <n v="5471"/>
    <m/>
    <s v="Stavnholtskolen"/>
    <x v="114"/>
    <x v="0"/>
    <x v="0"/>
    <n v="728030"/>
    <n v="5"/>
    <m/>
    <n v="0"/>
    <n v="8656"/>
    <n v="26.179226"/>
    <n v="1"/>
    <x v="1"/>
    <x v="3148"/>
    <n v="47995504.600000001"/>
    <n v="0"/>
    <s v="Ny ?"/>
    <m/>
    <n v="226610"/>
    <n v="0"/>
    <n v="90717"/>
  </r>
  <r>
    <x v="6"/>
    <s v="03953-5"/>
    <s v="Stavnsholtskolen"/>
    <n v="5471"/>
    <m/>
    <s v="Stavnholtskolen"/>
    <x v="114"/>
    <x v="0"/>
    <x v="1"/>
    <n v="425620"/>
    <n v="12"/>
    <s v="2005-06-01"/>
    <n v="0"/>
    <n v="8656"/>
    <n v="49.169949000000003"/>
    <n v="1"/>
    <x v="1"/>
    <x v="3149"/>
    <n v="82841.55"/>
    <n v="0"/>
    <s v="4202552"/>
    <m/>
    <n v="425620"/>
    <n v="0"/>
    <n v="57891"/>
  </r>
  <r>
    <x v="6"/>
    <s v="03953-5"/>
    <s v="Stavnsholtskolen"/>
    <n v="5471"/>
    <m/>
    <s v="Stavnholtskolen"/>
    <x v="114"/>
    <x v="0"/>
    <x v="1"/>
    <n v="379900"/>
    <n v="12"/>
    <m/>
    <n v="0"/>
    <n v="8656"/>
    <n v="43.888125000000002"/>
    <n v="1"/>
    <x v="1"/>
    <x v="3150"/>
    <n v="73597.990000000005"/>
    <n v="0"/>
    <s v="Ny ?"/>
    <m/>
    <n v="379900"/>
    <n v="0"/>
    <n v="90717"/>
  </r>
  <r>
    <x v="6"/>
    <s v="03953-5"/>
    <s v="Stavnsholtskolen"/>
    <n v="5471"/>
    <m/>
    <s v="Stavnholtskolen"/>
    <x v="114"/>
    <x v="1"/>
    <x v="1"/>
    <n v="476450.86"/>
    <n v="12"/>
    <s v="2005-06-01"/>
    <n v="0"/>
    <n v="8656"/>
    <n v="55.042208000000002"/>
    <n v="1"/>
    <x v="3"/>
    <x v="3151"/>
    <n v="2701.81"/>
    <n v="1"/>
    <s v="4202552"/>
    <m/>
    <n v="13655.7996"/>
    <n v="0"/>
    <n v="57897"/>
  </r>
  <r>
    <x v="6"/>
    <s v="03953-5"/>
    <s v="Stavnsholtskolen"/>
    <n v="5471"/>
    <m/>
    <s v="Stavnholtskolen"/>
    <x v="114"/>
    <x v="0"/>
    <x v="2"/>
    <n v="466880.03"/>
    <n v="12"/>
    <s v="2005-06-01"/>
    <n v="0"/>
    <n v="8656"/>
    <n v="53.936532999999997"/>
    <n v="1"/>
    <x v="1"/>
    <x v="3152"/>
    <n v="90626.33"/>
    <n v="0"/>
    <s v="4202552"/>
    <m/>
    <n v="466880.03"/>
    <n v="0"/>
    <n v="57891"/>
  </r>
  <r>
    <x v="6"/>
    <s v="03953-5"/>
    <s v="Stavnsholtskolen"/>
    <n v="5471"/>
    <m/>
    <s v="Stavnholtskolen"/>
    <x v="114"/>
    <x v="0"/>
    <x v="2"/>
    <n v="411970"/>
    <n v="12"/>
    <m/>
    <n v="0"/>
    <n v="8656"/>
    <n v="47.593026000000002"/>
    <n v="1"/>
    <x v="1"/>
    <x v="3153"/>
    <n v="80548.72"/>
    <n v="0"/>
    <s v="Ny ?"/>
    <m/>
    <n v="411970"/>
    <n v="0"/>
    <n v="90717"/>
  </r>
  <r>
    <x v="6"/>
    <s v="03953-5"/>
    <s v="Stavnsholtskolen"/>
    <n v="5471"/>
    <m/>
    <s v="Stavnholtskolen"/>
    <x v="114"/>
    <x v="1"/>
    <x v="2"/>
    <n v="474343.49"/>
    <n v="12"/>
    <s v="2005-06-01"/>
    <n v="0"/>
    <n v="8656"/>
    <n v="54.798752999999998"/>
    <n v="1"/>
    <x v="3"/>
    <x v="3154"/>
    <n v="2633.81"/>
    <n v="1"/>
    <s v="4202552"/>
    <m/>
    <n v="13595.3997"/>
    <n v="0"/>
    <n v="57897"/>
  </r>
  <r>
    <x v="6"/>
    <s v="03953-5"/>
    <s v="Stavnsholtskolen"/>
    <n v="5471"/>
    <m/>
    <s v="Stavnholtskolen"/>
    <x v="114"/>
    <x v="0"/>
    <x v="3"/>
    <n v="103630"/>
    <n v="2"/>
    <m/>
    <n v="0"/>
    <n v="8656"/>
    <n v="11.971904"/>
    <n v="1"/>
    <x v="1"/>
    <x v="3155"/>
    <n v="22438.89"/>
    <n v="0"/>
    <s v="Ny ?"/>
    <m/>
    <n v="103630"/>
    <n v="0"/>
    <n v="90717"/>
  </r>
  <r>
    <x v="6"/>
    <s v="03953-5"/>
    <s v="Stavnsholtskolen"/>
    <n v="5471"/>
    <m/>
    <s v="Stavnholtskolen"/>
    <x v="114"/>
    <x v="0"/>
    <x v="3"/>
    <n v="939210"/>
    <n v="12"/>
    <s v="2005-06-01"/>
    <n v="0"/>
    <n v="8656"/>
    <n v="108.502674"/>
    <n v="1"/>
    <x v="1"/>
    <x v="3156"/>
    <n v="186746.35"/>
    <n v="0"/>
    <s v="4202552"/>
    <m/>
    <n v="939209.99699999997"/>
    <n v="0"/>
    <n v="57891"/>
  </r>
  <r>
    <x v="6"/>
    <s v="03953-5"/>
    <s v="Stavnsholtskolen"/>
    <n v="5471"/>
    <m/>
    <s v="Stavnholtskolen"/>
    <x v="114"/>
    <x v="1"/>
    <x v="3"/>
    <n v="990478.25"/>
    <n v="12"/>
    <s v="2005-06-01"/>
    <n v="0"/>
    <n v="8656"/>
    <n v="114.425462"/>
    <n v="1"/>
    <x v="3"/>
    <x v="3157"/>
    <n v="5630.5"/>
    <n v="1"/>
    <s v="4202552"/>
    <m/>
    <n v="28388.599890000001"/>
    <n v="0"/>
    <n v="57897"/>
  </r>
  <r>
    <x v="6"/>
    <s v="03953-5"/>
    <s v="Stavnsholtskolen"/>
    <n v="5471"/>
    <m/>
    <s v="Stavnholtskolen"/>
    <x v="114"/>
    <x v="0"/>
    <x v="4"/>
    <n v="1414070"/>
    <n v="12"/>
    <s v="2005-06-01"/>
    <n v="0"/>
    <n v="8656"/>
    <n v="163.361097"/>
    <n v="1"/>
    <x v="1"/>
    <x v="3158"/>
    <n v="236928.94"/>
    <n v="0"/>
    <s v="4202552"/>
    <m/>
    <n v="1414070"/>
    <n v="0"/>
    <n v="57891"/>
  </r>
  <r>
    <x v="6"/>
    <s v="03953-5"/>
    <s v="Stavnsholtskolen"/>
    <n v="5471"/>
    <m/>
    <s v="Stavnholtskolen"/>
    <x v="114"/>
    <x v="1"/>
    <x v="4"/>
    <n v="1657365.71"/>
    <n v="12"/>
    <s v="2005-06-01"/>
    <n v="0"/>
    <n v="8656"/>
    <n v="191.46794800000001"/>
    <n v="1"/>
    <x v="3"/>
    <x v="3159"/>
    <n v="8089.98"/>
    <n v="1"/>
    <s v="4202552"/>
    <m/>
    <n v="47502.6"/>
    <n v="0"/>
    <n v="57897"/>
  </r>
  <r>
    <x v="6"/>
    <s v="03953-5"/>
    <s v="Stavnsholtskolen"/>
    <n v="5471"/>
    <m/>
    <s v="Stavnholtskolen"/>
    <x v="114"/>
    <x v="1"/>
    <x v="5"/>
    <n v="1054490.93"/>
    <n v="12"/>
    <s v="2005-06-01"/>
    <n v="0"/>
    <n v="8656"/>
    <n v="121.82055699999999"/>
    <n v="1"/>
    <x v="3"/>
    <x v="3160"/>
    <n v="5930.3"/>
    <n v="1"/>
    <s v="4202552"/>
    <m/>
    <n v="30223.3"/>
    <n v="0"/>
    <n v="57897"/>
  </r>
  <r>
    <x v="6"/>
    <s v="03953-5"/>
    <s v="Stavnsholtskolen"/>
    <n v="5471"/>
    <m/>
    <s v="Stavnholtskolen"/>
    <x v="114"/>
    <x v="0"/>
    <x v="5"/>
    <n v="1111680"/>
    <n v="12"/>
    <s v="2005-06-01"/>
    <n v="0"/>
    <n v="8656"/>
    <n v="128.42735099999999"/>
    <n v="1"/>
    <x v="1"/>
    <x v="3161"/>
    <n v="218753.36"/>
    <n v="0"/>
    <s v="4202552"/>
    <m/>
    <n v="1111680"/>
    <n v="0"/>
    <n v="57891"/>
  </r>
  <r>
    <x v="6"/>
    <s v="03953-5"/>
    <s v="Stavnsholtskolen"/>
    <n v="5471"/>
    <m/>
    <s v="Stavnholtskolen"/>
    <x v="114"/>
    <x v="0"/>
    <x v="6"/>
    <n v="1094870"/>
    <n v="12"/>
    <s v="2005-06-01"/>
    <n v="0"/>
    <n v="8656"/>
    <n v="126.48536799999999"/>
    <n v="1"/>
    <x v="1"/>
    <x v="3162"/>
    <n v="236124.3"/>
    <n v="0"/>
    <s v="4202552"/>
    <m/>
    <n v="1094870"/>
    <n v="0"/>
    <n v="57891"/>
  </r>
  <r>
    <x v="6"/>
    <s v="03953-5"/>
    <s v="Stavnsholtskolen"/>
    <n v="5471"/>
    <m/>
    <s v="Stavnholtskolen"/>
    <x v="114"/>
    <x v="1"/>
    <x v="6"/>
    <n v="1033675.56"/>
    <n v="12"/>
    <s v="2005-06-01"/>
    <n v="0"/>
    <n v="8656"/>
    <n v="119.415852"/>
    <n v="1"/>
    <x v="3"/>
    <x v="3163"/>
    <n v="6581.88"/>
    <n v="1"/>
    <s v="4202552"/>
    <m/>
    <n v="29626.7"/>
    <n v="0"/>
    <n v="57897"/>
  </r>
  <r>
    <x v="6"/>
    <m/>
    <s v="Syvstjerneskolen, Skov 1"/>
    <n v="9223"/>
    <m/>
    <s v="Syvstjerneskolen"/>
    <x v="40"/>
    <x v="0"/>
    <x v="0"/>
    <n v="0"/>
    <n v="10"/>
    <s v="2010-11-29"/>
    <n v="0"/>
    <n v="7936"/>
    <n v="0.607124"/>
    <n v="1"/>
    <x v="4"/>
    <x v="1"/>
    <n v="1152.93"/>
    <n v="0"/>
    <s v="AFMELDT"/>
    <s v="98001315369"/>
    <n v="446.13"/>
    <n v="0"/>
    <n v="77843"/>
  </r>
  <r>
    <x v="6"/>
    <m/>
    <s v="Syvstjerneskolen, Skov 1"/>
    <n v="9223"/>
    <m/>
    <s v="Syvstjerneskolen"/>
    <x v="40"/>
    <x v="0"/>
    <x v="0"/>
    <n v="752979"/>
    <n v="10"/>
    <m/>
    <n v="0"/>
    <n v="7936"/>
    <n v="56.215268999999999"/>
    <n v="1"/>
    <x v="5"/>
    <x v="3164"/>
    <n v="32516.29"/>
    <n v="0"/>
    <s v="65114949"/>
    <m/>
    <n v="446.13"/>
    <n v="0"/>
    <n v="92758"/>
  </r>
  <r>
    <x v="6"/>
    <m/>
    <s v="Syvstjerneskolen, Skov 1"/>
    <n v="9223"/>
    <m/>
    <s v="Syvstjerneskolen"/>
    <x v="40"/>
    <x v="0"/>
    <x v="1"/>
    <n v="817700"/>
    <n v="24"/>
    <m/>
    <n v="0"/>
    <n v="7936"/>
    <n v="103.03549599999999"/>
    <n v="1"/>
    <x v="5"/>
    <x v="3165"/>
    <n v="54823.13"/>
    <n v="0"/>
    <s v="65114949"/>
    <m/>
    <n v="817.7"/>
    <n v="0"/>
    <n v="92758"/>
  </r>
  <r>
    <x v="6"/>
    <m/>
    <s v="Syvstjerneskolen, Skov 1"/>
    <n v="9223"/>
    <m/>
    <s v="Syvstjerneskolen"/>
    <x v="40"/>
    <x v="0"/>
    <x v="1"/>
    <n v="8831.16"/>
    <n v="24"/>
    <s v="2010-11-29"/>
    <n v="0"/>
    <n v="7936"/>
    <n v="1.1127830000000001"/>
    <n v="1"/>
    <x v="4"/>
    <x v="3166"/>
    <n v="1942.75"/>
    <n v="0"/>
    <s v="AFMELDT"/>
    <s v="98001315369"/>
    <n v="817.7"/>
    <n v="0"/>
    <n v="77843"/>
  </r>
  <r>
    <x v="6"/>
    <m/>
    <s v="Syvstjerneskolen, Skov 1"/>
    <n v="9223"/>
    <m/>
    <s v="Syvstjerneskolen"/>
    <x v="40"/>
    <x v="0"/>
    <x v="2"/>
    <n v="308490"/>
    <n v="8"/>
    <m/>
    <n v="0"/>
    <n v="7936"/>
    <n v="38.871738000000001"/>
    <n v="1"/>
    <x v="5"/>
    <x v="3167"/>
    <n v="19256.189999999999"/>
    <n v="0"/>
    <s v="65114949"/>
    <m/>
    <n v="308.49"/>
    <n v="0"/>
    <n v="92758"/>
  </r>
  <r>
    <x v="6"/>
    <m/>
    <s v="Syvstjerneskolen, Skov 1"/>
    <n v="9223"/>
    <m/>
    <s v="Syvstjerneskolen"/>
    <x v="40"/>
    <x v="0"/>
    <x v="2"/>
    <n v="259000"/>
    <n v="8"/>
    <s v="2012-09-06"/>
    <n v="0"/>
    <n v="7936"/>
    <n v="32.635677000000001"/>
    <n v="1"/>
    <x v="5"/>
    <x v="3168"/>
    <n v="20604.22"/>
    <n v="0"/>
    <s v="AFMELDT Mobilfyr"/>
    <m/>
    <n v="259"/>
    <n v="0"/>
    <n v="92946"/>
  </r>
  <r>
    <x v="6"/>
    <m/>
    <s v="Syvstjerneskolen, Skov 1"/>
    <n v="9223"/>
    <m/>
    <s v="Syvstjerneskolen"/>
    <x v="40"/>
    <x v="0"/>
    <x v="2"/>
    <n v="302656.93"/>
    <n v="24"/>
    <s v="2010-11-29"/>
    <n v="0"/>
    <n v="7936"/>
    <n v="38.136733"/>
    <n v="1"/>
    <x v="4"/>
    <x v="3169"/>
    <n v="68709.48"/>
    <n v="0"/>
    <s v="AFMELDT"/>
    <s v="98001315369"/>
    <n v="28023.79"/>
    <n v="0"/>
    <n v="77843"/>
  </r>
  <r>
    <x v="6"/>
    <m/>
    <s v="Syvstjerneskolen, Skov 1"/>
    <n v="9223"/>
    <m/>
    <s v="Syvstjerneskolen"/>
    <x v="40"/>
    <x v="0"/>
    <x v="3"/>
    <n v="843653.88"/>
    <n v="24"/>
    <s v="2010-11-29"/>
    <n v="0"/>
    <n v="7936"/>
    <n v="106.305853"/>
    <n v="1"/>
    <x v="4"/>
    <x v="3170"/>
    <n v="194031.56"/>
    <n v="0"/>
    <s v="AFMELDT"/>
    <s v="98001315369"/>
    <n v="78116.100000000006"/>
    <n v="0"/>
    <n v="77843"/>
  </r>
  <r>
    <x v="6"/>
    <m/>
    <s v="Syvstjerneskolen, Skov 1"/>
    <n v="9223"/>
    <m/>
    <s v="Syvstjerneskolen"/>
    <x v="40"/>
    <x v="0"/>
    <x v="4"/>
    <n v="1011639.31"/>
    <n v="6"/>
    <s v="2010-11-29"/>
    <n v="0"/>
    <n v="7936"/>
    <n v="127.473105"/>
    <n v="1"/>
    <x v="4"/>
    <x v="3171"/>
    <n v="267621.90000000002"/>
    <n v="0"/>
    <s v="AFMELDT"/>
    <s v="98001315369"/>
    <n v="93670.304239999998"/>
    <n v="0"/>
    <n v="77843"/>
  </r>
  <r>
    <x v="6"/>
    <m/>
    <s v="Syvstjerneskolen, Skov 1"/>
    <n v="9223"/>
    <m/>
    <s v="Syvstjerneskolen"/>
    <x v="40"/>
    <x v="0"/>
    <x v="5"/>
    <n v="968765.23"/>
    <n v="5"/>
    <s v="2010-11-29"/>
    <n v="0"/>
    <n v="7936"/>
    <n v="122.07069300000001"/>
    <n v="1"/>
    <x v="4"/>
    <x v="3172"/>
    <n v="275821"/>
    <n v="0"/>
    <s v="AFMELDT"/>
    <s v="98001315369"/>
    <n v="89700.482740000007"/>
    <n v="0"/>
    <n v="77843"/>
  </r>
  <r>
    <x v="6"/>
    <m/>
    <s v="Syvstjerneskolen, Skov 1"/>
    <n v="9223"/>
    <m/>
    <s v="Syvstjerneskolen"/>
    <x v="40"/>
    <x v="0"/>
    <x v="6"/>
    <n v="906743.93"/>
    <n v="1"/>
    <s v="2010-11-29"/>
    <n v="0"/>
    <n v="7936"/>
    <n v="114.255607"/>
    <n v="1"/>
    <x v="4"/>
    <x v="3173"/>
    <n v="242371.52"/>
    <n v="0"/>
    <s v="AFMELDT"/>
    <s v="98001315369"/>
    <n v="83957.773050000003"/>
    <n v="0"/>
    <n v="77843"/>
  </r>
  <r>
    <x v="6"/>
    <m/>
    <s v="Søndersøskolen Pedelbolig KV48"/>
    <n v="10321"/>
    <m/>
    <s v="Søndersøskolen Pedelbolig"/>
    <x v="115"/>
    <x v="0"/>
    <x v="0"/>
    <n v="15902"/>
    <n v="5"/>
    <s v="2012-01-25"/>
    <n v="0"/>
    <n v="126"/>
    <n v="69.865185999999994"/>
    <n v="1"/>
    <x v="1"/>
    <x v="3174"/>
    <n v="634.91999999999996"/>
    <n v="0"/>
    <s v="4080356/2001"/>
    <m/>
    <n v="8810"/>
    <n v="0"/>
    <n v="77810"/>
  </r>
  <r>
    <x v="6"/>
    <m/>
    <s v="Søndersøskolen Pedelbolig KV48"/>
    <n v="10321"/>
    <m/>
    <s v="Søndersøskolen Pedelbolig"/>
    <x v="115"/>
    <x v="0"/>
    <x v="1"/>
    <n v="18108.03"/>
    <n v="12"/>
    <s v="2012-01-25"/>
    <n v="0"/>
    <n v="126"/>
    <n v="143.60055500000001"/>
    <n v="1"/>
    <x v="1"/>
    <x v="3175"/>
    <n v="1216.3699999999999"/>
    <n v="0"/>
    <s v="4080356/2001"/>
    <m/>
    <n v="18108.028999999999"/>
    <n v="0"/>
    <n v="77810"/>
  </r>
  <r>
    <x v="6"/>
    <m/>
    <s v="Søndersøskolen Pedelbolig KV48"/>
    <n v="10321"/>
    <m/>
    <s v="Søndersøskolen Pedelbolig"/>
    <x v="115"/>
    <x v="0"/>
    <x v="2"/>
    <n v="14529.88"/>
    <n v="12"/>
    <s v="2012-01-25"/>
    <n v="0"/>
    <n v="126"/>
    <n v="115.225059"/>
    <n v="1"/>
    <x v="1"/>
    <x v="3176"/>
    <n v="2758.6"/>
    <n v="0"/>
    <s v="4080356/2001"/>
    <m/>
    <n v="14529.88005"/>
    <n v="0"/>
    <n v="77810"/>
  </r>
  <r>
    <x v="6"/>
    <m/>
    <s v="Søndersøskolen Pedelbolig KV48"/>
    <n v="10321"/>
    <m/>
    <s v="Søndersøskolen Pedelbolig"/>
    <x v="115"/>
    <x v="0"/>
    <x v="3"/>
    <n v="7765.09"/>
    <n v="3"/>
    <s v="2012-01-25"/>
    <n v="0"/>
    <n v="126"/>
    <n v="61.578825999999999"/>
    <n v="1"/>
    <x v="1"/>
    <x v="3177"/>
    <n v="1721.46"/>
    <n v="0"/>
    <s v="4080356/2001"/>
    <m/>
    <n v="7765.0909000000001"/>
    <n v="0"/>
    <n v="77810"/>
  </r>
  <r>
    <x v="6"/>
    <m/>
    <s v="Søndersøskolen Pedelbolig KV48"/>
    <n v="10321"/>
    <m/>
    <s v="Søndersøskolen Pedelbolig"/>
    <x v="115"/>
    <x v="0"/>
    <x v="4"/>
    <n v="8812.7800000000007"/>
    <n v="3"/>
    <s v="2012-01-25"/>
    <n v="0"/>
    <n v="126"/>
    <n v="69.887231999999997"/>
    <n v="1"/>
    <x v="1"/>
    <x v="3178"/>
    <n v="1783.6"/>
    <n v="0"/>
    <s v="4080356/2001"/>
    <m/>
    <n v="8812.7724400000006"/>
    <n v="0"/>
    <n v="77810"/>
  </r>
  <r>
    <x v="6"/>
    <m/>
    <s v="Søndersøskolen Pedelbolig KV48"/>
    <n v="10321"/>
    <m/>
    <s v="Søndersøskolen Pedelbolig"/>
    <x v="115"/>
    <x v="0"/>
    <x v="5"/>
    <n v="10869.72"/>
    <n v="4"/>
    <s v="2012-01-25"/>
    <n v="0"/>
    <n v="126"/>
    <n v="86.199206000000004"/>
    <n v="1"/>
    <x v="1"/>
    <x v="3179"/>
    <n v="2991.77"/>
    <n v="0"/>
    <s v="4080356/2001"/>
    <m/>
    <n v="10869.72753"/>
    <n v="0"/>
    <n v="77810"/>
  </r>
  <r>
    <x v="6"/>
    <m/>
    <s v="Søndersøskolen Pedelbolig KV48"/>
    <n v="10321"/>
    <m/>
    <s v="Søndersøskolen Pedelbolig"/>
    <x v="115"/>
    <x v="0"/>
    <x v="6"/>
    <n v="5436.94"/>
    <n v="7"/>
    <s v="2012-01-25"/>
    <n v="0"/>
    <n v="126"/>
    <n v="43.116098000000001"/>
    <n v="1"/>
    <x v="1"/>
    <x v="3180"/>
    <n v="1051.05"/>
    <n v="0"/>
    <s v="4080356/2001"/>
    <m/>
    <n v="5436.9395699999995"/>
    <n v="0"/>
    <n v="77810"/>
  </r>
  <r>
    <x v="6"/>
    <m/>
    <s v="Søndersøskolen, KV50"/>
    <n v="9222"/>
    <m/>
    <s v="Søndersøskolen"/>
    <x v="116"/>
    <x v="1"/>
    <x v="0"/>
    <n v="399525.39"/>
    <n v="5"/>
    <m/>
    <n v="0"/>
    <n v="11252"/>
    <n v="35.506740000000001"/>
    <n v="1"/>
    <x v="3"/>
    <x v="3181"/>
    <n v="836.59"/>
    <n v="1"/>
    <m/>
    <m/>
    <n v="11451"/>
    <n v="74423"/>
    <n v="74422"/>
  </r>
  <r>
    <x v="6"/>
    <m/>
    <s v="Søndersøskolen, KV50"/>
    <n v="9222"/>
    <m/>
    <s v="Søndersøskolen"/>
    <x v="116"/>
    <x v="0"/>
    <x v="0"/>
    <n v="665200"/>
    <n v="5"/>
    <m/>
    <n v="0"/>
    <n v="11252"/>
    <n v="36.028829999999999"/>
    <n v="1"/>
    <x v="1"/>
    <x v="3182"/>
    <n v="29639.07"/>
    <n v="0"/>
    <m/>
    <m/>
    <n v="405400"/>
    <n v="0"/>
    <n v="74423"/>
  </r>
  <r>
    <x v="6"/>
    <m/>
    <s v="Søndersøskolen, KV50"/>
    <n v="9222"/>
    <m/>
    <s v="Søndersøskolen"/>
    <x v="116"/>
    <x v="1"/>
    <x v="1"/>
    <n v="957852.62"/>
    <n v="12"/>
    <m/>
    <n v="0"/>
    <n v="11252"/>
    <n v="85.126564000000002"/>
    <n v="1"/>
    <x v="3"/>
    <x v="3183"/>
    <n v="1870.05"/>
    <n v="1"/>
    <m/>
    <m/>
    <n v="27453.5"/>
    <n v="74423"/>
    <n v="74422"/>
  </r>
  <r>
    <x v="6"/>
    <m/>
    <s v="Søndersøskolen, KV50"/>
    <n v="9222"/>
    <m/>
    <s v="Søndersøskolen"/>
    <x v="116"/>
    <x v="0"/>
    <x v="1"/>
    <n v="852250"/>
    <n v="12"/>
    <m/>
    <n v="0"/>
    <n v="11252"/>
    <n v="75.741416999999998"/>
    <n v="1"/>
    <x v="1"/>
    <x v="3184"/>
    <n v="57448.14"/>
    <n v="0"/>
    <m/>
    <m/>
    <n v="852250"/>
    <n v="0"/>
    <n v="74423"/>
  </r>
  <r>
    <x v="6"/>
    <m/>
    <s v="Søndersøskolen, KV50"/>
    <n v="9222"/>
    <m/>
    <s v="Søndersøskolen"/>
    <x v="116"/>
    <x v="1"/>
    <x v="2"/>
    <n v="1162255.68"/>
    <n v="12"/>
    <m/>
    <n v="0"/>
    <n v="11252"/>
    <n v="103.292334"/>
    <n v="1"/>
    <x v="3"/>
    <x v="3185"/>
    <n v="6732.45"/>
    <n v="1"/>
    <m/>
    <m/>
    <n v="33312"/>
    <n v="74423"/>
    <n v="74422"/>
  </r>
  <r>
    <x v="6"/>
    <m/>
    <s v="Søndersøskolen, KV50"/>
    <n v="9222"/>
    <m/>
    <s v="Søndersøskolen"/>
    <x v="116"/>
    <x v="0"/>
    <x v="2"/>
    <n v="861000"/>
    <n v="12"/>
    <m/>
    <n v="0"/>
    <n v="11252"/>
    <n v="76.519048999999995"/>
    <n v="1"/>
    <x v="1"/>
    <x v="3186"/>
    <n v="169870.87"/>
    <n v="0"/>
    <m/>
    <m/>
    <n v="861000"/>
    <n v="0"/>
    <n v="74423"/>
  </r>
  <r>
    <x v="6"/>
    <m/>
    <s v="Søndersøskolen, KV50"/>
    <n v="9222"/>
    <m/>
    <s v="Søndersøskolen"/>
    <x v="116"/>
    <x v="0"/>
    <x v="3"/>
    <n v="884427"/>
    <n v="12"/>
    <m/>
    <n v="0"/>
    <n v="11252"/>
    <n v="78.601061000000001"/>
    <n v="1"/>
    <x v="1"/>
    <x v="3187"/>
    <n v="181600.53"/>
    <n v="0"/>
    <m/>
    <m/>
    <n v="884427"/>
    <n v="0"/>
    <n v="74423"/>
  </r>
  <r>
    <x v="6"/>
    <m/>
    <s v="Søndersøskolen, KV50"/>
    <n v="9222"/>
    <m/>
    <s v="Søndersøskolen"/>
    <x v="116"/>
    <x v="1"/>
    <x v="3"/>
    <n v="1184082.8500000001"/>
    <n v="12"/>
    <m/>
    <n v="0"/>
    <n v="11252"/>
    <n v="105.23216499999999"/>
    <n v="1"/>
    <x v="3"/>
    <x v="3188"/>
    <n v="7329.65"/>
    <n v="1"/>
    <m/>
    <m/>
    <n v="33937.599999999999"/>
    <n v="74423"/>
    <n v="74422"/>
  </r>
  <r>
    <x v="6"/>
    <m/>
    <s v="Søndersøskolen, KV50"/>
    <n v="9222"/>
    <m/>
    <s v="Søndersøskolen"/>
    <x v="116"/>
    <x v="0"/>
    <x v="4"/>
    <n v="1063897"/>
    <n v="12"/>
    <m/>
    <n v="0"/>
    <n v="11252"/>
    <n v="94.550972000000002"/>
    <n v="1"/>
    <x v="1"/>
    <x v="3189"/>
    <n v="177598.55"/>
    <n v="0"/>
    <m/>
    <m/>
    <n v="1063897"/>
    <n v="0"/>
    <n v="74423"/>
  </r>
  <r>
    <x v="6"/>
    <m/>
    <s v="Søndersøskolen, KV50"/>
    <n v="9222"/>
    <m/>
    <s v="Søndersøskolen"/>
    <x v="116"/>
    <x v="1"/>
    <x v="4"/>
    <n v="1152828.3799999999"/>
    <n v="12"/>
    <m/>
    <n v="0"/>
    <n v="11252"/>
    <n v="102.454508"/>
    <n v="1"/>
    <x v="3"/>
    <x v="3190"/>
    <n v="5917.2"/>
    <n v="1"/>
    <m/>
    <m/>
    <n v="33041.800000000003"/>
    <n v="74423"/>
    <n v="74422"/>
  </r>
  <r>
    <x v="6"/>
    <m/>
    <s v="Søndersøskolen, KV50"/>
    <n v="9222"/>
    <m/>
    <s v="Søndersøskolen"/>
    <x v="116"/>
    <x v="0"/>
    <x v="5"/>
    <n v="956609"/>
    <n v="12"/>
    <m/>
    <n v="0"/>
    <n v="11252"/>
    <n v="85.016041000000001"/>
    <n v="1"/>
    <x v="1"/>
    <x v="3191"/>
    <n v="190724.91"/>
    <n v="0"/>
    <m/>
    <m/>
    <n v="956609"/>
    <n v="0"/>
    <n v="74423"/>
  </r>
  <r>
    <x v="6"/>
    <m/>
    <s v="Søndersøskolen, KV50"/>
    <n v="9222"/>
    <m/>
    <s v="Søndersøskolen"/>
    <x v="116"/>
    <x v="1"/>
    <x v="5"/>
    <n v="951980.64"/>
    <n v="12"/>
    <m/>
    <n v="0"/>
    <n v="11252"/>
    <n v="84.604708000000002"/>
    <n v="1"/>
    <x v="3"/>
    <x v="3192"/>
    <n v="6403.74"/>
    <n v="1"/>
    <m/>
    <m/>
    <n v="27285.200000000001"/>
    <n v="74423"/>
    <n v="74422"/>
  </r>
  <r>
    <x v="6"/>
    <m/>
    <s v="Søndersøskolen, KV50"/>
    <n v="9222"/>
    <m/>
    <s v="Søndersøskolen"/>
    <x v="116"/>
    <x v="0"/>
    <x v="6"/>
    <n v="780873"/>
    <n v="12"/>
    <m/>
    <n v="0"/>
    <n v="11252"/>
    <n v="69.397979000000007"/>
    <n v="1"/>
    <x v="1"/>
    <x v="3193"/>
    <n v="169109.35"/>
    <n v="0"/>
    <m/>
    <m/>
    <n v="780873"/>
    <n v="0"/>
    <n v="74423"/>
  </r>
  <r>
    <x v="6"/>
    <m/>
    <s v="Søndersøskolen, KV50"/>
    <n v="9222"/>
    <m/>
    <s v="Søndersøskolen"/>
    <x v="116"/>
    <x v="1"/>
    <x v="6"/>
    <n v="870725.3"/>
    <n v="12"/>
    <m/>
    <n v="0"/>
    <n v="11252"/>
    <n v="77.383358999999999"/>
    <n v="1"/>
    <x v="3"/>
    <x v="3194"/>
    <n v="5533.7"/>
    <n v="1"/>
    <m/>
    <m/>
    <n v="24956.3"/>
    <n v="74423"/>
    <n v="74422"/>
  </r>
  <r>
    <x v="6"/>
    <m/>
    <s v="Lille Værløse skole"/>
    <n v="14252"/>
    <s v="0"/>
    <s v="Bygning A"/>
    <x v="111"/>
    <x v="0"/>
    <x v="7"/>
    <n v="244020"/>
    <n v="12"/>
    <s v="2010-11-29"/>
    <n v="0"/>
    <n v="3700"/>
    <n v="65.949567999999999"/>
    <n v="1"/>
    <x v="5"/>
    <x v="3195"/>
    <n v="18491.009999999998"/>
    <n v="0"/>
    <s v="Byg A 977804"/>
    <m/>
    <n v="244.02"/>
    <n v="0"/>
    <n v="79444"/>
  </r>
  <r>
    <x v="6"/>
    <m/>
    <s v="Lille Værløse skole"/>
    <n v="14253"/>
    <s v="0"/>
    <s v="Bygning B+C"/>
    <x v="111"/>
    <x v="0"/>
    <x v="7"/>
    <n v="446500"/>
    <n v="12"/>
    <m/>
    <n v="0"/>
    <n v="6105"/>
    <n v="73.135575000000003"/>
    <n v="1"/>
    <x v="5"/>
    <x v="3196"/>
    <n v="34170.85"/>
    <n v="0"/>
    <s v="Byg B+C 4507264"/>
    <m/>
    <n v="446.5"/>
    <n v="0"/>
    <n v="77355"/>
  </r>
  <r>
    <x v="6"/>
    <m/>
    <s v="Lille Værløse skole"/>
    <n v="14252"/>
    <s v="0"/>
    <s v="Bygning A"/>
    <x v="111"/>
    <x v="0"/>
    <x v="7"/>
    <n v="750.96"/>
    <n v="12"/>
    <m/>
    <n v="0"/>
    <n v="3700"/>
    <n v="0.202956"/>
    <n v="3"/>
    <x v="0"/>
    <x v="3197"/>
    <n v="600.79"/>
    <n v="0"/>
    <s v="Byg A nr 378377"/>
    <m/>
    <n v="750.95699999999999"/>
    <n v="0"/>
    <n v="77354"/>
  </r>
  <r>
    <x v="6"/>
    <m/>
    <s v="Lille Værløse skole"/>
    <n v="14253"/>
    <s v="0"/>
    <s v="Bygning B+C"/>
    <x v="111"/>
    <x v="0"/>
    <x v="7"/>
    <n v="660.6"/>
    <n v="12"/>
    <s v="2011-08-30"/>
    <n v="0"/>
    <n v="6105"/>
    <n v="0.10820399999999999"/>
    <n v="3"/>
    <x v="0"/>
    <x v="3198"/>
    <n v="528.48"/>
    <n v="0"/>
    <s v="Byg B+C nr 40490"/>
    <m/>
    <n v="660.6"/>
    <n v="0"/>
    <n v="78672"/>
  </r>
  <r>
    <x v="6"/>
    <m/>
    <s v="Lille Værløse skole"/>
    <n v="14254"/>
    <s v="0"/>
    <s v="Bygning D"/>
    <x v="111"/>
    <x v="0"/>
    <x v="7"/>
    <n v="337.8"/>
    <n v="12"/>
    <s v="2011-08-30"/>
    <n v="0"/>
    <n v="2840"/>
    <n v="0.118939"/>
    <n v="3"/>
    <x v="0"/>
    <x v="3199"/>
    <n v="270.24"/>
    <n v="0"/>
    <s v="Byg D nr 40415"/>
    <m/>
    <n v="337.8"/>
    <n v="0"/>
    <n v="78673"/>
  </r>
  <r>
    <x v="6"/>
    <m/>
    <s v="Lille Værløse skole"/>
    <n v="14254"/>
    <s v="0"/>
    <s v="Bygning D"/>
    <x v="111"/>
    <x v="0"/>
    <x v="7"/>
    <n v="259670"/>
    <n v="12"/>
    <m/>
    <n v="0"/>
    <n v="2840"/>
    <n v="91.429879"/>
    <n v="1"/>
    <x v="1"/>
    <x v="3200"/>
    <n v="19758.82"/>
    <n v="0"/>
    <s v="Byg D."/>
    <m/>
    <n v="259670"/>
    <n v="0"/>
    <n v="77356"/>
  </r>
  <r>
    <x v="6"/>
    <m/>
    <s v="Lillestjernen, LV 91-93"/>
    <n v="9518"/>
    <m/>
    <s v="Lillestjernen"/>
    <x v="86"/>
    <x v="0"/>
    <x v="1"/>
    <n v="58118.17"/>
    <n v="12"/>
    <m/>
    <n v="0"/>
    <n v="2128"/>
    <n v="27.309885999999999"/>
    <n v="2"/>
    <x v="2"/>
    <x v="3201"/>
    <n v="17435.45"/>
    <n v="0"/>
    <s v="3108097"/>
    <s v="74110486019"/>
    <n v="58118.171999999999"/>
    <n v="0"/>
    <n v="74428"/>
  </r>
  <r>
    <x v="6"/>
    <m/>
    <s v="Lillestjernen, LV 91-93"/>
    <n v="9518"/>
    <m/>
    <s v="Lillestjernen"/>
    <x v="86"/>
    <x v="0"/>
    <x v="7"/>
    <n v="185515.49"/>
    <n v="12"/>
    <m/>
    <n v="0"/>
    <n v="2128"/>
    <n v="87.174234999999996"/>
    <n v="1"/>
    <x v="4"/>
    <x v="3202"/>
    <n v="46695.41"/>
    <n v="0"/>
    <s v="1204726"/>
    <s v="98004940117"/>
    <n v="17177.36"/>
    <n v="0"/>
    <n v="74430"/>
  </r>
  <r>
    <x v="9"/>
    <s v="06157-9"/>
    <s v="Furesøbad"/>
    <n v="5489"/>
    <m/>
    <s v="Furesøbad"/>
    <x v="53"/>
    <x v="0"/>
    <x v="7"/>
    <n v="201520.44"/>
    <n v="12"/>
    <m/>
    <n v="0"/>
    <n v="2801"/>
    <n v="71.943321999999995"/>
    <n v="1"/>
    <x v="4"/>
    <x v="3203"/>
    <n v="50188.61"/>
    <n v="0"/>
    <s v="-525481"/>
    <s v="98004940469"/>
    <n v="18659.3"/>
    <n v="0"/>
    <n v="58006"/>
  </r>
  <r>
    <x v="6"/>
    <m/>
    <s v="Lillestjernen, LV 91-93"/>
    <n v="9518"/>
    <m/>
    <s v="Lillestjernen"/>
    <x v="86"/>
    <x v="0"/>
    <x v="7"/>
    <n v="446.02"/>
    <n v="12"/>
    <m/>
    <n v="0"/>
    <n v="2128"/>
    <n v="0.20958599999999999"/>
    <n v="3"/>
    <x v="0"/>
    <x v="3204"/>
    <n v="356.82"/>
    <n v="0"/>
    <m/>
    <m/>
    <n v="446.017"/>
    <n v="0"/>
    <n v="74429"/>
  </r>
  <r>
    <x v="6"/>
    <m/>
    <s v="Lillestjernen, LV 91-93"/>
    <n v="9519"/>
    <m/>
    <s v="Lillestjernen miniklub"/>
    <x v="86"/>
    <x v="0"/>
    <x v="7"/>
    <n v="162.49"/>
    <n v="12"/>
    <m/>
    <n v="0"/>
    <n v="353"/>
    <n v="0.46018100000000001"/>
    <n v="3"/>
    <x v="0"/>
    <x v="3205"/>
    <n v="130.01"/>
    <n v="0"/>
    <m/>
    <m/>
    <n v="162.48599999999999"/>
    <n v="0"/>
    <n v="74432"/>
  </r>
  <r>
    <x v="6"/>
    <m/>
    <s v="Lillestjernen, LV 91-93"/>
    <n v="9519"/>
    <m/>
    <s v="Lillestjernen miniklub"/>
    <x v="86"/>
    <x v="0"/>
    <x v="1"/>
    <n v="9876.92"/>
    <n v="12"/>
    <m/>
    <n v="0"/>
    <n v="353"/>
    <n v="27.972019"/>
    <n v="2"/>
    <x v="2"/>
    <x v="3206"/>
    <n v="2963.07"/>
    <n v="1"/>
    <m/>
    <m/>
    <n v="9876.9233000000004"/>
    <n v="0"/>
    <n v="74431"/>
  </r>
  <r>
    <x v="6"/>
    <s v="5756"/>
    <s v="Lyngholmskolen, Hvile 1"/>
    <n v="5481"/>
    <m/>
    <s v="Lyngholmskolen Diamanten"/>
    <x v="112"/>
    <x v="0"/>
    <x v="1"/>
    <n v="38751.71"/>
    <n v="12"/>
    <s v="2005-07-01"/>
    <n v="0"/>
    <n v="1273"/>
    <n v="30.438856999999999"/>
    <n v="2"/>
    <x v="2"/>
    <x v="3207"/>
    <n v="15500.69"/>
    <n v="0"/>
    <s v="80018"/>
    <s v="74112176444"/>
    <n v="38751.72"/>
    <n v="0"/>
    <n v="57944"/>
  </r>
  <r>
    <x v="6"/>
    <s v="5756"/>
    <s v="Lyngholmskolen, Hvile 1"/>
    <n v="5481"/>
    <m/>
    <s v="Lyngholmskolen Diamanten"/>
    <x v="112"/>
    <x v="1"/>
    <x v="7"/>
    <n v="127714.85"/>
    <n v="12"/>
    <s v="2010-01-15"/>
    <n v="0"/>
    <n v="1273"/>
    <n v="100.318003"/>
    <n v="1"/>
    <x v="3"/>
    <x v="3208"/>
    <n v="437250.56"/>
    <n v="1"/>
    <s v="4106727"/>
    <m/>
    <n v="3660.5001000000002"/>
    <n v="0"/>
    <n v="58125"/>
  </r>
  <r>
    <x v="6"/>
    <s v="5756"/>
    <s v="Lyngholmskolen, Hvile 1"/>
    <n v="5479"/>
    <m/>
    <s v="Lyngholmskolenskolen"/>
    <x v="112"/>
    <x v="1"/>
    <x v="7"/>
    <n v="455740.15999999997"/>
    <n v="12"/>
    <s v="2005-10-03"/>
    <n v="0"/>
    <n v="6089"/>
    <n v="74.845241000000001"/>
    <n v="1"/>
    <x v="3"/>
    <x v="3209"/>
    <n v="1083632.17"/>
    <n v="1"/>
    <s v="4860464"/>
    <m/>
    <n v="13062.2"/>
    <n v="0"/>
    <n v="57937"/>
  </r>
  <r>
    <x v="6"/>
    <s v="5756"/>
    <s v="Lyngholmskolen, Hvile 1"/>
    <n v="5480"/>
    <m/>
    <s v="Bimåler"/>
    <x v="112"/>
    <x v="1"/>
    <x v="7"/>
    <n v="120.95"/>
    <n v="12"/>
    <s v="2005-07-01"/>
    <n v="0"/>
    <n v="0"/>
    <n v="1209.5"/>
    <n v="3"/>
    <x v="0"/>
    <x v="3210"/>
    <n v="96.75"/>
    <n v="1"/>
    <s v="BV01"/>
    <m/>
    <n v="120.944"/>
    <n v="0"/>
    <n v="57940"/>
  </r>
  <r>
    <x v="6"/>
    <s v="5756"/>
    <s v="Lyngholmskolen, Hvile 1"/>
    <n v="5481"/>
    <m/>
    <s v="Lyngholmskolen Diamanten"/>
    <x v="112"/>
    <x v="0"/>
    <x v="7"/>
    <n v="25.9"/>
    <n v="12"/>
    <s v="2005-07-01"/>
    <n v="0"/>
    <n v="1273"/>
    <n v="2.0344000000000001E-2"/>
    <n v="3"/>
    <x v="0"/>
    <x v="3211"/>
    <n v="20.71"/>
    <n v="1"/>
    <s v="BV"/>
    <m/>
    <n v="25.891999999999999"/>
    <n v="0"/>
    <n v="57946"/>
  </r>
  <r>
    <x v="6"/>
    <s v="5756"/>
    <s v="Lyngholmskolen, Hvile 1"/>
    <n v="5479"/>
    <m/>
    <s v="Lyngholmskolenskolen"/>
    <x v="112"/>
    <x v="0"/>
    <x v="7"/>
    <n v="1381.41"/>
    <n v="12"/>
    <s v="2005-07-01"/>
    <n v="0"/>
    <n v="6089"/>
    <n v="0.22686600000000001"/>
    <n v="3"/>
    <x v="0"/>
    <x v="3212"/>
    <n v="1105.1199999999999"/>
    <n v="0"/>
    <s v="10012214 aut"/>
    <m/>
    <n v="1381.3979999999999"/>
    <n v="0"/>
    <n v="57933"/>
  </r>
  <r>
    <x v="6"/>
    <s v="5756"/>
    <s v="Lyngholmskolen, Hvile 1"/>
    <n v="5481"/>
    <m/>
    <s v="Lyngholmskolen Diamanten"/>
    <x v="112"/>
    <x v="0"/>
    <x v="7"/>
    <n v="55250"/>
    <n v="12"/>
    <s v="2005-10-04"/>
    <n v="0"/>
    <n v="1273"/>
    <n v="43.398004"/>
    <n v="1"/>
    <x v="1"/>
    <x v="3213"/>
    <n v="5196340.97"/>
    <n v="0"/>
    <s v="4106727"/>
    <m/>
    <n v="55250.002"/>
    <n v="0"/>
    <n v="57945"/>
  </r>
  <r>
    <x v="6"/>
    <s v="5756"/>
    <s v="Lyngholmskolen, Hvile 1"/>
    <n v="5479"/>
    <m/>
    <s v="Lyngholmskolenskolen"/>
    <x v="112"/>
    <x v="0"/>
    <x v="7"/>
    <n v="466093.5"/>
    <n v="12"/>
    <s v="2005-10-03"/>
    <n v="0"/>
    <n v="6089"/>
    <n v="76.545547999999997"/>
    <n v="1"/>
    <x v="1"/>
    <x v="3214"/>
    <n v="43319597"/>
    <n v="0"/>
    <s v="4860464"/>
    <m/>
    <n v="570505.48349999997"/>
    <n v="0"/>
    <n v="57932"/>
  </r>
  <r>
    <x v="6"/>
    <s v="5756"/>
    <s v="Lyngholmskolen, Hvile 1"/>
    <n v="5479"/>
    <m/>
    <s v="Lyngholmskolenskolen"/>
    <x v="112"/>
    <x v="0"/>
    <x v="1"/>
    <n v="92200.11"/>
    <n v="12"/>
    <s v="2005-07-01"/>
    <n v="0"/>
    <n v="6089"/>
    <n v="15.141828"/>
    <n v="2"/>
    <x v="2"/>
    <x v="3215"/>
    <n v="36880.04"/>
    <n v="0"/>
    <s v="1048860"/>
    <s v="741 1217 6437"/>
    <n v="92200.114400000006"/>
    <n v="0"/>
    <n v="57931"/>
  </r>
  <r>
    <x v="6"/>
    <s v="5756"/>
    <s v="Lyngholmskolen, Hvile 1"/>
    <n v="13265"/>
    <m/>
    <s v="Ny Lavenergi"/>
    <x v="112"/>
    <x v="0"/>
    <x v="1"/>
    <n v="159172.20000000001"/>
    <n v="12"/>
    <m/>
    <n v="0"/>
    <n v="3000"/>
    <n v="53.055630999999998"/>
    <n v="2"/>
    <x v="2"/>
    <x v="3216"/>
    <n v="47751.66"/>
    <n v="0"/>
    <s v="1129519"/>
    <s v="74115744459"/>
    <n v="159172.20000000001"/>
    <n v="0"/>
    <n v="90713"/>
  </r>
  <r>
    <x v="6"/>
    <m/>
    <s v="Solhøjskolen KV52"/>
    <n v="10161"/>
    <m/>
    <s v="Solhøjskolen"/>
    <x v="113"/>
    <x v="0"/>
    <x v="1"/>
    <n v="6023.46"/>
    <n v="12"/>
    <s v="2011-11-30"/>
    <n v="0"/>
    <n v="265"/>
    <n v="22.721463"/>
    <n v="2"/>
    <x v="2"/>
    <x v="3217"/>
    <n v="1807.03"/>
    <n v="0"/>
    <s v="15887022"/>
    <m/>
    <n v="6023.442"/>
    <n v="0"/>
    <n v="77142"/>
  </r>
  <r>
    <x v="6"/>
    <m/>
    <s v="Solhøjskolen KV52"/>
    <n v="10161"/>
    <m/>
    <s v="Solhøjskolen"/>
    <x v="113"/>
    <x v="0"/>
    <x v="7"/>
    <n v="67.39"/>
    <n v="12"/>
    <m/>
    <n v="0"/>
    <n v="265"/>
    <n v="0.25420500000000001"/>
    <n v="3"/>
    <x v="8"/>
    <x v="3218"/>
    <n v="0"/>
    <n v="0"/>
    <s v="00AA389720"/>
    <m/>
    <n v="67389.000230000005"/>
    <n v="0"/>
    <n v="92156"/>
  </r>
  <r>
    <x v="6"/>
    <m/>
    <s v="Solhøjskolen KV52"/>
    <n v="10161"/>
    <m/>
    <s v="Solhøjskolen"/>
    <x v="113"/>
    <x v="0"/>
    <x v="7"/>
    <n v="23963"/>
    <n v="12"/>
    <s v="2012-08-13"/>
    <n v="0"/>
    <n v="265"/>
    <n v="90.392303999999996"/>
    <n v="1"/>
    <x v="1"/>
    <x v="3219"/>
    <n v="1801.77"/>
    <n v="0"/>
    <s v="7260019"/>
    <m/>
    <n v="23962.999899999999"/>
    <n v="0"/>
    <n v="77152"/>
  </r>
  <r>
    <x v="6"/>
    <s v="02576-3"/>
    <s v="Solvangskolen Pedelbolig, Nord 60"/>
    <n v="6369"/>
    <m/>
    <s v="Solvangskolen Pedelbolig"/>
    <x v="52"/>
    <x v="0"/>
    <x v="1"/>
    <n v="1950.51"/>
    <n v="12"/>
    <s v="2012-01-25"/>
    <n v="0"/>
    <n v="110"/>
    <n v="17.715803000000001"/>
    <n v="2"/>
    <x v="2"/>
    <x v="3220"/>
    <n v="780.2"/>
    <n v="0"/>
    <s v="340199"/>
    <s v="74112645957"/>
    <n v="1950.501"/>
    <n v="0"/>
    <n v="62718"/>
  </r>
  <r>
    <x v="14"/>
    <s v="6388"/>
    <s v="Lillevang plejecenter"/>
    <n v="13266"/>
    <s v="0"/>
    <s v="Lillevang"/>
    <x v="102"/>
    <x v="0"/>
    <x v="7"/>
    <n v="259967.44"/>
    <n v="12"/>
    <s v="2012-01-26"/>
    <n v="0"/>
    <n v="1357"/>
    <n v="191.56100499999999"/>
    <n v="1"/>
    <x v="4"/>
    <x v="3221"/>
    <n v="66184.820000000007"/>
    <n v="0"/>
    <s v="1200501"/>
    <m/>
    <n v="24071.06"/>
    <n v="0"/>
    <n v="90993"/>
  </r>
  <r>
    <x v="14"/>
    <m/>
    <s v="Plejehjemmet Søndersø"/>
    <n v="10323"/>
    <m/>
    <s v="Plejehjemmet Søndersø"/>
    <x v="103"/>
    <x v="0"/>
    <x v="7"/>
    <n v="278683.52000000002"/>
    <n v="12"/>
    <s v="2011-12-30"/>
    <n v="0"/>
    <n v="2114"/>
    <n v="131.82135099999999"/>
    <n v="1"/>
    <x v="4"/>
    <x v="3222"/>
    <n v="69018.009999999995"/>
    <n v="0"/>
    <s v="99A368317"/>
    <s v="98000138945"/>
    <n v="25804.03"/>
    <n v="0"/>
    <n v="77831"/>
  </r>
  <r>
    <x v="6"/>
    <s v="02576-3"/>
    <s v="Solvangskolen Pedelbolig, Nord 60"/>
    <n v="6369"/>
    <m/>
    <s v="Solvangskolen Pedelbolig"/>
    <x v="52"/>
    <x v="0"/>
    <x v="7"/>
    <n v="13.38"/>
    <n v="12"/>
    <s v="2011-12-31"/>
    <n v="0"/>
    <n v="110"/>
    <n v="0.12152499999999999"/>
    <n v="3"/>
    <x v="0"/>
    <x v="3223"/>
    <n v="10.68"/>
    <n v="0"/>
    <s v="98393075"/>
    <m/>
    <n v="13.358000000000001"/>
    <n v="0"/>
    <n v="62720"/>
  </r>
  <r>
    <x v="6"/>
    <s v="02576-3"/>
    <s v="Solvangskolen, Nord 58"/>
    <n v="5474"/>
    <m/>
    <s v="Solvangskolen"/>
    <x v="52"/>
    <x v="0"/>
    <x v="1"/>
    <n v="190219.44"/>
    <n v="12"/>
    <s v="2005-06-01"/>
    <n v="0"/>
    <n v="10600"/>
    <n v="17.945060000000002"/>
    <n v="2"/>
    <x v="2"/>
    <x v="3224"/>
    <n v="76087.77"/>
    <n v="0"/>
    <s v="70-007511 / 138425"/>
    <s v="74111462838 ??? 741 1600 8772"/>
    <n v="190219.44"/>
    <n v="0"/>
    <n v="57910"/>
  </r>
  <r>
    <x v="6"/>
    <s v="02576-3"/>
    <s v="Solvangskolen, Nord 58"/>
    <n v="5474"/>
    <m/>
    <s v="Solvangskolen"/>
    <x v="52"/>
    <x v="0"/>
    <x v="7"/>
    <n v="1743.44"/>
    <n v="12"/>
    <s v="2005-06-01"/>
    <n v="0"/>
    <n v="10600"/>
    <n v="0.16447300000000001"/>
    <n v="3"/>
    <x v="0"/>
    <x v="3225"/>
    <n v="1394.75"/>
    <n v="0"/>
    <s v="BK 1012217"/>
    <m/>
    <n v="1743.44"/>
    <n v="0"/>
    <n v="57911"/>
  </r>
  <r>
    <x v="6"/>
    <s v="02576-3"/>
    <s v="Solvangskolen, Nord 58"/>
    <n v="5474"/>
    <m/>
    <s v="Solvangskolen"/>
    <x v="52"/>
    <x v="0"/>
    <x v="7"/>
    <n v="317.54000000000002"/>
    <n v="12"/>
    <s v="2005-07-01"/>
    <n v="0"/>
    <n v="10600"/>
    <n v="2.9956E-2"/>
    <n v="3"/>
    <x v="0"/>
    <x v="3226"/>
    <n v="0"/>
    <n v="1"/>
    <s v="Varmt vand"/>
    <m/>
    <n v="317.54000000000002"/>
    <n v="0"/>
    <n v="58235"/>
  </r>
  <r>
    <x v="6"/>
    <m/>
    <s v="Sprogskolen, Hvedemarken 3-5"/>
    <n v="5534"/>
    <m/>
    <s v="Sprogskolen"/>
    <x v="117"/>
    <x v="0"/>
    <x v="1"/>
    <n v="16773.95"/>
    <n v="12"/>
    <s v="2005-06-15"/>
    <n v="0"/>
    <n v="1021"/>
    <n v="16.427333000000001"/>
    <n v="2"/>
    <x v="2"/>
    <x v="3227"/>
    <n v="6709.58"/>
    <n v="0"/>
    <s v="BM 309000176879"/>
    <m/>
    <n v="16773.95"/>
    <n v="0"/>
    <n v="58251"/>
  </r>
  <r>
    <x v="6"/>
    <s v="03953-5"/>
    <s v="Stavnsholtskolen"/>
    <n v="5471"/>
    <m/>
    <s v="Stavnholtskolen"/>
    <x v="114"/>
    <x v="0"/>
    <x v="1"/>
    <n v="227324"/>
    <n v="12"/>
    <s v="2005-07-01"/>
    <n v="0"/>
    <n v="8656"/>
    <n v="26.261710999999998"/>
    <n v="2"/>
    <x v="2"/>
    <x v="3228"/>
    <n v="90929.59"/>
    <n v="0"/>
    <s v="1129239"/>
    <s v="74120010259"/>
    <n v="227324"/>
    <n v="0"/>
    <n v="57890"/>
  </r>
  <r>
    <x v="6"/>
    <s v="03953-5"/>
    <s v="Stavnsholtskolen"/>
    <n v="5471"/>
    <m/>
    <s v="Stavnholtskolen"/>
    <x v="114"/>
    <x v="1"/>
    <x v="7"/>
    <n v="421097.88"/>
    <n v="12"/>
    <s v="2005-06-01"/>
    <n v="0"/>
    <n v="8656"/>
    <n v="48.647528999999999"/>
    <n v="1"/>
    <x v="3"/>
    <x v="3229"/>
    <n v="1200570.5"/>
    <n v="1"/>
    <s v="4202552"/>
    <m/>
    <n v="12069.3"/>
    <n v="0"/>
    <n v="57897"/>
  </r>
  <r>
    <x v="6"/>
    <s v="03953-5"/>
    <s v="Stavnsholtskolen"/>
    <n v="5473"/>
    <m/>
    <s v="Bimåler BV"/>
    <x v="114"/>
    <x v="1"/>
    <x v="7"/>
    <n v="25.55"/>
    <n v="12"/>
    <m/>
    <n v="0"/>
    <n v="0"/>
    <n v="255.5"/>
    <n v="3"/>
    <x v="0"/>
    <x v="3230"/>
    <n v="20.43"/>
    <n v="1"/>
    <s v="BV01"/>
    <m/>
    <n v="25.55"/>
    <n v="0"/>
    <n v="57899"/>
  </r>
  <r>
    <x v="6"/>
    <s v="03953-5"/>
    <s v="Stavnsholtskolen"/>
    <n v="5473"/>
    <m/>
    <s v="Bimåler BV"/>
    <x v="114"/>
    <x v="1"/>
    <x v="7"/>
    <n v="88.13"/>
    <n v="12"/>
    <m/>
    <n v="0"/>
    <n v="0"/>
    <n v="881.3"/>
    <n v="3"/>
    <x v="0"/>
    <x v="3231"/>
    <n v="70.510000000000005"/>
    <n v="1"/>
    <s v="BV02"/>
    <m/>
    <n v="88.13"/>
    <n v="0"/>
    <n v="57900"/>
  </r>
  <r>
    <x v="6"/>
    <s v="03953-5"/>
    <s v="Stavnsholtskolen"/>
    <n v="5471"/>
    <m/>
    <s v="Stavnholtskolen"/>
    <x v="114"/>
    <x v="0"/>
    <x v="7"/>
    <n v="1530.31"/>
    <n v="12"/>
    <s v="2005-06-01"/>
    <n v="0"/>
    <n v="8656"/>
    <n v="0.176789"/>
    <n v="3"/>
    <x v="0"/>
    <x v="3232"/>
    <n v="1224.25"/>
    <n v="0"/>
    <s v="-10012206"/>
    <m/>
    <n v="1530.31"/>
    <n v="0"/>
    <n v="57892"/>
  </r>
  <r>
    <x v="6"/>
    <s v="03953-5"/>
    <s v="Stavnsholtskolen"/>
    <n v="5471"/>
    <m/>
    <s v="Stavnholtskolen"/>
    <x v="114"/>
    <x v="0"/>
    <x v="7"/>
    <n v="379350"/>
    <n v="12"/>
    <s v="2005-06-01"/>
    <n v="0"/>
    <n v="8656"/>
    <n v="43.824585999999996"/>
    <n v="1"/>
    <x v="1"/>
    <x v="3233"/>
    <n v="33779941.780000001"/>
    <n v="0"/>
    <s v="4202552"/>
    <m/>
    <n v="379350"/>
    <n v="0"/>
    <n v="57891"/>
  </r>
  <r>
    <x v="6"/>
    <s v="03953-5"/>
    <s v="Stavnsholtskolen"/>
    <n v="5471"/>
    <m/>
    <s v="Stavnholtskolen"/>
    <x v="114"/>
    <x v="0"/>
    <x v="7"/>
    <n v="357730"/>
    <n v="12"/>
    <m/>
    <n v="0"/>
    <n v="8656"/>
    <n v="41.326925000000003"/>
    <n v="1"/>
    <x v="1"/>
    <x v="3234"/>
    <n v="33543735"/>
    <n v="0"/>
    <s v="Ny ?"/>
    <m/>
    <n v="357730.00300000003"/>
    <n v="0"/>
    <n v="90717"/>
  </r>
  <r>
    <x v="6"/>
    <m/>
    <s v="Syvstjerneskolen, Skov 1"/>
    <n v="9223"/>
    <m/>
    <s v="Syvstjerneskolen"/>
    <x v="40"/>
    <x v="0"/>
    <x v="1"/>
    <n v="131570.67000000001"/>
    <n v="12"/>
    <m/>
    <n v="0"/>
    <n v="7936"/>
    <n v="16.578755999999998"/>
    <n v="2"/>
    <x v="2"/>
    <x v="3235"/>
    <n v="39471.19"/>
    <n v="0"/>
    <m/>
    <m/>
    <n v="131570.67000000001"/>
    <n v="0"/>
    <n v="72738"/>
  </r>
  <r>
    <x v="6"/>
    <m/>
    <s v="Egeskolen, Jon 150/286"/>
    <n v="9224"/>
    <m/>
    <s v="Egeskolen (under Jonstrup gl. seminarium)"/>
    <x v="109"/>
    <x v="0"/>
    <x v="7"/>
    <n v="433244.15999999997"/>
    <n v="12"/>
    <m/>
    <n v="0"/>
    <n v="4404"/>
    <n v="98.372916000000004"/>
    <n v="1"/>
    <x v="4"/>
    <x v="3236"/>
    <n v="108755.08"/>
    <n v="0"/>
    <m/>
    <s v="98001319152"/>
    <n v="40115.199999999997"/>
    <n v="0"/>
    <n v="77267"/>
  </r>
  <r>
    <x v="6"/>
    <m/>
    <s v="Syvstjerneskolen, Skov 1"/>
    <n v="9223"/>
    <m/>
    <s v="Syvstjerneskolen"/>
    <x v="40"/>
    <x v="0"/>
    <x v="7"/>
    <n v="740390"/>
    <n v="24"/>
    <m/>
    <n v="0"/>
    <n v="7936"/>
    <n v="93.293935000000005"/>
    <n v="1"/>
    <x v="5"/>
    <x v="3237"/>
    <n v="57248.93"/>
    <n v="0"/>
    <s v="65114949"/>
    <m/>
    <n v="740.39"/>
    <n v="0"/>
    <n v="92758"/>
  </r>
  <r>
    <x v="6"/>
    <m/>
    <s v="Syvstjerneskolen, Skov 1"/>
    <n v="9223"/>
    <m/>
    <s v="Syvstjerneskolen"/>
    <x v="40"/>
    <x v="0"/>
    <x v="7"/>
    <n v="943.26"/>
    <n v="12"/>
    <m/>
    <n v="0"/>
    <n v="7936"/>
    <n v="0.118856"/>
    <n v="3"/>
    <x v="0"/>
    <x v="3238"/>
    <n v="754.61"/>
    <n v="0"/>
    <m/>
    <m/>
    <n v="943.27499999999998"/>
    <n v="0"/>
    <n v="72739"/>
  </r>
  <r>
    <x v="6"/>
    <m/>
    <s v="Søndersøskolen Pedelbolig KV48"/>
    <n v="10321"/>
    <m/>
    <s v="Søndersøskolen Pedelbolig"/>
    <x v="115"/>
    <x v="0"/>
    <x v="1"/>
    <n v="2966.65"/>
    <n v="12"/>
    <s v="2012-01-25"/>
    <n v="0"/>
    <n v="126"/>
    <n v="23.526168999999999"/>
    <n v="2"/>
    <x v="2"/>
    <x v="3239"/>
    <n v="889.99"/>
    <n v="0"/>
    <s v="4148704"/>
    <s v="74112755489"/>
    <n v="2966.6464999999998"/>
    <n v="0"/>
    <n v="77808"/>
  </r>
  <r>
    <x v="6"/>
    <m/>
    <s v="Syvstjerneskolen, Skov 1"/>
    <n v="9223"/>
    <m/>
    <s v="Syvstjerneskolen"/>
    <x v="40"/>
    <x v="1"/>
    <x v="7"/>
    <n v="-1590.64"/>
    <n v="12"/>
    <m/>
    <n v="0"/>
    <n v="7936"/>
    <n v="-0.20043"/>
    <n v="2"/>
    <x v="9"/>
    <x v="3240"/>
    <n v="-746.02"/>
    <n v="0"/>
    <s v="Solceller"/>
    <m/>
    <n v="1590.64"/>
    <n v="0"/>
    <n v="96367"/>
  </r>
  <r>
    <x v="6"/>
    <m/>
    <s v="Søndersøskolen, KV50"/>
    <n v="9222"/>
    <m/>
    <s v="Søndersøskolen"/>
    <x v="116"/>
    <x v="1"/>
    <x v="7"/>
    <n v="763515.31"/>
    <n v="12"/>
    <m/>
    <n v="0"/>
    <n v="11252"/>
    <n v="67.855361000000002"/>
    <n v="1"/>
    <x v="3"/>
    <x v="3241"/>
    <n v="1683.47"/>
    <n v="1"/>
    <m/>
    <m/>
    <n v="21883.5"/>
    <n v="74423"/>
    <n v="74422"/>
  </r>
  <r>
    <x v="6"/>
    <m/>
    <s v="Søndersøskolen, KV50"/>
    <n v="9222"/>
    <m/>
    <s v="Søndersøskolen"/>
    <x v="116"/>
    <x v="0"/>
    <x v="7"/>
    <n v="1709"/>
    <n v="12"/>
    <m/>
    <n v="0"/>
    <n v="11252"/>
    <n v="0.15188199999999999"/>
    <n v="3"/>
    <x v="0"/>
    <x v="3242"/>
    <n v="1367.21"/>
    <n v="0"/>
    <m/>
    <m/>
    <n v="1709.002"/>
    <n v="0"/>
    <n v="72737"/>
  </r>
  <r>
    <x v="6"/>
    <m/>
    <s v="Søndersøskolen, KV50"/>
    <n v="9222"/>
    <m/>
    <s v="Søndersøskolen"/>
    <x v="116"/>
    <x v="0"/>
    <x v="7"/>
    <n v="702150"/>
    <n v="12"/>
    <m/>
    <n v="0"/>
    <n v="11252"/>
    <n v="62.401685000000001"/>
    <n v="1"/>
    <x v="1"/>
    <x v="3243"/>
    <n v="54151.23"/>
    <n v="0"/>
    <m/>
    <m/>
    <n v="702150"/>
    <n v="0"/>
    <n v="74423"/>
  </r>
  <r>
    <x v="6"/>
    <m/>
    <s v="Søndersøskolen, KV50"/>
    <n v="9222"/>
    <m/>
    <s v="Søndersøskolen"/>
    <x v="116"/>
    <x v="0"/>
    <x v="1"/>
    <n v="236543.33"/>
    <n v="12"/>
    <m/>
    <n v="0"/>
    <n v="11252"/>
    <n v="21.022148999999999"/>
    <n v="2"/>
    <x v="2"/>
    <x v="3244"/>
    <n v="70962.990000000005"/>
    <n v="0"/>
    <s v="44614"/>
    <s v="74110485951"/>
    <n v="236543.33300000001"/>
    <n v="0"/>
    <n v="72736"/>
  </r>
  <r>
    <x v="6"/>
    <m/>
    <s v="Ungdomsskolen, Farum"/>
    <n v="5956"/>
    <m/>
    <s v="Ungdomsskolen 11A"/>
    <x v="118"/>
    <x v="0"/>
    <x v="1"/>
    <n v="14117.16"/>
    <n v="12"/>
    <m/>
    <n v="0"/>
    <n v="186"/>
    <n v="75.857924999999994"/>
    <n v="2"/>
    <x v="2"/>
    <x v="3245"/>
    <n v="4235.13"/>
    <n v="0"/>
    <s v="ny"/>
    <s v="74115167586"/>
    <n v="14117.149600000001"/>
    <n v="0"/>
    <n v="91057"/>
  </r>
  <r>
    <x v="6"/>
    <m/>
    <s v="Ungdomsskolen, Farum"/>
    <n v="5942"/>
    <m/>
    <s v="Ungdomsskolen 9A"/>
    <x v="118"/>
    <x v="0"/>
    <x v="1"/>
    <n v="4957"/>
    <n v="12"/>
    <m/>
    <n v="0"/>
    <n v="506"/>
    <n v="9.7945069999999994"/>
    <n v="2"/>
    <x v="2"/>
    <x v="3246"/>
    <n v="1487.11"/>
    <n v="0"/>
    <m/>
    <s v="74111907032"/>
    <n v="4956.9885999999997"/>
    <n v="0"/>
    <n v="91058"/>
  </r>
  <r>
    <x v="6"/>
    <m/>
    <s v="Egeskolen, Jon 150/286"/>
    <n v="9224"/>
    <m/>
    <s v="Egeskolen (under Jonstrup gl. seminarium)"/>
    <x v="109"/>
    <x v="0"/>
    <x v="2"/>
    <n v="90437.48"/>
    <n v="12"/>
    <m/>
    <n v="0"/>
    <n v="4404"/>
    <n v="20.534837"/>
    <n v="2"/>
    <x v="2"/>
    <x v="3247"/>
    <n v="36175"/>
    <n v="0"/>
    <s v="459312"/>
    <s v="5713131 74113161562"/>
    <n v="90437.47"/>
    <n v="0"/>
    <n v="72740"/>
  </r>
  <r>
    <x v="6"/>
    <m/>
    <s v="Egeskolen, Jon 150/286"/>
    <n v="9224"/>
    <m/>
    <s v="Egeskolen (under Jonstrup gl. seminarium)"/>
    <x v="109"/>
    <x v="0"/>
    <x v="3"/>
    <n v="118919.97"/>
    <n v="12"/>
    <m/>
    <n v="0"/>
    <n v="4404"/>
    <n v="27.002103999999999"/>
    <n v="2"/>
    <x v="2"/>
    <x v="3248"/>
    <n v="55773.47"/>
    <n v="0"/>
    <s v="459312"/>
    <s v="5713131 74113161562"/>
    <n v="118919.97100000001"/>
    <n v="0"/>
    <n v="72740"/>
  </r>
  <r>
    <x v="6"/>
    <m/>
    <s v="Egeskolen, Jon 150/286"/>
    <n v="9224"/>
    <m/>
    <s v="Egeskolen (under Jonstrup gl. seminarium)"/>
    <x v="109"/>
    <x v="0"/>
    <x v="4"/>
    <n v="108923.1"/>
    <n v="12"/>
    <m/>
    <n v="0"/>
    <n v="4404"/>
    <n v="24.732203999999999"/>
    <n v="2"/>
    <x v="2"/>
    <x v="3249"/>
    <n v="51084.94"/>
    <n v="0"/>
    <s v="459312"/>
    <s v="5713131 74113161562"/>
    <n v="108923.08900000001"/>
    <n v="0"/>
    <n v="72740"/>
  </r>
  <r>
    <x v="6"/>
    <m/>
    <s v="Egeskolen, Jon 150/286"/>
    <n v="9224"/>
    <m/>
    <s v="Egeskolen (under Jonstrup gl. seminarium)"/>
    <x v="109"/>
    <x v="0"/>
    <x v="5"/>
    <n v="102984.96000000001"/>
    <n v="12"/>
    <m/>
    <n v="0"/>
    <n v="4404"/>
    <n v="23.383883000000001"/>
    <n v="2"/>
    <x v="2"/>
    <x v="3250"/>
    <n v="48299.97"/>
    <n v="0"/>
    <s v="459312"/>
    <s v="5713131 74113161562"/>
    <n v="102984.961"/>
    <n v="0"/>
    <n v="72740"/>
  </r>
  <r>
    <x v="6"/>
    <m/>
    <s v="Egeskolen, Jon 150/286"/>
    <n v="9224"/>
    <m/>
    <s v="Egeskolen (under Jonstrup gl. seminarium)"/>
    <x v="109"/>
    <x v="0"/>
    <x v="6"/>
    <n v="81710.399999999994"/>
    <n v="12"/>
    <m/>
    <n v="0"/>
    <n v="4404"/>
    <n v="18.553256999999999"/>
    <n v="2"/>
    <x v="2"/>
    <x v="3251"/>
    <n v="38322.18"/>
    <n v="0"/>
    <s v="459312"/>
    <s v="5713131 74113161562"/>
    <n v="81710.404999999999"/>
    <n v="0"/>
    <n v="72740"/>
  </r>
  <r>
    <x v="6"/>
    <m/>
    <s v="Egeskolen, Jon 150/286"/>
    <n v="9224"/>
    <m/>
    <s v="Egeskolen (under Jonstrup gl. seminarium)"/>
    <x v="109"/>
    <x v="0"/>
    <x v="6"/>
    <n v="30153.67"/>
    <n v="3"/>
    <s v="2008-04-01"/>
    <n v="0"/>
    <n v="4404"/>
    <n v="6.8467260000000003"/>
    <n v="2"/>
    <x v="2"/>
    <x v="3252"/>
    <n v="14142.08"/>
    <n v="0"/>
    <s v="AFMELDT"/>
    <m/>
    <n v="30153.67742"/>
    <n v="0"/>
    <n v="77971"/>
  </r>
  <r>
    <x v="6"/>
    <m/>
    <s v="Hareskov gl. bibliotek, Hareskov Skole, POP13"/>
    <n v="10230"/>
    <m/>
    <s v="1.st. klasse huset, Hareskov Skole"/>
    <x v="108"/>
    <x v="0"/>
    <x v="7"/>
    <n v="15086.48"/>
    <n v="12"/>
    <s v="2011-12-31"/>
    <n v="0"/>
    <n v="711"/>
    <n v="21.215693000000002"/>
    <n v="2"/>
    <x v="2"/>
    <x v="3253"/>
    <n v="4525.9399999999996"/>
    <n v="0"/>
    <s v="T 96163"/>
    <s v="74112041124"/>
    <n v="15086.470600000001"/>
    <n v="0"/>
    <n v="77501"/>
  </r>
  <r>
    <x v="6"/>
    <m/>
    <s v="Egeskolen, Jon 150/286"/>
    <n v="9224"/>
    <m/>
    <s v="Egeskolen (under Jonstrup gl. seminarium)"/>
    <x v="109"/>
    <x v="0"/>
    <x v="7"/>
    <n v="86243.16"/>
    <n v="12"/>
    <m/>
    <n v="0"/>
    <n v="4404"/>
    <n v="19.582470000000001"/>
    <n v="2"/>
    <x v="2"/>
    <x v="3254"/>
    <n v="25872.94"/>
    <n v="0"/>
    <s v="459312"/>
    <s v="5713131 74113161562"/>
    <n v="86243.163"/>
    <n v="0"/>
    <n v="72740"/>
  </r>
  <r>
    <x v="6"/>
    <m/>
    <s v="Hareskov gl. bibliotek, Hareskov Skole, POP13"/>
    <n v="10230"/>
    <m/>
    <s v="1.st. klasse huset, Hareskov Skole"/>
    <x v="108"/>
    <x v="0"/>
    <x v="2"/>
    <n v="11867.13"/>
    <n v="12"/>
    <s v="2011-12-31"/>
    <n v="0"/>
    <n v="711"/>
    <n v="16.688412"/>
    <n v="2"/>
    <x v="2"/>
    <x v="3255"/>
    <n v="4746.8500000000004"/>
    <n v="0"/>
    <s v="T 96163"/>
    <s v="74112041124"/>
    <n v="11867.135"/>
    <n v="0"/>
    <n v="77501"/>
  </r>
  <r>
    <x v="6"/>
    <m/>
    <s v="Hareskov gl. bibliotek, Hareskov Skole, POP13"/>
    <n v="10230"/>
    <m/>
    <s v="1.st. klasse huset, Hareskov Skole"/>
    <x v="108"/>
    <x v="0"/>
    <x v="3"/>
    <n v="12006.28"/>
    <n v="10"/>
    <s v="2011-12-31"/>
    <n v="0"/>
    <n v="711"/>
    <n v="16.884094999999999"/>
    <n v="2"/>
    <x v="2"/>
    <x v="3256"/>
    <n v="5630.94"/>
    <n v="0"/>
    <s v="T 96163"/>
    <s v="74112041124"/>
    <n v="12006.27274"/>
    <n v="0"/>
    <n v="77501"/>
  </r>
  <r>
    <x v="6"/>
    <m/>
    <s v="Hareskov gl. bibliotek, Hareskov Skole, POP13"/>
    <n v="10230"/>
    <m/>
    <s v="1.st. klasse huset, Hareskov Skole"/>
    <x v="108"/>
    <x v="0"/>
    <x v="4"/>
    <n v="12242.7"/>
    <n v="11"/>
    <s v="2011-12-31"/>
    <n v="0"/>
    <n v="711"/>
    <n v="17.216564999999999"/>
    <n v="2"/>
    <x v="2"/>
    <x v="3257"/>
    <n v="5741.83"/>
    <n v="0"/>
    <s v="T 96163"/>
    <s v="74112041124"/>
    <n v="12242.698700000001"/>
    <n v="0"/>
    <n v="77501"/>
  </r>
  <r>
    <x v="6"/>
    <m/>
    <s v="Hareskov gl. bibliotek, Hareskov Skole, POP13"/>
    <n v="10230"/>
    <m/>
    <s v="1.st. klasse huset, Hareskov Skole"/>
    <x v="108"/>
    <x v="0"/>
    <x v="5"/>
    <n v="12565.03"/>
    <n v="14"/>
    <s v="2011-12-31"/>
    <n v="0"/>
    <n v="711"/>
    <n v="17.669848999999999"/>
    <n v="2"/>
    <x v="2"/>
    <x v="3258"/>
    <n v="5892.99"/>
    <n v="0"/>
    <s v="T 96163"/>
    <s v="74112041124"/>
    <n v="12565.028560000001"/>
    <n v="0"/>
    <n v="77501"/>
  </r>
  <r>
    <x v="6"/>
    <m/>
    <s v="Hareskov gl. bibliotek, Hareskov Skole, POP13"/>
    <n v="10230"/>
    <m/>
    <s v="1.st. klasse huset, Hareskov Skole"/>
    <x v="108"/>
    <x v="0"/>
    <x v="6"/>
    <n v="12884.55"/>
    <n v="9"/>
    <s v="2011-12-31"/>
    <n v="0"/>
    <n v="711"/>
    <n v="18.119181000000001"/>
    <n v="2"/>
    <x v="2"/>
    <x v="3259"/>
    <n v="6042.85"/>
    <n v="0"/>
    <s v="T 96163"/>
    <s v="74112041124"/>
    <n v="12884.5435"/>
    <n v="0"/>
    <n v="77501"/>
  </r>
  <r>
    <x v="6"/>
    <m/>
    <s v="Søndersøskolen Pedelbolig KV48"/>
    <n v="10321"/>
    <m/>
    <s v="Søndersøskolen Pedelbolig"/>
    <x v="115"/>
    <x v="0"/>
    <x v="7"/>
    <n v="5023.71"/>
    <n v="12"/>
    <s v="2012-01-25"/>
    <n v="0"/>
    <n v="126"/>
    <n v="39.839095"/>
    <n v="2"/>
    <x v="2"/>
    <x v="3260"/>
    <n v="1507.11"/>
    <n v="0"/>
    <s v="4148704"/>
    <s v="74112755489"/>
    <n v="5023.7110000000002"/>
    <n v="0"/>
    <n v="77808"/>
  </r>
  <r>
    <x v="6"/>
    <m/>
    <s v="Hareskov Skole, POP 6-12"/>
    <n v="10991"/>
    <m/>
    <s v="Bygning 8, Svømmehal"/>
    <x v="110"/>
    <x v="0"/>
    <x v="7"/>
    <n v="61236.36"/>
    <n v="10"/>
    <s v="2015-05-04"/>
    <n v="0"/>
    <n v="1475"/>
    <n v="41.513361000000003"/>
    <n v="2"/>
    <x v="2"/>
    <x v="3261"/>
    <n v="18370.900000000001"/>
    <n v="0"/>
    <s v="211700-210"/>
    <m/>
    <n v="61236.359850000001"/>
    <n v="0"/>
    <n v="79756"/>
  </r>
  <r>
    <x v="6"/>
    <m/>
    <s v="Hareskov Skole, POP 6-12"/>
    <n v="10991"/>
    <m/>
    <s v="Bygning 8, Svømmehal"/>
    <x v="110"/>
    <x v="0"/>
    <x v="2"/>
    <n v="60121.35"/>
    <n v="11"/>
    <s v="2015-05-04"/>
    <n v="0"/>
    <n v="1475"/>
    <n v="40.757474000000002"/>
    <n v="2"/>
    <x v="2"/>
    <x v="3262"/>
    <n v="24048.53"/>
    <n v="0"/>
    <s v="211700-210"/>
    <m/>
    <n v="60121.359450000004"/>
    <n v="0"/>
    <n v="79756"/>
  </r>
  <r>
    <x v="6"/>
    <m/>
    <s v="Hareskov Skole, POP 6-12"/>
    <n v="10991"/>
    <m/>
    <s v="Bygning 8, Svømmehal"/>
    <x v="110"/>
    <x v="0"/>
    <x v="3"/>
    <n v="53848.94"/>
    <n v="8"/>
    <s v="2015-05-04"/>
    <n v="0"/>
    <n v="1475"/>
    <n v="36.505279999999999"/>
    <n v="2"/>
    <x v="2"/>
    <x v="3263"/>
    <n v="25255.15"/>
    <n v="0"/>
    <s v="211700-210"/>
    <m/>
    <n v="53848.92209"/>
    <n v="0"/>
    <n v="79756"/>
  </r>
  <r>
    <x v="6"/>
    <m/>
    <s v="Hareskov Skole, POP 6-12"/>
    <n v="10991"/>
    <m/>
    <s v="Bygning 8, Svømmehal"/>
    <x v="110"/>
    <x v="0"/>
    <x v="4"/>
    <n v="72670.460000000006"/>
    <n v="12"/>
    <s v="2015-05-04"/>
    <n v="0"/>
    <n v="1475"/>
    <n v="49.264767999999997"/>
    <n v="2"/>
    <x v="2"/>
    <x v="3264"/>
    <n v="34082.449999999997"/>
    <n v="0"/>
    <s v="211700-210"/>
    <m/>
    <n v="72670.449349999995"/>
    <n v="0"/>
    <n v="79756"/>
  </r>
  <r>
    <x v="6"/>
    <m/>
    <s v="Hareskov Skole, POP 6-12"/>
    <n v="10991"/>
    <m/>
    <s v="Bygning 8, Svømmehal"/>
    <x v="110"/>
    <x v="0"/>
    <x v="5"/>
    <n v="74017.78"/>
    <n v="11"/>
    <s v="2015-05-04"/>
    <n v="0"/>
    <n v="1475"/>
    <n v="50.178142999999999"/>
    <n v="2"/>
    <x v="2"/>
    <x v="3265"/>
    <n v="34714.36"/>
    <n v="0"/>
    <s v="211700-210"/>
    <m/>
    <n v="74017.785260000004"/>
    <n v="0"/>
    <n v="79756"/>
  </r>
  <r>
    <x v="6"/>
    <m/>
    <s v="Hareskov Skole, POP 6-12"/>
    <n v="10991"/>
    <m/>
    <s v="Bygning 8, Svømmehal"/>
    <x v="110"/>
    <x v="0"/>
    <x v="6"/>
    <n v="62175.19"/>
    <n v="13"/>
    <s v="2015-05-04"/>
    <n v="0"/>
    <n v="1475"/>
    <n v="42.149813000000002"/>
    <n v="2"/>
    <x v="2"/>
    <x v="3266"/>
    <n v="29160.2"/>
    <n v="0"/>
    <s v="211700-210"/>
    <m/>
    <n v="62175.19354"/>
    <n v="0"/>
    <n v="79756"/>
  </r>
  <r>
    <x v="6"/>
    <m/>
    <s v="Hareskov Skole, POP 6-12"/>
    <n v="9220"/>
    <m/>
    <s v="Hareskov Skole"/>
    <x v="110"/>
    <x v="0"/>
    <x v="7"/>
    <n v="174323.22"/>
    <n v="12"/>
    <s v="2010-11-29"/>
    <n v="0"/>
    <n v="7549"/>
    <n v="23.091919999999998"/>
    <n v="2"/>
    <x v="2"/>
    <x v="3267"/>
    <n v="52296.98"/>
    <n v="0"/>
    <s v="Hovedmåler 577428"/>
    <m/>
    <n v="174323.22115"/>
    <n v="0"/>
    <n v="78606"/>
  </r>
  <r>
    <x v="6"/>
    <m/>
    <s v="Hareskov Skole, POP 6-12"/>
    <n v="11000"/>
    <m/>
    <s v="POP-øst"/>
    <x v="110"/>
    <x v="0"/>
    <x v="7"/>
    <n v="2141.29"/>
    <n v="9"/>
    <s v="2015-05-04"/>
    <n v="0"/>
    <n v="652"/>
    <n v="3.2836829999999999"/>
    <n v="2"/>
    <x v="2"/>
    <x v="3268"/>
    <n v="642.4"/>
    <n v="0"/>
    <s v="525766"/>
    <s v="74110490436"/>
    <n v="2141.3000099999999"/>
    <n v="0"/>
    <n v="79720"/>
  </r>
  <r>
    <x v="6"/>
    <m/>
    <s v="Hareskov Skole, POP 6-12"/>
    <n v="9220"/>
    <m/>
    <s v="Hareskov Skole"/>
    <x v="110"/>
    <x v="0"/>
    <x v="2"/>
    <n v="162594.85"/>
    <n v="12"/>
    <s v="2010-11-29"/>
    <n v="0"/>
    <n v="7549"/>
    <n v="21.538309000000002"/>
    <n v="2"/>
    <x v="2"/>
    <x v="3269"/>
    <n v="65037.95"/>
    <n v="0"/>
    <s v="Hovedmåler 577428"/>
    <m/>
    <n v="162594.83055000001"/>
    <n v="0"/>
    <n v="78606"/>
  </r>
  <r>
    <x v="6"/>
    <m/>
    <s v="Hareskov Skole, POP 6-12"/>
    <n v="9220"/>
    <m/>
    <s v="Hareskov Skole"/>
    <x v="110"/>
    <x v="0"/>
    <x v="3"/>
    <n v="181504.63"/>
    <n v="12"/>
    <s v="2010-11-29"/>
    <n v="0"/>
    <n v="7549"/>
    <n v="24.043213999999999"/>
    <n v="2"/>
    <x v="2"/>
    <x v="3270"/>
    <n v="85125.69"/>
    <n v="0"/>
    <s v="Hovedmåler 577428"/>
    <m/>
    <n v="181504.65101"/>
    <n v="0"/>
    <n v="78606"/>
  </r>
  <r>
    <x v="6"/>
    <m/>
    <s v="Hareskov Skole, POP 6-12"/>
    <n v="9220"/>
    <m/>
    <s v="Hareskov Skole"/>
    <x v="110"/>
    <x v="0"/>
    <x v="4"/>
    <n v="218232.36"/>
    <n v="2"/>
    <s v="2010-11-29"/>
    <n v="0"/>
    <n v="7549"/>
    <n v="28.908394000000001"/>
    <n v="2"/>
    <x v="2"/>
    <x v="3271"/>
    <n v="102350.95"/>
    <n v="0"/>
    <s v="Hovedmåler 577428"/>
    <m/>
    <n v="218232.36191000001"/>
    <n v="0"/>
    <n v="78606"/>
  </r>
  <r>
    <x v="6"/>
    <m/>
    <s v="Hareskov Skole, POP 6-12"/>
    <n v="9220"/>
    <m/>
    <s v="Hareskov Skole"/>
    <x v="110"/>
    <x v="0"/>
    <x v="5"/>
    <n v="229054.33"/>
    <n v="1"/>
    <s v="2010-11-29"/>
    <n v="0"/>
    <n v="7549"/>
    <n v="30.341937999999999"/>
    <n v="2"/>
    <x v="2"/>
    <x v="3272"/>
    <n v="107426.42"/>
    <n v="0"/>
    <s v="Hovedmåler 577428"/>
    <m/>
    <n v="229054.32806"/>
    <n v="0"/>
    <n v="78606"/>
  </r>
  <r>
    <x v="6"/>
    <m/>
    <s v="Hareskov Skole, POP 6-12"/>
    <n v="9220"/>
    <m/>
    <s v="Hareskov Skole"/>
    <x v="110"/>
    <x v="0"/>
    <x v="6"/>
    <n v="248925.81"/>
    <n v="9"/>
    <s v="2010-11-29"/>
    <n v="0"/>
    <n v="7549"/>
    <n v="32.974235999999998"/>
    <n v="2"/>
    <x v="2"/>
    <x v="3273"/>
    <n v="116746.16"/>
    <n v="0"/>
    <s v="Hovedmåler 577428"/>
    <m/>
    <n v="248925.78236000001"/>
    <n v="0"/>
    <n v="78606"/>
  </r>
  <r>
    <x v="6"/>
    <m/>
    <s v="Lille Værløse skole"/>
    <n v="14253"/>
    <s v="0"/>
    <s v="Bygning B+C"/>
    <x v="111"/>
    <x v="0"/>
    <x v="7"/>
    <n v="256603.32"/>
    <n v="12"/>
    <s v="2011-05-31"/>
    <n v="0"/>
    <n v="6105"/>
    <n v="42.030977"/>
    <n v="2"/>
    <x v="2"/>
    <x v="3274"/>
    <n v="76981.009999999995"/>
    <n v="0"/>
    <s v="384246"/>
    <s v="74110485968"/>
    <n v="256603.32"/>
    <n v="0"/>
    <n v="72734"/>
  </r>
  <r>
    <x v="6"/>
    <m/>
    <s v="Lillestjernen, LV 91-93"/>
    <n v="9518"/>
    <m/>
    <s v="Lillestjernen"/>
    <x v="86"/>
    <x v="0"/>
    <x v="7"/>
    <n v="59331.39"/>
    <n v="12"/>
    <m/>
    <n v="0"/>
    <n v="2128"/>
    <n v="27.879981999999998"/>
    <n v="2"/>
    <x v="2"/>
    <x v="3275"/>
    <n v="17799.400000000001"/>
    <n v="0"/>
    <s v="3108097"/>
    <s v="74110486019"/>
    <n v="59331.396000000001"/>
    <n v="0"/>
    <n v="74428"/>
  </r>
  <r>
    <x v="6"/>
    <m/>
    <s v="Hareskov Skole, POP 6-12"/>
    <n v="11000"/>
    <m/>
    <s v="POP-øst"/>
    <x v="110"/>
    <x v="0"/>
    <x v="2"/>
    <n v="1952.57"/>
    <n v="11"/>
    <s v="2015-05-04"/>
    <n v="0"/>
    <n v="652"/>
    <n v="2.9942799999999998"/>
    <n v="2"/>
    <x v="2"/>
    <x v="3276"/>
    <n v="781.04"/>
    <n v="0"/>
    <s v="525766"/>
    <s v="74110490436"/>
    <n v="1952.57374"/>
    <n v="0"/>
    <n v="79720"/>
  </r>
  <r>
    <x v="6"/>
    <m/>
    <s v="Hareskov Skole, POP 6-12"/>
    <n v="11000"/>
    <m/>
    <s v="POP-øst"/>
    <x v="110"/>
    <x v="0"/>
    <x v="3"/>
    <n v="2098.98"/>
    <n v="8"/>
    <s v="2015-05-04"/>
    <n v="0"/>
    <n v="652"/>
    <n v="3.2187999999999999"/>
    <n v="2"/>
    <x v="2"/>
    <x v="3277"/>
    <n v="984.43"/>
    <n v="0"/>
    <s v="525766"/>
    <s v="74110490436"/>
    <n v="2098.9805200000001"/>
    <n v="0"/>
    <n v="79720"/>
  </r>
  <r>
    <x v="6"/>
    <m/>
    <s v="Hareskov Skole, POP 6-12"/>
    <n v="11000"/>
    <m/>
    <s v="POP-øst"/>
    <x v="110"/>
    <x v="0"/>
    <x v="4"/>
    <n v="4681.32"/>
    <n v="12"/>
    <s v="2015-05-04"/>
    <n v="0"/>
    <n v="652"/>
    <n v="7.1788369999999997"/>
    <n v="2"/>
    <x v="2"/>
    <x v="3278"/>
    <n v="2195.54"/>
    <n v="0"/>
    <s v="525766"/>
    <s v="74110490436"/>
    <n v="4681.3194800000001"/>
    <n v="0"/>
    <n v="79720"/>
  </r>
  <r>
    <x v="6"/>
    <m/>
    <s v="Hareskov Skole, POP 6-12"/>
    <n v="11000"/>
    <m/>
    <s v="POP-øst"/>
    <x v="110"/>
    <x v="0"/>
    <x v="5"/>
    <n v="5361.31"/>
    <n v="11"/>
    <s v="2015-05-04"/>
    <n v="0"/>
    <n v="652"/>
    <n v="8.2216070000000006"/>
    <n v="2"/>
    <x v="2"/>
    <x v="3279"/>
    <n v="2514.46"/>
    <n v="0"/>
    <s v="525766"/>
    <s v="74110490436"/>
    <n v="5361.3198199999997"/>
    <n v="0"/>
    <n v="79720"/>
  </r>
  <r>
    <x v="6"/>
    <m/>
    <s v="Hareskov Skole, POP 6-12"/>
    <n v="11000"/>
    <m/>
    <s v="POP-øst"/>
    <x v="110"/>
    <x v="0"/>
    <x v="6"/>
    <n v="5222.07"/>
    <n v="12"/>
    <s v="2015-05-04"/>
    <n v="0"/>
    <n v="652"/>
    <n v="8.0080810000000007"/>
    <n v="2"/>
    <x v="2"/>
    <x v="3280"/>
    <n v="2449.15"/>
    <n v="0"/>
    <s v="525766"/>
    <s v="74110490436"/>
    <n v="5222.0645100000002"/>
    <n v="0"/>
    <n v="79720"/>
  </r>
  <r>
    <x v="6"/>
    <m/>
    <s v="Lillestjernen, LV 91-93"/>
    <n v="9519"/>
    <m/>
    <s v="Lillestjernen miniklub"/>
    <x v="86"/>
    <x v="0"/>
    <x v="7"/>
    <n v="9780.8700000000008"/>
    <n v="12"/>
    <m/>
    <n v="0"/>
    <n v="353"/>
    <n v="27.7"/>
    <n v="2"/>
    <x v="2"/>
    <x v="3281"/>
    <n v="2934.26"/>
    <n v="1"/>
    <m/>
    <m/>
    <n v="9780.8588999999993"/>
    <n v="0"/>
    <n v="74431"/>
  </r>
  <r>
    <x v="6"/>
    <s v="5756"/>
    <s v="Lyngholmskolen, Hvile 1"/>
    <n v="5481"/>
    <m/>
    <s v="Lyngholmskolen Diamanten"/>
    <x v="112"/>
    <x v="0"/>
    <x v="7"/>
    <n v="38841.730000000003"/>
    <n v="12"/>
    <s v="2005-07-01"/>
    <n v="0"/>
    <n v="1273"/>
    <n v="30.509567000000001"/>
    <n v="2"/>
    <x v="2"/>
    <x v="3282"/>
    <n v="15536.69"/>
    <n v="0"/>
    <s v="80018"/>
    <s v="74112176444"/>
    <n v="38841.72"/>
    <n v="0"/>
    <n v="57944"/>
  </r>
  <r>
    <x v="6"/>
    <m/>
    <s v="Lille Værløse skole"/>
    <n v="14253"/>
    <s v="0"/>
    <s v="Bygning B+C"/>
    <x v="111"/>
    <x v="0"/>
    <x v="2"/>
    <n v="319573.8"/>
    <n v="12"/>
    <s v="2011-05-31"/>
    <n v="0"/>
    <n v="6105"/>
    <n v="52.345382999999998"/>
    <n v="2"/>
    <x v="2"/>
    <x v="3283"/>
    <n v="127829.52"/>
    <n v="0"/>
    <s v="384246"/>
    <s v="74110485968"/>
    <n v="319573.8"/>
    <n v="0"/>
    <n v="72734"/>
  </r>
  <r>
    <x v="6"/>
    <m/>
    <s v="Lille Værløse skole"/>
    <n v="14253"/>
    <s v="0"/>
    <s v="Bygning B+C"/>
    <x v="111"/>
    <x v="0"/>
    <x v="3"/>
    <n v="366245.88"/>
    <n v="12"/>
    <s v="2011-05-31"/>
    <n v="0"/>
    <n v="6105"/>
    <n v="59.990152000000002"/>
    <n v="2"/>
    <x v="2"/>
    <x v="3284"/>
    <n v="171769.32"/>
    <n v="0"/>
    <s v="384246"/>
    <s v="74110485968"/>
    <n v="366245.87647000002"/>
    <n v="0"/>
    <n v="72734"/>
  </r>
  <r>
    <x v="6"/>
    <m/>
    <s v="Lille Værløse skole"/>
    <n v="14253"/>
    <s v="0"/>
    <s v="Bygning B+C"/>
    <x v="111"/>
    <x v="0"/>
    <x v="4"/>
    <n v="358148.07"/>
    <n v="5"/>
    <s v="2011-05-31"/>
    <n v="0"/>
    <n v="6105"/>
    <n v="58.663750999999998"/>
    <n v="2"/>
    <x v="2"/>
    <x v="3285"/>
    <n v="167971.44"/>
    <n v="0"/>
    <s v="384246"/>
    <s v="74110485968"/>
    <n v="358148.07971999998"/>
    <n v="0"/>
    <n v="72734"/>
  </r>
  <r>
    <x v="6"/>
    <m/>
    <s v="Lille Værløse skole"/>
    <n v="14253"/>
    <s v="0"/>
    <s v="Bygning B+C"/>
    <x v="111"/>
    <x v="0"/>
    <x v="5"/>
    <n v="372662.37"/>
    <n v="4"/>
    <s v="2011-05-31"/>
    <n v="0"/>
    <n v="6105"/>
    <n v="61.041156999999998"/>
    <n v="2"/>
    <x v="2"/>
    <x v="3286"/>
    <n v="174778.66"/>
    <n v="0"/>
    <s v="384246"/>
    <s v="74110485968"/>
    <n v="372662.3567"/>
    <n v="0"/>
    <n v="72734"/>
  </r>
  <r>
    <x v="6"/>
    <m/>
    <s v="Lille Værløse skole"/>
    <n v="14253"/>
    <s v="0"/>
    <s v="Bygning B+C"/>
    <x v="111"/>
    <x v="0"/>
    <x v="6"/>
    <n v="329525.78999999998"/>
    <n v="11"/>
    <s v="2011-05-31"/>
    <n v="0"/>
    <n v="6105"/>
    <n v="53.975493999999998"/>
    <n v="2"/>
    <x v="2"/>
    <x v="3287"/>
    <n v="154547.60999999999"/>
    <n v="0"/>
    <s v="384246"/>
    <s v="74110485968"/>
    <n v="329525.80645999999"/>
    <n v="0"/>
    <n v="72734"/>
  </r>
  <r>
    <x v="6"/>
    <s v="5756"/>
    <s v="Lyngholmskolen, Hvile 1"/>
    <n v="5479"/>
    <m/>
    <s v="Lyngholmskolenskolen"/>
    <x v="112"/>
    <x v="0"/>
    <x v="7"/>
    <n v="87631.7"/>
    <n v="12"/>
    <s v="2005-07-01"/>
    <n v="0"/>
    <n v="6089"/>
    <n v="14.391567999999999"/>
    <n v="2"/>
    <x v="2"/>
    <x v="3288"/>
    <n v="35052.68"/>
    <n v="0"/>
    <s v="1048860"/>
    <s v="741 1217 6437"/>
    <n v="87631.712499999994"/>
    <n v="0"/>
    <n v="57931"/>
  </r>
  <r>
    <x v="6"/>
    <s v="5756"/>
    <s v="Lyngholmskolen, Hvile 1"/>
    <n v="13265"/>
    <m/>
    <s v="Ny Lavenergi"/>
    <x v="112"/>
    <x v="0"/>
    <x v="7"/>
    <n v="151054.75"/>
    <n v="12"/>
    <m/>
    <n v="0"/>
    <n v="3000"/>
    <n v="50.349905"/>
    <n v="2"/>
    <x v="2"/>
    <x v="3289"/>
    <n v="45316.43"/>
    <n v="0"/>
    <s v="1129519"/>
    <s v="74115744459"/>
    <n v="151054.75099999999"/>
    <n v="0"/>
    <n v="90713"/>
  </r>
  <r>
    <x v="6"/>
    <m/>
    <s v="Lillestjernen, LV 91-93"/>
    <n v="9518"/>
    <m/>
    <s v="Lillestjernen"/>
    <x v="86"/>
    <x v="0"/>
    <x v="2"/>
    <n v="59815.97"/>
    <n v="12"/>
    <m/>
    <n v="0"/>
    <n v="2128"/>
    <n v="28.107686999999999"/>
    <n v="2"/>
    <x v="2"/>
    <x v="3290"/>
    <n v="23926.41"/>
    <n v="0"/>
    <s v="3108097"/>
    <s v="74110486019"/>
    <n v="59815.98"/>
    <n v="0"/>
    <n v="74428"/>
  </r>
  <r>
    <x v="6"/>
    <m/>
    <s v="Lillestjernen, LV 91-93"/>
    <n v="9518"/>
    <m/>
    <s v="Lillestjernen"/>
    <x v="86"/>
    <x v="0"/>
    <x v="3"/>
    <n v="59206.21"/>
    <n v="12"/>
    <m/>
    <n v="0"/>
    <n v="2128"/>
    <n v="27.821159000000002"/>
    <n v="2"/>
    <x v="2"/>
    <x v="3291"/>
    <n v="27767.72"/>
    <n v="0"/>
    <s v="3108097"/>
    <s v="74110486019"/>
    <n v="59206.211499999998"/>
    <n v="0"/>
    <n v="74428"/>
  </r>
  <r>
    <x v="6"/>
    <m/>
    <s v="Lillestjernen, LV 91-93"/>
    <n v="9518"/>
    <m/>
    <s v="Lillestjernen"/>
    <x v="86"/>
    <x v="0"/>
    <x v="4"/>
    <n v="56026.2"/>
    <n v="12"/>
    <m/>
    <n v="0"/>
    <n v="2128"/>
    <n v="26.326864"/>
    <n v="2"/>
    <x v="2"/>
    <x v="3292"/>
    <n v="26276.29"/>
    <n v="0"/>
    <s v="3108097"/>
    <s v="74110486019"/>
    <n v="56026.2"/>
    <n v="0"/>
    <n v="74428"/>
  </r>
  <r>
    <x v="6"/>
    <m/>
    <s v="Lillestjernen, LV 91-93"/>
    <n v="9518"/>
    <m/>
    <s v="Lillestjernen"/>
    <x v="86"/>
    <x v="0"/>
    <x v="5"/>
    <n v="54486.32"/>
    <n v="12"/>
    <m/>
    <n v="0"/>
    <n v="2128"/>
    <n v="25.603269999999998"/>
    <n v="2"/>
    <x v="2"/>
    <x v="3293"/>
    <n v="25554.09"/>
    <n v="0"/>
    <s v="3108097"/>
    <s v="74110486019"/>
    <n v="54486.32"/>
    <n v="0"/>
    <n v="74428"/>
  </r>
  <r>
    <x v="6"/>
    <m/>
    <s v="Lillestjernen, LV 91-93"/>
    <n v="9518"/>
    <m/>
    <s v="Lillestjernen"/>
    <x v="86"/>
    <x v="0"/>
    <x v="6"/>
    <n v="54788.88"/>
    <n v="12"/>
    <m/>
    <n v="0"/>
    <n v="2128"/>
    <n v="25.745443999999999"/>
    <n v="2"/>
    <x v="2"/>
    <x v="3294"/>
    <n v="25696.01"/>
    <n v="0"/>
    <s v="3108097"/>
    <s v="74110486019"/>
    <n v="54788.88"/>
    <n v="0"/>
    <n v="74428"/>
  </r>
  <r>
    <x v="6"/>
    <m/>
    <s v="Solhøjskolen KV52"/>
    <n v="10161"/>
    <m/>
    <s v="Solhøjskolen"/>
    <x v="113"/>
    <x v="0"/>
    <x v="7"/>
    <n v="6127.19"/>
    <n v="12"/>
    <s v="2011-11-30"/>
    <n v="0"/>
    <n v="265"/>
    <n v="23.112749000000001"/>
    <n v="2"/>
    <x v="2"/>
    <x v="3295"/>
    <n v="1838.15"/>
    <n v="0"/>
    <s v="15887022"/>
    <m/>
    <n v="6127.1890000000003"/>
    <n v="0"/>
    <n v="77142"/>
  </r>
  <r>
    <x v="6"/>
    <s v="02576-3"/>
    <s v="Solvangskolen Pedelbolig, Nord 60"/>
    <n v="6369"/>
    <m/>
    <s v="Solvangskolen Pedelbolig"/>
    <x v="52"/>
    <x v="0"/>
    <x v="7"/>
    <n v="2568.38"/>
    <n v="12"/>
    <s v="2012-01-25"/>
    <n v="0"/>
    <n v="110"/>
    <n v="23.327701999999999"/>
    <n v="2"/>
    <x v="2"/>
    <x v="3296"/>
    <n v="1027.3499999999999"/>
    <n v="0"/>
    <s v="340199"/>
    <s v="74112645957"/>
    <n v="2568.39"/>
    <n v="0"/>
    <n v="62718"/>
  </r>
  <r>
    <x v="6"/>
    <m/>
    <s v="Lillestjernen, LV 91-93"/>
    <n v="9519"/>
    <m/>
    <s v="Lillestjernen miniklub"/>
    <x v="86"/>
    <x v="0"/>
    <x v="2"/>
    <n v="10974.2"/>
    <n v="12"/>
    <m/>
    <n v="0"/>
    <n v="353"/>
    <n v="31.07958"/>
    <n v="2"/>
    <x v="2"/>
    <x v="3297"/>
    <n v="4389.68"/>
    <n v="1"/>
    <m/>
    <m/>
    <n v="10974.2017"/>
    <n v="0"/>
    <n v="74431"/>
  </r>
  <r>
    <x v="6"/>
    <m/>
    <s v="Lillestjernen, LV 91-93"/>
    <n v="9519"/>
    <m/>
    <s v="Lillestjernen miniklub"/>
    <x v="86"/>
    <x v="0"/>
    <x v="3"/>
    <n v="9567.1200000000008"/>
    <n v="12"/>
    <m/>
    <n v="0"/>
    <n v="353"/>
    <n v="27.094646999999998"/>
    <n v="2"/>
    <x v="2"/>
    <x v="3298"/>
    <n v="4486.9799999999996"/>
    <n v="1"/>
    <m/>
    <m/>
    <n v="9567.1404000000002"/>
    <n v="0"/>
    <n v="74431"/>
  </r>
  <r>
    <x v="6"/>
    <m/>
    <s v="Lillestjernen, LV 91-93"/>
    <n v="9519"/>
    <m/>
    <s v="Lillestjernen miniklub"/>
    <x v="86"/>
    <x v="0"/>
    <x v="4"/>
    <n v="9022.5499999999993"/>
    <n v="12"/>
    <m/>
    <n v="0"/>
    <n v="353"/>
    <n v="25.552392999999999"/>
    <n v="2"/>
    <x v="2"/>
    <x v="3299"/>
    <n v="4231.58"/>
    <n v="1"/>
    <m/>
    <m/>
    <n v="9022.5499999999993"/>
    <n v="0"/>
    <n v="74431"/>
  </r>
  <r>
    <x v="6"/>
    <m/>
    <s v="Lillestjernen, LV 91-93"/>
    <n v="9519"/>
    <m/>
    <s v="Lillestjernen miniklub"/>
    <x v="86"/>
    <x v="0"/>
    <x v="5"/>
    <n v="7359.31"/>
    <n v="12"/>
    <m/>
    <n v="0"/>
    <n v="353"/>
    <n v="20.841999000000001"/>
    <n v="2"/>
    <x v="2"/>
    <x v="3300"/>
    <n v="3451.51"/>
    <n v="1"/>
    <m/>
    <m/>
    <n v="7359.3046000000004"/>
    <n v="0"/>
    <n v="74431"/>
  </r>
  <r>
    <x v="6"/>
    <m/>
    <s v="Lillestjernen, LV 91-93"/>
    <n v="9519"/>
    <m/>
    <s v="Lillestjernen miniklub"/>
    <x v="86"/>
    <x v="0"/>
    <x v="6"/>
    <n v="6825.05"/>
    <n v="12"/>
    <m/>
    <n v="0"/>
    <n v="353"/>
    <n v="19.328942999999999"/>
    <n v="2"/>
    <x v="2"/>
    <x v="3301"/>
    <n v="3200.95"/>
    <n v="1"/>
    <m/>
    <m/>
    <n v="6825.0438000000004"/>
    <n v="0"/>
    <n v="74431"/>
  </r>
  <r>
    <x v="6"/>
    <s v="02576-3"/>
    <s v="Solvangskolen, Nord 58"/>
    <n v="5474"/>
    <m/>
    <s v="Solvangskolen"/>
    <x v="52"/>
    <x v="0"/>
    <x v="7"/>
    <n v="185903.96"/>
    <n v="12"/>
    <s v="2005-06-01"/>
    <n v="0"/>
    <n v="10600"/>
    <n v="17.537942999999999"/>
    <n v="2"/>
    <x v="2"/>
    <x v="3302"/>
    <n v="74361.570000000007"/>
    <n v="0"/>
    <s v="70-007511 / 138425"/>
    <s v="74111462838 ??? 741 1600 8772"/>
    <n v="185903.96"/>
    <n v="0"/>
    <n v="57910"/>
  </r>
  <r>
    <x v="6"/>
    <m/>
    <s v="Sprogskolen, Hvedemarken 3-5"/>
    <n v="5534"/>
    <m/>
    <s v="Sprogskolen"/>
    <x v="117"/>
    <x v="0"/>
    <x v="7"/>
    <n v="20858.16"/>
    <n v="12"/>
    <s v="2005-06-15"/>
    <n v="0"/>
    <n v="1021"/>
    <n v="20.427147000000001"/>
    <n v="2"/>
    <x v="2"/>
    <x v="3303"/>
    <n v="8343.25"/>
    <n v="0"/>
    <s v="BM 309000176879"/>
    <m/>
    <n v="20858.16"/>
    <n v="0"/>
    <n v="58251"/>
  </r>
  <r>
    <x v="6"/>
    <s v="5756"/>
    <s v="Lyngholmskolen, Hvile 1"/>
    <n v="5481"/>
    <m/>
    <s v="Lyngholmskolen Diamanten"/>
    <x v="112"/>
    <x v="0"/>
    <x v="2"/>
    <n v="46931.62"/>
    <n v="12"/>
    <s v="2005-07-01"/>
    <n v="0"/>
    <n v="1273"/>
    <n v="36.864047999999997"/>
    <n v="2"/>
    <x v="2"/>
    <x v="3304"/>
    <n v="18772.63"/>
    <n v="0"/>
    <s v="80018"/>
    <s v="74112176444"/>
    <n v="46931.61"/>
    <n v="0"/>
    <n v="57944"/>
  </r>
  <r>
    <x v="6"/>
    <s v="5756"/>
    <s v="Lyngholmskolen, Hvile 1"/>
    <n v="5481"/>
    <m/>
    <s v="Lyngholmskolen Diamanten"/>
    <x v="112"/>
    <x v="0"/>
    <x v="3"/>
    <n v="51089.79"/>
    <n v="12"/>
    <s v="2005-07-01"/>
    <n v="0"/>
    <n v="1273"/>
    <n v="40.130225000000003"/>
    <n v="2"/>
    <x v="2"/>
    <x v="3305"/>
    <n v="23961.1"/>
    <n v="0"/>
    <s v="80018"/>
    <s v="74112176444"/>
    <n v="51089.775000000001"/>
    <n v="0"/>
    <n v="57944"/>
  </r>
  <r>
    <x v="6"/>
    <s v="5756"/>
    <s v="Lyngholmskolen, Hvile 1"/>
    <n v="5481"/>
    <m/>
    <s v="Lyngholmskolen Diamanten"/>
    <x v="112"/>
    <x v="0"/>
    <x v="4"/>
    <n v="60836.28"/>
    <n v="12"/>
    <s v="2005-07-01"/>
    <n v="0"/>
    <n v="1273"/>
    <n v="47.785938999999999"/>
    <n v="2"/>
    <x v="2"/>
    <x v="3306"/>
    <n v="28532.21"/>
    <n v="0"/>
    <s v="80018"/>
    <s v="74112176444"/>
    <n v="60836.28"/>
    <n v="0"/>
    <n v="57944"/>
  </r>
  <r>
    <x v="6"/>
    <s v="5756"/>
    <s v="Lyngholmskolen, Hvile 1"/>
    <n v="5481"/>
    <m/>
    <s v="Lyngholmskolen Diamanten"/>
    <x v="112"/>
    <x v="0"/>
    <x v="5"/>
    <n v="55630.99"/>
    <n v="12"/>
    <s v="2005-07-01"/>
    <n v="0"/>
    <n v="1273"/>
    <n v="43.697265999999999"/>
    <n v="2"/>
    <x v="2"/>
    <x v="3307"/>
    <n v="26090.95"/>
    <n v="0"/>
    <s v="80018"/>
    <s v="74112176444"/>
    <n v="55630.995000000003"/>
    <n v="0"/>
    <n v="57944"/>
  </r>
  <r>
    <x v="6"/>
    <s v="5756"/>
    <s v="Lyngholmskolen, Hvile 1"/>
    <n v="5481"/>
    <m/>
    <s v="Lyngholmskolen Diamanten"/>
    <x v="112"/>
    <x v="0"/>
    <x v="6"/>
    <n v="52911.32"/>
    <n v="12"/>
    <s v="2005-07-01"/>
    <n v="0"/>
    <n v="1273"/>
    <n v="41.561008000000001"/>
    <n v="2"/>
    <x v="2"/>
    <x v="3308"/>
    <n v="24815.4"/>
    <n v="0"/>
    <s v="80018"/>
    <s v="74112176444"/>
    <n v="52911.315000000002"/>
    <n v="0"/>
    <n v="57944"/>
  </r>
  <r>
    <x v="6"/>
    <s v="03953-5"/>
    <s v="Stavnsholtskolen"/>
    <n v="5471"/>
    <m/>
    <s v="Stavnholtskolen"/>
    <x v="114"/>
    <x v="0"/>
    <x v="7"/>
    <n v="239212.4"/>
    <n v="12"/>
    <s v="2005-07-01"/>
    <n v="0"/>
    <n v="8656"/>
    <n v="27.635124000000001"/>
    <n v="2"/>
    <x v="2"/>
    <x v="3309"/>
    <n v="95684.96"/>
    <n v="0"/>
    <s v="1129239"/>
    <s v="74120010259"/>
    <n v="239212.4"/>
    <n v="0"/>
    <n v="57890"/>
  </r>
  <r>
    <x v="6"/>
    <m/>
    <s v="Syvstjerneskolen, Skov 1"/>
    <n v="9223"/>
    <m/>
    <s v="Syvstjerneskolen"/>
    <x v="40"/>
    <x v="0"/>
    <x v="7"/>
    <n v="139222.93"/>
    <n v="12"/>
    <m/>
    <n v="0"/>
    <n v="7936"/>
    <n v="17.54299"/>
    <n v="2"/>
    <x v="2"/>
    <x v="3310"/>
    <n v="41766.870000000003"/>
    <n v="0"/>
    <m/>
    <m/>
    <n v="139222.93"/>
    <n v="0"/>
    <n v="72738"/>
  </r>
  <r>
    <x v="6"/>
    <s v="5756"/>
    <s v="Lyngholmskolen, Hvile 1"/>
    <n v="5479"/>
    <m/>
    <s v="Lyngholmskolenskolen"/>
    <x v="112"/>
    <x v="0"/>
    <x v="2"/>
    <n v="92315.3"/>
    <n v="12"/>
    <s v="2005-07-01"/>
    <n v="0"/>
    <n v="6089"/>
    <n v="15.160746"/>
    <n v="2"/>
    <x v="2"/>
    <x v="3311"/>
    <n v="36926.11"/>
    <n v="0"/>
    <s v="1048860"/>
    <s v="741 1217 6437"/>
    <n v="92315.296090000003"/>
    <n v="0"/>
    <n v="57931"/>
  </r>
  <r>
    <x v="6"/>
    <s v="5756"/>
    <s v="Lyngholmskolen, Hvile 1"/>
    <n v="5479"/>
    <m/>
    <s v="Lyngholmskolenskolen"/>
    <x v="112"/>
    <x v="0"/>
    <x v="3"/>
    <n v="105786.63"/>
    <n v="12"/>
    <s v="2005-07-01"/>
    <n v="0"/>
    <n v="6089"/>
    <n v="17.373114000000001"/>
    <n v="2"/>
    <x v="2"/>
    <x v="3312"/>
    <n v="49613.94"/>
    <n v="0"/>
    <s v="1048860"/>
    <s v="741 1217 6437"/>
    <n v="105786.61788999999"/>
    <n v="0"/>
    <n v="57931"/>
  </r>
  <r>
    <x v="6"/>
    <s v="5756"/>
    <s v="Lyngholmskolen, Hvile 1"/>
    <n v="5479"/>
    <m/>
    <s v="Lyngholmskolenskolen"/>
    <x v="112"/>
    <x v="0"/>
    <x v="4"/>
    <n v="118134.21"/>
    <n v="12"/>
    <s v="2005-07-01"/>
    <n v="0"/>
    <n v="6089"/>
    <n v="19.400931"/>
    <n v="2"/>
    <x v="2"/>
    <x v="3313"/>
    <n v="55404.94"/>
    <n v="0"/>
    <s v="1048860"/>
    <s v="741 1217 6437"/>
    <n v="118134.18795000001"/>
    <n v="0"/>
    <n v="57931"/>
  </r>
  <r>
    <x v="6"/>
    <s v="5756"/>
    <s v="Lyngholmskolen, Hvile 1"/>
    <n v="5479"/>
    <m/>
    <s v="Lyngholmskolenskolen"/>
    <x v="112"/>
    <x v="0"/>
    <x v="5"/>
    <n v="142863.92000000001"/>
    <n v="12"/>
    <s v="2005-07-01"/>
    <n v="0"/>
    <n v="6089"/>
    <n v="23.462239"/>
    <n v="2"/>
    <x v="2"/>
    <x v="3314"/>
    <n v="67003.149999999994"/>
    <n v="0"/>
    <s v="1048860"/>
    <s v="741 1217 6437"/>
    <n v="142863.90932999999"/>
    <n v="0"/>
    <n v="57931"/>
  </r>
  <r>
    <x v="6"/>
    <s v="5756"/>
    <s v="Lyngholmskolen, Hvile 1"/>
    <n v="5479"/>
    <m/>
    <s v="Lyngholmskolenskolen"/>
    <x v="112"/>
    <x v="0"/>
    <x v="6"/>
    <n v="167829.08"/>
    <n v="12"/>
    <s v="2005-07-01"/>
    <n v="0"/>
    <n v="6089"/>
    <n v="27.562214000000001"/>
    <n v="2"/>
    <x v="2"/>
    <x v="3315"/>
    <n v="78711.839999999997"/>
    <n v="0"/>
    <s v="1048860"/>
    <s v="741 1217 6437"/>
    <n v="167829.08"/>
    <n v="0"/>
    <n v="57931"/>
  </r>
  <r>
    <x v="6"/>
    <m/>
    <s v="Søndersøskolen, KV50"/>
    <n v="9222"/>
    <m/>
    <s v="Søndersøskolen"/>
    <x v="116"/>
    <x v="0"/>
    <x v="7"/>
    <n v="247210.38"/>
    <n v="12"/>
    <m/>
    <n v="0"/>
    <n v="11252"/>
    <n v="21.970154000000001"/>
    <n v="2"/>
    <x v="2"/>
    <x v="3316"/>
    <n v="74163.14"/>
    <n v="0"/>
    <s v="44614"/>
    <s v="74110485951"/>
    <n v="247210.35800000001"/>
    <n v="0"/>
    <n v="72736"/>
  </r>
  <r>
    <x v="6"/>
    <m/>
    <s v="Ungdomsskolen, Farum"/>
    <n v="5956"/>
    <m/>
    <s v="Ungdomsskolen 11A"/>
    <x v="118"/>
    <x v="0"/>
    <x v="7"/>
    <n v="9754.02"/>
    <n v="12"/>
    <m/>
    <n v="0"/>
    <n v="186"/>
    <n v="52.412787999999999"/>
    <n v="2"/>
    <x v="2"/>
    <x v="3317"/>
    <n v="2926.22"/>
    <n v="0"/>
    <s v="ny"/>
    <s v="74115167586"/>
    <n v="9754.0329000000002"/>
    <n v="0"/>
    <n v="91057"/>
  </r>
  <r>
    <x v="6"/>
    <s v="5756"/>
    <s v="Lyngholmskolen, Hvile 1"/>
    <n v="13265"/>
    <m/>
    <s v="Ny Lavenergi"/>
    <x v="112"/>
    <x v="0"/>
    <x v="2"/>
    <n v="152591.16"/>
    <n v="12"/>
    <m/>
    <n v="0"/>
    <n v="3000"/>
    <n v="50.862023999999998"/>
    <n v="2"/>
    <x v="2"/>
    <x v="3318"/>
    <n v="61036.44"/>
    <n v="0"/>
    <s v="1129519"/>
    <s v="74115744459"/>
    <n v="152591.16"/>
    <n v="0"/>
    <n v="90713"/>
  </r>
  <r>
    <x v="6"/>
    <s v="5756"/>
    <s v="Lyngholmskolen, Hvile 1"/>
    <n v="13265"/>
    <m/>
    <s v="Ny Lavenergi"/>
    <x v="112"/>
    <x v="0"/>
    <x v="3"/>
    <n v="132369.60000000001"/>
    <n v="5"/>
    <s v="2011-11-30"/>
    <n v="0"/>
    <n v="3000"/>
    <n v="44.121729000000002"/>
    <n v="2"/>
    <x v="2"/>
    <x v="3319"/>
    <n v="62081.34"/>
    <n v="0"/>
    <s v="3102337 afmeldt"/>
    <s v="74115744459"/>
    <n v="132369.61326000001"/>
    <n v="0"/>
    <n v="89185"/>
  </r>
  <r>
    <x v="6"/>
    <s v="5756"/>
    <s v="Lyngholmskolen, Hvile 1"/>
    <n v="13265"/>
    <m/>
    <s v="Ny Lavenergi"/>
    <x v="112"/>
    <x v="0"/>
    <x v="3"/>
    <n v="14665.02"/>
    <n v="1"/>
    <m/>
    <n v="0"/>
    <n v="3000"/>
    <n v="4.8881769999999998"/>
    <n v="2"/>
    <x v="2"/>
    <x v="3320"/>
    <n v="6877.89"/>
    <n v="0"/>
    <s v="1129519"/>
    <s v="74115744459"/>
    <n v="14665.02"/>
    <n v="0"/>
    <n v="90713"/>
  </r>
  <r>
    <x v="6"/>
    <s v="5756"/>
    <s v="Lyngholmskolen, Hvile 1"/>
    <n v="13265"/>
    <m/>
    <s v="Ny Lavenergi"/>
    <x v="112"/>
    <x v="0"/>
    <x v="4"/>
    <n v="68413.19"/>
    <n v="4"/>
    <s v="2011-11-30"/>
    <n v="0"/>
    <n v="3000"/>
    <n v="22.803636000000001"/>
    <n v="2"/>
    <x v="2"/>
    <x v="3321"/>
    <n v="32085.77"/>
    <n v="0"/>
    <s v="3102337 afmeldt"/>
    <s v="74115744459"/>
    <n v="68413.158150000003"/>
    <n v="0"/>
    <n v="89185"/>
  </r>
  <r>
    <x v="6"/>
    <s v="5756"/>
    <s v="Lyngholmskolen, Hvile 1"/>
    <n v="13265"/>
    <m/>
    <s v="Ny Lavenergi"/>
    <x v="112"/>
    <x v="0"/>
    <x v="5"/>
    <n v="1228.25"/>
    <n v="1"/>
    <s v="2011-11-30"/>
    <n v="0"/>
    <n v="3000"/>
    <n v="0.40940300000000002"/>
    <n v="2"/>
    <x v="2"/>
    <x v="3322"/>
    <n v="576.04"/>
    <n v="0"/>
    <s v="3102337 afmeldt"/>
    <s v="74115744459"/>
    <n v="1228.22855"/>
    <n v="0"/>
    <n v="89185"/>
  </r>
  <r>
    <x v="6"/>
    <m/>
    <s v="Ungdomsskolen, Farum"/>
    <n v="5942"/>
    <m/>
    <s v="Ungdomsskolen 9A"/>
    <x v="118"/>
    <x v="0"/>
    <x v="7"/>
    <n v="6942.41"/>
    <n v="12"/>
    <m/>
    <n v="0"/>
    <n v="506"/>
    <n v="13.717466"/>
    <n v="2"/>
    <x v="2"/>
    <x v="3323"/>
    <n v="2082.71"/>
    <n v="0"/>
    <m/>
    <s v="74111907032"/>
    <n v="6942.3977999999997"/>
    <n v="0"/>
    <n v="91058"/>
  </r>
  <r>
    <x v="6"/>
    <m/>
    <s v="Egeskolen, Jon 150/286"/>
    <n v="9224"/>
    <m/>
    <s v="Egeskolen (under Jonstrup gl. seminarium)"/>
    <x v="109"/>
    <x v="0"/>
    <x v="0"/>
    <n v="71615"/>
    <n v="5"/>
    <m/>
    <n v="0"/>
    <n v="4404"/>
    <n v="1.7333000000000001"/>
    <n v="2"/>
    <x v="2"/>
    <x v="3324"/>
    <n v="2290.09"/>
    <n v="0"/>
    <s v="459312"/>
    <s v="5713131 74113161562"/>
    <n v="7633.625"/>
    <n v="0"/>
    <n v="72740"/>
  </r>
  <r>
    <x v="6"/>
    <m/>
    <s v="Solhøjskolen KV52"/>
    <n v="10161"/>
    <m/>
    <s v="Solhøjskolen"/>
    <x v="113"/>
    <x v="0"/>
    <x v="2"/>
    <n v="4963.0200000000004"/>
    <n v="12"/>
    <s v="2011-11-30"/>
    <n v="0"/>
    <n v="265"/>
    <n v="18.721312000000001"/>
    <n v="2"/>
    <x v="2"/>
    <x v="3325"/>
    <n v="1985.21"/>
    <n v="0"/>
    <s v="15887022"/>
    <m/>
    <n v="4963.0129999999999"/>
    <n v="0"/>
    <n v="77142"/>
  </r>
  <r>
    <x v="6"/>
    <m/>
    <s v="Solhøjskolen KV52"/>
    <n v="10161"/>
    <m/>
    <s v="Solhøjskolen"/>
    <x v="113"/>
    <x v="0"/>
    <x v="3"/>
    <n v="5121.58"/>
    <n v="7"/>
    <s v="2011-11-30"/>
    <n v="0"/>
    <n v="265"/>
    <n v="19.319426"/>
    <n v="2"/>
    <x v="2"/>
    <x v="3326"/>
    <n v="2402.0100000000002"/>
    <n v="0"/>
    <s v="15887022"/>
    <m/>
    <n v="5121.5789999999997"/>
    <n v="0"/>
    <n v="77142"/>
  </r>
  <r>
    <x v="6"/>
    <m/>
    <s v="Solhøjskolen KV52"/>
    <n v="10161"/>
    <m/>
    <s v="Solhøjskolen"/>
    <x v="113"/>
    <x v="0"/>
    <x v="4"/>
    <n v="5789.27"/>
    <n v="7"/>
    <s v="2011-11-30"/>
    <n v="0"/>
    <n v="265"/>
    <n v="21.838061"/>
    <n v="2"/>
    <x v="2"/>
    <x v="3327"/>
    <n v="2715.17"/>
    <n v="0"/>
    <s v="15887022"/>
    <m/>
    <n v="5789.27556"/>
    <n v="0"/>
    <n v="77142"/>
  </r>
  <r>
    <x v="6"/>
    <m/>
    <s v="Solhøjskolen KV52"/>
    <n v="10161"/>
    <m/>
    <s v="Solhøjskolen"/>
    <x v="113"/>
    <x v="0"/>
    <x v="5"/>
    <n v="5002.12"/>
    <n v="4"/>
    <s v="2011-11-30"/>
    <n v="0"/>
    <n v="265"/>
    <n v="18.868804000000001"/>
    <n v="2"/>
    <x v="2"/>
    <x v="3328"/>
    <n v="2346"/>
    <n v="0"/>
    <s v="15887022"/>
    <m/>
    <n v="5002.1351500000001"/>
    <n v="0"/>
    <n v="77142"/>
  </r>
  <r>
    <x v="6"/>
    <m/>
    <s v="Solhøjskolen KV52"/>
    <n v="10161"/>
    <m/>
    <s v="Solhøjskolen"/>
    <x v="113"/>
    <x v="0"/>
    <x v="6"/>
    <n v="7047.75"/>
    <n v="6"/>
    <s v="2011-11-30"/>
    <n v="0"/>
    <n v="265"/>
    <n v="26.585249999999998"/>
    <n v="2"/>
    <x v="2"/>
    <x v="3329"/>
    <n v="3305.4"/>
    <n v="0"/>
    <s v="15887022"/>
    <m/>
    <n v="7047.7538500000001"/>
    <n v="0"/>
    <n v="77142"/>
  </r>
  <r>
    <x v="6"/>
    <m/>
    <s v="Hareskov gl. bibliotek, Hareskov Skole, POP13"/>
    <n v="10230"/>
    <m/>
    <s v="1.st. klasse huset, Hareskov Skole"/>
    <x v="108"/>
    <x v="0"/>
    <x v="0"/>
    <n v="11367"/>
    <n v="5"/>
    <s v="2011-12-31"/>
    <n v="0"/>
    <n v="711"/>
    <n v="6.5549280000000003"/>
    <n v="2"/>
    <x v="2"/>
    <x v="3330"/>
    <n v="1398.37"/>
    <n v="0"/>
    <s v="T 96163"/>
    <s v="74112041124"/>
    <n v="4661.223"/>
    <n v="0"/>
    <n v="77501"/>
  </r>
  <r>
    <x v="6"/>
    <m/>
    <s v="Hareskov Skole, POP 6-12"/>
    <n v="10991"/>
    <m/>
    <s v="Bygning 8, Svømmehal"/>
    <x v="110"/>
    <x v="0"/>
    <x v="0"/>
    <n v="60751"/>
    <n v="3"/>
    <s v="2015-05-04"/>
    <n v="0"/>
    <n v="1475"/>
    <n v="14.309911"/>
    <n v="2"/>
    <x v="2"/>
    <x v="3331"/>
    <n v="6332.57"/>
    <n v="0"/>
    <s v="211700-210"/>
    <m/>
    <n v="21108.553189999999"/>
    <n v="0"/>
    <n v="79756"/>
  </r>
  <r>
    <x v="6"/>
    <s v="02576-3"/>
    <s v="Solvangskolen Pedelbolig, Nord 60"/>
    <n v="6369"/>
    <m/>
    <s v="Solvangskolen Pedelbolig"/>
    <x v="52"/>
    <x v="0"/>
    <x v="2"/>
    <n v="1550.01"/>
    <n v="16"/>
    <s v="2012-01-25"/>
    <n v="0"/>
    <n v="110"/>
    <n v="14.078201"/>
    <n v="2"/>
    <x v="2"/>
    <x v="3332"/>
    <n v="620.01"/>
    <n v="0"/>
    <s v="340199"/>
    <s v="74112645957"/>
    <n v="1550.0344399999999"/>
    <n v="0"/>
    <n v="62718"/>
  </r>
  <r>
    <x v="6"/>
    <s v="02576-3"/>
    <s v="Solvangskolen Pedelbolig, Nord 60"/>
    <n v="6369"/>
    <m/>
    <s v="Solvangskolen Pedelbolig"/>
    <x v="52"/>
    <x v="0"/>
    <x v="3"/>
    <n v="2311.7800000000002"/>
    <n v="5"/>
    <s v="2012-01-25"/>
    <n v="0"/>
    <n v="110"/>
    <n v="20.997093"/>
    <n v="2"/>
    <x v="2"/>
    <x v="3333"/>
    <n v="1084.22"/>
    <n v="0"/>
    <s v="340199"/>
    <s v="74112645957"/>
    <n v="2311.7734999999998"/>
    <n v="0"/>
    <n v="62718"/>
  </r>
  <r>
    <x v="6"/>
    <s v="02576-3"/>
    <s v="Solvangskolen Pedelbolig, Nord 60"/>
    <n v="6369"/>
    <m/>
    <s v="Solvangskolen Pedelbolig"/>
    <x v="52"/>
    <x v="0"/>
    <x v="4"/>
    <n v="2856.28"/>
    <n v="3"/>
    <s v="2012-01-25"/>
    <n v="0"/>
    <n v="110"/>
    <n v="25.942596999999999"/>
    <n v="2"/>
    <x v="2"/>
    <x v="3334"/>
    <n v="1339.62"/>
    <n v="0"/>
    <s v="340199"/>
    <s v="74112645957"/>
    <n v="2856.28206"/>
    <n v="0"/>
    <n v="62718"/>
  </r>
  <r>
    <x v="6"/>
    <s v="02576-3"/>
    <s v="Solvangskolen Pedelbolig, Nord 60"/>
    <n v="6369"/>
    <m/>
    <s v="Solvangskolen Pedelbolig"/>
    <x v="52"/>
    <x v="0"/>
    <x v="5"/>
    <n v="3474.76"/>
    <n v="4"/>
    <s v="2012-01-25"/>
    <n v="0"/>
    <n v="110"/>
    <n v="31.560036"/>
    <n v="2"/>
    <x v="2"/>
    <x v="3335"/>
    <n v="1629.69"/>
    <n v="0"/>
    <s v="340199"/>
    <s v="74112645957"/>
    <n v="3474.7777700000001"/>
    <n v="0"/>
    <n v="62718"/>
  </r>
  <r>
    <x v="6"/>
    <s v="02576-3"/>
    <s v="Solvangskolen Pedelbolig, Nord 60"/>
    <n v="6369"/>
    <m/>
    <s v="Solvangskolen Pedelbolig"/>
    <x v="52"/>
    <x v="0"/>
    <x v="6"/>
    <n v="3231.22"/>
    <n v="10"/>
    <s v="2012-01-25"/>
    <n v="0"/>
    <n v="110"/>
    <n v="29.348047000000001"/>
    <n v="2"/>
    <x v="2"/>
    <x v="3336"/>
    <n v="1515.44"/>
    <n v="0"/>
    <s v="340199"/>
    <s v="74112645957"/>
    <n v="3231.2222200000001"/>
    <n v="0"/>
    <n v="62718"/>
  </r>
  <r>
    <x v="6"/>
    <m/>
    <s v="Hareskov Skole, POP 6-12"/>
    <n v="9220"/>
    <m/>
    <s v="Hareskov Skole"/>
    <x v="110"/>
    <x v="0"/>
    <x v="0"/>
    <n v="172284"/>
    <n v="5"/>
    <s v="2010-11-29"/>
    <n v="0"/>
    <n v="7549"/>
    <n v="11.215332"/>
    <n v="2"/>
    <x v="2"/>
    <x v="3337"/>
    <n v="25399.7"/>
    <n v="0"/>
    <s v="Hovedmåler 577428"/>
    <m/>
    <n v="84665.666509999995"/>
    <n v="0"/>
    <n v="78606"/>
  </r>
  <r>
    <x v="6"/>
    <m/>
    <s v="Hareskov Skole, POP 6-12"/>
    <n v="11000"/>
    <m/>
    <s v="POP-øst"/>
    <x v="110"/>
    <x v="0"/>
    <x v="0"/>
    <n v="2145"/>
    <n v="3"/>
    <s v="2015-05-04"/>
    <n v="0"/>
    <n v="652"/>
    <n v="1.318816"/>
    <n v="2"/>
    <x v="2"/>
    <x v="3338"/>
    <n v="258"/>
    <n v="0"/>
    <s v="525766"/>
    <s v="74110490436"/>
    <n v="860"/>
    <n v="0"/>
    <n v="79720"/>
  </r>
  <r>
    <x v="6"/>
    <s v="02576-3"/>
    <s v="Solvangskolen, Nord 58"/>
    <n v="5474"/>
    <m/>
    <s v="Solvangskolen"/>
    <x v="52"/>
    <x v="0"/>
    <x v="2"/>
    <n v="179286.64"/>
    <n v="12"/>
    <s v="2005-06-01"/>
    <n v="0"/>
    <n v="10600"/>
    <n v="16.913674"/>
    <n v="2"/>
    <x v="2"/>
    <x v="3339"/>
    <n v="71714.649999999994"/>
    <n v="0"/>
    <s v="70-007511 / 138425"/>
    <s v="74111462838 ??? 741 1600 8772"/>
    <n v="179286.639"/>
    <n v="0"/>
    <n v="57910"/>
  </r>
  <r>
    <x v="6"/>
    <s v="02576-3"/>
    <s v="Solvangskolen, Nord 58"/>
    <n v="5474"/>
    <m/>
    <s v="Solvangskolen"/>
    <x v="52"/>
    <x v="0"/>
    <x v="3"/>
    <n v="213137.63"/>
    <n v="12"/>
    <s v="2005-06-01"/>
    <n v="0"/>
    <n v="10600"/>
    <n v="20.107133000000001"/>
    <n v="2"/>
    <x v="2"/>
    <x v="3340"/>
    <n v="99961.54"/>
    <n v="0"/>
    <s v="70-007511 / 138425"/>
    <s v="74111462838 ??? 741 1600 8772"/>
    <n v="213137.63"/>
    <n v="0"/>
    <n v="57910"/>
  </r>
  <r>
    <x v="6"/>
    <s v="02576-3"/>
    <s v="Solvangskolen, Nord 58"/>
    <n v="5474"/>
    <m/>
    <s v="Solvangskolen"/>
    <x v="52"/>
    <x v="0"/>
    <x v="4"/>
    <n v="233814.17"/>
    <n v="12"/>
    <s v="2005-06-01"/>
    <n v="0"/>
    <n v="10600"/>
    <n v="22.057732000000001"/>
    <n v="2"/>
    <x v="2"/>
    <x v="3341"/>
    <n v="109658.85"/>
    <n v="0"/>
    <s v="70-007511 / 138425"/>
    <s v="74111462838 ??? 741 1600 8772"/>
    <n v="233814.17"/>
    <n v="0"/>
    <n v="57910"/>
  </r>
  <r>
    <x v="6"/>
    <s v="02576-3"/>
    <s v="Solvangskolen, Nord 58"/>
    <n v="5474"/>
    <m/>
    <s v="Solvangskolen"/>
    <x v="52"/>
    <x v="0"/>
    <x v="5"/>
    <n v="249709.16"/>
    <n v="12"/>
    <s v="2005-06-01"/>
    <n v="0"/>
    <n v="10600"/>
    <n v="23.557245000000002"/>
    <n v="2"/>
    <x v="2"/>
    <x v="3342"/>
    <n v="117113.59"/>
    <n v="0"/>
    <s v="70-007511 / 138425"/>
    <s v="74111462838 ??? 741 1600 8772"/>
    <n v="249709.155"/>
    <n v="0"/>
    <n v="57910"/>
  </r>
  <r>
    <x v="6"/>
    <s v="02576-3"/>
    <s v="Solvangskolen, Nord 58"/>
    <n v="5474"/>
    <m/>
    <s v="Solvangskolen"/>
    <x v="52"/>
    <x v="0"/>
    <x v="6"/>
    <n v="253384.8"/>
    <n v="12"/>
    <s v="2005-06-01"/>
    <n v="0"/>
    <n v="10600"/>
    <n v="23.904"/>
    <n v="2"/>
    <x v="2"/>
    <x v="3343"/>
    <n v="118837.47"/>
    <n v="0"/>
    <s v="70-007511 / 138425"/>
    <s v="74111462838 ??? 741 1600 8772"/>
    <n v="253384.8"/>
    <n v="0"/>
    <n v="57910"/>
  </r>
  <r>
    <x v="6"/>
    <m/>
    <s v="Lille Værløse skole"/>
    <n v="14253"/>
    <s v="0"/>
    <s v="Bygning B+C"/>
    <x v="111"/>
    <x v="0"/>
    <x v="0"/>
    <n v="239967"/>
    <n v="5"/>
    <s v="2011-05-31"/>
    <n v="0"/>
    <n v="6105"/>
    <n v="16.757477999999999"/>
    <n v="2"/>
    <x v="2"/>
    <x v="3344"/>
    <n v="30691.83"/>
    <n v="0"/>
    <s v="384246"/>
    <s v="74110485968"/>
    <n v="102306.08"/>
    <n v="0"/>
    <n v="72734"/>
  </r>
  <r>
    <x v="6"/>
    <m/>
    <s v="Lillestjernen, LV 91-93"/>
    <n v="9518"/>
    <m/>
    <s v="Lillestjernen"/>
    <x v="86"/>
    <x v="0"/>
    <x v="0"/>
    <n v="53986"/>
    <n v="5"/>
    <m/>
    <n v="0"/>
    <n v="2128"/>
    <n v="11.04433"/>
    <n v="2"/>
    <x v="2"/>
    <x v="3345"/>
    <n v="7051.04"/>
    <n v="0"/>
    <s v="3108097"/>
    <s v="74110486019"/>
    <n v="23503.439999999999"/>
    <n v="0"/>
    <n v="74428"/>
  </r>
  <r>
    <x v="6"/>
    <m/>
    <s v="Sprogskolen, Hvedemarken 3-5"/>
    <n v="5534"/>
    <m/>
    <s v="Sprogskolen"/>
    <x v="117"/>
    <x v="0"/>
    <x v="2"/>
    <n v="16000.57"/>
    <n v="12"/>
    <s v="2005-06-15"/>
    <n v="0"/>
    <n v="1021"/>
    <n v="15.669934"/>
    <n v="2"/>
    <x v="2"/>
    <x v="3346"/>
    <n v="6400.24"/>
    <n v="0"/>
    <s v="BM 309000176879"/>
    <m/>
    <n v="16000.57"/>
    <n v="0"/>
    <n v="58251"/>
  </r>
  <r>
    <x v="6"/>
    <m/>
    <s v="Sprogskolen, Hvedemarken 3-5"/>
    <n v="5534"/>
    <m/>
    <s v="Sprogskolen"/>
    <x v="117"/>
    <x v="0"/>
    <x v="3"/>
    <n v="17378.689999999999"/>
    <n v="12"/>
    <s v="2005-06-15"/>
    <n v="0"/>
    <n v="1021"/>
    <n v="17.019576000000001"/>
    <n v="2"/>
    <x v="2"/>
    <x v="3347"/>
    <n v="8150.59"/>
    <n v="0"/>
    <s v="BM 309000176879"/>
    <m/>
    <n v="17378.689999999999"/>
    <n v="0"/>
    <n v="58251"/>
  </r>
  <r>
    <x v="6"/>
    <m/>
    <s v="Sprogskolen, Hvedemarken 3-5"/>
    <n v="5534"/>
    <m/>
    <s v="Sprogskolen"/>
    <x v="117"/>
    <x v="0"/>
    <x v="4"/>
    <n v="20724.22"/>
    <n v="12"/>
    <s v="2005-06-15"/>
    <n v="0"/>
    <n v="1021"/>
    <n v="20.295974000000001"/>
    <n v="2"/>
    <x v="2"/>
    <x v="3348"/>
    <n v="9719.66"/>
    <n v="0"/>
    <s v="BM 309000176879"/>
    <m/>
    <n v="20724.22"/>
    <n v="0"/>
    <n v="58251"/>
  </r>
  <r>
    <x v="6"/>
    <m/>
    <s v="Sprogskolen, Hvedemarken 3-5"/>
    <n v="5534"/>
    <m/>
    <s v="Sprogskolen"/>
    <x v="117"/>
    <x v="0"/>
    <x v="5"/>
    <n v="22612.33"/>
    <n v="12"/>
    <s v="2005-06-15"/>
    <n v="0"/>
    <n v="1021"/>
    <n v="22.145068999999999"/>
    <n v="2"/>
    <x v="2"/>
    <x v="3349"/>
    <n v="10605.17"/>
    <n v="0"/>
    <s v="BM 309000176879"/>
    <m/>
    <n v="22612.33"/>
    <n v="0"/>
    <n v="58251"/>
  </r>
  <r>
    <x v="6"/>
    <m/>
    <s v="Sprogskolen, Hvedemarken 3-5"/>
    <n v="5534"/>
    <m/>
    <s v="Sprogskolen"/>
    <x v="117"/>
    <x v="0"/>
    <x v="6"/>
    <n v="21267.87"/>
    <n v="12"/>
    <s v="2005-06-15"/>
    <n v="0"/>
    <n v="1021"/>
    <n v="20.828389999999999"/>
    <n v="2"/>
    <x v="2"/>
    <x v="3350"/>
    <n v="9974.64"/>
    <n v="0"/>
    <s v="BM 309000176879"/>
    <m/>
    <n v="21267.87"/>
    <n v="0"/>
    <n v="58251"/>
  </r>
  <r>
    <x v="6"/>
    <m/>
    <s v="Lillestjernen, LV 91-93"/>
    <n v="9519"/>
    <m/>
    <s v="Lillestjernen miniklub"/>
    <x v="86"/>
    <x v="0"/>
    <x v="0"/>
    <m/>
    <n v="5"/>
    <m/>
    <n v="0"/>
    <n v="353"/>
    <n v="11.273434999999999"/>
    <n v="2"/>
    <x v="2"/>
    <x v="3351"/>
    <n v="1194.2"/>
    <n v="1"/>
    <m/>
    <m/>
    <n v="3980.6500999999998"/>
    <n v="0"/>
    <n v="74431"/>
  </r>
  <r>
    <x v="6"/>
    <s v="5756"/>
    <s v="Lyngholmskolen, Hvile 1"/>
    <n v="5481"/>
    <m/>
    <s v="Lyngholmskolen Diamanten"/>
    <x v="112"/>
    <x v="0"/>
    <x v="0"/>
    <n v="42622"/>
    <n v="5"/>
    <s v="2005-07-01"/>
    <n v="0"/>
    <n v="1273"/>
    <n v="6.5381429999999998"/>
    <n v="2"/>
    <x v="2"/>
    <x v="3352"/>
    <n v="3329.49"/>
    <n v="0"/>
    <s v="80018"/>
    <s v="74112176444"/>
    <n v="8323.7099999999991"/>
    <n v="0"/>
    <n v="57944"/>
  </r>
  <r>
    <x v="6"/>
    <s v="03953-5"/>
    <s v="Stavnsholtskolen"/>
    <n v="5471"/>
    <m/>
    <s v="Stavnholtskolen"/>
    <x v="114"/>
    <x v="0"/>
    <x v="2"/>
    <n v="296276.99"/>
    <n v="12"/>
    <s v="2005-07-01"/>
    <n v="0"/>
    <n v="8656"/>
    <n v="34.227536999999998"/>
    <n v="2"/>
    <x v="2"/>
    <x v="3353"/>
    <n v="118510.78"/>
    <n v="0"/>
    <s v="1129239"/>
    <s v="74120010259"/>
    <n v="296276.99"/>
    <n v="0"/>
    <n v="57890"/>
  </r>
  <r>
    <x v="6"/>
    <s v="03953-5"/>
    <s v="Stavnsholtskolen"/>
    <n v="5471"/>
    <m/>
    <s v="Stavnholtskolen"/>
    <x v="114"/>
    <x v="0"/>
    <x v="3"/>
    <n v="423317.69"/>
    <n v="12"/>
    <s v="2005-07-01"/>
    <n v="0"/>
    <n v="8656"/>
    <n v="48.903973999999998"/>
    <n v="2"/>
    <x v="2"/>
    <x v="3354"/>
    <n v="198536"/>
    <n v="0"/>
    <s v="1129239"/>
    <s v="74120010259"/>
    <n v="423317.69099999999"/>
    <n v="0"/>
    <n v="57890"/>
  </r>
  <r>
    <x v="6"/>
    <s v="03953-5"/>
    <s v="Stavnsholtskolen"/>
    <n v="5471"/>
    <m/>
    <s v="Stavnholtskolen"/>
    <x v="114"/>
    <x v="0"/>
    <x v="4"/>
    <n v="587872.5"/>
    <n v="12"/>
    <s v="2005-07-01"/>
    <n v="0"/>
    <n v="8656"/>
    <n v="67.914244999999994"/>
    <n v="2"/>
    <x v="2"/>
    <x v="3355"/>
    <n v="275712.21000000002"/>
    <n v="0"/>
    <s v="1129239"/>
    <s v="74120010259"/>
    <n v="587872.5"/>
    <n v="0"/>
    <n v="57890"/>
  </r>
  <r>
    <x v="6"/>
    <s v="03953-5"/>
    <s v="Stavnsholtskolen"/>
    <n v="5471"/>
    <m/>
    <s v="Stavnholtskolen"/>
    <x v="114"/>
    <x v="0"/>
    <x v="5"/>
    <n v="584792.52"/>
    <n v="12"/>
    <s v="2005-07-01"/>
    <n v="0"/>
    <n v="8656"/>
    <n v="67.558429000000004"/>
    <n v="2"/>
    <x v="2"/>
    <x v="3356"/>
    <n v="274267.69"/>
    <n v="0"/>
    <s v="1129239"/>
    <s v="74120010259"/>
    <n v="584792.52"/>
    <n v="0"/>
    <n v="57890"/>
  </r>
  <r>
    <x v="6"/>
    <s v="03953-5"/>
    <s v="Stavnsholtskolen"/>
    <n v="5471"/>
    <m/>
    <s v="Stavnholtskolen"/>
    <x v="114"/>
    <x v="0"/>
    <x v="6"/>
    <n v="598843.44999999995"/>
    <n v="12"/>
    <s v="2005-07-01"/>
    <n v="0"/>
    <n v="8656"/>
    <n v="69.181668999999999"/>
    <n v="2"/>
    <x v="2"/>
    <x v="3357"/>
    <n v="280857.58"/>
    <n v="0"/>
    <s v="1129239"/>
    <s v="74120010259"/>
    <n v="598843.44999999995"/>
    <n v="0"/>
    <n v="57890"/>
  </r>
  <r>
    <x v="6"/>
    <m/>
    <s v="Syvstjerneskolen, Skov 1"/>
    <n v="9223"/>
    <m/>
    <s v="Syvstjerneskolen"/>
    <x v="40"/>
    <x v="1"/>
    <x v="0"/>
    <n v="-602.84"/>
    <n v="5"/>
    <m/>
    <n v="0"/>
    <n v="7936"/>
    <n v="-7.5961000000000001E-2"/>
    <n v="2"/>
    <x v="9"/>
    <x v="3358"/>
    <n v="-282.73"/>
    <n v="0"/>
    <s v="Solceller"/>
    <m/>
    <n v="602.84"/>
    <n v="0"/>
    <n v="96367"/>
  </r>
  <r>
    <x v="6"/>
    <s v="5756"/>
    <s v="Lyngholmskolen, Hvile 1"/>
    <n v="5479"/>
    <m/>
    <s v="Lyngholmskolenskolen"/>
    <x v="112"/>
    <x v="0"/>
    <x v="0"/>
    <n v="79169"/>
    <n v="5"/>
    <s v="2005-07-01"/>
    <n v="0"/>
    <n v="6089"/>
    <n v="6.3139560000000001"/>
    <n v="2"/>
    <x v="2"/>
    <x v="3359"/>
    <n v="15378.53"/>
    <n v="0"/>
    <s v="1048860"/>
    <s v="741 1217 6437"/>
    <n v="38446.310859999998"/>
    <n v="0"/>
    <n v="57931"/>
  </r>
  <r>
    <x v="6"/>
    <s v="5756"/>
    <s v="Lyngholmskolen, Hvile 1"/>
    <n v="13265"/>
    <m/>
    <s v="Ny Lavenergi"/>
    <x v="112"/>
    <x v="0"/>
    <x v="0"/>
    <n v="135363"/>
    <n v="5"/>
    <m/>
    <n v="0"/>
    <n v="3000"/>
    <n v="18.651033999999999"/>
    <n v="2"/>
    <x v="2"/>
    <x v="3360"/>
    <n v="16786.5"/>
    <n v="0"/>
    <s v="1129519"/>
    <s v="74115744459"/>
    <n v="55954.968000000001"/>
    <n v="0"/>
    <n v="90713"/>
  </r>
  <r>
    <x v="6"/>
    <m/>
    <s v="Syvstjerneskolen, Skov 1"/>
    <n v="9223"/>
    <m/>
    <s v="Syvstjerneskolen"/>
    <x v="40"/>
    <x v="1"/>
    <x v="1"/>
    <n v="-427.87"/>
    <n v="12"/>
    <m/>
    <n v="0"/>
    <n v="7936"/>
    <n v="-5.3913999999999997E-2"/>
    <n v="2"/>
    <x v="9"/>
    <x v="3361"/>
    <n v="-200.68"/>
    <n v="0"/>
    <s v="Solceller"/>
    <m/>
    <n v="427.87"/>
    <n v="0"/>
    <n v="96367"/>
  </r>
  <r>
    <x v="6"/>
    <m/>
    <s v="Syvstjerneskolen, Skov 1"/>
    <n v="9223"/>
    <m/>
    <s v="Syvstjerneskolen"/>
    <x v="40"/>
    <x v="0"/>
    <x v="2"/>
    <n v="19556"/>
    <n v="3"/>
    <s v="2012-03-31"/>
    <n v="0"/>
    <n v="7936"/>
    <n v="2.4641820000000001"/>
    <n v="2"/>
    <x v="2"/>
    <x v="3362"/>
    <n v="7822.4"/>
    <n v="1"/>
    <s v="Bimåler Pavillion"/>
    <m/>
    <n v="19556"/>
    <n v="0"/>
    <n v="88836"/>
  </r>
  <r>
    <x v="6"/>
    <m/>
    <s v="Syvstjerneskolen, Skov 1"/>
    <n v="9223"/>
    <m/>
    <s v="Syvstjerneskolen"/>
    <x v="40"/>
    <x v="0"/>
    <x v="2"/>
    <n v="29.21"/>
    <n v="2"/>
    <s v="2012-02-08"/>
    <n v="0"/>
    <n v="7936"/>
    <n v="3.6800000000000001E-3"/>
    <n v="2"/>
    <x v="2"/>
    <x v="3363"/>
    <n v="13.7"/>
    <n v="1"/>
    <s v="skurvogn"/>
    <m/>
    <n v="29.214289999999998"/>
    <n v="0"/>
    <n v="89644"/>
  </r>
  <r>
    <x v="6"/>
    <m/>
    <s v="Syvstjerneskolen, Skov 1"/>
    <n v="9223"/>
    <m/>
    <s v="Syvstjerneskolen"/>
    <x v="40"/>
    <x v="0"/>
    <x v="2"/>
    <n v="1081"/>
    <n v="2"/>
    <s v="2012-02-08"/>
    <n v="0"/>
    <n v="7936"/>
    <n v="0.136213"/>
    <n v="2"/>
    <x v="2"/>
    <x v="3364"/>
    <n v="432.4"/>
    <n v="1"/>
    <s v="BImåler nr 1"/>
    <m/>
    <n v="1081"/>
    <n v="0"/>
    <n v="90859"/>
  </r>
  <r>
    <x v="6"/>
    <m/>
    <s v="Syvstjerneskolen, Skov 1"/>
    <n v="9223"/>
    <m/>
    <s v="Syvstjerneskolen"/>
    <x v="40"/>
    <x v="0"/>
    <x v="2"/>
    <n v="950.27"/>
    <n v="2"/>
    <s v="2012-02-08"/>
    <n v="0"/>
    <n v="7936"/>
    <n v="0.11974"/>
    <n v="2"/>
    <x v="2"/>
    <x v="3365"/>
    <n v="380.11"/>
    <n v="1"/>
    <s v="Bimåler nr 2 - byggestrøm"/>
    <m/>
    <n v="950.27026999999998"/>
    <n v="0"/>
    <n v="90860"/>
  </r>
  <r>
    <x v="6"/>
    <m/>
    <s v="Syvstjerneskolen, Skov 1"/>
    <n v="9223"/>
    <m/>
    <s v="Syvstjerneskolen"/>
    <x v="40"/>
    <x v="0"/>
    <x v="2"/>
    <n v="144451.42000000001"/>
    <n v="11"/>
    <m/>
    <n v="0"/>
    <n v="7936"/>
    <n v="18.201813999999999"/>
    <n v="2"/>
    <x v="2"/>
    <x v="3366"/>
    <n v="57780.56"/>
    <n v="0"/>
    <m/>
    <m/>
    <n v="144451.41803"/>
    <n v="0"/>
    <n v="72738"/>
  </r>
  <r>
    <x v="6"/>
    <m/>
    <s v="Syvstjerneskolen, Skov 1"/>
    <n v="9223"/>
    <m/>
    <s v="Syvstjerneskolen"/>
    <x v="40"/>
    <x v="0"/>
    <x v="2"/>
    <n v="46.2"/>
    <n v="1"/>
    <s v="2012-01-04"/>
    <n v="0"/>
    <n v="7936"/>
    <n v="5.8209999999999998E-3"/>
    <n v="2"/>
    <x v="2"/>
    <x v="3367"/>
    <n v="21.67"/>
    <n v="1"/>
    <s v="Fløj D byggemåler"/>
    <m/>
    <n v="46.2"/>
    <n v="0"/>
    <n v="89645"/>
  </r>
  <r>
    <x v="6"/>
    <m/>
    <s v="Syvstjerneskolen, Skov 1"/>
    <n v="9223"/>
    <m/>
    <s v="Syvstjerneskolen"/>
    <x v="40"/>
    <x v="0"/>
    <x v="2"/>
    <n v="741.41"/>
    <n v="2"/>
    <s v="2012-02-08"/>
    <n v="0"/>
    <n v="7936"/>
    <n v="9.3422000000000005E-2"/>
    <n v="2"/>
    <x v="2"/>
    <x v="3368"/>
    <n v="296.56"/>
    <n v="1"/>
    <s v="Bimåler nr 3 byggestrøm"/>
    <m/>
    <n v="741.40540999999996"/>
    <n v="0"/>
    <n v="90861"/>
  </r>
  <r>
    <x v="6"/>
    <m/>
    <s v="Syvstjerneskolen, Skov 1"/>
    <n v="9223"/>
    <m/>
    <s v="Syvstjerneskolen"/>
    <x v="40"/>
    <x v="1"/>
    <x v="2"/>
    <n v="0"/>
    <n v="12"/>
    <m/>
    <n v="0"/>
    <n v="7936"/>
    <n v="0"/>
    <n v="2"/>
    <x v="9"/>
    <x v="1"/>
    <n v="0"/>
    <n v="0"/>
    <s v="Solceller"/>
    <m/>
    <n v="0"/>
    <n v="0"/>
    <n v="96367"/>
  </r>
  <r>
    <x v="6"/>
    <m/>
    <s v="Syvstjerneskolen, Skov 1"/>
    <n v="9223"/>
    <m/>
    <s v="Syvstjerneskolen"/>
    <x v="40"/>
    <x v="0"/>
    <x v="3"/>
    <n v="52492.71"/>
    <n v="4"/>
    <s v="2012-03-31"/>
    <n v="0"/>
    <n v="7936"/>
    <n v="6.6144210000000001"/>
    <n v="2"/>
    <x v="2"/>
    <x v="3369"/>
    <n v="24619.09"/>
    <n v="1"/>
    <s v="Bimåler Pavillion"/>
    <m/>
    <n v="52492.726410000003"/>
    <n v="0"/>
    <n v="88836"/>
  </r>
  <r>
    <x v="6"/>
    <m/>
    <s v="Syvstjerneskolen, Skov 1"/>
    <n v="9223"/>
    <m/>
    <s v="Syvstjerneskolen"/>
    <x v="40"/>
    <x v="0"/>
    <x v="3"/>
    <n v="8333.1299999999992"/>
    <n v="3"/>
    <s v="2012-02-08"/>
    <n v="0"/>
    <n v="7936"/>
    <n v="1.050028"/>
    <n v="2"/>
    <x v="2"/>
    <x v="3370"/>
    <n v="3908.24"/>
    <n v="1"/>
    <s v="skurvogn"/>
    <m/>
    <n v="8333.1345299999994"/>
    <n v="0"/>
    <n v="89644"/>
  </r>
  <r>
    <x v="6"/>
    <m/>
    <s v="Syvstjerneskolen, Skov 1"/>
    <n v="9223"/>
    <m/>
    <s v="Syvstjerneskolen"/>
    <x v="40"/>
    <x v="1"/>
    <x v="3"/>
    <n v="0"/>
    <n v="12"/>
    <m/>
    <n v="0"/>
    <n v="7936"/>
    <n v="0"/>
    <n v="2"/>
    <x v="9"/>
    <x v="1"/>
    <n v="0"/>
    <n v="0"/>
    <s v="Solceller"/>
    <m/>
    <n v="0"/>
    <n v="0"/>
    <n v="96367"/>
  </r>
  <r>
    <x v="6"/>
    <m/>
    <s v="Syvstjerneskolen, Skov 1"/>
    <n v="9223"/>
    <m/>
    <s v="Syvstjerneskolen"/>
    <x v="40"/>
    <x v="0"/>
    <x v="3"/>
    <n v="173155.25"/>
    <n v="12"/>
    <m/>
    <n v="0"/>
    <n v="7936"/>
    <n v="21.818681999999999"/>
    <n v="2"/>
    <x v="2"/>
    <x v="3371"/>
    <n v="81209.8"/>
    <n v="0"/>
    <m/>
    <m/>
    <n v="173155.25552000001"/>
    <n v="0"/>
    <n v="72738"/>
  </r>
  <r>
    <x v="6"/>
    <m/>
    <s v="Syvstjerneskolen, Skov 1"/>
    <n v="9223"/>
    <m/>
    <s v="Syvstjerneskolen"/>
    <x v="40"/>
    <x v="0"/>
    <x v="3"/>
    <n v="32954.54"/>
    <n v="3"/>
    <s v="2012-01-04"/>
    <n v="0"/>
    <n v="7936"/>
    <n v="4.1524850000000004"/>
    <n v="2"/>
    <x v="2"/>
    <x v="3372"/>
    <n v="15455.67"/>
    <n v="1"/>
    <s v="Fløj D byggemåler"/>
    <m/>
    <n v="32954.519209999999"/>
    <n v="0"/>
    <n v="89645"/>
  </r>
  <r>
    <x v="6"/>
    <m/>
    <s v="Syvstjerneskolen, Skov 1"/>
    <n v="9223"/>
    <m/>
    <s v="Syvstjerneskolen"/>
    <x v="40"/>
    <x v="0"/>
    <x v="3"/>
    <n v="10769.73"/>
    <n v="1"/>
    <s v="2012-02-08"/>
    <n v="0"/>
    <n v="7936"/>
    <n v="1.3570549999999999"/>
    <n v="2"/>
    <x v="2"/>
    <x v="3373"/>
    <n v="5051.01"/>
    <n v="1"/>
    <s v="Bimåler nr 2 - byggestrøm"/>
    <m/>
    <n v="10769.729729999999"/>
    <n v="0"/>
    <n v="90860"/>
  </r>
  <r>
    <x v="6"/>
    <m/>
    <s v="Syvstjerneskolen, Skov 1"/>
    <n v="9223"/>
    <m/>
    <s v="Syvstjerneskolen"/>
    <x v="40"/>
    <x v="0"/>
    <x v="3"/>
    <n v="8402.6"/>
    <n v="1"/>
    <s v="2012-02-08"/>
    <n v="0"/>
    <n v="7936"/>
    <n v="1.0587819999999999"/>
    <n v="2"/>
    <x v="2"/>
    <x v="3374"/>
    <n v="3940.82"/>
    <n v="1"/>
    <s v="Bimåler nr 3 byggestrøm"/>
    <m/>
    <n v="8402.5946000000004"/>
    <n v="0"/>
    <n v="90861"/>
  </r>
  <r>
    <x v="6"/>
    <m/>
    <s v="Syvstjerneskolen, Skov 1"/>
    <n v="9223"/>
    <m/>
    <s v="Syvstjerneskolen"/>
    <x v="40"/>
    <x v="1"/>
    <x v="4"/>
    <n v="0"/>
    <n v="12"/>
    <m/>
    <n v="0"/>
    <n v="7936"/>
    <n v="0"/>
    <n v="2"/>
    <x v="9"/>
    <x v="1"/>
    <n v="0"/>
    <n v="0"/>
    <s v="Solceller"/>
    <m/>
    <n v="0"/>
    <n v="0"/>
    <n v="96367"/>
  </r>
  <r>
    <x v="6"/>
    <m/>
    <s v="Syvstjerneskolen, Skov 1"/>
    <n v="9223"/>
    <m/>
    <s v="Syvstjerneskolen"/>
    <x v="40"/>
    <x v="0"/>
    <x v="4"/>
    <n v="197978.77"/>
    <n v="12"/>
    <m/>
    <n v="0"/>
    <n v="7936"/>
    <n v="24.946607"/>
    <n v="2"/>
    <x v="2"/>
    <x v="3375"/>
    <n v="92852.04"/>
    <n v="0"/>
    <m/>
    <m/>
    <n v="197978.76449"/>
    <n v="0"/>
    <n v="72738"/>
  </r>
  <r>
    <x v="6"/>
    <m/>
    <s v="Syvstjerneskolen, Skov 1"/>
    <n v="9223"/>
    <m/>
    <s v="Syvstjerneskolen"/>
    <x v="40"/>
    <x v="0"/>
    <x v="4"/>
    <n v="5077.2700000000004"/>
    <n v="1"/>
    <s v="2012-03-31"/>
    <n v="0"/>
    <n v="7936"/>
    <n v="0.639768"/>
    <n v="2"/>
    <x v="2"/>
    <x v="3376"/>
    <n v="2381.2399999999998"/>
    <n v="1"/>
    <s v="Bimåler Pavillion"/>
    <m/>
    <n v="5077.27358"/>
    <n v="0"/>
    <n v="88836"/>
  </r>
  <r>
    <x v="6"/>
    <m/>
    <s v="Syvstjerneskolen, Skov 1"/>
    <n v="9223"/>
    <m/>
    <s v="Syvstjerneskolen"/>
    <x v="40"/>
    <x v="0"/>
    <x v="4"/>
    <n v="721.65"/>
    <n v="1"/>
    <s v="2012-02-08"/>
    <n v="0"/>
    <n v="7936"/>
    <n v="9.0931999999999999E-2"/>
    <n v="2"/>
    <x v="2"/>
    <x v="3377"/>
    <n v="338.45"/>
    <n v="1"/>
    <s v="skurvogn"/>
    <m/>
    <n v="721.65116"/>
    <n v="0"/>
    <n v="89644"/>
  </r>
  <r>
    <x v="6"/>
    <m/>
    <s v="Syvstjerneskolen, Skov 1"/>
    <n v="9223"/>
    <m/>
    <s v="Syvstjerneskolen"/>
    <x v="40"/>
    <x v="0"/>
    <x v="4"/>
    <n v="4036.28"/>
    <n v="1"/>
    <s v="2012-01-04"/>
    <n v="0"/>
    <n v="7936"/>
    <n v="0.50859699999999997"/>
    <n v="2"/>
    <x v="2"/>
    <x v="3378"/>
    <n v="1893.02"/>
    <n v="1"/>
    <s v="Fløj D byggemåler"/>
    <m/>
    <n v="4036.2807699999998"/>
    <n v="0"/>
    <n v="89645"/>
  </r>
  <r>
    <x v="6"/>
    <m/>
    <s v="Syvstjerneskolen, Skov 1"/>
    <n v="9223"/>
    <m/>
    <s v="Syvstjerneskolen"/>
    <x v="40"/>
    <x v="0"/>
    <x v="5"/>
    <n v="208336.01"/>
    <n v="12"/>
    <m/>
    <n v="0"/>
    <n v="7936"/>
    <n v="26.251685999999999"/>
    <n v="2"/>
    <x v="2"/>
    <x v="3379"/>
    <n v="97709.59"/>
    <n v="0"/>
    <m/>
    <m/>
    <n v="208336.01"/>
    <n v="0"/>
    <n v="72738"/>
  </r>
  <r>
    <x v="6"/>
    <m/>
    <s v="Syvstjerneskolen, Skov 1"/>
    <n v="9223"/>
    <m/>
    <s v="Syvstjerneskolen"/>
    <x v="40"/>
    <x v="1"/>
    <x v="5"/>
    <n v="0"/>
    <n v="12"/>
    <m/>
    <n v="0"/>
    <n v="7936"/>
    <n v="0"/>
    <n v="2"/>
    <x v="9"/>
    <x v="1"/>
    <n v="0"/>
    <n v="0"/>
    <s v="Solceller"/>
    <m/>
    <n v="0"/>
    <n v="0"/>
    <n v="96367"/>
  </r>
  <r>
    <x v="6"/>
    <m/>
    <s v="Syvstjerneskolen, Skov 1"/>
    <n v="9223"/>
    <m/>
    <s v="Syvstjerneskolen"/>
    <x v="40"/>
    <x v="0"/>
    <x v="6"/>
    <n v="206271.23"/>
    <n v="12"/>
    <m/>
    <n v="0"/>
    <n v="7936"/>
    <n v="25.991510000000002"/>
    <n v="2"/>
    <x v="2"/>
    <x v="3380"/>
    <n v="96741.2"/>
    <n v="0"/>
    <m/>
    <m/>
    <n v="206271.22500000001"/>
    <n v="0"/>
    <n v="72738"/>
  </r>
  <r>
    <x v="6"/>
    <m/>
    <s v="Syvstjerneskolen, Skov 1"/>
    <n v="9223"/>
    <m/>
    <s v="Syvstjerneskolen"/>
    <x v="40"/>
    <x v="1"/>
    <x v="6"/>
    <n v="0"/>
    <n v="12"/>
    <m/>
    <n v="0"/>
    <n v="7936"/>
    <n v="0"/>
    <n v="2"/>
    <x v="9"/>
    <x v="1"/>
    <n v="0"/>
    <n v="0"/>
    <s v="Solceller"/>
    <m/>
    <n v="0"/>
    <n v="0"/>
    <n v="96367"/>
  </r>
  <r>
    <x v="6"/>
    <m/>
    <s v="Solhøjskolen KV52"/>
    <n v="10161"/>
    <m/>
    <s v="Solhøjskolen"/>
    <x v="113"/>
    <x v="0"/>
    <x v="0"/>
    <n v="5404"/>
    <n v="5"/>
    <s v="2011-11-30"/>
    <n v="0"/>
    <n v="265"/>
    <n v="9.2687659999999994"/>
    <n v="2"/>
    <x v="2"/>
    <x v="3381"/>
    <n v="737.14"/>
    <n v="0"/>
    <s v="15887022"/>
    <m/>
    <n v="2457.1419999999998"/>
    <n v="0"/>
    <n v="77142"/>
  </r>
  <r>
    <x v="6"/>
    <s v="02576-3"/>
    <s v="Solvangskolen Pedelbolig, Nord 60"/>
    <n v="6369"/>
    <m/>
    <s v="Solvangskolen Pedelbolig"/>
    <x v="52"/>
    <x v="0"/>
    <x v="0"/>
    <n v="2832"/>
    <n v="5"/>
    <s v="2012-01-25"/>
    <n v="0"/>
    <n v="110"/>
    <n v="15.515077"/>
    <n v="2"/>
    <x v="2"/>
    <x v="3382"/>
    <n v="683.28"/>
    <n v="0"/>
    <s v="340199"/>
    <s v="74112645957"/>
    <n v="1708.1980000000001"/>
    <n v="0"/>
    <n v="62718"/>
  </r>
  <r>
    <x v="6"/>
    <m/>
    <s v="Søndersøskolen Pedelbolig KV48"/>
    <n v="10321"/>
    <m/>
    <s v="Søndersøskolen Pedelbolig"/>
    <x v="115"/>
    <x v="0"/>
    <x v="2"/>
    <n v="3340.51"/>
    <n v="15"/>
    <s v="2012-01-25"/>
    <n v="0"/>
    <n v="126"/>
    <n v="26.490959"/>
    <n v="2"/>
    <x v="2"/>
    <x v="3383"/>
    <n v="1336.2"/>
    <n v="0"/>
    <s v="4148704"/>
    <s v="74112755489"/>
    <n v="3340.5163899999998"/>
    <n v="0"/>
    <n v="77808"/>
  </r>
  <r>
    <x v="6"/>
    <m/>
    <s v="Søndersøskolen Pedelbolig KV48"/>
    <n v="10321"/>
    <m/>
    <s v="Søndersøskolen Pedelbolig"/>
    <x v="115"/>
    <x v="0"/>
    <x v="3"/>
    <n v="1450.17"/>
    <n v="5"/>
    <s v="2012-01-25"/>
    <n v="0"/>
    <n v="126"/>
    <n v="11.500158000000001"/>
    <n v="2"/>
    <x v="2"/>
    <x v="3384"/>
    <n v="680.14"/>
    <n v="0"/>
    <s v="4148704"/>
    <s v="74112755489"/>
    <n v="1450.1742899999999"/>
    <n v="0"/>
    <n v="77808"/>
  </r>
  <r>
    <x v="6"/>
    <m/>
    <s v="Søndersøskolen Pedelbolig KV48"/>
    <n v="10321"/>
    <m/>
    <s v="Søndersøskolen Pedelbolig"/>
    <x v="115"/>
    <x v="0"/>
    <x v="4"/>
    <n v="281.89"/>
    <n v="3"/>
    <s v="2012-01-25"/>
    <n v="0"/>
    <n v="126"/>
    <n v="2.2354479999999999"/>
    <n v="2"/>
    <x v="2"/>
    <x v="3385"/>
    <n v="132.22999999999999"/>
    <n v="0"/>
    <s v="4148704"/>
    <s v="74112755489"/>
    <n v="281.89819999999997"/>
    <n v="0"/>
    <n v="77808"/>
  </r>
  <r>
    <x v="6"/>
    <m/>
    <s v="Søndersøskolen Pedelbolig KV48"/>
    <n v="10321"/>
    <m/>
    <s v="Søndersøskolen Pedelbolig"/>
    <x v="115"/>
    <x v="0"/>
    <x v="5"/>
    <n v="483.58"/>
    <n v="4"/>
    <s v="2012-01-25"/>
    <n v="0"/>
    <n v="126"/>
    <n v="3.834892"/>
    <n v="2"/>
    <x v="2"/>
    <x v="3386"/>
    <n v="226.81"/>
    <n v="0"/>
    <s v="4148704"/>
    <s v="74112755489"/>
    <n v="483.60178000000002"/>
    <n v="0"/>
    <n v="77808"/>
  </r>
  <r>
    <x v="6"/>
    <m/>
    <s v="Søndersøskolen Pedelbolig KV48"/>
    <n v="10321"/>
    <m/>
    <s v="Søndersøskolen Pedelbolig"/>
    <x v="115"/>
    <x v="0"/>
    <x v="6"/>
    <n v="3704.38"/>
    <n v="7"/>
    <s v="2012-01-25"/>
    <n v="0"/>
    <n v="126"/>
    <n v="29.376525999999998"/>
    <n v="2"/>
    <x v="2"/>
    <x v="3387"/>
    <n v="1737.34"/>
    <n v="0"/>
    <s v="4148704"/>
    <s v="74112755489"/>
    <n v="3704.3791299999998"/>
    <n v="0"/>
    <n v="77808"/>
  </r>
  <r>
    <x v="6"/>
    <s v="02576-3"/>
    <s v="Solvangskolen, Nord 58"/>
    <n v="5474"/>
    <m/>
    <s v="Solvangskolen"/>
    <x v="52"/>
    <x v="0"/>
    <x v="0"/>
    <n v="200534"/>
    <n v="5"/>
    <s v="2005-06-01"/>
    <n v="0"/>
    <n v="10600"/>
    <n v="7.9411009999999997"/>
    <n v="2"/>
    <x v="2"/>
    <x v="3388"/>
    <n v="33670.589999999997"/>
    <n v="0"/>
    <s v="70-007511 / 138425"/>
    <s v="74111462838 ??? 741 1600 8772"/>
    <n v="84176.47"/>
    <n v="0"/>
    <n v="57910"/>
  </r>
  <r>
    <x v="6"/>
    <m/>
    <s v="Sprogskolen, Hvedemarken 3-5"/>
    <n v="5534"/>
    <m/>
    <s v="Sprogskolen"/>
    <x v="117"/>
    <x v="0"/>
    <x v="0"/>
    <n v="23285"/>
    <n v="5"/>
    <s v="2005-06-15"/>
    <n v="0"/>
    <n v="1021"/>
    <n v="9.3309949999999997"/>
    <n v="2"/>
    <x v="2"/>
    <x v="3389"/>
    <n v="3811.15"/>
    <n v="0"/>
    <s v="BM 309000176879"/>
    <m/>
    <n v="9527.8799999999992"/>
    <n v="0"/>
    <n v="58251"/>
  </r>
  <r>
    <x v="6"/>
    <m/>
    <s v="Søndersøskolen, KV50"/>
    <n v="9222"/>
    <m/>
    <s v="Søndersøskolen"/>
    <x v="116"/>
    <x v="0"/>
    <x v="2"/>
    <n v="267396.07"/>
    <n v="12"/>
    <m/>
    <n v="0"/>
    <n v="11252"/>
    <n v="23.764102999999999"/>
    <n v="2"/>
    <x v="2"/>
    <x v="3390"/>
    <n v="106958.42"/>
    <n v="0"/>
    <s v="44614"/>
    <s v="74110485951"/>
    <n v="267396.08500000002"/>
    <n v="0"/>
    <n v="72736"/>
  </r>
  <r>
    <x v="6"/>
    <m/>
    <s v="Søndersøskolen, KV50"/>
    <n v="9222"/>
    <m/>
    <s v="Søndersøskolen"/>
    <x v="116"/>
    <x v="0"/>
    <x v="3"/>
    <n v="319369.57"/>
    <n v="12"/>
    <m/>
    <n v="0"/>
    <n v="11252"/>
    <n v="28.383108"/>
    <n v="2"/>
    <x v="2"/>
    <x v="3391"/>
    <n v="149784.32000000001"/>
    <n v="0"/>
    <s v="44614"/>
    <s v="74110485951"/>
    <n v="319369.56400000001"/>
    <n v="0"/>
    <n v="72736"/>
  </r>
  <r>
    <x v="6"/>
    <m/>
    <s v="Søndersøskolen, KV50"/>
    <n v="9222"/>
    <m/>
    <s v="Søndersøskolen"/>
    <x v="116"/>
    <x v="0"/>
    <x v="4"/>
    <n v="387591.37"/>
    <n v="12"/>
    <m/>
    <n v="0"/>
    <n v="11252"/>
    <n v="34.446136000000003"/>
    <n v="2"/>
    <x v="2"/>
    <x v="3392"/>
    <n v="181780.36"/>
    <n v="0"/>
    <s v="44614"/>
    <s v="74110485951"/>
    <n v="387591.35544000001"/>
    <n v="0"/>
    <n v="72736"/>
  </r>
  <r>
    <x v="6"/>
    <m/>
    <s v="Søndersøskolen, KV50"/>
    <n v="9222"/>
    <m/>
    <s v="Søndersøskolen"/>
    <x v="116"/>
    <x v="0"/>
    <x v="5"/>
    <n v="568204.76"/>
    <n v="12"/>
    <m/>
    <n v="0"/>
    <n v="11252"/>
    <n v="50.497663000000003"/>
    <n v="2"/>
    <x v="2"/>
    <x v="3393"/>
    <n v="266488.03999999998"/>
    <n v="0"/>
    <s v="44614"/>
    <s v="74110485951"/>
    <n v="568204.73684999999"/>
    <n v="0"/>
    <n v="72736"/>
  </r>
  <r>
    <x v="6"/>
    <m/>
    <s v="Søndersøskolen, KV50"/>
    <n v="9222"/>
    <m/>
    <s v="Søndersøskolen"/>
    <x v="116"/>
    <x v="0"/>
    <x v="6"/>
    <n v="466601.06"/>
    <n v="12"/>
    <m/>
    <n v="0"/>
    <n v="11252"/>
    <n v="41.467908999999999"/>
    <n v="2"/>
    <x v="2"/>
    <x v="3394"/>
    <n v="218835.92"/>
    <n v="0"/>
    <s v="44614"/>
    <s v="74110485951"/>
    <n v="466601.08214999997"/>
    <n v="0"/>
    <n v="72736"/>
  </r>
  <r>
    <x v="6"/>
    <m/>
    <s v="Søndersøskolen, KV50"/>
    <n v="9222"/>
    <m/>
    <s v="Søndersøskolen"/>
    <x v="116"/>
    <x v="0"/>
    <x v="6"/>
    <n v="68741.039999999994"/>
    <n v="1"/>
    <s v="2008-01-28"/>
    <n v="0"/>
    <n v="11252"/>
    <n v="6.1091740000000003"/>
    <n v="2"/>
    <x v="2"/>
    <x v="3395"/>
    <n v="32239.55"/>
    <n v="0"/>
    <m/>
    <m/>
    <n v="68741.035709999996"/>
    <n v="0"/>
    <n v="77715"/>
  </r>
  <r>
    <x v="6"/>
    <s v="03953-5"/>
    <s v="Stavnsholtskolen"/>
    <n v="5471"/>
    <m/>
    <s v="Stavnholtskolen"/>
    <x v="114"/>
    <x v="0"/>
    <x v="0"/>
    <n v="222433"/>
    <n v="5"/>
    <s v="2005-07-01"/>
    <n v="0"/>
    <n v="8656"/>
    <n v="11.475472"/>
    <n v="2"/>
    <x v="2"/>
    <x v="3396"/>
    <n v="39733.129999999997"/>
    <n v="0"/>
    <s v="1129239"/>
    <s v="74120010259"/>
    <n v="99332.84"/>
    <n v="0"/>
    <n v="57890"/>
  </r>
  <r>
    <x v="6"/>
    <m/>
    <s v="Syvstjerneskolen, Skov 1"/>
    <n v="9223"/>
    <m/>
    <s v="Syvstjerneskolen"/>
    <x v="40"/>
    <x v="0"/>
    <x v="0"/>
    <n v="134622"/>
    <n v="5"/>
    <m/>
    <n v="0"/>
    <n v="7936"/>
    <n v="7.2980549999999997"/>
    <n v="2"/>
    <x v="2"/>
    <x v="3397"/>
    <n v="17375.43"/>
    <n v="0"/>
    <m/>
    <m/>
    <n v="57918.1"/>
    <n v="0"/>
    <n v="72738"/>
  </r>
  <r>
    <x v="6"/>
    <m/>
    <s v="Ungdomsskolen, Farum"/>
    <n v="5956"/>
    <m/>
    <s v="Ungdomsskolen 11A"/>
    <x v="118"/>
    <x v="0"/>
    <x v="2"/>
    <n v="1061.05"/>
    <n v="1"/>
    <s v="2012-01-25"/>
    <n v="0"/>
    <n v="186"/>
    <n v="5.7015039999999999"/>
    <n v="2"/>
    <x v="2"/>
    <x v="3398"/>
    <n v="424.42"/>
    <n v="0"/>
    <s v="283402 afmeldt"/>
    <m/>
    <n v="1061.0526299999999"/>
    <n v="0"/>
    <n v="60013"/>
  </r>
  <r>
    <x v="6"/>
    <m/>
    <s v="Ungdomsskolen, Farum"/>
    <n v="5956"/>
    <m/>
    <s v="Ungdomsskolen 11A"/>
    <x v="118"/>
    <x v="0"/>
    <x v="2"/>
    <n v="14954.97"/>
    <n v="11"/>
    <m/>
    <n v="0"/>
    <n v="186"/>
    <n v="80.359859999999998"/>
    <n v="2"/>
    <x v="2"/>
    <x v="3399"/>
    <n v="5981.99"/>
    <n v="0"/>
    <s v="ny"/>
    <s v="74115167586"/>
    <n v="14954.9766"/>
    <n v="0"/>
    <n v="91057"/>
  </r>
  <r>
    <x v="6"/>
    <m/>
    <s v="Ungdomsskolen, Farum"/>
    <n v="5956"/>
    <m/>
    <s v="Ungdomsskolen 11A"/>
    <x v="118"/>
    <x v="0"/>
    <x v="3"/>
    <n v="19450.830000000002"/>
    <n v="3"/>
    <s v="2012-01-25"/>
    <n v="0"/>
    <n v="186"/>
    <n v="104.518162"/>
    <n v="2"/>
    <x v="2"/>
    <x v="3400"/>
    <n v="9122.42"/>
    <n v="0"/>
    <s v="283402 afmeldt"/>
    <m/>
    <n v="19450.804499999998"/>
    <n v="0"/>
    <n v="60013"/>
  </r>
  <r>
    <x v="6"/>
    <m/>
    <s v="Ungdomsskolen, Farum"/>
    <n v="5956"/>
    <m/>
    <s v="Ungdomsskolen 11A"/>
    <x v="118"/>
    <x v="0"/>
    <x v="4"/>
    <n v="22283.279999999999"/>
    <n v="4"/>
    <s v="2012-01-25"/>
    <n v="0"/>
    <n v="186"/>
    <n v="119.73820499999999"/>
    <n v="2"/>
    <x v="2"/>
    <x v="3401"/>
    <n v="10450.870000000001"/>
    <n v="0"/>
    <s v="283402 afmeldt"/>
    <m/>
    <n v="22283.30503"/>
    <n v="0"/>
    <n v="60013"/>
  </r>
  <r>
    <x v="6"/>
    <m/>
    <s v="Ungdomsskolen, Farum"/>
    <n v="5956"/>
    <m/>
    <s v="Ungdomsskolen 11A"/>
    <x v="118"/>
    <x v="0"/>
    <x v="5"/>
    <n v="20185.009999999998"/>
    <n v="3"/>
    <s v="2012-01-25"/>
    <n v="0"/>
    <n v="186"/>
    <n v="108.463245"/>
    <n v="2"/>
    <x v="2"/>
    <x v="3402"/>
    <n v="9466.7900000000009"/>
    <n v="0"/>
    <s v="283402 afmeldt"/>
    <m/>
    <n v="20185.024389999999"/>
    <n v="0"/>
    <n v="60013"/>
  </r>
  <r>
    <x v="6"/>
    <m/>
    <s v="Ungdomsskolen, Farum"/>
    <n v="5956"/>
    <m/>
    <s v="Ungdomsskolen 11A"/>
    <x v="118"/>
    <x v="0"/>
    <x v="6"/>
    <n v="16721.919999999998"/>
    <n v="6"/>
    <s v="2012-01-25"/>
    <n v="0"/>
    <n v="186"/>
    <n v="89.854485999999994"/>
    <n v="2"/>
    <x v="2"/>
    <x v="3403"/>
    <n v="7842.59"/>
    <n v="0"/>
    <s v="283402 afmeldt"/>
    <m/>
    <n v="16721.92772"/>
    <n v="0"/>
    <n v="60013"/>
  </r>
  <r>
    <x v="6"/>
    <m/>
    <s v="Søndersøskolen Pedelbolig KV48"/>
    <n v="10321"/>
    <m/>
    <s v="Søndersøskolen Pedelbolig"/>
    <x v="115"/>
    <x v="0"/>
    <x v="0"/>
    <n v="7452"/>
    <n v="5"/>
    <s v="2012-01-25"/>
    <n v="0"/>
    <n v="126"/>
    <n v="31.518239000000001"/>
    <n v="2"/>
    <x v="2"/>
    <x v="3404"/>
    <n v="1192.32"/>
    <n v="0"/>
    <s v="4148704"/>
    <s v="74112755489"/>
    <n v="3974.4358000000002"/>
    <n v="0"/>
    <n v="77808"/>
  </r>
  <r>
    <x v="6"/>
    <m/>
    <s v="Søndersøskolen, KV50"/>
    <n v="9222"/>
    <m/>
    <s v="Søndersøskolen"/>
    <x v="116"/>
    <x v="0"/>
    <x v="0"/>
    <n v="255333"/>
    <n v="5"/>
    <m/>
    <n v="0"/>
    <n v="11252"/>
    <n v="10.139962000000001"/>
    <n v="2"/>
    <x v="2"/>
    <x v="3405"/>
    <n v="34228.76"/>
    <n v="0"/>
    <s v="44614"/>
    <s v="74110485951"/>
    <n v="114095.878"/>
    <n v="0"/>
    <n v="72736"/>
  </r>
  <r>
    <x v="6"/>
    <m/>
    <s v="Ungdomsskolen, Farum"/>
    <n v="5942"/>
    <m/>
    <s v="Ungdomsskolen 9A"/>
    <x v="118"/>
    <x v="0"/>
    <x v="2"/>
    <n v="429"/>
    <n v="2"/>
    <s v="2012-02-13"/>
    <n v="0"/>
    <n v="506"/>
    <n v="0.84765800000000002"/>
    <n v="2"/>
    <x v="2"/>
    <x v="3406"/>
    <n v="171.6"/>
    <n v="0"/>
    <s v="731877 afmeldt"/>
    <m/>
    <n v="429"/>
    <n v="0"/>
    <n v="59942"/>
  </r>
  <r>
    <x v="6"/>
    <m/>
    <s v="Ungdomsskolen, Farum"/>
    <n v="5942"/>
    <m/>
    <s v="Ungdomsskolen 9A"/>
    <x v="118"/>
    <x v="0"/>
    <x v="2"/>
    <n v="5386.1"/>
    <n v="11"/>
    <m/>
    <n v="0"/>
    <n v="506"/>
    <n v="10.642363"/>
    <n v="2"/>
    <x v="2"/>
    <x v="3407"/>
    <n v="2154.44"/>
    <n v="0"/>
    <m/>
    <s v="74111907032"/>
    <n v="5386.0956999999999"/>
    <n v="0"/>
    <n v="91058"/>
  </r>
  <r>
    <x v="6"/>
    <m/>
    <s v="Ungdomsskolen, Farum"/>
    <n v="5942"/>
    <m/>
    <s v="Ungdomsskolen 9A"/>
    <x v="118"/>
    <x v="0"/>
    <x v="3"/>
    <n v="2823.85"/>
    <n v="4"/>
    <s v="2012-02-13"/>
    <n v="0"/>
    <n v="506"/>
    <n v="5.5796279999999996"/>
    <n v="2"/>
    <x v="2"/>
    <x v="3408"/>
    <n v="1324.38"/>
    <n v="0"/>
    <s v="731877 afmeldt"/>
    <m/>
    <n v="2823.8571499999998"/>
    <n v="0"/>
    <n v="59942"/>
  </r>
  <r>
    <x v="6"/>
    <m/>
    <s v="Ungdomsskolen, Farum"/>
    <n v="5942"/>
    <m/>
    <s v="Ungdomsskolen 9A"/>
    <x v="118"/>
    <x v="0"/>
    <x v="4"/>
    <n v="3011.94"/>
    <n v="5"/>
    <s v="2012-02-13"/>
    <n v="0"/>
    <n v="506"/>
    <n v="5.9512739999999997"/>
    <n v="2"/>
    <x v="2"/>
    <x v="3409"/>
    <n v="1412.59"/>
    <n v="0"/>
    <s v="731877 afmeldt"/>
    <m/>
    <n v="3011.9397199999999"/>
    <n v="0"/>
    <n v="59942"/>
  </r>
  <r>
    <x v="6"/>
    <m/>
    <s v="Ungdomsskolen, Farum"/>
    <n v="5942"/>
    <m/>
    <s v="Ungdomsskolen 9A"/>
    <x v="118"/>
    <x v="0"/>
    <x v="5"/>
    <n v="2173.35"/>
    <n v="4"/>
    <s v="2012-02-13"/>
    <n v="0"/>
    <n v="506"/>
    <n v="4.2943090000000002"/>
    <n v="2"/>
    <x v="2"/>
    <x v="3410"/>
    <n v="1019.3"/>
    <n v="0"/>
    <s v="731877 afmeldt"/>
    <m/>
    <n v="2173.3523799999998"/>
    <n v="0"/>
    <n v="59942"/>
  </r>
  <r>
    <x v="6"/>
    <m/>
    <s v="Ungdomsskolen, Farum"/>
    <n v="5942"/>
    <m/>
    <s v="Ungdomsskolen 9A"/>
    <x v="118"/>
    <x v="0"/>
    <x v="6"/>
    <n v="2267.73"/>
    <n v="6"/>
    <s v="2012-02-13"/>
    <n v="0"/>
    <n v="506"/>
    <n v="4.4807940000000004"/>
    <n v="2"/>
    <x v="2"/>
    <x v="3411"/>
    <n v="1063.57"/>
    <n v="0"/>
    <s v="731877 afmeldt"/>
    <m/>
    <n v="2267.7364699999998"/>
    <n v="0"/>
    <n v="59942"/>
  </r>
  <r>
    <x v="6"/>
    <m/>
    <s v="Ungdomsskolen, Farum"/>
    <n v="5956"/>
    <m/>
    <s v="Ungdomsskolen 11A"/>
    <x v="118"/>
    <x v="0"/>
    <x v="0"/>
    <n v="15026"/>
    <n v="5"/>
    <m/>
    <n v="0"/>
    <n v="186"/>
    <n v="37.382320999999997"/>
    <n v="2"/>
    <x v="2"/>
    <x v="3412"/>
    <n v="2087.0500000000002"/>
    <n v="0"/>
    <s v="ny"/>
    <s v="74115167586"/>
    <n v="6956.8440000000001"/>
    <n v="0"/>
    <n v="91057"/>
  </r>
  <r>
    <x v="6"/>
    <m/>
    <s v="Ungdomsskolen, Farum"/>
    <n v="5942"/>
    <m/>
    <s v="Ungdomsskolen 9A"/>
    <x v="118"/>
    <x v="0"/>
    <x v="0"/>
    <n v="7111"/>
    <n v="5"/>
    <m/>
    <n v="0"/>
    <n v="506"/>
    <n v="5.7576960000000001"/>
    <n v="2"/>
    <x v="2"/>
    <x v="3413"/>
    <n v="874.18"/>
    <n v="0"/>
    <m/>
    <s v="74111907032"/>
    <n v="2913.9720000000002"/>
    <n v="0"/>
    <n v="91058"/>
  </r>
  <r>
    <x v="7"/>
    <m/>
    <s v="Ryetvej 17, gl"/>
    <n v="10165"/>
    <m/>
    <s v="Lynghuset gl"/>
    <x v="119"/>
    <x v="0"/>
    <x v="0"/>
    <n v="25"/>
    <n v="5"/>
    <s v="2012-05-31"/>
    <n v="0"/>
    <n v="168"/>
    <n v="8.0071000000000003E-2"/>
    <n v="3"/>
    <x v="0"/>
    <x v="3414"/>
    <n v="10.76"/>
    <n v="0"/>
    <s v="11159195"/>
    <m/>
    <n v="13.454000000000001"/>
    <n v="0"/>
    <n v="77158"/>
  </r>
  <r>
    <x v="7"/>
    <m/>
    <s v="Ryetvej 17, gl"/>
    <n v="10165"/>
    <m/>
    <s v="Lynghuset gl"/>
    <x v="119"/>
    <x v="0"/>
    <x v="1"/>
    <n v="209.76"/>
    <n v="12"/>
    <s v="2012-05-31"/>
    <n v="0"/>
    <n v="168"/>
    <n v="1.2478279999999999"/>
    <n v="3"/>
    <x v="0"/>
    <x v="3415"/>
    <n v="167.81"/>
    <n v="0"/>
    <s v="11159195"/>
    <m/>
    <n v="209.75800000000001"/>
    <n v="0"/>
    <n v="77158"/>
  </r>
  <r>
    <x v="7"/>
    <m/>
    <s v="Ryetvej 17, gl"/>
    <n v="10165"/>
    <m/>
    <s v="Lynghuset gl"/>
    <x v="119"/>
    <x v="0"/>
    <x v="2"/>
    <n v="164.39"/>
    <n v="12"/>
    <s v="2012-05-31"/>
    <n v="0"/>
    <n v="168"/>
    <n v="0.97792900000000005"/>
    <n v="3"/>
    <x v="0"/>
    <x v="1615"/>
    <n v="131.5"/>
    <n v="0"/>
    <s v="11159195"/>
    <m/>
    <n v="164.37854999999999"/>
    <n v="0"/>
    <n v="77158"/>
  </r>
  <r>
    <x v="7"/>
    <m/>
    <s v="Ryetvej 17, gl"/>
    <n v="10165"/>
    <m/>
    <s v="Lynghuset gl"/>
    <x v="119"/>
    <x v="0"/>
    <x v="3"/>
    <n v="48.06"/>
    <n v="10"/>
    <s v="2012-05-31"/>
    <n v="0"/>
    <n v="168"/>
    <n v="0.28590100000000002"/>
    <n v="3"/>
    <x v="0"/>
    <x v="3416"/>
    <n v="38.44"/>
    <n v="0"/>
    <s v="11159195"/>
    <m/>
    <n v="48.045450000000002"/>
    <n v="0"/>
    <n v="77158"/>
  </r>
  <r>
    <x v="7"/>
    <m/>
    <s v="Ryetvej 17, gl"/>
    <n v="10165"/>
    <m/>
    <s v="Lynghuset gl"/>
    <x v="119"/>
    <x v="0"/>
    <x v="4"/>
    <n v="1.19"/>
    <n v="3"/>
    <s v="2012-05-31"/>
    <n v="0"/>
    <n v="168"/>
    <n v="7.0790000000000002E-3"/>
    <n v="3"/>
    <x v="0"/>
    <x v="3417"/>
    <n v="0.96"/>
    <n v="0"/>
    <s v="11159195"/>
    <m/>
    <n v="1.1927700000000001"/>
    <n v="0"/>
    <n v="77158"/>
  </r>
  <r>
    <x v="7"/>
    <m/>
    <s v="Ryetvej 17, gl"/>
    <n v="10165"/>
    <m/>
    <s v="Lynghuset gl"/>
    <x v="119"/>
    <x v="0"/>
    <x v="5"/>
    <n v="103.5"/>
    <n v="6"/>
    <s v="2012-05-31"/>
    <n v="0"/>
    <n v="168"/>
    <n v="0.61570400000000003"/>
    <n v="3"/>
    <x v="0"/>
    <x v="3418"/>
    <n v="82.81"/>
    <n v="0"/>
    <s v="11159195"/>
    <m/>
    <n v="103.50167"/>
    <n v="0"/>
    <n v="77158"/>
  </r>
  <r>
    <x v="7"/>
    <m/>
    <s v="Ryetvej 17, gl"/>
    <n v="10165"/>
    <m/>
    <s v="Lynghuset gl"/>
    <x v="119"/>
    <x v="0"/>
    <x v="6"/>
    <n v="167.78"/>
    <n v="6"/>
    <s v="2012-05-31"/>
    <n v="0"/>
    <n v="168"/>
    <n v="0.99809599999999998"/>
    <n v="3"/>
    <x v="0"/>
    <x v="1617"/>
    <n v="134.22"/>
    <n v="0"/>
    <s v="11159195"/>
    <m/>
    <n v="167.77807000000001"/>
    <n v="0"/>
    <n v="77158"/>
  </r>
  <r>
    <x v="7"/>
    <m/>
    <s v="Ryetvej 17, ny"/>
    <n v="10166"/>
    <m/>
    <s v="Lynghuset Børnehus, ny"/>
    <x v="119"/>
    <x v="0"/>
    <x v="0"/>
    <n v="10"/>
    <n v="5"/>
    <s v="2011-10-31"/>
    <n v="0"/>
    <n v="228"/>
    <n v="3.0688E-2"/>
    <n v="3"/>
    <x v="0"/>
    <x v="3419"/>
    <n v="5.6"/>
    <n v="0"/>
    <s v="40460"/>
    <m/>
    <n v="7"/>
    <n v="0"/>
    <n v="77161"/>
  </r>
  <r>
    <x v="7"/>
    <m/>
    <s v="Ryetvej 17, ny"/>
    <n v="10166"/>
    <m/>
    <s v="Lynghuset Børnehus, ny"/>
    <x v="119"/>
    <x v="0"/>
    <x v="1"/>
    <n v="80.900000000000006"/>
    <n v="12"/>
    <s v="2011-10-31"/>
    <n v="0"/>
    <n v="228"/>
    <n v="0.35466900000000001"/>
    <n v="3"/>
    <x v="0"/>
    <x v="3420"/>
    <n v="64.72"/>
    <n v="0"/>
    <s v="40460"/>
    <m/>
    <n v="80.900000000000006"/>
    <n v="0"/>
    <n v="77161"/>
  </r>
  <r>
    <x v="7"/>
    <m/>
    <s v="Ryetvej 17, ny"/>
    <n v="10166"/>
    <m/>
    <s v="Lynghuset Børnehus, ny"/>
    <x v="119"/>
    <x v="0"/>
    <x v="2"/>
    <n v="52.7"/>
    <n v="12"/>
    <s v="2011-10-31"/>
    <n v="0"/>
    <n v="228"/>
    <n v="0.23103899999999999"/>
    <n v="3"/>
    <x v="0"/>
    <x v="3421"/>
    <n v="42.16"/>
    <n v="0"/>
    <s v="40460"/>
    <m/>
    <n v="52.7"/>
    <n v="0"/>
    <n v="77161"/>
  </r>
  <r>
    <x v="7"/>
    <m/>
    <s v="Ryetvej 17, ny"/>
    <n v="10166"/>
    <m/>
    <s v="Lynghuset Børnehus, ny"/>
    <x v="119"/>
    <x v="0"/>
    <x v="3"/>
    <n v="11.99"/>
    <n v="8"/>
    <s v="2011-10-31"/>
    <n v="0"/>
    <n v="228"/>
    <n v="5.2564E-2"/>
    <n v="3"/>
    <x v="0"/>
    <x v="3422"/>
    <n v="9.61"/>
    <n v="0"/>
    <s v="40460"/>
    <m/>
    <n v="12.000019999999999"/>
    <n v="0"/>
    <n v="77161"/>
  </r>
  <r>
    <x v="7"/>
    <m/>
    <s v="Ryetvej 17, ny"/>
    <n v="10166"/>
    <m/>
    <s v="Lynghuset Børnehus, ny"/>
    <x v="119"/>
    <x v="0"/>
    <x v="4"/>
    <n v="1.59"/>
    <n v="3"/>
    <s v="2011-10-31"/>
    <n v="0"/>
    <n v="228"/>
    <n v="6.9699999999999996E-3"/>
    <n v="3"/>
    <x v="0"/>
    <x v="3423"/>
    <n v="1.28"/>
    <n v="0"/>
    <s v="40460"/>
    <m/>
    <n v="1.5963700000000001"/>
    <n v="0"/>
    <n v="77161"/>
  </r>
  <r>
    <x v="7"/>
    <m/>
    <s v="Ryetvej 17, ny"/>
    <n v="10166"/>
    <m/>
    <s v="Lynghuset Børnehus, ny"/>
    <x v="119"/>
    <x v="0"/>
    <x v="5"/>
    <n v="44.59"/>
    <n v="6"/>
    <s v="2011-10-31"/>
    <n v="0"/>
    <n v="228"/>
    <n v="0.19548399999999999"/>
    <n v="3"/>
    <x v="0"/>
    <x v="3424"/>
    <n v="35.68"/>
    <n v="0"/>
    <s v="40460"/>
    <m/>
    <n v="44.59807"/>
    <n v="0"/>
    <n v="77161"/>
  </r>
  <r>
    <x v="7"/>
    <m/>
    <s v="Ryetvej 17, ny"/>
    <n v="10166"/>
    <m/>
    <s v="Lynghuset Børnehus, ny"/>
    <x v="119"/>
    <x v="0"/>
    <x v="6"/>
    <n v="76.569999999999993"/>
    <n v="6"/>
    <s v="2011-10-31"/>
    <n v="0"/>
    <n v="228"/>
    <n v="0.33568599999999998"/>
    <n v="3"/>
    <x v="0"/>
    <x v="3425"/>
    <n v="61.23"/>
    <n v="0"/>
    <s v="40460"/>
    <m/>
    <n v="76.574820000000003"/>
    <n v="0"/>
    <n v="77161"/>
  </r>
  <r>
    <x v="7"/>
    <m/>
    <s v="Spejderhus Søvej 18"/>
    <n v="10170"/>
    <m/>
    <s v="Spejderhus Søvej 18"/>
    <x v="120"/>
    <x v="0"/>
    <x v="0"/>
    <n v="20"/>
    <n v="5"/>
    <s v="2011-08-31"/>
    <n v="0"/>
    <n v="247"/>
    <n v="2.9947000000000001E-2"/>
    <n v="3"/>
    <x v="0"/>
    <x v="3426"/>
    <n v="5.92"/>
    <n v="0"/>
    <s v="40910"/>
    <m/>
    <n v="7.4"/>
    <n v="0"/>
    <n v="77184"/>
  </r>
  <r>
    <x v="7"/>
    <m/>
    <s v="Spejderhus Søvej 18"/>
    <n v="10170"/>
    <m/>
    <s v="Spejderhus Søvej 18"/>
    <x v="120"/>
    <x v="0"/>
    <x v="1"/>
    <n v="25.8"/>
    <n v="12"/>
    <s v="2011-08-31"/>
    <n v="0"/>
    <n v="247"/>
    <n v="0.104411"/>
    <n v="3"/>
    <x v="0"/>
    <x v="3427"/>
    <n v="20.64"/>
    <n v="0"/>
    <s v="40910"/>
    <m/>
    <n v="25.8"/>
    <n v="0"/>
    <n v="77184"/>
  </r>
  <r>
    <x v="7"/>
    <m/>
    <s v="Spejderhus Søvej 18"/>
    <n v="10170"/>
    <m/>
    <s v="Spejderhus Søvej 18"/>
    <x v="120"/>
    <x v="0"/>
    <x v="2"/>
    <n v="22.8"/>
    <n v="12"/>
    <s v="2011-08-31"/>
    <n v="0"/>
    <n v="247"/>
    <n v="9.2270000000000005E-2"/>
    <n v="3"/>
    <x v="0"/>
    <x v="3428"/>
    <n v="18.239999999999998"/>
    <n v="0"/>
    <s v="40910"/>
    <m/>
    <n v="22.8"/>
    <n v="0"/>
    <n v="77184"/>
  </r>
  <r>
    <x v="7"/>
    <m/>
    <s v="Spejderhus Søvej 18"/>
    <n v="10170"/>
    <m/>
    <s v="Spejderhus Søvej 18"/>
    <x v="120"/>
    <x v="0"/>
    <x v="3"/>
    <n v="22.36"/>
    <n v="7"/>
    <s v="2011-08-31"/>
    <n v="0"/>
    <n v="247"/>
    <n v="9.0489E-2"/>
    <n v="3"/>
    <x v="0"/>
    <x v="3429"/>
    <n v="17.87"/>
    <n v="0"/>
    <s v="40910"/>
    <m/>
    <n v="22.340589999999999"/>
    <n v="0"/>
    <n v="77184"/>
  </r>
  <r>
    <x v="7"/>
    <m/>
    <s v="Spejderhus Søvej 18"/>
    <n v="10170"/>
    <m/>
    <s v="Spejderhus Søvej 18"/>
    <x v="120"/>
    <x v="0"/>
    <x v="4"/>
    <n v="20.77"/>
    <n v="2"/>
    <s v="2011-08-31"/>
    <n v="0"/>
    <n v="247"/>
    <n v="8.4055000000000005E-2"/>
    <n v="3"/>
    <x v="0"/>
    <x v="3430"/>
    <n v="16.649999999999999"/>
    <n v="0"/>
    <s v="40910"/>
    <m/>
    <n v="20.776289999999999"/>
    <n v="0"/>
    <n v="77184"/>
  </r>
  <r>
    <x v="7"/>
    <m/>
    <s v="Spejderhus Søvej 18"/>
    <n v="10170"/>
    <m/>
    <s v="Spejderhus Søvej 18"/>
    <x v="120"/>
    <x v="0"/>
    <x v="5"/>
    <n v="166.94"/>
    <n v="4"/>
    <s v="2011-08-31"/>
    <n v="0"/>
    <n v="247"/>
    <n v="0.67559599999999997"/>
    <n v="3"/>
    <x v="0"/>
    <x v="3431"/>
    <n v="133.58000000000001"/>
    <n v="0"/>
    <s v="40910"/>
    <m/>
    <n v="166.94978"/>
    <n v="0"/>
    <n v="77184"/>
  </r>
  <r>
    <x v="7"/>
    <m/>
    <s v="Spejderhus Søvej 18"/>
    <n v="10170"/>
    <m/>
    <s v="Spejderhus Søvej 18"/>
    <x v="120"/>
    <x v="0"/>
    <x v="6"/>
    <n v="56.25"/>
    <n v="4"/>
    <s v="2011-08-31"/>
    <n v="0"/>
    <n v="247"/>
    <n v="0.22764000000000001"/>
    <n v="3"/>
    <x v="0"/>
    <x v="3432"/>
    <n v="45"/>
    <n v="0"/>
    <s v="40910"/>
    <m/>
    <n v="56.257849999999998"/>
    <n v="0"/>
    <n v="77184"/>
  </r>
  <r>
    <x v="7"/>
    <m/>
    <s v="Spejderhus, Sandet 2"/>
    <n v="10202"/>
    <m/>
    <s v="Spejderhus, Sandet 2"/>
    <x v="50"/>
    <x v="0"/>
    <x v="0"/>
    <n v="6"/>
    <n v="5"/>
    <s v="2011-12-31"/>
    <n v="0"/>
    <n v="123"/>
    <n v="1.056E-2"/>
    <n v="3"/>
    <x v="0"/>
    <x v="3433"/>
    <n v="1.05"/>
    <n v="0"/>
    <s v="00572/11131958"/>
    <m/>
    <n v="1.2989999999999999"/>
    <n v="0"/>
    <n v="77351"/>
  </r>
  <r>
    <x v="7"/>
    <m/>
    <s v="Spejderhus, Sandet 2"/>
    <n v="10202"/>
    <m/>
    <s v="Spejderhus, Sandet 2"/>
    <x v="50"/>
    <x v="0"/>
    <x v="1"/>
    <n v="9.26"/>
    <n v="12"/>
    <s v="2011-12-31"/>
    <n v="0"/>
    <n v="123"/>
    <n v="7.5222999999999998E-2"/>
    <n v="3"/>
    <x v="0"/>
    <x v="3434"/>
    <n v="7.41"/>
    <n v="0"/>
    <s v="00572/11131958"/>
    <m/>
    <n v="9.2569999999999997"/>
    <n v="0"/>
    <n v="77351"/>
  </r>
  <r>
    <x v="7"/>
    <m/>
    <s v="Spejderhus, Sandet 2"/>
    <n v="10202"/>
    <m/>
    <s v="Spejderhus, Sandet 2"/>
    <x v="50"/>
    <x v="0"/>
    <x v="2"/>
    <n v="24.04"/>
    <n v="12"/>
    <s v="2011-12-31"/>
    <n v="0"/>
    <n v="123"/>
    <n v="0.19528799999999999"/>
    <n v="3"/>
    <x v="0"/>
    <x v="3435"/>
    <n v="19.23"/>
    <n v="0"/>
    <s v="00572/11131958"/>
    <m/>
    <n v="24.038"/>
    <n v="0"/>
    <n v="77351"/>
  </r>
  <r>
    <x v="7"/>
    <m/>
    <s v="Spejderhus, Sandet 2"/>
    <n v="10202"/>
    <m/>
    <s v="Spejderhus, Sandet 2"/>
    <x v="50"/>
    <x v="0"/>
    <x v="3"/>
    <n v="53.27"/>
    <n v="5"/>
    <s v="2011-12-31"/>
    <n v="0"/>
    <n v="123"/>
    <n v="0.43273699999999998"/>
    <n v="3"/>
    <x v="0"/>
    <x v="3436"/>
    <n v="42.64"/>
    <n v="0"/>
    <s v="00572/11131958"/>
    <m/>
    <n v="53.28078"/>
    <n v="0"/>
    <n v="77351"/>
  </r>
  <r>
    <x v="7"/>
    <m/>
    <s v="Spejderhus, Sandet 2"/>
    <n v="10202"/>
    <m/>
    <s v="Spejderhus, Sandet 2"/>
    <x v="50"/>
    <x v="0"/>
    <x v="4"/>
    <n v="6.98"/>
    <n v="2"/>
    <s v="2011-12-31"/>
    <n v="0"/>
    <n v="123"/>
    <n v="5.6701000000000001E-2"/>
    <n v="3"/>
    <x v="0"/>
    <x v="3437"/>
    <n v="5.59"/>
    <n v="0"/>
    <s v="00572/11131958"/>
    <m/>
    <n v="6.9807699999999997"/>
    <n v="0"/>
    <n v="77351"/>
  </r>
  <r>
    <x v="7"/>
    <m/>
    <s v="Spejderhus, Sandet 2"/>
    <n v="10202"/>
    <m/>
    <s v="Spejderhus, Sandet 2"/>
    <x v="50"/>
    <x v="0"/>
    <x v="5"/>
    <n v="5.82"/>
    <n v="2"/>
    <s v="2011-12-31"/>
    <n v="0"/>
    <n v="123"/>
    <n v="4.7278000000000001E-2"/>
    <n v="3"/>
    <x v="0"/>
    <x v="3438"/>
    <n v="4.6500000000000004"/>
    <n v="0"/>
    <s v="00572/11131958"/>
    <m/>
    <n v="5.8125299999999998"/>
    <n v="0"/>
    <n v="77351"/>
  </r>
  <r>
    <x v="7"/>
    <m/>
    <s v="Spejderhus, Sandet 2"/>
    <n v="10202"/>
    <m/>
    <s v="Spejderhus, Sandet 2"/>
    <x v="50"/>
    <x v="0"/>
    <x v="6"/>
    <n v="7.88"/>
    <n v="5"/>
    <s v="2011-12-31"/>
    <n v="0"/>
    <n v="123"/>
    <n v="6.4011999999999999E-2"/>
    <n v="3"/>
    <x v="0"/>
    <x v="3439"/>
    <n v="6.32"/>
    <n v="0"/>
    <s v="00572/11131958"/>
    <m/>
    <n v="7.8929400000000003"/>
    <n v="0"/>
    <n v="77351"/>
  </r>
  <r>
    <x v="7"/>
    <m/>
    <s v="Ryetvej 17, gl"/>
    <n v="10165"/>
    <m/>
    <s v="Lynghuset gl"/>
    <x v="119"/>
    <x v="0"/>
    <x v="0"/>
    <n v="18531"/>
    <n v="5"/>
    <s v="2011-10-31"/>
    <n v="0"/>
    <n v="168"/>
    <n v="65.455085999999994"/>
    <n v="1"/>
    <x v="1"/>
    <x v="3440"/>
    <n v="704.19"/>
    <n v="0"/>
    <s v="4166242"/>
    <m/>
    <n v="11003"/>
    <n v="0"/>
    <n v="77179"/>
  </r>
  <r>
    <x v="7"/>
    <m/>
    <s v="Ryetvej 17, gl"/>
    <n v="10165"/>
    <m/>
    <s v="Lynghuset gl"/>
    <x v="119"/>
    <x v="0"/>
    <x v="1"/>
    <n v="17799"/>
    <n v="12"/>
    <s v="2011-10-31"/>
    <n v="0"/>
    <n v="168"/>
    <n v="105.883402"/>
    <n v="1"/>
    <x v="1"/>
    <x v="3441"/>
    <n v="1139.1300000000001"/>
    <n v="0"/>
    <s v="4166242"/>
    <m/>
    <n v="17799"/>
    <n v="0"/>
    <n v="77179"/>
  </r>
  <r>
    <x v="7"/>
    <m/>
    <s v="Ryetvej 17, gl"/>
    <n v="10165"/>
    <m/>
    <s v="Lynghuset gl"/>
    <x v="119"/>
    <x v="0"/>
    <x v="2"/>
    <n v="22487"/>
    <n v="12"/>
    <s v="2011-10-31"/>
    <n v="0"/>
    <n v="168"/>
    <n v="133.77156400000001"/>
    <n v="1"/>
    <x v="1"/>
    <x v="3442"/>
    <n v="4160.09"/>
    <n v="0"/>
    <s v="4166242"/>
    <m/>
    <n v="22487"/>
    <n v="0"/>
    <n v="77179"/>
  </r>
  <r>
    <x v="7"/>
    <m/>
    <s v="Ryetvej 17, gl"/>
    <n v="10165"/>
    <m/>
    <s v="Lynghuset gl"/>
    <x v="119"/>
    <x v="0"/>
    <x v="3"/>
    <n v="17844.009999999998"/>
    <n v="8"/>
    <s v="2011-10-31"/>
    <n v="0"/>
    <n v="168"/>
    <n v="106.15116"/>
    <n v="1"/>
    <x v="1"/>
    <x v="3443"/>
    <n v="3301.12"/>
    <n v="0"/>
    <s v="4166242"/>
    <m/>
    <n v="17844.018189999999"/>
    <n v="0"/>
    <n v="77179"/>
  </r>
  <r>
    <x v="7"/>
    <m/>
    <s v="Ryetvej 17, gl"/>
    <n v="10165"/>
    <m/>
    <s v="Lynghuset gl"/>
    <x v="119"/>
    <x v="0"/>
    <x v="4"/>
    <n v="2323.0700000000002"/>
    <n v="3"/>
    <s v="2011-10-31"/>
    <n v="0"/>
    <n v="168"/>
    <n v="13.819571"/>
    <n v="1"/>
    <x v="1"/>
    <x v="3444"/>
    <n v="429.75"/>
    <n v="0"/>
    <s v="4166242"/>
    <m/>
    <n v="2323.0721800000001"/>
    <n v="0"/>
    <n v="77179"/>
  </r>
  <r>
    <x v="7"/>
    <m/>
    <s v="Ryetvej 17, gl"/>
    <n v="10165"/>
    <m/>
    <s v="Lynghuset gl"/>
    <x v="119"/>
    <x v="0"/>
    <x v="5"/>
    <n v="13800.9"/>
    <n v="6"/>
    <s v="2011-10-31"/>
    <n v="0"/>
    <n v="168"/>
    <n v="82.099345"/>
    <n v="1"/>
    <x v="1"/>
    <x v="3445"/>
    <n v="2553.15"/>
    <n v="0"/>
    <s v="4166242"/>
    <m/>
    <n v="13800.90964"/>
    <n v="0"/>
    <n v="77179"/>
  </r>
  <r>
    <x v="7"/>
    <m/>
    <s v="Ryetvej 17, gl"/>
    <n v="10165"/>
    <m/>
    <s v="Lynghuset gl"/>
    <x v="119"/>
    <x v="0"/>
    <x v="6"/>
    <n v="18175.11"/>
    <n v="5"/>
    <s v="2011-10-31"/>
    <n v="0"/>
    <n v="168"/>
    <n v="108.12081999999999"/>
    <n v="1"/>
    <x v="1"/>
    <x v="3446"/>
    <n v="3362.4"/>
    <n v="0"/>
    <s v="4166242"/>
    <m/>
    <n v="18175.10989"/>
    <n v="0"/>
    <n v="77179"/>
  </r>
  <r>
    <x v="7"/>
    <m/>
    <s v="Ryetvej 17, ny"/>
    <n v="10166"/>
    <m/>
    <s v="Lynghuset Børnehus, ny"/>
    <x v="119"/>
    <x v="0"/>
    <x v="0"/>
    <n v="13479"/>
    <n v="5"/>
    <s v="2011-10-31"/>
    <n v="0"/>
    <n v="228"/>
    <n v="26.391933000000002"/>
    <n v="1"/>
    <x v="1"/>
    <x v="3447"/>
    <n v="419.22"/>
    <n v="0"/>
    <s v="4166241"/>
    <m/>
    <n v="6020"/>
    <n v="0"/>
    <n v="77196"/>
  </r>
  <r>
    <x v="7"/>
    <m/>
    <s v="Ryetvej 17, ny"/>
    <n v="10166"/>
    <m/>
    <s v="Lynghuset Børnehus, ny"/>
    <x v="119"/>
    <x v="0"/>
    <x v="1"/>
    <n v="31007"/>
    <n v="12"/>
    <s v="2011-10-31"/>
    <n v="0"/>
    <n v="228"/>
    <n v="135.935992"/>
    <n v="1"/>
    <x v="1"/>
    <x v="3448"/>
    <n v="2055.81"/>
    <n v="0"/>
    <s v="4166241"/>
    <m/>
    <n v="31007"/>
    <n v="0"/>
    <n v="77196"/>
  </r>
  <r>
    <x v="7"/>
    <m/>
    <s v="Ryetvej 17, ny"/>
    <n v="10166"/>
    <m/>
    <s v="Lynghuset Børnehus, ny"/>
    <x v="119"/>
    <x v="0"/>
    <x v="2"/>
    <n v="33141"/>
    <n v="12"/>
    <s v="2011-10-31"/>
    <n v="0"/>
    <n v="228"/>
    <n v="145.291538"/>
    <n v="1"/>
    <x v="1"/>
    <x v="3449"/>
    <n v="6426.93"/>
    <n v="0"/>
    <s v="4166241"/>
    <m/>
    <n v="33141"/>
    <n v="0"/>
    <n v="77196"/>
  </r>
  <r>
    <x v="7"/>
    <m/>
    <s v="Ryetvej 17, ny"/>
    <n v="10166"/>
    <m/>
    <s v="Lynghuset Børnehus, ny"/>
    <x v="119"/>
    <x v="0"/>
    <x v="3"/>
    <n v="20681"/>
    <n v="9"/>
    <s v="2011-10-31"/>
    <n v="0"/>
    <n v="228"/>
    <n v="90.666374000000005"/>
    <n v="1"/>
    <x v="1"/>
    <x v="3450"/>
    <n v="4515.8100000000004"/>
    <n v="0"/>
    <s v="4166241"/>
    <m/>
    <n v="20680.99999"/>
    <n v="0"/>
    <n v="77196"/>
  </r>
  <r>
    <x v="7"/>
    <m/>
    <s v="Ryetvej 17, ny"/>
    <n v="10166"/>
    <m/>
    <s v="Lynghuset Børnehus, ny"/>
    <x v="119"/>
    <x v="0"/>
    <x v="4"/>
    <n v="19397.63"/>
    <n v="3"/>
    <s v="2011-10-31"/>
    <n v="0"/>
    <n v="228"/>
    <n v="85.040025999999997"/>
    <n v="1"/>
    <x v="1"/>
    <x v="3451"/>
    <n v="4659.78"/>
    <n v="0"/>
    <s v="4166241"/>
    <m/>
    <n v="19397.626509999998"/>
    <n v="0"/>
    <n v="77196"/>
  </r>
  <r>
    <x v="7"/>
    <m/>
    <s v="Ryetvej 17, ny"/>
    <n v="10166"/>
    <m/>
    <s v="Lynghuset Børnehus, ny"/>
    <x v="119"/>
    <x v="0"/>
    <x v="5"/>
    <n v="23293.16"/>
    <n v="6"/>
    <s v="2011-10-31"/>
    <n v="0"/>
    <n v="228"/>
    <n v="102.11819300000001"/>
    <n v="1"/>
    <x v="1"/>
    <x v="3452"/>
    <n v="4829.2"/>
    <n v="0"/>
    <s v="4166241"/>
    <m/>
    <n v="23293.179069999998"/>
    <n v="0"/>
    <n v="77196"/>
  </r>
  <r>
    <x v="7"/>
    <m/>
    <s v="Ryetvej 17, ny"/>
    <n v="10166"/>
    <m/>
    <s v="Lynghuset Børnehus, ny"/>
    <x v="119"/>
    <x v="0"/>
    <x v="6"/>
    <n v="21858.07"/>
    <n v="6"/>
    <s v="2011-10-31"/>
    <n v="0"/>
    <n v="228"/>
    <n v="95.826697999999993"/>
    <n v="1"/>
    <x v="1"/>
    <x v="3453"/>
    <n v="4594.59"/>
    <n v="0"/>
    <s v="4166241"/>
    <m/>
    <n v="21858.062569999998"/>
    <n v="0"/>
    <n v="77196"/>
  </r>
  <r>
    <x v="7"/>
    <m/>
    <s v="Spejderhus, Sandet 2"/>
    <n v="10202"/>
    <m/>
    <s v="Spejderhus, Sandet 2"/>
    <x v="50"/>
    <x v="0"/>
    <x v="0"/>
    <n v="9312"/>
    <n v="5"/>
    <s v="2013-05-07"/>
    <n v="0"/>
    <n v="123"/>
    <n v="46.302273999999997"/>
    <n v="1"/>
    <x v="4"/>
    <x v="3454"/>
    <n v="1371.99"/>
    <n v="0"/>
    <s v="02186"/>
    <s v="98003449000"/>
    <n v="527.76"/>
    <n v="0"/>
    <n v="77352"/>
  </r>
  <r>
    <x v="7"/>
    <m/>
    <s v="Spejderhus, Sandet 2"/>
    <n v="10202"/>
    <m/>
    <s v="Spejderhus, Sandet 2"/>
    <x v="50"/>
    <x v="0"/>
    <x v="1"/>
    <n v="22827.66"/>
    <n v="13"/>
    <s v="2013-05-07"/>
    <n v="0"/>
    <n v="123"/>
    <n v="185.439967"/>
    <n v="1"/>
    <x v="4"/>
    <x v="3455"/>
    <n v="5041.82"/>
    <n v="0"/>
    <s v="02186"/>
    <s v="98003449000"/>
    <n v="2113.6725200000001"/>
    <n v="0"/>
    <n v="77352"/>
  </r>
  <r>
    <x v="7"/>
    <m/>
    <s v="Spejderhus, Sandet 2"/>
    <n v="10202"/>
    <m/>
    <s v="Spejderhus, Sandet 2"/>
    <x v="50"/>
    <x v="0"/>
    <x v="2"/>
    <n v="35299.360000000001"/>
    <n v="12"/>
    <s v="2013-05-07"/>
    <n v="0"/>
    <n v="123"/>
    <n v="286.753533"/>
    <n v="1"/>
    <x v="4"/>
    <x v="3456"/>
    <n v="8107.42"/>
    <n v="0"/>
    <s v="02186"/>
    <s v="98003449000"/>
    <n v="3268.4582999999998"/>
    <n v="0"/>
    <n v="77352"/>
  </r>
  <r>
    <x v="7"/>
    <m/>
    <s v="Spejderhus, Sandet 2"/>
    <n v="10202"/>
    <m/>
    <s v="Spejderhus, Sandet 2"/>
    <x v="50"/>
    <x v="0"/>
    <x v="3"/>
    <n v="40495.67"/>
    <n v="12"/>
    <s v="2013-05-07"/>
    <n v="0"/>
    <n v="123"/>
    <n v="328.96563700000002"/>
    <n v="1"/>
    <x v="4"/>
    <x v="3457"/>
    <n v="10004.120000000001"/>
    <n v="0"/>
    <s v="02186"/>
    <s v="98003449000"/>
    <n v="3749.5999900000002"/>
    <n v="0"/>
    <n v="77352"/>
  </r>
  <r>
    <x v="7"/>
    <m/>
    <s v="Spejderhus, Sandet 2"/>
    <n v="10202"/>
    <m/>
    <s v="Spejderhus, Sandet 2"/>
    <x v="50"/>
    <x v="0"/>
    <x v="4"/>
    <n v="28178.29"/>
    <n v="8"/>
    <s v="2013-05-07"/>
    <n v="0"/>
    <n v="123"/>
    <n v="228.905686"/>
    <n v="1"/>
    <x v="4"/>
    <x v="3458"/>
    <n v="5437.42"/>
    <n v="0"/>
    <s v="02186"/>
    <s v="98003449000"/>
    <n v="2609.10068"/>
    <n v="0"/>
    <n v="77352"/>
  </r>
  <r>
    <x v="7"/>
    <m/>
    <s v="Spejderhus, Sandet 2"/>
    <n v="10202"/>
    <m/>
    <s v="Spejderhus, Sandet 2"/>
    <x v="50"/>
    <x v="0"/>
    <x v="5"/>
    <n v="20966.11"/>
    <n v="2"/>
    <s v="2013-05-07"/>
    <n v="0"/>
    <n v="123"/>
    <n v="170.31770900000001"/>
    <n v="1"/>
    <x v="4"/>
    <x v="3459"/>
    <n v="5971.92"/>
    <n v="0"/>
    <s v="02186"/>
    <s v="98003449000"/>
    <n v="1941.30882"/>
    <n v="0"/>
    <n v="77352"/>
  </r>
  <r>
    <x v="7"/>
    <m/>
    <s v="Spejderhus, Sandet 2"/>
    <n v="10202"/>
    <m/>
    <s v="Spejderhus, Sandet 2"/>
    <x v="50"/>
    <x v="0"/>
    <x v="6"/>
    <n v="17385.55"/>
    <n v="5"/>
    <s v="2013-05-07"/>
    <n v="0"/>
    <n v="123"/>
    <n v="141.231112"/>
    <n v="1"/>
    <x v="4"/>
    <x v="3460"/>
    <n v="4223.68"/>
    <n v="0"/>
    <s v="02186"/>
    <s v="98003449000"/>
    <n v="1609.7724900000001"/>
    <n v="0"/>
    <n v="77352"/>
  </r>
  <r>
    <x v="7"/>
    <m/>
    <s v="Ryetvej 17, gl"/>
    <n v="10165"/>
    <m/>
    <s v="Lynghuset gl"/>
    <x v="119"/>
    <x v="0"/>
    <x v="7"/>
    <n v="117.61"/>
    <n v="12"/>
    <s v="2012-05-31"/>
    <n v="0"/>
    <n v="168"/>
    <n v="0.69964300000000001"/>
    <n v="3"/>
    <x v="0"/>
    <x v="3461"/>
    <n v="94.06"/>
    <n v="0"/>
    <s v="11159195"/>
    <m/>
    <n v="117.583"/>
    <n v="0"/>
    <n v="77158"/>
  </r>
  <r>
    <x v="7"/>
    <m/>
    <s v="Ryetvej 17, gl"/>
    <n v="10165"/>
    <m/>
    <s v="Lynghuset gl"/>
    <x v="119"/>
    <x v="0"/>
    <x v="7"/>
    <n v="12914"/>
    <n v="12"/>
    <s v="2011-10-31"/>
    <n v="0"/>
    <n v="168"/>
    <n v="76.823318999999998"/>
    <n v="1"/>
    <x v="1"/>
    <x v="3462"/>
    <n v="826.51"/>
    <n v="0"/>
    <s v="4166242"/>
    <m/>
    <n v="12914"/>
    <n v="0"/>
    <n v="77179"/>
  </r>
  <r>
    <x v="7"/>
    <m/>
    <s v="Ryetvej 17, gl"/>
    <n v="10165"/>
    <m/>
    <s v="Lynghuset gl"/>
    <x v="119"/>
    <x v="0"/>
    <x v="7"/>
    <n v="8003.22"/>
    <n v="12"/>
    <s v="2010-07-31"/>
    <n v="0"/>
    <n v="168"/>
    <n v="47.609875000000002"/>
    <n v="2"/>
    <x v="2"/>
    <x v="3463"/>
    <n v="2400.9699999999998"/>
    <n v="0"/>
    <s v="735127-36317"/>
    <m/>
    <n v="8003.2303599999996"/>
    <n v="0"/>
    <n v="77157"/>
  </r>
  <r>
    <x v="7"/>
    <m/>
    <s v="Ryetvej 17, ny"/>
    <n v="10166"/>
    <m/>
    <s v="Lynghuset Børnehus, ny"/>
    <x v="119"/>
    <x v="0"/>
    <x v="7"/>
    <n v="28.3"/>
    <n v="12"/>
    <s v="2011-10-31"/>
    <n v="0"/>
    <n v="228"/>
    <n v="0.124068"/>
    <n v="3"/>
    <x v="0"/>
    <x v="3464"/>
    <n v="22.64"/>
    <n v="0"/>
    <s v="40460"/>
    <m/>
    <n v="28.3"/>
    <n v="0"/>
    <n v="77161"/>
  </r>
  <r>
    <x v="7"/>
    <m/>
    <s v="Ryetvej 17, ny"/>
    <n v="10166"/>
    <m/>
    <s v="Lynghuset Børnehus, ny"/>
    <x v="119"/>
    <x v="0"/>
    <x v="7"/>
    <n v="17102"/>
    <n v="12"/>
    <s v="2011-10-31"/>
    <n v="0"/>
    <n v="228"/>
    <n v="74.975887"/>
    <n v="1"/>
    <x v="1"/>
    <x v="3465"/>
    <n v="1354.16"/>
    <n v="0"/>
    <s v="4166241"/>
    <m/>
    <n v="17102"/>
    <n v="0"/>
    <n v="77196"/>
  </r>
  <r>
    <x v="7"/>
    <m/>
    <s v="Ryetvej 17, ny"/>
    <n v="10166"/>
    <m/>
    <s v="Lynghuset Børnehus, ny"/>
    <x v="119"/>
    <x v="0"/>
    <x v="7"/>
    <n v="7935.25"/>
    <n v="11"/>
    <s v="2010-07-31"/>
    <n v="0"/>
    <n v="228"/>
    <n v="34.788468999999999"/>
    <n v="2"/>
    <x v="2"/>
    <x v="3466"/>
    <n v="2380.56"/>
    <n v="0"/>
    <s v="1096149-3807"/>
    <m/>
    <n v="7935.26"/>
    <n v="0"/>
    <n v="77160"/>
  </r>
  <r>
    <x v="7"/>
    <m/>
    <s v="Spejderhus Søvej 18"/>
    <n v="10170"/>
    <m/>
    <s v="Spejderhus Søvej 18"/>
    <x v="120"/>
    <x v="0"/>
    <x v="7"/>
    <n v="16.899999999999999"/>
    <n v="12"/>
    <s v="2011-08-31"/>
    <n v="0"/>
    <n v="247"/>
    <n v="6.8392999999999995E-2"/>
    <n v="3"/>
    <x v="0"/>
    <x v="3467"/>
    <n v="13.52"/>
    <n v="0"/>
    <s v="40910"/>
    <m/>
    <n v="16.899999999999999"/>
    <n v="0"/>
    <n v="77184"/>
  </r>
  <r>
    <x v="7"/>
    <m/>
    <s v="Spejderhus Søvej 18"/>
    <n v="10170"/>
    <m/>
    <s v="Spejderhus Søvej 18"/>
    <x v="120"/>
    <x v="0"/>
    <x v="7"/>
    <n v="14525.01"/>
    <n v="12"/>
    <s v="2010-07-31"/>
    <n v="0"/>
    <n v="247"/>
    <n v="58.781910000000003"/>
    <n v="2"/>
    <x v="2"/>
    <x v="3468"/>
    <n v="4357.51"/>
    <n v="0"/>
    <s v="4059892"/>
    <s v="74110497688"/>
    <n v="14525.009"/>
    <n v="0"/>
    <n v="77183"/>
  </r>
  <r>
    <x v="6"/>
    <s v="02576-3"/>
    <s v="Solvangskolen, Nord 58"/>
    <n v="5474"/>
    <m/>
    <s v="Solvangskolen"/>
    <x v="52"/>
    <x v="0"/>
    <x v="7"/>
    <n v="1265122.8"/>
    <n v="12"/>
    <m/>
    <n v="0"/>
    <n v="10600"/>
    <n v="119.350081"/>
    <n v="1"/>
    <x v="4"/>
    <x v="3469"/>
    <n v="326151.65000000002"/>
    <n v="0"/>
    <s v="6101943"/>
    <s v="980001304444"/>
    <n v="117141"/>
    <n v="0"/>
    <n v="57912"/>
  </r>
  <r>
    <x v="7"/>
    <m/>
    <s v="Spejderhus, Sandet 2"/>
    <n v="10202"/>
    <m/>
    <s v="Spejderhus, Sandet 2"/>
    <x v="50"/>
    <x v="0"/>
    <x v="7"/>
    <n v="6.94"/>
    <n v="12"/>
    <s v="2011-12-31"/>
    <n v="0"/>
    <n v="123"/>
    <n v="5.6376000000000002E-2"/>
    <n v="3"/>
    <x v="0"/>
    <x v="3470"/>
    <n v="5.55"/>
    <n v="0"/>
    <s v="00572/11131958"/>
    <m/>
    <n v="6.9450000000000003"/>
    <n v="0"/>
    <n v="77351"/>
  </r>
  <r>
    <x v="7"/>
    <m/>
    <s v="Spejderhus, Sandet 2"/>
    <n v="10202"/>
    <m/>
    <s v="Spejderhus, Sandet 2"/>
    <x v="50"/>
    <x v="0"/>
    <x v="7"/>
    <n v="1665.01"/>
    <n v="12"/>
    <s v="2010-07-31"/>
    <n v="0"/>
    <n v="123"/>
    <n v="13.52567"/>
    <n v="2"/>
    <x v="2"/>
    <x v="3471"/>
    <n v="499.5"/>
    <n v="0"/>
    <s v="335935"/>
    <s v="74114251200"/>
    <n v="1664.9929999999999"/>
    <n v="0"/>
    <n v="77350"/>
  </r>
  <r>
    <x v="7"/>
    <s v="10907"/>
    <s v="Spejderhytte Røde Orm, STA49B"/>
    <n v="13663"/>
    <s v="0"/>
    <s v="Spejderhytte Røde Orm"/>
    <x v="121"/>
    <x v="0"/>
    <x v="0"/>
    <n v="4413"/>
    <n v="4"/>
    <m/>
    <n v="0"/>
    <n v="74"/>
    <n v="0"/>
    <n v="2"/>
    <x v="2"/>
    <x v="1"/>
    <n v="0"/>
    <n v="0"/>
    <s v="58979"/>
    <s v="74112381589"/>
    <n v="0"/>
    <n v="0"/>
    <n v="91253"/>
  </r>
  <r>
    <x v="7"/>
    <s v="10907"/>
    <s v="Spejderhytte Røde Orm, STA49B"/>
    <n v="13663"/>
    <s v="0"/>
    <s v="Spejderhytte Røde Orm"/>
    <x v="121"/>
    <x v="0"/>
    <x v="7"/>
    <n v="948.03"/>
    <n v="4"/>
    <s v="2014-11-10"/>
    <n v="0"/>
    <n v="74"/>
    <n v="12.793927"/>
    <n v="2"/>
    <x v="2"/>
    <x v="3472"/>
    <n v="284.39999999999998"/>
    <n v="0"/>
    <s v="58979"/>
    <s v="74112381589"/>
    <n v="948.03615000000002"/>
    <n v="0"/>
    <n v="91253"/>
  </r>
  <r>
    <x v="7"/>
    <m/>
    <s v="Ryetvej 17, gl"/>
    <n v="10165"/>
    <m/>
    <s v="Lynghuset gl"/>
    <x v="119"/>
    <x v="0"/>
    <x v="0"/>
    <n v="1748"/>
    <n v="5"/>
    <s v="2010-07-31"/>
    <n v="0"/>
    <n v="168"/>
    <n v="3.7161209999999998"/>
    <n v="2"/>
    <x v="2"/>
    <x v="3473"/>
    <n v="187.4"/>
    <n v="0"/>
    <s v="735127-36317"/>
    <m/>
    <n v="624.68002999999999"/>
    <n v="0"/>
    <n v="77157"/>
  </r>
  <r>
    <x v="7"/>
    <m/>
    <s v="Ryetvej 17, gl"/>
    <n v="10165"/>
    <m/>
    <s v="Lynghuset gl"/>
    <x v="119"/>
    <x v="0"/>
    <x v="1"/>
    <n v="10504.58"/>
    <n v="12"/>
    <s v="2010-07-31"/>
    <n v="0"/>
    <n v="168"/>
    <n v="62.490065000000001"/>
    <n v="2"/>
    <x v="2"/>
    <x v="3474"/>
    <n v="3151.37"/>
    <n v="0"/>
    <s v="735127-36317"/>
    <m/>
    <n v="10504.586799999999"/>
    <n v="0"/>
    <n v="77157"/>
  </r>
  <r>
    <x v="7"/>
    <m/>
    <s v="Ryetvej 17, gl"/>
    <n v="10165"/>
    <m/>
    <s v="Lynghuset gl"/>
    <x v="119"/>
    <x v="0"/>
    <x v="2"/>
    <n v="13356.28"/>
    <n v="12"/>
    <s v="2010-07-31"/>
    <n v="0"/>
    <n v="168"/>
    <n v="79.454372000000006"/>
    <n v="2"/>
    <x v="2"/>
    <x v="3475"/>
    <n v="5342.5"/>
    <n v="0"/>
    <s v="735127-36317"/>
    <m/>
    <n v="13356.270500000001"/>
    <n v="0"/>
    <n v="77157"/>
  </r>
  <r>
    <x v="7"/>
    <m/>
    <s v="Ryetvej 17, gl"/>
    <n v="10165"/>
    <m/>
    <s v="Lynghuset gl"/>
    <x v="119"/>
    <x v="0"/>
    <x v="3"/>
    <n v="4128"/>
    <n v="12"/>
    <s v="2010-07-31"/>
    <n v="0"/>
    <n v="168"/>
    <n v="24.556811"/>
    <n v="2"/>
    <x v="2"/>
    <x v="3476"/>
    <n v="1936.04"/>
    <n v="0"/>
    <s v="735127-36317"/>
    <m/>
    <n v="4128.0065599999998"/>
    <n v="0"/>
    <n v="77157"/>
  </r>
  <r>
    <x v="7"/>
    <m/>
    <s v="Ryetvej 17, gl"/>
    <n v="10165"/>
    <m/>
    <s v="Lynghuset gl"/>
    <x v="119"/>
    <x v="0"/>
    <x v="4"/>
    <n v="1026.9000000000001"/>
    <n v="8"/>
    <s v="2010-07-31"/>
    <n v="0"/>
    <n v="168"/>
    <n v="6.1088630000000004"/>
    <n v="2"/>
    <x v="2"/>
    <x v="3477"/>
    <n v="481.62"/>
    <n v="0"/>
    <s v="735127-36317"/>
    <m/>
    <n v="1026.9001900000001"/>
    <n v="0"/>
    <n v="77157"/>
  </r>
  <r>
    <x v="7"/>
    <m/>
    <s v="Ryetvej 17, gl"/>
    <n v="10165"/>
    <m/>
    <s v="Lynghuset gl"/>
    <x v="119"/>
    <x v="0"/>
    <x v="5"/>
    <n v="5745.49"/>
    <n v="6"/>
    <s v="2010-07-31"/>
    <n v="0"/>
    <n v="168"/>
    <n v="34.179000000000002"/>
    <n v="2"/>
    <x v="2"/>
    <x v="3478"/>
    <n v="2694.63"/>
    <n v="0"/>
    <s v="735127-36317"/>
    <m/>
    <n v="5745.4775799999998"/>
    <n v="0"/>
    <n v="77157"/>
  </r>
  <r>
    <x v="7"/>
    <m/>
    <s v="Ryetvej 17, gl"/>
    <n v="10165"/>
    <m/>
    <s v="Lynghuset gl"/>
    <x v="119"/>
    <x v="0"/>
    <x v="6"/>
    <n v="9190.75"/>
    <n v="6"/>
    <s v="2010-07-31"/>
    <n v="0"/>
    <n v="168"/>
    <n v="54.674301"/>
    <n v="2"/>
    <x v="2"/>
    <x v="3479"/>
    <n v="4310.47"/>
    <n v="0"/>
    <s v="735127-36317"/>
    <m/>
    <n v="9190.75612"/>
    <n v="0"/>
    <n v="77157"/>
  </r>
  <r>
    <x v="7"/>
    <m/>
    <s v="Ryetvej 17, ny"/>
    <n v="10166"/>
    <m/>
    <s v="Lynghuset Børnehus, ny"/>
    <x v="119"/>
    <x v="0"/>
    <x v="0"/>
    <n v="6402"/>
    <n v="4"/>
    <s v="2010-07-31"/>
    <n v="0"/>
    <n v="228"/>
    <n v="25.487461"/>
    <n v="2"/>
    <x v="2"/>
    <x v="3480"/>
    <n v="1744.12"/>
    <n v="0"/>
    <s v="1096149-3807"/>
    <m/>
    <n v="5813.6949999999997"/>
    <n v="0"/>
    <n v="77160"/>
  </r>
  <r>
    <x v="7"/>
    <m/>
    <s v="Ryetvej 17, ny"/>
    <n v="10166"/>
    <m/>
    <s v="Lynghuset Børnehus, ny"/>
    <x v="119"/>
    <x v="0"/>
    <x v="1"/>
    <n v="4160.1899999999996"/>
    <n v="12"/>
    <s v="2010-07-31"/>
    <n v="0"/>
    <n v="228"/>
    <n v="18.238448000000002"/>
    <n v="2"/>
    <x v="2"/>
    <x v="3481"/>
    <n v="1248.07"/>
    <n v="0"/>
    <s v="1096149-3807"/>
    <m/>
    <n v="4160.1949999999997"/>
    <n v="0"/>
    <n v="77160"/>
  </r>
  <r>
    <x v="7"/>
    <m/>
    <s v="Ryetvej 17, ny"/>
    <n v="10166"/>
    <m/>
    <s v="Lynghuset Børnehus, ny"/>
    <x v="119"/>
    <x v="0"/>
    <x v="2"/>
    <n v="3164.27"/>
    <n v="12"/>
    <s v="2010-07-31"/>
    <n v="0"/>
    <n v="228"/>
    <n v="13.872292"/>
    <n v="2"/>
    <x v="2"/>
    <x v="3482"/>
    <n v="1265.7"/>
    <n v="0"/>
    <s v="1096149-3807"/>
    <m/>
    <n v="3164.2739999999999"/>
    <n v="0"/>
    <n v="77160"/>
  </r>
  <r>
    <x v="7"/>
    <m/>
    <s v="Ryetvej 17, ny"/>
    <n v="10166"/>
    <m/>
    <s v="Lynghuset Børnehus, ny"/>
    <x v="119"/>
    <x v="0"/>
    <x v="3"/>
    <n v="2034.61"/>
    <n v="12"/>
    <s v="2010-07-31"/>
    <n v="0"/>
    <n v="228"/>
    <n v="8.9198149999999998"/>
    <n v="2"/>
    <x v="2"/>
    <x v="3483"/>
    <n v="954.23"/>
    <n v="0"/>
    <s v="1096149-3807"/>
    <m/>
    <n v="2034.604"/>
    <n v="0"/>
    <n v="77160"/>
  </r>
  <r>
    <x v="7"/>
    <m/>
    <s v="Ryetvej 17, ny"/>
    <n v="10166"/>
    <m/>
    <s v="Lynghuset Børnehus, ny"/>
    <x v="119"/>
    <x v="0"/>
    <x v="4"/>
    <n v="1200.08"/>
    <n v="7"/>
    <s v="2010-07-31"/>
    <n v="0"/>
    <n v="228"/>
    <n v="5.2612009999999998"/>
    <n v="2"/>
    <x v="2"/>
    <x v="3484"/>
    <n v="562.83000000000004"/>
    <n v="0"/>
    <s v="1096149-3807"/>
    <m/>
    <n v="1200.0851299999999"/>
    <n v="0"/>
    <n v="77160"/>
  </r>
  <r>
    <x v="7"/>
    <m/>
    <s v="Ryetvej 17, ny"/>
    <n v="10166"/>
    <m/>
    <s v="Lynghuset Børnehus, ny"/>
    <x v="119"/>
    <x v="0"/>
    <x v="5"/>
    <n v="2390.1799999999998"/>
    <n v="5"/>
    <s v="2010-07-31"/>
    <n v="0"/>
    <n v="228"/>
    <n v="10.478649000000001"/>
    <n v="2"/>
    <x v="2"/>
    <x v="3485"/>
    <n v="1120.98"/>
    <n v="0"/>
    <s v="1096149-3807"/>
    <m/>
    <n v="2390.1671099999999"/>
    <n v="0"/>
    <n v="77160"/>
  </r>
  <r>
    <x v="7"/>
    <m/>
    <s v="Ryetvej 17, ny"/>
    <n v="10166"/>
    <m/>
    <s v="Lynghuset Børnehus, ny"/>
    <x v="119"/>
    <x v="0"/>
    <x v="6"/>
    <n v="3617.26"/>
    <n v="6"/>
    <s v="2010-07-31"/>
    <n v="0"/>
    <n v="228"/>
    <n v="15.858219999999999"/>
    <n v="2"/>
    <x v="2"/>
    <x v="3486"/>
    <n v="1696.51"/>
    <n v="0"/>
    <s v="1096149-3807"/>
    <m/>
    <n v="3617.2612800000002"/>
    <n v="0"/>
    <n v="77160"/>
  </r>
  <r>
    <x v="7"/>
    <m/>
    <s v="Spejderhus Søvej 18"/>
    <n v="10170"/>
    <m/>
    <s v="Spejderhus Søvej 18"/>
    <x v="120"/>
    <x v="0"/>
    <x v="0"/>
    <n v="15705"/>
    <n v="5"/>
    <s v="2010-07-31"/>
    <n v="0"/>
    <n v="247"/>
    <n v="41.794212000000002"/>
    <n v="2"/>
    <x v="2"/>
    <x v="3487"/>
    <n v="3098.21"/>
    <n v="0"/>
    <s v="4059892"/>
    <s v="74110497688"/>
    <n v="10327.356"/>
    <n v="0"/>
    <n v="77183"/>
  </r>
  <r>
    <x v="7"/>
    <m/>
    <s v="Spejderhus Søvej 18"/>
    <n v="10170"/>
    <m/>
    <s v="Spejderhus Søvej 18"/>
    <x v="120"/>
    <x v="0"/>
    <x v="1"/>
    <n v="15998.19"/>
    <n v="12"/>
    <s v="2010-07-31"/>
    <n v="0"/>
    <n v="247"/>
    <n v="64.743786999999998"/>
    <n v="2"/>
    <x v="2"/>
    <x v="3488"/>
    <n v="4799.45"/>
    <n v="0"/>
    <s v="4059892"/>
    <s v="74110497688"/>
    <n v="15998.174000000001"/>
    <n v="0"/>
    <n v="77183"/>
  </r>
  <r>
    <x v="7"/>
    <m/>
    <s v="Spejderhus Søvej 18"/>
    <n v="10170"/>
    <m/>
    <s v="Spejderhus Søvej 18"/>
    <x v="120"/>
    <x v="0"/>
    <x v="2"/>
    <n v="13306.81"/>
    <n v="12"/>
    <s v="2010-07-31"/>
    <n v="0"/>
    <n v="247"/>
    <n v="53.851922000000002"/>
    <n v="2"/>
    <x v="2"/>
    <x v="3489"/>
    <n v="5322.72"/>
    <n v="0"/>
    <s v="4059892"/>
    <s v="74110497688"/>
    <n v="13306.8051"/>
    <n v="0"/>
    <n v="77183"/>
  </r>
  <r>
    <x v="7"/>
    <m/>
    <s v="Spejderhus Søvej 18"/>
    <n v="10170"/>
    <m/>
    <s v="Spejderhus Søvej 18"/>
    <x v="120"/>
    <x v="0"/>
    <x v="3"/>
    <n v="16760.68"/>
    <n v="12"/>
    <s v="2010-07-31"/>
    <n v="0"/>
    <n v="247"/>
    <n v="67.829542000000004"/>
    <n v="2"/>
    <x v="2"/>
    <x v="3490"/>
    <n v="7860.75"/>
    <n v="0"/>
    <s v="4059892"/>
    <s v="74110497688"/>
    <n v="16760.691999999999"/>
    <n v="0"/>
    <n v="77183"/>
  </r>
  <r>
    <x v="7"/>
    <m/>
    <s v="Spejderhus Søvej 18"/>
    <n v="10170"/>
    <m/>
    <s v="Spejderhus Søvej 18"/>
    <x v="120"/>
    <x v="0"/>
    <x v="4"/>
    <n v="21589.57"/>
    <n v="8"/>
    <s v="2010-07-31"/>
    <n v="0"/>
    <n v="247"/>
    <n v="87.371791999999999"/>
    <n v="2"/>
    <x v="2"/>
    <x v="3491"/>
    <n v="10125.5"/>
    <n v="0"/>
    <s v="4059892"/>
    <s v="74110497688"/>
    <n v="21589.57115"/>
    <n v="0"/>
    <n v="77183"/>
  </r>
  <r>
    <x v="7"/>
    <m/>
    <s v="Spejderhus Søvej 18"/>
    <n v="10170"/>
    <m/>
    <s v="Spejderhus Søvej 18"/>
    <x v="120"/>
    <x v="0"/>
    <x v="5"/>
    <n v="24180.55"/>
    <n v="3"/>
    <s v="2010-07-31"/>
    <n v="0"/>
    <n v="247"/>
    <n v="97.857344999999995"/>
    <n v="2"/>
    <x v="2"/>
    <x v="3492"/>
    <n v="11340.66"/>
    <n v="0"/>
    <s v="4059892"/>
    <s v="74110497688"/>
    <n v="24180.542880000001"/>
    <n v="0"/>
    <n v="77183"/>
  </r>
  <r>
    <x v="7"/>
    <m/>
    <s v="Spejderhus Søvej 18"/>
    <n v="10170"/>
    <m/>
    <s v="Spejderhus Søvej 18"/>
    <x v="120"/>
    <x v="0"/>
    <x v="6"/>
    <n v="21214.46"/>
    <n v="6"/>
    <s v="2010-07-31"/>
    <n v="0"/>
    <n v="247"/>
    <n v="85.853742999999994"/>
    <n v="2"/>
    <x v="2"/>
    <x v="3493"/>
    <n v="9949.6"/>
    <n v="0"/>
    <s v="4059892"/>
    <s v="74110497688"/>
    <n v="21214.466039999999"/>
    <n v="0"/>
    <n v="77183"/>
  </r>
  <r>
    <x v="7"/>
    <m/>
    <s v="Spejderhus, Sandet 2"/>
    <n v="10202"/>
    <m/>
    <s v="Spejderhus, Sandet 2"/>
    <x v="50"/>
    <x v="0"/>
    <x v="0"/>
    <n v="1805"/>
    <n v="5"/>
    <s v="2010-07-31"/>
    <n v="0"/>
    <n v="123"/>
    <n v="9.1223390000000002"/>
    <n v="2"/>
    <x v="2"/>
    <x v="3494"/>
    <n v="336.9"/>
    <n v="0"/>
    <s v="335935"/>
    <s v="74114251200"/>
    <n v="1122.9670000000001"/>
    <n v="0"/>
    <n v="77350"/>
  </r>
  <r>
    <x v="7"/>
    <m/>
    <s v="Spejderhus, Sandet 2"/>
    <n v="10202"/>
    <m/>
    <s v="Spejderhus, Sandet 2"/>
    <x v="50"/>
    <x v="0"/>
    <x v="1"/>
    <n v="2835.17"/>
    <n v="12"/>
    <s v="2010-07-31"/>
    <n v="0"/>
    <n v="123"/>
    <n v="23.031437"/>
    <n v="2"/>
    <x v="2"/>
    <x v="3495"/>
    <n v="850.56"/>
    <n v="0"/>
    <s v="335935"/>
    <s v="74114251200"/>
    <n v="2835.1729999999998"/>
    <n v="0"/>
    <n v="77350"/>
  </r>
  <r>
    <x v="7"/>
    <m/>
    <s v="Spejderhus, Sandet 2"/>
    <n v="10202"/>
    <m/>
    <s v="Spejderhus, Sandet 2"/>
    <x v="50"/>
    <x v="0"/>
    <x v="2"/>
    <n v="2082.44"/>
    <n v="12"/>
    <s v="2010-07-31"/>
    <n v="0"/>
    <n v="123"/>
    <n v="16.916653"/>
    <n v="2"/>
    <x v="2"/>
    <x v="3496"/>
    <n v="832.97"/>
    <n v="0"/>
    <s v="335935"/>
    <s v="74114251200"/>
    <n v="2082.4279999999999"/>
    <n v="0"/>
    <n v="77350"/>
  </r>
  <r>
    <x v="7"/>
    <m/>
    <s v="Spejderhus, Sandet 2"/>
    <n v="10202"/>
    <m/>
    <s v="Spejderhus, Sandet 2"/>
    <x v="50"/>
    <x v="0"/>
    <x v="3"/>
    <n v="1890.7"/>
    <n v="12"/>
    <s v="2010-07-31"/>
    <n v="0"/>
    <n v="123"/>
    <n v="15.359057"/>
    <n v="2"/>
    <x v="2"/>
    <x v="3497"/>
    <n v="886.75"/>
    <n v="0"/>
    <s v="335935"/>
    <s v="74114251200"/>
    <n v="1890.7149999999999"/>
    <n v="0"/>
    <n v="77350"/>
  </r>
  <r>
    <x v="7"/>
    <m/>
    <s v="Spejderhus, Sandet 2"/>
    <n v="10202"/>
    <m/>
    <s v="Spejderhus, Sandet 2"/>
    <x v="50"/>
    <x v="0"/>
    <x v="4"/>
    <n v="2110.15"/>
    <n v="8"/>
    <s v="2010-07-31"/>
    <n v="0"/>
    <n v="123"/>
    <n v="17.141753999999999"/>
    <n v="2"/>
    <x v="2"/>
    <x v="3498"/>
    <n v="989.66"/>
    <n v="0"/>
    <s v="335935"/>
    <s v="74114251200"/>
    <n v="2110.1451499999998"/>
    <n v="0"/>
    <n v="77350"/>
  </r>
  <r>
    <x v="7"/>
    <m/>
    <s v="Spejderhus, Sandet 2"/>
    <n v="10202"/>
    <m/>
    <s v="Spejderhus, Sandet 2"/>
    <x v="50"/>
    <x v="0"/>
    <x v="5"/>
    <n v="2154.9"/>
    <n v="2"/>
    <s v="2010-07-31"/>
    <n v="0"/>
    <n v="123"/>
    <n v="17.505279999999999"/>
    <n v="2"/>
    <x v="2"/>
    <x v="3499"/>
    <n v="1010.66"/>
    <n v="0"/>
    <s v="335935"/>
    <s v="74114251200"/>
    <n v="2154.8693699999999"/>
    <n v="0"/>
    <n v="77350"/>
  </r>
  <r>
    <x v="7"/>
    <m/>
    <s v="Spejderhus, Sandet 2"/>
    <n v="10202"/>
    <m/>
    <s v="Spejderhus, Sandet 2"/>
    <x v="50"/>
    <x v="0"/>
    <x v="6"/>
    <n v="1482"/>
    <n v="7"/>
    <s v="2010-07-31"/>
    <n v="0"/>
    <n v="123"/>
    <n v="12.038992"/>
    <n v="2"/>
    <x v="2"/>
    <x v="3500"/>
    <n v="695.04"/>
    <n v="0"/>
    <s v="335935"/>
    <s v="74114251200"/>
    <n v="1481.9829"/>
    <n v="0"/>
    <n v="77350"/>
  </r>
  <r>
    <x v="7"/>
    <s v="10907"/>
    <s v="Spejderhytte Røde Orm, STA49B"/>
    <n v="13663"/>
    <s v="0"/>
    <s v="Spejderhytte Røde Orm"/>
    <x v="121"/>
    <x v="0"/>
    <x v="1"/>
    <n v="825.97"/>
    <n v="4"/>
    <s v="2014-11-10"/>
    <n v="0"/>
    <n v="74"/>
    <n v="11.146693000000001"/>
    <n v="2"/>
    <x v="2"/>
    <x v="3501"/>
    <n v="247.78"/>
    <n v="0"/>
    <s v="58979"/>
    <s v="74112381589"/>
    <n v="825.96384999999998"/>
    <n v="0"/>
    <n v="91253"/>
  </r>
  <r>
    <x v="15"/>
    <s v="05148-9"/>
    <s v="Farum Svømmehal, Park 20"/>
    <n v="6339"/>
    <m/>
    <s v="Bimåler tribune"/>
    <x v="122"/>
    <x v="1"/>
    <x v="0"/>
    <n v="0"/>
    <n v="5"/>
    <s v="2015-05-04"/>
    <n v="0"/>
    <n v="0"/>
    <n v="0"/>
    <n v="3"/>
    <x v="0"/>
    <x v="1"/>
    <n v="0"/>
    <n v="1"/>
    <s v="Tribune"/>
    <m/>
    <n v="0"/>
    <n v="0"/>
    <n v="57739"/>
  </r>
  <r>
    <x v="15"/>
    <s v="05148-9"/>
    <s v="Farum Svømmehal, Park 20"/>
    <n v="6339"/>
    <m/>
    <s v="Bimåler tribune"/>
    <x v="122"/>
    <x v="1"/>
    <x v="1"/>
    <n v="5"/>
    <n v="11"/>
    <s v="2015-05-04"/>
    <n v="0"/>
    <n v="0"/>
    <n v="50"/>
    <n v="3"/>
    <x v="0"/>
    <x v="3502"/>
    <n v="4.01"/>
    <n v="1"/>
    <s v="Tribune"/>
    <m/>
    <n v="5"/>
    <n v="0"/>
    <n v="57739"/>
  </r>
  <r>
    <x v="15"/>
    <s v="05148-9"/>
    <s v="Farum Svømmehal, Park 20"/>
    <n v="6339"/>
    <m/>
    <s v="Bimåler tribune"/>
    <x v="122"/>
    <x v="1"/>
    <x v="2"/>
    <n v="31.01"/>
    <n v="13"/>
    <s v="2015-05-04"/>
    <n v="0"/>
    <n v="0"/>
    <n v="310.10000000000002"/>
    <n v="3"/>
    <x v="0"/>
    <x v="3503"/>
    <n v="24.79"/>
    <n v="1"/>
    <s v="Tribune"/>
    <m/>
    <n v="31"/>
    <n v="0"/>
    <n v="57739"/>
  </r>
  <r>
    <x v="15"/>
    <s v="05148-9"/>
    <s v="Farum Svømmehal, Park 20"/>
    <n v="6339"/>
    <m/>
    <s v="Bimåler tribune"/>
    <x v="122"/>
    <x v="1"/>
    <x v="3"/>
    <n v="8"/>
    <n v="12"/>
    <s v="2015-05-04"/>
    <n v="0"/>
    <n v="0"/>
    <n v="80"/>
    <n v="3"/>
    <x v="0"/>
    <x v="3504"/>
    <n v="6.41"/>
    <n v="1"/>
    <s v="Tribune"/>
    <m/>
    <n v="8"/>
    <n v="0"/>
    <n v="57739"/>
  </r>
  <r>
    <x v="15"/>
    <s v="05148-9"/>
    <s v="Farum Svømmehal, Park 20"/>
    <n v="6339"/>
    <m/>
    <s v="Bimåler tribune"/>
    <x v="122"/>
    <x v="1"/>
    <x v="4"/>
    <n v="5"/>
    <n v="12"/>
    <s v="2015-05-04"/>
    <n v="0"/>
    <n v="0"/>
    <n v="50"/>
    <n v="3"/>
    <x v="0"/>
    <x v="3502"/>
    <n v="4"/>
    <n v="1"/>
    <s v="Tribune"/>
    <m/>
    <n v="5"/>
    <n v="0"/>
    <n v="57739"/>
  </r>
  <r>
    <x v="15"/>
    <s v="05148-9"/>
    <s v="Farum Svømmehal, Park 20"/>
    <n v="6339"/>
    <m/>
    <s v="Bimåler tribune"/>
    <x v="122"/>
    <x v="1"/>
    <x v="5"/>
    <n v="10"/>
    <n v="12"/>
    <s v="2015-05-04"/>
    <n v="0"/>
    <n v="0"/>
    <n v="100"/>
    <n v="3"/>
    <x v="0"/>
    <x v="3505"/>
    <n v="8"/>
    <n v="1"/>
    <s v="Tribune"/>
    <m/>
    <n v="10"/>
    <n v="0"/>
    <n v="57739"/>
  </r>
  <r>
    <x v="15"/>
    <s v="05148-9"/>
    <s v="Farum Svømmehal, Park 20"/>
    <n v="6339"/>
    <m/>
    <s v="Bimåler tribune"/>
    <x v="122"/>
    <x v="1"/>
    <x v="6"/>
    <n v="17"/>
    <n v="12"/>
    <s v="2015-05-04"/>
    <n v="0"/>
    <n v="0"/>
    <n v="170"/>
    <n v="3"/>
    <x v="0"/>
    <x v="3506"/>
    <n v="13.61"/>
    <n v="1"/>
    <s v="Tribune"/>
    <m/>
    <n v="17"/>
    <n v="0"/>
    <n v="57739"/>
  </r>
  <r>
    <x v="15"/>
    <s v="05148-9"/>
    <s v="Farum Svømmehal, Park 20"/>
    <n v="5452"/>
    <m/>
    <s v="Bimåler vand"/>
    <x v="122"/>
    <x v="1"/>
    <x v="0"/>
    <n v="1809.34"/>
    <n v="5"/>
    <s v="2005-07-01"/>
    <n v="0"/>
    <n v="0"/>
    <n v="18093.400000000001"/>
    <n v="3"/>
    <x v="0"/>
    <x v="3507"/>
    <n v="0"/>
    <n v="1"/>
    <s v="VBV"/>
    <m/>
    <n v="1809.34"/>
    <n v="0"/>
    <n v="57547"/>
  </r>
  <r>
    <x v="15"/>
    <s v="05148-9"/>
    <s v="Farum Svømmehal, Park 20"/>
    <n v="5452"/>
    <m/>
    <s v="Bimåler vand"/>
    <x v="122"/>
    <x v="1"/>
    <x v="0"/>
    <n v="72.25"/>
    <n v="5"/>
    <s v="2015-05-04"/>
    <n v="0"/>
    <n v="0"/>
    <n v="722.5"/>
    <n v="3"/>
    <x v="0"/>
    <x v="3508"/>
    <n v="57.8"/>
    <n v="1"/>
    <s v="Spæd VVB"/>
    <m/>
    <n v="72.250010000000003"/>
    <n v="0"/>
    <n v="57740"/>
  </r>
  <r>
    <x v="15"/>
    <s v="05148-9"/>
    <s v="Farum Svømmehal, Park 20"/>
    <n v="5452"/>
    <m/>
    <s v="Bimåler vand"/>
    <x v="122"/>
    <x v="1"/>
    <x v="0"/>
    <n v="163.44"/>
    <n v="5"/>
    <s v="2015-05-04"/>
    <n v="0"/>
    <n v="0"/>
    <n v="1634.4"/>
    <n v="3"/>
    <x v="0"/>
    <x v="3509"/>
    <n v="130.75"/>
    <n v="1"/>
    <s v="Spæd TB"/>
    <m/>
    <n v="163.43751"/>
    <n v="0"/>
    <n v="57741"/>
  </r>
  <r>
    <x v="15"/>
    <s v="05148-9"/>
    <s v="Farum Svømmehal, Park 20"/>
    <n v="5452"/>
    <m/>
    <s v="Bimåler vand"/>
    <x v="122"/>
    <x v="1"/>
    <x v="0"/>
    <n v="208.72"/>
    <n v="5"/>
    <s v="2015-05-04"/>
    <n v="0"/>
    <n v="0"/>
    <n v="2087.1999999999998"/>
    <n v="3"/>
    <x v="0"/>
    <x v="3510"/>
    <n v="166.97"/>
    <n v="1"/>
    <s v="Skylletank"/>
    <m/>
    <n v="208.71875"/>
    <n v="0"/>
    <n v="57742"/>
  </r>
  <r>
    <x v="15"/>
    <s v="05148-9"/>
    <s v="Farum Svømmehal, Park 20"/>
    <n v="5452"/>
    <m/>
    <s v="Bimåler vand"/>
    <x v="122"/>
    <x v="1"/>
    <x v="0"/>
    <n v="285.22000000000003"/>
    <n v="5"/>
    <s v="2015-05-04"/>
    <n v="0"/>
    <n v="0"/>
    <n v="2852.2"/>
    <n v="3"/>
    <x v="0"/>
    <x v="3511"/>
    <n v="228.18"/>
    <n v="1"/>
    <s v="Spæd 50m"/>
    <m/>
    <n v="285.21875"/>
    <n v="0"/>
    <n v="57745"/>
  </r>
  <r>
    <x v="15"/>
    <s v="05148-9"/>
    <s v="Farum Svømmehal, Park 20"/>
    <n v="5452"/>
    <m/>
    <s v="Bimåler vand"/>
    <x v="122"/>
    <x v="1"/>
    <x v="1"/>
    <n v="4163.13"/>
    <n v="12"/>
    <s v="2005-07-01"/>
    <n v="0"/>
    <n v="0"/>
    <n v="41631.300000000003"/>
    <n v="3"/>
    <x v="0"/>
    <x v="3512"/>
    <n v="0"/>
    <n v="1"/>
    <s v="VBV"/>
    <m/>
    <n v="4163.13"/>
    <n v="0"/>
    <n v="57547"/>
  </r>
  <r>
    <x v="15"/>
    <s v="05148-9"/>
    <s v="Farum Svømmehal, Park 20"/>
    <n v="5452"/>
    <m/>
    <s v="Bimåler vand"/>
    <x v="122"/>
    <x v="1"/>
    <x v="1"/>
    <n v="0"/>
    <n v="11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1"/>
    <n v="371.14"/>
    <n v="11"/>
    <s v="2015-05-04"/>
    <n v="0"/>
    <n v="0"/>
    <n v="3711.4"/>
    <n v="3"/>
    <x v="0"/>
    <x v="3513"/>
    <n v="296.91000000000003"/>
    <n v="1"/>
    <s v="Spæd VVB"/>
    <m/>
    <n v="371.13686000000001"/>
    <n v="0"/>
    <n v="57740"/>
  </r>
  <r>
    <x v="15"/>
    <s v="05148-9"/>
    <s v="Farum Svømmehal, Park 20"/>
    <n v="5452"/>
    <m/>
    <s v="Bimåler vand"/>
    <x v="122"/>
    <x v="1"/>
    <x v="1"/>
    <n v="515.73"/>
    <n v="11"/>
    <s v="2015-05-04"/>
    <n v="0"/>
    <n v="0"/>
    <n v="5157.3"/>
    <n v="3"/>
    <x v="0"/>
    <x v="3514"/>
    <n v="412.59"/>
    <n v="1"/>
    <s v="Spæd TB"/>
    <m/>
    <n v="515.73022000000003"/>
    <n v="0"/>
    <n v="57741"/>
  </r>
  <r>
    <x v="15"/>
    <s v="05148-9"/>
    <s v="Farum Svømmehal, Park 20"/>
    <n v="5452"/>
    <m/>
    <s v="Bimåler vand"/>
    <x v="122"/>
    <x v="1"/>
    <x v="1"/>
    <n v="700.48"/>
    <n v="11"/>
    <s v="2015-05-04"/>
    <n v="0"/>
    <n v="0"/>
    <n v="7004.8"/>
    <n v="3"/>
    <x v="0"/>
    <x v="3515"/>
    <n v="560.4"/>
    <n v="1"/>
    <s v="Skylletank"/>
    <m/>
    <n v="700.47995000000003"/>
    <n v="0"/>
    <n v="57742"/>
  </r>
  <r>
    <x v="15"/>
    <s v="05148-9"/>
    <s v="Farum Svømmehal, Park 20"/>
    <n v="5452"/>
    <m/>
    <s v="Bimåler vand"/>
    <x v="122"/>
    <x v="1"/>
    <x v="1"/>
    <n v="708.84"/>
    <n v="11"/>
    <s v="2015-05-04"/>
    <n v="0"/>
    <n v="0"/>
    <n v="7088.4"/>
    <n v="3"/>
    <x v="0"/>
    <x v="3516"/>
    <n v="567.08000000000004"/>
    <n v="1"/>
    <s v="Spæd 50m"/>
    <m/>
    <n v="708.83772999999997"/>
    <n v="0"/>
    <n v="57745"/>
  </r>
  <r>
    <x v="15"/>
    <s v="05148-9"/>
    <s v="Farum Svømmehal, Park 20"/>
    <n v="5452"/>
    <m/>
    <s v="Bimåler vand"/>
    <x v="122"/>
    <x v="1"/>
    <x v="2"/>
    <n v="4099.18"/>
    <n v="12"/>
    <s v="2005-07-01"/>
    <n v="0"/>
    <n v="0"/>
    <n v="40991.800000000003"/>
    <n v="3"/>
    <x v="0"/>
    <x v="3517"/>
    <n v="0"/>
    <n v="1"/>
    <s v="VBV"/>
    <m/>
    <n v="4099.18"/>
    <n v="0"/>
    <n v="57547"/>
  </r>
  <r>
    <x v="15"/>
    <s v="05148-9"/>
    <s v="Farum Svømmehal, Park 20"/>
    <n v="5452"/>
    <m/>
    <s v="Bimåler vand"/>
    <x v="122"/>
    <x v="1"/>
    <x v="2"/>
    <n v="0"/>
    <n v="13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2"/>
    <n v="259.42"/>
    <n v="13"/>
    <s v="2015-05-04"/>
    <n v="0"/>
    <n v="0"/>
    <n v="2594.1999999999998"/>
    <n v="3"/>
    <x v="0"/>
    <x v="3518"/>
    <n v="207.54"/>
    <n v="1"/>
    <s v="Spæd VVB"/>
    <m/>
    <n v="259.42424"/>
    <n v="0"/>
    <n v="57740"/>
  </r>
  <r>
    <x v="15"/>
    <s v="05148-9"/>
    <s v="Farum Svømmehal, Park 20"/>
    <n v="5452"/>
    <m/>
    <s v="Bimåler vand"/>
    <x v="122"/>
    <x v="1"/>
    <x v="2"/>
    <n v="516.17999999999995"/>
    <n v="13"/>
    <s v="2015-05-04"/>
    <n v="0"/>
    <n v="0"/>
    <n v="5161.8"/>
    <n v="3"/>
    <x v="0"/>
    <x v="3519"/>
    <n v="412.95"/>
    <n v="1"/>
    <s v="Spæd TB"/>
    <m/>
    <n v="516.18182000000002"/>
    <n v="0"/>
    <n v="57741"/>
  </r>
  <r>
    <x v="15"/>
    <s v="05148-9"/>
    <s v="Farum Svømmehal, Park 20"/>
    <n v="5452"/>
    <m/>
    <s v="Bimåler vand"/>
    <x v="122"/>
    <x v="1"/>
    <x v="2"/>
    <n v="754.58"/>
    <n v="13"/>
    <s v="2015-05-04"/>
    <n v="0"/>
    <n v="0"/>
    <n v="7545.8"/>
    <n v="3"/>
    <x v="0"/>
    <x v="3520"/>
    <n v="603.66"/>
    <n v="1"/>
    <s v="Skylletank"/>
    <m/>
    <n v="754.57574999999997"/>
    <n v="0"/>
    <n v="57742"/>
  </r>
  <r>
    <x v="15"/>
    <s v="05148-9"/>
    <s v="Farum Svømmehal, Park 20"/>
    <n v="5452"/>
    <m/>
    <s v="Bimåler vand"/>
    <x v="122"/>
    <x v="1"/>
    <x v="2"/>
    <n v="706.62"/>
    <n v="13"/>
    <s v="2015-05-04"/>
    <n v="0"/>
    <n v="0"/>
    <n v="7066.2"/>
    <n v="3"/>
    <x v="0"/>
    <x v="3521"/>
    <n v="565.28"/>
    <n v="1"/>
    <s v="Spæd 50m"/>
    <m/>
    <n v="706.60607000000005"/>
    <n v="0"/>
    <n v="57745"/>
  </r>
  <r>
    <x v="15"/>
    <s v="05148-9"/>
    <s v="Farum Svømmehal, Park 20"/>
    <n v="5452"/>
    <m/>
    <s v="Bimåler vand"/>
    <x v="122"/>
    <x v="1"/>
    <x v="3"/>
    <n v="5630.71"/>
    <n v="12"/>
    <s v="2005-07-01"/>
    <n v="0"/>
    <n v="0"/>
    <n v="56307.1"/>
    <n v="3"/>
    <x v="0"/>
    <x v="3522"/>
    <n v="0"/>
    <n v="1"/>
    <s v="VBV"/>
    <m/>
    <n v="5630.71"/>
    <n v="0"/>
    <n v="57547"/>
  </r>
  <r>
    <x v="15"/>
    <s v="05148-9"/>
    <s v="Farum Svømmehal, Park 20"/>
    <n v="5452"/>
    <m/>
    <s v="Bimåler vand"/>
    <x v="122"/>
    <x v="1"/>
    <x v="3"/>
    <n v="0"/>
    <n v="12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3"/>
    <n v="216.72"/>
    <n v="13"/>
    <s v="2015-05-04"/>
    <n v="0"/>
    <n v="0"/>
    <n v="2167.1999999999998"/>
    <n v="3"/>
    <x v="0"/>
    <x v="3523"/>
    <n v="173.38"/>
    <n v="1"/>
    <s v="Spæd VVB"/>
    <m/>
    <n v="216.72727"/>
    <n v="0"/>
    <n v="57740"/>
  </r>
  <r>
    <x v="15"/>
    <s v="05148-9"/>
    <s v="Farum Svømmehal, Park 20"/>
    <n v="5452"/>
    <m/>
    <s v="Bimåler vand"/>
    <x v="122"/>
    <x v="1"/>
    <x v="3"/>
    <n v="499.13"/>
    <n v="12"/>
    <s v="2015-05-04"/>
    <n v="0"/>
    <n v="0"/>
    <n v="4991.3"/>
    <n v="3"/>
    <x v="0"/>
    <x v="3524"/>
    <n v="399.31"/>
    <n v="1"/>
    <s v="Spæd TB"/>
    <m/>
    <n v="499.12121999999999"/>
    <n v="0"/>
    <n v="57741"/>
  </r>
  <r>
    <x v="15"/>
    <s v="05148-9"/>
    <s v="Farum Svømmehal, Park 20"/>
    <n v="5452"/>
    <m/>
    <s v="Bimåler vand"/>
    <x v="122"/>
    <x v="1"/>
    <x v="3"/>
    <n v="707.88"/>
    <n v="12"/>
    <s v="2015-05-04"/>
    <n v="0"/>
    <n v="0"/>
    <n v="7078.8"/>
    <n v="3"/>
    <x v="0"/>
    <x v="3525"/>
    <n v="566.29999999999995"/>
    <n v="1"/>
    <s v="Skylletank"/>
    <m/>
    <n v="707.87879999999996"/>
    <n v="0"/>
    <n v="57742"/>
  </r>
  <r>
    <x v="15"/>
    <s v="05148-9"/>
    <s v="Farum Svømmehal, Park 20"/>
    <n v="5452"/>
    <m/>
    <s v="Bimåler vand"/>
    <x v="122"/>
    <x v="1"/>
    <x v="3"/>
    <n v="638.89"/>
    <n v="12"/>
    <s v="2015-05-04"/>
    <n v="0"/>
    <n v="0"/>
    <n v="6388.9"/>
    <n v="3"/>
    <x v="0"/>
    <x v="3526"/>
    <n v="511.11"/>
    <n v="1"/>
    <s v="Spæd 50m"/>
    <m/>
    <n v="638.87878999999998"/>
    <n v="0"/>
    <n v="57745"/>
  </r>
  <r>
    <x v="15"/>
    <s v="05148-9"/>
    <s v="Farum Svømmehal, Park 20"/>
    <n v="5452"/>
    <m/>
    <s v="Bimåler vand"/>
    <x v="122"/>
    <x v="1"/>
    <x v="4"/>
    <n v="7005.5"/>
    <n v="12"/>
    <s v="2005-07-01"/>
    <n v="0"/>
    <n v="0"/>
    <n v="70055"/>
    <n v="3"/>
    <x v="0"/>
    <x v="3527"/>
    <n v="0"/>
    <n v="1"/>
    <s v="VBV"/>
    <m/>
    <n v="7005.5001000000002"/>
    <n v="0"/>
    <n v="57547"/>
  </r>
  <r>
    <x v="15"/>
    <s v="05148-9"/>
    <s v="Farum Svømmehal, Park 20"/>
    <n v="5452"/>
    <m/>
    <s v="Bimåler vand"/>
    <x v="122"/>
    <x v="1"/>
    <x v="4"/>
    <n v="0"/>
    <n v="12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4"/>
    <n v="183.75"/>
    <n v="12"/>
    <s v="2015-05-04"/>
    <n v="0"/>
    <n v="0"/>
    <n v="1837.5"/>
    <n v="3"/>
    <x v="0"/>
    <x v="3528"/>
    <n v="147.01"/>
    <n v="1"/>
    <s v="Spæd VVB"/>
    <m/>
    <n v="183.76383000000001"/>
    <n v="0"/>
    <n v="57740"/>
  </r>
  <r>
    <x v="15"/>
    <s v="05148-9"/>
    <s v="Farum Svømmehal, Park 20"/>
    <n v="5452"/>
    <m/>
    <s v="Bimåler vand"/>
    <x v="122"/>
    <x v="1"/>
    <x v="4"/>
    <n v="713.76"/>
    <n v="12"/>
    <s v="2015-05-04"/>
    <n v="0"/>
    <n v="0"/>
    <n v="7137.6"/>
    <n v="3"/>
    <x v="0"/>
    <x v="3529"/>
    <n v="570.99"/>
    <n v="1"/>
    <s v="Spæd TB"/>
    <m/>
    <n v="713.75043000000005"/>
    <n v="0"/>
    <n v="57741"/>
  </r>
  <r>
    <x v="15"/>
    <s v="05148-9"/>
    <s v="Farum Svømmehal, Park 20"/>
    <n v="5452"/>
    <m/>
    <s v="Bimåler vand"/>
    <x v="122"/>
    <x v="1"/>
    <x v="4"/>
    <n v="879.88"/>
    <n v="12"/>
    <s v="2015-05-04"/>
    <n v="0"/>
    <n v="0"/>
    <n v="8798.7999999999993"/>
    <n v="3"/>
    <x v="0"/>
    <x v="3530"/>
    <n v="703.92"/>
    <n v="1"/>
    <s v="Skylletank"/>
    <m/>
    <n v="879.89661000000001"/>
    <n v="0"/>
    <n v="57742"/>
  </r>
  <r>
    <x v="15"/>
    <s v="05148-9"/>
    <s v="Farum Svømmehal, Park 20"/>
    <n v="5452"/>
    <m/>
    <s v="Bimåler vand"/>
    <x v="122"/>
    <x v="1"/>
    <x v="4"/>
    <n v="651.9"/>
    <n v="12"/>
    <s v="2015-05-04"/>
    <n v="0"/>
    <n v="0"/>
    <n v="6519"/>
    <n v="3"/>
    <x v="0"/>
    <x v="3531"/>
    <n v="521.52"/>
    <n v="1"/>
    <s v="Spæd 50m"/>
    <m/>
    <n v="651.91175999999996"/>
    <n v="0"/>
    <n v="57745"/>
  </r>
  <r>
    <x v="15"/>
    <s v="05148-9"/>
    <s v="Farum Svømmehal, Park 20"/>
    <n v="5452"/>
    <m/>
    <s v="Bimåler vand"/>
    <x v="122"/>
    <x v="1"/>
    <x v="5"/>
    <n v="3525.4"/>
    <n v="12"/>
    <s v="2005-07-01"/>
    <n v="0"/>
    <n v="0"/>
    <n v="35254"/>
    <n v="3"/>
    <x v="0"/>
    <x v="3532"/>
    <n v="0"/>
    <n v="1"/>
    <s v="VBV"/>
    <m/>
    <n v="3525.4"/>
    <n v="0"/>
    <n v="57547"/>
  </r>
  <r>
    <x v="15"/>
    <s v="05148-9"/>
    <s v="Farum Svømmehal, Park 20"/>
    <n v="5452"/>
    <m/>
    <s v="Bimåler vand"/>
    <x v="122"/>
    <x v="1"/>
    <x v="5"/>
    <n v="0"/>
    <n v="12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5"/>
    <n v="159.78"/>
    <n v="12"/>
    <s v="2015-05-04"/>
    <n v="0"/>
    <n v="0"/>
    <n v="1597.8"/>
    <n v="3"/>
    <x v="0"/>
    <x v="3533"/>
    <n v="127.82"/>
    <n v="1"/>
    <s v="Spæd VVB"/>
    <m/>
    <n v="159.76837"/>
    <n v="0"/>
    <n v="57740"/>
  </r>
  <r>
    <x v="15"/>
    <s v="05148-9"/>
    <s v="Farum Svømmehal, Park 20"/>
    <n v="5452"/>
    <m/>
    <s v="Bimåler vand"/>
    <x v="122"/>
    <x v="1"/>
    <x v="5"/>
    <n v="598.1"/>
    <n v="12"/>
    <s v="2015-05-04"/>
    <n v="0"/>
    <n v="0"/>
    <n v="5981"/>
    <n v="3"/>
    <x v="0"/>
    <x v="3534"/>
    <n v="478.49"/>
    <n v="1"/>
    <s v="Spæd TB"/>
    <m/>
    <n v="598.10846000000004"/>
    <n v="0"/>
    <n v="57741"/>
  </r>
  <r>
    <x v="15"/>
    <s v="05148-9"/>
    <s v="Farum Svømmehal, Park 20"/>
    <n v="5452"/>
    <m/>
    <s v="Bimåler vand"/>
    <x v="122"/>
    <x v="1"/>
    <x v="5"/>
    <n v="804.5"/>
    <n v="12"/>
    <s v="2015-05-04"/>
    <n v="0"/>
    <n v="0"/>
    <n v="8045"/>
    <n v="3"/>
    <x v="0"/>
    <x v="3535"/>
    <n v="643.6"/>
    <n v="1"/>
    <s v="Skylletank"/>
    <m/>
    <n v="804.49449000000004"/>
    <n v="0"/>
    <n v="57742"/>
  </r>
  <r>
    <x v="15"/>
    <s v="05148-9"/>
    <s v="Farum Svømmehal, Park 20"/>
    <n v="5452"/>
    <m/>
    <s v="Bimåler vand"/>
    <x v="122"/>
    <x v="1"/>
    <x v="5"/>
    <n v="797.47"/>
    <n v="12"/>
    <s v="2015-05-04"/>
    <n v="0"/>
    <n v="0"/>
    <n v="7974.7"/>
    <n v="3"/>
    <x v="0"/>
    <x v="3536"/>
    <n v="637.96"/>
    <n v="1"/>
    <s v="Spæd 50m"/>
    <m/>
    <n v="797.46324000000004"/>
    <n v="0"/>
    <n v="57745"/>
  </r>
  <r>
    <x v="15"/>
    <s v="05148-9"/>
    <s v="Farum Svømmehal, Park 20"/>
    <n v="5452"/>
    <m/>
    <s v="Bimåler vand"/>
    <x v="122"/>
    <x v="1"/>
    <x v="6"/>
    <n v="4024"/>
    <n v="12"/>
    <s v="2005-07-01"/>
    <n v="0"/>
    <n v="0"/>
    <n v="40240"/>
    <n v="3"/>
    <x v="0"/>
    <x v="3537"/>
    <n v="0"/>
    <n v="1"/>
    <s v="VBV"/>
    <m/>
    <n v="4024"/>
    <n v="0"/>
    <n v="57547"/>
  </r>
  <r>
    <x v="15"/>
    <s v="05148-9"/>
    <s v="Farum Svømmehal, Park 20"/>
    <n v="5452"/>
    <m/>
    <s v="Bimåler vand"/>
    <x v="122"/>
    <x v="1"/>
    <x v="6"/>
    <n v="60.02"/>
    <n v="12"/>
    <s v="2014-10-31"/>
    <n v="0"/>
    <n v="0"/>
    <n v="600.20000000000005"/>
    <n v="3"/>
    <x v="0"/>
    <x v="3538"/>
    <n v="48"/>
    <n v="1"/>
    <s v="Spejlbassin"/>
    <m/>
    <n v="60"/>
    <n v="0"/>
    <n v="57738"/>
  </r>
  <r>
    <x v="15"/>
    <s v="05148-9"/>
    <s v="Farum Svømmehal, Park 20"/>
    <n v="5452"/>
    <m/>
    <s v="Bimåler vand"/>
    <x v="122"/>
    <x v="1"/>
    <x v="6"/>
    <n v="134.94999999999999"/>
    <n v="12"/>
    <s v="2015-05-04"/>
    <n v="0"/>
    <n v="0"/>
    <n v="1349.5"/>
    <n v="3"/>
    <x v="0"/>
    <x v="3539"/>
    <n v="107.96"/>
    <n v="1"/>
    <s v="Spæd VVB"/>
    <m/>
    <n v="134.95265000000001"/>
    <n v="0"/>
    <n v="57740"/>
  </r>
  <r>
    <x v="15"/>
    <s v="05148-9"/>
    <s v="Farum Svømmehal, Park 20"/>
    <n v="5452"/>
    <m/>
    <s v="Bimåler vand"/>
    <x v="122"/>
    <x v="1"/>
    <x v="6"/>
    <n v="523.11"/>
    <n v="12"/>
    <s v="2015-05-04"/>
    <n v="0"/>
    <n v="0"/>
    <n v="5231.1000000000004"/>
    <n v="3"/>
    <x v="0"/>
    <x v="3540"/>
    <n v="418.51"/>
    <n v="1"/>
    <s v="Spæd TB"/>
    <m/>
    <n v="523.11081000000001"/>
    <n v="0"/>
    <n v="57741"/>
  </r>
  <r>
    <x v="15"/>
    <s v="05148-9"/>
    <s v="Farum Svømmehal, Park 20"/>
    <n v="5452"/>
    <m/>
    <s v="Bimåler vand"/>
    <x v="122"/>
    <x v="1"/>
    <x v="6"/>
    <n v="802.46"/>
    <n v="12"/>
    <s v="2015-05-04"/>
    <n v="0"/>
    <n v="0"/>
    <n v="8024.6"/>
    <n v="3"/>
    <x v="0"/>
    <x v="3541"/>
    <n v="641.98"/>
    <n v="1"/>
    <s v="Skylletank"/>
    <m/>
    <n v="802.45737999999994"/>
    <n v="0"/>
    <n v="57742"/>
  </r>
  <r>
    <x v="15"/>
    <s v="05148-9"/>
    <s v="Farum Svømmehal, Park 20"/>
    <n v="5452"/>
    <m/>
    <s v="Bimåler vand"/>
    <x v="122"/>
    <x v="1"/>
    <x v="6"/>
    <n v="1330.17"/>
    <n v="12"/>
    <s v="2015-05-04"/>
    <n v="0"/>
    <n v="0"/>
    <n v="13301.7"/>
    <n v="3"/>
    <x v="0"/>
    <x v="3542"/>
    <n v="1064.1300000000001"/>
    <n v="1"/>
    <s v="Spæd 50m"/>
    <m/>
    <n v="1330.17047"/>
    <n v="0"/>
    <n v="57745"/>
  </r>
  <r>
    <x v="15"/>
    <s v="05148-9"/>
    <s v="Farum Svømmehal, Park 20"/>
    <n v="5454"/>
    <m/>
    <s v="Cafe"/>
    <x v="122"/>
    <x v="1"/>
    <x v="3"/>
    <n v="66.19"/>
    <n v="7"/>
    <s v="2011-06-30"/>
    <n v="0"/>
    <n v="50"/>
    <n v="1.3211569999999999"/>
    <n v="3"/>
    <x v="0"/>
    <x v="3543"/>
    <n v="0"/>
    <n v="1"/>
    <s v="VBV 79054813"/>
    <m/>
    <n v="66.181820000000002"/>
    <n v="0"/>
    <n v="84285"/>
  </r>
  <r>
    <x v="15"/>
    <s v="05148-9"/>
    <s v="Farum Svømmehal, Park 20"/>
    <n v="5454"/>
    <m/>
    <s v="Cafe"/>
    <x v="122"/>
    <x v="1"/>
    <x v="4"/>
    <n v="66.819999999999993"/>
    <n v="10"/>
    <s v="2011-06-30"/>
    <n v="0"/>
    <n v="50"/>
    <n v="1.3337319999999999"/>
    <n v="3"/>
    <x v="0"/>
    <x v="3544"/>
    <n v="0"/>
    <n v="1"/>
    <s v="VBV 79054813"/>
    <m/>
    <n v="66.818179999999998"/>
    <n v="0"/>
    <n v="84285"/>
  </r>
  <r>
    <x v="15"/>
    <s v="05148-9"/>
    <s v="Farum Svømmehal, Park 20"/>
    <n v="5449"/>
    <m/>
    <s v="Farum Svømmehal,Farum Park 20 st. th."/>
    <x v="122"/>
    <x v="0"/>
    <x v="0"/>
    <n v="11664"/>
    <n v="5"/>
    <s v="2005-07-01"/>
    <n v="0"/>
    <n v="7709"/>
    <n v="0.67926200000000003"/>
    <n v="3"/>
    <x v="0"/>
    <x v="3545"/>
    <n v="4189.2"/>
    <n v="0"/>
    <s v="10012225"/>
    <m/>
    <n v="5236.5"/>
    <n v="0"/>
    <n v="57535"/>
  </r>
  <r>
    <x v="15"/>
    <s v="05148-9"/>
    <s v="Farum Svømmehal, Park 20"/>
    <n v="5449"/>
    <m/>
    <s v="Farum Svømmehal,Farum Park 20 st. th."/>
    <x v="122"/>
    <x v="0"/>
    <x v="1"/>
    <n v="12138.7"/>
    <n v="12"/>
    <s v="2005-07-01"/>
    <n v="0"/>
    <n v="7709"/>
    <n v="1.5745929999999999"/>
    <n v="3"/>
    <x v="0"/>
    <x v="3546"/>
    <n v="9710.9599999999991"/>
    <n v="0"/>
    <s v="10012225"/>
    <m/>
    <n v="12138.7"/>
    <n v="0"/>
    <n v="57535"/>
  </r>
  <r>
    <x v="15"/>
    <s v="05148-9"/>
    <s v="Farum Svømmehal, Park 20"/>
    <n v="5449"/>
    <m/>
    <s v="Farum Svømmehal,Farum Park 20 st. th."/>
    <x v="122"/>
    <x v="0"/>
    <x v="2"/>
    <n v="11731.6"/>
    <n v="12"/>
    <s v="2005-07-01"/>
    <n v="0"/>
    <n v="7709"/>
    <n v="1.5217849999999999"/>
    <n v="3"/>
    <x v="0"/>
    <x v="3547"/>
    <n v="9385.2800000000007"/>
    <n v="0"/>
    <s v="10012225"/>
    <m/>
    <n v="11731.6"/>
    <n v="0"/>
    <n v="57535"/>
  </r>
  <r>
    <x v="15"/>
    <s v="05148-9"/>
    <s v="Farum Svømmehal, Park 20"/>
    <n v="5449"/>
    <m/>
    <s v="Farum Svømmehal,Farum Park 20 st. th."/>
    <x v="122"/>
    <x v="0"/>
    <x v="3"/>
    <n v="10732"/>
    <n v="12"/>
    <s v="2005-07-01"/>
    <n v="0"/>
    <n v="7709"/>
    <n v="1.39212"/>
    <n v="3"/>
    <x v="0"/>
    <x v="3548"/>
    <n v="8585.6"/>
    <n v="0"/>
    <s v="10012225"/>
    <m/>
    <n v="10732"/>
    <n v="0"/>
    <n v="57535"/>
  </r>
  <r>
    <x v="15"/>
    <s v="05148-9"/>
    <s v="Farum Svømmehal, Park 20"/>
    <n v="5449"/>
    <m/>
    <s v="Farum Svømmehal,Farum Park 20 st. th."/>
    <x v="122"/>
    <x v="0"/>
    <x v="4"/>
    <n v="11137"/>
    <n v="12"/>
    <s v="2005-07-01"/>
    <n v="0"/>
    <n v="7709"/>
    <n v="1.4446559999999999"/>
    <n v="3"/>
    <x v="0"/>
    <x v="3549"/>
    <n v="8909.6"/>
    <n v="0"/>
    <s v="10012225"/>
    <m/>
    <n v="11136.9998"/>
    <n v="0"/>
    <n v="57535"/>
  </r>
  <r>
    <x v="15"/>
    <s v="05148-9"/>
    <s v="Farum Svømmehal, Park 20"/>
    <n v="5449"/>
    <m/>
    <s v="Farum Svømmehal,Farum Park 20 st. th."/>
    <x v="122"/>
    <x v="0"/>
    <x v="5"/>
    <n v="9340.4"/>
    <n v="12"/>
    <s v="2005-07-01"/>
    <n v="0"/>
    <n v="7709"/>
    <n v="1.2116070000000001"/>
    <n v="3"/>
    <x v="0"/>
    <x v="3550"/>
    <n v="7472.32"/>
    <n v="0"/>
    <s v="10012225"/>
    <m/>
    <n v="9340.4"/>
    <n v="0"/>
    <n v="57535"/>
  </r>
  <r>
    <x v="15"/>
    <s v="05148-9"/>
    <s v="Farum Svømmehal, Park 20"/>
    <n v="5449"/>
    <m/>
    <s v="Farum Svømmehal,Farum Park 20 st. th."/>
    <x v="122"/>
    <x v="0"/>
    <x v="6"/>
    <n v="10220.200000000001"/>
    <n v="12"/>
    <s v="2005-07-01"/>
    <n v="0"/>
    <n v="7709"/>
    <n v="1.325731"/>
    <n v="3"/>
    <x v="0"/>
    <x v="3551"/>
    <n v="8176.16"/>
    <n v="0"/>
    <s v="10012225"/>
    <m/>
    <n v="10220.200000000001"/>
    <n v="0"/>
    <n v="57535"/>
  </r>
  <r>
    <x v="15"/>
    <s v="05148-9"/>
    <s v="Farum Svømmehal, Park 20"/>
    <n v="5453"/>
    <m/>
    <s v="Swim-mix"/>
    <x v="122"/>
    <x v="1"/>
    <x v="0"/>
    <n v="211.21"/>
    <n v="5"/>
    <s v="2015-05-04"/>
    <n v="0"/>
    <n v="610"/>
    <n v="0.34618900000000002"/>
    <n v="3"/>
    <x v="0"/>
    <x v="3552"/>
    <n v="0"/>
    <n v="1"/>
    <s v="VBV 29016080"/>
    <m/>
    <n v="211.21876"/>
    <n v="0"/>
    <n v="84286"/>
  </r>
  <r>
    <x v="15"/>
    <s v="05148-9"/>
    <s v="Farum Svømmehal, Park 20"/>
    <n v="5453"/>
    <m/>
    <s v="Swim-mix"/>
    <x v="122"/>
    <x v="1"/>
    <x v="1"/>
    <n v="452.05"/>
    <n v="11"/>
    <s v="2015-05-04"/>
    <n v="0"/>
    <n v="610"/>
    <n v="0.74094400000000005"/>
    <n v="3"/>
    <x v="0"/>
    <x v="3553"/>
    <n v="0"/>
    <n v="1"/>
    <s v="VBV 29016080"/>
    <m/>
    <n v="452.04692999999997"/>
    <n v="0"/>
    <n v="84286"/>
  </r>
  <r>
    <x v="15"/>
    <s v="05148-9"/>
    <s v="Farum Svømmehal, Park 20"/>
    <n v="5453"/>
    <m/>
    <s v="Swim-mix"/>
    <x v="122"/>
    <x v="1"/>
    <x v="2"/>
    <n v="447.57"/>
    <n v="13"/>
    <s v="2015-05-04"/>
    <n v="0"/>
    <n v="610"/>
    <n v="0.73360099999999995"/>
    <n v="3"/>
    <x v="0"/>
    <x v="3554"/>
    <n v="0"/>
    <n v="1"/>
    <s v="VBV 29016080"/>
    <m/>
    <n v="447.57576"/>
    <n v="0"/>
    <n v="84286"/>
  </r>
  <r>
    <x v="15"/>
    <s v="05148-9"/>
    <s v="Farum Svømmehal, Park 20"/>
    <n v="5453"/>
    <m/>
    <s v="Swim-mix"/>
    <x v="122"/>
    <x v="1"/>
    <x v="3"/>
    <n v="433.85"/>
    <n v="12"/>
    <s v="2015-05-04"/>
    <n v="0"/>
    <n v="610"/>
    <n v="0.71111199999999997"/>
    <n v="3"/>
    <x v="0"/>
    <x v="3555"/>
    <n v="0"/>
    <n v="1"/>
    <s v="VBV 29016080"/>
    <m/>
    <n v="433.84848"/>
    <n v="0"/>
    <n v="84286"/>
  </r>
  <r>
    <x v="15"/>
    <s v="05148-9"/>
    <s v="Farum Svømmehal, Park 20"/>
    <n v="5453"/>
    <m/>
    <s v="Swim-mix"/>
    <x v="122"/>
    <x v="1"/>
    <x v="4"/>
    <n v="452.31"/>
    <n v="12"/>
    <s v="2015-05-04"/>
    <n v="0"/>
    <n v="610"/>
    <n v="0.74136999999999997"/>
    <n v="3"/>
    <x v="0"/>
    <x v="3556"/>
    <n v="0"/>
    <n v="1"/>
    <s v="VBV 29016080"/>
    <m/>
    <n v="452.30302999999998"/>
    <n v="0"/>
    <n v="84286"/>
  </r>
  <r>
    <x v="15"/>
    <s v="190-001744"/>
    <s v="Værløse Svømmehal, KV60"/>
    <n v="8932"/>
    <s v="0"/>
    <s v="Bi-måler vand"/>
    <x v="123"/>
    <x v="1"/>
    <x v="0"/>
    <n v="0"/>
    <n v="5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0"/>
    <n v="114.83"/>
    <n v="5"/>
    <s v="2015-05-05"/>
    <n v="0"/>
    <n v="0"/>
    <n v="1148.3"/>
    <n v="3"/>
    <x v="0"/>
    <x v="3557"/>
    <n v="91.85"/>
    <n v="1"/>
    <s v="405303 KVM8 VVB"/>
    <m/>
    <n v="114.82353000000001"/>
    <n v="0"/>
    <n v="70972"/>
  </r>
  <r>
    <x v="15"/>
    <s v="190-001744"/>
    <s v="Værløse Svømmehal, KV60"/>
    <n v="8932"/>
    <s v="0"/>
    <s v="Bi-måler vand"/>
    <x v="123"/>
    <x v="1"/>
    <x v="0"/>
    <n v="677.94"/>
    <n v="5"/>
    <s v="2015-05-05"/>
    <n v="0"/>
    <n v="0"/>
    <n v="6779.4"/>
    <n v="3"/>
    <x v="0"/>
    <x v="3558"/>
    <n v="542.35"/>
    <n v="1"/>
    <s v="KVM4 SKYLLETANK"/>
    <m/>
    <n v="677.94118000000003"/>
    <n v="0"/>
    <n v="70973"/>
  </r>
  <r>
    <x v="15"/>
    <s v="190-001744"/>
    <s v="Værløse Svømmehal, KV60"/>
    <n v="8932"/>
    <s v="0"/>
    <s v="Bi-måler vand"/>
    <x v="123"/>
    <x v="1"/>
    <x v="0"/>
    <n v="324.70999999999998"/>
    <n v="5"/>
    <s v="2015-05-05"/>
    <n v="0"/>
    <n v="0"/>
    <n v="3247.1"/>
    <n v="3"/>
    <x v="0"/>
    <x v="3559"/>
    <n v="0"/>
    <n v="1"/>
    <s v="405503 KVM3 TB"/>
    <m/>
    <n v="324.70587999999998"/>
    <n v="0"/>
    <n v="70974"/>
  </r>
  <r>
    <x v="15"/>
    <s v="190-001744"/>
    <s v="Værløse Svømmehal, KV60"/>
    <n v="8932"/>
    <s v="0"/>
    <s v="Bi-måler vand"/>
    <x v="123"/>
    <x v="1"/>
    <x v="0"/>
    <n v="0"/>
    <n v="5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0"/>
    <n v="165.76"/>
    <n v="5"/>
    <s v="2015-05-05"/>
    <n v="0"/>
    <n v="0"/>
    <n v="1657.6"/>
    <n v="3"/>
    <x v="0"/>
    <x v="3560"/>
    <n v="0"/>
    <n v="1"/>
    <s v="405403 KVM6 25M"/>
    <m/>
    <n v="165.7647"/>
    <n v="0"/>
    <n v="70976"/>
  </r>
  <r>
    <x v="15"/>
    <s v="190-001744"/>
    <s v="Værløse Svømmehal, KV60"/>
    <n v="8932"/>
    <s v="0"/>
    <s v="Bi-måler vand"/>
    <x v="123"/>
    <x v="1"/>
    <x v="0"/>
    <n v="0"/>
    <n v="5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1"/>
    <n v="0"/>
    <n v="11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1"/>
    <n v="346.26"/>
    <n v="11"/>
    <s v="2015-05-05"/>
    <n v="0"/>
    <n v="0"/>
    <n v="3462.6"/>
    <n v="3"/>
    <x v="0"/>
    <x v="3561"/>
    <n v="277"/>
    <n v="1"/>
    <s v="405303 KVM8 VVB"/>
    <m/>
    <n v="346.25000999999997"/>
    <n v="0"/>
    <n v="70972"/>
  </r>
  <r>
    <x v="15"/>
    <s v="190-001744"/>
    <s v="Værløse Svømmehal, KV60"/>
    <n v="8932"/>
    <s v="0"/>
    <s v="Bi-måler vand"/>
    <x v="123"/>
    <x v="1"/>
    <x v="1"/>
    <n v="1758.36"/>
    <n v="11"/>
    <s v="2015-05-05"/>
    <n v="0"/>
    <n v="0"/>
    <n v="17583.599999999999"/>
    <n v="3"/>
    <x v="0"/>
    <x v="3562"/>
    <n v="1406.69"/>
    <n v="1"/>
    <s v="KVM4 SKYLLETANK"/>
    <m/>
    <n v="1758.3588999999999"/>
    <n v="0"/>
    <n v="70973"/>
  </r>
  <r>
    <x v="15"/>
    <s v="190-001744"/>
    <s v="Værløse Svømmehal, KV60"/>
    <n v="8932"/>
    <s v="0"/>
    <s v="Bi-måler vand"/>
    <x v="123"/>
    <x v="1"/>
    <x v="1"/>
    <n v="1036.52"/>
    <n v="11"/>
    <s v="2015-05-05"/>
    <n v="0"/>
    <n v="0"/>
    <n v="10365.200000000001"/>
    <n v="3"/>
    <x v="0"/>
    <x v="3563"/>
    <n v="0"/>
    <n v="1"/>
    <s v="405503 KVM3 TB"/>
    <m/>
    <n v="1036.5104100000001"/>
    <n v="0"/>
    <n v="70974"/>
  </r>
  <r>
    <x v="15"/>
    <s v="190-001744"/>
    <s v="Værløse Svømmehal, KV60"/>
    <n v="8932"/>
    <s v="0"/>
    <s v="Bi-måler vand"/>
    <x v="123"/>
    <x v="1"/>
    <x v="1"/>
    <n v="0"/>
    <n v="11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1"/>
    <n v="569.53"/>
    <n v="11"/>
    <s v="2015-05-05"/>
    <n v="0"/>
    <n v="0"/>
    <n v="5695.3"/>
    <n v="3"/>
    <x v="0"/>
    <x v="3564"/>
    <n v="0"/>
    <n v="1"/>
    <s v="405403 KVM6 25M"/>
    <m/>
    <n v="569.53884000000005"/>
    <n v="0"/>
    <n v="70976"/>
  </r>
  <r>
    <x v="15"/>
    <s v="190-001744"/>
    <s v="Værløse Svømmehal, KV60"/>
    <n v="8932"/>
    <s v="0"/>
    <s v="Bi-måler vand"/>
    <x v="123"/>
    <x v="1"/>
    <x v="1"/>
    <n v="0"/>
    <n v="11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2"/>
    <n v="0"/>
    <n v="12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2"/>
    <n v="91.92"/>
    <n v="7"/>
    <s v="2012-07-31"/>
    <n v="0"/>
    <n v="0"/>
    <n v="919.2"/>
    <n v="3"/>
    <x v="0"/>
    <x v="3565"/>
    <n v="73.52"/>
    <n v="1"/>
    <s v="3320905 KVM10"/>
    <m/>
    <n v="91.916669999999996"/>
    <n v="0"/>
    <n v="70971"/>
  </r>
  <r>
    <x v="15"/>
    <s v="190-001744"/>
    <s v="Værløse Svømmehal, KV60"/>
    <n v="8932"/>
    <s v="0"/>
    <s v="Bi-måler vand"/>
    <x v="123"/>
    <x v="1"/>
    <x v="2"/>
    <n v="366.41"/>
    <n v="12"/>
    <s v="2015-05-05"/>
    <n v="0"/>
    <n v="0"/>
    <n v="3664.1"/>
    <n v="3"/>
    <x v="0"/>
    <x v="3566"/>
    <n v="293.14"/>
    <n v="1"/>
    <s v="405303 KVM8 VVB"/>
    <m/>
    <n v="366.41667000000001"/>
    <n v="0"/>
    <n v="70972"/>
  </r>
  <r>
    <x v="15"/>
    <s v="190-001744"/>
    <s v="Værløse Svømmehal, KV60"/>
    <n v="8932"/>
    <s v="0"/>
    <s v="Bi-måler vand"/>
    <x v="123"/>
    <x v="1"/>
    <x v="2"/>
    <n v="1610.16"/>
    <n v="12"/>
    <s v="2015-05-05"/>
    <n v="0"/>
    <n v="0"/>
    <n v="16101.6"/>
    <n v="3"/>
    <x v="0"/>
    <x v="3567"/>
    <n v="1288.1300000000001"/>
    <n v="1"/>
    <s v="KVM4 SKYLLETANK"/>
    <m/>
    <n v="1610.1515199999999"/>
    <n v="0"/>
    <n v="70973"/>
  </r>
  <r>
    <x v="15"/>
    <s v="190-001744"/>
    <s v="Værløse Svømmehal, KV60"/>
    <n v="8932"/>
    <s v="0"/>
    <s v="Bi-måler vand"/>
    <x v="123"/>
    <x v="1"/>
    <x v="2"/>
    <n v="996.17"/>
    <n v="12"/>
    <s v="2015-05-05"/>
    <n v="0"/>
    <n v="0"/>
    <n v="9961.7000000000007"/>
    <n v="3"/>
    <x v="0"/>
    <x v="3568"/>
    <n v="0"/>
    <n v="1"/>
    <s v="405503 KVM3 TB"/>
    <m/>
    <n v="996.16666999999995"/>
    <n v="0"/>
    <n v="70974"/>
  </r>
  <r>
    <x v="15"/>
    <s v="190-001744"/>
    <s v="Værløse Svømmehal, KV60"/>
    <n v="8932"/>
    <s v="0"/>
    <s v="Bi-måler vand"/>
    <x v="123"/>
    <x v="1"/>
    <x v="2"/>
    <n v="15.99"/>
    <n v="12"/>
    <s v="2015-05-05"/>
    <n v="0"/>
    <n v="0"/>
    <n v="159.9"/>
    <n v="3"/>
    <x v="0"/>
    <x v="3569"/>
    <n v="0"/>
    <n v="1"/>
    <s v="40061501 KVM5 TB"/>
    <m/>
    <n v="16.00001"/>
    <n v="0"/>
    <n v="70975"/>
  </r>
  <r>
    <x v="15"/>
    <s v="190-001744"/>
    <s v="Værløse Svømmehal, KV60"/>
    <n v="8932"/>
    <s v="0"/>
    <s v="Bi-måler vand"/>
    <x v="123"/>
    <x v="1"/>
    <x v="2"/>
    <n v="513.66999999999996"/>
    <n v="12"/>
    <s v="2015-05-05"/>
    <n v="0"/>
    <n v="0"/>
    <n v="5136.7"/>
    <n v="3"/>
    <x v="0"/>
    <x v="3570"/>
    <n v="0"/>
    <n v="1"/>
    <s v="405403 KVM6 25M"/>
    <m/>
    <n v="513.65908000000002"/>
    <n v="0"/>
    <n v="70976"/>
  </r>
  <r>
    <x v="15"/>
    <s v="190-001744"/>
    <s v="Værløse Svømmehal, KV60"/>
    <n v="8932"/>
    <s v="0"/>
    <s v="Bi-måler vand"/>
    <x v="123"/>
    <x v="1"/>
    <x v="2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3"/>
    <n v="11"/>
    <n v="12"/>
    <s v="2015-05-05"/>
    <n v="0"/>
    <n v="0"/>
    <n v="110"/>
    <n v="3"/>
    <x v="0"/>
    <x v="3571"/>
    <n v="8.8000000000000007"/>
    <n v="1"/>
    <s v="400617 KVM9 VVB"/>
    <m/>
    <n v="11"/>
    <n v="0"/>
    <n v="70970"/>
  </r>
  <r>
    <x v="15"/>
    <s v="190-001744"/>
    <s v="Værløse Svømmehal, KV60"/>
    <n v="8932"/>
    <s v="0"/>
    <s v="Bi-måler vand"/>
    <x v="123"/>
    <x v="1"/>
    <x v="3"/>
    <n v="184.28"/>
    <n v="12"/>
    <s v="2012-07-31"/>
    <n v="0"/>
    <n v="0"/>
    <n v="1842.8"/>
    <n v="3"/>
    <x v="0"/>
    <x v="3572"/>
    <n v="147.41999999999999"/>
    <n v="1"/>
    <s v="3320905 KVM10"/>
    <m/>
    <n v="184.28921"/>
    <n v="0"/>
    <n v="70971"/>
  </r>
  <r>
    <x v="15"/>
    <s v="190-001744"/>
    <s v="Værløse Svømmehal, KV60"/>
    <n v="8932"/>
    <s v="0"/>
    <s v="Bi-måler vand"/>
    <x v="123"/>
    <x v="1"/>
    <x v="3"/>
    <n v="361.41"/>
    <n v="12"/>
    <s v="2015-05-05"/>
    <n v="0"/>
    <n v="0"/>
    <n v="3614.1"/>
    <n v="3"/>
    <x v="0"/>
    <x v="3573"/>
    <n v="289.11"/>
    <n v="1"/>
    <s v="405303 KVM8 VVB"/>
    <m/>
    <n v="361.40687000000003"/>
    <n v="0"/>
    <n v="70972"/>
  </r>
  <r>
    <x v="15"/>
    <s v="190-001744"/>
    <s v="Værløse Svømmehal, KV60"/>
    <n v="8932"/>
    <s v="0"/>
    <s v="Bi-måler vand"/>
    <x v="123"/>
    <x v="1"/>
    <x v="3"/>
    <n v="1670.92"/>
    <n v="12"/>
    <s v="2015-05-05"/>
    <n v="0"/>
    <n v="0"/>
    <n v="16709.2"/>
    <n v="3"/>
    <x v="0"/>
    <x v="3574"/>
    <n v="1336.74"/>
    <n v="1"/>
    <s v="KVM4 SKYLLETANK"/>
    <m/>
    <n v="1670.92157"/>
    <n v="0"/>
    <n v="70973"/>
  </r>
  <r>
    <x v="15"/>
    <s v="190-001744"/>
    <s v="Værløse Svømmehal, KV60"/>
    <n v="8932"/>
    <s v="0"/>
    <s v="Bi-måler vand"/>
    <x v="123"/>
    <x v="1"/>
    <x v="3"/>
    <n v="950.79"/>
    <n v="12"/>
    <s v="2015-05-05"/>
    <n v="0"/>
    <n v="0"/>
    <n v="9507.9"/>
    <n v="3"/>
    <x v="0"/>
    <x v="3575"/>
    <n v="0"/>
    <n v="1"/>
    <s v="405503 KVM3 TB"/>
    <m/>
    <n v="950.78431999999998"/>
    <n v="0"/>
    <n v="70974"/>
  </r>
  <r>
    <x v="15"/>
    <s v="190-001744"/>
    <s v="Værløse Svømmehal, KV60"/>
    <n v="8932"/>
    <s v="0"/>
    <s v="Bi-måler vand"/>
    <x v="123"/>
    <x v="1"/>
    <x v="3"/>
    <n v="0"/>
    <n v="12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3"/>
    <n v="465.2"/>
    <n v="12"/>
    <s v="2015-05-05"/>
    <n v="0"/>
    <n v="0"/>
    <n v="4652"/>
    <n v="3"/>
    <x v="0"/>
    <x v="3576"/>
    <n v="0"/>
    <n v="1"/>
    <s v="405403 KVM6 25M"/>
    <m/>
    <n v="465.20100000000002"/>
    <n v="0"/>
    <n v="70976"/>
  </r>
  <r>
    <x v="15"/>
    <s v="190-001744"/>
    <s v="Værløse Svømmehal, KV60"/>
    <n v="8932"/>
    <s v="0"/>
    <s v="Bi-måler vand"/>
    <x v="123"/>
    <x v="1"/>
    <x v="3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4"/>
    <n v="1"/>
    <n v="12"/>
    <s v="2015-05-05"/>
    <n v="0"/>
    <n v="0"/>
    <n v="10"/>
    <n v="3"/>
    <x v="0"/>
    <x v="3577"/>
    <n v="0.8"/>
    <n v="1"/>
    <s v="400617 KVM9 VVB"/>
    <m/>
    <n v="1"/>
    <n v="0"/>
    <n v="70970"/>
  </r>
  <r>
    <x v="15"/>
    <s v="190-001744"/>
    <s v="Værløse Svømmehal, KV60"/>
    <n v="8932"/>
    <s v="0"/>
    <s v="Bi-måler vand"/>
    <x v="123"/>
    <x v="1"/>
    <x v="4"/>
    <n v="459.18"/>
    <n v="12"/>
    <s v="2012-07-31"/>
    <n v="0"/>
    <n v="0"/>
    <n v="4591.8"/>
    <n v="3"/>
    <x v="0"/>
    <x v="3578"/>
    <n v="367.32"/>
    <n v="1"/>
    <s v="3320905 KVM10"/>
    <m/>
    <n v="459.16552999999999"/>
    <n v="0"/>
    <n v="70971"/>
  </r>
  <r>
    <x v="15"/>
    <s v="190-001744"/>
    <s v="Værløse Svømmehal, KV60"/>
    <n v="8932"/>
    <s v="0"/>
    <s v="Bi-måler vand"/>
    <x v="123"/>
    <x v="1"/>
    <x v="4"/>
    <n v="360.41"/>
    <n v="12"/>
    <s v="2015-05-05"/>
    <n v="0"/>
    <n v="0"/>
    <n v="3604.1"/>
    <n v="3"/>
    <x v="0"/>
    <x v="3579"/>
    <n v="288.33"/>
    <n v="1"/>
    <s v="405303 KVM8 VVB"/>
    <m/>
    <n v="360.40503000000001"/>
    <n v="0"/>
    <n v="70972"/>
  </r>
  <r>
    <x v="15"/>
    <s v="190-001744"/>
    <s v="Værløse Svømmehal, KV60"/>
    <n v="8932"/>
    <s v="0"/>
    <s v="Bi-måler vand"/>
    <x v="123"/>
    <x v="1"/>
    <x v="4"/>
    <n v="1376.98"/>
    <n v="12"/>
    <s v="2015-05-05"/>
    <n v="0"/>
    <n v="0"/>
    <n v="13769.8"/>
    <n v="3"/>
    <x v="0"/>
    <x v="3580"/>
    <n v="1101.58"/>
    <n v="1"/>
    <s v="KVM4 SKYLLETANK"/>
    <m/>
    <n v="1376.9831899999999"/>
    <n v="0"/>
    <n v="70973"/>
  </r>
  <r>
    <x v="15"/>
    <s v="190-001744"/>
    <s v="Værløse Svømmehal, KV60"/>
    <n v="8932"/>
    <s v="0"/>
    <s v="Bi-måler vand"/>
    <x v="123"/>
    <x v="1"/>
    <x v="4"/>
    <n v="992.91"/>
    <n v="12"/>
    <s v="2015-05-05"/>
    <n v="0"/>
    <n v="0"/>
    <n v="9929.1"/>
    <n v="3"/>
    <x v="0"/>
    <x v="3581"/>
    <n v="0"/>
    <n v="1"/>
    <s v="405503 KVM3 TB"/>
    <m/>
    <n v="992.89661999999998"/>
    <n v="0"/>
    <n v="70974"/>
  </r>
  <r>
    <x v="15"/>
    <s v="190-001744"/>
    <s v="Værløse Svømmehal, KV60"/>
    <n v="8932"/>
    <s v="0"/>
    <s v="Bi-måler vand"/>
    <x v="123"/>
    <x v="1"/>
    <x v="4"/>
    <n v="1"/>
    <n v="12"/>
    <s v="2015-05-05"/>
    <n v="0"/>
    <n v="0"/>
    <n v="10"/>
    <n v="3"/>
    <x v="0"/>
    <x v="3577"/>
    <n v="0"/>
    <n v="1"/>
    <s v="40061501 KVM5 TB"/>
    <m/>
    <n v="1"/>
    <n v="0"/>
    <n v="70975"/>
  </r>
  <r>
    <x v="15"/>
    <s v="190-001744"/>
    <s v="Værløse Svømmehal, KV60"/>
    <n v="8932"/>
    <s v="0"/>
    <s v="Bi-måler vand"/>
    <x v="123"/>
    <x v="1"/>
    <x v="4"/>
    <n v="276.39999999999998"/>
    <n v="12"/>
    <s v="2015-05-05"/>
    <n v="0"/>
    <n v="0"/>
    <n v="2764"/>
    <n v="3"/>
    <x v="0"/>
    <x v="3582"/>
    <n v="0"/>
    <n v="1"/>
    <s v="405403 KVM6 25M"/>
    <m/>
    <n v="276.41093000000001"/>
    <n v="0"/>
    <n v="70976"/>
  </r>
  <r>
    <x v="15"/>
    <s v="190-001744"/>
    <s v="Værløse Svømmehal, KV60"/>
    <n v="8932"/>
    <s v="0"/>
    <s v="Bi-måler vand"/>
    <x v="123"/>
    <x v="1"/>
    <x v="4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5"/>
    <n v="0"/>
    <n v="11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5"/>
    <n v="168.09"/>
    <n v="11"/>
    <s v="2012-07-31"/>
    <n v="0"/>
    <n v="0"/>
    <n v="1680.9"/>
    <n v="3"/>
    <x v="0"/>
    <x v="3583"/>
    <n v="134.44999999999999"/>
    <n v="1"/>
    <s v="3320905 KVM10"/>
    <m/>
    <n v="168.08018000000001"/>
    <n v="0"/>
    <n v="70971"/>
  </r>
  <r>
    <x v="15"/>
    <s v="190-001744"/>
    <s v="Værløse Svømmehal, KV60"/>
    <n v="8932"/>
    <s v="0"/>
    <s v="Bi-måler vand"/>
    <x v="123"/>
    <x v="1"/>
    <x v="5"/>
    <n v="357.84"/>
    <n v="11"/>
    <s v="2015-05-05"/>
    <n v="0"/>
    <n v="0"/>
    <n v="3578.4"/>
    <n v="3"/>
    <x v="0"/>
    <x v="3584"/>
    <n v="286.27"/>
    <n v="1"/>
    <s v="405303 KVM8 VVB"/>
    <m/>
    <n v="357.83593999999999"/>
    <n v="0"/>
    <n v="70972"/>
  </r>
  <r>
    <x v="15"/>
    <s v="190-001744"/>
    <s v="Værløse Svømmehal, KV60"/>
    <n v="8932"/>
    <s v="0"/>
    <s v="Bi-måler vand"/>
    <x v="123"/>
    <x v="1"/>
    <x v="5"/>
    <n v="1523.45"/>
    <n v="11"/>
    <s v="2015-05-05"/>
    <n v="0"/>
    <n v="0"/>
    <n v="15234.5"/>
    <n v="3"/>
    <x v="0"/>
    <x v="3585"/>
    <n v="1218.76"/>
    <n v="1"/>
    <s v="KVM4 SKYLLETANK"/>
    <m/>
    <n v="1523.4608499999999"/>
    <n v="0"/>
    <n v="70973"/>
  </r>
  <r>
    <x v="15"/>
    <s v="190-001744"/>
    <s v="Værløse Svømmehal, KV60"/>
    <n v="8932"/>
    <s v="0"/>
    <s v="Bi-måler vand"/>
    <x v="123"/>
    <x v="1"/>
    <x v="5"/>
    <n v="1044.6199999999999"/>
    <n v="11"/>
    <s v="2015-05-05"/>
    <n v="0"/>
    <n v="0"/>
    <n v="10446.200000000001"/>
    <n v="3"/>
    <x v="0"/>
    <x v="3586"/>
    <n v="0"/>
    <n v="1"/>
    <s v="405503 KVM3 TB"/>
    <m/>
    <n v="1044.61473"/>
    <n v="0"/>
    <n v="70974"/>
  </r>
  <r>
    <x v="15"/>
    <s v="190-001744"/>
    <s v="Værløse Svømmehal, KV60"/>
    <n v="8932"/>
    <s v="0"/>
    <s v="Bi-måler vand"/>
    <x v="123"/>
    <x v="1"/>
    <x v="5"/>
    <n v="0"/>
    <n v="11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5"/>
    <n v="419.82"/>
    <n v="11"/>
    <s v="2015-05-05"/>
    <n v="0"/>
    <n v="0"/>
    <n v="4198.2"/>
    <n v="3"/>
    <x v="0"/>
    <x v="3587"/>
    <n v="0"/>
    <n v="1"/>
    <s v="405403 KVM6 25M"/>
    <m/>
    <n v="419.81013000000002"/>
    <n v="0"/>
    <n v="70976"/>
  </r>
  <r>
    <x v="15"/>
    <s v="190-001744"/>
    <s v="Værløse Svømmehal, KV60"/>
    <n v="8932"/>
    <s v="0"/>
    <s v="Bi-måler vand"/>
    <x v="123"/>
    <x v="1"/>
    <x v="5"/>
    <n v="0"/>
    <n v="11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6"/>
    <n v="3237.67"/>
    <n v="5"/>
    <s v="2008-05-01"/>
    <n v="0"/>
    <n v="0"/>
    <n v="32376.7"/>
    <n v="3"/>
    <x v="0"/>
    <x v="3588"/>
    <n v="2590.14"/>
    <n v="1"/>
    <s v="31828725 KVM2 BV"/>
    <m/>
    <n v="3237.6666700000001"/>
    <n v="0"/>
    <n v="70969"/>
  </r>
  <r>
    <x v="15"/>
    <s v="190-001744"/>
    <s v="Værløse Svømmehal, KV60"/>
    <n v="8932"/>
    <s v="0"/>
    <s v="Bi-måler vand"/>
    <x v="123"/>
    <x v="1"/>
    <x v="6"/>
    <n v="0"/>
    <n v="12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6"/>
    <n v="223.56"/>
    <n v="12"/>
    <s v="2012-07-31"/>
    <n v="0"/>
    <n v="0"/>
    <n v="2235.6"/>
    <n v="3"/>
    <x v="0"/>
    <x v="3589"/>
    <n v="178.85"/>
    <n v="1"/>
    <s v="3320905 KVM10"/>
    <m/>
    <n v="223.54838000000001"/>
    <n v="0"/>
    <n v="70971"/>
  </r>
  <r>
    <x v="15"/>
    <s v="190-001744"/>
    <s v="Værløse Svømmehal, KV60"/>
    <n v="8932"/>
    <s v="0"/>
    <s v="Bi-måler vand"/>
    <x v="123"/>
    <x v="1"/>
    <x v="6"/>
    <n v="332.65"/>
    <n v="12"/>
    <s v="2015-05-05"/>
    <n v="0"/>
    <n v="0"/>
    <n v="3326.5"/>
    <n v="3"/>
    <x v="0"/>
    <x v="3590"/>
    <n v="266.12"/>
    <n v="1"/>
    <s v="405303 KVM8 VVB"/>
    <m/>
    <n v="332.66883999999999"/>
    <n v="0"/>
    <n v="70972"/>
  </r>
  <r>
    <x v="15"/>
    <s v="190-001744"/>
    <s v="Værløse Svømmehal, KV60"/>
    <n v="8932"/>
    <s v="0"/>
    <s v="Bi-måler vand"/>
    <x v="123"/>
    <x v="1"/>
    <x v="6"/>
    <n v="1381.16"/>
    <n v="12"/>
    <s v="2015-05-05"/>
    <n v="0"/>
    <n v="0"/>
    <n v="13811.6"/>
    <n v="3"/>
    <x v="0"/>
    <x v="3591"/>
    <n v="1104.93"/>
    <n v="1"/>
    <s v="KVM4 SKYLLETANK"/>
    <m/>
    <n v="1381.16776"/>
    <n v="0"/>
    <n v="70973"/>
  </r>
  <r>
    <x v="15"/>
    <s v="190-001744"/>
    <s v="Værløse Svømmehal, KV60"/>
    <n v="8932"/>
    <s v="0"/>
    <s v="Bi-måler vand"/>
    <x v="123"/>
    <x v="1"/>
    <x v="6"/>
    <n v="869.4"/>
    <n v="12"/>
    <s v="2015-05-05"/>
    <n v="0"/>
    <n v="0"/>
    <n v="8694"/>
    <n v="3"/>
    <x v="0"/>
    <x v="3592"/>
    <n v="0"/>
    <n v="1"/>
    <s v="405503 KVM3 TB"/>
    <m/>
    <n v="869.40428999999995"/>
    <n v="0"/>
    <n v="70974"/>
  </r>
  <r>
    <x v="15"/>
    <s v="190-001744"/>
    <s v="Værløse Svømmehal, KV60"/>
    <n v="8932"/>
    <s v="0"/>
    <s v="Bi-måler vand"/>
    <x v="123"/>
    <x v="1"/>
    <x v="6"/>
    <n v="0"/>
    <n v="12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6"/>
    <n v="361.24"/>
    <n v="12"/>
    <s v="2015-05-05"/>
    <n v="0"/>
    <n v="0"/>
    <n v="3612.4"/>
    <n v="3"/>
    <x v="0"/>
    <x v="3593"/>
    <n v="0"/>
    <n v="1"/>
    <s v="405403 KVM6 25M"/>
    <m/>
    <n v="361.22795000000002"/>
    <n v="0"/>
    <n v="70976"/>
  </r>
  <r>
    <x v="15"/>
    <s v="190-001744"/>
    <s v="Værløse Svømmehal, KV60"/>
    <n v="8932"/>
    <s v="0"/>
    <s v="Bi-måler vand"/>
    <x v="123"/>
    <x v="1"/>
    <x v="6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878"/>
    <m/>
    <s v="Værløse Svømmehal"/>
    <x v="123"/>
    <x v="0"/>
    <x v="0"/>
    <n v="0"/>
    <n v="5"/>
    <m/>
    <n v="0"/>
    <n v="3615"/>
    <n v="0.66205599999999998"/>
    <n v="3"/>
    <x v="0"/>
    <x v="3594"/>
    <n v="1914.72"/>
    <n v="1"/>
    <s v="31828725 BV"/>
    <m/>
    <n v="2393.4"/>
    <n v="0"/>
    <n v="76950"/>
  </r>
  <r>
    <x v="15"/>
    <s v="190-001744"/>
    <s v="Værløse Svømmehal, KV60"/>
    <n v="8878"/>
    <m/>
    <s v="Værløse Svømmehal"/>
    <x v="123"/>
    <x v="0"/>
    <x v="0"/>
    <n v="15021"/>
    <n v="5"/>
    <m/>
    <n v="0"/>
    <n v="3615"/>
    <n v="1.721689"/>
    <n v="3"/>
    <x v="0"/>
    <x v="3595"/>
    <n v="4979.2700000000004"/>
    <n v="0"/>
    <s v="31039727"/>
    <m/>
    <n v="6224.08"/>
    <n v="0"/>
    <n v="76951"/>
  </r>
  <r>
    <x v="15"/>
    <s v="190-001744"/>
    <s v="Værløse Svømmehal, KV60"/>
    <n v="8878"/>
    <m/>
    <s v="Værløse Svømmehal"/>
    <x v="123"/>
    <x v="0"/>
    <x v="1"/>
    <n v="4142.3999999999996"/>
    <n v="12"/>
    <m/>
    <n v="0"/>
    <n v="3615"/>
    <n v="1.1458600000000001"/>
    <n v="3"/>
    <x v="0"/>
    <x v="3596"/>
    <n v="3313.92"/>
    <n v="1"/>
    <s v="31828725 BV"/>
    <m/>
    <n v="4142.3999999999996"/>
    <n v="0"/>
    <n v="76950"/>
  </r>
  <r>
    <x v="15"/>
    <s v="190-001744"/>
    <s v="Værløse Svømmehal, KV60"/>
    <n v="8878"/>
    <m/>
    <s v="Værløse Svømmehal"/>
    <x v="123"/>
    <x v="0"/>
    <x v="1"/>
    <n v="12865.27"/>
    <n v="12"/>
    <m/>
    <n v="0"/>
    <n v="3615"/>
    <n v="3.5587589999999998"/>
    <n v="3"/>
    <x v="0"/>
    <x v="3597"/>
    <n v="10292.219999999999"/>
    <n v="0"/>
    <s v="31039727"/>
    <m/>
    <n v="12865.27"/>
    <n v="0"/>
    <n v="76951"/>
  </r>
  <r>
    <x v="15"/>
    <s v="190-001744"/>
    <s v="Værløse Svømmehal, KV60"/>
    <n v="8878"/>
    <m/>
    <s v="Værløse Svømmehal"/>
    <x v="123"/>
    <x v="0"/>
    <x v="2"/>
    <n v="7323"/>
    <n v="12"/>
    <m/>
    <n v="0"/>
    <n v="3615"/>
    <n v="2.0256699999999999"/>
    <n v="3"/>
    <x v="0"/>
    <x v="3598"/>
    <n v="5858.4"/>
    <n v="1"/>
    <s v="31828725 BV"/>
    <m/>
    <n v="7323"/>
    <n v="0"/>
    <n v="76950"/>
  </r>
  <r>
    <x v="15"/>
    <s v="190-001744"/>
    <s v="Værløse Svømmehal, KV60"/>
    <n v="8878"/>
    <m/>
    <s v="Værløse Svømmehal"/>
    <x v="123"/>
    <x v="0"/>
    <x v="2"/>
    <n v="14690"/>
    <n v="12"/>
    <m/>
    <n v="0"/>
    <n v="3615"/>
    <n v="4.0635110000000001"/>
    <n v="3"/>
    <x v="0"/>
    <x v="3599"/>
    <n v="11751.99"/>
    <n v="0"/>
    <s v="31039727"/>
    <m/>
    <n v="14690"/>
    <n v="0"/>
    <n v="76951"/>
  </r>
  <r>
    <x v="15"/>
    <s v="190-001744"/>
    <s v="Værløse Svømmehal, KV60"/>
    <n v="8878"/>
    <m/>
    <s v="Værløse Svømmehal"/>
    <x v="123"/>
    <x v="0"/>
    <x v="3"/>
    <n v="7531.9"/>
    <n v="12"/>
    <m/>
    <n v="0"/>
    <n v="3615"/>
    <n v="2.0834549999999998"/>
    <n v="3"/>
    <x v="0"/>
    <x v="3600"/>
    <n v="6025.52"/>
    <n v="1"/>
    <s v="31828725 BV"/>
    <m/>
    <n v="7531.9"/>
    <n v="0"/>
    <n v="76950"/>
  </r>
  <r>
    <x v="15"/>
    <s v="190-001744"/>
    <s v="Værløse Svømmehal, KV60"/>
    <n v="8878"/>
    <m/>
    <s v="Værløse Svømmehal"/>
    <x v="123"/>
    <x v="0"/>
    <x v="3"/>
    <n v="12110.78"/>
    <n v="12"/>
    <m/>
    <n v="0"/>
    <n v="3615"/>
    <n v="3.3500529999999999"/>
    <n v="3"/>
    <x v="0"/>
    <x v="3601"/>
    <n v="9688.6200000000008"/>
    <n v="0"/>
    <s v="31039727"/>
    <m/>
    <n v="12110.781000000001"/>
    <n v="0"/>
    <n v="76951"/>
  </r>
  <r>
    <x v="15"/>
    <s v="190-001744"/>
    <s v="Værløse Svømmehal, KV60"/>
    <n v="8878"/>
    <m/>
    <s v="Værløse Svømmehal"/>
    <x v="123"/>
    <x v="0"/>
    <x v="4"/>
    <n v="8587.2999999999993"/>
    <n v="12"/>
    <m/>
    <n v="0"/>
    <n v="3615"/>
    <n v="2.375397"/>
    <n v="3"/>
    <x v="0"/>
    <x v="3602"/>
    <n v="6869.84"/>
    <n v="1"/>
    <s v="31828725 BV"/>
    <m/>
    <n v="8587.2999999999993"/>
    <n v="0"/>
    <n v="76950"/>
  </r>
  <r>
    <x v="15"/>
    <s v="190-001744"/>
    <s v="Værløse Svømmehal, KV60"/>
    <n v="8878"/>
    <m/>
    <s v="Værløse Svømmehal"/>
    <x v="123"/>
    <x v="0"/>
    <x v="4"/>
    <n v="14794.59"/>
    <n v="12"/>
    <m/>
    <n v="0"/>
    <n v="3615"/>
    <n v="4.0924420000000001"/>
    <n v="3"/>
    <x v="0"/>
    <x v="3603"/>
    <n v="11835.66"/>
    <n v="0"/>
    <s v="31039727"/>
    <m/>
    <n v="14794.589"/>
    <n v="0"/>
    <n v="76951"/>
  </r>
  <r>
    <x v="15"/>
    <s v="190-001744"/>
    <s v="Værløse Svømmehal, KV60"/>
    <n v="8878"/>
    <m/>
    <s v="Værløse Svømmehal"/>
    <x v="123"/>
    <x v="0"/>
    <x v="5"/>
    <n v="3715.19"/>
    <n v="3"/>
    <s v="2009-04-01"/>
    <n v="0"/>
    <n v="3615"/>
    <n v="1.0276860000000001"/>
    <n v="3"/>
    <x v="0"/>
    <x v="3604"/>
    <n v="2972.15"/>
    <n v="0"/>
    <s v="261004"/>
    <m/>
    <n v="3715.19047"/>
    <n v="0"/>
    <n v="70699"/>
  </r>
  <r>
    <x v="15"/>
    <s v="190-001744"/>
    <s v="Værløse Svømmehal, KV60"/>
    <n v="8878"/>
    <m/>
    <s v="Værløse Svømmehal"/>
    <x v="123"/>
    <x v="0"/>
    <x v="5"/>
    <n v="7942.7"/>
    <n v="12"/>
    <m/>
    <n v="0"/>
    <n v="3615"/>
    <n v="2.1970890000000001"/>
    <n v="3"/>
    <x v="0"/>
    <x v="3605"/>
    <n v="6354.16"/>
    <n v="1"/>
    <s v="31828725 BV"/>
    <m/>
    <n v="7942.7"/>
    <n v="0"/>
    <n v="76950"/>
  </r>
  <r>
    <x v="15"/>
    <s v="190-001744"/>
    <s v="Værløse Svømmehal, KV60"/>
    <n v="8878"/>
    <m/>
    <s v="Værløse Svømmehal"/>
    <x v="123"/>
    <x v="0"/>
    <x v="5"/>
    <n v="10509.71"/>
    <n v="9"/>
    <m/>
    <n v="0"/>
    <n v="3615"/>
    <n v="2.9071690000000001"/>
    <n v="3"/>
    <x v="0"/>
    <x v="3606"/>
    <n v="8407.76"/>
    <n v="0"/>
    <s v="31039727"/>
    <m/>
    <n v="10509.71"/>
    <n v="0"/>
    <n v="76951"/>
  </r>
  <r>
    <x v="15"/>
    <s v="190-001744"/>
    <s v="Værløse Svømmehal, KV60"/>
    <n v="8878"/>
    <m/>
    <s v="Værløse Svømmehal"/>
    <x v="123"/>
    <x v="0"/>
    <x v="6"/>
    <n v="13576.95"/>
    <n v="10"/>
    <s v="2009-04-01"/>
    <n v="0"/>
    <n v="3615"/>
    <n v="3.7556219999999998"/>
    <n v="3"/>
    <x v="0"/>
    <x v="3607"/>
    <n v="10861.55"/>
    <n v="0"/>
    <s v="261004"/>
    <m/>
    <n v="13576.942859999999"/>
    <n v="0"/>
    <n v="70699"/>
  </r>
  <r>
    <x v="15"/>
    <s v="190-001744"/>
    <s v="Værløse Svømmehal, KV60"/>
    <n v="8878"/>
    <m/>
    <s v="Værløse Svømmehal"/>
    <x v="123"/>
    <x v="0"/>
    <x v="6"/>
    <n v="4559.1000000000004"/>
    <n v="8"/>
    <m/>
    <n v="0"/>
    <n v="3615"/>
    <n v="1.261126"/>
    <n v="3"/>
    <x v="0"/>
    <x v="3608"/>
    <n v="3647.28"/>
    <n v="1"/>
    <s v="31828725 BV"/>
    <m/>
    <n v="4559.1000000000004"/>
    <n v="0"/>
    <n v="76950"/>
  </r>
  <r>
    <x v="15"/>
    <s v="05148-9"/>
    <s v="Farum Svømmehal, Park 20"/>
    <n v="6339"/>
    <m/>
    <s v="Bimåler tribune"/>
    <x v="122"/>
    <x v="1"/>
    <x v="7"/>
    <n v="9.01"/>
    <n v="12"/>
    <s v="2015-05-04"/>
    <n v="0"/>
    <n v="0"/>
    <n v="90.1"/>
    <n v="3"/>
    <x v="0"/>
    <x v="3609"/>
    <n v="7.21"/>
    <n v="1"/>
    <s v="Tribune"/>
    <m/>
    <n v="9"/>
    <n v="0"/>
    <n v="57739"/>
  </r>
  <r>
    <x v="15"/>
    <s v="05148-9"/>
    <s v="Farum Svømmehal, Park 20"/>
    <n v="5452"/>
    <m/>
    <s v="Bimåler vand"/>
    <x v="122"/>
    <x v="1"/>
    <x v="7"/>
    <n v="3927.85"/>
    <n v="12"/>
    <s v="2005-07-01"/>
    <n v="0"/>
    <n v="0"/>
    <n v="39278.5"/>
    <n v="3"/>
    <x v="0"/>
    <x v="3610"/>
    <n v="0"/>
    <n v="1"/>
    <s v="VBV"/>
    <m/>
    <n v="3927.85"/>
    <n v="0"/>
    <n v="57547"/>
  </r>
  <r>
    <x v="15"/>
    <s v="05148-9"/>
    <s v="Farum Svømmehal, Park 20"/>
    <n v="5452"/>
    <m/>
    <s v="Bimåler vand"/>
    <x v="122"/>
    <x v="1"/>
    <x v="7"/>
    <n v="0"/>
    <n v="11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7"/>
    <n v="235.49"/>
    <n v="12"/>
    <s v="2015-05-04"/>
    <n v="0"/>
    <n v="0"/>
    <n v="2354.9"/>
    <n v="3"/>
    <x v="0"/>
    <x v="3611"/>
    <n v="188.4"/>
    <n v="1"/>
    <s v="Spæd VVB"/>
    <m/>
    <n v="235.49193"/>
    <n v="0"/>
    <n v="57740"/>
  </r>
  <r>
    <x v="15"/>
    <s v="05148-9"/>
    <s v="Farum Svømmehal, Park 20"/>
    <n v="5452"/>
    <m/>
    <s v="Bimåler vand"/>
    <x v="122"/>
    <x v="1"/>
    <x v="7"/>
    <n v="551.02"/>
    <n v="12"/>
    <s v="2015-05-04"/>
    <n v="0"/>
    <n v="0"/>
    <n v="5510.2"/>
    <n v="3"/>
    <x v="0"/>
    <x v="3612"/>
    <n v="440.8"/>
    <n v="1"/>
    <s v="Spæd TB"/>
    <m/>
    <n v="551.01412000000005"/>
    <n v="0"/>
    <n v="57741"/>
  </r>
  <r>
    <x v="15"/>
    <s v="05148-9"/>
    <s v="Farum Svømmehal, Park 20"/>
    <n v="5452"/>
    <m/>
    <s v="Bimåler vand"/>
    <x v="122"/>
    <x v="1"/>
    <x v="7"/>
    <n v="732.86"/>
    <n v="12"/>
    <s v="2015-05-04"/>
    <n v="0"/>
    <n v="0"/>
    <n v="7328.6"/>
    <n v="3"/>
    <x v="0"/>
    <x v="3613"/>
    <n v="586.29999999999995"/>
    <n v="1"/>
    <s v="Skylletank"/>
    <m/>
    <n v="732.86189000000002"/>
    <n v="0"/>
    <n v="57742"/>
  </r>
  <r>
    <x v="15"/>
    <s v="05148-9"/>
    <s v="Farum Svømmehal, Park 20"/>
    <n v="5452"/>
    <m/>
    <s v="Bimåler vand"/>
    <x v="122"/>
    <x v="1"/>
    <x v="7"/>
    <n v="1857.46"/>
    <n v="12"/>
    <s v="2015-05-04"/>
    <n v="0"/>
    <n v="0"/>
    <n v="18574.599999999999"/>
    <n v="3"/>
    <x v="0"/>
    <x v="3614"/>
    <n v="1485.97"/>
    <n v="1"/>
    <s v="Spæd 50m"/>
    <m/>
    <n v="1857.45868"/>
    <n v="0"/>
    <n v="57745"/>
  </r>
  <r>
    <x v="15"/>
    <s v="05148-9"/>
    <s v="Farum Svømmehal, Park 20"/>
    <n v="5449"/>
    <m/>
    <s v="Farum Svømmehal,Farum Park 20 st. th."/>
    <x v="122"/>
    <x v="0"/>
    <x v="7"/>
    <n v="14332.4"/>
    <n v="12"/>
    <s v="2005-07-01"/>
    <n v="0"/>
    <n v="7709"/>
    <n v="1.8591530000000001"/>
    <n v="3"/>
    <x v="0"/>
    <x v="3615"/>
    <n v="11465.92"/>
    <n v="0"/>
    <s v="10012225"/>
    <m/>
    <n v="14332.4"/>
    <n v="0"/>
    <n v="57535"/>
  </r>
  <r>
    <x v="15"/>
    <s v="05148-9"/>
    <s v="Farum Svømmehal, Park 20"/>
    <n v="5453"/>
    <m/>
    <s v="Swim-mix"/>
    <x v="122"/>
    <x v="1"/>
    <x v="7"/>
    <n v="473"/>
    <n v="12"/>
    <s v="2015-05-04"/>
    <n v="0"/>
    <n v="610"/>
    <n v="0.77528200000000003"/>
    <n v="3"/>
    <x v="0"/>
    <x v="3616"/>
    <n v="0"/>
    <n v="1"/>
    <s v="VBV 29016080"/>
    <m/>
    <n v="473.00706000000002"/>
    <n v="0"/>
    <n v="84286"/>
  </r>
  <r>
    <x v="15"/>
    <s v="05148-9"/>
    <s v="Farum Svømmehal, Park 20"/>
    <n v="5450"/>
    <m/>
    <s v="Bimåler Varme"/>
    <x v="122"/>
    <x v="1"/>
    <x v="7"/>
    <n v="141320.34"/>
    <n v="12"/>
    <s v="2015-05-04"/>
    <n v="0"/>
    <n v="0"/>
    <n v="1413203.4"/>
    <n v="1"/>
    <x v="1"/>
    <x v="3617"/>
    <n v="13212162.24"/>
    <n v="1"/>
    <s v="01/4087189 VVB"/>
    <m/>
    <n v="141320.3377"/>
    <n v="0"/>
    <n v="57557"/>
  </r>
  <r>
    <x v="15"/>
    <s v="05148-9"/>
    <s v="Farum Svømmehal, Park 20"/>
    <n v="5450"/>
    <m/>
    <s v="Bimåler Varme"/>
    <x v="122"/>
    <x v="1"/>
    <x v="7"/>
    <n v="115462.39999999999"/>
    <n v="12"/>
    <s v="2015-05-04"/>
    <n v="0"/>
    <n v="0"/>
    <n v="1154624"/>
    <n v="1"/>
    <x v="1"/>
    <x v="3618"/>
    <n v="10622099.449999999"/>
    <n v="1"/>
    <s v="01/4087187 VE12"/>
    <m/>
    <n v="115462.40222"/>
    <n v="0"/>
    <n v="57626"/>
  </r>
  <r>
    <x v="15"/>
    <s v="05148-9"/>
    <s v="Farum Svømmehal, Park 20"/>
    <n v="5450"/>
    <m/>
    <s v="Bimåler Varme"/>
    <x v="122"/>
    <x v="1"/>
    <x v="7"/>
    <n v="548012.62"/>
    <n v="11"/>
    <s v="2015-05-04"/>
    <n v="0"/>
    <n v="0"/>
    <n v="5480126.2000000002"/>
    <n v="1"/>
    <x v="1"/>
    <x v="3619"/>
    <n v="47483904.579999998"/>
    <n v="1"/>
    <s v="859208 VE 1&amp;2"/>
    <m/>
    <n v="548012.62095999997"/>
    <n v="0"/>
    <n v="57632"/>
  </r>
  <r>
    <x v="15"/>
    <s v="05148-9"/>
    <s v="Farum Svømmehal, Park 20"/>
    <n v="5450"/>
    <m/>
    <s v="Bimåler Varme"/>
    <x v="122"/>
    <x v="1"/>
    <x v="7"/>
    <n v="24166.55"/>
    <n v="12"/>
    <s v="2015-05-04"/>
    <n v="0"/>
    <n v="0"/>
    <n v="241665.5"/>
    <n v="1"/>
    <x v="1"/>
    <x v="3620"/>
    <n v="44771.57"/>
    <n v="1"/>
    <s v="4169401 RA10"/>
    <m/>
    <n v="24166.54537"/>
    <n v="0"/>
    <n v="57634"/>
  </r>
  <r>
    <x v="15"/>
    <s v="05148-9"/>
    <s v="Farum Svømmehal, Park 20"/>
    <n v="5450"/>
    <m/>
    <s v="Bimåler Varme"/>
    <x v="122"/>
    <x v="1"/>
    <x v="7"/>
    <n v="4657.03"/>
    <n v="12"/>
    <s v="2015-05-04"/>
    <n v="0"/>
    <n v="0"/>
    <n v="46570.3"/>
    <n v="1"/>
    <x v="1"/>
    <x v="3621"/>
    <n v="335435.84999999998"/>
    <n v="1"/>
    <s v="01/4087190 TB"/>
    <m/>
    <n v="4657.0161200000002"/>
    <n v="0"/>
    <n v="57559"/>
  </r>
  <r>
    <x v="15"/>
    <s v="05148-9"/>
    <s v="Farum Svømmehal, Park 20"/>
    <n v="5450"/>
    <m/>
    <s v="Bimåler Varme"/>
    <x v="122"/>
    <x v="1"/>
    <x v="7"/>
    <n v="86167.13"/>
    <n v="12"/>
    <s v="2015-05-04"/>
    <n v="0"/>
    <n v="0"/>
    <n v="861671.3"/>
    <n v="1"/>
    <x v="1"/>
    <x v="3622"/>
    <n v="6741064.9199999999"/>
    <n v="1"/>
    <s v="01/4087186 VE11"/>
    <m/>
    <n v="86167.145170000003"/>
    <n v="0"/>
    <n v="57561"/>
  </r>
  <r>
    <x v="15"/>
    <s v="05148-9"/>
    <s v="Farum Svømmehal, Park 20"/>
    <n v="5450"/>
    <m/>
    <s v="Bimåler Varme"/>
    <x v="122"/>
    <x v="1"/>
    <x v="7"/>
    <n v="9807.93"/>
    <n v="12"/>
    <s v="2015-05-04"/>
    <n v="0"/>
    <n v="0"/>
    <n v="98079.3"/>
    <n v="1"/>
    <x v="1"/>
    <x v="3623"/>
    <n v="734127.28"/>
    <n v="1"/>
    <s v="01/4087188 RA 01"/>
    <m/>
    <n v="9807.92238"/>
    <n v="0"/>
    <n v="57628"/>
  </r>
  <r>
    <x v="15"/>
    <s v="05148-9"/>
    <s v="Farum Svømmehal, Park 20"/>
    <n v="5450"/>
    <m/>
    <s v="Bimåler Varme"/>
    <x v="122"/>
    <x v="1"/>
    <x v="7"/>
    <n v="269085.56"/>
    <n v="11"/>
    <s v="2015-05-04"/>
    <n v="0"/>
    <n v="0"/>
    <n v="2690855.6"/>
    <n v="1"/>
    <x v="1"/>
    <x v="3624"/>
    <n v="24754809.52"/>
    <n v="1"/>
    <s v="859209 VBV"/>
    <m/>
    <n v="269085.56452000001"/>
    <n v="0"/>
    <n v="57630"/>
  </r>
  <r>
    <x v="15"/>
    <s v="05148-9"/>
    <s v="Farum Svømmehal, Park 20"/>
    <n v="5450"/>
    <m/>
    <s v="Bimåler Varme"/>
    <x v="122"/>
    <x v="1"/>
    <x v="7"/>
    <n v="9345.1"/>
    <n v="12"/>
    <s v="2015-05-04"/>
    <n v="0"/>
    <n v="0"/>
    <n v="93451"/>
    <n v="1"/>
    <x v="1"/>
    <x v="3625"/>
    <n v="644191.98"/>
    <n v="1"/>
    <s v="4169400 VE09"/>
    <m/>
    <n v="9345.1038200000003"/>
    <n v="0"/>
    <n v="57636"/>
  </r>
  <r>
    <x v="15"/>
    <s v="05148-9"/>
    <s v="Farum Svømmehal, Park 20"/>
    <n v="5450"/>
    <m/>
    <s v="Bimåler Varme"/>
    <x v="122"/>
    <x v="1"/>
    <x v="7"/>
    <n v="2641.4"/>
    <n v="12"/>
    <s v="2015-05-04"/>
    <n v="0"/>
    <n v="0"/>
    <n v="26414"/>
    <n v="1"/>
    <x v="1"/>
    <x v="3626"/>
    <n v="128201.36"/>
    <n v="1"/>
    <s v="4169399 VE08"/>
    <m/>
    <n v="2641.41129"/>
    <n v="0"/>
    <n v="57638"/>
  </r>
  <r>
    <x v="15"/>
    <s v="05148-9"/>
    <s v="Farum Svømmehal, Park 20"/>
    <n v="5449"/>
    <m/>
    <s v="Farum Svømmehal,Farum Park 20 st. th."/>
    <x v="122"/>
    <x v="0"/>
    <x v="7"/>
    <n v="1480800"/>
    <n v="12"/>
    <s v="2005-07-01"/>
    <n v="0"/>
    <n v="7709"/>
    <n v="192.08467899999999"/>
    <n v="1"/>
    <x v="1"/>
    <x v="3627"/>
    <n v="138735554.68000001"/>
    <n v="0"/>
    <s v="69291280"/>
    <m/>
    <n v="1480800"/>
    <n v="0"/>
    <n v="57534"/>
  </r>
  <r>
    <x v="15"/>
    <s v="05148-9"/>
    <s v="Farum Svømmehal, Park 20"/>
    <n v="5453"/>
    <m/>
    <s v="Swim-mix"/>
    <x v="122"/>
    <x v="1"/>
    <x v="7"/>
    <n v="27761.26"/>
    <n v="12"/>
    <s v="2015-05-04"/>
    <n v="0"/>
    <n v="610"/>
    <n v="45.502802000000003"/>
    <n v="1"/>
    <x v="1"/>
    <x v="3628"/>
    <n v="2960839.96"/>
    <n v="1"/>
    <s v="8545882"/>
    <m/>
    <n v="27761.251"/>
    <n v="0"/>
    <n v="84287"/>
  </r>
  <r>
    <x v="15"/>
    <s v="05148-9"/>
    <s v="Farum Svømmehal, Park 20"/>
    <n v="5449"/>
    <m/>
    <s v="Farum Svømmehal,Farum Park 20 st. th."/>
    <x v="122"/>
    <x v="0"/>
    <x v="7"/>
    <n v="444492.65"/>
    <n v="12"/>
    <m/>
    <n v="0"/>
    <n v="7709"/>
    <n v="57.658175999999997"/>
    <n v="2"/>
    <x v="2"/>
    <x v="3629"/>
    <n v="177797.06"/>
    <n v="0"/>
    <s v="103229/48646 GL hal"/>
    <s v="74112152523"/>
    <n v="444492.65"/>
    <n v="0"/>
    <n v="57533"/>
  </r>
  <r>
    <x v="15"/>
    <s v="05148-9"/>
    <s v="Farum Svømmehal, Park 20"/>
    <n v="5449"/>
    <m/>
    <s v="Farum Svømmehal,Farum Park 20 st. th."/>
    <x v="122"/>
    <x v="0"/>
    <x v="7"/>
    <n v="22234.12"/>
    <n v="12"/>
    <s v="2005-07-01"/>
    <n v="0"/>
    <n v="7709"/>
    <n v="2.8841389999999998"/>
    <n v="2"/>
    <x v="2"/>
    <x v="3630"/>
    <n v="8893.6299999999992"/>
    <n v="0"/>
    <s v="800307 TB"/>
    <s v="74114782704"/>
    <n v="22234.095000000001"/>
    <n v="0"/>
    <n v="57542"/>
  </r>
  <r>
    <x v="15"/>
    <s v="05148-9"/>
    <s v="Farum Svømmehal, Park 20"/>
    <n v="5449"/>
    <m/>
    <s v="Farum Svømmehal,Farum Park 20 st. th."/>
    <x v="122"/>
    <x v="0"/>
    <x v="7"/>
    <n v="115921.14"/>
    <n v="12"/>
    <m/>
    <n v="0"/>
    <n v="7709"/>
    <n v="15.036922000000001"/>
    <n v="2"/>
    <x v="2"/>
    <x v="3631"/>
    <n v="46368.45"/>
    <n v="0"/>
    <s v="104167/800287  kæl"/>
    <s v="74114782704"/>
    <n v="115921.13499999999"/>
    <n v="0"/>
    <n v="57544"/>
  </r>
  <r>
    <x v="15"/>
    <s v="05148-9"/>
    <s v="Farum Svømmehal, Park 20"/>
    <n v="5451"/>
    <m/>
    <s v="Bimåler saunaer"/>
    <x v="122"/>
    <x v="1"/>
    <x v="7"/>
    <n v="25535.16"/>
    <n v="12"/>
    <s v="2015-05-04"/>
    <n v="0"/>
    <n v="0"/>
    <n v="255351.6"/>
    <n v="2"/>
    <x v="2"/>
    <x v="3632"/>
    <n v="10214.08"/>
    <n v="1"/>
    <s v="106980 FB gang"/>
    <m/>
    <n v="25535.15424"/>
    <n v="0"/>
    <n v="57640"/>
  </r>
  <r>
    <x v="15"/>
    <s v="05148-9"/>
    <s v="Farum Svømmehal, Park 20"/>
    <n v="5451"/>
    <m/>
    <s v="Bimåler saunaer"/>
    <x v="122"/>
    <x v="1"/>
    <x v="7"/>
    <n v="35134.67"/>
    <n v="12"/>
    <s v="2015-05-04"/>
    <n v="0"/>
    <n v="0"/>
    <n v="351346.7"/>
    <n v="2"/>
    <x v="2"/>
    <x v="3633"/>
    <n v="14053.86"/>
    <n v="1"/>
    <s v="Dame sauna"/>
    <m/>
    <n v="35134.666669999999"/>
    <n v="0"/>
    <n v="61886"/>
  </r>
  <r>
    <x v="15"/>
    <s v="05148-9"/>
    <s v="Farum Svømmehal, Park 20"/>
    <n v="5451"/>
    <m/>
    <s v="Bimåler saunaer"/>
    <x v="122"/>
    <x v="1"/>
    <x v="7"/>
    <n v="1675.49"/>
    <n v="12"/>
    <s v="2015-05-04"/>
    <n v="0"/>
    <n v="0"/>
    <n v="16754.900000000001"/>
    <n v="2"/>
    <x v="2"/>
    <x v="3634"/>
    <n v="670.2"/>
    <n v="1"/>
    <s v="Pige sauna"/>
    <m/>
    <n v="1675.5"/>
    <n v="0"/>
    <n v="61888"/>
  </r>
  <r>
    <x v="15"/>
    <s v="05148-9"/>
    <s v="Farum Svømmehal, Park 20"/>
    <n v="5451"/>
    <m/>
    <s v="Bimåler saunaer"/>
    <x v="122"/>
    <x v="1"/>
    <x v="7"/>
    <n v="35669.870000000003"/>
    <n v="12"/>
    <s v="2015-05-04"/>
    <n v="0"/>
    <n v="0"/>
    <n v="356698.7"/>
    <n v="2"/>
    <x v="2"/>
    <x v="3635"/>
    <n v="16729.169999999998"/>
    <n v="1"/>
    <s v="Herre sauna"/>
    <m/>
    <n v="35669.86666"/>
    <n v="0"/>
    <n v="68520"/>
  </r>
  <r>
    <x v="15"/>
    <s v="05148-9"/>
    <s v="Farum Svømmehal, Park 20"/>
    <n v="5451"/>
    <m/>
    <s v="Bimåler saunaer"/>
    <x v="122"/>
    <x v="1"/>
    <x v="7"/>
    <n v="159.6"/>
    <n v="12"/>
    <s v="2015-05-04"/>
    <n v="0"/>
    <n v="0"/>
    <n v="1596"/>
    <n v="2"/>
    <x v="2"/>
    <x v="1818"/>
    <n v="74.849999999999994"/>
    <n v="1"/>
    <s v="Drenge sauna"/>
    <m/>
    <n v="159.6"/>
    <n v="0"/>
    <n v="68519"/>
  </r>
  <r>
    <x v="15"/>
    <s v="05148-9"/>
    <s v="Farum Svømmehal, Park 20"/>
    <n v="6339"/>
    <m/>
    <s v="Bimåler tribune"/>
    <x v="122"/>
    <x v="1"/>
    <x v="7"/>
    <n v="1330"/>
    <n v="12"/>
    <s v="2015-05-04"/>
    <n v="0"/>
    <n v="0"/>
    <n v="13300"/>
    <n v="2"/>
    <x v="2"/>
    <x v="3636"/>
    <n v="532"/>
    <n v="1"/>
    <s v="Tribune"/>
    <m/>
    <n v="1330"/>
    <n v="0"/>
    <n v="62513"/>
  </r>
  <r>
    <x v="15"/>
    <s v="05148-9"/>
    <s v="Farum Svømmehal, Park 20"/>
    <n v="5449"/>
    <m/>
    <s v="Farum Svømmehal,Farum Park 20 st. th."/>
    <x v="122"/>
    <x v="1"/>
    <x v="7"/>
    <n v="1213816.1299999999"/>
    <n v="12"/>
    <s v="2005-07-01"/>
    <n v="0"/>
    <n v="7709"/>
    <n v="157.45237800000001"/>
    <n v="1"/>
    <x v="3"/>
    <x v="3637"/>
    <n v="3202226.15"/>
    <n v="1"/>
    <s v="01/4081529"/>
    <m/>
    <n v="34789.800000000003"/>
    <n v="57534"/>
    <n v="57554"/>
  </r>
  <r>
    <x v="15"/>
    <s v="05148-9"/>
    <s v="Farum Svømmehal, Park 20"/>
    <n v="5454"/>
    <m/>
    <s v="Cafe"/>
    <x v="122"/>
    <x v="1"/>
    <x v="7"/>
    <n v="20886.98"/>
    <n v="12"/>
    <s v="2015-05-04"/>
    <n v="0"/>
    <n v="50"/>
    <n v="416.90578799999997"/>
    <n v="2"/>
    <x v="2"/>
    <x v="3638"/>
    <n v="8354.7900000000009"/>
    <n v="1"/>
    <s v="3184256"/>
    <m/>
    <n v="20886.96875"/>
    <n v="0"/>
    <n v="57747"/>
  </r>
  <r>
    <x v="15"/>
    <s v="05148-9"/>
    <s v="Farum Svømmehal, Park 20"/>
    <n v="5454"/>
    <m/>
    <s v="Cafe"/>
    <x v="122"/>
    <x v="1"/>
    <x v="7"/>
    <n v="1095.75"/>
    <n v="12"/>
    <s v="2015-05-04"/>
    <n v="0"/>
    <n v="50"/>
    <n v="21.871257"/>
    <n v="2"/>
    <x v="2"/>
    <x v="3639"/>
    <n v="438.29"/>
    <n v="1"/>
    <s v="138873"/>
    <m/>
    <n v="1095.7570599999999"/>
    <n v="0"/>
    <n v="57748"/>
  </r>
  <r>
    <x v="15"/>
    <s v="05148-9"/>
    <s v="Farum Svømmehal, Park 20"/>
    <n v="5453"/>
    <m/>
    <s v="Swim-mix"/>
    <x v="122"/>
    <x v="1"/>
    <x v="7"/>
    <n v="29218.67"/>
    <n v="12"/>
    <s v="2015-05-04"/>
    <n v="0"/>
    <n v="610"/>
    <n v="47.891607"/>
    <n v="2"/>
    <x v="2"/>
    <x v="3640"/>
    <n v="11687.46"/>
    <n v="1"/>
    <s v="swimmix"/>
    <m/>
    <n v="29218.66835"/>
    <n v="0"/>
    <n v="57556"/>
  </r>
  <r>
    <x v="15"/>
    <s v="05148-9"/>
    <s v="Farum Svømmehal, Park 20"/>
    <n v="5450"/>
    <m/>
    <s v="Bimåler Varme"/>
    <x v="122"/>
    <x v="1"/>
    <x v="0"/>
    <n v="33889.5"/>
    <n v="5"/>
    <s v="2015-05-04"/>
    <n v="0"/>
    <n v="0"/>
    <n v="338895"/>
    <n v="1"/>
    <x v="1"/>
    <x v="3641"/>
    <n v="6269557.5"/>
    <n v="1"/>
    <s v="01/4087186 VE11"/>
    <m/>
    <n v="33889.500010000003"/>
    <n v="0"/>
    <n v="57561"/>
  </r>
  <r>
    <x v="15"/>
    <s v="05148-9"/>
    <s v="Farum Svømmehal, Park 20"/>
    <n v="5450"/>
    <m/>
    <s v="Bimåler Varme"/>
    <x v="122"/>
    <x v="1"/>
    <x v="0"/>
    <n v="99942.5"/>
    <n v="5"/>
    <s v="2015-05-04"/>
    <n v="0"/>
    <n v="0"/>
    <n v="999425"/>
    <n v="1"/>
    <x v="1"/>
    <x v="3642"/>
    <n v="18489362.5"/>
    <n v="1"/>
    <s v="859209 VBV"/>
    <m/>
    <n v="99942.5"/>
    <n v="0"/>
    <n v="57630"/>
  </r>
  <r>
    <x v="15"/>
    <s v="05148-9"/>
    <s v="Farum Svømmehal, Park 20"/>
    <n v="5450"/>
    <m/>
    <s v="Bimåler Varme"/>
    <x v="122"/>
    <x v="1"/>
    <x v="0"/>
    <n v="266461.24"/>
    <n v="5"/>
    <s v="2015-05-04"/>
    <n v="0"/>
    <n v="0"/>
    <n v="2664612.4"/>
    <n v="1"/>
    <x v="1"/>
    <x v="3643"/>
    <n v="49295329.399999999"/>
    <n v="1"/>
    <s v="859208 VE 1&amp;2"/>
    <m/>
    <n v="266461.25"/>
    <n v="0"/>
    <n v="57632"/>
  </r>
  <r>
    <x v="15"/>
    <s v="05148-9"/>
    <s v="Farum Svømmehal, Park 20"/>
    <n v="5450"/>
    <m/>
    <s v="Bimåler Varme"/>
    <x v="122"/>
    <x v="1"/>
    <x v="0"/>
    <n v="1387.76"/>
    <n v="5"/>
    <s v="2015-05-04"/>
    <n v="0"/>
    <n v="0"/>
    <n v="13877.6"/>
    <n v="1"/>
    <x v="1"/>
    <x v="3644"/>
    <n v="256735.6"/>
    <n v="1"/>
    <s v="4169399 VE08"/>
    <m/>
    <n v="1387.75"/>
    <n v="0"/>
    <n v="57638"/>
  </r>
  <r>
    <x v="15"/>
    <s v="05148-9"/>
    <s v="Farum Svømmehal, Park 20"/>
    <n v="5450"/>
    <m/>
    <s v="Bimåler Varme"/>
    <x v="122"/>
    <x v="1"/>
    <x v="0"/>
    <n v="57359.48"/>
    <n v="5"/>
    <s v="2015-05-04"/>
    <n v="0"/>
    <n v="0"/>
    <n v="573594.80000000005"/>
    <n v="1"/>
    <x v="1"/>
    <x v="3645"/>
    <n v="10611503.800000001"/>
    <n v="1"/>
    <s v="01/4087189 VVB"/>
    <m/>
    <n v="57359.468739999997"/>
    <n v="0"/>
    <n v="57557"/>
  </r>
  <r>
    <x v="15"/>
    <s v="05148-9"/>
    <s v="Farum Svømmehal, Park 20"/>
    <n v="5450"/>
    <m/>
    <s v="Bimåler Varme"/>
    <x v="122"/>
    <x v="1"/>
    <x v="0"/>
    <n v="1027.5"/>
    <n v="5"/>
    <s v="2015-05-04"/>
    <n v="0"/>
    <n v="0"/>
    <n v="10275"/>
    <n v="1"/>
    <x v="1"/>
    <x v="3646"/>
    <n v="190087.5"/>
    <n v="1"/>
    <s v="01/4087190 TB"/>
    <m/>
    <n v="1027.50001"/>
    <n v="0"/>
    <n v="57559"/>
  </r>
  <r>
    <x v="15"/>
    <s v="05148-9"/>
    <s v="Farum Svømmehal, Park 20"/>
    <n v="5450"/>
    <m/>
    <s v="Bimåler Varme"/>
    <x v="122"/>
    <x v="1"/>
    <x v="0"/>
    <n v="54257.47"/>
    <n v="5"/>
    <s v="2015-05-04"/>
    <n v="0"/>
    <n v="0"/>
    <n v="542574.69999999995"/>
    <n v="1"/>
    <x v="1"/>
    <x v="3647"/>
    <n v="10037631.949999999"/>
    <n v="1"/>
    <s v="01/4087187 VE12"/>
    <m/>
    <n v="54257.46875"/>
    <n v="0"/>
    <n v="57626"/>
  </r>
  <r>
    <x v="15"/>
    <s v="05148-9"/>
    <s v="Farum Svømmehal, Park 20"/>
    <n v="5450"/>
    <m/>
    <s v="Bimåler Varme"/>
    <x v="122"/>
    <x v="1"/>
    <x v="0"/>
    <n v="7248.6"/>
    <n v="5"/>
    <s v="2015-05-04"/>
    <n v="0"/>
    <n v="0"/>
    <n v="72486"/>
    <n v="1"/>
    <x v="1"/>
    <x v="3648"/>
    <n v="1340991"/>
    <n v="1"/>
    <s v="01/4087188 RA 01"/>
    <m/>
    <n v="7248.5937599999997"/>
    <n v="0"/>
    <n v="57628"/>
  </r>
  <r>
    <x v="15"/>
    <s v="05148-9"/>
    <s v="Farum Svømmehal, Park 20"/>
    <n v="5450"/>
    <m/>
    <s v="Bimåler Varme"/>
    <x v="122"/>
    <x v="1"/>
    <x v="0"/>
    <n v="24751.91"/>
    <n v="5"/>
    <s v="2015-05-04"/>
    <n v="0"/>
    <n v="0"/>
    <n v="247519.1"/>
    <n v="1"/>
    <x v="1"/>
    <x v="3649"/>
    <n v="4579103.3499999996"/>
    <n v="1"/>
    <s v="4169401 RA10"/>
    <m/>
    <n v="24751.90624"/>
    <n v="0"/>
    <n v="57634"/>
  </r>
  <r>
    <x v="15"/>
    <s v="05148-9"/>
    <s v="Farum Svømmehal, Park 20"/>
    <n v="5450"/>
    <m/>
    <s v="Bimåler Varme"/>
    <x v="122"/>
    <x v="1"/>
    <x v="0"/>
    <n v="5041.21"/>
    <n v="5"/>
    <s v="2015-05-04"/>
    <n v="0"/>
    <n v="0"/>
    <n v="50412.1"/>
    <n v="1"/>
    <x v="1"/>
    <x v="3650"/>
    <n v="932623.85"/>
    <n v="1"/>
    <s v="4169400 VE09"/>
    <m/>
    <n v="5041.2187599999997"/>
    <n v="0"/>
    <n v="57636"/>
  </r>
  <r>
    <x v="15"/>
    <s v="05148-9"/>
    <s v="Farum Svømmehal, Park 20"/>
    <n v="5450"/>
    <m/>
    <s v="Bimåler Varme"/>
    <x v="122"/>
    <x v="1"/>
    <x v="1"/>
    <n v="158122.99"/>
    <n v="11"/>
    <s v="2015-05-04"/>
    <n v="0"/>
    <n v="0"/>
    <n v="1581229.9"/>
    <n v="1"/>
    <x v="1"/>
    <x v="3651"/>
    <n v="29252.77"/>
    <n v="1"/>
    <s v="01/4087189 VVB"/>
    <m/>
    <n v="158122.98143000001"/>
    <n v="0"/>
    <n v="57557"/>
  </r>
  <r>
    <x v="15"/>
    <s v="05148-9"/>
    <s v="Farum Svømmehal, Park 20"/>
    <n v="5450"/>
    <m/>
    <s v="Bimåler Varme"/>
    <x v="122"/>
    <x v="1"/>
    <x v="1"/>
    <n v="127572.59"/>
    <n v="11"/>
    <s v="2015-05-04"/>
    <n v="0"/>
    <n v="0"/>
    <n v="1275725.8999999999"/>
    <n v="1"/>
    <x v="1"/>
    <x v="3652"/>
    <n v="23600.94"/>
    <n v="1"/>
    <s v="01/4087187 VE12"/>
    <m/>
    <n v="127572.58357"/>
    <n v="0"/>
    <n v="57626"/>
  </r>
  <r>
    <x v="15"/>
    <s v="05148-9"/>
    <s v="Farum Svømmehal, Park 20"/>
    <n v="5450"/>
    <m/>
    <s v="Bimåler Varme"/>
    <x v="122"/>
    <x v="1"/>
    <x v="1"/>
    <n v="459253.1"/>
    <n v="11"/>
    <s v="2015-05-04"/>
    <n v="0"/>
    <n v="0"/>
    <n v="4592531"/>
    <n v="1"/>
    <x v="1"/>
    <x v="3653"/>
    <n v="84961.81"/>
    <n v="1"/>
    <s v="859208 VE 1&amp;2"/>
    <m/>
    <n v="459253.09872000001"/>
    <n v="0"/>
    <n v="57632"/>
  </r>
  <r>
    <x v="15"/>
    <s v="05148-9"/>
    <s v="Farum Svømmehal, Park 20"/>
    <n v="5450"/>
    <m/>
    <s v="Bimåler Varme"/>
    <x v="122"/>
    <x v="1"/>
    <x v="1"/>
    <n v="41258.22"/>
    <n v="11"/>
    <s v="2015-05-04"/>
    <n v="0"/>
    <n v="0"/>
    <n v="412582.2"/>
    <n v="1"/>
    <x v="1"/>
    <x v="3654"/>
    <n v="7632.78"/>
    <n v="1"/>
    <s v="4169401 RA10"/>
    <m/>
    <n v="41258.215040000003"/>
    <n v="0"/>
    <n v="57634"/>
  </r>
  <r>
    <x v="15"/>
    <s v="05148-9"/>
    <s v="Farum Svømmehal, Park 20"/>
    <n v="5450"/>
    <m/>
    <s v="Bimåler Varme"/>
    <x v="122"/>
    <x v="1"/>
    <x v="1"/>
    <n v="5634.87"/>
    <n v="11"/>
    <s v="2015-05-04"/>
    <n v="0"/>
    <n v="0"/>
    <n v="56348.7"/>
    <n v="1"/>
    <x v="1"/>
    <x v="3655"/>
    <n v="1042.46"/>
    <n v="1"/>
    <s v="01/4087190 TB"/>
    <m/>
    <n v="5634.8778199999997"/>
    <n v="0"/>
    <n v="57559"/>
  </r>
  <r>
    <x v="15"/>
    <s v="05148-9"/>
    <s v="Farum Svømmehal, Park 20"/>
    <n v="5450"/>
    <m/>
    <s v="Bimåler Varme"/>
    <x v="122"/>
    <x v="1"/>
    <x v="1"/>
    <n v="116409.13"/>
    <n v="11"/>
    <s v="2015-05-04"/>
    <n v="0"/>
    <n v="0"/>
    <n v="1164091.3"/>
    <n v="1"/>
    <x v="1"/>
    <x v="3656"/>
    <n v="21535.69"/>
    <n v="1"/>
    <s v="01/4087186 VE11"/>
    <m/>
    <n v="116409.11242"/>
    <n v="0"/>
    <n v="57561"/>
  </r>
  <r>
    <x v="15"/>
    <s v="05148-9"/>
    <s v="Farum Svømmehal, Park 20"/>
    <n v="5450"/>
    <m/>
    <s v="Bimåler Varme"/>
    <x v="122"/>
    <x v="1"/>
    <x v="1"/>
    <n v="14669.97"/>
    <n v="11"/>
    <s v="2015-05-04"/>
    <n v="0"/>
    <n v="0"/>
    <n v="146699.70000000001"/>
    <n v="1"/>
    <x v="1"/>
    <x v="3657"/>
    <n v="2713.93"/>
    <n v="1"/>
    <s v="01/4087188 RA 01"/>
    <m/>
    <n v="14669.968720000001"/>
    <n v="0"/>
    <n v="57628"/>
  </r>
  <r>
    <x v="15"/>
    <s v="05148-9"/>
    <s v="Farum Svømmehal, Park 20"/>
    <n v="5450"/>
    <m/>
    <s v="Bimåler Varme"/>
    <x v="122"/>
    <x v="1"/>
    <x v="1"/>
    <n v="270402.53999999998"/>
    <n v="11"/>
    <s v="2015-05-04"/>
    <n v="0"/>
    <n v="0"/>
    <n v="2704025.4"/>
    <n v="1"/>
    <x v="1"/>
    <x v="3658"/>
    <n v="50024.47"/>
    <n v="1"/>
    <s v="859209 VBV"/>
    <m/>
    <n v="270402.54155999998"/>
    <n v="0"/>
    <n v="57630"/>
  </r>
  <r>
    <x v="15"/>
    <s v="05148-9"/>
    <s v="Farum Svømmehal, Park 20"/>
    <n v="5450"/>
    <m/>
    <s v="Bimåler Varme"/>
    <x v="122"/>
    <x v="1"/>
    <x v="1"/>
    <n v="9304.01"/>
    <n v="11"/>
    <s v="2015-05-04"/>
    <n v="0"/>
    <n v="0"/>
    <n v="93040.1"/>
    <n v="1"/>
    <x v="1"/>
    <x v="3659"/>
    <n v="1721.24"/>
    <n v="1"/>
    <s v="4169400 VE09"/>
    <m/>
    <n v="9304.0107499999995"/>
    <n v="0"/>
    <n v="57636"/>
  </r>
  <r>
    <x v="15"/>
    <s v="05148-9"/>
    <s v="Farum Svømmehal, Park 20"/>
    <n v="5450"/>
    <m/>
    <s v="Bimåler Varme"/>
    <x v="122"/>
    <x v="1"/>
    <x v="1"/>
    <n v="11693.17"/>
    <n v="11"/>
    <s v="2015-05-04"/>
    <n v="0"/>
    <n v="0"/>
    <n v="116931.7"/>
    <n v="1"/>
    <x v="1"/>
    <x v="3660"/>
    <n v="2163.23"/>
    <n v="1"/>
    <s v="4169399 VE08"/>
    <m/>
    <n v="11693.17203"/>
    <n v="0"/>
    <n v="57638"/>
  </r>
  <r>
    <x v="15"/>
    <s v="05148-9"/>
    <s v="Farum Svømmehal, Park 20"/>
    <n v="5450"/>
    <m/>
    <s v="Bimåler Varme"/>
    <x v="122"/>
    <x v="1"/>
    <x v="2"/>
    <n v="166100.92000000001"/>
    <n v="13"/>
    <s v="2015-05-04"/>
    <n v="0"/>
    <n v="0"/>
    <n v="1661009.2"/>
    <n v="1"/>
    <x v="1"/>
    <x v="3661"/>
    <n v="30728.66"/>
    <n v="1"/>
    <s v="01/4087189 VVB"/>
    <m/>
    <n v="166100.90908000001"/>
    <n v="0"/>
    <n v="57557"/>
  </r>
  <r>
    <x v="15"/>
    <s v="05148-9"/>
    <s v="Farum Svømmehal, Park 20"/>
    <n v="5450"/>
    <m/>
    <s v="Bimåler Varme"/>
    <x v="122"/>
    <x v="1"/>
    <x v="2"/>
    <n v="17292.43"/>
    <n v="13"/>
    <s v="2015-05-04"/>
    <n v="0"/>
    <n v="0"/>
    <n v="172924.3"/>
    <n v="1"/>
    <x v="1"/>
    <x v="3662"/>
    <n v="3199.1"/>
    <n v="1"/>
    <s v="01/4087190 TB"/>
    <m/>
    <n v="17292.42424"/>
    <n v="0"/>
    <n v="57559"/>
  </r>
  <r>
    <x v="15"/>
    <s v="05148-9"/>
    <s v="Farum Svømmehal, Park 20"/>
    <n v="5450"/>
    <m/>
    <s v="Bimåler Varme"/>
    <x v="122"/>
    <x v="1"/>
    <x v="2"/>
    <n v="116777.99"/>
    <n v="13"/>
    <s v="2015-05-04"/>
    <n v="0"/>
    <n v="0"/>
    <n v="1167779.8999999999"/>
    <n v="1"/>
    <x v="1"/>
    <x v="3663"/>
    <n v="21603.91"/>
    <n v="1"/>
    <s v="01/4087187 VE12"/>
    <m/>
    <n v="116777.99999"/>
    <n v="0"/>
    <n v="57626"/>
  </r>
  <r>
    <x v="15"/>
    <s v="05148-9"/>
    <s v="Farum Svømmehal, Park 20"/>
    <n v="5450"/>
    <m/>
    <s v="Bimåler Varme"/>
    <x v="122"/>
    <x v="1"/>
    <x v="2"/>
    <n v="14851.93"/>
    <n v="13"/>
    <s v="2015-05-04"/>
    <n v="0"/>
    <n v="0"/>
    <n v="148519.29999999999"/>
    <n v="1"/>
    <x v="1"/>
    <x v="3664"/>
    <n v="2747.61"/>
    <n v="1"/>
    <s v="01/4087188 RA 01"/>
    <m/>
    <n v="14851.93939"/>
    <n v="0"/>
    <n v="57628"/>
  </r>
  <r>
    <x v="15"/>
    <s v="05148-9"/>
    <s v="Farum Svømmehal, Park 20"/>
    <n v="5450"/>
    <m/>
    <s v="Bimåler Varme"/>
    <x v="122"/>
    <x v="1"/>
    <x v="2"/>
    <n v="39845.480000000003"/>
    <n v="13"/>
    <s v="2015-05-04"/>
    <n v="0"/>
    <n v="0"/>
    <n v="398454.8"/>
    <n v="1"/>
    <x v="1"/>
    <x v="3665"/>
    <n v="7371.4"/>
    <n v="1"/>
    <s v="4169401 RA10"/>
    <m/>
    <n v="39845.484850000001"/>
    <n v="0"/>
    <n v="57634"/>
  </r>
  <r>
    <x v="15"/>
    <s v="05148-9"/>
    <s v="Farum Svømmehal, Park 20"/>
    <n v="5450"/>
    <m/>
    <s v="Bimåler Varme"/>
    <x v="122"/>
    <x v="1"/>
    <x v="2"/>
    <n v="6226.97"/>
    <n v="13"/>
    <s v="2015-05-04"/>
    <n v="0"/>
    <n v="0"/>
    <n v="62269.7"/>
    <n v="1"/>
    <x v="1"/>
    <x v="3666"/>
    <n v="1151.98"/>
    <n v="1"/>
    <s v="4169400 VE09"/>
    <m/>
    <n v="6226.9696999999996"/>
    <n v="0"/>
    <n v="57636"/>
  </r>
  <r>
    <x v="15"/>
    <s v="05148-9"/>
    <s v="Farum Svømmehal, Park 20"/>
    <n v="5450"/>
    <m/>
    <s v="Bimåler Varme"/>
    <x v="122"/>
    <x v="1"/>
    <x v="2"/>
    <n v="119114.66"/>
    <n v="13"/>
    <s v="2015-05-04"/>
    <n v="0"/>
    <n v="0"/>
    <n v="1191146.6000000001"/>
    <n v="1"/>
    <x v="1"/>
    <x v="3667"/>
    <n v="22036.22"/>
    <n v="1"/>
    <s v="01/4087186 VE11"/>
    <m/>
    <n v="119114.66665"/>
    <n v="0"/>
    <n v="57561"/>
  </r>
  <r>
    <x v="15"/>
    <s v="05148-9"/>
    <s v="Farum Svømmehal, Park 20"/>
    <n v="5450"/>
    <m/>
    <s v="Bimåler Varme"/>
    <x v="122"/>
    <x v="1"/>
    <x v="2"/>
    <n v="271053.03000000003"/>
    <n v="13"/>
    <s v="2015-05-04"/>
    <n v="0"/>
    <n v="0"/>
    <n v="2710530.3"/>
    <n v="1"/>
    <x v="1"/>
    <x v="3668"/>
    <n v="50144.81"/>
    <n v="1"/>
    <s v="859209 VBV"/>
    <m/>
    <n v="271053.03029999998"/>
    <n v="0"/>
    <n v="57630"/>
  </r>
  <r>
    <x v="15"/>
    <s v="05148-9"/>
    <s v="Farum Svømmehal, Park 20"/>
    <n v="5450"/>
    <m/>
    <s v="Bimåler Varme"/>
    <x v="122"/>
    <x v="1"/>
    <x v="2"/>
    <n v="389674.23999999999"/>
    <n v="13"/>
    <s v="2015-05-04"/>
    <n v="0"/>
    <n v="0"/>
    <n v="3896742.4"/>
    <n v="1"/>
    <x v="1"/>
    <x v="3669"/>
    <n v="72089.73"/>
    <n v="1"/>
    <s v="859208 VE 1&amp;2"/>
    <m/>
    <n v="389674.24242000002"/>
    <n v="0"/>
    <n v="57632"/>
  </r>
  <r>
    <x v="15"/>
    <s v="05148-9"/>
    <s v="Farum Svømmehal, Park 20"/>
    <n v="5450"/>
    <m/>
    <s v="Bimåler Varme"/>
    <x v="122"/>
    <x v="1"/>
    <x v="2"/>
    <n v="10780.33"/>
    <n v="13"/>
    <s v="2015-05-04"/>
    <n v="0"/>
    <n v="0"/>
    <n v="107803.3"/>
    <n v="1"/>
    <x v="1"/>
    <x v="3670"/>
    <n v="1994.35"/>
    <n v="1"/>
    <s v="4169399 VE08"/>
    <m/>
    <n v="10780.333339999999"/>
    <n v="0"/>
    <n v="57638"/>
  </r>
  <r>
    <x v="15"/>
    <s v="05148-9"/>
    <s v="Farum Svømmehal, Park 20"/>
    <n v="5450"/>
    <m/>
    <s v="Bimåler Varme"/>
    <x v="122"/>
    <x v="1"/>
    <x v="3"/>
    <n v="143361.88"/>
    <n v="12"/>
    <s v="2015-05-04"/>
    <n v="0"/>
    <n v="0"/>
    <n v="1433618.8"/>
    <n v="1"/>
    <x v="1"/>
    <x v="3671"/>
    <n v="26521.95"/>
    <n v="1"/>
    <s v="01/4087189 VVB"/>
    <m/>
    <n v="143361.87878999999"/>
    <n v="0"/>
    <n v="57557"/>
  </r>
  <r>
    <x v="15"/>
    <s v="05148-9"/>
    <s v="Farum Svømmehal, Park 20"/>
    <n v="5450"/>
    <m/>
    <s v="Bimåler Varme"/>
    <x v="122"/>
    <x v="1"/>
    <x v="3"/>
    <n v="8430.6"/>
    <n v="12"/>
    <s v="2015-05-04"/>
    <n v="0"/>
    <n v="0"/>
    <n v="84306"/>
    <n v="1"/>
    <x v="1"/>
    <x v="3672"/>
    <n v="1559.67"/>
    <n v="1"/>
    <s v="01/4087190 TB"/>
    <m/>
    <n v="8430.6060799999996"/>
    <n v="0"/>
    <n v="57559"/>
  </r>
  <r>
    <x v="15"/>
    <s v="05148-9"/>
    <s v="Farum Svømmehal, Park 20"/>
    <n v="5450"/>
    <m/>
    <s v="Bimåler Varme"/>
    <x v="122"/>
    <x v="1"/>
    <x v="3"/>
    <n v="121794.79"/>
    <n v="12"/>
    <s v="2015-05-04"/>
    <n v="0"/>
    <n v="0"/>
    <n v="1217947.8999999999"/>
    <n v="1"/>
    <x v="1"/>
    <x v="3673"/>
    <n v="22532.05"/>
    <n v="1"/>
    <s v="01/4087187 VE12"/>
    <m/>
    <n v="121794.78789000001"/>
    <n v="0"/>
    <n v="57626"/>
  </r>
  <r>
    <x v="15"/>
    <s v="05148-9"/>
    <s v="Farum Svømmehal, Park 20"/>
    <n v="5450"/>
    <m/>
    <s v="Bimåler Varme"/>
    <x v="122"/>
    <x v="1"/>
    <x v="3"/>
    <n v="10064.43"/>
    <n v="12"/>
    <s v="2015-05-04"/>
    <n v="0"/>
    <n v="0"/>
    <n v="100644.3"/>
    <n v="1"/>
    <x v="1"/>
    <x v="3674"/>
    <n v="1861.93"/>
    <n v="1"/>
    <s v="01/4087188 RA 01"/>
    <m/>
    <n v="10064.42425"/>
    <n v="0"/>
    <n v="57628"/>
  </r>
  <r>
    <x v="15"/>
    <s v="05148-9"/>
    <s v="Farum Svømmehal, Park 20"/>
    <n v="5450"/>
    <m/>
    <s v="Bimåler Varme"/>
    <x v="122"/>
    <x v="1"/>
    <x v="3"/>
    <n v="39577.86"/>
    <n v="12"/>
    <s v="2015-05-04"/>
    <n v="0"/>
    <n v="0"/>
    <n v="395778.6"/>
    <n v="1"/>
    <x v="1"/>
    <x v="3675"/>
    <n v="7321.91"/>
    <n v="1"/>
    <s v="4169401 RA10"/>
    <m/>
    <n v="39577.848489999997"/>
    <n v="0"/>
    <n v="57634"/>
  </r>
  <r>
    <x v="15"/>
    <s v="05148-9"/>
    <s v="Farum Svømmehal, Park 20"/>
    <n v="5450"/>
    <m/>
    <s v="Bimåler Varme"/>
    <x v="122"/>
    <x v="1"/>
    <x v="3"/>
    <n v="1376.44"/>
    <n v="12"/>
    <s v="2015-05-04"/>
    <n v="0"/>
    <n v="0"/>
    <n v="13764.4"/>
    <n v="1"/>
    <x v="1"/>
    <x v="3676"/>
    <n v="254.65"/>
    <n v="1"/>
    <s v="4169400 VE09"/>
    <m/>
    <n v="1376.45454"/>
    <n v="0"/>
    <n v="57636"/>
  </r>
  <r>
    <x v="15"/>
    <s v="05148-9"/>
    <s v="Farum Svømmehal, Park 20"/>
    <n v="5450"/>
    <m/>
    <s v="Bimåler Varme"/>
    <x v="122"/>
    <x v="1"/>
    <x v="3"/>
    <n v="120547.45"/>
    <n v="12"/>
    <s v="2015-05-04"/>
    <n v="0"/>
    <n v="0"/>
    <n v="1205474.5"/>
    <n v="1"/>
    <x v="1"/>
    <x v="3677"/>
    <n v="22301.27"/>
    <n v="1"/>
    <s v="01/4087186 VE11"/>
    <m/>
    <n v="120547.45456"/>
    <n v="0"/>
    <n v="57561"/>
  </r>
  <r>
    <x v="15"/>
    <s v="05148-9"/>
    <s v="Farum Svømmehal, Park 20"/>
    <n v="5450"/>
    <m/>
    <s v="Bimåler Varme"/>
    <x v="122"/>
    <x v="1"/>
    <x v="3"/>
    <n v="216851.22"/>
    <n v="12"/>
    <s v="2015-05-04"/>
    <n v="0"/>
    <n v="0"/>
    <n v="2168512.2000000002"/>
    <n v="1"/>
    <x v="1"/>
    <x v="3678"/>
    <n v="40117.49"/>
    <n v="1"/>
    <s v="859209 VBV"/>
    <m/>
    <n v="216851.21212000001"/>
    <n v="0"/>
    <n v="57630"/>
  </r>
  <r>
    <x v="15"/>
    <s v="05148-9"/>
    <s v="Farum Svømmehal, Park 20"/>
    <n v="5450"/>
    <m/>
    <s v="Bimåler Varme"/>
    <x v="122"/>
    <x v="1"/>
    <x v="3"/>
    <n v="338765.76"/>
    <n v="12"/>
    <s v="2015-05-04"/>
    <n v="0"/>
    <n v="0"/>
    <n v="3387657.6"/>
    <n v="1"/>
    <x v="1"/>
    <x v="3679"/>
    <n v="62671.66"/>
    <n v="1"/>
    <s v="859208 VE 1&amp;2"/>
    <m/>
    <n v="338765.75757999998"/>
    <n v="0"/>
    <n v="57632"/>
  </r>
  <r>
    <x v="15"/>
    <s v="05148-9"/>
    <s v="Farum Svømmehal, Park 20"/>
    <n v="5450"/>
    <m/>
    <s v="Bimåler Varme"/>
    <x v="122"/>
    <x v="1"/>
    <x v="3"/>
    <n v="713.27"/>
    <n v="12"/>
    <s v="2015-05-04"/>
    <n v="0"/>
    <n v="0"/>
    <n v="7132.7"/>
    <n v="1"/>
    <x v="1"/>
    <x v="3680"/>
    <n v="131.97"/>
    <n v="1"/>
    <s v="4169399 VE08"/>
    <m/>
    <n v="713.27274"/>
    <n v="0"/>
    <n v="57638"/>
  </r>
  <r>
    <x v="15"/>
    <s v="05148-9"/>
    <s v="Farum Svømmehal, Park 20"/>
    <n v="5450"/>
    <m/>
    <s v="Bimåler Varme"/>
    <x v="122"/>
    <x v="1"/>
    <x v="4"/>
    <n v="10769.94"/>
    <n v="12"/>
    <s v="2015-05-04"/>
    <n v="0"/>
    <n v="0"/>
    <n v="107699.4"/>
    <n v="1"/>
    <x v="1"/>
    <x v="3681"/>
    <n v="1992.41"/>
    <n v="1"/>
    <s v="01/4087190 TB"/>
    <m/>
    <n v="10769.928690000001"/>
    <n v="0"/>
    <n v="57559"/>
  </r>
  <r>
    <x v="15"/>
    <s v="05148-9"/>
    <s v="Farum Svømmehal, Park 20"/>
    <n v="5450"/>
    <m/>
    <s v="Bimåler Varme"/>
    <x v="122"/>
    <x v="1"/>
    <x v="4"/>
    <n v="133525.03"/>
    <n v="12"/>
    <s v="2015-05-04"/>
    <n v="0"/>
    <n v="0"/>
    <n v="1335250.3"/>
    <n v="1"/>
    <x v="1"/>
    <x v="3682"/>
    <n v="24702.13"/>
    <n v="1"/>
    <s v="01/4087186 VE11"/>
    <m/>
    <n v="133525.03296000001"/>
    <n v="0"/>
    <n v="57561"/>
  </r>
  <r>
    <x v="15"/>
    <s v="05148-9"/>
    <s v="Farum Svømmehal, Park 20"/>
    <n v="5450"/>
    <m/>
    <s v="Bimåler Varme"/>
    <x v="122"/>
    <x v="1"/>
    <x v="4"/>
    <n v="10618.31"/>
    <n v="12"/>
    <s v="2015-05-04"/>
    <n v="0"/>
    <n v="0"/>
    <n v="106183.1"/>
    <n v="1"/>
    <x v="1"/>
    <x v="3683"/>
    <n v="1964.4"/>
    <n v="1"/>
    <s v="01/4087188 RA 01"/>
    <m/>
    <n v="10618.298559999999"/>
    <n v="0"/>
    <n v="57628"/>
  </r>
  <r>
    <x v="15"/>
    <s v="05148-9"/>
    <s v="Farum Svømmehal, Park 20"/>
    <n v="5450"/>
    <m/>
    <s v="Bimåler Varme"/>
    <x v="122"/>
    <x v="1"/>
    <x v="4"/>
    <n v="180137.22"/>
    <n v="12"/>
    <s v="2015-05-04"/>
    <n v="0"/>
    <n v="0"/>
    <n v="1801372.2"/>
    <n v="1"/>
    <x v="1"/>
    <x v="3684"/>
    <n v="33325.39"/>
    <n v="1"/>
    <s v="859209 VBV"/>
    <m/>
    <n v="180137.21033"/>
    <n v="0"/>
    <n v="57630"/>
  </r>
  <r>
    <x v="15"/>
    <s v="05148-9"/>
    <s v="Farum Svømmehal, Park 20"/>
    <n v="5450"/>
    <m/>
    <s v="Bimåler Varme"/>
    <x v="122"/>
    <x v="1"/>
    <x v="4"/>
    <n v="3770.35"/>
    <n v="10"/>
    <s v="2015-05-04"/>
    <n v="0"/>
    <n v="0"/>
    <n v="37703.5"/>
    <n v="1"/>
    <x v="1"/>
    <x v="3685"/>
    <n v="697.52"/>
    <n v="1"/>
    <s v="4169400 VE09"/>
    <m/>
    <n v="3770.3600799999999"/>
    <n v="0"/>
    <n v="57636"/>
  </r>
  <r>
    <x v="15"/>
    <s v="05148-9"/>
    <s v="Farum Svømmehal, Park 20"/>
    <n v="5450"/>
    <m/>
    <s v="Bimåler Varme"/>
    <x v="122"/>
    <x v="1"/>
    <x v="4"/>
    <n v="3534.18"/>
    <n v="11"/>
    <s v="2015-05-04"/>
    <n v="0"/>
    <n v="0"/>
    <n v="35341.800000000003"/>
    <n v="1"/>
    <x v="1"/>
    <x v="3686"/>
    <n v="653.83000000000004"/>
    <n v="1"/>
    <s v="4169399 VE08"/>
    <m/>
    <n v="3534.1782699999999"/>
    <n v="0"/>
    <n v="57638"/>
  </r>
  <r>
    <x v="15"/>
    <s v="05148-9"/>
    <s v="Farum Svømmehal, Park 20"/>
    <n v="5450"/>
    <m/>
    <s v="Bimåler Varme"/>
    <x v="122"/>
    <x v="1"/>
    <x v="4"/>
    <n v="129715.67"/>
    <n v="12"/>
    <s v="2015-05-04"/>
    <n v="0"/>
    <n v="0"/>
    <n v="1297156.7"/>
    <n v="1"/>
    <x v="1"/>
    <x v="3687"/>
    <n v="23997.38"/>
    <n v="1"/>
    <s v="01/4087189 VVB"/>
    <m/>
    <n v="129715.65951"/>
    <n v="0"/>
    <n v="57557"/>
  </r>
  <r>
    <x v="15"/>
    <s v="05148-9"/>
    <s v="Farum Svømmehal, Park 20"/>
    <n v="5450"/>
    <m/>
    <s v="Bimåler Varme"/>
    <x v="122"/>
    <x v="1"/>
    <x v="4"/>
    <n v="94554.71"/>
    <n v="12"/>
    <s v="2015-05-04"/>
    <n v="0"/>
    <n v="0"/>
    <n v="945547.1"/>
    <n v="1"/>
    <x v="1"/>
    <x v="3688"/>
    <n v="17492.63"/>
    <n v="1"/>
    <s v="01/4087187 VE12"/>
    <m/>
    <n v="94554.698759999999"/>
    <n v="0"/>
    <n v="57626"/>
  </r>
  <r>
    <x v="15"/>
    <s v="05148-9"/>
    <s v="Farum Svømmehal, Park 20"/>
    <n v="5450"/>
    <m/>
    <s v="Bimåler Varme"/>
    <x v="122"/>
    <x v="1"/>
    <x v="4"/>
    <n v="421641.27"/>
    <n v="12"/>
    <s v="2015-05-04"/>
    <n v="0"/>
    <n v="0"/>
    <n v="4216412.7"/>
    <n v="1"/>
    <x v="1"/>
    <x v="3689"/>
    <n v="78003.63"/>
    <n v="1"/>
    <s v="859208 VE 1&amp;2"/>
    <m/>
    <n v="421641.26559000002"/>
    <n v="0"/>
    <n v="57632"/>
  </r>
  <r>
    <x v="15"/>
    <s v="05148-9"/>
    <s v="Farum Svømmehal, Park 20"/>
    <n v="5450"/>
    <m/>
    <s v="Bimåler Varme"/>
    <x v="122"/>
    <x v="1"/>
    <x v="4"/>
    <n v="41339.75"/>
    <n v="11"/>
    <s v="2015-05-04"/>
    <n v="0"/>
    <n v="0"/>
    <n v="413397.5"/>
    <n v="1"/>
    <x v="1"/>
    <x v="3690"/>
    <n v="7647.86"/>
    <n v="1"/>
    <s v="4169401 RA10"/>
    <m/>
    <n v="41339.735269999997"/>
    <n v="0"/>
    <n v="57634"/>
  </r>
  <r>
    <x v="15"/>
    <s v="05148-9"/>
    <s v="Farum Svømmehal, Park 20"/>
    <n v="5450"/>
    <m/>
    <s v="Bimåler Varme"/>
    <x v="122"/>
    <x v="1"/>
    <x v="5"/>
    <n v="4577.6400000000003"/>
    <n v="12"/>
    <s v="2015-05-04"/>
    <n v="0"/>
    <n v="0"/>
    <n v="45776.4"/>
    <n v="1"/>
    <x v="1"/>
    <x v="3691"/>
    <n v="846.87"/>
    <n v="1"/>
    <s v="01/4087190 TB"/>
    <m/>
    <n v="4577.6470499999996"/>
    <n v="0"/>
    <n v="57559"/>
  </r>
  <r>
    <x v="15"/>
    <s v="05148-9"/>
    <s v="Farum Svømmehal, Park 20"/>
    <n v="5450"/>
    <m/>
    <s v="Bimåler Varme"/>
    <x v="122"/>
    <x v="1"/>
    <x v="5"/>
    <n v="140836.72"/>
    <n v="13"/>
    <s v="2015-05-04"/>
    <n v="0"/>
    <n v="0"/>
    <n v="1408367.2"/>
    <n v="1"/>
    <x v="1"/>
    <x v="3692"/>
    <n v="26054.799999999999"/>
    <n v="1"/>
    <s v="01/4087186 VE11"/>
    <m/>
    <n v="140836.71325"/>
    <n v="0"/>
    <n v="57561"/>
  </r>
  <r>
    <x v="15"/>
    <s v="05148-9"/>
    <s v="Farum Svømmehal, Park 20"/>
    <n v="5450"/>
    <m/>
    <s v="Bimåler Varme"/>
    <x v="122"/>
    <x v="1"/>
    <x v="5"/>
    <n v="6086.23"/>
    <n v="12"/>
    <s v="2015-05-04"/>
    <n v="0"/>
    <n v="0"/>
    <n v="60862.3"/>
    <n v="1"/>
    <x v="1"/>
    <x v="3693"/>
    <n v="1125.94"/>
    <n v="1"/>
    <s v="01/4087188 RA 01"/>
    <m/>
    <n v="6086.22793"/>
    <n v="0"/>
    <n v="57628"/>
  </r>
  <r>
    <x v="15"/>
    <s v="05148-9"/>
    <s v="Farum Svømmehal, Park 20"/>
    <n v="5450"/>
    <m/>
    <s v="Bimåler Varme"/>
    <x v="122"/>
    <x v="1"/>
    <x v="5"/>
    <n v="185567.01"/>
    <n v="12"/>
    <s v="2015-05-04"/>
    <n v="0"/>
    <n v="0"/>
    <n v="1855670.1"/>
    <n v="1"/>
    <x v="1"/>
    <x v="3694"/>
    <n v="34329.89"/>
    <n v="1"/>
    <s v="859209 VBV"/>
    <m/>
    <n v="185567.0037"/>
    <n v="0"/>
    <n v="57630"/>
  </r>
  <r>
    <x v="15"/>
    <s v="05148-9"/>
    <s v="Farum Svømmehal, Park 20"/>
    <n v="5450"/>
    <m/>
    <s v="Bimåler Varme"/>
    <x v="122"/>
    <x v="1"/>
    <x v="5"/>
    <n v="7013.94"/>
    <n v="13"/>
    <s v="2015-05-04"/>
    <n v="0"/>
    <n v="0"/>
    <n v="70139.399999999994"/>
    <n v="1"/>
    <x v="1"/>
    <x v="3695"/>
    <n v="1297.5899999999999"/>
    <n v="1"/>
    <s v="4169400 VE09"/>
    <m/>
    <n v="7013.9448499999999"/>
    <n v="0"/>
    <n v="57636"/>
  </r>
  <r>
    <x v="15"/>
    <s v="05148-9"/>
    <s v="Farum Svømmehal, Park 20"/>
    <n v="5450"/>
    <m/>
    <s v="Bimåler Varme"/>
    <x v="122"/>
    <x v="1"/>
    <x v="5"/>
    <n v="4524.6099999999997"/>
    <n v="12"/>
    <s v="2015-05-04"/>
    <n v="0"/>
    <n v="0"/>
    <n v="45246.1"/>
    <n v="1"/>
    <x v="1"/>
    <x v="3696"/>
    <n v="837.05"/>
    <n v="1"/>
    <s v="4169399 VE08"/>
    <m/>
    <n v="4524.6010999999999"/>
    <n v="0"/>
    <n v="57638"/>
  </r>
  <r>
    <x v="15"/>
    <s v="05148-9"/>
    <s v="Farum Svømmehal, Park 20"/>
    <n v="5450"/>
    <m/>
    <s v="Bimåler Varme"/>
    <x v="122"/>
    <x v="1"/>
    <x v="5"/>
    <n v="102626.16"/>
    <n v="13"/>
    <s v="2015-05-04"/>
    <n v="0"/>
    <n v="0"/>
    <n v="1026261.6"/>
    <n v="1"/>
    <x v="1"/>
    <x v="3697"/>
    <n v="18985.849999999999"/>
    <n v="1"/>
    <s v="01/4087189 VVB"/>
    <m/>
    <n v="102626.17096"/>
    <n v="0"/>
    <n v="57557"/>
  </r>
  <r>
    <x v="15"/>
    <s v="05148-9"/>
    <s v="Farum Svømmehal, Park 20"/>
    <n v="5450"/>
    <m/>
    <s v="Bimåler Varme"/>
    <x v="122"/>
    <x v="1"/>
    <x v="5"/>
    <n v="74152.97"/>
    <n v="12"/>
    <s v="2015-05-04"/>
    <n v="0"/>
    <n v="0"/>
    <n v="741529.7"/>
    <n v="1"/>
    <x v="1"/>
    <x v="3698"/>
    <n v="13718.31"/>
    <n v="1"/>
    <s v="01/4087187 VE12"/>
    <m/>
    <n v="74152.965070000006"/>
    <n v="0"/>
    <n v="57626"/>
  </r>
  <r>
    <x v="15"/>
    <s v="05148-9"/>
    <s v="Farum Svømmehal, Park 20"/>
    <n v="5450"/>
    <m/>
    <s v="Bimåler Varme"/>
    <x v="122"/>
    <x v="1"/>
    <x v="5"/>
    <n v="426388.65"/>
    <n v="12"/>
    <s v="2015-05-04"/>
    <n v="0"/>
    <n v="0"/>
    <n v="4263886.5"/>
    <n v="1"/>
    <x v="1"/>
    <x v="3699"/>
    <n v="78881.89"/>
    <n v="1"/>
    <s v="859208 VE 1&amp;2"/>
    <m/>
    <n v="426388.63971000002"/>
    <n v="0"/>
    <n v="57632"/>
  </r>
  <r>
    <x v="15"/>
    <s v="05148-9"/>
    <s v="Farum Svømmehal, Park 20"/>
    <n v="5450"/>
    <m/>
    <s v="Bimåler Varme"/>
    <x v="122"/>
    <x v="1"/>
    <x v="5"/>
    <n v="37928.120000000003"/>
    <n v="12"/>
    <s v="2015-05-04"/>
    <n v="0"/>
    <n v="0"/>
    <n v="379281.2"/>
    <n v="1"/>
    <x v="1"/>
    <x v="3700"/>
    <n v="7016.69"/>
    <n v="1"/>
    <s v="4169401 RA10"/>
    <m/>
    <n v="37928.139719999999"/>
    <n v="0"/>
    <n v="57634"/>
  </r>
  <r>
    <x v="15"/>
    <s v="05148-9"/>
    <s v="Farum Svømmehal, Park 20"/>
    <n v="5450"/>
    <m/>
    <s v="Bimåler Varme"/>
    <x v="122"/>
    <x v="1"/>
    <x v="6"/>
    <n v="97920.75"/>
    <n v="13"/>
    <s v="2015-05-04"/>
    <n v="0"/>
    <n v="0"/>
    <n v="979207.5"/>
    <n v="1"/>
    <x v="1"/>
    <x v="3701"/>
    <n v="18115.34"/>
    <n v="1"/>
    <s v="01/4087186 VE11"/>
    <m/>
    <n v="97920.738639999996"/>
    <n v="0"/>
    <n v="57561"/>
  </r>
  <r>
    <x v="15"/>
    <s v="05148-9"/>
    <s v="Farum Svømmehal, Park 20"/>
    <n v="5450"/>
    <m/>
    <s v="Bimåler Varme"/>
    <x v="122"/>
    <x v="1"/>
    <x v="6"/>
    <n v="200817.6"/>
    <n v="12"/>
    <s v="2015-05-04"/>
    <n v="0"/>
    <n v="0"/>
    <n v="2008176"/>
    <n v="1"/>
    <x v="1"/>
    <x v="3702"/>
    <n v="37151.26"/>
    <n v="1"/>
    <s v="859209 VBV"/>
    <m/>
    <n v="200817.60415999999"/>
    <n v="0"/>
    <n v="57630"/>
  </r>
  <r>
    <x v="15"/>
    <s v="05148-9"/>
    <s v="Farum Svømmehal, Park 20"/>
    <n v="5450"/>
    <m/>
    <s v="Bimåler Varme"/>
    <x v="122"/>
    <x v="1"/>
    <x v="6"/>
    <n v="430569.19"/>
    <n v="12"/>
    <s v="2015-05-04"/>
    <n v="0"/>
    <n v="0"/>
    <n v="4305691.9000000004"/>
    <n v="1"/>
    <x v="1"/>
    <x v="3703"/>
    <n v="79655.289999999994"/>
    <n v="1"/>
    <s v="859208 VE 1&amp;2"/>
    <m/>
    <n v="430569.18560000003"/>
    <n v="0"/>
    <n v="57632"/>
  </r>
  <r>
    <x v="15"/>
    <s v="05148-9"/>
    <s v="Farum Svømmehal, Park 20"/>
    <n v="5450"/>
    <m/>
    <s v="Bimåler Varme"/>
    <x v="122"/>
    <x v="1"/>
    <x v="6"/>
    <n v="5144.5200000000004"/>
    <n v="12"/>
    <s v="2015-05-04"/>
    <n v="0"/>
    <n v="0"/>
    <n v="51445.2"/>
    <n v="1"/>
    <x v="1"/>
    <x v="3704"/>
    <n v="951.74"/>
    <n v="1"/>
    <s v="4169399 VE08"/>
    <m/>
    <n v="5144.5236800000002"/>
    <n v="0"/>
    <n v="57638"/>
  </r>
  <r>
    <x v="15"/>
    <s v="05148-9"/>
    <s v="Farum Svømmehal, Park 20"/>
    <n v="5450"/>
    <m/>
    <s v="Bimåler Varme"/>
    <x v="122"/>
    <x v="1"/>
    <x v="6"/>
    <n v="136430.82"/>
    <n v="12"/>
    <s v="2015-05-04"/>
    <n v="0"/>
    <n v="0"/>
    <n v="1364308.2"/>
    <n v="1"/>
    <x v="1"/>
    <x v="3705"/>
    <n v="25239.68"/>
    <n v="1"/>
    <s v="01/4087189 VVB"/>
    <m/>
    <n v="136430.83616000001"/>
    <n v="0"/>
    <n v="57557"/>
  </r>
  <r>
    <x v="15"/>
    <s v="05148-9"/>
    <s v="Farum Svømmehal, Park 20"/>
    <n v="5450"/>
    <m/>
    <s v="Bimåler Varme"/>
    <x v="122"/>
    <x v="1"/>
    <x v="6"/>
    <n v="7071.82"/>
    <n v="12"/>
    <s v="2015-05-04"/>
    <n v="0"/>
    <n v="0"/>
    <n v="70718.2"/>
    <n v="1"/>
    <x v="1"/>
    <x v="3706"/>
    <n v="1308.28"/>
    <n v="1"/>
    <s v="01/4087190 TB"/>
    <m/>
    <n v="7071.8181800000002"/>
    <n v="0"/>
    <n v="57559"/>
  </r>
  <r>
    <x v="15"/>
    <s v="05148-9"/>
    <s v="Farum Svømmehal, Park 20"/>
    <n v="5450"/>
    <m/>
    <s v="Bimåler Varme"/>
    <x v="122"/>
    <x v="1"/>
    <x v="6"/>
    <n v="92195.6"/>
    <n v="12"/>
    <s v="2015-05-04"/>
    <n v="0"/>
    <n v="0"/>
    <n v="921956"/>
    <n v="1"/>
    <x v="1"/>
    <x v="3707"/>
    <n v="17056.189999999999"/>
    <n v="1"/>
    <s v="01/4087187 VE12"/>
    <m/>
    <n v="92195.608900000007"/>
    <n v="0"/>
    <n v="57626"/>
  </r>
  <r>
    <x v="15"/>
    <s v="05148-9"/>
    <s v="Farum Svømmehal, Park 20"/>
    <n v="5450"/>
    <m/>
    <s v="Bimåler Varme"/>
    <x v="122"/>
    <x v="1"/>
    <x v="6"/>
    <n v="8347.9500000000007"/>
    <n v="12"/>
    <s v="2015-05-04"/>
    <n v="0"/>
    <n v="0"/>
    <n v="83479.5"/>
    <n v="1"/>
    <x v="1"/>
    <x v="3708"/>
    <n v="1544.36"/>
    <n v="1"/>
    <s v="01/4087188 RA 01"/>
    <m/>
    <n v="8347.9583299999995"/>
    <n v="0"/>
    <n v="57628"/>
  </r>
  <r>
    <x v="15"/>
    <s v="05148-9"/>
    <s v="Farum Svømmehal, Park 20"/>
    <n v="5450"/>
    <m/>
    <s v="Bimåler Varme"/>
    <x v="122"/>
    <x v="1"/>
    <x v="6"/>
    <n v="36840.68"/>
    <n v="12"/>
    <s v="2015-05-04"/>
    <n v="0"/>
    <n v="0"/>
    <n v="368406.8"/>
    <n v="1"/>
    <x v="1"/>
    <x v="3709"/>
    <n v="6815.52"/>
    <n v="1"/>
    <s v="4169401 RA10"/>
    <m/>
    <n v="36840.670449999998"/>
    <n v="0"/>
    <n v="57634"/>
  </r>
  <r>
    <x v="15"/>
    <s v="05148-9"/>
    <s v="Farum Svømmehal, Park 20"/>
    <n v="5450"/>
    <m/>
    <s v="Bimåler Varme"/>
    <x v="122"/>
    <x v="1"/>
    <x v="6"/>
    <n v="8439.61"/>
    <n v="12"/>
    <s v="2015-05-04"/>
    <n v="0"/>
    <n v="0"/>
    <n v="84396.1"/>
    <n v="1"/>
    <x v="1"/>
    <x v="3710"/>
    <n v="1561.34"/>
    <n v="1"/>
    <s v="4169400 VE09"/>
    <m/>
    <n v="8439.6041700000005"/>
    <n v="0"/>
    <n v="57636"/>
  </r>
  <r>
    <x v="15"/>
    <s v="05148-9"/>
    <s v="Farum Svømmehal, Park 20"/>
    <n v="5449"/>
    <m/>
    <s v="Farum Svømmehal,Farum Park 20 st. th."/>
    <x v="122"/>
    <x v="0"/>
    <x v="0"/>
    <n v="1526640"/>
    <n v="5"/>
    <s v="2005-07-01"/>
    <n v="0"/>
    <n v="7709"/>
    <n v="99.544692999999995"/>
    <n v="1"/>
    <x v="1"/>
    <x v="3711"/>
    <n v="153935059"/>
    <n v="0"/>
    <s v="69291280"/>
    <m/>
    <n v="767400"/>
    <n v="0"/>
    <n v="57534"/>
  </r>
  <r>
    <x v="15"/>
    <s v="05148-9"/>
    <s v="Farum Svømmehal, Park 20"/>
    <n v="5449"/>
    <m/>
    <s v="Farum Svømmehal,Farum Park 20 st. th."/>
    <x v="122"/>
    <x v="1"/>
    <x v="0"/>
    <n v="622339.9"/>
    <n v="5"/>
    <s v="2005-07-01"/>
    <n v="0"/>
    <n v="7709"/>
    <n v="80.727957000000004"/>
    <n v="1"/>
    <x v="3"/>
    <x v="3712"/>
    <n v="3573682.06"/>
    <n v="1"/>
    <s v="01/4081529"/>
    <m/>
    <n v="17837.2"/>
    <n v="57534"/>
    <n v="57554"/>
  </r>
  <r>
    <x v="15"/>
    <s v="05148-9"/>
    <s v="Farum Svømmehal, Park 20"/>
    <n v="5449"/>
    <m/>
    <s v="Farum Svømmehal,Farum Park 20 st. th."/>
    <x v="122"/>
    <x v="1"/>
    <x v="1"/>
    <n v="1078685.3899999999"/>
    <n v="12"/>
    <s v="2005-07-01"/>
    <n v="0"/>
    <n v="7709"/>
    <n v="139.92364699999999"/>
    <n v="1"/>
    <x v="3"/>
    <x v="3713"/>
    <n v="5884.31"/>
    <n v="1"/>
    <s v="01/4081529"/>
    <m/>
    <n v="30916.75"/>
    <n v="57534"/>
    <n v="57554"/>
  </r>
  <r>
    <x v="15"/>
    <s v="05148-9"/>
    <s v="Farum Svømmehal, Park 20"/>
    <n v="5449"/>
    <m/>
    <s v="Farum Svømmehal,Farum Park 20 st. th."/>
    <x v="122"/>
    <x v="0"/>
    <x v="1"/>
    <n v="1400275"/>
    <n v="12"/>
    <s v="2005-07-01"/>
    <n v="0"/>
    <n v="7709"/>
    <n v="181.639231"/>
    <n v="1"/>
    <x v="1"/>
    <x v="3714"/>
    <n v="267205.65999999997"/>
    <n v="0"/>
    <s v="69291280"/>
    <m/>
    <n v="1400275"/>
    <n v="0"/>
    <n v="57534"/>
  </r>
  <r>
    <x v="15"/>
    <s v="05148-9"/>
    <s v="Farum Svømmehal, Park 20"/>
    <n v="5449"/>
    <m/>
    <s v="Farum Svømmehal,Farum Park 20 st. th."/>
    <x v="122"/>
    <x v="1"/>
    <x v="2"/>
    <n v="1166486.1000000001"/>
    <n v="12"/>
    <s v="2005-07-01"/>
    <n v="0"/>
    <n v="7709"/>
    <n v="151.31287599999999"/>
    <n v="1"/>
    <x v="3"/>
    <x v="3715"/>
    <n v="6372.9"/>
    <n v="1"/>
    <s v="01/4081529"/>
    <m/>
    <n v="33433.25"/>
    <n v="57534"/>
    <n v="57554"/>
  </r>
  <r>
    <x v="15"/>
    <s v="05148-9"/>
    <s v="Farum Svømmehal, Park 20"/>
    <n v="5449"/>
    <m/>
    <s v="Farum Svømmehal,Farum Park 20 st. th."/>
    <x v="122"/>
    <x v="0"/>
    <x v="2"/>
    <n v="1531145"/>
    <n v="12"/>
    <s v="2005-07-01"/>
    <n v="0"/>
    <n v="7709"/>
    <n v="198.615272"/>
    <n v="1"/>
    <x v="1"/>
    <x v="3716"/>
    <n v="292821.48"/>
    <n v="0"/>
    <s v="69291280"/>
    <m/>
    <n v="1531145"/>
    <n v="0"/>
    <n v="57534"/>
  </r>
  <r>
    <x v="15"/>
    <s v="05148-9"/>
    <s v="Farum Svømmehal, Park 20"/>
    <n v="5449"/>
    <m/>
    <s v="Farum Svømmehal,Farum Park 20 st. th."/>
    <x v="122"/>
    <x v="1"/>
    <x v="3"/>
    <n v="1045771.9"/>
    <n v="12"/>
    <s v="2005-07-01"/>
    <n v="0"/>
    <n v="7709"/>
    <n v="135.654213"/>
    <n v="1"/>
    <x v="3"/>
    <x v="3717"/>
    <n v="5849.94"/>
    <n v="1"/>
    <s v="01/4081529"/>
    <m/>
    <n v="29973.4"/>
    <n v="57534"/>
    <n v="57554"/>
  </r>
  <r>
    <x v="15"/>
    <s v="05148-9"/>
    <s v="Farum Svømmehal, Park 20"/>
    <n v="5449"/>
    <m/>
    <s v="Farum Svømmehal,Farum Park 20 st. th."/>
    <x v="122"/>
    <x v="0"/>
    <x v="3"/>
    <n v="1391490"/>
    <n v="12"/>
    <s v="2005-07-01"/>
    <n v="0"/>
    <n v="7709"/>
    <n v="180.49966900000001"/>
    <n v="1"/>
    <x v="1"/>
    <x v="3718"/>
    <n v="272165.01"/>
    <n v="0"/>
    <s v="69291280"/>
    <m/>
    <n v="1391490"/>
    <n v="0"/>
    <n v="57534"/>
  </r>
  <r>
    <x v="15"/>
    <s v="05148-9"/>
    <s v="Farum Svømmehal, Park 20"/>
    <n v="5449"/>
    <m/>
    <s v="Farum Svømmehal,Farum Park 20 st. th."/>
    <x v="122"/>
    <x v="1"/>
    <x v="4"/>
    <n v="1156306.93"/>
    <n v="12"/>
    <s v="2005-07-01"/>
    <n v="0"/>
    <n v="7709"/>
    <n v="149.992467"/>
    <n v="1"/>
    <x v="3"/>
    <x v="3719"/>
    <n v="5785.81"/>
    <n v="1"/>
    <s v="01/4081529"/>
    <m/>
    <n v="33141.5"/>
    <n v="57534"/>
    <n v="57554"/>
  </r>
  <r>
    <x v="15"/>
    <s v="05148-9"/>
    <s v="Farum Svømmehal, Park 20"/>
    <n v="5449"/>
    <m/>
    <s v="Farum Svømmehal,Farum Park 20 st. th."/>
    <x v="122"/>
    <x v="0"/>
    <x v="4"/>
    <n v="1492670"/>
    <n v="12"/>
    <s v="2005-07-01"/>
    <n v="0"/>
    <n v="7709"/>
    <n v="193.62441699999999"/>
    <n v="1"/>
    <x v="1"/>
    <x v="3720"/>
    <n v="260702.98"/>
    <n v="0"/>
    <s v="69291280"/>
    <m/>
    <n v="1492670"/>
    <n v="0"/>
    <n v="57534"/>
  </r>
  <r>
    <x v="15"/>
    <s v="05148-9"/>
    <s v="Farum Svømmehal, Park 20"/>
    <n v="5449"/>
    <m/>
    <s v="Farum Svømmehal,Farum Park 20 st. th."/>
    <x v="122"/>
    <x v="0"/>
    <x v="5"/>
    <n v="1413930"/>
    <n v="12"/>
    <s v="2005-07-01"/>
    <n v="0"/>
    <n v="7709"/>
    <n v="183.41051400000001"/>
    <n v="1"/>
    <x v="1"/>
    <x v="3721"/>
    <n v="274279.92"/>
    <n v="0"/>
    <s v="69291280"/>
    <m/>
    <n v="1413930"/>
    <n v="0"/>
    <n v="57534"/>
  </r>
  <r>
    <x v="15"/>
    <s v="05148-9"/>
    <s v="Farum Svømmehal, Park 20"/>
    <n v="5449"/>
    <m/>
    <s v="Farum Svømmehal,Farum Park 20 st. th."/>
    <x v="122"/>
    <x v="1"/>
    <x v="5"/>
    <n v="1202208.23"/>
    <n v="12"/>
    <s v="2005-07-01"/>
    <n v="0"/>
    <n v="7709"/>
    <n v="155.94663800000001"/>
    <n v="1"/>
    <x v="3"/>
    <x v="3722"/>
    <n v="6671.63"/>
    <n v="1"/>
    <s v="01/4081529"/>
    <m/>
    <n v="34457.1"/>
    <n v="57534"/>
    <n v="57554"/>
  </r>
  <r>
    <x v="15"/>
    <s v="05148-9"/>
    <s v="Farum Svømmehal, Park 20"/>
    <n v="5449"/>
    <m/>
    <s v="Farum Svømmehal,Farum Park 20 st. th."/>
    <x v="122"/>
    <x v="0"/>
    <x v="6"/>
    <n v="1474380"/>
    <n v="12"/>
    <s v="2005-07-01"/>
    <n v="0"/>
    <n v="7709"/>
    <n v="191.25189700000001"/>
    <n v="1"/>
    <x v="1"/>
    <x v="3723"/>
    <n v="299512.24"/>
    <n v="0"/>
    <s v="69291280"/>
    <m/>
    <n v="1474380"/>
    <n v="0"/>
    <n v="57534"/>
  </r>
  <r>
    <x v="15"/>
    <s v="05148-9"/>
    <s v="Farum Svømmehal, Park 20"/>
    <n v="5449"/>
    <m/>
    <s v="Farum Svømmehal,Farum Park 20 st. th."/>
    <x v="122"/>
    <x v="1"/>
    <x v="6"/>
    <n v="1216237.49"/>
    <n v="12"/>
    <s v="2005-07-01"/>
    <n v="0"/>
    <n v="7709"/>
    <n v="157.766469"/>
    <n v="1"/>
    <x v="3"/>
    <x v="3724"/>
    <n v="7047.92"/>
    <n v="1"/>
    <s v="01/4081529"/>
    <m/>
    <n v="34859.199999999997"/>
    <n v="57534"/>
    <n v="57554"/>
  </r>
  <r>
    <x v="15"/>
    <s v="05148-9"/>
    <s v="Farum Svømmehal, Park 20"/>
    <n v="5453"/>
    <m/>
    <s v="Swim-mix"/>
    <x v="122"/>
    <x v="1"/>
    <x v="0"/>
    <n v="12455.77"/>
    <n v="5"/>
    <s v="2015-05-04"/>
    <n v="0"/>
    <n v="610"/>
    <n v="20.415948"/>
    <n v="1"/>
    <x v="1"/>
    <x v="3725"/>
    <n v="2556827.65"/>
    <n v="1"/>
    <s v="8545882"/>
    <m/>
    <n v="12455.78125"/>
    <n v="0"/>
    <n v="84287"/>
  </r>
  <r>
    <x v="15"/>
    <s v="05148-9"/>
    <s v="Farum Svømmehal, Park 20"/>
    <n v="5453"/>
    <m/>
    <s v="Swim-mix"/>
    <x v="122"/>
    <x v="1"/>
    <x v="1"/>
    <n v="26693.19"/>
    <n v="11"/>
    <s v="2015-05-04"/>
    <n v="0"/>
    <n v="610"/>
    <n v="43.752155000000002"/>
    <n v="1"/>
    <x v="1"/>
    <x v="3726"/>
    <n v="5694.78"/>
    <n v="1"/>
    <s v="8545882"/>
    <m/>
    <n v="26693.17986"/>
    <n v="0"/>
    <n v="84287"/>
  </r>
  <r>
    <x v="15"/>
    <s v="05148-9"/>
    <s v="Farum Svømmehal, Park 20"/>
    <n v="5453"/>
    <m/>
    <s v="Swim-mix"/>
    <x v="122"/>
    <x v="1"/>
    <x v="2"/>
    <n v="26513.32"/>
    <n v="13"/>
    <s v="2015-05-04"/>
    <n v="0"/>
    <n v="610"/>
    <n v="43.457334000000003"/>
    <n v="1"/>
    <x v="1"/>
    <x v="3727"/>
    <n v="5297.06"/>
    <n v="1"/>
    <s v="8545882"/>
    <m/>
    <n v="26513.303029999999"/>
    <n v="0"/>
    <n v="84287"/>
  </r>
  <r>
    <x v="15"/>
    <s v="05148-9"/>
    <s v="Farum Svømmehal, Park 20"/>
    <n v="5453"/>
    <m/>
    <s v="Swim-mix"/>
    <x v="122"/>
    <x v="1"/>
    <x v="3"/>
    <n v="24797.919999999998"/>
    <n v="12"/>
    <s v="2015-05-04"/>
    <n v="0"/>
    <n v="610"/>
    <n v="40.645663999999996"/>
    <n v="1"/>
    <x v="1"/>
    <x v="3728"/>
    <n v="5134.17"/>
    <n v="1"/>
    <s v="8545882"/>
    <m/>
    <n v="24797.909100000001"/>
    <n v="0"/>
    <n v="84287"/>
  </r>
  <r>
    <x v="15"/>
    <s v="05148-9"/>
    <s v="Farum Svømmehal, Park 20"/>
    <n v="5453"/>
    <m/>
    <s v="Swim-mix"/>
    <x v="122"/>
    <x v="1"/>
    <x v="4"/>
    <n v="25018.57"/>
    <n v="12"/>
    <s v="2015-05-04"/>
    <n v="0"/>
    <n v="610"/>
    <n v="41.007325999999999"/>
    <n v="1"/>
    <x v="1"/>
    <x v="3729"/>
    <n v="4304.3599999999997"/>
    <n v="1"/>
    <s v="8545882"/>
    <m/>
    <n v="25018.575769999999"/>
    <n v="0"/>
    <n v="84287"/>
  </r>
  <r>
    <x v="15"/>
    <s v="190-001744"/>
    <s v="Værløse Svømmehal, KV60"/>
    <n v="8880"/>
    <s v="0"/>
    <s v="BI-måler varme"/>
    <x v="123"/>
    <x v="1"/>
    <x v="0"/>
    <n v="40803.230000000003"/>
    <n v="5"/>
    <s v="2015-05-05"/>
    <n v="0"/>
    <n v="0"/>
    <n v="408032.3"/>
    <n v="1"/>
    <x v="1"/>
    <x v="3730"/>
    <n v="5816.59"/>
    <n v="1"/>
    <s v="4372271-ME2 VE02"/>
    <m/>
    <n v="40803.235289999997"/>
    <n v="0"/>
    <n v="70702"/>
  </r>
  <r>
    <x v="15"/>
    <s v="190-001744"/>
    <s v="Værløse Svømmehal, KV60"/>
    <n v="8880"/>
    <s v="0"/>
    <s v="BI-måler varme"/>
    <x v="123"/>
    <x v="1"/>
    <x v="0"/>
    <n v="253911.18"/>
    <n v="5"/>
    <s v="2015-05-05"/>
    <n v="0"/>
    <n v="0"/>
    <n v="2539111.7999999998"/>
    <n v="1"/>
    <x v="1"/>
    <x v="3731"/>
    <n v="18341.2"/>
    <n v="1"/>
    <s v="4372281 ME1 VE01"/>
    <m/>
    <n v="253911.17647000001"/>
    <n v="0"/>
    <n v="70979"/>
  </r>
  <r>
    <x v="15"/>
    <s v="190-001744"/>
    <s v="Værløse Svømmehal, KV60"/>
    <n v="8880"/>
    <s v="0"/>
    <s v="BI-måler varme"/>
    <x v="123"/>
    <x v="1"/>
    <x v="0"/>
    <n v="3957.71"/>
    <n v="5"/>
    <s v="2015-05-06"/>
    <n v="0"/>
    <n v="0"/>
    <n v="39577.1"/>
    <n v="1"/>
    <x v="1"/>
    <x v="3732"/>
    <n v="292.47000000000003"/>
    <n v="1"/>
    <s v="4372267 ME5 VE05"/>
    <m/>
    <n v="3957.7058900000002"/>
    <n v="0"/>
    <n v="70982"/>
  </r>
  <r>
    <x v="15"/>
    <s v="190-001744"/>
    <s v="Værløse Svømmehal, KV60"/>
    <n v="8880"/>
    <s v="0"/>
    <s v="BI-måler varme"/>
    <x v="123"/>
    <x v="1"/>
    <x v="0"/>
    <n v="35893.18"/>
    <n v="5"/>
    <s v="2015-05-05"/>
    <n v="0"/>
    <n v="0"/>
    <n v="358931.8"/>
    <n v="1"/>
    <x v="1"/>
    <x v="3733"/>
    <n v="2546.38"/>
    <n v="1"/>
    <s v="4372275 ME11 VVB"/>
    <m/>
    <n v="35893.176460000002"/>
    <n v="0"/>
    <n v="70987"/>
  </r>
  <r>
    <x v="15"/>
    <s v="190-001744"/>
    <s v="Værløse Svømmehal, KV60"/>
    <n v="8880"/>
    <s v="0"/>
    <s v="BI-måler varme"/>
    <x v="123"/>
    <x v="1"/>
    <x v="0"/>
    <n v="3232.76"/>
    <n v="5"/>
    <s v="2015-05-05"/>
    <n v="0"/>
    <n v="0"/>
    <n v="32327.599999999999"/>
    <n v="1"/>
    <x v="1"/>
    <x v="3734"/>
    <n v="238.69"/>
    <n v="1"/>
    <s v="4376015 ME10 GV01"/>
    <m/>
    <n v="3232.7647099999999"/>
    <n v="0"/>
    <n v="70988"/>
  </r>
  <r>
    <x v="15"/>
    <s v="190-001744"/>
    <s v="Værløse Svømmehal, KV60"/>
    <n v="8880"/>
    <s v="0"/>
    <s v="BI-måler varme"/>
    <x v="123"/>
    <x v="1"/>
    <x v="0"/>
    <n v="12103.53"/>
    <n v="5"/>
    <s v="2015-05-05"/>
    <n v="0"/>
    <n v="0"/>
    <n v="121035.3"/>
    <n v="1"/>
    <x v="1"/>
    <x v="3735"/>
    <n v="845.61"/>
    <n v="1"/>
    <s v="4378476 ME8 25M"/>
    <m/>
    <n v="12103.529420000001"/>
    <n v="0"/>
    <n v="70978"/>
  </r>
  <r>
    <x v="15"/>
    <s v="190-001744"/>
    <s v="Værløse Svømmehal, KV60"/>
    <n v="8880"/>
    <s v="0"/>
    <s v="BI-måler varme"/>
    <x v="123"/>
    <x v="1"/>
    <x v="0"/>
    <n v="7700.99"/>
    <n v="5"/>
    <s v="2015-05-05"/>
    <n v="0"/>
    <n v="0"/>
    <n v="77009.899999999994"/>
    <n v="1"/>
    <x v="1"/>
    <x v="3736"/>
    <n v="565.66999999999996"/>
    <n v="1"/>
    <s v="4376014 ME7 RA01"/>
    <m/>
    <n v="7701.0000099999997"/>
    <n v="0"/>
    <n v="70981"/>
  </r>
  <r>
    <x v="15"/>
    <s v="190-001744"/>
    <s v="Værløse Svømmehal, KV60"/>
    <n v="8880"/>
    <s v="0"/>
    <s v="BI-måler varme"/>
    <x v="123"/>
    <x v="1"/>
    <x v="0"/>
    <n v="7.71"/>
    <n v="5"/>
    <s v="2015-05-05"/>
    <n v="0"/>
    <n v="0"/>
    <n v="77.099999999999994"/>
    <n v="1"/>
    <x v="1"/>
    <x v="3737"/>
    <n v="0.56000000000000005"/>
    <n v="1"/>
    <s v="4372265 ME4 VE04"/>
    <m/>
    <n v="7.7058799999999996"/>
    <n v="0"/>
    <n v="70983"/>
  </r>
  <r>
    <x v="15"/>
    <s v="190-001744"/>
    <s v="Værløse Svømmehal, KV60"/>
    <n v="8880"/>
    <s v="0"/>
    <s v="BI-måler varme"/>
    <x v="123"/>
    <x v="1"/>
    <x v="0"/>
    <n v="3915.88"/>
    <n v="5"/>
    <s v="2015-05-05"/>
    <n v="0"/>
    <n v="0"/>
    <n v="39158.800000000003"/>
    <n v="1"/>
    <x v="1"/>
    <x v="3738"/>
    <n v="286.23"/>
    <n v="1"/>
    <s v="4372274 ME3 VE03"/>
    <m/>
    <n v="3915.8823499999999"/>
    <n v="0"/>
    <n v="70984"/>
  </r>
  <r>
    <x v="15"/>
    <s v="190-001744"/>
    <s v="Værløse Svømmehal, KV60"/>
    <n v="8880"/>
    <s v="0"/>
    <s v="BI-måler varme"/>
    <x v="123"/>
    <x v="1"/>
    <x v="0"/>
    <n v="42951.64"/>
    <n v="5"/>
    <s v="2015-05-05"/>
    <n v="0"/>
    <n v="0"/>
    <n v="429516.4"/>
    <n v="1"/>
    <x v="1"/>
    <x v="3739"/>
    <n v="3037.17"/>
    <n v="1"/>
    <s v="4372276 ME9 TB"/>
    <m/>
    <n v="42951.647069999999"/>
    <n v="0"/>
    <n v="70986"/>
  </r>
  <r>
    <x v="15"/>
    <s v="190-001744"/>
    <s v="Værløse Svømmehal, KV60"/>
    <n v="8880"/>
    <s v="0"/>
    <s v="BI-måler varme"/>
    <x v="123"/>
    <x v="1"/>
    <x v="0"/>
    <n v="36002.94"/>
    <n v="4"/>
    <s v="2015-03-31"/>
    <n v="0"/>
    <n v="0"/>
    <n v="360029.4"/>
    <n v="1"/>
    <x v="10"/>
    <x v="3740"/>
    <n v="0"/>
    <n v="1"/>
    <s v="69298140 Recool"/>
    <m/>
    <n v="36002.941180000002"/>
    <n v="0"/>
    <n v="95759"/>
  </r>
  <r>
    <x v="15"/>
    <s v="190-001744"/>
    <s v="Værløse Svømmehal, KV60"/>
    <n v="8880"/>
    <s v="0"/>
    <s v="BI-måler varme"/>
    <x v="123"/>
    <x v="1"/>
    <x v="1"/>
    <n v="553589.18000000005"/>
    <n v="11"/>
    <s v="2015-05-05"/>
    <n v="0"/>
    <n v="0"/>
    <n v="5535891.7999999998"/>
    <n v="1"/>
    <x v="1"/>
    <x v="3741"/>
    <n v="41008.76"/>
    <n v="1"/>
    <s v="4372281 ME1 VE01"/>
    <m/>
    <n v="553589.16668000002"/>
    <n v="0"/>
    <n v="70979"/>
  </r>
  <r>
    <x v="15"/>
    <s v="190-001744"/>
    <s v="Værløse Svømmehal, KV60"/>
    <n v="8880"/>
    <s v="0"/>
    <s v="BI-måler varme"/>
    <x v="123"/>
    <x v="1"/>
    <x v="1"/>
    <n v="17421.46"/>
    <n v="11"/>
    <s v="2015-05-05"/>
    <n v="0"/>
    <n v="0"/>
    <n v="174214.6"/>
    <n v="1"/>
    <x v="1"/>
    <x v="3742"/>
    <n v="1161.33"/>
    <n v="1"/>
    <s v="4376014 ME7 RA01"/>
    <m/>
    <n v="17421.464019999999"/>
    <n v="0"/>
    <n v="70981"/>
  </r>
  <r>
    <x v="15"/>
    <s v="190-001744"/>
    <s v="Værløse Svømmehal, KV60"/>
    <n v="8880"/>
    <s v="0"/>
    <s v="BI-måler varme"/>
    <x v="123"/>
    <x v="1"/>
    <x v="1"/>
    <n v="11106.97"/>
    <n v="11"/>
    <s v="2015-05-06"/>
    <n v="0"/>
    <n v="0"/>
    <n v="111069.7"/>
    <n v="1"/>
    <x v="1"/>
    <x v="3743"/>
    <n v="724.52"/>
    <n v="1"/>
    <s v="4372267 ME5 VE05"/>
    <m/>
    <n v="11106.984839999999"/>
    <n v="0"/>
    <n v="70982"/>
  </r>
  <r>
    <x v="15"/>
    <s v="190-001744"/>
    <s v="Værløse Svømmehal, KV60"/>
    <n v="8880"/>
    <s v="0"/>
    <s v="BI-måler varme"/>
    <x v="123"/>
    <x v="1"/>
    <x v="1"/>
    <n v="4486.04"/>
    <n v="11"/>
    <s v="2015-05-05"/>
    <n v="0"/>
    <n v="0"/>
    <n v="44860.4"/>
    <n v="1"/>
    <x v="1"/>
    <x v="3744"/>
    <n v="298.01"/>
    <n v="1"/>
    <s v="4372274 ME3 VE03"/>
    <m/>
    <n v="4486.0397700000003"/>
    <n v="0"/>
    <n v="70984"/>
  </r>
  <r>
    <x v="15"/>
    <s v="190-001744"/>
    <s v="Værløse Svømmehal, KV60"/>
    <n v="8880"/>
    <s v="0"/>
    <s v="BI-måler varme"/>
    <x v="123"/>
    <x v="1"/>
    <x v="1"/>
    <n v="178973.97"/>
    <n v="11"/>
    <s v="2015-05-05"/>
    <n v="0"/>
    <n v="0"/>
    <n v="1789739.7"/>
    <n v="1"/>
    <x v="1"/>
    <x v="3745"/>
    <n v="15678.35"/>
    <n v="1"/>
    <s v="4372275 ME11 VVB"/>
    <m/>
    <n v="178973.96591"/>
    <n v="0"/>
    <n v="70987"/>
  </r>
  <r>
    <x v="15"/>
    <s v="190-001744"/>
    <s v="Værløse Svømmehal, KV60"/>
    <n v="8880"/>
    <s v="0"/>
    <s v="BI-måler varme"/>
    <x v="123"/>
    <x v="1"/>
    <x v="1"/>
    <n v="92095.19"/>
    <n v="11"/>
    <s v="2015-05-05"/>
    <n v="0"/>
    <n v="0"/>
    <n v="920951.9"/>
    <n v="1"/>
    <x v="1"/>
    <x v="3746"/>
    <n v="12794.98"/>
    <n v="1"/>
    <s v="4372271-ME2 VE02"/>
    <m/>
    <n v="92095.195070000002"/>
    <n v="0"/>
    <n v="70702"/>
  </r>
  <r>
    <x v="15"/>
    <s v="190-001744"/>
    <s v="Værløse Svømmehal, KV60"/>
    <n v="8880"/>
    <s v="0"/>
    <s v="BI-måler varme"/>
    <x v="123"/>
    <x v="1"/>
    <x v="1"/>
    <n v="31493.67"/>
    <n v="11"/>
    <s v="2015-05-05"/>
    <n v="0"/>
    <n v="0"/>
    <n v="314936.7"/>
    <n v="1"/>
    <x v="1"/>
    <x v="3747"/>
    <n v="2377.2199999999998"/>
    <n v="1"/>
    <s v="4378476 ME8 25M"/>
    <m/>
    <n v="31493.67424"/>
    <n v="0"/>
    <n v="70978"/>
  </r>
  <r>
    <x v="15"/>
    <s v="190-001744"/>
    <s v="Værløse Svømmehal, KV60"/>
    <n v="8880"/>
    <s v="0"/>
    <s v="BI-måler varme"/>
    <x v="123"/>
    <x v="1"/>
    <x v="1"/>
    <n v="389.65"/>
    <n v="11"/>
    <s v="2015-05-05"/>
    <n v="0"/>
    <n v="0"/>
    <n v="3896.5"/>
    <n v="1"/>
    <x v="1"/>
    <x v="3748"/>
    <n v="28.37"/>
    <n v="1"/>
    <s v="4372265 ME4 VE04"/>
    <m/>
    <n v="389.65719000000001"/>
    <n v="0"/>
    <n v="70983"/>
  </r>
  <r>
    <x v="15"/>
    <s v="190-001744"/>
    <s v="Værløse Svømmehal, KV60"/>
    <n v="8880"/>
    <s v="0"/>
    <s v="BI-måler varme"/>
    <x v="123"/>
    <x v="1"/>
    <x v="1"/>
    <n v="215232.45"/>
    <n v="11"/>
    <s v="2015-05-05"/>
    <n v="0"/>
    <n v="0"/>
    <n v="2152324.5"/>
    <n v="1"/>
    <x v="1"/>
    <x v="3749"/>
    <n v="19264.13"/>
    <n v="1"/>
    <s v="4372276 ME9 TB"/>
    <m/>
    <n v="215232.44792000001"/>
    <n v="0"/>
    <n v="70986"/>
  </r>
  <r>
    <x v="15"/>
    <s v="190-001744"/>
    <s v="Værløse Svømmehal, KV60"/>
    <n v="8880"/>
    <s v="0"/>
    <s v="BI-måler varme"/>
    <x v="123"/>
    <x v="1"/>
    <x v="1"/>
    <n v="7750.54"/>
    <n v="11"/>
    <s v="2015-05-05"/>
    <n v="0"/>
    <n v="0"/>
    <n v="77505.399999999994"/>
    <n v="1"/>
    <x v="1"/>
    <x v="3750"/>
    <n v="512.42999999999995"/>
    <n v="1"/>
    <s v="4376015 ME10 GV01"/>
    <m/>
    <n v="7750.55681"/>
    <n v="0"/>
    <n v="70988"/>
  </r>
  <r>
    <x v="15"/>
    <s v="190-001744"/>
    <s v="Værløse Svømmehal, KV60"/>
    <n v="8880"/>
    <s v="0"/>
    <s v="BI-måler varme"/>
    <x v="123"/>
    <x v="1"/>
    <x v="2"/>
    <n v="59988.4"/>
    <n v="12"/>
    <s v="2015-05-05"/>
    <n v="0"/>
    <n v="0"/>
    <n v="599884"/>
    <n v="1"/>
    <x v="1"/>
    <x v="3751"/>
    <n v="12713.64"/>
    <n v="1"/>
    <s v="4378476 ME8 25M"/>
    <m/>
    <n v="59988.409110000001"/>
    <n v="0"/>
    <n v="70978"/>
  </r>
  <r>
    <x v="15"/>
    <s v="190-001744"/>
    <s v="Værløse Svømmehal, KV60"/>
    <n v="8880"/>
    <s v="0"/>
    <s v="BI-måler varme"/>
    <x v="123"/>
    <x v="1"/>
    <x v="2"/>
    <n v="490173.35"/>
    <n v="12"/>
    <s v="2015-05-05"/>
    <n v="0"/>
    <n v="0"/>
    <n v="4901733.5"/>
    <n v="1"/>
    <x v="1"/>
    <x v="3752"/>
    <n v="95907.31"/>
    <n v="1"/>
    <s v="4372281 ME1 VE01"/>
    <m/>
    <n v="490173.33332999999"/>
    <n v="0"/>
    <n v="70979"/>
  </r>
  <r>
    <x v="15"/>
    <s v="190-001744"/>
    <s v="Værløse Svømmehal, KV60"/>
    <n v="8880"/>
    <s v="0"/>
    <s v="BI-måler varme"/>
    <x v="123"/>
    <x v="1"/>
    <x v="2"/>
    <n v="17727.189999999999"/>
    <n v="12"/>
    <s v="2015-05-05"/>
    <n v="0"/>
    <n v="0"/>
    <n v="177271.9"/>
    <n v="1"/>
    <x v="1"/>
    <x v="3753"/>
    <n v="3481.35"/>
    <n v="1"/>
    <s v="4376014 ME7 RA01"/>
    <m/>
    <n v="17727.181809999998"/>
    <n v="0"/>
    <n v="70981"/>
  </r>
  <r>
    <x v="15"/>
    <s v="190-001744"/>
    <s v="Værløse Svømmehal, KV60"/>
    <n v="8880"/>
    <s v="0"/>
    <s v="BI-måler varme"/>
    <x v="123"/>
    <x v="1"/>
    <x v="2"/>
    <n v="6429.44"/>
    <n v="12"/>
    <s v="2015-05-05"/>
    <n v="0"/>
    <n v="0"/>
    <n v="64294.400000000001"/>
    <n v="1"/>
    <x v="1"/>
    <x v="3754"/>
    <n v="1226.3800000000001"/>
    <n v="1"/>
    <s v="4372274 ME3 VE03"/>
    <m/>
    <n v="6429.4394000000002"/>
    <n v="0"/>
    <n v="70984"/>
  </r>
  <r>
    <x v="15"/>
    <s v="190-001744"/>
    <s v="Værløse Svømmehal, KV60"/>
    <n v="8880"/>
    <s v="0"/>
    <s v="BI-måler varme"/>
    <x v="123"/>
    <x v="1"/>
    <x v="2"/>
    <n v="224952.42"/>
    <n v="12"/>
    <s v="2015-05-05"/>
    <n v="0"/>
    <n v="0"/>
    <n v="2249524.2000000002"/>
    <n v="1"/>
    <x v="1"/>
    <x v="3755"/>
    <n v="46101.89"/>
    <n v="1"/>
    <s v="4372276 ME9 TB"/>
    <m/>
    <n v="224952.41665999999"/>
    <n v="0"/>
    <n v="70986"/>
  </r>
  <r>
    <x v="15"/>
    <s v="190-001744"/>
    <s v="Værløse Svømmehal, KV60"/>
    <n v="8880"/>
    <s v="0"/>
    <s v="BI-måler varme"/>
    <x v="123"/>
    <x v="1"/>
    <x v="2"/>
    <n v="185957.23"/>
    <n v="12"/>
    <s v="2015-05-05"/>
    <n v="0"/>
    <n v="0"/>
    <n v="1859572.3"/>
    <n v="1"/>
    <x v="1"/>
    <x v="3756"/>
    <n v="38070.050000000003"/>
    <n v="1"/>
    <s v="4372275 ME11 VVB"/>
    <m/>
    <n v="185957.24243000001"/>
    <n v="0"/>
    <n v="70987"/>
  </r>
  <r>
    <x v="15"/>
    <s v="190-001744"/>
    <s v="Værløse Svømmehal, KV60"/>
    <n v="8880"/>
    <s v="0"/>
    <s v="BI-måler varme"/>
    <x v="123"/>
    <x v="1"/>
    <x v="2"/>
    <n v="101170.09"/>
    <n v="12"/>
    <s v="2015-05-05"/>
    <n v="0"/>
    <n v="0"/>
    <n v="1011700.9"/>
    <n v="1"/>
    <x v="1"/>
    <x v="3757"/>
    <n v="13557.25"/>
    <n v="1"/>
    <s v="4372271-ME2 VE02"/>
    <m/>
    <n v="101170.07576000001"/>
    <n v="0"/>
    <n v="70702"/>
  </r>
  <r>
    <x v="15"/>
    <s v="190-001744"/>
    <s v="Værløse Svømmehal, KV60"/>
    <n v="8880"/>
    <s v="0"/>
    <s v="BI-måler varme"/>
    <x v="123"/>
    <x v="1"/>
    <x v="2"/>
    <n v="1143"/>
    <n v="7"/>
    <s v="2012-07-31"/>
    <n v="0"/>
    <n v="0"/>
    <n v="11430"/>
    <n v="1"/>
    <x v="1"/>
    <x v="3758"/>
    <n v="221.28"/>
    <n v="1"/>
    <s v="4375566 ME13 BV02"/>
    <m/>
    <n v="1142.99999"/>
    <n v="0"/>
    <n v="70980"/>
  </r>
  <r>
    <x v="15"/>
    <s v="190-001744"/>
    <s v="Værløse Svømmehal, KV60"/>
    <n v="8880"/>
    <s v="0"/>
    <s v="BI-måler varme"/>
    <x v="123"/>
    <x v="1"/>
    <x v="2"/>
    <n v="7256.53"/>
    <n v="12"/>
    <s v="2015-05-06"/>
    <n v="0"/>
    <n v="0"/>
    <n v="72565.3"/>
    <n v="1"/>
    <x v="1"/>
    <x v="3759"/>
    <n v="1446.92"/>
    <n v="1"/>
    <s v="4372267 ME5 VE05"/>
    <m/>
    <n v="7256.5151400000004"/>
    <n v="0"/>
    <n v="70982"/>
  </r>
  <r>
    <x v="15"/>
    <s v="190-001744"/>
    <s v="Værløse Svømmehal, KV60"/>
    <n v="8880"/>
    <s v="0"/>
    <s v="BI-måler varme"/>
    <x v="123"/>
    <x v="1"/>
    <x v="2"/>
    <n v="830.61"/>
    <n v="12"/>
    <s v="2015-05-05"/>
    <n v="0"/>
    <n v="0"/>
    <n v="8306.1"/>
    <n v="1"/>
    <x v="1"/>
    <x v="3760"/>
    <n v="159.59"/>
    <n v="1"/>
    <s v="4372265 ME4 VE04"/>
    <m/>
    <n v="830.61364000000003"/>
    <n v="0"/>
    <n v="70983"/>
  </r>
  <r>
    <x v="15"/>
    <s v="190-001744"/>
    <s v="Værløse Svømmehal, KV60"/>
    <n v="8880"/>
    <s v="0"/>
    <s v="BI-måler varme"/>
    <x v="123"/>
    <x v="1"/>
    <x v="2"/>
    <n v="217462.5"/>
    <n v="8"/>
    <s v="2012-08-28"/>
    <n v="0"/>
    <n v="0"/>
    <n v="2174625"/>
    <n v="1"/>
    <x v="1"/>
    <x v="3761"/>
    <n v="44712.5"/>
    <n v="1"/>
    <s v="4378475 ME12 BV01"/>
    <m/>
    <n v="217462.5"/>
    <n v="0"/>
    <n v="70985"/>
  </r>
  <r>
    <x v="15"/>
    <s v="190-001744"/>
    <s v="Værløse Svømmehal, KV60"/>
    <n v="8880"/>
    <s v="0"/>
    <s v="BI-måler varme"/>
    <x v="123"/>
    <x v="1"/>
    <x v="2"/>
    <n v="3432.31"/>
    <n v="12"/>
    <s v="2015-05-05"/>
    <n v="0"/>
    <n v="0"/>
    <n v="34323.1"/>
    <n v="1"/>
    <x v="1"/>
    <x v="3762"/>
    <n v="689.05"/>
    <n v="1"/>
    <s v="4376015 ME10 GV01"/>
    <m/>
    <n v="3432.3182000000002"/>
    <n v="0"/>
    <n v="70988"/>
  </r>
  <r>
    <x v="15"/>
    <s v="190-001744"/>
    <s v="Værløse Svømmehal, KV60"/>
    <n v="8880"/>
    <s v="0"/>
    <s v="BI-måler varme"/>
    <x v="123"/>
    <x v="1"/>
    <x v="3"/>
    <n v="23407.69"/>
    <n v="12"/>
    <s v="2015-05-05"/>
    <n v="0"/>
    <n v="0"/>
    <n v="234076.9"/>
    <n v="1"/>
    <x v="1"/>
    <x v="3763"/>
    <n v="4771.7"/>
    <n v="1"/>
    <s v="4378476 ME8 25M"/>
    <m/>
    <n v="23407.696090000001"/>
    <n v="0"/>
    <n v="70978"/>
  </r>
  <r>
    <x v="15"/>
    <s v="190-001744"/>
    <s v="Værløse Svømmehal, KV60"/>
    <n v="8880"/>
    <s v="0"/>
    <s v="BI-måler varme"/>
    <x v="123"/>
    <x v="1"/>
    <x v="3"/>
    <n v="17572.8"/>
    <n v="12"/>
    <s v="2015-05-05"/>
    <n v="0"/>
    <n v="0"/>
    <n v="175728"/>
    <n v="1"/>
    <x v="1"/>
    <x v="3764"/>
    <n v="3554.52"/>
    <n v="1"/>
    <s v="4376014 ME7 RA01"/>
    <m/>
    <n v="17572.784309999999"/>
    <n v="0"/>
    <n v="70981"/>
  </r>
  <r>
    <x v="15"/>
    <s v="190-001744"/>
    <s v="Værløse Svømmehal, KV60"/>
    <n v="8880"/>
    <s v="0"/>
    <s v="BI-måler varme"/>
    <x v="123"/>
    <x v="1"/>
    <x v="3"/>
    <n v="147.97999999999999"/>
    <n v="12"/>
    <s v="2015-05-05"/>
    <n v="0"/>
    <n v="0"/>
    <n v="1479.8"/>
    <n v="1"/>
    <x v="1"/>
    <x v="3765"/>
    <n v="29.42"/>
    <n v="1"/>
    <s v="4372265 ME4 VE04"/>
    <m/>
    <n v="147.97548"/>
    <n v="0"/>
    <n v="70983"/>
  </r>
  <r>
    <x v="15"/>
    <s v="190-001744"/>
    <s v="Værløse Svømmehal, KV60"/>
    <n v="8880"/>
    <s v="0"/>
    <s v="BI-måler varme"/>
    <x v="123"/>
    <x v="1"/>
    <x v="3"/>
    <n v="1851.39"/>
    <n v="12"/>
    <s v="2015-05-05"/>
    <n v="0"/>
    <n v="0"/>
    <n v="18513.900000000001"/>
    <n v="1"/>
    <x v="1"/>
    <x v="3766"/>
    <n v="360.92"/>
    <n v="1"/>
    <s v="4372274 ME3 VE03"/>
    <m/>
    <n v="1851.3921499999999"/>
    <n v="0"/>
    <n v="70984"/>
  </r>
  <r>
    <x v="15"/>
    <s v="190-001744"/>
    <s v="Værløse Svømmehal, KV60"/>
    <n v="8880"/>
    <s v="0"/>
    <s v="BI-måler varme"/>
    <x v="123"/>
    <x v="1"/>
    <x v="3"/>
    <n v="177365.59"/>
    <n v="12"/>
    <s v="2015-05-05"/>
    <n v="0"/>
    <n v="0"/>
    <n v="1773655.9"/>
    <n v="1"/>
    <x v="1"/>
    <x v="3767"/>
    <n v="37832.51"/>
    <n v="1"/>
    <s v="4372276 ME9 TB"/>
    <m/>
    <n v="177365.59314000001"/>
    <n v="0"/>
    <n v="70986"/>
  </r>
  <r>
    <x v="15"/>
    <s v="190-001744"/>
    <s v="Værløse Svømmehal, KV60"/>
    <n v="8880"/>
    <s v="0"/>
    <s v="BI-måler varme"/>
    <x v="123"/>
    <x v="1"/>
    <x v="3"/>
    <n v="112914.04"/>
    <n v="12"/>
    <s v="2015-05-05"/>
    <n v="0"/>
    <n v="0"/>
    <n v="1129140.3999999999"/>
    <n v="1"/>
    <x v="1"/>
    <x v="3768"/>
    <n v="16041.54"/>
    <n v="1"/>
    <s v="4372271-ME2 VE02"/>
    <m/>
    <n v="112914.049"/>
    <n v="0"/>
    <n v="70702"/>
  </r>
  <r>
    <x v="15"/>
    <s v="190-001744"/>
    <s v="Værløse Svømmehal, KV60"/>
    <n v="8880"/>
    <s v="0"/>
    <s v="BI-måler varme"/>
    <x v="123"/>
    <x v="1"/>
    <x v="3"/>
    <n v="522839.42"/>
    <n v="12"/>
    <s v="2015-05-05"/>
    <n v="0"/>
    <n v="0"/>
    <n v="5228394.2"/>
    <n v="1"/>
    <x v="1"/>
    <x v="3769"/>
    <n v="108259"/>
    <n v="1"/>
    <s v="4372281 ME1 VE01"/>
    <m/>
    <n v="522839.41175000003"/>
    <n v="0"/>
    <n v="70979"/>
  </r>
  <r>
    <x v="15"/>
    <s v="190-001744"/>
    <s v="Værløse Svømmehal, KV60"/>
    <n v="8880"/>
    <s v="0"/>
    <s v="BI-måler varme"/>
    <x v="123"/>
    <x v="1"/>
    <x v="3"/>
    <n v="5180.01"/>
    <n v="12"/>
    <s v="2012-07-31"/>
    <n v="0"/>
    <n v="0"/>
    <n v="51800.1"/>
    <n v="1"/>
    <x v="1"/>
    <x v="3770"/>
    <n v="1165.52"/>
    <n v="1"/>
    <s v="4375566 ME13 BV02"/>
    <m/>
    <n v="5179.9999900000003"/>
    <n v="0"/>
    <n v="70980"/>
  </r>
  <r>
    <x v="15"/>
    <s v="190-001744"/>
    <s v="Værløse Svømmehal, KV60"/>
    <n v="8880"/>
    <s v="0"/>
    <s v="BI-måler varme"/>
    <x v="123"/>
    <x v="1"/>
    <x v="3"/>
    <n v="1991.12"/>
    <n v="12"/>
    <s v="2015-05-06"/>
    <n v="0"/>
    <n v="0"/>
    <n v="19911.2"/>
    <n v="1"/>
    <x v="1"/>
    <x v="3771"/>
    <n v="378.94"/>
    <n v="1"/>
    <s v="4372267 ME5 VE05"/>
    <m/>
    <n v="1991.1176499999999"/>
    <n v="0"/>
    <n v="70982"/>
  </r>
  <r>
    <x v="15"/>
    <s v="190-001744"/>
    <s v="Værløse Svømmehal, KV60"/>
    <n v="8880"/>
    <s v="0"/>
    <s v="BI-måler varme"/>
    <x v="123"/>
    <x v="1"/>
    <x v="3"/>
    <n v="218746.91"/>
    <n v="12"/>
    <s v="2012-08-28"/>
    <n v="0"/>
    <n v="0"/>
    <n v="2187469.1"/>
    <n v="1"/>
    <x v="1"/>
    <x v="3772"/>
    <n v="45691.21"/>
    <n v="1"/>
    <s v="4378475 ME12 BV01"/>
    <m/>
    <n v="218746.91175999999"/>
    <n v="0"/>
    <n v="70985"/>
  </r>
  <r>
    <x v="15"/>
    <s v="190-001744"/>
    <s v="Værløse Svømmehal, KV60"/>
    <n v="8880"/>
    <s v="0"/>
    <s v="BI-måler varme"/>
    <x v="123"/>
    <x v="1"/>
    <x v="3"/>
    <n v="160725.97"/>
    <n v="12"/>
    <s v="2015-05-05"/>
    <n v="0"/>
    <n v="0"/>
    <n v="1607259.7"/>
    <n v="1"/>
    <x v="1"/>
    <x v="3773"/>
    <n v="34564.019999999997"/>
    <n v="1"/>
    <s v="4372275 ME11 VVB"/>
    <m/>
    <n v="160725.9902"/>
    <n v="0"/>
    <n v="70987"/>
  </r>
  <r>
    <x v="15"/>
    <s v="190-001744"/>
    <s v="Værløse Svømmehal, KV60"/>
    <n v="8880"/>
    <s v="0"/>
    <s v="BI-måler varme"/>
    <x v="123"/>
    <x v="1"/>
    <x v="3"/>
    <n v="4540.6099999999997"/>
    <n v="12"/>
    <s v="2015-05-05"/>
    <n v="0"/>
    <n v="0"/>
    <n v="45406.1"/>
    <n v="1"/>
    <x v="1"/>
    <x v="3774"/>
    <n v="913.34"/>
    <n v="1"/>
    <s v="4376015 ME10 GV01"/>
    <m/>
    <n v="4540.5882300000003"/>
    <n v="0"/>
    <n v="70988"/>
  </r>
  <r>
    <x v="15"/>
    <s v="190-001744"/>
    <s v="Værløse Svømmehal, KV60"/>
    <n v="8880"/>
    <s v="0"/>
    <s v="BI-måler varme"/>
    <x v="123"/>
    <x v="1"/>
    <x v="4"/>
    <n v="130096.99"/>
    <n v="12"/>
    <s v="2015-05-05"/>
    <n v="0"/>
    <n v="0"/>
    <n v="1300969.8999999999"/>
    <n v="1"/>
    <x v="1"/>
    <x v="3775"/>
    <n v="15571.07"/>
    <n v="1"/>
    <s v="4372271-ME2 VE02"/>
    <m/>
    <n v="130096.97477"/>
    <n v="0"/>
    <n v="70702"/>
  </r>
  <r>
    <x v="15"/>
    <s v="190-001744"/>
    <s v="Værløse Svømmehal, KV60"/>
    <n v="8880"/>
    <s v="0"/>
    <s v="BI-måler varme"/>
    <x v="123"/>
    <x v="1"/>
    <x v="4"/>
    <n v="19701.48"/>
    <n v="12"/>
    <s v="2015-05-05"/>
    <n v="0"/>
    <n v="0"/>
    <n v="197014.8"/>
    <n v="1"/>
    <x v="1"/>
    <x v="3776"/>
    <n v="11303.66"/>
    <n v="1"/>
    <s v="4378476 ME8 25M"/>
    <m/>
    <n v="19701.470590000001"/>
    <n v="0"/>
    <n v="70978"/>
  </r>
  <r>
    <x v="15"/>
    <s v="190-001744"/>
    <s v="Værløse Svømmehal, KV60"/>
    <n v="8880"/>
    <s v="0"/>
    <s v="BI-måler varme"/>
    <x v="123"/>
    <x v="1"/>
    <x v="4"/>
    <n v="10344.290000000001"/>
    <n v="12"/>
    <s v="2012-07-31"/>
    <n v="0"/>
    <n v="0"/>
    <n v="103442.9"/>
    <n v="1"/>
    <x v="1"/>
    <x v="3777"/>
    <n v="2382.75"/>
    <n v="1"/>
    <s v="4375566 ME13 BV02"/>
    <m/>
    <n v="10344.28571"/>
    <n v="0"/>
    <n v="70980"/>
  </r>
  <r>
    <x v="15"/>
    <s v="190-001744"/>
    <s v="Værløse Svømmehal, KV60"/>
    <n v="8880"/>
    <s v="0"/>
    <s v="BI-måler varme"/>
    <x v="123"/>
    <x v="1"/>
    <x v="4"/>
    <n v="17627.46"/>
    <n v="12"/>
    <s v="2015-05-05"/>
    <n v="0"/>
    <n v="0"/>
    <n v="176274.6"/>
    <n v="1"/>
    <x v="1"/>
    <x v="3778"/>
    <n v="2927.52"/>
    <n v="1"/>
    <s v="4376014 ME7 RA01"/>
    <m/>
    <n v="17627.45377"/>
    <n v="0"/>
    <n v="70981"/>
  </r>
  <r>
    <x v="15"/>
    <s v="190-001744"/>
    <s v="Værløse Svømmehal, KV60"/>
    <n v="8880"/>
    <s v="0"/>
    <s v="BI-måler varme"/>
    <x v="123"/>
    <x v="1"/>
    <x v="4"/>
    <n v="547.44000000000005"/>
    <n v="12"/>
    <s v="2015-05-05"/>
    <n v="0"/>
    <n v="0"/>
    <n v="5474.4"/>
    <n v="1"/>
    <x v="1"/>
    <x v="3779"/>
    <n v="93.65"/>
    <n v="1"/>
    <s v="4372265 ME4 VE04"/>
    <m/>
    <n v="547.44115999999997"/>
    <n v="0"/>
    <n v="70983"/>
  </r>
  <r>
    <x v="15"/>
    <s v="190-001744"/>
    <s v="Værløse Svømmehal, KV60"/>
    <n v="8880"/>
    <s v="0"/>
    <s v="BI-måler varme"/>
    <x v="123"/>
    <x v="1"/>
    <x v="4"/>
    <n v="206137.76"/>
    <n v="12"/>
    <s v="2015-05-05"/>
    <n v="0"/>
    <n v="0"/>
    <n v="2061377.6"/>
    <n v="1"/>
    <x v="1"/>
    <x v="3780"/>
    <n v="51231.71"/>
    <n v="1"/>
    <s v="4372276 ME9 TB"/>
    <m/>
    <n v="206137.75211"/>
    <n v="0"/>
    <n v="70986"/>
  </r>
  <r>
    <x v="15"/>
    <s v="190-001744"/>
    <s v="Værløse Svømmehal, KV60"/>
    <n v="8880"/>
    <s v="0"/>
    <s v="BI-måler varme"/>
    <x v="123"/>
    <x v="1"/>
    <x v="4"/>
    <n v="4851.91"/>
    <n v="12"/>
    <s v="2015-05-05"/>
    <n v="0"/>
    <n v="0"/>
    <n v="48519.1"/>
    <n v="1"/>
    <x v="1"/>
    <x v="3781"/>
    <n v="806.66"/>
    <n v="1"/>
    <s v="4376015 ME10 GV01"/>
    <m/>
    <n v="4851.91176"/>
    <n v="0"/>
    <n v="70988"/>
  </r>
  <r>
    <x v="15"/>
    <s v="190-001744"/>
    <s v="Værløse Svømmehal, KV60"/>
    <n v="8880"/>
    <s v="0"/>
    <s v="BI-måler varme"/>
    <x v="123"/>
    <x v="1"/>
    <x v="4"/>
    <n v="452172.02"/>
    <n v="12"/>
    <s v="2015-05-05"/>
    <n v="0"/>
    <n v="0"/>
    <n v="4521720.2"/>
    <n v="1"/>
    <x v="1"/>
    <x v="3782"/>
    <n v="77021.61"/>
    <n v="1"/>
    <s v="4372281 ME1 VE01"/>
    <m/>
    <n v="452172.01681"/>
    <n v="0"/>
    <n v="70979"/>
  </r>
  <r>
    <x v="15"/>
    <s v="190-001744"/>
    <s v="Værløse Svømmehal, KV60"/>
    <n v="8880"/>
    <s v="0"/>
    <s v="BI-måler varme"/>
    <x v="123"/>
    <x v="1"/>
    <x v="4"/>
    <n v="4460.0200000000004"/>
    <n v="12"/>
    <s v="2015-05-06"/>
    <n v="0"/>
    <n v="0"/>
    <n v="44600.2"/>
    <n v="1"/>
    <x v="1"/>
    <x v="3783"/>
    <n v="738.61"/>
    <n v="1"/>
    <s v="4372267 ME5 VE05"/>
    <m/>
    <n v="4460.0252099999998"/>
    <n v="0"/>
    <n v="70982"/>
  </r>
  <r>
    <x v="15"/>
    <s v="190-001744"/>
    <s v="Værløse Svømmehal, KV60"/>
    <n v="8880"/>
    <s v="0"/>
    <s v="BI-måler varme"/>
    <x v="123"/>
    <x v="1"/>
    <x v="4"/>
    <n v="10598.73"/>
    <n v="12"/>
    <s v="2015-05-05"/>
    <n v="0"/>
    <n v="0"/>
    <n v="105987.3"/>
    <n v="1"/>
    <x v="1"/>
    <x v="3784"/>
    <n v="1853.9"/>
    <n v="1"/>
    <s v="4372274 ME3 VE03"/>
    <m/>
    <n v="10598.72689"/>
    <n v="0"/>
    <n v="70984"/>
  </r>
  <r>
    <x v="15"/>
    <s v="190-001744"/>
    <s v="Værløse Svømmehal, KV60"/>
    <n v="8880"/>
    <s v="0"/>
    <s v="BI-måler varme"/>
    <x v="123"/>
    <x v="1"/>
    <x v="4"/>
    <n v="264363.45"/>
    <n v="12"/>
    <s v="2012-08-28"/>
    <n v="0"/>
    <n v="0"/>
    <n v="2643634.5"/>
    <n v="1"/>
    <x v="1"/>
    <x v="3785"/>
    <n v="53800.13"/>
    <n v="1"/>
    <s v="4378475 ME12 BV01"/>
    <m/>
    <n v="264363.44537999999"/>
    <n v="0"/>
    <n v="70985"/>
  </r>
  <r>
    <x v="15"/>
    <s v="190-001744"/>
    <s v="Værløse Svømmehal, KV60"/>
    <n v="8880"/>
    <s v="0"/>
    <s v="BI-måler varme"/>
    <x v="123"/>
    <x v="1"/>
    <x v="4"/>
    <n v="163841.54"/>
    <n v="13"/>
    <s v="2015-05-05"/>
    <n v="0"/>
    <n v="0"/>
    <n v="1638415.4"/>
    <n v="1"/>
    <x v="1"/>
    <x v="3786"/>
    <n v="37132.769999999997"/>
    <n v="1"/>
    <s v="4372275 ME11 VVB"/>
    <m/>
    <n v="163841.53361000001"/>
    <n v="0"/>
    <n v="70987"/>
  </r>
  <r>
    <x v="15"/>
    <s v="190-001744"/>
    <s v="Værløse Svømmehal, KV60"/>
    <n v="8880"/>
    <s v="0"/>
    <s v="BI-måler varme"/>
    <x v="123"/>
    <x v="1"/>
    <x v="5"/>
    <n v="157073.26999999999"/>
    <n v="11"/>
    <s v="2015-05-05"/>
    <n v="0"/>
    <n v="0"/>
    <n v="1570732.7"/>
    <n v="1"/>
    <x v="1"/>
    <x v="3787"/>
    <n v="24470.13"/>
    <n v="1"/>
    <s v="4372271-ME2 VE02"/>
    <m/>
    <n v="157073.27187999999"/>
    <n v="0"/>
    <n v="70702"/>
  </r>
  <r>
    <x v="15"/>
    <s v="190-001744"/>
    <s v="Værløse Svømmehal, KV60"/>
    <n v="8880"/>
    <s v="0"/>
    <s v="BI-måler varme"/>
    <x v="123"/>
    <x v="1"/>
    <x v="5"/>
    <n v="16529.03"/>
    <n v="10"/>
    <s v="2015-05-05"/>
    <n v="0"/>
    <n v="0"/>
    <n v="165290.29999999999"/>
    <n v="1"/>
    <x v="1"/>
    <x v="3788"/>
    <n v="4049.56"/>
    <n v="1"/>
    <s v="4378476 ME8 25M"/>
    <m/>
    <n v="16529.03225"/>
    <n v="0"/>
    <n v="70978"/>
  </r>
  <r>
    <x v="15"/>
    <s v="190-001744"/>
    <s v="Værløse Svømmehal, KV60"/>
    <n v="8880"/>
    <s v="0"/>
    <s v="BI-måler varme"/>
    <x v="123"/>
    <x v="1"/>
    <x v="5"/>
    <n v="11486.09"/>
    <n v="11"/>
    <s v="2012-07-31"/>
    <n v="0"/>
    <n v="0"/>
    <n v="114860.9"/>
    <n v="1"/>
    <x v="1"/>
    <x v="3789"/>
    <n v="2969.21"/>
    <n v="1"/>
    <s v="4375566 ME13 BV02"/>
    <m/>
    <n v="11486.1014"/>
    <n v="0"/>
    <n v="70980"/>
  </r>
  <r>
    <x v="15"/>
    <s v="190-001744"/>
    <s v="Værløse Svømmehal, KV60"/>
    <n v="8880"/>
    <s v="0"/>
    <s v="BI-måler varme"/>
    <x v="123"/>
    <x v="1"/>
    <x v="5"/>
    <n v="1352.26"/>
    <n v="10"/>
    <s v="2015-05-05"/>
    <n v="0"/>
    <n v="0"/>
    <n v="13522.6"/>
    <n v="1"/>
    <x v="1"/>
    <x v="3790"/>
    <n v="292.02999999999997"/>
    <n v="1"/>
    <s v="4372265 ME4 VE04"/>
    <m/>
    <n v="1352.2580599999999"/>
    <n v="0"/>
    <n v="70983"/>
  </r>
  <r>
    <x v="15"/>
    <s v="190-001744"/>
    <s v="Værløse Svømmehal, KV60"/>
    <n v="8880"/>
    <s v="0"/>
    <s v="BI-måler varme"/>
    <x v="123"/>
    <x v="1"/>
    <x v="5"/>
    <n v="234805.53"/>
    <n v="11"/>
    <s v="2012-08-28"/>
    <n v="0"/>
    <n v="0"/>
    <n v="2348055.2999999998"/>
    <n v="1"/>
    <x v="1"/>
    <x v="3791"/>
    <n v="57238.35"/>
    <n v="1"/>
    <s v="4378475 ME12 BV01"/>
    <m/>
    <n v="234805.52997"/>
    <n v="0"/>
    <n v="70985"/>
  </r>
  <r>
    <x v="15"/>
    <s v="190-001744"/>
    <s v="Værløse Svømmehal, KV60"/>
    <n v="8880"/>
    <s v="0"/>
    <s v="BI-måler varme"/>
    <x v="123"/>
    <x v="1"/>
    <x v="5"/>
    <n v="223473.75"/>
    <n v="11"/>
    <s v="2015-05-05"/>
    <n v="0"/>
    <n v="0"/>
    <n v="2234737.5"/>
    <n v="1"/>
    <x v="1"/>
    <x v="3792"/>
    <n v="58397.08"/>
    <n v="1"/>
    <s v="4372276 ME9 TB"/>
    <m/>
    <n v="223473.73271000001"/>
    <n v="0"/>
    <n v="70986"/>
  </r>
  <r>
    <x v="15"/>
    <s v="190-001744"/>
    <s v="Værløse Svømmehal, KV60"/>
    <n v="8880"/>
    <s v="0"/>
    <s v="BI-måler varme"/>
    <x v="123"/>
    <x v="1"/>
    <x v="5"/>
    <n v="3403.61"/>
    <n v="11"/>
    <s v="2015-05-05"/>
    <n v="0"/>
    <n v="0"/>
    <n v="34036.1"/>
    <n v="1"/>
    <x v="1"/>
    <x v="3793"/>
    <n v="660.39"/>
    <n v="1"/>
    <s v="4376015 ME10 GV01"/>
    <m/>
    <n v="3403.6129000000001"/>
    <n v="0"/>
    <n v="70988"/>
  </r>
  <r>
    <x v="15"/>
    <s v="190-001744"/>
    <s v="Værløse Svømmehal, KV60"/>
    <n v="8880"/>
    <s v="0"/>
    <s v="BI-måler varme"/>
    <x v="123"/>
    <x v="1"/>
    <x v="5"/>
    <n v="326054.36"/>
    <n v="11"/>
    <s v="2015-05-05"/>
    <n v="0"/>
    <n v="0"/>
    <n v="3260543.6"/>
    <n v="1"/>
    <x v="1"/>
    <x v="3794"/>
    <n v="66428.02"/>
    <n v="1"/>
    <s v="4372281 ME1 VE01"/>
    <m/>
    <n v="326054.37790000002"/>
    <n v="0"/>
    <n v="70979"/>
  </r>
  <r>
    <x v="15"/>
    <s v="190-001744"/>
    <s v="Værløse Svømmehal, KV60"/>
    <n v="8880"/>
    <s v="0"/>
    <s v="BI-måler varme"/>
    <x v="123"/>
    <x v="1"/>
    <x v="5"/>
    <n v="11164.98"/>
    <n v="11"/>
    <s v="2015-05-05"/>
    <n v="0"/>
    <n v="0"/>
    <n v="111649.8"/>
    <n v="1"/>
    <x v="1"/>
    <x v="3795"/>
    <n v="2263.19"/>
    <n v="1"/>
    <s v="4376014 ME7 RA01"/>
    <m/>
    <n v="11164.97695"/>
    <n v="0"/>
    <n v="70981"/>
  </r>
  <r>
    <x v="15"/>
    <s v="190-001744"/>
    <s v="Værløse Svømmehal, KV60"/>
    <n v="8880"/>
    <s v="0"/>
    <s v="BI-måler varme"/>
    <x v="123"/>
    <x v="1"/>
    <x v="5"/>
    <n v="6219.64"/>
    <n v="10"/>
    <s v="2015-05-06"/>
    <n v="0"/>
    <n v="0"/>
    <n v="62196.4"/>
    <n v="1"/>
    <x v="1"/>
    <x v="3796"/>
    <n v="1196.9100000000001"/>
    <n v="1"/>
    <s v="4372267 ME5 VE05"/>
    <m/>
    <n v="6219.6313300000002"/>
    <n v="0"/>
    <n v="70982"/>
  </r>
  <r>
    <x v="15"/>
    <s v="190-001744"/>
    <s v="Værløse Svømmehal, KV60"/>
    <n v="8880"/>
    <s v="0"/>
    <s v="BI-måler varme"/>
    <x v="123"/>
    <x v="1"/>
    <x v="5"/>
    <n v="6843.64"/>
    <n v="11"/>
    <s v="2015-05-05"/>
    <n v="0"/>
    <n v="0"/>
    <n v="68436.399999999994"/>
    <n v="1"/>
    <x v="1"/>
    <x v="3797"/>
    <n v="1319.95"/>
    <n v="1"/>
    <s v="4372274 ME3 VE03"/>
    <m/>
    <n v="6843.6497900000004"/>
    <n v="0"/>
    <n v="70984"/>
  </r>
  <r>
    <x v="15"/>
    <s v="190-001744"/>
    <s v="Værløse Svømmehal, KV60"/>
    <n v="8880"/>
    <s v="0"/>
    <s v="BI-måler varme"/>
    <x v="123"/>
    <x v="1"/>
    <x v="5"/>
    <n v="163573.26"/>
    <n v="11"/>
    <s v="2015-05-05"/>
    <n v="0"/>
    <n v="0"/>
    <n v="1635732.6"/>
    <n v="1"/>
    <x v="1"/>
    <x v="3798"/>
    <n v="42071.78"/>
    <n v="1"/>
    <s v="4372275 ME11 VVB"/>
    <m/>
    <n v="163573.27189"/>
    <n v="0"/>
    <n v="70987"/>
  </r>
  <r>
    <x v="15"/>
    <s v="190-001744"/>
    <s v="Værløse Svømmehal, KV60"/>
    <n v="8880"/>
    <s v="0"/>
    <s v="BI-måler varme"/>
    <x v="123"/>
    <x v="1"/>
    <x v="6"/>
    <n v="119350.56"/>
    <n v="12"/>
    <s v="2015-05-05"/>
    <n v="0"/>
    <n v="0"/>
    <n v="1193505.6000000001"/>
    <n v="1"/>
    <x v="1"/>
    <x v="3799"/>
    <n v="17118.57"/>
    <n v="1"/>
    <s v="4372271-ME2 VE02"/>
    <m/>
    <n v="119350.53762"/>
    <n v="0"/>
    <n v="70702"/>
  </r>
  <r>
    <x v="15"/>
    <s v="190-001744"/>
    <s v="Værløse Svømmehal, KV60"/>
    <n v="8880"/>
    <s v="0"/>
    <s v="BI-måler varme"/>
    <x v="123"/>
    <x v="1"/>
    <x v="6"/>
    <n v="9906.27"/>
    <n v="12"/>
    <s v="2012-07-31"/>
    <n v="0"/>
    <n v="0"/>
    <n v="99062.7"/>
    <n v="1"/>
    <x v="1"/>
    <x v="3800"/>
    <n v="2179.0100000000002"/>
    <n v="1"/>
    <s v="4375566 ME13 BV02"/>
    <m/>
    <n v="9906.2795900000001"/>
    <n v="0"/>
    <n v="70980"/>
  </r>
  <r>
    <x v="15"/>
    <s v="190-001744"/>
    <s v="Værløse Svømmehal, KV60"/>
    <n v="8880"/>
    <s v="0"/>
    <s v="BI-måler varme"/>
    <x v="123"/>
    <x v="1"/>
    <x v="6"/>
    <n v="4720.62"/>
    <n v="12"/>
    <s v="2015-05-06"/>
    <n v="0"/>
    <n v="0"/>
    <n v="47206.2"/>
    <n v="1"/>
    <x v="1"/>
    <x v="3801"/>
    <n v="999.58"/>
    <n v="1"/>
    <s v="4372267 ME5 VE05"/>
    <m/>
    <n v="4720.6258099999995"/>
    <n v="0"/>
    <n v="70982"/>
  </r>
  <r>
    <x v="15"/>
    <s v="190-001744"/>
    <s v="Værløse Svømmehal, KV60"/>
    <n v="8880"/>
    <s v="0"/>
    <s v="BI-måler varme"/>
    <x v="123"/>
    <x v="1"/>
    <x v="6"/>
    <n v="4926.47"/>
    <n v="12"/>
    <s v="2015-05-05"/>
    <n v="0"/>
    <n v="0"/>
    <n v="49264.7"/>
    <n v="1"/>
    <x v="1"/>
    <x v="3802"/>
    <n v="1055.92"/>
    <n v="1"/>
    <s v="4372265 ME4 VE04"/>
    <m/>
    <n v="4926.4752699999999"/>
    <n v="0"/>
    <n v="70983"/>
  </r>
  <r>
    <x v="15"/>
    <s v="190-001744"/>
    <s v="Værløse Svømmehal, KV60"/>
    <n v="8880"/>
    <s v="0"/>
    <s v="BI-måler varme"/>
    <x v="123"/>
    <x v="1"/>
    <x v="6"/>
    <n v="229605.62"/>
    <n v="12"/>
    <s v="2012-08-28"/>
    <n v="0"/>
    <n v="0"/>
    <n v="2296056.2000000002"/>
    <n v="1"/>
    <x v="1"/>
    <x v="3803"/>
    <n v="50970.93"/>
    <n v="1"/>
    <s v="4378475 ME12 BV01"/>
    <m/>
    <n v="229605.61290000001"/>
    <n v="0"/>
    <n v="70985"/>
  </r>
  <r>
    <x v="15"/>
    <s v="190-001744"/>
    <s v="Værløse Svømmehal, KV60"/>
    <n v="8880"/>
    <s v="0"/>
    <s v="BI-måler varme"/>
    <x v="123"/>
    <x v="1"/>
    <x v="6"/>
    <n v="3551.33"/>
    <n v="12"/>
    <s v="2015-05-05"/>
    <n v="0"/>
    <n v="0"/>
    <n v="35513.300000000003"/>
    <n v="1"/>
    <x v="1"/>
    <x v="3804"/>
    <n v="769.92"/>
    <n v="1"/>
    <s v="4376015 ME10 GV01"/>
    <m/>
    <n v="3551.32042"/>
    <n v="0"/>
    <n v="70988"/>
  </r>
  <r>
    <x v="15"/>
    <s v="190-001744"/>
    <s v="Værløse Svømmehal, KV60"/>
    <n v="8880"/>
    <s v="0"/>
    <s v="BI-måler varme"/>
    <x v="123"/>
    <x v="1"/>
    <x v="6"/>
    <n v="19604.3"/>
    <n v="12"/>
    <s v="2015-05-05"/>
    <n v="0"/>
    <n v="0"/>
    <n v="196043"/>
    <n v="1"/>
    <x v="1"/>
    <x v="3805"/>
    <n v="4554.95"/>
    <n v="1"/>
    <s v="4378476 ME8 25M"/>
    <m/>
    <n v="19604.301070000001"/>
    <n v="0"/>
    <n v="70978"/>
  </r>
  <r>
    <x v="15"/>
    <s v="190-001744"/>
    <s v="Værløse Svømmehal, KV60"/>
    <n v="8880"/>
    <s v="0"/>
    <s v="BI-måler varme"/>
    <x v="123"/>
    <x v="1"/>
    <x v="6"/>
    <n v="273190.88"/>
    <n v="12"/>
    <s v="2015-05-05"/>
    <n v="0"/>
    <n v="0"/>
    <n v="2731908.8"/>
    <n v="1"/>
    <x v="1"/>
    <x v="3806"/>
    <n v="58395.4"/>
    <n v="1"/>
    <s v="4372281 ME1 VE01"/>
    <m/>
    <n v="273190.86021000001"/>
    <n v="0"/>
    <n v="70979"/>
  </r>
  <r>
    <x v="15"/>
    <s v="190-001744"/>
    <s v="Værløse Svømmehal, KV60"/>
    <n v="8880"/>
    <s v="0"/>
    <s v="BI-måler varme"/>
    <x v="123"/>
    <x v="1"/>
    <x v="6"/>
    <n v="17388.580000000002"/>
    <n v="11"/>
    <s v="2015-05-05"/>
    <n v="0"/>
    <n v="0"/>
    <n v="173885.8"/>
    <n v="1"/>
    <x v="1"/>
    <x v="3807"/>
    <n v="3742.65"/>
    <n v="1"/>
    <s v="4376014 ME7 RA01"/>
    <m/>
    <n v="17388.58495"/>
    <n v="0"/>
    <n v="70981"/>
  </r>
  <r>
    <x v="15"/>
    <s v="190-001744"/>
    <s v="Værløse Svømmehal, KV60"/>
    <n v="8880"/>
    <s v="0"/>
    <s v="BI-måler varme"/>
    <x v="123"/>
    <x v="1"/>
    <x v="6"/>
    <n v="1158.05"/>
    <n v="12"/>
    <s v="2015-05-05"/>
    <n v="0"/>
    <n v="0"/>
    <n v="11580.5"/>
    <n v="1"/>
    <x v="1"/>
    <x v="3808"/>
    <n v="232.59"/>
    <n v="1"/>
    <s v="4372274 ME3 VE03"/>
    <m/>
    <n v="1158.0645300000001"/>
    <n v="0"/>
    <n v="70984"/>
  </r>
  <r>
    <x v="15"/>
    <s v="190-001744"/>
    <s v="Værløse Svømmehal, KV60"/>
    <n v="8880"/>
    <s v="0"/>
    <s v="BI-måler varme"/>
    <x v="123"/>
    <x v="1"/>
    <x v="6"/>
    <n v="222566.85"/>
    <n v="12"/>
    <s v="2015-05-05"/>
    <n v="0"/>
    <n v="0"/>
    <n v="2225668.5"/>
    <n v="1"/>
    <x v="1"/>
    <x v="3809"/>
    <n v="49785.89"/>
    <n v="1"/>
    <s v="4372276 ME9 TB"/>
    <m/>
    <n v="222566.83869999999"/>
    <n v="0"/>
    <n v="70986"/>
  </r>
  <r>
    <x v="15"/>
    <s v="190-001744"/>
    <s v="Værløse Svømmehal, KV60"/>
    <n v="8880"/>
    <s v="0"/>
    <s v="BI-måler varme"/>
    <x v="123"/>
    <x v="1"/>
    <x v="6"/>
    <n v="147429.13"/>
    <n v="12"/>
    <s v="2015-05-05"/>
    <n v="0"/>
    <n v="0"/>
    <n v="1474291.3"/>
    <n v="1"/>
    <x v="1"/>
    <x v="3810"/>
    <n v="32642.05"/>
    <n v="1"/>
    <s v="4372275 ME11 VVB"/>
    <m/>
    <n v="147429.13764"/>
    <n v="0"/>
    <n v="70987"/>
  </r>
  <r>
    <x v="15"/>
    <s v="190-001744"/>
    <s v="Værløse Svømmehal, KV60"/>
    <n v="8878"/>
    <m/>
    <s v="Værløse Svømmehal"/>
    <x v="123"/>
    <x v="1"/>
    <x v="0"/>
    <n v="675993.75"/>
    <n v="5"/>
    <m/>
    <n v="0"/>
    <n v="3615"/>
    <n v="186.991715"/>
    <n v="1"/>
    <x v="3"/>
    <x v="3811"/>
    <n v="1347.21"/>
    <n v="1"/>
    <m/>
    <m/>
    <n v="19375"/>
    <n v="76948"/>
    <n v="76949"/>
  </r>
  <r>
    <x v="15"/>
    <s v="190-001744"/>
    <s v="Værløse Svømmehal, KV60"/>
    <n v="8878"/>
    <m/>
    <s v="Værløse Svømmehal"/>
    <x v="123"/>
    <x v="0"/>
    <x v="0"/>
    <n v="1268400"/>
    <n v="5"/>
    <m/>
    <n v="0"/>
    <n v="3615"/>
    <n v="166.60673199999999"/>
    <n v="1"/>
    <x v="5"/>
    <x v="3812"/>
    <n v="41663.370000000003"/>
    <n v="0"/>
    <s v="25496/2002"/>
    <m/>
    <n v="602.29999999999995"/>
    <n v="0"/>
    <n v="76948"/>
  </r>
  <r>
    <x v="15"/>
    <s v="190-001744"/>
    <s v="Værløse Svømmehal, KV60"/>
    <n v="8878"/>
    <m/>
    <s v="Værløse Svømmehal"/>
    <x v="123"/>
    <x v="1"/>
    <x v="1"/>
    <n v="1453726.75"/>
    <n v="12"/>
    <m/>
    <n v="0"/>
    <n v="3615"/>
    <n v="402.12628899999999"/>
    <n v="1"/>
    <x v="3"/>
    <x v="3813"/>
    <n v="2822.5"/>
    <n v="1"/>
    <m/>
    <m/>
    <n v="41666"/>
    <n v="76948"/>
    <n v="76949"/>
  </r>
  <r>
    <x v="15"/>
    <s v="190-001744"/>
    <s v="Værløse Svømmehal, KV60"/>
    <n v="8878"/>
    <m/>
    <s v="Værløse Svømmehal"/>
    <x v="123"/>
    <x v="0"/>
    <x v="1"/>
    <n v="1376800"/>
    <n v="12"/>
    <m/>
    <n v="0"/>
    <n v="3615"/>
    <n v="380.84700199999997"/>
    <n v="1"/>
    <x v="5"/>
    <x v="3814"/>
    <n v="94229.16"/>
    <n v="0"/>
    <s v="25496/2002"/>
    <m/>
    <n v="1376.8"/>
    <n v="0"/>
    <n v="76948"/>
  </r>
  <r>
    <x v="15"/>
    <s v="190-001744"/>
    <s v="Værløse Svømmehal, KV60"/>
    <n v="8878"/>
    <m/>
    <s v="Værløse Svømmehal"/>
    <x v="123"/>
    <x v="1"/>
    <x v="2"/>
    <n v="1653262.65"/>
    <n v="12"/>
    <m/>
    <n v="0"/>
    <n v="3615"/>
    <n v="457.321415"/>
    <n v="1"/>
    <x v="3"/>
    <x v="3815"/>
    <n v="9086.1200000000008"/>
    <n v="1"/>
    <m/>
    <m/>
    <n v="47385"/>
    <n v="76948"/>
    <n v="76949"/>
  </r>
  <r>
    <x v="15"/>
    <s v="190-001744"/>
    <s v="Værløse Svømmehal, KV60"/>
    <n v="8878"/>
    <m/>
    <s v="Værløse Svømmehal"/>
    <x v="123"/>
    <x v="0"/>
    <x v="2"/>
    <n v="1374400"/>
    <n v="12"/>
    <m/>
    <n v="0"/>
    <n v="3615"/>
    <n v="380.18311999999997"/>
    <n v="1"/>
    <x v="5"/>
    <x v="3816"/>
    <n v="262343.49"/>
    <n v="0"/>
    <s v="25496/2002"/>
    <m/>
    <n v="1374.4"/>
    <n v="0"/>
    <n v="76948"/>
  </r>
  <r>
    <x v="15"/>
    <s v="190-001744"/>
    <s v="Værløse Svømmehal, KV60"/>
    <n v="8878"/>
    <m/>
    <s v="Værløse Svømmehal"/>
    <x v="123"/>
    <x v="1"/>
    <x v="3"/>
    <n v="1407916.17"/>
    <n v="12"/>
    <m/>
    <n v="0"/>
    <n v="3615"/>
    <n v="389.45427999999998"/>
    <n v="1"/>
    <x v="3"/>
    <x v="3817"/>
    <n v="7880.93"/>
    <n v="1"/>
    <m/>
    <m/>
    <n v="40353"/>
    <n v="76948"/>
    <n v="76949"/>
  </r>
  <r>
    <x v="15"/>
    <s v="190-001744"/>
    <s v="Værløse Svømmehal, KV60"/>
    <n v="8878"/>
    <m/>
    <s v="Værløse Svømmehal"/>
    <x v="123"/>
    <x v="0"/>
    <x v="3"/>
    <n v="1283000"/>
    <n v="12"/>
    <m/>
    <n v="0"/>
    <n v="3615"/>
    <n v="354.90027900000001"/>
    <n v="1"/>
    <x v="5"/>
    <x v="3818"/>
    <n v="250367.38"/>
    <n v="0"/>
    <s v="25496/2002"/>
    <m/>
    <n v="1283"/>
    <n v="0"/>
    <n v="76948"/>
  </r>
  <r>
    <x v="15"/>
    <s v="190-001744"/>
    <s v="Værløse Svømmehal, KV60"/>
    <n v="8878"/>
    <m/>
    <s v="Værløse Svømmehal"/>
    <x v="123"/>
    <x v="1"/>
    <x v="4"/>
    <n v="1541893.77"/>
    <n v="12"/>
    <m/>
    <n v="0"/>
    <n v="3615"/>
    <n v="426.51483200000001"/>
    <n v="1"/>
    <x v="3"/>
    <x v="3819"/>
    <n v="8120.01"/>
    <n v="1"/>
    <m/>
    <m/>
    <n v="44193"/>
    <n v="76948"/>
    <n v="76949"/>
  </r>
  <r>
    <x v="15"/>
    <s v="190-001744"/>
    <s v="Værløse Svømmehal, KV60"/>
    <n v="8878"/>
    <m/>
    <s v="Værløse Svømmehal"/>
    <x v="123"/>
    <x v="0"/>
    <x v="4"/>
    <n v="1308100"/>
    <n v="12"/>
    <m/>
    <n v="0"/>
    <n v="3615"/>
    <n v="361.84337900000003"/>
    <n v="1"/>
    <x v="5"/>
    <x v="3820"/>
    <n v="235071.65"/>
    <n v="0"/>
    <s v="25496/2002"/>
    <m/>
    <n v="1308.0999999999999"/>
    <n v="0"/>
    <n v="76948"/>
  </r>
  <r>
    <x v="15"/>
    <s v="190-001744"/>
    <s v="Værløse Svømmehal, KV60"/>
    <n v="8878"/>
    <m/>
    <s v="Værløse Svømmehal"/>
    <x v="123"/>
    <x v="1"/>
    <x v="5"/>
    <n v="1347172.68"/>
    <n v="12"/>
    <m/>
    <n v="0"/>
    <n v="3615"/>
    <n v="372.651567"/>
    <n v="1"/>
    <x v="3"/>
    <x v="3821"/>
    <n v="7810.27"/>
    <n v="1"/>
    <m/>
    <m/>
    <n v="38612"/>
    <n v="76948"/>
    <n v="76949"/>
  </r>
  <r>
    <x v="15"/>
    <s v="190-001744"/>
    <s v="Værløse Svømmehal, KV60"/>
    <n v="8878"/>
    <m/>
    <s v="Værløse Svømmehal"/>
    <x v="123"/>
    <x v="0"/>
    <x v="5"/>
    <n v="1184100"/>
    <n v="12"/>
    <m/>
    <n v="0"/>
    <n v="3615"/>
    <n v="327.54280599999998"/>
    <n v="1"/>
    <x v="5"/>
    <x v="3822"/>
    <n v="237391.54"/>
    <n v="0"/>
    <s v="25496/2002"/>
    <m/>
    <n v="1184.0999999999999"/>
    <n v="0"/>
    <n v="76948"/>
  </r>
  <r>
    <x v="15"/>
    <s v="190-001744"/>
    <s v="Værløse Svømmehal, KV60"/>
    <n v="8878"/>
    <m/>
    <s v="Værløse Svømmehal"/>
    <x v="123"/>
    <x v="0"/>
    <x v="6"/>
    <n v="442526.66"/>
    <n v="5"/>
    <s v="2008-05-01"/>
    <n v="0"/>
    <n v="3615"/>
    <n v="122.41062700000001"/>
    <n v="1"/>
    <x v="1"/>
    <x v="3823"/>
    <n v="93952.71"/>
    <n v="0"/>
    <s v="25496/2002"/>
    <m/>
    <n v="442526.66665999999"/>
    <n v="0"/>
    <n v="70700"/>
  </r>
  <r>
    <x v="15"/>
    <s v="190-001744"/>
    <s v="Værløse Svømmehal, KV60"/>
    <n v="8878"/>
    <m/>
    <s v="Værløse Svømmehal"/>
    <x v="123"/>
    <x v="1"/>
    <x v="6"/>
    <n v="655897.11"/>
    <n v="12"/>
    <m/>
    <n v="0"/>
    <n v="3615"/>
    <n v="181.43263200000001"/>
    <n v="1"/>
    <x v="3"/>
    <x v="3824"/>
    <n v="3851.06"/>
    <n v="1"/>
    <m/>
    <m/>
    <n v="18799"/>
    <n v="76948"/>
    <n v="76949"/>
  </r>
  <r>
    <x v="15"/>
    <s v="190-001744"/>
    <s v="Værløse Svømmehal, KV60"/>
    <n v="8878"/>
    <m/>
    <s v="Værløse Svømmehal"/>
    <x v="123"/>
    <x v="0"/>
    <x v="6"/>
    <n v="633200"/>
    <n v="8"/>
    <m/>
    <n v="0"/>
    <n v="3615"/>
    <n v="175.154214"/>
    <n v="1"/>
    <x v="5"/>
    <x v="3825"/>
    <n v="123480.3"/>
    <n v="0"/>
    <s v="25496/2002"/>
    <m/>
    <n v="633.20000000000005"/>
    <n v="0"/>
    <n v="76948"/>
  </r>
  <r>
    <x v="15"/>
    <s v="05148-9"/>
    <s v="Farum Svømmehal, Park 20"/>
    <n v="5451"/>
    <m/>
    <s v="Bimåler saunaer"/>
    <x v="122"/>
    <x v="1"/>
    <x v="0"/>
    <n v="9151.7800000000007"/>
    <n v="5"/>
    <s v="2015-05-04"/>
    <n v="0"/>
    <n v="0"/>
    <n v="91517.8"/>
    <n v="2"/>
    <x v="2"/>
    <x v="3826"/>
    <n v="3660.72"/>
    <n v="1"/>
    <s v="106980 FB gang"/>
    <m/>
    <n v="9151.78125"/>
    <n v="0"/>
    <n v="57640"/>
  </r>
  <r>
    <x v="15"/>
    <s v="05148-9"/>
    <s v="Farum Svømmehal, Park 20"/>
    <n v="5451"/>
    <m/>
    <s v="Bimåler saunaer"/>
    <x v="122"/>
    <x v="1"/>
    <x v="0"/>
    <n v="12684.01"/>
    <n v="5"/>
    <s v="2015-05-04"/>
    <n v="0"/>
    <n v="0"/>
    <n v="126840.1"/>
    <n v="2"/>
    <x v="2"/>
    <x v="3827"/>
    <n v="5073.6099999999997"/>
    <n v="1"/>
    <s v="Dame sauna"/>
    <m/>
    <n v="12684.00001"/>
    <n v="0"/>
    <n v="61886"/>
  </r>
  <r>
    <x v="15"/>
    <s v="05148-9"/>
    <s v="Farum Svømmehal, Park 20"/>
    <n v="5451"/>
    <m/>
    <s v="Bimåler saunaer"/>
    <x v="122"/>
    <x v="1"/>
    <x v="0"/>
    <n v="388.49"/>
    <n v="5"/>
    <s v="2015-05-04"/>
    <n v="0"/>
    <n v="0"/>
    <n v="3884.9"/>
    <n v="2"/>
    <x v="2"/>
    <x v="3828"/>
    <n v="155.4"/>
    <n v="1"/>
    <s v="Pige sauna"/>
    <m/>
    <n v="388.5"/>
    <n v="0"/>
    <n v="61888"/>
  </r>
  <r>
    <x v="15"/>
    <s v="05148-9"/>
    <s v="Farum Svømmehal, Park 20"/>
    <n v="5451"/>
    <m/>
    <s v="Bimåler saunaer"/>
    <x v="122"/>
    <x v="1"/>
    <x v="0"/>
    <n v="13136"/>
    <n v="5"/>
    <s v="2015-05-04"/>
    <n v="0"/>
    <n v="0"/>
    <n v="131360"/>
    <n v="2"/>
    <x v="2"/>
    <x v="3829"/>
    <n v="6160.79"/>
    <n v="1"/>
    <s v="Herre sauna"/>
    <m/>
    <n v="13136"/>
    <n v="0"/>
    <n v="68520"/>
  </r>
  <r>
    <x v="15"/>
    <s v="05148-9"/>
    <s v="Farum Svømmehal, Park 20"/>
    <n v="5451"/>
    <m/>
    <s v="Bimåler saunaer"/>
    <x v="122"/>
    <x v="1"/>
    <x v="0"/>
    <n v="130"/>
    <n v="5"/>
    <s v="2015-05-04"/>
    <n v="0"/>
    <n v="0"/>
    <n v="1300"/>
    <n v="2"/>
    <x v="2"/>
    <x v="3830"/>
    <n v="60.97"/>
    <n v="1"/>
    <s v="Drenge sauna"/>
    <m/>
    <n v="130"/>
    <n v="0"/>
    <n v="68519"/>
  </r>
  <r>
    <x v="15"/>
    <s v="05148-9"/>
    <s v="Farum Svømmehal, Park 20"/>
    <n v="5451"/>
    <m/>
    <s v="Bimåler saunaer"/>
    <x v="122"/>
    <x v="1"/>
    <x v="1"/>
    <n v="25897.5"/>
    <n v="11"/>
    <s v="2015-05-04"/>
    <n v="0"/>
    <n v="0"/>
    <n v="258975"/>
    <n v="2"/>
    <x v="2"/>
    <x v="3831"/>
    <n v="10358.99"/>
    <n v="1"/>
    <s v="106980 FB gang"/>
    <m/>
    <n v="25897.48876"/>
    <n v="0"/>
    <n v="57640"/>
  </r>
  <r>
    <x v="15"/>
    <s v="05148-9"/>
    <s v="Farum Svømmehal, Park 20"/>
    <n v="5451"/>
    <m/>
    <s v="Bimåler saunaer"/>
    <x v="122"/>
    <x v="1"/>
    <x v="1"/>
    <n v="1621.35"/>
    <n v="12"/>
    <s v="2015-05-04"/>
    <n v="0"/>
    <n v="0"/>
    <n v="16213.5"/>
    <n v="2"/>
    <x v="2"/>
    <x v="3832"/>
    <n v="648.54"/>
    <n v="1"/>
    <s v="Pige sauna"/>
    <m/>
    <n v="1621.3333399999999"/>
    <n v="0"/>
    <n v="61888"/>
  </r>
  <r>
    <x v="15"/>
    <s v="05148-9"/>
    <s v="Farum Svømmehal, Park 20"/>
    <n v="5451"/>
    <m/>
    <s v="Bimåler saunaer"/>
    <x v="122"/>
    <x v="1"/>
    <x v="1"/>
    <n v="33257.660000000003"/>
    <n v="12"/>
    <s v="2015-05-04"/>
    <n v="0"/>
    <n v="0"/>
    <n v="332576.59999999998"/>
    <n v="2"/>
    <x v="2"/>
    <x v="3833"/>
    <n v="15597.82"/>
    <n v="1"/>
    <s v="Herre sauna"/>
    <m/>
    <n v="33257.648500000003"/>
    <n v="0"/>
    <n v="68520"/>
  </r>
  <r>
    <x v="15"/>
    <s v="05148-9"/>
    <s v="Farum Svømmehal, Park 20"/>
    <n v="5451"/>
    <m/>
    <s v="Bimåler saunaer"/>
    <x v="122"/>
    <x v="1"/>
    <x v="1"/>
    <n v="24976.5"/>
    <n v="12"/>
    <s v="2015-05-04"/>
    <n v="0"/>
    <n v="0"/>
    <n v="249765"/>
    <n v="2"/>
    <x v="2"/>
    <x v="3834"/>
    <n v="9990.58"/>
    <n v="1"/>
    <s v="Dame sauna"/>
    <m/>
    <n v="24976.484840000001"/>
    <n v="0"/>
    <n v="61886"/>
  </r>
  <r>
    <x v="15"/>
    <s v="05148-9"/>
    <s v="Farum Svømmehal, Park 20"/>
    <n v="5451"/>
    <m/>
    <s v="Bimåler saunaer"/>
    <x v="122"/>
    <x v="1"/>
    <x v="1"/>
    <n v="1045.18"/>
    <n v="12"/>
    <s v="2015-05-04"/>
    <n v="0"/>
    <n v="0"/>
    <n v="10451.799999999999"/>
    <n v="2"/>
    <x v="2"/>
    <x v="3835"/>
    <n v="490.19"/>
    <n v="1"/>
    <s v="Drenge sauna"/>
    <m/>
    <n v="1045.18788"/>
    <n v="0"/>
    <n v="68519"/>
  </r>
  <r>
    <x v="15"/>
    <s v="05148-9"/>
    <s v="Farum Svømmehal, Park 20"/>
    <n v="5451"/>
    <m/>
    <s v="Bimåler saunaer"/>
    <x v="122"/>
    <x v="1"/>
    <x v="2"/>
    <n v="2915.4"/>
    <n v="13"/>
    <s v="2015-05-04"/>
    <n v="0"/>
    <n v="0"/>
    <n v="29154"/>
    <n v="2"/>
    <x v="2"/>
    <x v="3836"/>
    <n v="1166.1500000000001"/>
    <n v="1"/>
    <s v="Pige sauna"/>
    <m/>
    <n v="2915.3939300000002"/>
    <n v="0"/>
    <n v="61888"/>
  </r>
  <r>
    <x v="15"/>
    <s v="05148-9"/>
    <s v="Farum Svømmehal, Park 20"/>
    <n v="5451"/>
    <m/>
    <s v="Bimåler saunaer"/>
    <x v="122"/>
    <x v="1"/>
    <x v="2"/>
    <n v="2755.39"/>
    <n v="13"/>
    <s v="2015-05-04"/>
    <n v="0"/>
    <n v="0"/>
    <n v="27553.9"/>
    <n v="2"/>
    <x v="2"/>
    <x v="3837"/>
    <n v="1292.27"/>
    <n v="1"/>
    <s v="Drenge sauna"/>
    <m/>
    <n v="2755.3939500000001"/>
    <n v="0"/>
    <n v="68519"/>
  </r>
  <r>
    <x v="15"/>
    <s v="05148-9"/>
    <s v="Farum Svømmehal, Park 20"/>
    <n v="5451"/>
    <m/>
    <s v="Bimåler saunaer"/>
    <x v="122"/>
    <x v="1"/>
    <x v="2"/>
    <n v="28401.93"/>
    <n v="13"/>
    <s v="2015-05-04"/>
    <n v="0"/>
    <n v="0"/>
    <n v="284019.3"/>
    <n v="2"/>
    <x v="2"/>
    <x v="3838"/>
    <n v="13320.51"/>
    <n v="1"/>
    <s v="Herre sauna"/>
    <m/>
    <n v="28401.939399999999"/>
    <n v="0"/>
    <n v="68520"/>
  </r>
  <r>
    <x v="15"/>
    <s v="05148-9"/>
    <s v="Farum Svømmehal, Park 20"/>
    <n v="5451"/>
    <m/>
    <s v="Bimåler saunaer"/>
    <x v="122"/>
    <x v="1"/>
    <x v="2"/>
    <n v="20370.64"/>
    <n v="13"/>
    <s v="2015-05-04"/>
    <n v="0"/>
    <n v="0"/>
    <n v="203706.4"/>
    <n v="2"/>
    <x v="2"/>
    <x v="3839"/>
    <n v="8148.26"/>
    <n v="1"/>
    <s v="106980 FB gang"/>
    <m/>
    <n v="20370.63636"/>
    <n v="0"/>
    <n v="57640"/>
  </r>
  <r>
    <x v="15"/>
    <s v="05148-9"/>
    <s v="Farum Svømmehal, Park 20"/>
    <n v="5451"/>
    <m/>
    <s v="Bimåler saunaer"/>
    <x v="122"/>
    <x v="1"/>
    <x v="2"/>
    <n v="23081.21"/>
    <n v="13"/>
    <s v="2015-05-04"/>
    <n v="0"/>
    <n v="0"/>
    <n v="230812.1"/>
    <n v="2"/>
    <x v="2"/>
    <x v="3840"/>
    <n v="9232.5"/>
    <n v="1"/>
    <s v="Dame sauna"/>
    <m/>
    <n v="23081.21213"/>
    <n v="0"/>
    <n v="61886"/>
  </r>
  <r>
    <x v="15"/>
    <s v="05148-9"/>
    <s v="Farum Svømmehal, Park 20"/>
    <n v="5451"/>
    <m/>
    <s v="Bimåler saunaer"/>
    <x v="122"/>
    <x v="1"/>
    <x v="3"/>
    <n v="3963.16"/>
    <n v="12"/>
    <s v="2015-05-04"/>
    <n v="0"/>
    <n v="0"/>
    <n v="39631.599999999999"/>
    <n v="2"/>
    <x v="2"/>
    <x v="3841"/>
    <n v="1858.71"/>
    <n v="1"/>
    <s v="Drenge sauna"/>
    <m/>
    <n v="3963.1515100000001"/>
    <n v="0"/>
    <n v="68519"/>
  </r>
  <r>
    <x v="15"/>
    <s v="05148-9"/>
    <s v="Farum Svømmehal, Park 20"/>
    <n v="5451"/>
    <m/>
    <s v="Bimåler saunaer"/>
    <x v="122"/>
    <x v="1"/>
    <x v="3"/>
    <n v="16267.89"/>
    <n v="12"/>
    <s v="2015-05-04"/>
    <n v="0"/>
    <n v="0"/>
    <n v="162678.9"/>
    <n v="2"/>
    <x v="2"/>
    <x v="3842"/>
    <n v="7629.63"/>
    <n v="1"/>
    <s v="106980 FB gang"/>
    <m/>
    <n v="16267.878790000001"/>
    <n v="0"/>
    <n v="57640"/>
  </r>
  <r>
    <x v="15"/>
    <s v="05148-9"/>
    <s v="Farum Svømmehal, Park 20"/>
    <n v="5451"/>
    <m/>
    <s v="Bimåler saunaer"/>
    <x v="122"/>
    <x v="1"/>
    <x v="3"/>
    <n v="22533.32"/>
    <n v="12"/>
    <s v="2015-05-04"/>
    <n v="0"/>
    <n v="0"/>
    <n v="225333.2"/>
    <n v="2"/>
    <x v="2"/>
    <x v="3843"/>
    <n v="10568.12"/>
    <n v="1"/>
    <s v="Dame sauna"/>
    <m/>
    <n v="22533.333340000001"/>
    <n v="0"/>
    <n v="61886"/>
  </r>
  <r>
    <x v="15"/>
    <s v="05148-9"/>
    <s v="Farum Svømmehal, Park 20"/>
    <n v="5451"/>
    <m/>
    <s v="Bimåler saunaer"/>
    <x v="122"/>
    <x v="1"/>
    <x v="3"/>
    <n v="3705.69"/>
    <n v="12"/>
    <s v="2015-05-04"/>
    <n v="0"/>
    <n v="0"/>
    <n v="37056.9"/>
    <n v="2"/>
    <x v="2"/>
    <x v="3844"/>
    <n v="1737.97"/>
    <n v="1"/>
    <s v="Pige sauna"/>
    <m/>
    <n v="3705.69697"/>
    <n v="0"/>
    <n v="61888"/>
  </r>
  <r>
    <x v="15"/>
    <s v="05148-9"/>
    <s v="Farum Svømmehal, Park 20"/>
    <n v="5451"/>
    <m/>
    <s v="Bimåler saunaer"/>
    <x v="122"/>
    <x v="1"/>
    <x v="3"/>
    <n v="27433.71"/>
    <n v="12"/>
    <s v="2015-05-04"/>
    <n v="0"/>
    <n v="0"/>
    <n v="274337.09999999998"/>
    <n v="2"/>
    <x v="2"/>
    <x v="3845"/>
    <n v="12866.41"/>
    <n v="1"/>
    <s v="Herre sauna"/>
    <m/>
    <n v="27433.696980000001"/>
    <n v="0"/>
    <n v="68520"/>
  </r>
  <r>
    <x v="15"/>
    <s v="05148-9"/>
    <s v="Farum Svømmehal, Park 20"/>
    <n v="5451"/>
    <m/>
    <s v="Bimåler saunaer"/>
    <x v="122"/>
    <x v="1"/>
    <x v="4"/>
    <n v="4460.6099999999997"/>
    <n v="13"/>
    <s v="2015-05-04"/>
    <n v="0"/>
    <n v="0"/>
    <n v="44606.1"/>
    <n v="2"/>
    <x v="2"/>
    <x v="3846"/>
    <n v="2092.0100000000002"/>
    <n v="1"/>
    <s v="Drenge sauna"/>
    <m/>
    <n v="4460.6060500000003"/>
    <n v="0"/>
    <n v="68519"/>
  </r>
  <r>
    <x v="15"/>
    <s v="05148-9"/>
    <s v="Farum Svømmehal, Park 20"/>
    <n v="5451"/>
    <m/>
    <s v="Bimåler saunaer"/>
    <x v="122"/>
    <x v="1"/>
    <x v="4"/>
    <n v="18686.810000000001"/>
    <n v="12"/>
    <s v="2015-05-04"/>
    <n v="0"/>
    <n v="0"/>
    <n v="186868.1"/>
    <n v="2"/>
    <x v="2"/>
    <x v="3847"/>
    <n v="8764.1299999999992"/>
    <n v="1"/>
    <s v="106980 FB gang"/>
    <m/>
    <n v="18686.82532"/>
    <n v="0"/>
    <n v="57640"/>
  </r>
  <r>
    <x v="15"/>
    <s v="05148-9"/>
    <s v="Farum Svømmehal, Park 20"/>
    <n v="5451"/>
    <m/>
    <s v="Bimåler saunaer"/>
    <x v="122"/>
    <x v="1"/>
    <x v="4"/>
    <n v="22351.51"/>
    <n v="14"/>
    <s v="2015-05-04"/>
    <n v="0"/>
    <n v="0"/>
    <n v="223515.1"/>
    <n v="2"/>
    <x v="2"/>
    <x v="3848"/>
    <n v="10482.85"/>
    <n v="1"/>
    <s v="Dame sauna"/>
    <m/>
    <n v="22351.515149999999"/>
    <n v="0"/>
    <n v="61886"/>
  </r>
  <r>
    <x v="15"/>
    <s v="05148-9"/>
    <s v="Farum Svømmehal, Park 20"/>
    <n v="5451"/>
    <m/>
    <s v="Bimåler saunaer"/>
    <x v="122"/>
    <x v="1"/>
    <x v="4"/>
    <n v="4038.79"/>
    <n v="13"/>
    <s v="2015-05-04"/>
    <n v="0"/>
    <n v="0"/>
    <n v="40387.9"/>
    <n v="2"/>
    <x v="2"/>
    <x v="3849"/>
    <n v="1894.18"/>
    <n v="1"/>
    <s v="Pige sauna"/>
    <m/>
    <n v="4038.7878799999999"/>
    <n v="0"/>
    <n v="61888"/>
  </r>
  <r>
    <x v="15"/>
    <s v="05148-9"/>
    <s v="Farum Svømmehal, Park 20"/>
    <n v="5451"/>
    <m/>
    <s v="Bimåler saunaer"/>
    <x v="122"/>
    <x v="1"/>
    <x v="4"/>
    <n v="36349.57"/>
    <n v="14"/>
    <s v="2015-05-04"/>
    <n v="0"/>
    <n v="0"/>
    <n v="363495.7"/>
    <n v="2"/>
    <x v="2"/>
    <x v="3850"/>
    <n v="17047.96"/>
    <n v="1"/>
    <s v="Herre sauna"/>
    <m/>
    <n v="36349.575750000004"/>
    <n v="0"/>
    <n v="68520"/>
  </r>
  <r>
    <x v="15"/>
    <s v="05148-9"/>
    <s v="Farum Svømmehal, Park 20"/>
    <n v="5451"/>
    <m/>
    <s v="Bimåler saunaer"/>
    <x v="122"/>
    <x v="1"/>
    <x v="5"/>
    <n v="24160.29"/>
    <n v="12"/>
    <s v="2015-05-04"/>
    <n v="0"/>
    <n v="0"/>
    <n v="241602.9"/>
    <n v="2"/>
    <x v="2"/>
    <x v="3851"/>
    <n v="11331.16"/>
    <n v="1"/>
    <s v="Dame sauna"/>
    <m/>
    <n v="24160.28787"/>
    <n v="0"/>
    <n v="61886"/>
  </r>
  <r>
    <x v="15"/>
    <s v="05148-9"/>
    <s v="Farum Svømmehal, Park 20"/>
    <n v="5451"/>
    <m/>
    <s v="Bimåler saunaer"/>
    <x v="122"/>
    <x v="1"/>
    <x v="5"/>
    <n v="6143.57"/>
    <n v="12"/>
    <s v="2015-05-04"/>
    <n v="0"/>
    <n v="0"/>
    <n v="61435.7"/>
    <n v="2"/>
    <x v="2"/>
    <x v="3852"/>
    <n v="2881.33"/>
    <n v="1"/>
    <s v="Drenge sauna"/>
    <m/>
    <n v="6143.5605999999998"/>
    <n v="0"/>
    <n v="68519"/>
  </r>
  <r>
    <x v="15"/>
    <s v="05148-9"/>
    <s v="Farum Svømmehal, Park 20"/>
    <n v="5451"/>
    <m/>
    <s v="Bimåler saunaer"/>
    <x v="122"/>
    <x v="1"/>
    <x v="5"/>
    <n v="20689.77"/>
    <n v="12"/>
    <s v="2015-05-04"/>
    <n v="0"/>
    <n v="0"/>
    <n v="206897.7"/>
    <n v="2"/>
    <x v="2"/>
    <x v="3853"/>
    <n v="9703.52"/>
    <n v="1"/>
    <s v="106980 FB gang"/>
    <m/>
    <n v="20689.766540000001"/>
    <n v="0"/>
    <n v="57640"/>
  </r>
  <r>
    <x v="15"/>
    <s v="05148-9"/>
    <s v="Farum Svømmehal, Park 20"/>
    <n v="5451"/>
    <m/>
    <s v="Bimåler saunaer"/>
    <x v="122"/>
    <x v="1"/>
    <x v="5"/>
    <n v="5188.29"/>
    <n v="12"/>
    <s v="2015-05-04"/>
    <n v="0"/>
    <n v="0"/>
    <n v="51882.9"/>
    <n v="2"/>
    <x v="2"/>
    <x v="3854"/>
    <n v="2433.3000000000002"/>
    <n v="1"/>
    <s v="Pige sauna"/>
    <m/>
    <n v="5188.2878799999999"/>
    <n v="0"/>
    <n v="61888"/>
  </r>
  <r>
    <x v="15"/>
    <s v="05148-9"/>
    <s v="Farum Svømmehal, Park 20"/>
    <n v="5451"/>
    <m/>
    <s v="Bimåler saunaer"/>
    <x v="122"/>
    <x v="1"/>
    <x v="5"/>
    <n v="29639.759999999998"/>
    <n v="12"/>
    <s v="2015-05-04"/>
    <n v="0"/>
    <n v="0"/>
    <n v="296397.59999999998"/>
    <n v="2"/>
    <x v="2"/>
    <x v="3855"/>
    <n v="13901.05"/>
    <n v="1"/>
    <s v="Herre sauna"/>
    <m/>
    <n v="29639.77274"/>
    <n v="0"/>
    <n v="68520"/>
  </r>
  <r>
    <x v="15"/>
    <s v="05148-9"/>
    <s v="Farum Svømmehal, Park 20"/>
    <n v="5451"/>
    <m/>
    <s v="Bimåler saunaer"/>
    <x v="122"/>
    <x v="1"/>
    <x v="6"/>
    <n v="18813.36"/>
    <n v="12"/>
    <s v="2015-05-04"/>
    <n v="0"/>
    <n v="0"/>
    <n v="188133.6"/>
    <n v="2"/>
    <x v="2"/>
    <x v="3856"/>
    <n v="8823.48"/>
    <n v="1"/>
    <s v="106980 FB gang"/>
    <m/>
    <n v="18813.377840000001"/>
    <n v="0"/>
    <n v="57640"/>
  </r>
  <r>
    <x v="15"/>
    <s v="05148-9"/>
    <s v="Farum Svømmehal, Park 20"/>
    <n v="5451"/>
    <m/>
    <s v="Bimåler saunaer"/>
    <x v="122"/>
    <x v="1"/>
    <x v="6"/>
    <n v="24497.65"/>
    <n v="12"/>
    <s v="2015-05-04"/>
    <n v="0"/>
    <n v="0"/>
    <n v="244976.5"/>
    <n v="2"/>
    <x v="2"/>
    <x v="3857"/>
    <n v="11489.38"/>
    <n v="1"/>
    <s v="Dame sauna"/>
    <m/>
    <n v="24497.651519999999"/>
    <n v="0"/>
    <n v="61886"/>
  </r>
  <r>
    <x v="15"/>
    <s v="05148-9"/>
    <s v="Farum Svømmehal, Park 20"/>
    <n v="5451"/>
    <m/>
    <s v="Bimåler saunaer"/>
    <x v="122"/>
    <x v="1"/>
    <x v="6"/>
    <n v="13853.53"/>
    <n v="12"/>
    <s v="2015-05-04"/>
    <n v="0"/>
    <n v="0"/>
    <n v="138535.29999999999"/>
    <n v="2"/>
    <x v="2"/>
    <x v="3858"/>
    <n v="6497.32"/>
    <n v="1"/>
    <s v="Drenge sauna"/>
    <m/>
    <n v="13853.53031"/>
    <n v="0"/>
    <n v="68519"/>
  </r>
  <r>
    <x v="15"/>
    <s v="05148-9"/>
    <s v="Farum Svømmehal, Park 20"/>
    <n v="5451"/>
    <m/>
    <s v="Bimåler saunaer"/>
    <x v="122"/>
    <x v="1"/>
    <x v="6"/>
    <n v="12321.03"/>
    <n v="12"/>
    <s v="2015-05-04"/>
    <n v="0"/>
    <n v="0"/>
    <n v="123210.3"/>
    <n v="2"/>
    <x v="2"/>
    <x v="3859"/>
    <n v="5778.56"/>
    <n v="1"/>
    <s v="Pige sauna"/>
    <m/>
    <n v="12321.04545"/>
    <n v="0"/>
    <n v="61888"/>
  </r>
  <r>
    <x v="15"/>
    <s v="05148-9"/>
    <s v="Farum Svømmehal, Park 20"/>
    <n v="5451"/>
    <m/>
    <s v="Bimåler saunaer"/>
    <x v="122"/>
    <x v="1"/>
    <x v="6"/>
    <n v="30234.639999999999"/>
    <n v="12"/>
    <s v="2015-05-04"/>
    <n v="0"/>
    <n v="0"/>
    <n v="302346.40000000002"/>
    <n v="2"/>
    <x v="2"/>
    <x v="3860"/>
    <n v="14180.05"/>
    <n v="1"/>
    <s v="Herre sauna"/>
    <m/>
    <n v="30234.65151"/>
    <n v="0"/>
    <n v="68520"/>
  </r>
  <r>
    <x v="15"/>
    <s v="05148-9"/>
    <s v="Farum Svømmehal, Park 20"/>
    <n v="6339"/>
    <m/>
    <s v="Bimåler tribune"/>
    <x v="122"/>
    <x v="1"/>
    <x v="0"/>
    <n v="82"/>
    <n v="5"/>
    <s v="2015-05-04"/>
    <n v="0"/>
    <n v="0"/>
    <n v="820"/>
    <n v="2"/>
    <x v="2"/>
    <x v="3861"/>
    <n v="32.79"/>
    <n v="1"/>
    <s v="Tribune"/>
    <m/>
    <n v="81.999989999999997"/>
    <n v="0"/>
    <n v="62513"/>
  </r>
  <r>
    <x v="15"/>
    <s v="05148-9"/>
    <s v="Farum Svømmehal, Park 20"/>
    <n v="6339"/>
    <m/>
    <s v="Bimåler tribune"/>
    <x v="122"/>
    <x v="1"/>
    <x v="1"/>
    <n v="606"/>
    <n v="11"/>
    <s v="2015-05-04"/>
    <n v="0"/>
    <n v="0"/>
    <n v="6060"/>
    <n v="2"/>
    <x v="2"/>
    <x v="3862"/>
    <n v="242.41"/>
    <n v="1"/>
    <s v="Tribune"/>
    <m/>
    <n v="606"/>
    <n v="0"/>
    <n v="62513"/>
  </r>
  <r>
    <x v="15"/>
    <s v="05148-9"/>
    <s v="Farum Svømmehal, Park 20"/>
    <n v="6339"/>
    <m/>
    <s v="Bimåler tribune"/>
    <x v="122"/>
    <x v="1"/>
    <x v="2"/>
    <n v="1428.01"/>
    <n v="13"/>
    <s v="2015-05-04"/>
    <n v="0"/>
    <n v="0"/>
    <n v="14280.1"/>
    <n v="2"/>
    <x v="2"/>
    <x v="3863"/>
    <n v="571.20000000000005"/>
    <n v="1"/>
    <s v="Tribune"/>
    <m/>
    <n v="1428"/>
    <n v="0"/>
    <n v="62513"/>
  </r>
  <r>
    <x v="15"/>
    <s v="05148-9"/>
    <s v="Farum Svømmehal, Park 20"/>
    <n v="6339"/>
    <m/>
    <s v="Bimåler tribune"/>
    <x v="122"/>
    <x v="1"/>
    <x v="3"/>
    <n v="983.01"/>
    <n v="12"/>
    <s v="2015-05-04"/>
    <n v="0"/>
    <n v="0"/>
    <n v="9830.1"/>
    <n v="2"/>
    <x v="2"/>
    <x v="3864"/>
    <n v="461.03"/>
    <n v="1"/>
    <s v="Tribune"/>
    <m/>
    <n v="983"/>
    <n v="0"/>
    <n v="62513"/>
  </r>
  <r>
    <x v="15"/>
    <s v="05148-9"/>
    <s v="Farum Svømmehal, Park 20"/>
    <n v="6339"/>
    <m/>
    <s v="Bimåler tribune"/>
    <x v="122"/>
    <x v="1"/>
    <x v="4"/>
    <n v="1096"/>
    <n v="12"/>
    <s v="2015-05-04"/>
    <n v="0"/>
    <n v="0"/>
    <n v="10960"/>
    <n v="2"/>
    <x v="2"/>
    <x v="3865"/>
    <n v="514.02"/>
    <n v="1"/>
    <s v="Tribune"/>
    <m/>
    <n v="1096"/>
    <n v="0"/>
    <n v="62513"/>
  </r>
  <r>
    <x v="15"/>
    <s v="05148-9"/>
    <s v="Farum Svømmehal, Park 20"/>
    <n v="6339"/>
    <m/>
    <s v="Bimåler tribune"/>
    <x v="122"/>
    <x v="1"/>
    <x v="5"/>
    <n v="2291"/>
    <n v="12"/>
    <s v="2015-05-04"/>
    <n v="0"/>
    <n v="0"/>
    <n v="22910"/>
    <n v="2"/>
    <x v="2"/>
    <x v="3866"/>
    <n v="1074.49"/>
    <n v="1"/>
    <s v="Tribune"/>
    <m/>
    <n v="2291"/>
    <n v="0"/>
    <n v="62513"/>
  </r>
  <r>
    <x v="15"/>
    <s v="05148-9"/>
    <s v="Farum Svømmehal, Park 20"/>
    <n v="6339"/>
    <m/>
    <s v="Bimåler tribune"/>
    <x v="122"/>
    <x v="1"/>
    <x v="6"/>
    <n v="2192"/>
    <n v="12"/>
    <s v="2015-05-04"/>
    <n v="0"/>
    <n v="0"/>
    <n v="21920"/>
    <n v="2"/>
    <x v="2"/>
    <x v="3867"/>
    <n v="1028.04"/>
    <n v="1"/>
    <s v="Tribune"/>
    <m/>
    <n v="2191.9999899999998"/>
    <n v="0"/>
    <n v="62513"/>
  </r>
  <r>
    <x v="15"/>
    <s v="05148-9"/>
    <s v="Farum Svømmehal, Park 20"/>
    <n v="5454"/>
    <m/>
    <s v="Cafe"/>
    <x v="122"/>
    <x v="1"/>
    <x v="0"/>
    <n v="8509.0400000000009"/>
    <n v="5"/>
    <s v="2015-05-04"/>
    <n v="0"/>
    <n v="50"/>
    <n v="169.841117"/>
    <n v="2"/>
    <x v="2"/>
    <x v="3868"/>
    <n v="3403.61"/>
    <n v="1"/>
    <s v="3184256"/>
    <m/>
    <n v="8509.03125"/>
    <n v="0"/>
    <n v="57747"/>
  </r>
  <r>
    <x v="15"/>
    <s v="05148-9"/>
    <s v="Farum Svømmehal, Park 20"/>
    <n v="5454"/>
    <m/>
    <s v="Cafe"/>
    <x v="122"/>
    <x v="1"/>
    <x v="0"/>
    <n v="307.47000000000003"/>
    <n v="5"/>
    <s v="2015-05-04"/>
    <n v="0"/>
    <n v="50"/>
    <n v="6.1371250000000002"/>
    <n v="2"/>
    <x v="2"/>
    <x v="3869"/>
    <n v="122.98"/>
    <n v="1"/>
    <s v="138873"/>
    <m/>
    <n v="307.46875"/>
    <n v="0"/>
    <n v="57748"/>
  </r>
  <r>
    <x v="15"/>
    <s v="05148-9"/>
    <s v="Farum Svømmehal, Park 20"/>
    <n v="5454"/>
    <m/>
    <s v="Cafe"/>
    <x v="122"/>
    <x v="1"/>
    <x v="1"/>
    <n v="17960.02"/>
    <n v="11"/>
    <s v="2015-05-04"/>
    <n v="0"/>
    <n v="50"/>
    <n v="358.48343299999999"/>
    <n v="2"/>
    <x v="2"/>
    <x v="3870"/>
    <n v="7184.01"/>
    <n v="1"/>
    <s v="3184256"/>
    <m/>
    <n v="17960.030299999999"/>
    <n v="0"/>
    <n v="57747"/>
  </r>
  <r>
    <x v="15"/>
    <s v="05148-9"/>
    <s v="Farum Svømmehal, Park 20"/>
    <n v="5454"/>
    <m/>
    <s v="Cafe"/>
    <x v="122"/>
    <x v="1"/>
    <x v="1"/>
    <n v="925.79"/>
    <n v="11"/>
    <s v="2015-05-04"/>
    <n v="0"/>
    <n v="50"/>
    <n v="18.478842"/>
    <n v="2"/>
    <x v="2"/>
    <x v="3871"/>
    <n v="370.31"/>
    <n v="1"/>
    <s v="138873"/>
    <m/>
    <n v="925.77418999999998"/>
    <n v="0"/>
    <n v="57748"/>
  </r>
  <r>
    <x v="15"/>
    <s v="05148-9"/>
    <s v="Farum Svømmehal, Park 20"/>
    <n v="5454"/>
    <m/>
    <s v="Cafe"/>
    <x v="122"/>
    <x v="1"/>
    <x v="2"/>
    <n v="309"/>
    <n v="13"/>
    <s v="2015-05-04"/>
    <n v="0"/>
    <n v="50"/>
    <n v="6.1676640000000003"/>
    <n v="2"/>
    <x v="2"/>
    <x v="3872"/>
    <n v="123.6"/>
    <n v="1"/>
    <s v="138873"/>
    <m/>
    <n v="309"/>
    <n v="0"/>
    <n v="57748"/>
  </r>
  <r>
    <x v="15"/>
    <s v="05148-9"/>
    <s v="Farum Svømmehal, Park 20"/>
    <n v="5454"/>
    <m/>
    <s v="Cafe"/>
    <x v="122"/>
    <x v="1"/>
    <x v="2"/>
    <n v="12221.36"/>
    <n v="12"/>
    <s v="2015-05-04"/>
    <n v="0"/>
    <n v="50"/>
    <n v="243.93932100000001"/>
    <n v="2"/>
    <x v="2"/>
    <x v="3873"/>
    <n v="4888.54"/>
    <n v="1"/>
    <s v="3184256"/>
    <m/>
    <n v="12221.36363"/>
    <n v="0"/>
    <n v="57747"/>
  </r>
  <r>
    <x v="15"/>
    <s v="05148-9"/>
    <s v="Farum Svømmehal, Park 20"/>
    <n v="5454"/>
    <m/>
    <s v="Cafe"/>
    <x v="122"/>
    <x v="1"/>
    <x v="3"/>
    <n v="0"/>
    <n v="12"/>
    <s v="2015-05-04"/>
    <n v="0"/>
    <n v="50"/>
    <n v="0"/>
    <n v="2"/>
    <x v="2"/>
    <x v="1"/>
    <n v="0"/>
    <n v="1"/>
    <s v="138873"/>
    <m/>
    <n v="0"/>
    <n v="0"/>
    <n v="57748"/>
  </r>
  <r>
    <x v="15"/>
    <s v="05148-9"/>
    <s v="Farum Svømmehal, Park 20"/>
    <n v="5454"/>
    <m/>
    <s v="Cafe"/>
    <x v="122"/>
    <x v="1"/>
    <x v="3"/>
    <n v="7544.64"/>
    <n v="13"/>
    <s v="2015-05-04"/>
    <n v="0"/>
    <n v="50"/>
    <n v="150.59161599999999"/>
    <n v="2"/>
    <x v="2"/>
    <x v="3874"/>
    <n v="3538.44"/>
    <n v="1"/>
    <s v="3184256"/>
    <m/>
    <n v="7544.6363700000002"/>
    <n v="0"/>
    <n v="57747"/>
  </r>
  <r>
    <x v="15"/>
    <s v="05148-9"/>
    <s v="Farum Svømmehal, Park 20"/>
    <n v="5454"/>
    <m/>
    <s v="Cafe"/>
    <x v="122"/>
    <x v="1"/>
    <x v="4"/>
    <n v="0.09"/>
    <n v="12"/>
    <s v="2015-05-04"/>
    <n v="0"/>
    <n v="50"/>
    <n v="1.7960000000000001E-3"/>
    <n v="2"/>
    <x v="2"/>
    <x v="3875"/>
    <n v="0.04"/>
    <n v="1"/>
    <s v="138873"/>
    <m/>
    <n v="8.8239999999999999E-2"/>
    <n v="0"/>
    <n v="57748"/>
  </r>
  <r>
    <x v="15"/>
    <s v="05148-9"/>
    <s v="Farum Svømmehal, Park 20"/>
    <n v="5454"/>
    <m/>
    <s v="Cafe"/>
    <x v="122"/>
    <x v="1"/>
    <x v="4"/>
    <n v="12856.6"/>
    <n v="12"/>
    <s v="2015-05-04"/>
    <n v="0"/>
    <n v="50"/>
    <n v="256.618762"/>
    <n v="2"/>
    <x v="2"/>
    <x v="3876"/>
    <n v="6029.75"/>
    <n v="1"/>
    <s v="3184256"/>
    <m/>
    <n v="12856.58733"/>
    <n v="0"/>
    <n v="57747"/>
  </r>
  <r>
    <x v="15"/>
    <s v="05148-9"/>
    <s v="Farum Svømmehal, Park 20"/>
    <n v="5454"/>
    <m/>
    <s v="Cafe"/>
    <x v="122"/>
    <x v="1"/>
    <x v="5"/>
    <n v="14396.54"/>
    <n v="13"/>
    <s v="2015-05-04"/>
    <n v="0"/>
    <n v="50"/>
    <n v="287.356087"/>
    <n v="2"/>
    <x v="2"/>
    <x v="3877"/>
    <n v="6751.97"/>
    <n v="1"/>
    <s v="3184256"/>
    <m/>
    <n v="14396.5386"/>
    <n v="0"/>
    <n v="57747"/>
  </r>
  <r>
    <x v="15"/>
    <s v="05148-9"/>
    <s v="Farum Svømmehal, Park 20"/>
    <n v="5454"/>
    <m/>
    <s v="Cafe"/>
    <x v="122"/>
    <x v="1"/>
    <x v="5"/>
    <n v="0.91"/>
    <n v="13"/>
    <s v="2015-05-04"/>
    <n v="0"/>
    <n v="50"/>
    <n v="1.8162999999999999E-2"/>
    <n v="2"/>
    <x v="2"/>
    <x v="3878"/>
    <n v="0.43"/>
    <n v="1"/>
    <s v="138873"/>
    <m/>
    <n v="0.91176000000000001"/>
    <n v="0"/>
    <n v="57748"/>
  </r>
  <r>
    <x v="15"/>
    <s v="05148-9"/>
    <s v="Farum Svømmehal, Park 20"/>
    <n v="5454"/>
    <m/>
    <s v="Cafe"/>
    <x v="122"/>
    <x v="1"/>
    <x v="6"/>
    <n v="294.89"/>
    <n v="12"/>
    <s v="2015-05-04"/>
    <n v="0"/>
    <n v="50"/>
    <n v="5.8860270000000003"/>
    <n v="2"/>
    <x v="2"/>
    <x v="3879"/>
    <n v="138.29"/>
    <n v="1"/>
    <s v="138873"/>
    <m/>
    <n v="294.87878000000001"/>
    <n v="0"/>
    <n v="57748"/>
  </r>
  <r>
    <x v="15"/>
    <s v="05148-9"/>
    <s v="Farum Svømmehal, Park 20"/>
    <n v="5454"/>
    <m/>
    <s v="Cafe"/>
    <x v="122"/>
    <x v="1"/>
    <x v="6"/>
    <n v="26202.14"/>
    <n v="12"/>
    <s v="2015-05-04"/>
    <n v="0"/>
    <n v="50"/>
    <n v="522.99680599999999"/>
    <n v="2"/>
    <x v="2"/>
    <x v="3880"/>
    <n v="12288.8"/>
    <n v="1"/>
    <s v="3184256"/>
    <m/>
    <n v="26202.146789999999"/>
    <n v="0"/>
    <n v="57747"/>
  </r>
  <r>
    <x v="15"/>
    <s v="05148-9"/>
    <s v="Farum Svømmehal, Park 20"/>
    <n v="5449"/>
    <m/>
    <s v="Farum Svømmehal,Farum Park 20 st. th."/>
    <x v="122"/>
    <x v="0"/>
    <x v="0"/>
    <n v="581319"/>
    <n v="5"/>
    <m/>
    <n v="0"/>
    <n v="7709"/>
    <n v="24.101029"/>
    <n v="2"/>
    <x v="2"/>
    <x v="3881"/>
    <n v="74318.899999999994"/>
    <n v="0"/>
    <s v="103229/48646 GL hal"/>
    <s v="74112152523"/>
    <n v="185797.25"/>
    <n v="0"/>
    <n v="57533"/>
  </r>
  <r>
    <x v="15"/>
    <s v="05148-9"/>
    <s v="Farum Svømmehal, Park 20"/>
    <n v="5449"/>
    <m/>
    <s v="Farum Svømmehal,Farum Park 20 st. th."/>
    <x v="122"/>
    <x v="0"/>
    <x v="0"/>
    <n v="0"/>
    <n v="5"/>
    <m/>
    <n v="0"/>
    <n v="7709"/>
    <n v="6.261476"/>
    <n v="2"/>
    <x v="2"/>
    <x v="3882"/>
    <n v="19308.150000000001"/>
    <n v="0"/>
    <s v="104167/800287  kæl"/>
    <s v="74114782704"/>
    <n v="48270.345000000001"/>
    <n v="0"/>
    <n v="57544"/>
  </r>
  <r>
    <x v="15"/>
    <s v="05148-9"/>
    <s v="Farum Svømmehal, Park 20"/>
    <n v="5449"/>
    <m/>
    <s v="Farum Svømmehal,Farum Park 20 st. th."/>
    <x v="122"/>
    <x v="0"/>
    <x v="0"/>
    <n v="0"/>
    <n v="5"/>
    <s v="2005-07-01"/>
    <n v="0"/>
    <n v="7709"/>
    <n v="1.401621"/>
    <n v="2"/>
    <x v="2"/>
    <x v="3883"/>
    <n v="4322.1000000000004"/>
    <n v="0"/>
    <s v="800307 TB"/>
    <s v="74114782704"/>
    <n v="10805.25"/>
    <n v="0"/>
    <n v="57542"/>
  </r>
  <r>
    <x v="15"/>
    <s v="05148-9"/>
    <s v="Farum Svømmehal, Park 20"/>
    <n v="5449"/>
    <m/>
    <s v="Farum Svømmehal,Farum Park 20 st. th."/>
    <x v="122"/>
    <x v="0"/>
    <x v="1"/>
    <n v="427718.65"/>
    <n v="12"/>
    <m/>
    <n v="0"/>
    <n v="7709"/>
    <n v="55.482306000000001"/>
    <n v="2"/>
    <x v="2"/>
    <x v="3884"/>
    <n v="171087.46"/>
    <n v="0"/>
    <s v="103229/48646 GL hal"/>
    <s v="74112152523"/>
    <n v="427718.65"/>
    <n v="0"/>
    <n v="57533"/>
  </r>
  <r>
    <x v="15"/>
    <s v="05148-9"/>
    <s v="Farum Svømmehal, Park 20"/>
    <n v="5449"/>
    <m/>
    <s v="Farum Svømmehal,Farum Park 20 st. th."/>
    <x v="122"/>
    <x v="0"/>
    <x v="1"/>
    <n v="22762.48"/>
    <n v="12"/>
    <s v="2005-07-01"/>
    <n v="0"/>
    <n v="7709"/>
    <n v="2.9526759999999999"/>
    <n v="2"/>
    <x v="2"/>
    <x v="3885"/>
    <n v="9104.98"/>
    <n v="0"/>
    <s v="800307 TB"/>
    <s v="74114782704"/>
    <n v="22762.5"/>
    <n v="0"/>
    <n v="57542"/>
  </r>
  <r>
    <x v="15"/>
    <s v="05148-9"/>
    <s v="Farum Svømmehal, Park 20"/>
    <n v="5449"/>
    <m/>
    <s v="Farum Svømmehal,Farum Park 20 st. th."/>
    <x v="122"/>
    <x v="0"/>
    <x v="1"/>
    <n v="110680.69"/>
    <n v="12"/>
    <m/>
    <n v="0"/>
    <n v="7709"/>
    <n v="14.357148"/>
    <n v="2"/>
    <x v="2"/>
    <x v="3886"/>
    <n v="44272.28"/>
    <n v="0"/>
    <s v="104167/800287  kæl"/>
    <s v="74114782704"/>
    <n v="110680.69"/>
    <n v="0"/>
    <n v="57544"/>
  </r>
  <r>
    <x v="15"/>
    <s v="05148-9"/>
    <s v="Farum Svømmehal, Park 20"/>
    <n v="5449"/>
    <m/>
    <s v="Farum Svømmehal,Farum Park 20 st. th."/>
    <x v="122"/>
    <x v="0"/>
    <x v="2"/>
    <n v="20801.86"/>
    <n v="12"/>
    <s v="2005-07-01"/>
    <n v="0"/>
    <n v="7709"/>
    <n v="2.6983510000000002"/>
    <n v="2"/>
    <x v="2"/>
    <x v="3887"/>
    <n v="8320.75"/>
    <n v="0"/>
    <s v="800307 TB"/>
    <s v="74114782704"/>
    <n v="20801.865000000002"/>
    <n v="0"/>
    <n v="57542"/>
  </r>
  <r>
    <x v="15"/>
    <s v="05148-9"/>
    <s v="Farum Svømmehal, Park 20"/>
    <n v="5449"/>
    <m/>
    <s v="Farum Svømmehal,Farum Park 20 st. th."/>
    <x v="122"/>
    <x v="0"/>
    <x v="2"/>
    <n v="422386.95"/>
    <n v="12"/>
    <m/>
    <n v="0"/>
    <n v="7709"/>
    <n v="54.790694999999999"/>
    <n v="2"/>
    <x v="2"/>
    <x v="3888"/>
    <n v="168954.78"/>
    <n v="0"/>
    <s v="103229/48646 GL hal"/>
    <s v="74112152523"/>
    <n v="422386.95"/>
    <n v="0"/>
    <n v="57533"/>
  </r>
  <r>
    <x v="15"/>
    <s v="05148-9"/>
    <s v="Farum Svømmehal, Park 20"/>
    <n v="5449"/>
    <m/>
    <s v="Farum Svømmehal,Farum Park 20 st. th."/>
    <x v="122"/>
    <x v="0"/>
    <x v="2"/>
    <n v="120790.39999999999"/>
    <n v="12"/>
    <m/>
    <n v="0"/>
    <n v="7709"/>
    <n v="15.668547"/>
    <n v="2"/>
    <x v="2"/>
    <x v="3889"/>
    <n v="48316.160000000003"/>
    <n v="0"/>
    <s v="104167/800287  kæl"/>
    <s v="74114782704"/>
    <n v="120790.405"/>
    <n v="0"/>
    <n v="57544"/>
  </r>
  <r>
    <x v="15"/>
    <s v="05148-9"/>
    <s v="Farum Svømmehal, Park 20"/>
    <n v="5449"/>
    <m/>
    <s v="Farum Svømmehal,Farum Park 20 st. th."/>
    <x v="122"/>
    <x v="0"/>
    <x v="3"/>
    <n v="19999.259999999998"/>
    <n v="12"/>
    <s v="2005-07-01"/>
    <n v="0"/>
    <n v="7709"/>
    <n v="2.5942400000000001"/>
    <n v="2"/>
    <x v="2"/>
    <x v="3890"/>
    <n v="9379.64"/>
    <n v="0"/>
    <s v="800307 TB"/>
    <s v="74114782704"/>
    <n v="19999.244999999999"/>
    <n v="0"/>
    <n v="57542"/>
  </r>
  <r>
    <x v="15"/>
    <s v="05148-9"/>
    <s v="Farum Svømmehal, Park 20"/>
    <n v="5449"/>
    <m/>
    <s v="Farum Svømmehal,Farum Park 20 st. th."/>
    <x v="122"/>
    <x v="0"/>
    <x v="3"/>
    <n v="455875.7"/>
    <n v="12"/>
    <m/>
    <n v="0"/>
    <n v="7709"/>
    <n v="59.134748999999999"/>
    <n v="2"/>
    <x v="2"/>
    <x v="3891"/>
    <n v="213805.71"/>
    <n v="0"/>
    <s v="103229/48646 GL hal"/>
    <s v="74112152523"/>
    <n v="455875.7"/>
    <n v="0"/>
    <n v="57533"/>
  </r>
  <r>
    <x v="15"/>
    <s v="05148-9"/>
    <s v="Farum Svømmehal, Park 20"/>
    <n v="5449"/>
    <m/>
    <s v="Farum Svømmehal,Farum Park 20 st. th."/>
    <x v="122"/>
    <x v="0"/>
    <x v="3"/>
    <n v="125866.47"/>
    <n v="12"/>
    <m/>
    <n v="0"/>
    <n v="7709"/>
    <n v="16.326999000000001"/>
    <n v="2"/>
    <x v="2"/>
    <x v="3892"/>
    <n v="59031.37"/>
    <n v="0"/>
    <s v="104167/800287  kæl"/>
    <s v="74114782704"/>
    <n v="125866.47500000001"/>
    <n v="0"/>
    <n v="57544"/>
  </r>
  <r>
    <x v="15"/>
    <s v="05148-9"/>
    <s v="Farum Svømmehal, Park 20"/>
    <n v="5449"/>
    <m/>
    <s v="Farum Svømmehal,Farum Park 20 st. th."/>
    <x v="122"/>
    <x v="0"/>
    <x v="4"/>
    <n v="26659.46"/>
    <n v="12"/>
    <s v="2005-07-01"/>
    <n v="0"/>
    <n v="7709"/>
    <n v="3.45818"/>
    <n v="2"/>
    <x v="2"/>
    <x v="3893"/>
    <n v="12503.28"/>
    <n v="0"/>
    <s v="800307 TB"/>
    <s v="74114782704"/>
    <n v="26659.455000000002"/>
    <n v="0"/>
    <n v="57542"/>
  </r>
  <r>
    <x v="15"/>
    <s v="05148-9"/>
    <s v="Farum Svømmehal, Park 20"/>
    <n v="5449"/>
    <m/>
    <s v="Farum Svømmehal,Farum Park 20 st. th."/>
    <x v="122"/>
    <x v="0"/>
    <x v="4"/>
    <n v="156734.53"/>
    <n v="12"/>
    <m/>
    <n v="0"/>
    <n v="7709"/>
    <n v="20.331105999999998"/>
    <n v="2"/>
    <x v="2"/>
    <x v="3894"/>
    <n v="73508.5"/>
    <n v="0"/>
    <s v="104167/800287  kæl"/>
    <s v="74114782704"/>
    <n v="156734.52499999999"/>
    <n v="0"/>
    <n v="57544"/>
  </r>
  <r>
    <x v="15"/>
    <s v="05148-9"/>
    <s v="Farum Svømmehal, Park 20"/>
    <n v="5449"/>
    <m/>
    <s v="Farum Svømmehal,Farum Park 20 st. th."/>
    <x v="122"/>
    <x v="0"/>
    <x v="4"/>
    <n v="577249.9"/>
    <n v="12"/>
    <m/>
    <n v="0"/>
    <n v="7709"/>
    <n v="74.879025999999996"/>
    <n v="2"/>
    <x v="2"/>
    <x v="3895"/>
    <n v="270730.21000000002"/>
    <n v="0"/>
    <s v="103229/48646 GL hal"/>
    <s v="74112152523"/>
    <n v="577249.9"/>
    <n v="0"/>
    <n v="57533"/>
  </r>
  <r>
    <x v="15"/>
    <s v="05148-9"/>
    <s v="Farum Svømmehal, Park 20"/>
    <n v="5449"/>
    <m/>
    <s v="Farum Svømmehal,Farum Park 20 st. th."/>
    <x v="122"/>
    <x v="0"/>
    <x v="5"/>
    <n v="611497.69999999995"/>
    <n v="12"/>
    <m/>
    <n v="0"/>
    <n v="7709"/>
    <n v="79.321541999999994"/>
    <n v="2"/>
    <x v="2"/>
    <x v="3896"/>
    <n v="286792.42"/>
    <n v="0"/>
    <s v="103229/48646 GL hal"/>
    <s v="74112152523"/>
    <n v="611497.69999999995"/>
    <n v="0"/>
    <n v="57533"/>
  </r>
  <r>
    <x v="15"/>
    <s v="05148-9"/>
    <s v="Farum Svømmehal, Park 20"/>
    <n v="5449"/>
    <m/>
    <s v="Farum Svømmehal,Farum Park 20 st. th."/>
    <x v="122"/>
    <x v="0"/>
    <x v="5"/>
    <n v="40448.160000000003"/>
    <n v="12"/>
    <s v="2005-07-01"/>
    <n v="0"/>
    <n v="7709"/>
    <n v="5.2468070000000004"/>
    <n v="2"/>
    <x v="2"/>
    <x v="3897"/>
    <n v="18970.18"/>
    <n v="0"/>
    <s v="800307 TB"/>
    <s v="74114782704"/>
    <n v="40448.160000000003"/>
    <n v="0"/>
    <n v="57542"/>
  </r>
  <r>
    <x v="15"/>
    <s v="05148-9"/>
    <s v="Farum Svømmehal, Park 20"/>
    <n v="5449"/>
    <m/>
    <s v="Farum Svømmehal,Farum Park 20 st. th."/>
    <x v="122"/>
    <x v="0"/>
    <x v="5"/>
    <n v="151971.21"/>
    <n v="12"/>
    <m/>
    <n v="0"/>
    <n v="7709"/>
    <n v="19.713222999999999"/>
    <n v="2"/>
    <x v="2"/>
    <x v="3898"/>
    <n v="71274.490000000005"/>
    <n v="0"/>
    <s v="104167/800287  kæl"/>
    <s v="74114782704"/>
    <n v="151971.21"/>
    <n v="0"/>
    <n v="57544"/>
  </r>
  <r>
    <x v="15"/>
    <s v="05148-9"/>
    <s v="Farum Svømmehal, Park 20"/>
    <n v="5449"/>
    <m/>
    <s v="Farum Svømmehal,Farum Park 20 st. th."/>
    <x v="122"/>
    <x v="0"/>
    <x v="6"/>
    <n v="43668.82"/>
    <n v="12"/>
    <s v="2005-07-01"/>
    <n v="0"/>
    <n v="7709"/>
    <n v="5.6645799999999999"/>
    <n v="2"/>
    <x v="2"/>
    <x v="3899"/>
    <n v="20480.66"/>
    <n v="0"/>
    <s v="800307 TB"/>
    <s v="74114782704"/>
    <n v="43668.794999999998"/>
    <n v="0"/>
    <n v="57542"/>
  </r>
  <r>
    <x v="15"/>
    <s v="05148-9"/>
    <s v="Farum Svømmehal, Park 20"/>
    <n v="5449"/>
    <m/>
    <s v="Farum Svømmehal,Farum Park 20 st. th."/>
    <x v="122"/>
    <x v="0"/>
    <x v="6"/>
    <n v="649559.6"/>
    <n v="12"/>
    <m/>
    <n v="0"/>
    <n v="7709"/>
    <n v="84.258810999999994"/>
    <n v="2"/>
    <x v="2"/>
    <x v="3900"/>
    <n v="304643.46000000002"/>
    <n v="0"/>
    <s v="103229/48646 GL hal"/>
    <s v="74112152523"/>
    <n v="649559.6"/>
    <n v="0"/>
    <n v="57533"/>
  </r>
  <r>
    <x v="15"/>
    <s v="05148-9"/>
    <s v="Farum Svømmehal, Park 20"/>
    <n v="5449"/>
    <m/>
    <s v="Farum Svømmehal,Farum Park 20 st. th."/>
    <x v="122"/>
    <x v="0"/>
    <x v="6"/>
    <n v="165455.15"/>
    <n v="12"/>
    <m/>
    <n v="0"/>
    <n v="7709"/>
    <n v="21.462316999999999"/>
    <n v="2"/>
    <x v="2"/>
    <x v="3901"/>
    <n v="77598.48"/>
    <n v="0"/>
    <s v="104167/800287  kæl"/>
    <s v="74114782704"/>
    <n v="165455.15"/>
    <n v="0"/>
    <n v="57544"/>
  </r>
  <r>
    <x v="15"/>
    <s v="05148-9"/>
    <s v="Farum Svømmehal, Park 20"/>
    <n v="5453"/>
    <m/>
    <s v="Swim-mix"/>
    <x v="122"/>
    <x v="1"/>
    <x v="0"/>
    <n v="11018.72"/>
    <n v="5"/>
    <s v="2015-05-04"/>
    <n v="0"/>
    <n v="610"/>
    <n v="18.060514000000001"/>
    <n v="2"/>
    <x v="2"/>
    <x v="3902"/>
    <n v="4407.4799999999996"/>
    <n v="1"/>
    <s v="swimmix"/>
    <m/>
    <n v="11018.71875"/>
    <n v="0"/>
    <n v="57556"/>
  </r>
  <r>
    <x v="15"/>
    <s v="05148-9"/>
    <s v="Farum Svømmehal, Park 20"/>
    <n v="5453"/>
    <m/>
    <s v="Swim-mix"/>
    <x v="122"/>
    <x v="1"/>
    <x v="1"/>
    <n v="20837.95"/>
    <n v="11"/>
    <s v="2015-05-04"/>
    <n v="0"/>
    <n v="610"/>
    <n v="34.154974000000003"/>
    <n v="2"/>
    <x v="2"/>
    <x v="3903"/>
    <n v="8335.18"/>
    <n v="1"/>
    <s v="swimmix"/>
    <m/>
    <n v="20837.946240000001"/>
    <n v="0"/>
    <n v="57556"/>
  </r>
  <r>
    <x v="15"/>
    <s v="05148-9"/>
    <s v="Farum Svømmehal, Park 20"/>
    <n v="5453"/>
    <m/>
    <s v="Swim-mix"/>
    <x v="122"/>
    <x v="1"/>
    <x v="2"/>
    <n v="23652.61"/>
    <n v="13"/>
    <s v="2015-05-04"/>
    <n v="0"/>
    <n v="610"/>
    <n v="38.768414999999997"/>
    <n v="2"/>
    <x v="2"/>
    <x v="3904"/>
    <n v="9461.0499999999993"/>
    <n v="1"/>
    <s v="swimmix"/>
    <m/>
    <n v="23652.606059999998"/>
    <n v="0"/>
    <n v="57556"/>
  </r>
  <r>
    <x v="15"/>
    <s v="05148-9"/>
    <s v="Farum Svømmehal, Park 20"/>
    <n v="5453"/>
    <m/>
    <s v="Swim-mix"/>
    <x v="122"/>
    <x v="1"/>
    <x v="3"/>
    <n v="23841.46"/>
    <n v="12"/>
    <s v="2015-05-04"/>
    <n v="0"/>
    <n v="610"/>
    <n v="39.077953999999998"/>
    <n v="2"/>
    <x v="2"/>
    <x v="3905"/>
    <n v="11181.64"/>
    <n v="1"/>
    <s v="swimmix"/>
    <m/>
    <n v="23841.454539999999"/>
    <n v="0"/>
    <n v="57556"/>
  </r>
  <r>
    <x v="15"/>
    <s v="05148-9"/>
    <s v="Farum Svømmehal, Park 20"/>
    <n v="5453"/>
    <m/>
    <s v="Swim-mix"/>
    <x v="122"/>
    <x v="1"/>
    <x v="4"/>
    <n v="24729.85"/>
    <n v="12"/>
    <s v="2015-05-04"/>
    <n v="0"/>
    <n v="610"/>
    <n v="40.534092000000001"/>
    <n v="2"/>
    <x v="2"/>
    <x v="3906"/>
    <n v="11598.3"/>
    <n v="1"/>
    <s v="swimmix"/>
    <m/>
    <n v="24729.841349999999"/>
    <n v="0"/>
    <n v="57556"/>
  </r>
  <r>
    <x v="15"/>
    <s v="05148-9"/>
    <s v="Farum Svømmehal, Park 20"/>
    <n v="5453"/>
    <m/>
    <s v="Swim-mix"/>
    <x v="122"/>
    <x v="1"/>
    <x v="5"/>
    <n v="27566.76"/>
    <n v="12"/>
    <s v="2015-05-04"/>
    <n v="0"/>
    <n v="610"/>
    <n v="45.184002"/>
    <n v="2"/>
    <x v="2"/>
    <x v="3907"/>
    <n v="12928.81"/>
    <n v="1"/>
    <s v="swimmix"/>
    <m/>
    <n v="27566.764709999999"/>
    <n v="0"/>
    <n v="57556"/>
  </r>
  <r>
    <x v="15"/>
    <s v="05148-9"/>
    <s v="Farum Svømmehal, Park 20"/>
    <n v="5453"/>
    <m/>
    <s v="Swim-mix"/>
    <x v="122"/>
    <x v="1"/>
    <x v="6"/>
    <n v="27271.24"/>
    <n v="12"/>
    <s v="2015-05-04"/>
    <n v="0"/>
    <n v="610"/>
    <n v="44.699623000000003"/>
    <n v="2"/>
    <x v="2"/>
    <x v="3908"/>
    <n v="12790.23"/>
    <n v="1"/>
    <s v="swimmix"/>
    <m/>
    <n v="27271.242440000002"/>
    <n v="0"/>
    <n v="57556"/>
  </r>
  <r>
    <x v="15"/>
    <s v="190-001744"/>
    <s v="Værløse Svømmehal, KV60"/>
    <n v="8933"/>
    <s v="0"/>
    <s v="Bi-måler El"/>
    <x v="123"/>
    <x v="1"/>
    <x v="0"/>
    <n v="16111.06"/>
    <n v="5"/>
    <s v="2015-05-05"/>
    <n v="0"/>
    <n v="0"/>
    <n v="161110.6"/>
    <n v="2"/>
    <x v="2"/>
    <x v="3909"/>
    <n v="4833.32"/>
    <n v="1"/>
    <s v="ELM8 TB"/>
    <m/>
    <n v="16111.05882"/>
    <n v="0"/>
    <n v="70990"/>
  </r>
  <r>
    <x v="15"/>
    <s v="190-001744"/>
    <s v="Værløse Svømmehal, KV60"/>
    <n v="8933"/>
    <s v="0"/>
    <s v="Bi-måler El"/>
    <x v="123"/>
    <x v="1"/>
    <x v="0"/>
    <n v="2163.88"/>
    <n v="5"/>
    <s v="2015-05-05"/>
    <n v="0"/>
    <n v="0"/>
    <n v="21638.799999999999"/>
    <n v="2"/>
    <x v="2"/>
    <x v="3910"/>
    <n v="649.16999999999996"/>
    <n v="1"/>
    <s v="ELM11 RELAX"/>
    <m/>
    <n v="2163.8823499999999"/>
    <n v="0"/>
    <n v="70996"/>
  </r>
  <r>
    <x v="15"/>
    <s v="190-001744"/>
    <s v="Værløse Svømmehal, KV60"/>
    <n v="8933"/>
    <s v="0"/>
    <s v="Bi-måler El"/>
    <x v="123"/>
    <x v="1"/>
    <x v="0"/>
    <n v="3424.06"/>
    <n v="5"/>
    <s v="2015-05-05"/>
    <n v="0"/>
    <n v="0"/>
    <n v="34240.6"/>
    <n v="2"/>
    <x v="2"/>
    <x v="3911"/>
    <n v="1027.22"/>
    <n v="1"/>
    <s v="ELM12 OMKL."/>
    <m/>
    <n v="3424.0588200000002"/>
    <n v="0"/>
    <n v="70998"/>
  </r>
  <r>
    <x v="15"/>
    <s v="190-001744"/>
    <s v="Værløse Svømmehal, KV60"/>
    <n v="8933"/>
    <s v="0"/>
    <s v="Bi-måler El"/>
    <x v="123"/>
    <x v="1"/>
    <x v="0"/>
    <n v="19581.29"/>
    <n v="5"/>
    <s v="2015-05-05"/>
    <n v="0"/>
    <n v="0"/>
    <n v="195812.9"/>
    <n v="2"/>
    <x v="2"/>
    <x v="3912"/>
    <n v="5874.38"/>
    <n v="1"/>
    <s v="Recool"/>
    <m/>
    <n v="19581.294119999999"/>
    <n v="0"/>
    <n v="95931"/>
  </r>
  <r>
    <x v="15"/>
    <s v="190-001744"/>
    <s v="Værløse Svømmehal, KV60"/>
    <n v="8933"/>
    <s v="0"/>
    <s v="Bi-måler El"/>
    <x v="123"/>
    <x v="1"/>
    <x v="0"/>
    <n v="10308.709999999999"/>
    <n v="5"/>
    <s v="2015-05-05"/>
    <n v="0"/>
    <n v="0"/>
    <n v="103087.1"/>
    <n v="2"/>
    <x v="2"/>
    <x v="3913"/>
    <n v="3092.62"/>
    <n v="1"/>
    <s v="ELM9 VVB"/>
    <m/>
    <n v="10308.70588"/>
    <n v="0"/>
    <n v="70992"/>
  </r>
  <r>
    <x v="15"/>
    <s v="190-001744"/>
    <s v="Værløse Svømmehal, KV60"/>
    <n v="8933"/>
    <s v="0"/>
    <s v="Bi-måler El"/>
    <x v="123"/>
    <x v="1"/>
    <x v="0"/>
    <n v="2361.11"/>
    <n v="5"/>
    <s v="2015-05-05"/>
    <n v="0"/>
    <n v="0"/>
    <n v="23611.1"/>
    <n v="2"/>
    <x v="2"/>
    <x v="3914"/>
    <n v="708.34"/>
    <n v="1"/>
    <s v="ELM10 LYS"/>
    <m/>
    <n v="2361.1176399999999"/>
    <n v="0"/>
    <n v="70994"/>
  </r>
  <r>
    <x v="15"/>
    <s v="190-001744"/>
    <s v="Værløse Svømmehal, KV60"/>
    <n v="8933"/>
    <s v="0"/>
    <s v="Bi-måler El"/>
    <x v="123"/>
    <x v="1"/>
    <x v="0"/>
    <n v="1107.53"/>
    <n v="5"/>
    <s v="2015-05-05"/>
    <n v="0"/>
    <n v="0"/>
    <n v="11075.3"/>
    <n v="2"/>
    <x v="2"/>
    <x v="3915"/>
    <n v="332.26"/>
    <n v="1"/>
    <s v="ELM6 VE05"/>
    <m/>
    <n v="1107.5294100000001"/>
    <n v="0"/>
    <n v="70997"/>
  </r>
  <r>
    <x v="15"/>
    <s v="190-001744"/>
    <s v="Værløse Svømmehal, KV60"/>
    <n v="8933"/>
    <s v="0"/>
    <s v="Bi-måler El"/>
    <x v="123"/>
    <x v="1"/>
    <x v="0"/>
    <n v="23190.59"/>
    <n v="5"/>
    <s v="2015-05-05"/>
    <n v="0"/>
    <n v="0"/>
    <n v="231905.9"/>
    <n v="2"/>
    <x v="2"/>
    <x v="3916"/>
    <n v="6957.18"/>
    <n v="1"/>
    <s v="ELM2 VE01"/>
    <m/>
    <n v="23190.588230000001"/>
    <n v="0"/>
    <n v="77913"/>
  </r>
  <r>
    <x v="15"/>
    <s v="190-001744"/>
    <s v="Værløse Svømmehal, KV60"/>
    <n v="8933"/>
    <s v="0"/>
    <s v="Bi-måler El"/>
    <x v="123"/>
    <x v="1"/>
    <x v="1"/>
    <n v="47160.66"/>
    <n v="11"/>
    <s v="2015-05-05"/>
    <n v="0"/>
    <n v="0"/>
    <n v="471606.6"/>
    <n v="2"/>
    <x v="2"/>
    <x v="3917"/>
    <n v="14148.21"/>
    <n v="1"/>
    <s v="ELM8 TB"/>
    <m/>
    <n v="47160.661939999998"/>
    <n v="0"/>
    <n v="70990"/>
  </r>
  <r>
    <x v="15"/>
    <s v="190-001744"/>
    <s v="Værløse Svømmehal, KV60"/>
    <n v="8933"/>
    <s v="0"/>
    <s v="Bi-måler El"/>
    <x v="123"/>
    <x v="1"/>
    <x v="1"/>
    <n v="25372.35"/>
    <n v="11"/>
    <s v="2015-05-05"/>
    <n v="0"/>
    <n v="0"/>
    <n v="253723.5"/>
    <n v="2"/>
    <x v="2"/>
    <x v="3918"/>
    <n v="7611.71"/>
    <n v="1"/>
    <s v="ELM9 VVB"/>
    <m/>
    <n v="25372.354179999998"/>
    <n v="0"/>
    <n v="70992"/>
  </r>
  <r>
    <x v="15"/>
    <s v="190-001744"/>
    <s v="Værløse Svømmehal, KV60"/>
    <n v="8933"/>
    <s v="0"/>
    <s v="Bi-måler El"/>
    <x v="123"/>
    <x v="1"/>
    <x v="1"/>
    <n v="8492.92"/>
    <n v="11"/>
    <s v="2014-07-02"/>
    <n v="0"/>
    <n v="0"/>
    <n v="84929.2"/>
    <n v="2"/>
    <x v="2"/>
    <x v="3919"/>
    <n v="2547.87"/>
    <n v="1"/>
    <s v="ELM4 VE03"/>
    <m/>
    <n v="8492.9261299999998"/>
    <n v="0"/>
    <n v="70993"/>
  </r>
  <r>
    <x v="15"/>
    <s v="190-001744"/>
    <s v="Værløse Svømmehal, KV60"/>
    <n v="8933"/>
    <s v="0"/>
    <s v="Bi-måler El"/>
    <x v="123"/>
    <x v="1"/>
    <x v="1"/>
    <n v="9983.56"/>
    <n v="11"/>
    <s v="2015-05-05"/>
    <n v="0"/>
    <n v="0"/>
    <n v="99835.6"/>
    <n v="2"/>
    <x v="2"/>
    <x v="3920"/>
    <n v="2995.06"/>
    <n v="1"/>
    <s v="ELM12 OMKL."/>
    <m/>
    <n v="9983.5558700000001"/>
    <n v="0"/>
    <n v="70998"/>
  </r>
  <r>
    <x v="15"/>
    <s v="190-001744"/>
    <s v="Værløse Svømmehal, KV60"/>
    <n v="8933"/>
    <s v="0"/>
    <s v="Bi-måler El"/>
    <x v="123"/>
    <x v="1"/>
    <x v="1"/>
    <n v="66477.67"/>
    <n v="11"/>
    <s v="2015-05-05"/>
    <n v="0"/>
    <n v="0"/>
    <n v="664776.69999999995"/>
    <n v="2"/>
    <x v="2"/>
    <x v="3921"/>
    <n v="19943.310000000001"/>
    <n v="1"/>
    <s v="ELM2 VE01"/>
    <m/>
    <n v="66477.662880000003"/>
    <n v="0"/>
    <n v="77913"/>
  </r>
  <r>
    <x v="15"/>
    <s v="190-001744"/>
    <s v="Værløse Svømmehal, KV60"/>
    <n v="8933"/>
    <s v="0"/>
    <s v="Bi-måler El"/>
    <x v="123"/>
    <x v="1"/>
    <x v="1"/>
    <n v="16695.740000000002"/>
    <n v="11"/>
    <s v="2014-02-03"/>
    <n v="0"/>
    <n v="0"/>
    <n v="166957.4"/>
    <n v="2"/>
    <x v="2"/>
    <x v="3922"/>
    <n v="5008.7299999999996"/>
    <n v="1"/>
    <s v="ELM3 VE02"/>
    <m/>
    <n v="16695.727279999999"/>
    <n v="0"/>
    <n v="70991"/>
  </r>
  <r>
    <x v="15"/>
    <s v="190-001744"/>
    <s v="Værløse Svømmehal, KV60"/>
    <n v="8933"/>
    <s v="0"/>
    <s v="Bi-måler El"/>
    <x v="123"/>
    <x v="1"/>
    <x v="1"/>
    <n v="6644.32"/>
    <n v="11"/>
    <s v="2015-05-05"/>
    <n v="0"/>
    <n v="0"/>
    <n v="66443.199999999997"/>
    <n v="2"/>
    <x v="2"/>
    <x v="3923"/>
    <n v="1993.29"/>
    <n v="1"/>
    <s v="ELM10 LYS"/>
    <m/>
    <n v="6644.3191399999996"/>
    <n v="0"/>
    <n v="70994"/>
  </r>
  <r>
    <x v="15"/>
    <s v="190-001744"/>
    <s v="Værløse Svømmehal, KV60"/>
    <n v="8933"/>
    <s v="0"/>
    <s v="Bi-måler El"/>
    <x v="123"/>
    <x v="1"/>
    <x v="1"/>
    <n v="5050.92"/>
    <n v="11"/>
    <s v="2015-05-05"/>
    <n v="0"/>
    <n v="0"/>
    <n v="50509.2"/>
    <n v="2"/>
    <x v="2"/>
    <x v="3924"/>
    <n v="1515.31"/>
    <n v="1"/>
    <s v="ELM11 RELAX"/>
    <m/>
    <n v="5050.9346699999996"/>
    <n v="0"/>
    <n v="70996"/>
  </r>
  <r>
    <x v="15"/>
    <s v="190-001744"/>
    <s v="Værløse Svømmehal, KV60"/>
    <n v="8933"/>
    <s v="0"/>
    <s v="Bi-måler El"/>
    <x v="123"/>
    <x v="1"/>
    <x v="1"/>
    <n v="3352.58"/>
    <n v="11"/>
    <s v="2015-05-05"/>
    <n v="0"/>
    <n v="0"/>
    <n v="33525.800000000003"/>
    <n v="2"/>
    <x v="2"/>
    <x v="3925"/>
    <n v="1005.77"/>
    <n v="1"/>
    <s v="ELM6 VE05"/>
    <m/>
    <n v="3352.5691400000001"/>
    <n v="0"/>
    <n v="70997"/>
  </r>
  <r>
    <x v="15"/>
    <s v="190-001744"/>
    <s v="Værløse Svømmehal, KV60"/>
    <n v="8933"/>
    <s v="0"/>
    <s v="Bi-måler El"/>
    <x v="123"/>
    <x v="1"/>
    <x v="1"/>
    <n v="53348.68"/>
    <n v="11"/>
    <s v="2014-02-03"/>
    <n v="0"/>
    <n v="0"/>
    <n v="533486.80000000005"/>
    <n v="2"/>
    <x v="2"/>
    <x v="3926"/>
    <n v="16004.59"/>
    <n v="1"/>
    <s v="ELM7 25M.BASS"/>
    <m/>
    <n v="53348.678019999999"/>
    <n v="0"/>
    <n v="70999"/>
  </r>
  <r>
    <x v="15"/>
    <s v="190-001744"/>
    <s v="Værløse Svømmehal, KV60"/>
    <n v="8933"/>
    <s v="0"/>
    <s v="Bi-måler El"/>
    <x v="123"/>
    <x v="1"/>
    <x v="2"/>
    <n v="47395.35"/>
    <n v="12"/>
    <s v="2015-05-05"/>
    <n v="0"/>
    <n v="0"/>
    <n v="473953.5"/>
    <n v="2"/>
    <x v="2"/>
    <x v="3927"/>
    <n v="18958.13"/>
    <n v="1"/>
    <s v="ELM8 TB"/>
    <m/>
    <n v="47395.348480000001"/>
    <n v="0"/>
    <n v="70990"/>
  </r>
  <r>
    <x v="15"/>
    <s v="190-001744"/>
    <s v="Værløse Svømmehal, KV60"/>
    <n v="8933"/>
    <s v="0"/>
    <s v="Bi-måler El"/>
    <x v="123"/>
    <x v="1"/>
    <x v="2"/>
    <n v="19488.09"/>
    <n v="12"/>
    <s v="2015-05-05"/>
    <n v="0"/>
    <n v="0"/>
    <n v="194880.9"/>
    <n v="2"/>
    <x v="2"/>
    <x v="3928"/>
    <n v="7795.22"/>
    <n v="1"/>
    <s v="ELM9 VVB"/>
    <m/>
    <n v="19488.083340000001"/>
    <n v="0"/>
    <n v="70992"/>
  </r>
  <r>
    <x v="15"/>
    <s v="190-001744"/>
    <s v="Værløse Svømmehal, KV60"/>
    <n v="8933"/>
    <s v="0"/>
    <s v="Bi-måler El"/>
    <x v="123"/>
    <x v="1"/>
    <x v="2"/>
    <n v="2167.4299999999998"/>
    <n v="4"/>
    <s v="2012-05-08"/>
    <n v="0"/>
    <n v="0"/>
    <n v="21674.3"/>
    <n v="2"/>
    <x v="2"/>
    <x v="3929"/>
    <n v="866.97"/>
    <n v="1"/>
    <s v="ELM5 VE04"/>
    <m/>
    <n v="2167.4166599999999"/>
    <n v="0"/>
    <n v="70995"/>
  </r>
  <r>
    <x v="15"/>
    <s v="190-001744"/>
    <s v="Værløse Svømmehal, KV60"/>
    <n v="8933"/>
    <s v="0"/>
    <s v="Bi-måler El"/>
    <x v="123"/>
    <x v="1"/>
    <x v="2"/>
    <n v="2661.6"/>
    <n v="12"/>
    <s v="2015-05-05"/>
    <n v="0"/>
    <n v="0"/>
    <n v="26616"/>
    <n v="2"/>
    <x v="2"/>
    <x v="3930"/>
    <n v="1064.67"/>
    <n v="1"/>
    <s v="ELM6 VE05"/>
    <m/>
    <n v="2661.6288100000002"/>
    <n v="0"/>
    <n v="70997"/>
  </r>
  <r>
    <x v="15"/>
    <s v="190-001744"/>
    <s v="Værløse Svømmehal, KV60"/>
    <n v="8933"/>
    <s v="0"/>
    <s v="Bi-måler El"/>
    <x v="123"/>
    <x v="1"/>
    <x v="2"/>
    <n v="12370.19"/>
    <n v="12"/>
    <s v="2015-05-05"/>
    <n v="0"/>
    <n v="0"/>
    <n v="123701.9"/>
    <n v="2"/>
    <x v="2"/>
    <x v="3931"/>
    <n v="4948.1000000000004"/>
    <n v="1"/>
    <s v="ELM12 OMKL."/>
    <m/>
    <n v="12370.20455"/>
    <n v="0"/>
    <n v="70998"/>
  </r>
  <r>
    <x v="15"/>
    <s v="190-001744"/>
    <s v="Værløse Svømmehal, KV60"/>
    <n v="8933"/>
    <s v="0"/>
    <s v="Bi-måler El"/>
    <x v="123"/>
    <x v="1"/>
    <x v="2"/>
    <n v="57464.79"/>
    <n v="12"/>
    <s v="2015-05-05"/>
    <n v="0"/>
    <n v="0"/>
    <n v="574647.9"/>
    <n v="2"/>
    <x v="2"/>
    <x v="3932"/>
    <n v="22985.91"/>
    <n v="1"/>
    <s v="ELM2 VE01"/>
    <m/>
    <n v="57464.795460000001"/>
    <n v="0"/>
    <n v="77913"/>
  </r>
  <r>
    <x v="15"/>
    <s v="190-001744"/>
    <s v="Værløse Svømmehal, KV60"/>
    <n v="8933"/>
    <s v="0"/>
    <s v="Bi-måler El"/>
    <x v="123"/>
    <x v="1"/>
    <x v="2"/>
    <n v="21296.44"/>
    <n v="12"/>
    <s v="2014-02-03"/>
    <n v="0"/>
    <n v="0"/>
    <n v="212964.4"/>
    <n v="2"/>
    <x v="2"/>
    <x v="3933"/>
    <n v="8518.57"/>
    <n v="1"/>
    <s v="ELM3 VE02"/>
    <m/>
    <n v="21296.43939"/>
    <n v="0"/>
    <n v="70991"/>
  </r>
  <r>
    <x v="15"/>
    <s v="190-001744"/>
    <s v="Værløse Svømmehal, KV60"/>
    <n v="8933"/>
    <s v="0"/>
    <s v="Bi-måler El"/>
    <x v="123"/>
    <x v="1"/>
    <x v="2"/>
    <n v="11750.4"/>
    <n v="12"/>
    <s v="2014-07-02"/>
    <n v="0"/>
    <n v="0"/>
    <n v="117504"/>
    <n v="2"/>
    <x v="2"/>
    <x v="3934"/>
    <n v="4700.16"/>
    <n v="1"/>
    <s v="ELM4 VE03"/>
    <m/>
    <n v="11750.38636"/>
    <n v="0"/>
    <n v="70993"/>
  </r>
  <r>
    <x v="15"/>
    <s v="190-001744"/>
    <s v="Værløse Svømmehal, KV60"/>
    <n v="8933"/>
    <s v="0"/>
    <s v="Bi-måler El"/>
    <x v="123"/>
    <x v="1"/>
    <x v="2"/>
    <n v="8292.7000000000007"/>
    <n v="12"/>
    <s v="2015-05-05"/>
    <n v="0"/>
    <n v="0"/>
    <n v="82927"/>
    <n v="2"/>
    <x v="2"/>
    <x v="3935"/>
    <n v="3317.09"/>
    <n v="1"/>
    <s v="ELM10 LYS"/>
    <m/>
    <n v="8292.7121200000001"/>
    <n v="0"/>
    <n v="70994"/>
  </r>
  <r>
    <x v="15"/>
    <s v="190-001744"/>
    <s v="Værløse Svømmehal, KV60"/>
    <n v="8933"/>
    <s v="0"/>
    <s v="Bi-måler El"/>
    <x v="123"/>
    <x v="1"/>
    <x v="2"/>
    <n v="5957.32"/>
    <n v="12"/>
    <s v="2015-05-05"/>
    <n v="0"/>
    <n v="0"/>
    <n v="59573.2"/>
    <n v="2"/>
    <x v="2"/>
    <x v="3936"/>
    <n v="2382.92"/>
    <n v="1"/>
    <s v="ELM11 RELAX"/>
    <m/>
    <n v="5957.3257599999997"/>
    <n v="0"/>
    <n v="70996"/>
  </r>
  <r>
    <x v="15"/>
    <s v="190-001744"/>
    <s v="Værløse Svømmehal, KV60"/>
    <n v="8933"/>
    <s v="0"/>
    <s v="Bi-måler El"/>
    <x v="123"/>
    <x v="1"/>
    <x v="2"/>
    <n v="50010.77"/>
    <n v="12"/>
    <s v="2014-02-03"/>
    <n v="0"/>
    <n v="0"/>
    <n v="500107.7"/>
    <n v="2"/>
    <x v="2"/>
    <x v="3937"/>
    <n v="20004.32"/>
    <n v="1"/>
    <s v="ELM7 25M.BASS"/>
    <m/>
    <n v="50010.780299999999"/>
    <n v="0"/>
    <n v="70999"/>
  </r>
  <r>
    <x v="15"/>
    <s v="190-001744"/>
    <s v="Værløse Svømmehal, KV60"/>
    <n v="8933"/>
    <s v="0"/>
    <s v="Bi-måler El"/>
    <x v="123"/>
    <x v="1"/>
    <x v="3"/>
    <n v="22085.51"/>
    <n v="12"/>
    <s v="2015-05-05"/>
    <n v="0"/>
    <n v="0"/>
    <n v="220855.1"/>
    <n v="2"/>
    <x v="2"/>
    <x v="3938"/>
    <n v="10358.1"/>
    <n v="1"/>
    <s v="ELM9 VVB"/>
    <m/>
    <n v="22085.507150000001"/>
    <n v="0"/>
    <n v="70992"/>
  </r>
  <r>
    <x v="15"/>
    <s v="190-001744"/>
    <s v="Værløse Svømmehal, KV60"/>
    <n v="8933"/>
    <s v="0"/>
    <s v="Bi-måler El"/>
    <x v="123"/>
    <x v="1"/>
    <x v="3"/>
    <n v="10376.84"/>
    <n v="12"/>
    <s v="2015-05-05"/>
    <n v="0"/>
    <n v="0"/>
    <n v="103768.4"/>
    <n v="2"/>
    <x v="2"/>
    <x v="3939"/>
    <n v="4866.74"/>
    <n v="1"/>
    <s v="ELM10 LYS"/>
    <m/>
    <n v="10376.842860000001"/>
    <n v="0"/>
    <n v="70994"/>
  </r>
  <r>
    <x v="15"/>
    <s v="190-001744"/>
    <s v="Værløse Svømmehal, KV60"/>
    <n v="8933"/>
    <s v="0"/>
    <s v="Bi-måler El"/>
    <x v="123"/>
    <x v="1"/>
    <x v="3"/>
    <n v="5471.94"/>
    <n v="12"/>
    <s v="2012-05-08"/>
    <n v="0"/>
    <n v="0"/>
    <n v="54719.4"/>
    <n v="2"/>
    <x v="2"/>
    <x v="3940"/>
    <n v="2566.3200000000002"/>
    <n v="1"/>
    <s v="ELM5 VE04"/>
    <m/>
    <n v="5471.9362899999996"/>
    <n v="0"/>
    <n v="70995"/>
  </r>
  <r>
    <x v="15"/>
    <s v="190-001744"/>
    <s v="Værløse Svømmehal, KV60"/>
    <n v="8933"/>
    <s v="0"/>
    <s v="Bi-måler El"/>
    <x v="123"/>
    <x v="1"/>
    <x v="3"/>
    <n v="2762.63"/>
    <n v="12"/>
    <s v="2015-05-05"/>
    <n v="0"/>
    <n v="0"/>
    <n v="27626.3"/>
    <n v="2"/>
    <x v="2"/>
    <x v="3941"/>
    <n v="1295.6600000000001"/>
    <n v="1"/>
    <s v="ELM6 VE05"/>
    <m/>
    <n v="2762.6127499999998"/>
    <n v="0"/>
    <n v="70997"/>
  </r>
  <r>
    <x v="15"/>
    <s v="190-001744"/>
    <s v="Værløse Svømmehal, KV60"/>
    <n v="8933"/>
    <s v="0"/>
    <s v="Bi-måler El"/>
    <x v="123"/>
    <x v="1"/>
    <x v="3"/>
    <n v="54162.42"/>
    <n v="12"/>
    <s v="2015-05-05"/>
    <n v="0"/>
    <n v="0"/>
    <n v="541624.19999999995"/>
    <n v="2"/>
    <x v="2"/>
    <x v="3942"/>
    <n v="25402.18"/>
    <n v="1"/>
    <s v="ELM2 VE01"/>
    <m/>
    <n v="54162.416680000002"/>
    <n v="0"/>
    <n v="77913"/>
  </r>
  <r>
    <x v="15"/>
    <s v="190-001744"/>
    <s v="Værløse Svømmehal, KV60"/>
    <n v="8933"/>
    <s v="0"/>
    <s v="Bi-måler El"/>
    <x v="123"/>
    <x v="1"/>
    <x v="3"/>
    <n v="54823.11"/>
    <n v="12"/>
    <s v="2015-05-05"/>
    <n v="0"/>
    <n v="0"/>
    <n v="548231.1"/>
    <n v="2"/>
    <x v="2"/>
    <x v="3943"/>
    <n v="25712.04"/>
    <n v="1"/>
    <s v="ELM8 TB"/>
    <m/>
    <n v="54823.127460000003"/>
    <n v="0"/>
    <n v="70990"/>
  </r>
  <r>
    <x v="15"/>
    <s v="190-001744"/>
    <s v="Værløse Svømmehal, KV60"/>
    <n v="8933"/>
    <s v="0"/>
    <s v="Bi-måler El"/>
    <x v="123"/>
    <x v="1"/>
    <x v="3"/>
    <n v="22596.69"/>
    <n v="12"/>
    <s v="2014-02-03"/>
    <n v="0"/>
    <n v="0"/>
    <n v="225966.9"/>
    <n v="2"/>
    <x v="2"/>
    <x v="3944"/>
    <n v="10597.85"/>
    <n v="1"/>
    <s v="ELM3 VE02"/>
    <m/>
    <n v="22596.686259999999"/>
    <n v="0"/>
    <n v="70991"/>
  </r>
  <r>
    <x v="15"/>
    <s v="190-001744"/>
    <s v="Værløse Svømmehal, KV60"/>
    <n v="8933"/>
    <s v="0"/>
    <s v="Bi-måler El"/>
    <x v="123"/>
    <x v="1"/>
    <x v="3"/>
    <n v="10529.6"/>
    <n v="12"/>
    <s v="2014-07-02"/>
    <n v="0"/>
    <n v="0"/>
    <n v="105296"/>
    <n v="2"/>
    <x v="2"/>
    <x v="3945"/>
    <n v="4938.38"/>
    <n v="1"/>
    <s v="ELM4 VE03"/>
    <m/>
    <n v="10529.602929999999"/>
    <n v="0"/>
    <n v="70993"/>
  </r>
  <r>
    <x v="15"/>
    <s v="190-001744"/>
    <s v="Værløse Svømmehal, KV60"/>
    <n v="8933"/>
    <s v="0"/>
    <s v="Bi-måler El"/>
    <x v="123"/>
    <x v="1"/>
    <x v="3"/>
    <n v="8770.6200000000008"/>
    <n v="12"/>
    <s v="2015-05-05"/>
    <n v="0"/>
    <n v="0"/>
    <n v="87706.2"/>
    <n v="2"/>
    <x v="2"/>
    <x v="3946"/>
    <n v="4113.41"/>
    <n v="1"/>
    <s v="ELM11 RELAX"/>
    <m/>
    <n v="8770.6127500000002"/>
    <n v="0"/>
    <n v="70996"/>
  </r>
  <r>
    <x v="15"/>
    <s v="190-001744"/>
    <s v="Værløse Svømmehal, KV60"/>
    <n v="8933"/>
    <s v="0"/>
    <s v="Bi-måler El"/>
    <x v="123"/>
    <x v="1"/>
    <x v="3"/>
    <n v="20103.439999999999"/>
    <n v="12"/>
    <s v="2015-05-05"/>
    <n v="0"/>
    <n v="0"/>
    <n v="201034.4"/>
    <n v="2"/>
    <x v="2"/>
    <x v="3947"/>
    <n v="9428.51"/>
    <n v="1"/>
    <s v="ELM12 OMKL."/>
    <m/>
    <n v="20103.436290000001"/>
    <n v="0"/>
    <n v="70998"/>
  </r>
  <r>
    <x v="15"/>
    <s v="190-001744"/>
    <s v="Værløse Svømmehal, KV60"/>
    <n v="8933"/>
    <s v="0"/>
    <s v="Bi-måler El"/>
    <x v="123"/>
    <x v="1"/>
    <x v="3"/>
    <n v="55305.06"/>
    <n v="12"/>
    <s v="2014-02-03"/>
    <n v="0"/>
    <n v="0"/>
    <n v="553050.6"/>
    <n v="2"/>
    <x v="2"/>
    <x v="3948"/>
    <n v="25938.06"/>
    <n v="1"/>
    <s v="ELM7 25M.BASS"/>
    <m/>
    <n v="55305.063719999998"/>
    <n v="0"/>
    <n v="70999"/>
  </r>
  <r>
    <x v="15"/>
    <s v="190-001744"/>
    <s v="Værløse Svømmehal, KV60"/>
    <n v="8933"/>
    <s v="0"/>
    <s v="Bi-måler El"/>
    <x v="123"/>
    <x v="1"/>
    <x v="4"/>
    <n v="21222.34"/>
    <n v="12"/>
    <s v="2014-02-03"/>
    <n v="0"/>
    <n v="0"/>
    <n v="212223.4"/>
    <n v="2"/>
    <x v="2"/>
    <x v="3949"/>
    <n v="9953.2900000000009"/>
    <n v="1"/>
    <s v="ELM3 VE02"/>
    <m/>
    <n v="21222.34706"/>
    <n v="0"/>
    <n v="70991"/>
  </r>
  <r>
    <x v="15"/>
    <s v="190-001744"/>
    <s v="Værløse Svømmehal, KV60"/>
    <n v="8933"/>
    <s v="0"/>
    <s v="Bi-måler El"/>
    <x v="123"/>
    <x v="1"/>
    <x v="4"/>
    <n v="22305.22"/>
    <n v="14"/>
    <s v="2015-05-05"/>
    <n v="0"/>
    <n v="0"/>
    <n v="223052.2"/>
    <n v="2"/>
    <x v="2"/>
    <x v="3950"/>
    <n v="10461.15"/>
    <n v="1"/>
    <s v="ELM9 VVB"/>
    <m/>
    <n v="22305.199990000001"/>
    <n v="0"/>
    <n v="70992"/>
  </r>
  <r>
    <x v="15"/>
    <s v="190-001744"/>
    <s v="Værløse Svømmehal, KV60"/>
    <n v="8933"/>
    <s v="0"/>
    <s v="Bi-måler El"/>
    <x v="123"/>
    <x v="1"/>
    <x v="4"/>
    <n v="28071.31"/>
    <n v="14"/>
    <s v="2015-05-05"/>
    <n v="0"/>
    <n v="0"/>
    <n v="280713.09999999998"/>
    <n v="2"/>
    <x v="2"/>
    <x v="3951"/>
    <n v="13165.45"/>
    <n v="1"/>
    <s v="ELM10 LYS"/>
    <m/>
    <n v="28071.314289999998"/>
    <n v="0"/>
    <n v="70994"/>
  </r>
  <r>
    <x v="15"/>
    <s v="190-001744"/>
    <s v="Værløse Svømmehal, KV60"/>
    <n v="8933"/>
    <s v="0"/>
    <s v="Bi-måler El"/>
    <x v="123"/>
    <x v="1"/>
    <x v="4"/>
    <n v="2341.29"/>
    <n v="12"/>
    <s v="2015-05-05"/>
    <n v="0"/>
    <n v="0"/>
    <n v="23412.9"/>
    <n v="2"/>
    <x v="2"/>
    <x v="3952"/>
    <n v="1098.05"/>
    <n v="1"/>
    <s v="ELM6 VE05"/>
    <m/>
    <n v="2341.28487"/>
    <n v="0"/>
    <n v="70997"/>
  </r>
  <r>
    <x v="15"/>
    <s v="190-001744"/>
    <s v="Værløse Svømmehal, KV60"/>
    <n v="8933"/>
    <s v="0"/>
    <s v="Bi-måler El"/>
    <x v="123"/>
    <x v="1"/>
    <x v="4"/>
    <n v="51514.879999999997"/>
    <n v="12"/>
    <s v="2014-02-03"/>
    <n v="0"/>
    <n v="0"/>
    <n v="515148.79999999999"/>
    <n v="2"/>
    <x v="2"/>
    <x v="3953"/>
    <n v="24160.48"/>
    <n v="1"/>
    <s v="ELM7 25M.BASS"/>
    <m/>
    <n v="51514.881500000003"/>
    <n v="0"/>
    <n v="70999"/>
  </r>
  <r>
    <x v="15"/>
    <s v="190-001744"/>
    <s v="Værløse Svømmehal, KV60"/>
    <n v="8933"/>
    <s v="0"/>
    <s v="Bi-måler El"/>
    <x v="123"/>
    <x v="1"/>
    <x v="4"/>
    <n v="50543.360000000001"/>
    <n v="12"/>
    <s v="2015-05-05"/>
    <n v="0"/>
    <n v="0"/>
    <n v="505433.59999999998"/>
    <n v="2"/>
    <x v="2"/>
    <x v="3954"/>
    <n v="23704.83"/>
    <n v="1"/>
    <s v="ELM8 TB"/>
    <m/>
    <n v="50543.36303"/>
    <n v="0"/>
    <n v="70990"/>
  </r>
  <r>
    <x v="15"/>
    <s v="190-001744"/>
    <s v="Værløse Svømmehal, KV60"/>
    <n v="8933"/>
    <s v="0"/>
    <s v="Bi-måler El"/>
    <x v="123"/>
    <x v="1"/>
    <x v="4"/>
    <n v="12955.66"/>
    <n v="12"/>
    <s v="2014-07-02"/>
    <n v="0"/>
    <n v="0"/>
    <n v="129556.6"/>
    <n v="2"/>
    <x v="2"/>
    <x v="3955"/>
    <n v="6076.21"/>
    <n v="1"/>
    <s v="ELM4 VE03"/>
    <m/>
    <n v="12955.675649999999"/>
    <n v="0"/>
    <n v="70993"/>
  </r>
  <r>
    <x v="15"/>
    <s v="190-001744"/>
    <s v="Værløse Svømmehal, KV60"/>
    <n v="8933"/>
    <s v="0"/>
    <s v="Bi-måler El"/>
    <x v="123"/>
    <x v="1"/>
    <x v="4"/>
    <n v="5444"/>
    <n v="12"/>
    <s v="2012-05-08"/>
    <n v="0"/>
    <n v="0"/>
    <n v="54440"/>
    <n v="2"/>
    <x v="2"/>
    <x v="3956"/>
    <n v="2553.2399999999998"/>
    <n v="1"/>
    <s v="ELM5 VE04"/>
    <m/>
    <n v="5443.98992"/>
    <n v="0"/>
    <n v="70995"/>
  </r>
  <r>
    <x v="15"/>
    <s v="190-001744"/>
    <s v="Værløse Svømmehal, KV60"/>
    <n v="8933"/>
    <s v="0"/>
    <s v="Bi-måler El"/>
    <x v="123"/>
    <x v="1"/>
    <x v="4"/>
    <n v="11011.25"/>
    <n v="12"/>
    <s v="2015-05-05"/>
    <n v="0"/>
    <n v="0"/>
    <n v="110112.5"/>
    <n v="2"/>
    <x v="2"/>
    <x v="3957"/>
    <n v="5164.29"/>
    <n v="1"/>
    <s v="ELM11 RELAX"/>
    <m/>
    <n v="11011.256299999999"/>
    <n v="0"/>
    <n v="70996"/>
  </r>
  <r>
    <x v="15"/>
    <s v="190-001744"/>
    <s v="Værløse Svømmehal, KV60"/>
    <n v="8933"/>
    <s v="0"/>
    <s v="Bi-måler El"/>
    <x v="123"/>
    <x v="1"/>
    <x v="4"/>
    <n v="28107.98"/>
    <n v="12"/>
    <s v="2015-05-05"/>
    <n v="0"/>
    <n v="0"/>
    <n v="281079.8"/>
    <n v="2"/>
    <x v="2"/>
    <x v="3958"/>
    <n v="13182.63"/>
    <n v="1"/>
    <s v="ELM12 OMKL."/>
    <m/>
    <n v="28107.975630000001"/>
    <n v="0"/>
    <n v="70998"/>
  </r>
  <r>
    <x v="15"/>
    <s v="190-001744"/>
    <s v="Værløse Svømmehal, KV60"/>
    <n v="8933"/>
    <s v="0"/>
    <s v="Bi-måler El"/>
    <x v="123"/>
    <x v="1"/>
    <x v="4"/>
    <n v="60316.4"/>
    <n v="12"/>
    <s v="2015-05-05"/>
    <n v="0"/>
    <n v="0"/>
    <n v="603164"/>
    <n v="2"/>
    <x v="2"/>
    <x v="3959"/>
    <n v="28288.38"/>
    <n v="1"/>
    <s v="ELM2 VE01"/>
    <m/>
    <n v="60316.4"/>
    <n v="0"/>
    <n v="77913"/>
  </r>
  <r>
    <x v="15"/>
    <s v="190-001744"/>
    <s v="Værløse Svømmehal, KV60"/>
    <n v="8933"/>
    <s v="0"/>
    <s v="Bi-måler El"/>
    <x v="123"/>
    <x v="1"/>
    <x v="5"/>
    <n v="19453.330000000002"/>
    <n v="11"/>
    <s v="2014-02-03"/>
    <n v="0"/>
    <n v="0"/>
    <n v="194533.3"/>
    <n v="2"/>
    <x v="2"/>
    <x v="3960"/>
    <n v="9123.61"/>
    <n v="1"/>
    <s v="ELM3 VE02"/>
    <m/>
    <n v="19453.31612"/>
    <n v="0"/>
    <n v="70991"/>
  </r>
  <r>
    <x v="15"/>
    <s v="190-001744"/>
    <s v="Værløse Svømmehal, KV60"/>
    <n v="8933"/>
    <s v="0"/>
    <s v="Bi-måler El"/>
    <x v="123"/>
    <x v="1"/>
    <x v="5"/>
    <n v="39054.18"/>
    <n v="11"/>
    <s v="2015-05-05"/>
    <n v="0"/>
    <n v="0"/>
    <n v="390541.8"/>
    <n v="2"/>
    <x v="2"/>
    <x v="3961"/>
    <n v="18316.41"/>
    <n v="1"/>
    <s v="ELM10 LYS"/>
    <m/>
    <n v="39054.181559999997"/>
    <n v="0"/>
    <n v="70994"/>
  </r>
  <r>
    <x v="15"/>
    <s v="190-001744"/>
    <s v="Værløse Svømmehal, KV60"/>
    <n v="8933"/>
    <s v="0"/>
    <s v="Bi-måler El"/>
    <x v="123"/>
    <x v="1"/>
    <x v="5"/>
    <n v="12802.42"/>
    <n v="11"/>
    <s v="2015-05-05"/>
    <n v="0"/>
    <n v="0"/>
    <n v="128024.2"/>
    <n v="2"/>
    <x v="2"/>
    <x v="3962"/>
    <n v="6004.34"/>
    <n v="1"/>
    <s v="ELM11 RELAX"/>
    <m/>
    <n v="12802.42398"/>
    <n v="0"/>
    <n v="70996"/>
  </r>
  <r>
    <x v="15"/>
    <s v="190-001744"/>
    <s v="Værløse Svømmehal, KV60"/>
    <n v="8933"/>
    <s v="0"/>
    <s v="Bi-måler El"/>
    <x v="123"/>
    <x v="1"/>
    <x v="5"/>
    <n v="3044.63"/>
    <n v="11"/>
    <s v="2015-05-05"/>
    <n v="0"/>
    <n v="0"/>
    <n v="30446.3"/>
    <n v="2"/>
    <x v="2"/>
    <x v="3963"/>
    <n v="1427.92"/>
    <n v="1"/>
    <s v="ELM6 VE05"/>
    <m/>
    <n v="3044.6211800000001"/>
    <n v="0"/>
    <n v="70997"/>
  </r>
  <r>
    <x v="15"/>
    <s v="190-001744"/>
    <s v="Værløse Svømmehal, KV60"/>
    <n v="8933"/>
    <s v="0"/>
    <s v="Bi-måler El"/>
    <x v="123"/>
    <x v="1"/>
    <x v="5"/>
    <n v="63874.45"/>
    <n v="11"/>
    <s v="2014-02-03"/>
    <n v="0"/>
    <n v="0"/>
    <n v="638744.5"/>
    <n v="2"/>
    <x v="2"/>
    <x v="3964"/>
    <n v="29957.119999999999"/>
    <n v="1"/>
    <s v="ELM7 25M.BASS"/>
    <m/>
    <n v="63874.455300000001"/>
    <n v="0"/>
    <n v="70999"/>
  </r>
  <r>
    <x v="15"/>
    <s v="190-001744"/>
    <s v="Værløse Svømmehal, KV60"/>
    <n v="8933"/>
    <s v="0"/>
    <s v="Bi-måler El"/>
    <x v="123"/>
    <x v="1"/>
    <x v="5"/>
    <n v="58581.05"/>
    <n v="11"/>
    <s v="2015-05-05"/>
    <n v="0"/>
    <n v="0"/>
    <n v="585810.5"/>
    <n v="2"/>
    <x v="2"/>
    <x v="3965"/>
    <n v="27474.53"/>
    <n v="1"/>
    <s v="ELM8 TB"/>
    <m/>
    <n v="58581.052539999997"/>
    <n v="0"/>
    <n v="70990"/>
  </r>
  <r>
    <x v="15"/>
    <s v="190-001744"/>
    <s v="Værløse Svømmehal, KV60"/>
    <n v="8933"/>
    <s v="0"/>
    <s v="Bi-måler El"/>
    <x v="123"/>
    <x v="1"/>
    <x v="5"/>
    <n v="25365.61"/>
    <n v="11"/>
    <s v="2015-05-05"/>
    <n v="0"/>
    <n v="0"/>
    <n v="253656.1"/>
    <n v="2"/>
    <x v="2"/>
    <x v="3966"/>
    <n v="11896.47"/>
    <n v="1"/>
    <s v="ELM9 VVB"/>
    <m/>
    <n v="25365.607370000002"/>
    <n v="0"/>
    <n v="70992"/>
  </r>
  <r>
    <x v="15"/>
    <s v="190-001744"/>
    <s v="Værløse Svømmehal, KV60"/>
    <n v="8933"/>
    <s v="0"/>
    <s v="Bi-måler El"/>
    <x v="123"/>
    <x v="1"/>
    <x v="5"/>
    <n v="11948.72"/>
    <n v="10"/>
    <s v="2014-07-02"/>
    <n v="0"/>
    <n v="0"/>
    <n v="119487.2"/>
    <n v="2"/>
    <x v="2"/>
    <x v="3967"/>
    <n v="5603.93"/>
    <n v="1"/>
    <s v="ELM4 VE03"/>
    <m/>
    <n v="11948.713369999999"/>
    <n v="0"/>
    <n v="70993"/>
  </r>
  <r>
    <x v="15"/>
    <s v="190-001744"/>
    <s v="Værløse Svømmehal, KV60"/>
    <n v="8933"/>
    <s v="0"/>
    <s v="Bi-måler El"/>
    <x v="123"/>
    <x v="1"/>
    <x v="5"/>
    <n v="5833.14"/>
    <n v="11"/>
    <s v="2012-05-08"/>
    <n v="0"/>
    <n v="0"/>
    <n v="58331.4"/>
    <n v="2"/>
    <x v="2"/>
    <x v="3968"/>
    <n v="2735.72"/>
    <n v="1"/>
    <s v="ELM5 VE04"/>
    <m/>
    <n v="5833.1087399999997"/>
    <n v="0"/>
    <n v="70995"/>
  </r>
  <r>
    <x v="15"/>
    <s v="190-001744"/>
    <s v="Værløse Svømmehal, KV60"/>
    <n v="8933"/>
    <s v="0"/>
    <s v="Bi-måler El"/>
    <x v="123"/>
    <x v="1"/>
    <x v="5"/>
    <n v="30153"/>
    <n v="11"/>
    <s v="2015-05-05"/>
    <n v="0"/>
    <n v="0"/>
    <n v="301530"/>
    <n v="2"/>
    <x v="2"/>
    <x v="3969"/>
    <n v="14141.76"/>
    <n v="1"/>
    <s v="ELM12 OMKL."/>
    <m/>
    <n v="30153.010139999999"/>
    <n v="0"/>
    <n v="70998"/>
  </r>
  <r>
    <x v="15"/>
    <s v="190-001744"/>
    <s v="Værløse Svømmehal, KV60"/>
    <n v="8933"/>
    <s v="0"/>
    <s v="Bi-måler El"/>
    <x v="123"/>
    <x v="1"/>
    <x v="5"/>
    <n v="52905.96"/>
    <n v="11"/>
    <s v="2015-05-05"/>
    <n v="0"/>
    <n v="0"/>
    <n v="529059.6"/>
    <n v="2"/>
    <x v="2"/>
    <x v="3970"/>
    <n v="24812.89"/>
    <n v="1"/>
    <s v="ELM2 VE01"/>
    <m/>
    <n v="52905.954850000002"/>
    <n v="0"/>
    <n v="77913"/>
  </r>
  <r>
    <x v="15"/>
    <s v="190-001744"/>
    <s v="Værløse Svømmehal, KV60"/>
    <n v="8933"/>
    <s v="0"/>
    <s v="Bi-måler El"/>
    <x v="123"/>
    <x v="1"/>
    <x v="6"/>
    <n v="19807.349999999999"/>
    <n v="12"/>
    <s v="2014-02-03"/>
    <n v="0"/>
    <n v="0"/>
    <n v="198073.5"/>
    <n v="2"/>
    <x v="2"/>
    <x v="3971"/>
    <n v="9289.64"/>
    <n v="1"/>
    <s v="ELM3 VE02"/>
    <m/>
    <n v="19807.35053"/>
    <n v="0"/>
    <n v="70991"/>
  </r>
  <r>
    <x v="15"/>
    <s v="190-001744"/>
    <s v="Værløse Svømmehal, KV60"/>
    <n v="8933"/>
    <s v="0"/>
    <s v="Bi-måler El"/>
    <x v="123"/>
    <x v="1"/>
    <x v="6"/>
    <n v="7230.21"/>
    <n v="11"/>
    <s v="2014-07-02"/>
    <n v="0"/>
    <n v="0"/>
    <n v="72302.100000000006"/>
    <n v="2"/>
    <x v="2"/>
    <x v="3972"/>
    <n v="3390.95"/>
    <n v="1"/>
    <s v="ELM4 VE03"/>
    <m/>
    <n v="7230.19139"/>
    <n v="0"/>
    <n v="70993"/>
  </r>
  <r>
    <x v="15"/>
    <s v="190-001744"/>
    <s v="Værløse Svømmehal, KV60"/>
    <n v="8933"/>
    <s v="0"/>
    <s v="Bi-måler El"/>
    <x v="123"/>
    <x v="1"/>
    <x v="6"/>
    <n v="41958.49"/>
    <n v="12"/>
    <s v="2015-05-05"/>
    <n v="0"/>
    <n v="0"/>
    <n v="419584.9"/>
    <n v="2"/>
    <x v="2"/>
    <x v="3973"/>
    <n v="19678.52"/>
    <n v="1"/>
    <s v="ELM10 LYS"/>
    <m/>
    <n v="41958.494619999998"/>
    <n v="0"/>
    <n v="70994"/>
  </r>
  <r>
    <x v="15"/>
    <s v="190-001744"/>
    <s v="Værløse Svømmehal, KV60"/>
    <n v="8933"/>
    <s v="0"/>
    <s v="Bi-måler El"/>
    <x v="123"/>
    <x v="1"/>
    <x v="6"/>
    <n v="11610.43"/>
    <n v="12"/>
    <s v="2015-05-05"/>
    <n v="0"/>
    <n v="0"/>
    <n v="116104.3"/>
    <n v="2"/>
    <x v="2"/>
    <x v="3974"/>
    <n v="5445.3"/>
    <n v="1"/>
    <s v="ELM11 RELAX"/>
    <m/>
    <n v="11610.423650000001"/>
    <n v="0"/>
    <n v="70996"/>
  </r>
  <r>
    <x v="15"/>
    <s v="190-001744"/>
    <s v="Værløse Svømmehal, KV60"/>
    <n v="8933"/>
    <s v="0"/>
    <s v="Bi-måler El"/>
    <x v="123"/>
    <x v="1"/>
    <x v="6"/>
    <n v="84398.19"/>
    <n v="12"/>
    <s v="2014-02-03"/>
    <n v="0"/>
    <n v="0"/>
    <n v="843981.9"/>
    <n v="2"/>
    <x v="2"/>
    <x v="3975"/>
    <n v="39582.74"/>
    <n v="1"/>
    <s v="ELM7 25M.BASS"/>
    <m/>
    <n v="84398.182790000006"/>
    <n v="0"/>
    <n v="70999"/>
  </r>
  <r>
    <x v="15"/>
    <s v="190-001744"/>
    <s v="Værløse Svømmehal, KV60"/>
    <n v="8933"/>
    <s v="0"/>
    <s v="Bi-måler El"/>
    <x v="123"/>
    <x v="1"/>
    <x v="6"/>
    <n v="25515.41"/>
    <n v="7"/>
    <s v="2008-06-11"/>
    <n v="0"/>
    <n v="0"/>
    <n v="255154.1"/>
    <n v="2"/>
    <x v="2"/>
    <x v="3976"/>
    <n v="11966.72"/>
    <n v="1"/>
    <s v="ELM2 VE01"/>
    <m/>
    <n v="25515.4"/>
    <n v="0"/>
    <n v="70989"/>
  </r>
  <r>
    <x v="15"/>
    <s v="190-001744"/>
    <s v="Værløse Svømmehal, KV60"/>
    <n v="8933"/>
    <s v="0"/>
    <s v="Bi-måler El"/>
    <x v="123"/>
    <x v="1"/>
    <x v="6"/>
    <n v="73325.350000000006"/>
    <n v="12"/>
    <s v="2015-05-05"/>
    <n v="0"/>
    <n v="0"/>
    <n v="733253.5"/>
    <n v="2"/>
    <x v="2"/>
    <x v="3977"/>
    <n v="34389.589999999997"/>
    <n v="1"/>
    <s v="ELM8 TB"/>
    <m/>
    <n v="73325.356979999997"/>
    <n v="0"/>
    <n v="70990"/>
  </r>
  <r>
    <x v="15"/>
    <s v="190-001744"/>
    <s v="Værløse Svømmehal, KV60"/>
    <n v="8933"/>
    <s v="0"/>
    <s v="Bi-måler El"/>
    <x v="123"/>
    <x v="1"/>
    <x v="6"/>
    <n v="40863.06"/>
    <n v="12"/>
    <s v="2015-05-05"/>
    <n v="0"/>
    <n v="0"/>
    <n v="408630.6"/>
    <n v="2"/>
    <x v="2"/>
    <x v="3978"/>
    <n v="19164.79"/>
    <n v="1"/>
    <s v="ELM9 VVB"/>
    <m/>
    <n v="40863.06884"/>
    <n v="0"/>
    <n v="70992"/>
  </r>
  <r>
    <x v="15"/>
    <s v="190-001744"/>
    <s v="Værløse Svømmehal, KV60"/>
    <n v="8933"/>
    <s v="0"/>
    <s v="Bi-måler El"/>
    <x v="123"/>
    <x v="1"/>
    <x v="6"/>
    <n v="4475.1400000000003"/>
    <n v="12"/>
    <s v="2012-05-08"/>
    <n v="0"/>
    <n v="0"/>
    <n v="44751.4"/>
    <n v="2"/>
    <x v="2"/>
    <x v="3979"/>
    <n v="2098.84"/>
    <n v="1"/>
    <s v="ELM5 VE04"/>
    <m/>
    <n v="4475.1483799999996"/>
    <n v="0"/>
    <n v="70995"/>
  </r>
  <r>
    <x v="15"/>
    <s v="190-001744"/>
    <s v="Værløse Svømmehal, KV60"/>
    <n v="8933"/>
    <s v="0"/>
    <s v="Bi-måler El"/>
    <x v="123"/>
    <x v="1"/>
    <x v="6"/>
    <n v="2384.67"/>
    <n v="12"/>
    <s v="2015-05-05"/>
    <n v="0"/>
    <n v="0"/>
    <n v="23846.7"/>
    <n v="2"/>
    <x v="2"/>
    <x v="3980"/>
    <n v="1118.3900000000001"/>
    <n v="1"/>
    <s v="ELM6 VE05"/>
    <m/>
    <n v="2384.6645100000001"/>
    <n v="0"/>
    <n v="70997"/>
  </r>
  <r>
    <x v="15"/>
    <s v="190-001744"/>
    <s v="Værløse Svømmehal, KV60"/>
    <n v="8933"/>
    <s v="0"/>
    <s v="Bi-måler El"/>
    <x v="123"/>
    <x v="1"/>
    <x v="6"/>
    <n v="28167.040000000001"/>
    <n v="12"/>
    <s v="2015-05-05"/>
    <n v="0"/>
    <n v="0"/>
    <n v="281670.40000000002"/>
    <n v="2"/>
    <x v="2"/>
    <x v="3981"/>
    <n v="13210.34"/>
    <n v="1"/>
    <s v="ELM12 OMKL."/>
    <m/>
    <n v="28167.02795"/>
    <n v="0"/>
    <n v="70998"/>
  </r>
  <r>
    <x v="15"/>
    <s v="190-001744"/>
    <s v="Værløse Svømmehal, KV60"/>
    <n v="8933"/>
    <s v="0"/>
    <s v="Bi-måler El"/>
    <x v="123"/>
    <x v="1"/>
    <x v="6"/>
    <n v="25429.65"/>
    <n v="7"/>
    <s v="2015-05-05"/>
    <n v="0"/>
    <n v="0"/>
    <n v="254296.5"/>
    <n v="2"/>
    <x v="2"/>
    <x v="3982"/>
    <n v="11926.51"/>
    <n v="1"/>
    <s v="ELM2 VE01"/>
    <m/>
    <n v="25429.64516"/>
    <n v="0"/>
    <n v="77913"/>
  </r>
  <r>
    <x v="15"/>
    <s v="190-001744"/>
    <s v="Værløse Svømmehal, KV60"/>
    <n v="8878"/>
    <m/>
    <s v="Værløse Svømmehal"/>
    <x v="123"/>
    <x v="0"/>
    <x v="0"/>
    <n v="539092"/>
    <n v="5"/>
    <m/>
    <n v="0"/>
    <n v="3615"/>
    <n v="58.537711000000002"/>
    <n v="2"/>
    <x v="2"/>
    <x v="3983"/>
    <n v="63485.9"/>
    <n v="0"/>
    <s v="1000387"/>
    <s v="74115285587"/>
    <n v="211619.68"/>
    <n v="0"/>
    <n v="76947"/>
  </r>
  <r>
    <x v="15"/>
    <s v="190-001744"/>
    <s v="Værløse Svømmehal, KV60"/>
    <n v="8878"/>
    <m/>
    <s v="Værløse Svømmehal"/>
    <x v="123"/>
    <x v="0"/>
    <x v="1"/>
    <n v="440955.34"/>
    <n v="12"/>
    <m/>
    <n v="0"/>
    <n v="3615"/>
    <n v="121.975973"/>
    <n v="2"/>
    <x v="2"/>
    <x v="3984"/>
    <n v="132286.60999999999"/>
    <n v="0"/>
    <s v="1000387"/>
    <s v="74115285587"/>
    <n v="440955.34"/>
    <n v="0"/>
    <n v="76947"/>
  </r>
  <r>
    <x v="15"/>
    <s v="190-001744"/>
    <s v="Værløse Svømmehal, KV60"/>
    <n v="8878"/>
    <m/>
    <s v="Værløse Svømmehal"/>
    <x v="123"/>
    <x v="0"/>
    <x v="2"/>
    <n v="441422.13"/>
    <n v="12"/>
    <m/>
    <n v="0"/>
    <n v="3615"/>
    <n v="122.10509500000001"/>
    <n v="2"/>
    <x v="2"/>
    <x v="3985"/>
    <n v="176568.86"/>
    <n v="0"/>
    <s v="1000387"/>
    <s v="74115285587"/>
    <n v="441422.13"/>
    <n v="0"/>
    <n v="76947"/>
  </r>
  <r>
    <x v="15"/>
    <s v="190-001744"/>
    <s v="Værløse Svømmehal, KV60"/>
    <n v="8878"/>
    <m/>
    <s v="Værløse Svømmehal"/>
    <x v="123"/>
    <x v="0"/>
    <x v="3"/>
    <n v="483448.52"/>
    <n v="12"/>
    <m/>
    <n v="0"/>
    <n v="3615"/>
    <n v="133.73033100000001"/>
    <n v="2"/>
    <x v="2"/>
    <x v="3986"/>
    <n v="226737.36"/>
    <n v="0"/>
    <s v="1000387"/>
    <s v="74115285587"/>
    <n v="483448.52"/>
    <n v="0"/>
    <n v="76947"/>
  </r>
  <r>
    <x v="15"/>
    <s v="190-001744"/>
    <s v="Værløse Svømmehal, KV60"/>
    <n v="8878"/>
    <m/>
    <s v="Værløse Svømmehal"/>
    <x v="123"/>
    <x v="0"/>
    <x v="4"/>
    <n v="521742.78"/>
    <n v="12"/>
    <m/>
    <n v="0"/>
    <n v="3615"/>
    <n v="144.323194"/>
    <n v="2"/>
    <x v="2"/>
    <x v="3987"/>
    <n v="244697.37"/>
    <n v="0"/>
    <s v="1000387"/>
    <s v="74115285587"/>
    <n v="521742.78"/>
    <n v="0"/>
    <n v="76947"/>
  </r>
  <r>
    <x v="15"/>
    <s v="190-001744"/>
    <s v="Værløse Svømmehal, KV60"/>
    <n v="8878"/>
    <m/>
    <s v="Værløse Svømmehal"/>
    <x v="123"/>
    <x v="0"/>
    <x v="5"/>
    <n v="560250.12"/>
    <n v="12"/>
    <m/>
    <n v="0"/>
    <n v="3615"/>
    <n v="154.974999"/>
    <n v="2"/>
    <x v="2"/>
    <x v="3988"/>
    <n v="262757.33"/>
    <n v="0"/>
    <s v="1000387"/>
    <s v="74115285587"/>
    <n v="560250.12"/>
    <n v="0"/>
    <n v="76947"/>
  </r>
  <r>
    <x v="15"/>
    <s v="190-001744"/>
    <s v="Værløse Svømmehal, KV60"/>
    <n v="8878"/>
    <m/>
    <s v="Værløse Svømmehal"/>
    <x v="123"/>
    <x v="0"/>
    <x v="6"/>
    <n v="374960.01"/>
    <n v="8"/>
    <m/>
    <n v="0"/>
    <n v="3615"/>
    <n v="103.720508"/>
    <n v="2"/>
    <x v="2"/>
    <x v="3989"/>
    <n v="175856.23"/>
    <n v="0"/>
    <s v="1000387"/>
    <s v="74115285587"/>
    <n v="374960.01"/>
    <n v="0"/>
    <n v="76947"/>
  </r>
  <r>
    <x v="15"/>
    <s v="190-001744"/>
    <s v="Værløse Svømmehal, KV60"/>
    <n v="8878"/>
    <m/>
    <s v="Værløse Svømmehal"/>
    <x v="123"/>
    <x v="0"/>
    <x v="6"/>
    <n v="218071.2"/>
    <n v="5"/>
    <s v="2008-05-01"/>
    <n v="0"/>
    <n v="3615"/>
    <n v="60.322313999999999"/>
    <n v="2"/>
    <x v="2"/>
    <x v="3990"/>
    <n v="102275.4"/>
    <n v="0"/>
    <s v="1000387"/>
    <m/>
    <n v="218071.2"/>
    <n v="0"/>
    <n v="70698"/>
  </r>
  <r>
    <x v="15"/>
    <s v="190-001744"/>
    <s v="Værløse Svømmehal, KV60"/>
    <n v="8880"/>
    <s v="0"/>
    <s v="BI-måler varme"/>
    <x v="123"/>
    <x v="1"/>
    <x v="7"/>
    <n v="183787.08"/>
    <n v="15"/>
    <s v="2015-03-31"/>
    <n v="0"/>
    <n v="0"/>
    <n v="1837870.8"/>
    <n v="1"/>
    <x v="10"/>
    <x v="3991"/>
    <n v="0"/>
    <n v="1"/>
    <s v="69298140 Recool"/>
    <m/>
    <n v="183787.05880999999"/>
    <n v="0"/>
    <n v="95759"/>
  </r>
  <r>
    <x v="15"/>
    <s v="190-001744"/>
    <s v="Værløse Svømmehal, KV60"/>
    <n v="8878"/>
    <m/>
    <s v="Værløse Svømmehal"/>
    <x v="123"/>
    <x v="1"/>
    <x v="7"/>
    <n v="1222964.29"/>
    <n v="12"/>
    <m/>
    <n v="0"/>
    <n v="3615"/>
    <n v="338.29334999999998"/>
    <n v="1"/>
    <x v="3"/>
    <x v="3992"/>
    <n v="2529.56"/>
    <n v="1"/>
    <m/>
    <m/>
    <n v="35052"/>
    <n v="76948"/>
    <n v="76949"/>
  </r>
  <r>
    <x v="15"/>
    <s v="190-001744"/>
    <s v="Værløse Svømmehal, KV60"/>
    <n v="8878"/>
    <m/>
    <s v="Værløse Svømmehal"/>
    <x v="123"/>
    <x v="0"/>
    <x v="7"/>
    <n v="1148100"/>
    <n v="12"/>
    <m/>
    <n v="0"/>
    <n v="3615"/>
    <n v="317.58457499999997"/>
    <n v="1"/>
    <x v="5"/>
    <x v="3993"/>
    <n v="82998.210000000006"/>
    <n v="0"/>
    <s v="25496/2002"/>
    <m/>
    <n v="1148.0999999999999"/>
    <n v="0"/>
    <n v="76948"/>
  </r>
  <r>
    <x v="15"/>
    <s v="190-001744"/>
    <s v="Værløse Svømmehal, KV60"/>
    <n v="8932"/>
    <s v="0"/>
    <s v="Bi-måler vand"/>
    <x v="123"/>
    <x v="1"/>
    <x v="7"/>
    <n v="0"/>
    <n v="12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7"/>
    <n v="349.92"/>
    <n v="12"/>
    <s v="2015-05-05"/>
    <n v="0"/>
    <n v="0"/>
    <n v="3499.2"/>
    <n v="3"/>
    <x v="0"/>
    <x v="3994"/>
    <n v="279.95"/>
    <n v="1"/>
    <s v="405303 KVM8 VVB"/>
    <m/>
    <n v="349.92646000000002"/>
    <n v="0"/>
    <n v="70972"/>
  </r>
  <r>
    <x v="15"/>
    <s v="190-001744"/>
    <s v="Værløse Svømmehal, KV60"/>
    <n v="8932"/>
    <s v="0"/>
    <s v="Bi-måler vand"/>
    <x v="123"/>
    <x v="1"/>
    <x v="7"/>
    <n v="1865.21"/>
    <n v="12"/>
    <s v="2015-05-05"/>
    <n v="0"/>
    <n v="0"/>
    <n v="18652.099999999999"/>
    <n v="3"/>
    <x v="0"/>
    <x v="3995"/>
    <n v="1492.17"/>
    <n v="1"/>
    <s v="KVM4 SKYLLETANK"/>
    <m/>
    <n v="1865.21507"/>
    <n v="0"/>
    <n v="70973"/>
  </r>
  <r>
    <x v="15"/>
    <s v="190-001744"/>
    <s v="Værløse Svømmehal, KV60"/>
    <n v="8932"/>
    <s v="0"/>
    <s v="Bi-måler vand"/>
    <x v="123"/>
    <x v="1"/>
    <x v="7"/>
    <n v="902.44"/>
    <n v="12"/>
    <s v="2015-05-05"/>
    <n v="0"/>
    <n v="0"/>
    <n v="9024.4"/>
    <n v="3"/>
    <x v="0"/>
    <x v="3996"/>
    <n v="0"/>
    <n v="1"/>
    <s v="405503 KVM3 TB"/>
    <m/>
    <n v="902.45038"/>
    <n v="0"/>
    <n v="70974"/>
  </r>
  <r>
    <x v="15"/>
    <s v="190-001744"/>
    <s v="Værløse Svømmehal, KV60"/>
    <n v="8932"/>
    <s v="0"/>
    <s v="Bi-måler vand"/>
    <x v="123"/>
    <x v="1"/>
    <x v="7"/>
    <n v="1"/>
    <n v="11"/>
    <s v="2015-05-05"/>
    <n v="0"/>
    <n v="0"/>
    <n v="10"/>
    <n v="3"/>
    <x v="0"/>
    <x v="3577"/>
    <n v="0"/>
    <n v="1"/>
    <s v="40061501 KVM5 TB"/>
    <m/>
    <n v="1"/>
    <n v="0"/>
    <n v="70975"/>
  </r>
  <r>
    <x v="15"/>
    <s v="190-001744"/>
    <s v="Værløse Svømmehal, KV60"/>
    <n v="8932"/>
    <s v="0"/>
    <s v="Bi-måler vand"/>
    <x v="123"/>
    <x v="1"/>
    <x v="7"/>
    <n v="562.45000000000005"/>
    <n v="12"/>
    <s v="2015-05-05"/>
    <n v="0"/>
    <n v="0"/>
    <n v="5624.5"/>
    <n v="3"/>
    <x v="0"/>
    <x v="3997"/>
    <n v="0"/>
    <n v="1"/>
    <s v="405403 KVM6 25M"/>
    <m/>
    <n v="562.45406000000003"/>
    <n v="0"/>
    <n v="70976"/>
  </r>
  <r>
    <x v="15"/>
    <s v="190-001744"/>
    <s v="Værløse Svømmehal, KV60"/>
    <n v="8932"/>
    <s v="0"/>
    <s v="Bi-måler vand"/>
    <x v="123"/>
    <x v="1"/>
    <x v="7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878"/>
    <m/>
    <s v="Værløse Svømmehal"/>
    <x v="123"/>
    <x v="1"/>
    <x v="7"/>
    <n v="4405.3999999999996"/>
    <n v="12"/>
    <m/>
    <n v="0"/>
    <n v="3615"/>
    <n v="1.21861"/>
    <n v="3"/>
    <x v="0"/>
    <x v="3998"/>
    <n v="3524.32"/>
    <n v="1"/>
    <s v="31828725 BV"/>
    <m/>
    <n v="4405.3999999999996"/>
    <n v="0"/>
    <n v="76950"/>
  </r>
  <r>
    <x v="15"/>
    <s v="190-001744"/>
    <s v="Værløse Svømmehal, KV60"/>
    <n v="8878"/>
    <m/>
    <s v="Værløse Svømmehal"/>
    <x v="123"/>
    <x v="0"/>
    <x v="7"/>
    <n v="13068.72"/>
    <n v="12"/>
    <m/>
    <n v="0"/>
    <n v="3615"/>
    <n v="3.6150359999999999"/>
    <n v="3"/>
    <x v="0"/>
    <x v="3999"/>
    <n v="10454.98"/>
    <n v="0"/>
    <s v="31039727"/>
    <m/>
    <n v="13068.72"/>
    <n v="0"/>
    <n v="76951"/>
  </r>
  <r>
    <x v="15"/>
    <s v="190-001744"/>
    <s v="Værløse Svømmehal, KV60"/>
    <n v="8880"/>
    <s v="0"/>
    <s v="BI-måler varme"/>
    <x v="123"/>
    <x v="1"/>
    <x v="7"/>
    <n v="531296.31999999995"/>
    <n v="12"/>
    <s v="2015-05-05"/>
    <n v="0"/>
    <n v="0"/>
    <n v="5312963.2"/>
    <n v="1"/>
    <x v="1"/>
    <x v="4000"/>
    <n v="40718.910000000003"/>
    <n v="1"/>
    <s v="4372281 ME1 VE01"/>
    <m/>
    <n v="531296.32354000001"/>
    <n v="0"/>
    <n v="70979"/>
  </r>
  <r>
    <x v="15"/>
    <s v="190-001744"/>
    <s v="Værløse Svømmehal, KV60"/>
    <n v="8880"/>
    <s v="0"/>
    <s v="BI-måler varme"/>
    <x v="123"/>
    <x v="1"/>
    <x v="7"/>
    <n v="5181.79"/>
    <n v="12"/>
    <s v="2015-05-06"/>
    <n v="0"/>
    <n v="0"/>
    <n v="51817.9"/>
    <n v="1"/>
    <x v="1"/>
    <x v="4001"/>
    <n v="390.43"/>
    <n v="1"/>
    <s v="4372267 ME5 VE05"/>
    <m/>
    <n v="5181.7941199999996"/>
    <n v="0"/>
    <n v="70982"/>
  </r>
  <r>
    <x v="15"/>
    <s v="190-001744"/>
    <s v="Værløse Svømmehal, KV60"/>
    <n v="8933"/>
    <s v="0"/>
    <s v="Bi-måler El"/>
    <x v="123"/>
    <x v="1"/>
    <x v="7"/>
    <n v="45761.1"/>
    <n v="12"/>
    <s v="2015-05-05"/>
    <n v="0"/>
    <n v="0"/>
    <n v="457611"/>
    <n v="2"/>
    <x v="2"/>
    <x v="4002"/>
    <n v="13728.33"/>
    <n v="1"/>
    <s v="ELM8 TB"/>
    <m/>
    <n v="45761.097430000002"/>
    <n v="0"/>
    <n v="70990"/>
  </r>
  <r>
    <x v="15"/>
    <s v="190-001744"/>
    <s v="Værløse Svømmehal, KV60"/>
    <n v="8880"/>
    <s v="0"/>
    <s v="BI-måler varme"/>
    <x v="123"/>
    <x v="1"/>
    <x v="7"/>
    <n v="3580.8"/>
    <n v="12"/>
    <s v="2015-05-05"/>
    <n v="0"/>
    <n v="0"/>
    <n v="35808"/>
    <n v="1"/>
    <x v="1"/>
    <x v="4003"/>
    <n v="272.99"/>
    <n v="1"/>
    <s v="4372274 ME3 VE03"/>
    <m/>
    <n v="3580.8051500000001"/>
    <n v="0"/>
    <n v="70984"/>
  </r>
  <r>
    <x v="15"/>
    <s v="190-001744"/>
    <s v="Værløse Svømmehal, KV60"/>
    <n v="8880"/>
    <s v="0"/>
    <s v="BI-måler varme"/>
    <x v="123"/>
    <x v="1"/>
    <x v="7"/>
    <n v="107963.94"/>
    <n v="12"/>
    <s v="2015-05-05"/>
    <n v="0"/>
    <n v="0"/>
    <n v="1079639.3999999999"/>
    <n v="1"/>
    <x v="1"/>
    <x v="4004"/>
    <n v="8398.31"/>
    <n v="1"/>
    <s v="4372275 ME11 VVB"/>
    <m/>
    <n v="107963.94852999999"/>
    <n v="0"/>
    <n v="70987"/>
  </r>
  <r>
    <x v="15"/>
    <s v="190-001744"/>
    <s v="Værløse Svømmehal, KV60"/>
    <n v="8880"/>
    <s v="0"/>
    <s v="BI-måler varme"/>
    <x v="123"/>
    <x v="1"/>
    <x v="7"/>
    <n v="82168.320000000007"/>
    <n v="12"/>
    <s v="2015-05-05"/>
    <n v="0"/>
    <n v="0"/>
    <n v="821683.19999999995"/>
    <n v="1"/>
    <x v="1"/>
    <x v="4005"/>
    <n v="12370.52"/>
    <n v="1"/>
    <s v="4372271-ME2 VE02"/>
    <m/>
    <n v="82168.327210000003"/>
    <n v="0"/>
    <n v="70702"/>
  </r>
  <r>
    <x v="15"/>
    <s v="190-001744"/>
    <s v="Værløse Svømmehal, KV60"/>
    <n v="8880"/>
    <s v="0"/>
    <s v="BI-måler varme"/>
    <x v="123"/>
    <x v="1"/>
    <x v="7"/>
    <n v="32365.22"/>
    <n v="12"/>
    <s v="2015-05-05"/>
    <n v="0"/>
    <n v="0"/>
    <n v="323652.2"/>
    <n v="1"/>
    <x v="1"/>
    <x v="4006"/>
    <n v="2416.5300000000002"/>
    <n v="1"/>
    <s v="4378476 ME8 25M"/>
    <m/>
    <n v="32365.220580000001"/>
    <n v="0"/>
    <n v="70978"/>
  </r>
  <r>
    <x v="15"/>
    <s v="190-001744"/>
    <s v="Værløse Svømmehal, KV60"/>
    <n v="8880"/>
    <s v="0"/>
    <s v="BI-måler varme"/>
    <x v="123"/>
    <x v="1"/>
    <x v="7"/>
    <n v="13740.68"/>
    <n v="12"/>
    <s v="2015-05-05"/>
    <n v="0"/>
    <n v="0"/>
    <n v="137406.79999999999"/>
    <n v="1"/>
    <x v="1"/>
    <x v="4007"/>
    <n v="1069.32"/>
    <n v="1"/>
    <s v="4376014 ME7 RA01"/>
    <m/>
    <n v="13740.68751"/>
    <n v="0"/>
    <n v="70981"/>
  </r>
  <r>
    <x v="15"/>
    <s v="190-001744"/>
    <s v="Værløse Svømmehal, KV60"/>
    <n v="8880"/>
    <s v="0"/>
    <s v="BI-måler varme"/>
    <x v="123"/>
    <x v="1"/>
    <x v="7"/>
    <n v="32.61"/>
    <n v="12"/>
    <s v="2015-05-05"/>
    <n v="0"/>
    <n v="0"/>
    <n v="326.10000000000002"/>
    <n v="1"/>
    <x v="1"/>
    <x v="4008"/>
    <n v="2.4700000000000002"/>
    <n v="1"/>
    <s v="4372265 ME4 VE04"/>
    <m/>
    <n v="32.606619999999999"/>
    <n v="0"/>
    <n v="70983"/>
  </r>
  <r>
    <x v="15"/>
    <s v="190-001744"/>
    <s v="Værløse Svømmehal, KV60"/>
    <n v="8880"/>
    <s v="0"/>
    <s v="BI-måler varme"/>
    <x v="123"/>
    <x v="1"/>
    <x v="7"/>
    <n v="121796.55"/>
    <n v="12"/>
    <s v="2015-05-05"/>
    <n v="0"/>
    <n v="0"/>
    <n v="1217965.5"/>
    <n v="1"/>
    <x v="1"/>
    <x v="4009"/>
    <n v="9102.1"/>
    <n v="1"/>
    <s v="4372276 ME9 TB"/>
    <m/>
    <n v="121796.57172000001"/>
    <n v="0"/>
    <n v="70986"/>
  </r>
  <r>
    <x v="15"/>
    <s v="190-001744"/>
    <s v="Værløse Svømmehal, KV60"/>
    <n v="8880"/>
    <s v="0"/>
    <s v="BI-måler varme"/>
    <x v="123"/>
    <x v="1"/>
    <x v="7"/>
    <n v="5879.86"/>
    <n v="12"/>
    <s v="2015-05-05"/>
    <n v="0"/>
    <n v="0"/>
    <n v="58798.6"/>
    <n v="1"/>
    <x v="1"/>
    <x v="4010"/>
    <n v="452.53"/>
    <n v="1"/>
    <s v="4376015 ME10 GV01"/>
    <m/>
    <n v="5879.8602799999999"/>
    <n v="0"/>
    <n v="70988"/>
  </r>
  <r>
    <x v="15"/>
    <s v="190-001744"/>
    <s v="Værløse Svømmehal, KV60"/>
    <n v="8933"/>
    <s v="0"/>
    <s v="Bi-måler El"/>
    <x v="123"/>
    <x v="1"/>
    <x v="7"/>
    <n v="4644.4399999999996"/>
    <n v="7"/>
    <s v="2014-07-02"/>
    <n v="0"/>
    <n v="0"/>
    <n v="46444.4"/>
    <n v="2"/>
    <x v="2"/>
    <x v="4011"/>
    <n v="1393.33"/>
    <n v="1"/>
    <s v="ELM4 VE03"/>
    <m/>
    <n v="4644.4375"/>
    <n v="0"/>
    <n v="70993"/>
  </r>
  <r>
    <x v="15"/>
    <s v="190-001744"/>
    <s v="Værløse Svømmehal, KV60"/>
    <n v="8933"/>
    <s v="0"/>
    <s v="Bi-måler El"/>
    <x v="123"/>
    <x v="1"/>
    <x v="7"/>
    <n v="5694.26"/>
    <n v="12"/>
    <s v="2015-05-05"/>
    <n v="0"/>
    <n v="0"/>
    <n v="56942.6"/>
    <n v="2"/>
    <x v="2"/>
    <x v="4012"/>
    <n v="1708.29"/>
    <n v="1"/>
    <s v="ELM11 RELAX"/>
    <m/>
    <n v="5694.2739099999999"/>
    <n v="0"/>
    <n v="70996"/>
  </r>
  <r>
    <x v="15"/>
    <s v="190-001744"/>
    <s v="Værløse Svømmehal, KV60"/>
    <n v="8933"/>
    <s v="0"/>
    <s v="Bi-måler El"/>
    <x v="123"/>
    <x v="1"/>
    <x v="7"/>
    <n v="9699.6"/>
    <n v="12"/>
    <s v="2015-05-05"/>
    <n v="0"/>
    <n v="0"/>
    <n v="96996"/>
    <n v="2"/>
    <x v="2"/>
    <x v="4013"/>
    <n v="2909.88"/>
    <n v="1"/>
    <s v="ELM12 OMKL."/>
    <m/>
    <n v="9699.5974200000001"/>
    <n v="0"/>
    <n v="70998"/>
  </r>
  <r>
    <x v="15"/>
    <s v="190-001744"/>
    <s v="Værløse Svømmehal, KV60"/>
    <n v="8933"/>
    <s v="0"/>
    <s v="Bi-måler El"/>
    <x v="123"/>
    <x v="1"/>
    <x v="7"/>
    <n v="71016.53"/>
    <n v="12"/>
    <s v="2015-05-05"/>
    <n v="0"/>
    <n v="0"/>
    <n v="710165.3"/>
    <n v="2"/>
    <x v="2"/>
    <x v="4014"/>
    <n v="21304.959999999999"/>
    <n v="1"/>
    <s v="ELM2 VE01"/>
    <m/>
    <n v="71016.536760000003"/>
    <n v="0"/>
    <n v="77913"/>
  </r>
  <r>
    <x v="15"/>
    <s v="190-001744"/>
    <s v="Værløse Svømmehal, KV60"/>
    <n v="8933"/>
    <s v="0"/>
    <s v="Bi-måler El"/>
    <x v="123"/>
    <x v="1"/>
    <x v="7"/>
    <n v="0"/>
    <n v="2"/>
    <s v="2014-02-03"/>
    <n v="0"/>
    <n v="0"/>
    <n v="0"/>
    <n v="2"/>
    <x v="2"/>
    <x v="1"/>
    <n v="0"/>
    <n v="1"/>
    <s v="ELM3 VE02"/>
    <m/>
    <n v="0"/>
    <n v="0"/>
    <n v="70991"/>
  </r>
  <r>
    <x v="15"/>
    <s v="190-001744"/>
    <s v="Værløse Svømmehal, KV60"/>
    <n v="8933"/>
    <s v="0"/>
    <s v="Bi-måler El"/>
    <x v="123"/>
    <x v="1"/>
    <x v="7"/>
    <n v="27942.59"/>
    <n v="12"/>
    <s v="2015-05-05"/>
    <n v="0"/>
    <n v="0"/>
    <n v="279425.90000000002"/>
    <n v="2"/>
    <x v="2"/>
    <x v="4015"/>
    <n v="8382.7800000000007"/>
    <n v="1"/>
    <s v="ELM9 VVB"/>
    <m/>
    <n v="27942.606619999999"/>
    <n v="0"/>
    <n v="70992"/>
  </r>
  <r>
    <x v="15"/>
    <s v="190-001744"/>
    <s v="Værløse Svømmehal, KV60"/>
    <n v="8933"/>
    <s v="0"/>
    <s v="Bi-måler El"/>
    <x v="123"/>
    <x v="1"/>
    <x v="7"/>
    <n v="5051.3500000000004"/>
    <n v="12"/>
    <s v="2015-05-05"/>
    <n v="0"/>
    <n v="0"/>
    <n v="50513.5"/>
    <n v="2"/>
    <x v="2"/>
    <x v="4016"/>
    <n v="1515.4"/>
    <n v="1"/>
    <s v="ELM10 LYS"/>
    <m/>
    <n v="5051.3511200000003"/>
    <n v="0"/>
    <n v="70994"/>
  </r>
  <r>
    <x v="15"/>
    <s v="190-001744"/>
    <s v="Værløse Svømmehal, KV60"/>
    <n v="8933"/>
    <s v="0"/>
    <s v="Bi-måler El"/>
    <x v="123"/>
    <x v="1"/>
    <x v="7"/>
    <n v="3738.67"/>
    <n v="12"/>
    <s v="2015-05-05"/>
    <n v="0"/>
    <n v="0"/>
    <n v="37386.699999999997"/>
    <n v="2"/>
    <x v="2"/>
    <x v="4017"/>
    <n v="1121.6099999999999"/>
    <n v="1"/>
    <s v="ELM6 VE05"/>
    <m/>
    <n v="3738.6893399999999"/>
    <n v="0"/>
    <n v="70997"/>
  </r>
  <r>
    <x v="15"/>
    <s v="190-001744"/>
    <s v="Værløse Svømmehal, KV60"/>
    <n v="8933"/>
    <s v="0"/>
    <s v="Bi-måler El"/>
    <x v="123"/>
    <x v="1"/>
    <x v="7"/>
    <n v="6038.62"/>
    <n v="2"/>
    <s v="2014-02-03"/>
    <n v="0"/>
    <n v="0"/>
    <n v="60386.2"/>
    <n v="2"/>
    <x v="2"/>
    <x v="4018"/>
    <n v="1811.58"/>
    <n v="1"/>
    <s v="ELM7 25M.BASS"/>
    <m/>
    <n v="6038.625"/>
    <n v="0"/>
    <n v="70999"/>
  </r>
  <r>
    <x v="15"/>
    <s v="190-001744"/>
    <s v="Værløse Svømmehal, KV60"/>
    <n v="8933"/>
    <s v="0"/>
    <s v="Bi-måler El"/>
    <x v="123"/>
    <x v="1"/>
    <x v="7"/>
    <n v="40040.720000000001"/>
    <n v="13"/>
    <s v="2015-05-05"/>
    <n v="0"/>
    <n v="0"/>
    <n v="400407.2"/>
    <n v="2"/>
    <x v="2"/>
    <x v="4019"/>
    <n v="12012.22"/>
    <n v="1"/>
    <s v="Recool"/>
    <m/>
    <n v="40040.705880000001"/>
    <n v="0"/>
    <n v="95931"/>
  </r>
  <r>
    <x v="15"/>
    <s v="190-001744"/>
    <s v="Værløse Svømmehal, KV60"/>
    <n v="8878"/>
    <m/>
    <s v="Værløse Svømmehal"/>
    <x v="123"/>
    <x v="0"/>
    <x v="7"/>
    <n v="496546.65"/>
    <n v="12"/>
    <m/>
    <n v="0"/>
    <n v="3615"/>
    <n v="137.35350299999999"/>
    <n v="2"/>
    <x v="2"/>
    <x v="4020"/>
    <n v="148964"/>
    <n v="0"/>
    <s v="1000387"/>
    <s v="74115285587"/>
    <n v="496546.65"/>
    <n v="0"/>
    <n v="76947"/>
  </r>
  <r>
    <x v="16"/>
    <m/>
    <s v="Pumpestation Søndersø Bal 70R"/>
    <n v="14008"/>
    <s v="0"/>
    <s v="Pumpestation Søndersø Bal 70R"/>
    <x v="124"/>
    <x v="0"/>
    <x v="7"/>
    <n v="2712.87"/>
    <n v="4"/>
    <s v="2015-02-11"/>
    <n v="0"/>
    <n v="10"/>
    <n v="268.60099000000002"/>
    <n v="2"/>
    <x v="2"/>
    <x v="4021"/>
    <n v="813.86"/>
    <n v="0"/>
    <s v="4164771"/>
    <m/>
    <n v="2712.8623899999998"/>
    <n v="0"/>
    <n v="94464"/>
  </r>
  <r>
    <x v="16"/>
    <m/>
    <s v="Pumpestation Søndersø Bal 70R"/>
    <n v="14008"/>
    <s v="0"/>
    <s v="Pumpestation Søndersø Bal 70R"/>
    <x v="124"/>
    <x v="0"/>
    <x v="0"/>
    <n v="2132"/>
    <n v="1"/>
    <s v="2015-02-11"/>
    <n v="0"/>
    <n v="10"/>
    <n v="29.755445000000002"/>
    <n v="2"/>
    <x v="2"/>
    <x v="4022"/>
    <n v="90.16"/>
    <n v="0"/>
    <s v="4164771"/>
    <m/>
    <n v="300.52999999999997"/>
    <n v="0"/>
    <n v="94464"/>
  </r>
  <r>
    <x v="16"/>
    <m/>
    <s v="Pumpestation Søndersø Bal 70R"/>
    <n v="14008"/>
    <s v="0"/>
    <s v="Pumpestation Søndersø Bal 70R"/>
    <x v="124"/>
    <x v="0"/>
    <x v="1"/>
    <n v="1495.61"/>
    <n v="2"/>
    <s v="2015-02-11"/>
    <n v="0"/>
    <n v="10"/>
    <n v="148.080198"/>
    <n v="2"/>
    <x v="2"/>
    <x v="4023"/>
    <n v="448.68"/>
    <n v="0"/>
    <s v="4164771"/>
    <m/>
    <n v="1495.6075900000001"/>
    <n v="0"/>
    <n v="94464"/>
  </r>
  <r>
    <x v="17"/>
    <m/>
    <s v="Ballerupvej 29 - Udlejet"/>
    <n v="10275"/>
    <m/>
    <s v="Ballerupvej 29"/>
    <x v="125"/>
    <x v="1"/>
    <x v="7"/>
    <n v="10497.57"/>
    <n v="12"/>
    <m/>
    <n v="0"/>
    <n v="551"/>
    <n v="19.048393999999998"/>
    <n v="2"/>
    <x v="2"/>
    <x v="4024"/>
    <n v="3149.27"/>
    <n v="0"/>
    <s v="814920"/>
    <s v="74110485982"/>
    <n v="10497.559300000001"/>
    <n v="0"/>
    <n v="92619"/>
  </r>
  <r>
    <x v="17"/>
    <m/>
    <s v="Ballerupvej 29 - Udlejet"/>
    <n v="10275"/>
    <m/>
    <s v="Ballerupvej 29"/>
    <x v="125"/>
    <x v="1"/>
    <x v="7"/>
    <n v="361.2"/>
    <n v="12"/>
    <s v="2011-11-29"/>
    <n v="0"/>
    <n v="551"/>
    <n v="0.655416"/>
    <n v="3"/>
    <x v="0"/>
    <x v="4025"/>
    <n v="288.95999999999998"/>
    <n v="0"/>
    <s v="40790"/>
    <m/>
    <n v="361.2"/>
    <n v="0"/>
    <n v="77669"/>
  </r>
  <r>
    <x v="17"/>
    <m/>
    <s v="Ballerupvej 29 - Udlejet"/>
    <n v="10275"/>
    <m/>
    <s v="Ballerupvej 29"/>
    <x v="125"/>
    <x v="1"/>
    <x v="7"/>
    <n v="74784.92"/>
    <n v="12"/>
    <s v="2011-11-29"/>
    <n v="0"/>
    <n v="551"/>
    <n v="135.701179"/>
    <n v="1"/>
    <x v="4"/>
    <x v="4026"/>
    <n v="15815.62"/>
    <n v="0"/>
    <s v="1540749"/>
    <s v="98001309450"/>
    <n v="6924.53"/>
    <n v="0"/>
    <n v="77675"/>
  </r>
  <r>
    <x v="17"/>
    <m/>
    <s v="Ballerupvej 29A UDLEJET"/>
    <n v="10276"/>
    <m/>
    <s v="Ballerupvej 29A"/>
    <x v="126"/>
    <x v="1"/>
    <x v="7"/>
    <n v="4012.98"/>
    <n v="12"/>
    <m/>
    <n v="0"/>
    <n v="0"/>
    <n v="40129.800000000003"/>
    <n v="2"/>
    <x v="2"/>
    <x v="4027"/>
    <n v="1882.1"/>
    <n v="0"/>
    <m/>
    <m/>
    <n v="4012.9987000000001"/>
    <n v="0"/>
    <n v="90594"/>
  </r>
  <r>
    <x v="17"/>
    <m/>
    <s v="Ballerupvej 29A UDLEJET"/>
    <n v="10276"/>
    <m/>
    <s v="Ballerupvej 29A"/>
    <x v="126"/>
    <x v="1"/>
    <x v="7"/>
    <n v="11406"/>
    <n v="12"/>
    <s v="2011-11-29"/>
    <n v="0"/>
    <n v="0"/>
    <n v="114060"/>
    <n v="1"/>
    <x v="4"/>
    <x v="4028"/>
    <n v="2412.16"/>
    <n v="0"/>
    <s v="1553895"/>
    <s v="98001309467"/>
    <n v="1056.1099999999999"/>
    <n v="0"/>
    <n v="77670"/>
  </r>
  <r>
    <x v="17"/>
    <m/>
    <s v="Ballerupvej 31 UDLEJET"/>
    <n v="10277"/>
    <m/>
    <s v="Ballerupvej 31"/>
    <x v="127"/>
    <x v="1"/>
    <x v="7"/>
    <n v="81.2"/>
    <n v="12"/>
    <s v="2013-05-07"/>
    <n v="0"/>
    <n v="304"/>
    <n v="0.267017"/>
    <n v="3"/>
    <x v="0"/>
    <x v="4029"/>
    <n v="64.959999999999994"/>
    <n v="0"/>
    <s v="40789"/>
    <m/>
    <n v="81.2"/>
    <n v="0"/>
    <n v="77673"/>
  </r>
  <r>
    <x v="17"/>
    <m/>
    <s v="Ballerupvej 31 UDLEJET"/>
    <n v="10277"/>
    <m/>
    <s v="Ballerupvej 31"/>
    <x v="127"/>
    <x v="1"/>
    <x v="7"/>
    <n v="6323.73"/>
    <n v="12"/>
    <s v="2013-05-07"/>
    <n v="0"/>
    <n v="304"/>
    <n v="20.794902"/>
    <n v="2"/>
    <x v="2"/>
    <x v="4030"/>
    <n v="1897.13"/>
    <n v="0"/>
    <s v="482983-33501 / 1096152"/>
    <s v="74110499637"/>
    <n v="6323.7349999999997"/>
    <n v="0"/>
    <n v="77671"/>
  </r>
  <r>
    <x v="17"/>
    <m/>
    <s v="Ballerupvej 31 UDLEJET"/>
    <n v="10277"/>
    <m/>
    <s v="Ballerupvej 31"/>
    <x v="127"/>
    <x v="1"/>
    <x v="7"/>
    <n v="26030.82"/>
    <n v="12"/>
    <s v="2013-05-07"/>
    <n v="0"/>
    <n v="304"/>
    <n v="85.599538999999993"/>
    <n v="1"/>
    <x v="6"/>
    <x v="4031"/>
    <n v="5308.42"/>
    <n v="0"/>
    <s v="161570"/>
    <s v="98005057814"/>
    <n v="2324.1799999999998"/>
    <n v="0"/>
    <n v="77672"/>
  </r>
  <r>
    <x v="17"/>
    <m/>
    <s v="Ballerupvej 31 UDLEJET"/>
    <n v="10277"/>
    <m/>
    <s v="Ballerupvej 31"/>
    <x v="127"/>
    <x v="1"/>
    <x v="0"/>
    <n v="44"/>
    <n v="5"/>
    <s v="2013-05-07"/>
    <n v="0"/>
    <n v="304"/>
    <n v="0.14468900000000001"/>
    <n v="3"/>
    <x v="0"/>
    <x v="4032"/>
    <n v="35.200000000000003"/>
    <n v="0"/>
    <s v="40789"/>
    <m/>
    <n v="44"/>
    <n v="0"/>
    <n v="77673"/>
  </r>
  <r>
    <x v="17"/>
    <m/>
    <s v="Ballerupvej 31 UDLEJET"/>
    <n v="10277"/>
    <m/>
    <s v="Ballerupvej 31"/>
    <x v="127"/>
    <x v="1"/>
    <x v="1"/>
    <n v="58.63"/>
    <n v="13"/>
    <s v="2013-05-07"/>
    <n v="0"/>
    <n v="304"/>
    <n v="0.192798"/>
    <n v="3"/>
    <x v="0"/>
    <x v="4033"/>
    <n v="46.89"/>
    <n v="0"/>
    <s v="40789"/>
    <m/>
    <n v="58.619990000000001"/>
    <n v="0"/>
    <n v="77673"/>
  </r>
  <r>
    <x v="17"/>
    <m/>
    <s v="Ballerupvej 31 UDLEJET"/>
    <n v="10277"/>
    <m/>
    <s v="Ballerupvej 31"/>
    <x v="127"/>
    <x v="1"/>
    <x v="2"/>
    <n v="133.28"/>
    <n v="12"/>
    <s v="2013-05-07"/>
    <n v="0"/>
    <n v="304"/>
    <n v="0.438276"/>
    <n v="3"/>
    <x v="0"/>
    <x v="4034"/>
    <n v="106.61"/>
    <n v="0"/>
    <s v="40789"/>
    <m/>
    <n v="133.24856"/>
    <n v="0"/>
    <n v="77673"/>
  </r>
  <r>
    <x v="17"/>
    <m/>
    <s v="Ballerupvej 31 UDLEJET"/>
    <n v="10277"/>
    <m/>
    <s v="Ballerupvej 31"/>
    <x v="127"/>
    <x v="1"/>
    <x v="3"/>
    <n v="29.64"/>
    <n v="4"/>
    <s v="2013-05-07"/>
    <n v="0"/>
    <n v="304"/>
    <n v="9.7466999999999998E-2"/>
    <n v="3"/>
    <x v="0"/>
    <x v="4035"/>
    <n v="23.71"/>
    <n v="0"/>
    <s v="40789"/>
    <m/>
    <n v="29.631440000000001"/>
    <n v="0"/>
    <n v="77673"/>
  </r>
  <r>
    <x v="17"/>
    <m/>
    <s v="Ballerupvej 31 UDLEJET"/>
    <n v="10277"/>
    <m/>
    <s v="Ballerupvej 31"/>
    <x v="127"/>
    <x v="1"/>
    <x v="4"/>
    <n v="36.19"/>
    <n v="3"/>
    <s v="2013-05-07"/>
    <n v="0"/>
    <n v="304"/>
    <n v="0.119006"/>
    <n v="3"/>
    <x v="0"/>
    <x v="4036"/>
    <n v="28.96"/>
    <n v="0"/>
    <s v="40789"/>
    <m/>
    <n v="36.19999"/>
    <n v="0"/>
    <n v="77673"/>
  </r>
  <r>
    <x v="17"/>
    <m/>
    <s v="Ballerupvej 31 UDLEJET"/>
    <n v="10277"/>
    <m/>
    <s v="Ballerupvej 31"/>
    <x v="127"/>
    <x v="1"/>
    <x v="5"/>
    <n v="35.159999999999997"/>
    <n v="2"/>
    <s v="2013-05-07"/>
    <n v="0"/>
    <n v="304"/>
    <n v="0.115619"/>
    <n v="3"/>
    <x v="0"/>
    <x v="4037"/>
    <n v="28.14"/>
    <n v="0"/>
    <s v="40789"/>
    <m/>
    <n v="35.163640000000001"/>
    <n v="0"/>
    <n v="77673"/>
  </r>
  <r>
    <x v="17"/>
    <m/>
    <s v="Ballerupvej 31 UDLEJET"/>
    <n v="10277"/>
    <m/>
    <s v="Ballerupvej 31"/>
    <x v="127"/>
    <x v="1"/>
    <x v="6"/>
    <n v="29.58"/>
    <n v="3"/>
    <s v="2013-05-07"/>
    <n v="0"/>
    <n v="304"/>
    <n v="9.7269999999999995E-2"/>
    <n v="3"/>
    <x v="0"/>
    <x v="4038"/>
    <n v="23.64"/>
    <n v="0"/>
    <s v="40789"/>
    <m/>
    <n v="29.565370000000001"/>
    <n v="0"/>
    <n v="77673"/>
  </r>
  <r>
    <x v="17"/>
    <s v="10802"/>
    <s v="Farum Genbrug, Gammel 77-79"/>
    <n v="13360"/>
    <s v="0"/>
    <s v="Farum Genbrug"/>
    <x v="128"/>
    <x v="1"/>
    <x v="0"/>
    <n v="32.43"/>
    <n v="5"/>
    <s v="2013-05-07"/>
    <n v="0"/>
    <n v="317"/>
    <n v="0.10227"/>
    <n v="3"/>
    <x v="0"/>
    <x v="4039"/>
    <n v="25.95"/>
    <n v="0"/>
    <s v="E05KA2710786"/>
    <m/>
    <n v="32.436999999999998"/>
    <n v="0"/>
    <n v="89450"/>
  </r>
  <r>
    <x v="17"/>
    <s v="10802"/>
    <s v="Farum Genbrug, Gammel 77-79"/>
    <n v="13360"/>
    <s v="0"/>
    <s v="Farum Genbrug"/>
    <x v="128"/>
    <x v="1"/>
    <x v="1"/>
    <n v="111.08"/>
    <n v="13"/>
    <s v="2013-05-07"/>
    <n v="0"/>
    <n v="317"/>
    <n v="0.35029900000000003"/>
    <n v="3"/>
    <x v="0"/>
    <x v="4040"/>
    <n v="88.85"/>
    <n v="0"/>
    <s v="E05KA2710786"/>
    <m/>
    <n v="111.06910999999999"/>
    <n v="0"/>
    <n v="89450"/>
  </r>
  <r>
    <x v="17"/>
    <s v="10802"/>
    <s v="Farum Genbrug, Gammel 77-79"/>
    <n v="13360"/>
    <s v="0"/>
    <s v="Farum Genbrug"/>
    <x v="128"/>
    <x v="1"/>
    <x v="2"/>
    <n v="156.22999999999999"/>
    <n v="12"/>
    <s v="2013-05-07"/>
    <n v="0"/>
    <n v="317"/>
    <n v="0.49268299999999998"/>
    <n v="3"/>
    <x v="0"/>
    <x v="4041"/>
    <n v="124.96"/>
    <n v="0"/>
    <s v="E05KA2710786"/>
    <m/>
    <n v="156.22290000000001"/>
    <n v="0"/>
    <n v="89450"/>
  </r>
  <r>
    <x v="17"/>
    <s v="10802"/>
    <s v="Farum Genbrug, Gammel 77-79"/>
    <n v="13360"/>
    <s v="0"/>
    <s v="Farum Genbrug"/>
    <x v="128"/>
    <x v="1"/>
    <x v="3"/>
    <n v="75"/>
    <n v="5"/>
    <s v="2013-05-07"/>
    <n v="0"/>
    <n v="317"/>
    <n v="0.23651800000000001"/>
    <n v="3"/>
    <x v="0"/>
    <x v="4042"/>
    <n v="60"/>
    <n v="0"/>
    <s v="E05KA2710786"/>
    <m/>
    <n v="75.01097"/>
    <n v="0"/>
    <n v="89450"/>
  </r>
  <r>
    <x v="17"/>
    <m/>
    <s v="Langkærgård"/>
    <n v="11035"/>
    <m/>
    <s v="Solhuset"/>
    <x v="129"/>
    <x v="1"/>
    <x v="0"/>
    <n v="49.59"/>
    <n v="5"/>
    <s v="2012-02-29"/>
    <n v="0"/>
    <n v="225"/>
    <n v="0.220302"/>
    <n v="3"/>
    <x v="0"/>
    <x v="4043"/>
    <n v="39.68"/>
    <n v="0"/>
    <s v="44109"/>
    <m/>
    <n v="49.585999999999999"/>
    <n v="0"/>
    <n v="79963"/>
  </r>
  <r>
    <x v="17"/>
    <m/>
    <s v="Langkærgård"/>
    <n v="11035"/>
    <m/>
    <s v="Solhuset"/>
    <x v="129"/>
    <x v="1"/>
    <x v="1"/>
    <n v="98.62"/>
    <n v="12"/>
    <s v="2012-02-29"/>
    <n v="0"/>
    <n v="225"/>
    <n v="0.43811600000000001"/>
    <n v="3"/>
    <x v="0"/>
    <x v="4044"/>
    <n v="78.89"/>
    <n v="0"/>
    <s v="44109"/>
    <m/>
    <n v="98.62"/>
    <n v="0"/>
    <n v="79963"/>
  </r>
  <r>
    <x v="17"/>
    <m/>
    <s v="Langkærgård"/>
    <n v="11035"/>
    <m/>
    <s v="Solhuset"/>
    <x v="129"/>
    <x v="1"/>
    <x v="2"/>
    <n v="151.33000000000001"/>
    <n v="13"/>
    <s v="2012-02-29"/>
    <n v="0"/>
    <n v="225"/>
    <n v="0.67227800000000004"/>
    <n v="3"/>
    <x v="0"/>
    <x v="4045"/>
    <n v="121.08"/>
    <n v="0"/>
    <s v="44109"/>
    <m/>
    <n v="151.35004000000001"/>
    <n v="0"/>
    <n v="79963"/>
  </r>
  <r>
    <x v="17"/>
    <m/>
    <s v="Langkærgård"/>
    <n v="11035"/>
    <m/>
    <s v="Solhuset"/>
    <x v="129"/>
    <x v="1"/>
    <x v="3"/>
    <n v="93.48"/>
    <n v="6"/>
    <s v="2012-02-29"/>
    <n v="0"/>
    <n v="225"/>
    <n v="0.41528199999999998"/>
    <n v="3"/>
    <x v="0"/>
    <x v="4046"/>
    <n v="74.790000000000006"/>
    <n v="0"/>
    <s v="44109"/>
    <m/>
    <n v="93.472430000000003"/>
    <n v="0"/>
    <n v="79963"/>
  </r>
  <r>
    <x v="17"/>
    <m/>
    <s v="Langkærgård"/>
    <n v="11035"/>
    <m/>
    <s v="Solhuset"/>
    <x v="129"/>
    <x v="1"/>
    <x v="4"/>
    <n v="152.01"/>
    <n v="4"/>
    <s v="2012-02-29"/>
    <n v="0"/>
    <n v="225"/>
    <n v="0.67529899999999998"/>
    <n v="3"/>
    <x v="0"/>
    <x v="4047"/>
    <n v="121.6"/>
    <n v="0"/>
    <s v="44109"/>
    <m/>
    <n v="152.00151"/>
    <n v="0"/>
    <n v="79963"/>
  </r>
  <r>
    <x v="17"/>
    <m/>
    <s v="Langkærgård"/>
    <n v="11035"/>
    <m/>
    <s v="Solhuset"/>
    <x v="129"/>
    <x v="1"/>
    <x v="5"/>
    <n v="126.25"/>
    <n v="2"/>
    <s v="2012-02-29"/>
    <n v="0"/>
    <n v="225"/>
    <n v="0.56086100000000005"/>
    <n v="3"/>
    <x v="0"/>
    <x v="4048"/>
    <n v="101.03"/>
    <n v="0"/>
    <s v="44109"/>
    <m/>
    <n v="126.28269"/>
    <n v="0"/>
    <n v="79963"/>
  </r>
  <r>
    <x v="17"/>
    <m/>
    <s v="Langkærgård"/>
    <n v="11035"/>
    <m/>
    <s v="Solhuset"/>
    <x v="129"/>
    <x v="1"/>
    <x v="6"/>
    <n v="21.1"/>
    <n v="2"/>
    <s v="2012-02-29"/>
    <n v="0"/>
    <n v="225"/>
    <n v="9.3736E-2"/>
    <n v="3"/>
    <x v="0"/>
    <x v="4049"/>
    <n v="16.88"/>
    <n v="0"/>
    <s v="44109"/>
    <m/>
    <n v="21.1"/>
    <n v="0"/>
    <n v="79963"/>
  </r>
  <r>
    <x v="17"/>
    <s v="05368-6"/>
    <s v="TD-Bygning"/>
    <n v="5465"/>
    <m/>
    <s v="TD-Bygning"/>
    <x v="130"/>
    <x v="1"/>
    <x v="0"/>
    <n v="56.07"/>
    <n v="5"/>
    <m/>
    <n v="0"/>
    <n v="1384"/>
    <n v="4.0509999999999997E-2"/>
    <n v="3"/>
    <x v="0"/>
    <x v="4050"/>
    <n v="44.86"/>
    <n v="0"/>
    <s v="01500592"/>
    <m/>
    <n v="56.07"/>
    <n v="0"/>
    <n v="57761"/>
  </r>
  <r>
    <x v="17"/>
    <s v="05368-6"/>
    <s v="TD-Bygning"/>
    <n v="5465"/>
    <m/>
    <s v="TD-Bygning"/>
    <x v="130"/>
    <x v="1"/>
    <x v="0"/>
    <n v="12.06"/>
    <n v="5"/>
    <m/>
    <n v="0"/>
    <n v="1384"/>
    <n v="8.7130000000000003E-3"/>
    <n v="3"/>
    <x v="0"/>
    <x v="4051"/>
    <n v="9.64"/>
    <n v="1"/>
    <s v="220156 BV"/>
    <m/>
    <n v="12.06"/>
    <n v="0"/>
    <n v="58121"/>
  </r>
  <r>
    <x v="17"/>
    <s v="05368-6"/>
    <s v="TD-Bygning"/>
    <n v="5465"/>
    <m/>
    <s v="TD-Bygning"/>
    <x v="130"/>
    <x v="1"/>
    <x v="1"/>
    <n v="158.62"/>
    <n v="12"/>
    <m/>
    <n v="0"/>
    <n v="1384"/>
    <n v="0.11460099999999999"/>
    <n v="3"/>
    <x v="0"/>
    <x v="4052"/>
    <n v="126.91"/>
    <n v="0"/>
    <s v="01500592"/>
    <m/>
    <n v="158.62"/>
    <n v="0"/>
    <n v="57761"/>
  </r>
  <r>
    <x v="17"/>
    <s v="05368-6"/>
    <s v="TD-Bygning"/>
    <n v="5465"/>
    <m/>
    <s v="TD-Bygning"/>
    <x v="130"/>
    <x v="1"/>
    <x v="1"/>
    <n v="32.78"/>
    <n v="12"/>
    <m/>
    <n v="0"/>
    <n v="1384"/>
    <n v="2.3682999999999999E-2"/>
    <n v="3"/>
    <x v="0"/>
    <x v="4053"/>
    <n v="26.21"/>
    <n v="1"/>
    <s v="220156 BV"/>
    <m/>
    <n v="32.78"/>
    <n v="0"/>
    <n v="58121"/>
  </r>
  <r>
    <x v="17"/>
    <s v="05368-6"/>
    <s v="TD-Bygning"/>
    <n v="5465"/>
    <m/>
    <s v="TD-Bygning"/>
    <x v="130"/>
    <x v="1"/>
    <x v="2"/>
    <n v="164.71"/>
    <n v="12"/>
    <m/>
    <n v="0"/>
    <n v="1384"/>
    <n v="0.119001"/>
    <n v="3"/>
    <x v="0"/>
    <x v="4054"/>
    <n v="131.78"/>
    <n v="0"/>
    <s v="01500592"/>
    <m/>
    <n v="164.71"/>
    <n v="0"/>
    <n v="57761"/>
  </r>
  <r>
    <x v="17"/>
    <s v="05368-6"/>
    <s v="TD-Bygning"/>
    <n v="5465"/>
    <m/>
    <s v="TD-Bygning"/>
    <x v="130"/>
    <x v="1"/>
    <x v="2"/>
    <n v="34.619999999999997"/>
    <n v="12"/>
    <m/>
    <n v="0"/>
    <n v="1384"/>
    <n v="2.5012E-2"/>
    <n v="3"/>
    <x v="0"/>
    <x v="4055"/>
    <n v="27.69"/>
    <n v="1"/>
    <s v="220156 BV"/>
    <m/>
    <n v="34.619999999999997"/>
    <n v="0"/>
    <n v="58121"/>
  </r>
  <r>
    <x v="17"/>
    <s v="05368-6"/>
    <s v="TD-Bygning"/>
    <n v="5465"/>
    <m/>
    <s v="TD-Bygning"/>
    <x v="130"/>
    <x v="1"/>
    <x v="3"/>
    <n v="184.98"/>
    <n v="12"/>
    <m/>
    <n v="0"/>
    <n v="1384"/>
    <n v="0.13364599999999999"/>
    <n v="3"/>
    <x v="0"/>
    <x v="4056"/>
    <n v="147.99"/>
    <n v="0"/>
    <s v="01500592"/>
    <m/>
    <n v="184.98"/>
    <n v="0"/>
    <n v="57761"/>
  </r>
  <r>
    <x v="17"/>
    <s v="05368-6"/>
    <s v="TD-Bygning"/>
    <n v="5465"/>
    <m/>
    <s v="TD-Bygning"/>
    <x v="130"/>
    <x v="1"/>
    <x v="3"/>
    <n v="31.31"/>
    <n v="12"/>
    <m/>
    <n v="0"/>
    <n v="1384"/>
    <n v="2.2620999999999999E-2"/>
    <n v="3"/>
    <x v="0"/>
    <x v="4057"/>
    <n v="25.04"/>
    <n v="1"/>
    <s v="220156 BV"/>
    <m/>
    <n v="31.31"/>
    <n v="0"/>
    <n v="58121"/>
  </r>
  <r>
    <x v="17"/>
    <s v="05368-6"/>
    <s v="TD-Bygning"/>
    <n v="5465"/>
    <m/>
    <s v="TD-Bygning"/>
    <x v="130"/>
    <x v="1"/>
    <x v="4"/>
    <n v="193.04"/>
    <n v="12"/>
    <m/>
    <n v="0"/>
    <n v="1384"/>
    <n v="0.13946900000000001"/>
    <n v="3"/>
    <x v="0"/>
    <x v="4058"/>
    <n v="154.43"/>
    <n v="0"/>
    <s v="01500592"/>
    <m/>
    <n v="193.04"/>
    <n v="0"/>
    <n v="57761"/>
  </r>
  <r>
    <x v="17"/>
    <s v="05368-6"/>
    <s v="TD-Bygning"/>
    <n v="5465"/>
    <m/>
    <s v="TD-Bygning"/>
    <x v="130"/>
    <x v="1"/>
    <x v="4"/>
    <n v="36.69"/>
    <n v="12"/>
    <m/>
    <n v="0"/>
    <n v="1384"/>
    <n v="2.6508E-2"/>
    <n v="3"/>
    <x v="0"/>
    <x v="4059"/>
    <n v="29.35"/>
    <n v="1"/>
    <s v="220156 BV"/>
    <m/>
    <n v="36.69"/>
    <n v="0"/>
    <n v="58121"/>
  </r>
  <r>
    <x v="17"/>
    <s v="05368-6"/>
    <s v="TD-Bygning"/>
    <n v="5465"/>
    <m/>
    <s v="TD-Bygning"/>
    <x v="130"/>
    <x v="1"/>
    <x v="5"/>
    <n v="138.66999999999999"/>
    <n v="12"/>
    <m/>
    <n v="0"/>
    <n v="1384"/>
    <n v="0.100187"/>
    <n v="3"/>
    <x v="0"/>
    <x v="4060"/>
    <n v="110.94"/>
    <n v="0"/>
    <s v="01500592"/>
    <m/>
    <n v="138.66999999999999"/>
    <n v="0"/>
    <n v="57761"/>
  </r>
  <r>
    <x v="17"/>
    <s v="05368-6"/>
    <s v="TD-Bygning"/>
    <n v="5465"/>
    <m/>
    <s v="TD-Bygning"/>
    <x v="130"/>
    <x v="1"/>
    <x v="5"/>
    <n v="27.92"/>
    <n v="12"/>
    <m/>
    <n v="0"/>
    <n v="1384"/>
    <n v="2.0171000000000001E-2"/>
    <n v="3"/>
    <x v="0"/>
    <x v="4061"/>
    <n v="22.33"/>
    <n v="1"/>
    <s v="220156 BV"/>
    <m/>
    <n v="27.92"/>
    <n v="0"/>
    <n v="58121"/>
  </r>
  <r>
    <x v="17"/>
    <s v="05368-6"/>
    <s v="TD-Bygning"/>
    <n v="5465"/>
    <m/>
    <s v="TD-Bygning"/>
    <x v="130"/>
    <x v="1"/>
    <x v="6"/>
    <n v="112.81"/>
    <n v="12"/>
    <m/>
    <n v="0"/>
    <n v="1384"/>
    <n v="8.1503999999999993E-2"/>
    <n v="3"/>
    <x v="0"/>
    <x v="4062"/>
    <n v="90.24"/>
    <n v="0"/>
    <s v="01500592"/>
    <m/>
    <n v="112.81"/>
    <n v="0"/>
    <n v="57761"/>
  </r>
  <r>
    <x v="17"/>
    <s v="05368-6"/>
    <s v="TD-Bygning"/>
    <n v="5465"/>
    <m/>
    <s v="TD-Bygning"/>
    <x v="130"/>
    <x v="1"/>
    <x v="6"/>
    <n v="24.67"/>
    <n v="12"/>
    <m/>
    <n v="0"/>
    <n v="1384"/>
    <n v="1.7822999999999999E-2"/>
    <n v="3"/>
    <x v="0"/>
    <x v="4063"/>
    <n v="19.75"/>
    <n v="1"/>
    <s v="220156 BV"/>
    <m/>
    <n v="24.67"/>
    <n v="0"/>
    <n v="58121"/>
  </r>
  <r>
    <x v="17"/>
    <m/>
    <s v="Værløse Bio Bymidten 44"/>
    <n v="13825"/>
    <m/>
    <s v="Værløse Bio"/>
    <x v="131"/>
    <x v="1"/>
    <x v="0"/>
    <n v="160.81"/>
    <n v="5"/>
    <s v="2013-09-30"/>
    <n v="0"/>
    <n v="739"/>
    <n v="0.21757499999999999"/>
    <n v="3"/>
    <x v="0"/>
    <x v="4064"/>
    <n v="128.65"/>
    <n v="0"/>
    <s v="4488"/>
    <m/>
    <n v="160.804"/>
    <n v="0"/>
    <n v="91848"/>
  </r>
  <r>
    <x v="17"/>
    <m/>
    <s v="Værløse Bio Bymidten 44"/>
    <n v="13825"/>
    <m/>
    <s v="Værløse Bio"/>
    <x v="131"/>
    <x v="1"/>
    <x v="1"/>
    <n v="317.04000000000002"/>
    <n v="7"/>
    <s v="2013-09-30"/>
    <n v="0"/>
    <n v="739"/>
    <n v="0.428954"/>
    <n v="3"/>
    <x v="0"/>
    <x v="4065"/>
    <n v="253.6"/>
    <n v="0"/>
    <s v="4488"/>
    <m/>
    <n v="317.03100000000001"/>
    <n v="0"/>
    <n v="91848"/>
  </r>
  <r>
    <x v="17"/>
    <s v="10802"/>
    <s v="Farum Genbrug, Gammel 77-79"/>
    <n v="13360"/>
    <s v="0"/>
    <s v="Farum Genbrug"/>
    <x v="128"/>
    <x v="1"/>
    <x v="7"/>
    <n v="94.34"/>
    <n v="12"/>
    <s v="2013-05-07"/>
    <n v="0"/>
    <n v="317"/>
    <n v="0.29750799999999999"/>
    <n v="3"/>
    <x v="0"/>
    <x v="4066"/>
    <n v="75.47"/>
    <n v="0"/>
    <s v="E05KA2710786"/>
    <m/>
    <n v="94.328999999999994"/>
    <n v="0"/>
    <n v="89450"/>
  </r>
  <r>
    <x v="17"/>
    <s v="10802"/>
    <s v="Farum Genbrug, Gammel 77-79"/>
    <n v="13360"/>
    <s v="0"/>
    <s v="Farum Genbrug"/>
    <x v="128"/>
    <x v="1"/>
    <x v="7"/>
    <n v="25299.73"/>
    <n v="12"/>
    <s v="2012-01-31"/>
    <n v="0"/>
    <n v="317"/>
    <n v="79.784705000000002"/>
    <n v="2"/>
    <x v="2"/>
    <x v="4067"/>
    <n v="7589.91"/>
    <n v="0"/>
    <s v="3105129"/>
    <m/>
    <n v="25299.738000000001"/>
    <n v="0"/>
    <n v="91052"/>
  </r>
  <r>
    <x v="17"/>
    <s v="10802"/>
    <s v="Farum Genbrug, Gammel 77-79"/>
    <n v="13360"/>
    <s v="0"/>
    <s v="Farum Genbrug"/>
    <x v="128"/>
    <x v="1"/>
    <x v="7"/>
    <n v="29810.58"/>
    <n v="12"/>
    <s v="2013-05-07"/>
    <n v="0"/>
    <n v="317"/>
    <n v="94.010028000000005"/>
    <n v="1"/>
    <x v="4"/>
    <x v="4068"/>
    <n v="7524.06"/>
    <n v="0"/>
    <s v="1144066"/>
    <m/>
    <n v="2760.2401"/>
    <n v="0"/>
    <n v="89468"/>
  </r>
  <r>
    <x v="17"/>
    <s v="02561-5"/>
    <s v="Farum Park"/>
    <n v="6026"/>
    <m/>
    <s v="Bimåler F.K."/>
    <x v="132"/>
    <x v="1"/>
    <x v="7"/>
    <n v="10886.35"/>
    <n v="12"/>
    <s v="2015-05-04"/>
    <n v="0"/>
    <n v="0"/>
    <n v="108863.5"/>
    <n v="2"/>
    <x v="2"/>
    <x v="4069"/>
    <n v="3265.91"/>
    <n v="1"/>
    <s v="Trænings lys B"/>
    <m/>
    <n v="10886.35576"/>
    <n v="0"/>
    <n v="93455"/>
  </r>
  <r>
    <x v="17"/>
    <s v="02561-5"/>
    <s v="Farum Park"/>
    <n v="6026"/>
    <m/>
    <s v="Bimåler F.K."/>
    <x v="132"/>
    <x v="1"/>
    <x v="7"/>
    <n v="32150.29"/>
    <n v="12"/>
    <s v="2015-05-04"/>
    <n v="0"/>
    <n v="0"/>
    <n v="321502.90000000002"/>
    <n v="2"/>
    <x v="2"/>
    <x v="4070"/>
    <n v="9645.09"/>
    <n v="1"/>
    <s v="EL tribune D 369785"/>
    <m/>
    <n v="32150.2857"/>
    <n v="0"/>
    <n v="95436"/>
  </r>
  <r>
    <x v="17"/>
    <s v="02561-5"/>
    <s v="Farum Park"/>
    <n v="6026"/>
    <m/>
    <s v="Bimåler F.K."/>
    <x v="132"/>
    <x v="1"/>
    <x v="7"/>
    <n v="1646.49"/>
    <n v="12"/>
    <s v="2015-05-04"/>
    <n v="0"/>
    <n v="0"/>
    <n v="16464.900000000001"/>
    <n v="2"/>
    <x v="2"/>
    <x v="4071"/>
    <n v="658.59"/>
    <n v="1"/>
    <s v="Trc BK 31000018112"/>
    <m/>
    <n v="1646.4728"/>
    <n v="0"/>
    <n v="60555"/>
  </r>
  <r>
    <x v="17"/>
    <s v="02561-5"/>
    <s v="Farum Park"/>
    <n v="6026"/>
    <m/>
    <s v="Bimåler F.K."/>
    <x v="132"/>
    <x v="1"/>
    <x v="7"/>
    <n v="10716.2"/>
    <n v="12"/>
    <s v="2015-05-04"/>
    <n v="0"/>
    <n v="0"/>
    <n v="107162"/>
    <n v="2"/>
    <x v="2"/>
    <x v="4072"/>
    <n v="3214.86"/>
    <n v="1"/>
    <s v="Trænings lys D"/>
    <m/>
    <n v="10716.210150000001"/>
    <n v="0"/>
    <n v="93454"/>
  </r>
  <r>
    <x v="17"/>
    <s v="02561-5"/>
    <s v="Farum Park"/>
    <n v="6026"/>
    <m/>
    <s v="Bimåler F.K."/>
    <x v="132"/>
    <x v="1"/>
    <x v="7"/>
    <n v="12789.31"/>
    <n v="12"/>
    <s v="2015-05-04"/>
    <n v="0"/>
    <n v="0"/>
    <n v="127893.1"/>
    <n v="2"/>
    <x v="2"/>
    <x v="4073"/>
    <n v="3836.79"/>
    <n v="1"/>
    <s v="Trænings lys C"/>
    <m/>
    <n v="12789.31429"/>
    <n v="0"/>
    <n v="93457"/>
  </r>
  <r>
    <x v="17"/>
    <s v="02561-5"/>
    <s v="Farum Park"/>
    <n v="6027"/>
    <m/>
    <s v="Bimåler FCN"/>
    <x v="132"/>
    <x v="1"/>
    <x v="7"/>
    <n v="13579.83"/>
    <n v="12"/>
    <s v="2015-05-04"/>
    <n v="0"/>
    <n v="0"/>
    <n v="135798.29999999999"/>
    <n v="2"/>
    <x v="2"/>
    <x v="4074"/>
    <n v="5431.93"/>
    <n v="1"/>
    <s v="P40 Loger"/>
    <m/>
    <n v="13579.82764"/>
    <n v="0"/>
    <n v="60558"/>
  </r>
  <r>
    <x v="17"/>
    <s v="02561-5"/>
    <s v="Farum Park"/>
    <n v="6027"/>
    <m/>
    <s v="Bimåler FCN"/>
    <x v="132"/>
    <x v="1"/>
    <x v="7"/>
    <n v="85154.12"/>
    <n v="12"/>
    <s v="2015-05-04"/>
    <n v="0"/>
    <n v="0"/>
    <n v="851541.2"/>
    <n v="2"/>
    <x v="2"/>
    <x v="4075"/>
    <n v="34061.67"/>
    <n v="1"/>
    <s v="Q14 VE01&amp;VE02"/>
    <m/>
    <n v="85154.140109999993"/>
    <n v="0"/>
    <n v="60559"/>
  </r>
  <r>
    <x v="17"/>
    <s v="02561-5"/>
    <s v="Farum Park"/>
    <n v="6027"/>
    <m/>
    <s v="Bimåler FCN"/>
    <x v="132"/>
    <x v="0"/>
    <x v="7"/>
    <n v="40530.65"/>
    <n v="12"/>
    <s v="2015-05-04"/>
    <n v="0"/>
    <n v="0"/>
    <n v="405306.5"/>
    <n v="2"/>
    <x v="2"/>
    <x v="4076"/>
    <n v="16212.27"/>
    <n v="1"/>
    <s v="Vaskeri  og tribune D"/>
    <m/>
    <n v="40530.64516"/>
    <n v="0"/>
    <n v="60561"/>
  </r>
  <r>
    <x v="17"/>
    <s v="02561-5"/>
    <s v="Farum Park"/>
    <n v="6027"/>
    <m/>
    <s v="Bimåler FCN"/>
    <x v="132"/>
    <x v="1"/>
    <x v="7"/>
    <n v="1870.62"/>
    <n v="12"/>
    <s v="2015-05-04"/>
    <n v="0"/>
    <n v="0"/>
    <n v="18706.2"/>
    <n v="2"/>
    <x v="2"/>
    <x v="4077"/>
    <n v="561.19000000000005"/>
    <n v="1"/>
    <s v="St.skærm0300118454"/>
    <m/>
    <n v="1870.6239599999999"/>
    <n v="0"/>
    <n v="71007"/>
  </r>
  <r>
    <x v="17"/>
    <s v="02561-5"/>
    <s v="Farum Park"/>
    <n v="6027"/>
    <m/>
    <s v="Bimåler FCN"/>
    <x v="132"/>
    <x v="1"/>
    <x v="7"/>
    <n v="3836.54"/>
    <n v="12"/>
    <s v="2015-05-04"/>
    <n v="0"/>
    <n v="0"/>
    <n v="38365.4"/>
    <n v="2"/>
    <x v="2"/>
    <x v="4078"/>
    <n v="1150.95"/>
    <n v="1"/>
    <s v="bande B 122000320824"/>
    <m/>
    <n v="3836.5225799999998"/>
    <n v="0"/>
    <n v="92703"/>
  </r>
  <r>
    <x v="17"/>
    <s v="02561-5"/>
    <s v="Farum Park"/>
    <n v="6027"/>
    <m/>
    <s v="Bimåler FCN"/>
    <x v="132"/>
    <x v="1"/>
    <x v="7"/>
    <n v="28158.080000000002"/>
    <n v="0"/>
    <s v="2015-05-04"/>
    <n v="0"/>
    <n v="0"/>
    <n v="281580.79999999999"/>
    <n v="2"/>
    <x v="2"/>
    <x v="4079"/>
    <n v="8447.41"/>
    <n v="1"/>
    <s v="Banevarme 487273 -P1"/>
    <m/>
    <n v="28158.099600000001"/>
    <n v="0"/>
    <n v="92732"/>
  </r>
  <r>
    <x v="17"/>
    <s v="02561-5"/>
    <s v="Farum Park"/>
    <n v="6027"/>
    <m/>
    <s v="Bimåler FCN"/>
    <x v="132"/>
    <x v="1"/>
    <x v="7"/>
    <n v="254318.43"/>
    <n v="0"/>
    <s v="2015-05-04"/>
    <n v="0"/>
    <n v="0"/>
    <n v="2543184.2999999998"/>
    <n v="2"/>
    <x v="2"/>
    <x v="4080"/>
    <n v="76295.520000000004"/>
    <n v="1"/>
    <s v="Banevarme 494847 -P2"/>
    <m/>
    <n v="254318.41415"/>
    <n v="0"/>
    <n v="92734"/>
  </r>
  <r>
    <x v="17"/>
    <s v="02561-5"/>
    <s v="Farum Park"/>
    <n v="6027"/>
    <m/>
    <s v="Bimåler FCN"/>
    <x v="132"/>
    <x v="1"/>
    <x v="7"/>
    <n v="8269.0400000000009"/>
    <n v="12"/>
    <s v="2015-05-04"/>
    <n v="0"/>
    <n v="0"/>
    <n v="82690.399999999994"/>
    <n v="2"/>
    <x v="2"/>
    <x v="4081"/>
    <n v="3307.6"/>
    <n v="1"/>
    <s v="P30 Suiter"/>
    <m/>
    <n v="8269.0414899999996"/>
    <n v="0"/>
    <n v="60557"/>
  </r>
  <r>
    <x v="17"/>
    <s v="02561-5"/>
    <s v="Farum Park"/>
    <n v="6027"/>
    <m/>
    <s v="Bimåler FCN"/>
    <x v="132"/>
    <x v="1"/>
    <x v="7"/>
    <n v="3267.23"/>
    <n v="12"/>
    <s v="2015-05-04"/>
    <n v="0"/>
    <n v="0"/>
    <n v="32672.3"/>
    <n v="2"/>
    <x v="2"/>
    <x v="4082"/>
    <n v="1306.9000000000001"/>
    <n v="1"/>
    <s v="Q2 Lys gangareal"/>
    <m/>
    <n v="3267.24424"/>
    <n v="0"/>
    <n v="60560"/>
  </r>
  <r>
    <x v="17"/>
    <m/>
    <s v="Ballerupvej 29A UDLEJET"/>
    <n v="10276"/>
    <m/>
    <s v="Ballerupvej 29A"/>
    <x v="126"/>
    <x v="1"/>
    <x v="0"/>
    <n v="6652.27"/>
    <n v="5"/>
    <s v="2011-11-29"/>
    <n v="0"/>
    <n v="0"/>
    <n v="66522.7"/>
    <n v="1"/>
    <x v="4"/>
    <x v="4083"/>
    <n v="1406.85"/>
    <n v="0"/>
    <s v="1553895"/>
    <s v="98001309467"/>
    <n v="615.95000000000005"/>
    <n v="0"/>
    <n v="77670"/>
  </r>
  <r>
    <x v="17"/>
    <s v="02561-5"/>
    <s v="Farum Park"/>
    <n v="6027"/>
    <m/>
    <s v="Bimåler FCN"/>
    <x v="132"/>
    <x v="1"/>
    <x v="7"/>
    <n v="16578.2"/>
    <n v="12"/>
    <s v="2015-05-04"/>
    <n v="0"/>
    <n v="0"/>
    <n v="165782"/>
    <n v="2"/>
    <x v="2"/>
    <x v="4084"/>
    <n v="6631.29"/>
    <n v="1"/>
    <s v="Eltrc.31100018199"/>
    <m/>
    <n v="16578.204600000001"/>
    <n v="0"/>
    <n v="60562"/>
  </r>
  <r>
    <x v="17"/>
    <s v="02561-5"/>
    <s v="Farum Park"/>
    <n v="6027"/>
    <m/>
    <s v="Bimåler FCN"/>
    <x v="132"/>
    <x v="1"/>
    <x v="7"/>
    <n v="209.04"/>
    <n v="12"/>
    <s v="2015-05-04"/>
    <n v="0"/>
    <n v="0"/>
    <n v="2090.4"/>
    <n v="2"/>
    <x v="2"/>
    <x v="4085"/>
    <n v="83.62"/>
    <n v="1"/>
    <s v="Eltrc.31000018096"/>
    <m/>
    <n v="209.04792"/>
    <n v="0"/>
    <n v="60563"/>
  </r>
  <r>
    <x v="17"/>
    <m/>
    <s v="Ballerupvej 29A UDLEJET"/>
    <n v="10276"/>
    <m/>
    <s v="Ballerupvej 29A"/>
    <x v="126"/>
    <x v="1"/>
    <x v="1"/>
    <n v="12068.03"/>
    <n v="12"/>
    <s v="2011-11-29"/>
    <n v="0"/>
    <n v="0"/>
    <n v="120680.3"/>
    <n v="1"/>
    <x v="4"/>
    <x v="4086"/>
    <n v="2552.19"/>
    <n v="0"/>
    <s v="1553895"/>
    <s v="98001309467"/>
    <n v="1117.4100000000001"/>
    <n v="0"/>
    <n v="77670"/>
  </r>
  <r>
    <x v="17"/>
    <m/>
    <s v="Ballerupvej 29A UDLEJET"/>
    <n v="10276"/>
    <m/>
    <s v="Ballerupvej 29A"/>
    <x v="126"/>
    <x v="1"/>
    <x v="2"/>
    <n v="10425.129999999999"/>
    <n v="12"/>
    <s v="2011-11-29"/>
    <n v="0"/>
    <n v="0"/>
    <n v="104251.3"/>
    <n v="1"/>
    <x v="4"/>
    <x v="4087"/>
    <n v="2204.73"/>
    <n v="0"/>
    <s v="1553895"/>
    <s v="98001309467"/>
    <n v="965.29"/>
    <n v="0"/>
    <n v="77670"/>
  </r>
  <r>
    <x v="17"/>
    <m/>
    <s v="Ballerupvej 29A UDLEJET"/>
    <n v="10276"/>
    <m/>
    <s v="Ballerupvej 29A"/>
    <x v="126"/>
    <x v="1"/>
    <x v="3"/>
    <n v="9211.0499999999993"/>
    <n v="4"/>
    <s v="2011-11-29"/>
    <n v="0"/>
    <n v="0"/>
    <n v="92110.5"/>
    <n v="1"/>
    <x v="4"/>
    <x v="4088"/>
    <n v="1947.98"/>
    <n v="0"/>
    <s v="1553895"/>
    <s v="98001309467"/>
    <n v="852.87508000000003"/>
    <n v="0"/>
    <n v="77670"/>
  </r>
  <r>
    <x v="17"/>
    <m/>
    <s v="Ballerupvej 29A UDLEJET"/>
    <n v="10276"/>
    <m/>
    <s v="Ballerupvej 29A"/>
    <x v="126"/>
    <x v="1"/>
    <x v="4"/>
    <n v="11373.2"/>
    <n v="2"/>
    <s v="2011-11-29"/>
    <n v="0"/>
    <n v="0"/>
    <n v="113732"/>
    <n v="1"/>
    <x v="4"/>
    <x v="4089"/>
    <n v="2405.2399999999998"/>
    <n v="0"/>
    <s v="1553895"/>
    <s v="98001309467"/>
    <n v="1053.0749000000001"/>
    <n v="0"/>
    <n v="77670"/>
  </r>
  <r>
    <x v="17"/>
    <m/>
    <s v="Ballerupvej 29A UDLEJET"/>
    <n v="10276"/>
    <m/>
    <s v="Ballerupvej 29A"/>
    <x v="126"/>
    <x v="1"/>
    <x v="5"/>
    <n v="14242.16"/>
    <n v="2"/>
    <s v="2011-11-29"/>
    <n v="0"/>
    <n v="0"/>
    <n v="142421.6"/>
    <n v="1"/>
    <x v="4"/>
    <x v="4090"/>
    <n v="3011.96"/>
    <n v="0"/>
    <s v="1553895"/>
    <s v="98001309467"/>
    <n v="1318.7165500000001"/>
    <n v="0"/>
    <n v="77670"/>
  </r>
  <r>
    <x v="17"/>
    <m/>
    <s v="Ballerupvej 29A UDLEJET"/>
    <n v="10276"/>
    <m/>
    <s v="Ballerupvej 29A"/>
    <x v="126"/>
    <x v="1"/>
    <x v="6"/>
    <n v="5409.75"/>
    <n v="3"/>
    <s v="2011-11-29"/>
    <n v="0"/>
    <n v="0"/>
    <n v="54097.5"/>
    <n v="1"/>
    <x v="4"/>
    <x v="4091"/>
    <n v="1144.06"/>
    <n v="0"/>
    <s v="1553895"/>
    <s v="98001309467"/>
    <n v="500.90345000000002"/>
    <n v="0"/>
    <n v="77670"/>
  </r>
  <r>
    <x v="17"/>
    <s v="02561-5"/>
    <s v="Farum Park"/>
    <n v="5468"/>
    <m/>
    <s v="Farum Park"/>
    <x v="132"/>
    <x v="0"/>
    <x v="7"/>
    <n v="443081.13"/>
    <n v="12"/>
    <m/>
    <n v="0"/>
    <n v="12237"/>
    <n v="36.208016999999998"/>
    <n v="2"/>
    <x v="2"/>
    <x v="4092"/>
    <n v="177232.46"/>
    <n v="1"/>
    <s v="800166"/>
    <s v="74114755326"/>
    <n v="443081.13"/>
    <n v="0"/>
    <n v="57824"/>
  </r>
  <r>
    <x v="17"/>
    <m/>
    <s v="Ballerupvej 31 UDLEJET"/>
    <n v="10277"/>
    <m/>
    <s v="Ballerupvej 31"/>
    <x v="127"/>
    <x v="1"/>
    <x v="0"/>
    <n v="17429.439999999999"/>
    <n v="5"/>
    <s v="2013-05-07"/>
    <n v="0"/>
    <n v="304"/>
    <n v="57.314830000000001"/>
    <n v="1"/>
    <x v="6"/>
    <x v="4093"/>
    <n v="3554.37"/>
    <n v="0"/>
    <s v="161570"/>
    <s v="98005057814"/>
    <n v="1556.2"/>
    <n v="0"/>
    <n v="77672"/>
  </r>
  <r>
    <x v="17"/>
    <s v="02561-5"/>
    <s v="Farum Park"/>
    <n v="5468"/>
    <m/>
    <s v="Farum Park"/>
    <x v="132"/>
    <x v="1"/>
    <x v="7"/>
    <n v="0"/>
    <n v="12"/>
    <m/>
    <n v="0"/>
    <n v="12237"/>
    <n v="0"/>
    <n v="2"/>
    <x v="2"/>
    <x v="1"/>
    <n v="0"/>
    <n v="1"/>
    <s v="1118529"/>
    <s v="74114203506"/>
    <n v="0"/>
    <n v="0"/>
    <n v="57820"/>
  </r>
  <r>
    <x v="17"/>
    <m/>
    <s v="Ballerupvej 31 UDLEJET"/>
    <n v="10277"/>
    <m/>
    <s v="Ballerupvej 31"/>
    <x v="127"/>
    <x v="1"/>
    <x v="1"/>
    <n v="24520.38"/>
    <n v="13"/>
    <s v="2013-05-07"/>
    <n v="0"/>
    <n v="304"/>
    <n v="80.632620000000003"/>
    <n v="1"/>
    <x v="6"/>
    <x v="4094"/>
    <n v="5000.42"/>
    <n v="0"/>
    <s v="161570"/>
    <s v="98005057814"/>
    <n v="2189.3200099999999"/>
    <n v="0"/>
    <n v="77672"/>
  </r>
  <r>
    <x v="17"/>
    <m/>
    <s v="Ballerupvej 31 UDLEJET"/>
    <n v="10277"/>
    <m/>
    <s v="Ballerupvej 31"/>
    <x v="127"/>
    <x v="1"/>
    <x v="2"/>
    <n v="39691.39"/>
    <n v="12"/>
    <s v="2013-05-07"/>
    <n v="0"/>
    <n v="304"/>
    <n v="130.520848"/>
    <n v="1"/>
    <x v="6"/>
    <x v="4095"/>
    <n v="8094.21"/>
    <n v="0"/>
    <s v="161570"/>
    <s v="98005057814"/>
    <n v="3543.8714399999999"/>
    <n v="0"/>
    <n v="77672"/>
  </r>
  <r>
    <x v="17"/>
    <m/>
    <s v="Ballerupvej 31 UDLEJET"/>
    <n v="10277"/>
    <m/>
    <s v="Ballerupvej 31"/>
    <x v="127"/>
    <x v="1"/>
    <x v="3"/>
    <n v="11604.78"/>
    <n v="4"/>
    <s v="2013-05-07"/>
    <n v="0"/>
    <n v="304"/>
    <n v="38.161065000000001"/>
    <n v="1"/>
    <x v="6"/>
    <x v="4096"/>
    <n v="2366.54"/>
    <n v="0"/>
    <s v="161570"/>
    <s v="98005057814"/>
    <n v="1036.1401000000001"/>
    <n v="0"/>
    <n v="77672"/>
  </r>
  <r>
    <x v="17"/>
    <m/>
    <s v="Ballerupvej 31 UDLEJET"/>
    <n v="10277"/>
    <m/>
    <s v="Ballerupvej 31"/>
    <x v="127"/>
    <x v="1"/>
    <x v="4"/>
    <n v="24018.32"/>
    <n v="5"/>
    <s v="2013-05-07"/>
    <n v="0"/>
    <n v="304"/>
    <n v="78.981650000000002"/>
    <n v="1"/>
    <x v="6"/>
    <x v="4097"/>
    <n v="4898"/>
    <n v="0"/>
    <s v="161570"/>
    <s v="98005057814"/>
    <n v="2144.4944500000001"/>
    <n v="0"/>
    <n v="77672"/>
  </r>
  <r>
    <x v="17"/>
    <m/>
    <s v="Ballerupvej 31 UDLEJET"/>
    <n v="10277"/>
    <m/>
    <s v="Ballerupvej 31"/>
    <x v="127"/>
    <x v="1"/>
    <x v="5"/>
    <n v="34427.67"/>
    <n v="2"/>
    <s v="2013-05-07"/>
    <n v="0"/>
    <n v="304"/>
    <n v="113.211673"/>
    <n v="1"/>
    <x v="6"/>
    <x v="4098"/>
    <n v="7020.76"/>
    <n v="0"/>
    <s v="161570"/>
    <s v="98005057814"/>
    <n v="3073.8991700000001"/>
    <n v="0"/>
    <n v="77672"/>
  </r>
  <r>
    <x v="17"/>
    <s v="02561-5"/>
    <s v="Farum Park"/>
    <n v="5468"/>
    <m/>
    <s v="Farum Park"/>
    <x v="132"/>
    <x v="1"/>
    <x v="7"/>
    <n v="422.65"/>
    <n v="12"/>
    <s v="2015-05-04"/>
    <n v="0"/>
    <n v="12237"/>
    <n v="3.4537999999999999E-2"/>
    <n v="2"/>
    <x v="2"/>
    <x v="4099"/>
    <n v="126.81"/>
    <n v="1"/>
    <s v="dræn 121400315785"/>
    <m/>
    <n v="422.64424000000002"/>
    <n v="0"/>
    <n v="92978"/>
  </r>
  <r>
    <x v="17"/>
    <m/>
    <s v="Ballerupvej 31 UDLEJET"/>
    <n v="10277"/>
    <m/>
    <s v="Ballerupvej 31"/>
    <x v="127"/>
    <x v="1"/>
    <x v="6"/>
    <n v="24517.19"/>
    <n v="3"/>
    <s v="2013-05-07"/>
    <n v="0"/>
    <n v="304"/>
    <n v="80.622129999999999"/>
    <n v="1"/>
    <x v="6"/>
    <x v="4100"/>
    <n v="4999.7700000000004"/>
    <n v="0"/>
    <s v="161570"/>
    <s v="98005057814"/>
    <n v="2189.0359600000002"/>
    <n v="0"/>
    <n v="77672"/>
  </r>
  <r>
    <x v="17"/>
    <s v="10802"/>
    <s v="Farum Genbrug, Gammel 77-79"/>
    <n v="13360"/>
    <s v="0"/>
    <s v="Farum Genbrug"/>
    <x v="128"/>
    <x v="1"/>
    <x v="0"/>
    <n v="17958.349999999999"/>
    <n v="5"/>
    <s v="2013-05-07"/>
    <n v="0"/>
    <n v="317"/>
    <n v="56.633080999999997"/>
    <n v="1"/>
    <x v="4"/>
    <x v="4101"/>
    <n v="4250.96"/>
    <n v="0"/>
    <s v="1144066"/>
    <m/>
    <n v="1662.81"/>
    <n v="0"/>
    <n v="89468"/>
  </r>
  <r>
    <x v="17"/>
    <s v="02561-5"/>
    <s v="Farum Park"/>
    <n v="6027"/>
    <m/>
    <s v="Bimåler FCN"/>
    <x v="132"/>
    <x v="1"/>
    <x v="7"/>
    <n v="21.04"/>
    <n v="12"/>
    <s v="2015-05-04"/>
    <n v="0"/>
    <n v="0"/>
    <n v="210.4"/>
    <n v="3"/>
    <x v="0"/>
    <x v="4102"/>
    <n v="16.84"/>
    <n v="1"/>
    <s v="Suiter VM2 BV"/>
    <m/>
    <n v="21.032240000000002"/>
    <n v="0"/>
    <n v="60568"/>
  </r>
  <r>
    <x v="17"/>
    <s v="10802"/>
    <s v="Farum Genbrug, Gammel 77-79"/>
    <n v="13360"/>
    <s v="0"/>
    <s v="Farum Genbrug"/>
    <x v="128"/>
    <x v="1"/>
    <x v="1"/>
    <n v="43988.1"/>
    <n v="13"/>
    <s v="2013-05-07"/>
    <n v="0"/>
    <n v="317"/>
    <n v="138.71996200000001"/>
    <n v="1"/>
    <x v="4"/>
    <x v="4103"/>
    <n v="9826.5"/>
    <n v="0"/>
    <s v="1144066"/>
    <m/>
    <n v="4072.97334"/>
    <n v="0"/>
    <n v="89468"/>
  </r>
  <r>
    <x v="17"/>
    <s v="10802"/>
    <s v="Farum Genbrug, Gammel 77-79"/>
    <n v="13360"/>
    <s v="0"/>
    <s v="Farum Genbrug"/>
    <x v="128"/>
    <x v="1"/>
    <x v="2"/>
    <n v="67610.89"/>
    <n v="12"/>
    <s v="2013-05-07"/>
    <n v="0"/>
    <n v="317"/>
    <n v="213.21630400000001"/>
    <n v="1"/>
    <x v="4"/>
    <x v="4104"/>
    <n v="15557.41"/>
    <n v="0"/>
    <s v="1144066"/>
    <m/>
    <n v="6260.2645599999996"/>
    <n v="0"/>
    <n v="89468"/>
  </r>
  <r>
    <x v="17"/>
    <s v="10802"/>
    <s v="Farum Genbrug, Gammel 77-79"/>
    <n v="13360"/>
    <s v="0"/>
    <s v="Farum Genbrug"/>
    <x v="128"/>
    <x v="1"/>
    <x v="3"/>
    <n v="31334.959999999999"/>
    <n v="4"/>
    <s v="2013-05-07"/>
    <n v="0"/>
    <n v="317"/>
    <n v="98.817280999999994"/>
    <n v="1"/>
    <x v="4"/>
    <x v="4105"/>
    <n v="7405.07"/>
    <n v="0"/>
    <s v="1144066"/>
    <m/>
    <n v="2901.3856099999998"/>
    <n v="0"/>
    <n v="89468"/>
  </r>
  <r>
    <x v="17"/>
    <s v="10802"/>
    <s v="Farum Genbrug, Gammel 77-79"/>
    <n v="13360"/>
    <s v="0"/>
    <s v="Farum Genbrug"/>
    <x v="128"/>
    <x v="1"/>
    <x v="4"/>
    <n v="48481.9"/>
    <n v="1"/>
    <s v="2013-05-07"/>
    <n v="0"/>
    <n v="317"/>
    <n v="152.891516"/>
    <n v="1"/>
    <x v="4"/>
    <x v="4106"/>
    <n v="12966.31"/>
    <n v="0"/>
    <s v="1144066"/>
    <m/>
    <n v="4489.06495"/>
    <n v="0"/>
    <n v="89468"/>
  </r>
  <r>
    <x v="17"/>
    <s v="10802"/>
    <s v="Farum Genbrug, Gammel 77-79"/>
    <n v="13360"/>
    <s v="0"/>
    <s v="Farum Genbrug"/>
    <x v="128"/>
    <x v="1"/>
    <x v="5"/>
    <n v="27989.42"/>
    <n v="4"/>
    <s v="2013-05-07"/>
    <n v="0"/>
    <n v="317"/>
    <n v="88.266855000000007"/>
    <n v="1"/>
    <x v="4"/>
    <x v="4107"/>
    <n v="6094.83"/>
    <n v="0"/>
    <s v="1144066"/>
    <m/>
    <n v="2591.6122300000002"/>
    <n v="0"/>
    <n v="89468"/>
  </r>
  <r>
    <x v="17"/>
    <s v="10802"/>
    <s v="Farum Genbrug, Gammel 77-79"/>
    <n v="13360"/>
    <s v="0"/>
    <s v="Farum Genbrug"/>
    <x v="128"/>
    <x v="1"/>
    <x v="6"/>
    <n v="54709.46"/>
    <n v="1"/>
    <s v="2013-05-07"/>
    <n v="0"/>
    <n v="317"/>
    <n v="172.530621"/>
    <n v="1"/>
    <x v="4"/>
    <x v="4108"/>
    <n v="14800.15"/>
    <n v="0"/>
    <s v="1144066"/>
    <m/>
    <n v="5065.6925700000002"/>
    <n v="0"/>
    <n v="89468"/>
  </r>
  <r>
    <x v="17"/>
    <m/>
    <s v="Langkærgård"/>
    <n v="11035"/>
    <m/>
    <s v="Solhuset"/>
    <x v="129"/>
    <x v="1"/>
    <x v="0"/>
    <n v="16242.87"/>
    <n v="5"/>
    <s v="2012-02-29"/>
    <n v="0"/>
    <n v="225"/>
    <n v="72.158462"/>
    <n v="1"/>
    <x v="1"/>
    <x v="4109"/>
    <n v="1185.1600000000001"/>
    <n v="0"/>
    <s v="7299730"/>
    <m/>
    <n v="16242.87"/>
    <n v="0"/>
    <n v="79964"/>
  </r>
  <r>
    <x v="17"/>
    <s v="02561-5"/>
    <s v="Farum Park"/>
    <n v="6027"/>
    <m/>
    <s v="Bimåler FCN"/>
    <x v="132"/>
    <x v="1"/>
    <x v="7"/>
    <n v="81.06"/>
    <n v="12"/>
    <s v="2015-05-04"/>
    <n v="0"/>
    <n v="0"/>
    <n v="810.6"/>
    <n v="3"/>
    <x v="0"/>
    <x v="4110"/>
    <n v="64.849999999999994"/>
    <n v="1"/>
    <s v="Suiter VM3 BK"/>
    <m/>
    <n v="81.046999999999997"/>
    <n v="0"/>
    <n v="60570"/>
  </r>
  <r>
    <x v="17"/>
    <s v="02561-5"/>
    <s v="Farum Park"/>
    <n v="6027"/>
    <m/>
    <s v="Bimåler FCN"/>
    <x v="132"/>
    <x v="1"/>
    <x v="7"/>
    <n v="62.98"/>
    <n v="12"/>
    <s v="2015-05-04"/>
    <n v="0"/>
    <n v="0"/>
    <n v="629.79999999999995"/>
    <n v="3"/>
    <x v="0"/>
    <x v="4111"/>
    <n v="50.39"/>
    <n v="1"/>
    <s v="Loger VM4 BV"/>
    <m/>
    <n v="62.982469999999999"/>
    <n v="0"/>
    <n v="60571"/>
  </r>
  <r>
    <x v="17"/>
    <s v="02561-5"/>
    <s v="Farum Park"/>
    <n v="6027"/>
    <m/>
    <s v="Bimåler FCN"/>
    <x v="132"/>
    <x v="1"/>
    <x v="7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7"/>
    <n v="0.03"/>
    <n v="12"/>
    <s v="2015-05-04"/>
    <n v="0"/>
    <n v="0"/>
    <n v="0.3"/>
    <n v="3"/>
    <x v="0"/>
    <x v="4112"/>
    <n v="0.03"/>
    <n v="1"/>
    <s v="Køk. VM6 BV"/>
    <m/>
    <n v="3.2259999999999997E-2"/>
    <n v="0"/>
    <n v="60573"/>
  </r>
  <r>
    <x v="17"/>
    <m/>
    <s v="Langkærgård"/>
    <n v="11035"/>
    <m/>
    <s v="Solhuset"/>
    <x v="129"/>
    <x v="1"/>
    <x v="1"/>
    <n v="33051.03"/>
    <n v="12"/>
    <s v="2012-02-29"/>
    <n v="0"/>
    <n v="225"/>
    <n v="146.82820899999999"/>
    <n v="1"/>
    <x v="1"/>
    <x v="4113"/>
    <n v="2210.98"/>
    <n v="0"/>
    <s v="7299730"/>
    <m/>
    <n v="33051.027999999998"/>
    <n v="0"/>
    <n v="79964"/>
  </r>
  <r>
    <x v="17"/>
    <m/>
    <s v="Langkærgård"/>
    <n v="11035"/>
    <m/>
    <s v="Solhuset"/>
    <x v="129"/>
    <x v="1"/>
    <x v="2"/>
    <n v="30715.26"/>
    <n v="13"/>
    <s v="2012-02-29"/>
    <n v="0"/>
    <n v="225"/>
    <n v="136.45162099999999"/>
    <n v="1"/>
    <x v="1"/>
    <x v="4114"/>
    <n v="5946.48"/>
    <n v="0"/>
    <s v="7299730"/>
    <m/>
    <n v="30715.265500000001"/>
    <n v="0"/>
    <n v="79964"/>
  </r>
  <r>
    <x v="17"/>
    <s v="02561-5"/>
    <s v="Farum Park"/>
    <n v="6027"/>
    <m/>
    <s v="Bimåler FCN"/>
    <x v="132"/>
    <x v="1"/>
    <x v="7"/>
    <n v="0"/>
    <n v="12"/>
    <s v="2015-05-04"/>
    <n v="0"/>
    <n v="0"/>
    <n v="0"/>
    <n v="3"/>
    <x v="0"/>
    <x v="1"/>
    <n v="0"/>
    <n v="1"/>
    <s v="Køk.VM7 BK"/>
    <m/>
    <n v="0"/>
    <n v="0"/>
    <n v="60574"/>
  </r>
  <r>
    <x v="17"/>
    <m/>
    <s v="Langkærgård"/>
    <n v="11035"/>
    <m/>
    <s v="Solhuset"/>
    <x v="129"/>
    <x v="1"/>
    <x v="3"/>
    <n v="31745.03"/>
    <n v="6"/>
    <s v="2012-02-29"/>
    <n v="0"/>
    <n v="225"/>
    <n v="141.026343"/>
    <n v="1"/>
    <x v="1"/>
    <x v="4115"/>
    <n v="6488.61"/>
    <n v="0"/>
    <s v="7299730"/>
    <m/>
    <n v="31745.03141"/>
    <n v="0"/>
    <n v="79964"/>
  </r>
  <r>
    <x v="17"/>
    <m/>
    <s v="Langkærgård"/>
    <n v="11035"/>
    <m/>
    <s v="Solhuset"/>
    <x v="129"/>
    <x v="1"/>
    <x v="4"/>
    <n v="32093.33"/>
    <n v="4"/>
    <s v="2012-02-29"/>
    <n v="0"/>
    <n v="225"/>
    <n v="142.573656"/>
    <n v="1"/>
    <x v="1"/>
    <x v="4116"/>
    <n v="6987.38"/>
    <n v="0"/>
    <s v="7299730"/>
    <m/>
    <n v="32093.345659999999"/>
    <n v="0"/>
    <n v="79964"/>
  </r>
  <r>
    <x v="17"/>
    <m/>
    <s v="Langkærgård"/>
    <n v="11035"/>
    <m/>
    <s v="Solhuset"/>
    <x v="129"/>
    <x v="1"/>
    <x v="5"/>
    <n v="35798.800000000003"/>
    <n v="2"/>
    <s v="2012-02-29"/>
    <n v="0"/>
    <n v="225"/>
    <n v="159.03509500000001"/>
    <n v="1"/>
    <x v="1"/>
    <x v="4117"/>
    <n v="9135.2900000000009"/>
    <n v="0"/>
    <s v="7299730"/>
    <m/>
    <n v="35798.796479999997"/>
    <n v="0"/>
    <n v="79964"/>
  </r>
  <r>
    <x v="17"/>
    <m/>
    <s v="Langkærgård"/>
    <n v="11035"/>
    <m/>
    <s v="Solhuset"/>
    <x v="129"/>
    <x v="1"/>
    <x v="6"/>
    <n v="8521.2000000000007"/>
    <n v="2"/>
    <s v="2012-02-29"/>
    <n v="0"/>
    <n v="225"/>
    <n v="37.855175000000003"/>
    <n v="1"/>
    <x v="1"/>
    <x v="4118"/>
    <n v="1674.42"/>
    <n v="0"/>
    <s v="7299730"/>
    <m/>
    <n v="8521.2000000000007"/>
    <n v="0"/>
    <n v="79964"/>
  </r>
  <r>
    <x v="17"/>
    <s v="02561-5"/>
    <s v="Farum Park"/>
    <n v="6027"/>
    <m/>
    <s v="Bimåler FCN"/>
    <x v="132"/>
    <x v="1"/>
    <x v="7"/>
    <n v="176.02"/>
    <n v="12"/>
    <s v="2015-05-04"/>
    <n v="0"/>
    <n v="0"/>
    <n v="1760.2"/>
    <n v="3"/>
    <x v="0"/>
    <x v="4119"/>
    <n v="140.82"/>
    <n v="1"/>
    <s v="Vaskeri VM8 BK"/>
    <m/>
    <n v="176.01936000000001"/>
    <n v="0"/>
    <n v="60575"/>
  </r>
  <r>
    <x v="17"/>
    <m/>
    <s v="Overgangsboligerne Lillevangspark 8"/>
    <n v="13988"/>
    <s v="0"/>
    <s v="Overgangsboligerne Lillevangspark 8"/>
    <x v="133"/>
    <x v="1"/>
    <x v="1"/>
    <n v="14726.12"/>
    <n v="3"/>
    <s v="2014-11-07"/>
    <n v="0"/>
    <n v="0"/>
    <n v="147261.20000000001"/>
    <n v="1"/>
    <x v="5"/>
    <x v="4120"/>
    <n v="4.04"/>
    <n v="0"/>
    <s v="948570"/>
    <m/>
    <n v="14.72612"/>
    <n v="0"/>
    <n v="94860"/>
  </r>
  <r>
    <x v="17"/>
    <s v="05368-6"/>
    <s v="TD-Bygning"/>
    <n v="5465"/>
    <m/>
    <s v="TD-Bygning"/>
    <x v="130"/>
    <x v="1"/>
    <x v="0"/>
    <n v="56474.41"/>
    <n v="5"/>
    <m/>
    <n v="0"/>
    <n v="1384"/>
    <n v="40.802261000000001"/>
    <n v="1"/>
    <x v="1"/>
    <x v="4121"/>
    <n v="11891997.949999999"/>
    <n v="0"/>
    <s v="4155449 aut"/>
    <m/>
    <n v="56474.40625"/>
    <n v="0"/>
    <n v="57760"/>
  </r>
  <r>
    <x v="17"/>
    <s v="05368-6"/>
    <s v="TD-Bygning"/>
    <n v="5465"/>
    <m/>
    <s v="TD-Bygning"/>
    <x v="130"/>
    <x v="1"/>
    <x v="0"/>
    <n v="1107.5899999999999"/>
    <n v="5"/>
    <s v="2015-05-04"/>
    <n v="0"/>
    <n v="1384"/>
    <n v="0.80022300000000002"/>
    <n v="1"/>
    <x v="1"/>
    <x v="4122"/>
    <n v="224456.8"/>
    <n v="1"/>
    <s v="30116799  VE01"/>
    <m/>
    <n v="1107.59375"/>
    <n v="0"/>
    <n v="57767"/>
  </r>
  <r>
    <x v="17"/>
    <s v="05368-6"/>
    <s v="TD-Bygning"/>
    <n v="5465"/>
    <m/>
    <s v="TD-Bygning"/>
    <x v="130"/>
    <x v="1"/>
    <x v="0"/>
    <n v="2875.07"/>
    <n v="5"/>
    <s v="2015-05-04"/>
    <n v="0"/>
    <n v="1384"/>
    <n v="2.0772119999999998"/>
    <n v="1"/>
    <x v="1"/>
    <x v="4123"/>
    <n v="592079.55000000005"/>
    <n v="1"/>
    <s v="30116798 VVB1"/>
    <m/>
    <n v="2875.0624899999998"/>
    <n v="0"/>
    <n v="57775"/>
  </r>
  <r>
    <x v="17"/>
    <s v="05368-6"/>
    <s v="TD-Bygning"/>
    <n v="5465"/>
    <m/>
    <s v="TD-Bygning"/>
    <x v="130"/>
    <x v="1"/>
    <x v="0"/>
    <n v="40300.74"/>
    <n v="5"/>
    <s v="2015-05-04"/>
    <n v="0"/>
    <n v="1384"/>
    <n v="29.116927"/>
    <n v="1"/>
    <x v="1"/>
    <x v="4124"/>
    <n v="8520532.0500000007"/>
    <n v="1"/>
    <s v="30116800 VV01"/>
    <m/>
    <n v="40300.75"/>
    <n v="0"/>
    <n v="57777"/>
  </r>
  <r>
    <x v="17"/>
    <s v="05368-6"/>
    <s v="TD-Bygning"/>
    <n v="5465"/>
    <m/>
    <s v="TD-Bygning"/>
    <x v="130"/>
    <x v="1"/>
    <x v="1"/>
    <n v="1369.88"/>
    <n v="12"/>
    <s v="2015-05-04"/>
    <n v="0"/>
    <n v="1384"/>
    <n v="0.98972599999999999"/>
    <n v="1"/>
    <x v="1"/>
    <x v="4125"/>
    <n v="288.42"/>
    <n v="1"/>
    <s v="30116799  VE01"/>
    <m/>
    <n v="1369.88804"/>
    <n v="0"/>
    <n v="57767"/>
  </r>
  <r>
    <x v="17"/>
    <s v="05368-6"/>
    <s v="TD-Bygning"/>
    <n v="5465"/>
    <m/>
    <s v="TD-Bygning"/>
    <x v="130"/>
    <x v="1"/>
    <x v="1"/>
    <n v="8521.07"/>
    <n v="12"/>
    <s v="2015-05-04"/>
    <n v="0"/>
    <n v="1384"/>
    <n v="6.1563970000000001"/>
    <n v="1"/>
    <x v="1"/>
    <x v="4126"/>
    <n v="2168.2399999999998"/>
    <n v="1"/>
    <s v="30116798 VVB1"/>
    <m/>
    <n v="8521.0502699999997"/>
    <n v="0"/>
    <n v="57775"/>
  </r>
  <r>
    <x v="17"/>
    <s v="05368-6"/>
    <s v="TD-Bygning"/>
    <n v="5465"/>
    <m/>
    <s v="TD-Bygning"/>
    <x v="130"/>
    <x v="1"/>
    <x v="1"/>
    <n v="72562.66"/>
    <n v="12"/>
    <s v="2015-05-04"/>
    <n v="0"/>
    <n v="1384"/>
    <n v="52.425879000000002"/>
    <n v="1"/>
    <x v="1"/>
    <x v="4127"/>
    <n v="14018.95"/>
    <n v="1"/>
    <s v="30116800 VV01"/>
    <m/>
    <n v="72562.657500000001"/>
    <n v="0"/>
    <n v="57777"/>
  </r>
  <r>
    <x v="17"/>
    <s v="05368-6"/>
    <s v="TD-Bygning"/>
    <n v="5465"/>
    <m/>
    <s v="TD-Bygning"/>
    <x v="130"/>
    <x v="1"/>
    <x v="1"/>
    <n v="96520.13"/>
    <n v="12"/>
    <m/>
    <n v="0"/>
    <n v="1384"/>
    <n v="69.734938999999997"/>
    <n v="1"/>
    <x v="1"/>
    <x v="4128"/>
    <n v="18363.990000000002"/>
    <n v="0"/>
    <s v="4155449 aut"/>
    <m/>
    <n v="96520.132830000002"/>
    <n v="0"/>
    <n v="57760"/>
  </r>
  <r>
    <x v="17"/>
    <s v="05368-6"/>
    <s v="TD-Bygning"/>
    <n v="5465"/>
    <m/>
    <s v="TD-Bygning"/>
    <x v="130"/>
    <x v="1"/>
    <x v="2"/>
    <n v="3131.83"/>
    <n v="12"/>
    <s v="2015-05-04"/>
    <n v="0"/>
    <n v="1384"/>
    <n v="2.2627190000000001"/>
    <n v="1"/>
    <x v="1"/>
    <x v="4129"/>
    <n v="580.32000000000005"/>
    <n v="1"/>
    <s v="30116799  VE01"/>
    <m/>
    <n v="3131.8128200000001"/>
    <n v="0"/>
    <n v="57767"/>
  </r>
  <r>
    <x v="17"/>
    <s v="05368-6"/>
    <s v="TD-Bygning"/>
    <n v="5465"/>
    <m/>
    <s v="TD-Bygning"/>
    <x v="130"/>
    <x v="1"/>
    <x v="2"/>
    <n v="8747.4599999999991"/>
    <n v="12"/>
    <s v="2015-05-04"/>
    <n v="0"/>
    <n v="1384"/>
    <n v="6.3199620000000003"/>
    <n v="1"/>
    <x v="1"/>
    <x v="4130"/>
    <n v="1786.29"/>
    <n v="1"/>
    <s v="30116798 VVB1"/>
    <m/>
    <n v="8747.4590000000007"/>
    <n v="0"/>
    <n v="57775"/>
  </r>
  <r>
    <x v="17"/>
    <s v="05368-6"/>
    <s v="TD-Bygning"/>
    <n v="5465"/>
    <m/>
    <s v="TD-Bygning"/>
    <x v="130"/>
    <x v="1"/>
    <x v="2"/>
    <n v="71815.41"/>
    <n v="12"/>
    <s v="2015-05-04"/>
    <n v="0"/>
    <n v="1384"/>
    <n v="51.885998000000001"/>
    <n v="1"/>
    <x v="1"/>
    <x v="4131"/>
    <n v="14012.92"/>
    <n v="1"/>
    <s v="30116800 VV01"/>
    <m/>
    <n v="71815.400179999997"/>
    <n v="0"/>
    <n v="57777"/>
  </r>
  <r>
    <x v="17"/>
    <s v="05368-6"/>
    <s v="TD-Bygning"/>
    <n v="5465"/>
    <m/>
    <s v="TD-Bygning"/>
    <x v="130"/>
    <x v="1"/>
    <x v="2"/>
    <n v="101460.41"/>
    <n v="12"/>
    <m/>
    <n v="0"/>
    <n v="1384"/>
    <n v="73.304248000000001"/>
    <n v="1"/>
    <x v="1"/>
    <x v="4132"/>
    <n v="19884.39"/>
    <n v="0"/>
    <s v="4155449 aut"/>
    <m/>
    <n v="101460.40286"/>
    <n v="0"/>
    <n v="57760"/>
  </r>
  <r>
    <x v="17"/>
    <s v="05368-6"/>
    <s v="TD-Bygning"/>
    <n v="5465"/>
    <m/>
    <s v="TD-Bygning"/>
    <x v="130"/>
    <x v="1"/>
    <x v="3"/>
    <n v="7164.95"/>
    <n v="12"/>
    <s v="2015-05-04"/>
    <n v="0"/>
    <n v="1384"/>
    <n v="5.1766120000000004"/>
    <n v="1"/>
    <x v="1"/>
    <x v="4133"/>
    <n v="1545.91"/>
    <n v="1"/>
    <s v="30116799  VE01"/>
    <m/>
    <n v="7164.9393899999995"/>
    <n v="0"/>
    <n v="57767"/>
  </r>
  <r>
    <x v="17"/>
    <s v="05368-6"/>
    <s v="TD-Bygning"/>
    <n v="5465"/>
    <m/>
    <s v="TD-Bygning"/>
    <x v="130"/>
    <x v="1"/>
    <x v="3"/>
    <n v="70066.789999999994"/>
    <n v="12"/>
    <s v="2015-05-04"/>
    <n v="0"/>
    <n v="1384"/>
    <n v="50.622635000000002"/>
    <n v="1"/>
    <x v="1"/>
    <x v="4134"/>
    <n v="14113.54"/>
    <n v="1"/>
    <s v="30116800 VV01"/>
    <m/>
    <n v="70066.78787"/>
    <n v="0"/>
    <n v="57777"/>
  </r>
  <r>
    <x v="17"/>
    <s v="05368-6"/>
    <s v="TD-Bygning"/>
    <n v="5465"/>
    <m/>
    <s v="TD-Bygning"/>
    <x v="130"/>
    <x v="1"/>
    <x v="3"/>
    <n v="100708.03"/>
    <n v="12"/>
    <m/>
    <n v="0"/>
    <n v="1384"/>
    <n v="72.760660000000001"/>
    <n v="1"/>
    <x v="1"/>
    <x v="4135"/>
    <n v="20121.43"/>
    <n v="0"/>
    <s v="4155449 aut"/>
    <m/>
    <n v="100708.03031"/>
    <n v="0"/>
    <n v="57760"/>
  </r>
  <r>
    <x v="17"/>
    <s v="05368-6"/>
    <s v="TD-Bygning"/>
    <n v="5465"/>
    <m/>
    <s v="TD-Bygning"/>
    <x v="130"/>
    <x v="1"/>
    <x v="3"/>
    <n v="8624.2000000000007"/>
    <n v="12"/>
    <s v="2015-05-04"/>
    <n v="0"/>
    <n v="1384"/>
    <n v="6.2309080000000003"/>
    <n v="1"/>
    <x v="1"/>
    <x v="4136"/>
    <n v="1863.89"/>
    <n v="1"/>
    <s v="30116798 VVB1"/>
    <m/>
    <n v="8624.2121299999999"/>
    <n v="0"/>
    <n v="57775"/>
  </r>
  <r>
    <x v="17"/>
    <s v="05368-6"/>
    <s v="TD-Bygning"/>
    <n v="5465"/>
    <m/>
    <s v="TD-Bygning"/>
    <x v="130"/>
    <x v="1"/>
    <x v="4"/>
    <n v="81263.66"/>
    <n v="12"/>
    <s v="2015-05-04"/>
    <n v="0"/>
    <n v="1384"/>
    <n v="58.712274999999998"/>
    <n v="1"/>
    <x v="1"/>
    <x v="4137"/>
    <n v="13554.69"/>
    <n v="1"/>
    <s v="30116800 VV01"/>
    <m/>
    <n v="81263.664879999997"/>
    <n v="0"/>
    <n v="57777"/>
  </r>
  <r>
    <x v="17"/>
    <s v="05368-6"/>
    <s v="TD-Bygning"/>
    <n v="5465"/>
    <m/>
    <s v="TD-Bygning"/>
    <x v="130"/>
    <x v="1"/>
    <x v="4"/>
    <n v="122977.46"/>
    <n v="12"/>
    <m/>
    <n v="0"/>
    <n v="1384"/>
    <n v="88.850126000000003"/>
    <n v="1"/>
    <x v="1"/>
    <x v="4138"/>
    <n v="20439.54"/>
    <n v="0"/>
    <s v="4155449 aut"/>
    <m/>
    <n v="122977.44919"/>
    <n v="0"/>
    <n v="57760"/>
  </r>
  <r>
    <x v="17"/>
    <s v="05368-6"/>
    <s v="TD-Bygning"/>
    <n v="5465"/>
    <m/>
    <s v="TD-Bygning"/>
    <x v="130"/>
    <x v="1"/>
    <x v="4"/>
    <n v="4780.49"/>
    <n v="11"/>
    <s v="2015-05-04"/>
    <n v="0"/>
    <n v="1384"/>
    <n v="3.4538609999999998"/>
    <n v="1"/>
    <x v="1"/>
    <x v="4139"/>
    <n v="747.35"/>
    <n v="1"/>
    <s v="30116799  VE01"/>
    <m/>
    <n v="4780.4830700000002"/>
    <n v="0"/>
    <n v="57767"/>
  </r>
  <r>
    <x v="17"/>
    <s v="05368-6"/>
    <s v="TD-Bygning"/>
    <n v="5465"/>
    <m/>
    <s v="TD-Bygning"/>
    <x v="130"/>
    <x v="1"/>
    <x v="4"/>
    <n v="8880.74"/>
    <n v="12"/>
    <s v="2015-05-04"/>
    <n v="0"/>
    <n v="1384"/>
    <n v="6.4162559999999997"/>
    <n v="1"/>
    <x v="1"/>
    <x v="4140"/>
    <n v="1999.81"/>
    <n v="1"/>
    <s v="30116798 VVB1"/>
    <m/>
    <n v="8880.7406300000002"/>
    <n v="0"/>
    <n v="57775"/>
  </r>
  <r>
    <x v="17"/>
    <s v="05368-6"/>
    <s v="TD-Bygning"/>
    <n v="5465"/>
    <m/>
    <s v="TD-Bygning"/>
    <x v="130"/>
    <x v="1"/>
    <x v="5"/>
    <n v="106341.78"/>
    <n v="12"/>
    <m/>
    <n v="0"/>
    <n v="1384"/>
    <n v="76.830994000000004"/>
    <n v="1"/>
    <x v="1"/>
    <x v="4141"/>
    <n v="20852.18"/>
    <n v="0"/>
    <s v="4155449 aut"/>
    <m/>
    <n v="106341.79227000001"/>
    <n v="0"/>
    <n v="57760"/>
  </r>
  <r>
    <x v="17"/>
    <s v="05368-6"/>
    <s v="TD-Bygning"/>
    <n v="5465"/>
    <m/>
    <s v="TD-Bygning"/>
    <x v="130"/>
    <x v="1"/>
    <x v="5"/>
    <n v="6561.11"/>
    <n v="12"/>
    <s v="2015-05-04"/>
    <n v="0"/>
    <n v="1384"/>
    <n v="4.7403430000000002"/>
    <n v="1"/>
    <x v="1"/>
    <x v="4142"/>
    <n v="1729.57"/>
    <n v="1"/>
    <s v="30116799  VE01"/>
    <m/>
    <n v="6561.0974200000001"/>
    <n v="0"/>
    <n v="57767"/>
  </r>
  <r>
    <x v="17"/>
    <s v="05368-6"/>
    <s v="TD-Bygning"/>
    <n v="5465"/>
    <m/>
    <s v="TD-Bygning"/>
    <x v="130"/>
    <x v="1"/>
    <x v="5"/>
    <n v="8429.1200000000008"/>
    <n v="12"/>
    <s v="2015-05-04"/>
    <n v="0"/>
    <n v="1384"/>
    <n v="6.0899640000000002"/>
    <n v="1"/>
    <x v="1"/>
    <x v="4143"/>
    <n v="2185.85"/>
    <n v="1"/>
    <s v="30116798 VVB1"/>
    <m/>
    <n v="8429.1286799999998"/>
    <n v="0"/>
    <n v="57775"/>
  </r>
  <r>
    <x v="17"/>
    <s v="05368-6"/>
    <s v="TD-Bygning"/>
    <n v="5465"/>
    <m/>
    <s v="TD-Bygning"/>
    <x v="130"/>
    <x v="1"/>
    <x v="5"/>
    <n v="68690.19"/>
    <n v="12"/>
    <s v="2015-05-04"/>
    <n v="0"/>
    <n v="1384"/>
    <n v="49.628053999999999"/>
    <n v="1"/>
    <x v="1"/>
    <x v="4144"/>
    <n v="13407.34"/>
    <n v="1"/>
    <s v="30116800 VV01"/>
    <m/>
    <n v="68690.191189999998"/>
    <n v="0"/>
    <n v="57777"/>
  </r>
  <r>
    <x v="17"/>
    <s v="05368-6"/>
    <s v="TD-Bygning"/>
    <n v="5465"/>
    <m/>
    <s v="TD-Bygning"/>
    <x v="130"/>
    <x v="1"/>
    <x v="6"/>
    <n v="99750.24"/>
    <n v="12"/>
    <m/>
    <n v="0"/>
    <n v="1384"/>
    <n v="72.068664999999996"/>
    <n v="1"/>
    <x v="1"/>
    <x v="4145"/>
    <n v="21450.7"/>
    <n v="0"/>
    <s v="4155449 aut"/>
    <m/>
    <n v="99750.24037"/>
    <n v="0"/>
    <n v="57760"/>
  </r>
  <r>
    <x v="17"/>
    <s v="05368-6"/>
    <s v="TD-Bygning"/>
    <n v="5465"/>
    <m/>
    <s v="TD-Bygning"/>
    <x v="130"/>
    <x v="1"/>
    <x v="6"/>
    <n v="6351.28"/>
    <n v="12"/>
    <s v="2015-05-04"/>
    <n v="0"/>
    <n v="1384"/>
    <n v="4.588743"/>
    <n v="1"/>
    <x v="1"/>
    <x v="4146"/>
    <n v="1478.99"/>
    <n v="1"/>
    <s v="30116799  VE01"/>
    <m/>
    <n v="6351.2982899999997"/>
    <n v="0"/>
    <n v="57767"/>
  </r>
  <r>
    <x v="17"/>
    <s v="05368-6"/>
    <s v="TD-Bygning"/>
    <n v="5465"/>
    <m/>
    <s v="TD-Bygning"/>
    <x v="130"/>
    <x v="1"/>
    <x v="6"/>
    <n v="8489.2000000000007"/>
    <n v="12"/>
    <s v="2015-05-04"/>
    <n v="0"/>
    <n v="1384"/>
    <n v="6.1333710000000004"/>
    <n v="1"/>
    <x v="1"/>
    <x v="4147"/>
    <n v="1967.79"/>
    <n v="1"/>
    <s v="30116798 VVB1"/>
    <m/>
    <n v="8489.1912900000007"/>
    <n v="0"/>
    <n v="57775"/>
  </r>
  <r>
    <x v="17"/>
    <s v="05368-6"/>
    <s v="TD-Bygning"/>
    <n v="5465"/>
    <m/>
    <s v="TD-Bygning"/>
    <x v="130"/>
    <x v="1"/>
    <x v="6"/>
    <n v="63125.78"/>
    <n v="12"/>
    <s v="2015-05-04"/>
    <n v="0"/>
    <n v="1384"/>
    <n v="45.607816999999997"/>
    <n v="1"/>
    <x v="1"/>
    <x v="4148"/>
    <n v="13464.59"/>
    <n v="1"/>
    <s v="30116800 VV01"/>
    <m/>
    <n v="63125.780299999999"/>
    <n v="0"/>
    <n v="57777"/>
  </r>
  <r>
    <x v="17"/>
    <s v="05368-6"/>
    <s v="TD-Bygning"/>
    <n v="5539"/>
    <m/>
    <s v="Tennishal BM"/>
    <x v="130"/>
    <x v="1"/>
    <x v="0"/>
    <n v="3895.59"/>
    <n v="4"/>
    <s v="2015-05-04"/>
    <n v="0"/>
    <n v="1480"/>
    <n v="2.631977"/>
    <n v="1"/>
    <x v="1"/>
    <x v="4149"/>
    <n v="824476.55"/>
    <n v="0"/>
    <s v="30116801 VE02 hal"/>
    <m/>
    <n v="3895.59375"/>
    <n v="0"/>
    <n v="58289"/>
  </r>
  <r>
    <x v="17"/>
    <s v="05368-6"/>
    <s v="TD-Bygning"/>
    <n v="5539"/>
    <m/>
    <s v="Tennishal BM"/>
    <x v="130"/>
    <x v="1"/>
    <x v="1"/>
    <n v="12899.87"/>
    <n v="12"/>
    <s v="2015-05-04"/>
    <n v="0"/>
    <n v="1480"/>
    <n v="8.7155389999999997"/>
    <n v="1"/>
    <x v="1"/>
    <x v="4150"/>
    <n v="2446.96"/>
    <n v="0"/>
    <s v="30116801 VE02 hal"/>
    <m/>
    <n v="12899.86717"/>
    <n v="0"/>
    <n v="58289"/>
  </r>
  <r>
    <x v="17"/>
    <s v="05368-6"/>
    <s v="TD-Bygning"/>
    <n v="5539"/>
    <m/>
    <s v="Tennishal BM"/>
    <x v="130"/>
    <x v="1"/>
    <x v="2"/>
    <n v="12009.59"/>
    <n v="12"/>
    <s v="2015-05-04"/>
    <n v="0"/>
    <n v="1480"/>
    <n v="8.114039"/>
    <n v="1"/>
    <x v="1"/>
    <x v="4151"/>
    <n v="2398.11"/>
    <n v="0"/>
    <s v="30116801 VE02 hal"/>
    <m/>
    <n v="12009.59714"/>
    <n v="0"/>
    <n v="58289"/>
  </r>
  <r>
    <x v="17"/>
    <s v="05368-6"/>
    <s v="TD-Bygning"/>
    <n v="5539"/>
    <m/>
    <s v="Tennishal BM"/>
    <x v="130"/>
    <x v="1"/>
    <x v="3"/>
    <n v="15671.97"/>
    <n v="12"/>
    <s v="2015-05-04"/>
    <n v="0"/>
    <n v="1480"/>
    <n v="10.588452999999999"/>
    <n v="1"/>
    <x v="1"/>
    <x v="4152"/>
    <n v="3070.62"/>
    <n v="0"/>
    <s v="30116801 VE02 hal"/>
    <m/>
    <n v="15671.96969"/>
    <n v="0"/>
    <n v="58289"/>
  </r>
  <r>
    <x v="17"/>
    <s v="05368-6"/>
    <s v="TD-Bygning"/>
    <n v="5539"/>
    <m/>
    <s v="Tennishal BM"/>
    <x v="130"/>
    <x v="1"/>
    <x v="4"/>
    <n v="23702.54"/>
    <n v="12"/>
    <s v="2015-05-04"/>
    <n v="0"/>
    <n v="1480"/>
    <n v="16.014147000000001"/>
    <n v="1"/>
    <x v="1"/>
    <x v="4153"/>
    <n v="4023.03"/>
    <n v="0"/>
    <s v="30116801 VE02 hal"/>
    <m/>
    <n v="23702.550810000001"/>
    <n v="0"/>
    <n v="58289"/>
  </r>
  <r>
    <x v="17"/>
    <s v="05368-6"/>
    <s v="TD-Bygning"/>
    <n v="5539"/>
    <m/>
    <s v="Tennishal BM"/>
    <x v="130"/>
    <x v="1"/>
    <x v="5"/>
    <n v="18488.22"/>
    <n v="12"/>
    <s v="2015-05-04"/>
    <n v="0"/>
    <n v="1480"/>
    <n v="12.491196"/>
    <n v="1"/>
    <x v="1"/>
    <x v="4154"/>
    <n v="3618.27"/>
    <n v="0"/>
    <s v="30116801 VE02 hal"/>
    <m/>
    <n v="18488.207729999998"/>
    <n v="0"/>
    <n v="58289"/>
  </r>
  <r>
    <x v="17"/>
    <s v="05368-6"/>
    <s v="TD-Bygning"/>
    <n v="5539"/>
    <m/>
    <s v="Tennishal BM"/>
    <x v="130"/>
    <x v="1"/>
    <x v="6"/>
    <n v="15449.76"/>
    <n v="12"/>
    <s v="2015-05-04"/>
    <n v="0"/>
    <n v="1480"/>
    <n v="10.438321"/>
    <n v="1"/>
    <x v="1"/>
    <x v="4155"/>
    <n v="3313.29"/>
    <n v="0"/>
    <s v="30116801 VE02 hal"/>
    <m/>
    <n v="15449.75663"/>
    <n v="0"/>
    <n v="58289"/>
  </r>
  <r>
    <x v="17"/>
    <s v="02561-5"/>
    <s v="Farum Park"/>
    <n v="5468"/>
    <m/>
    <s v="Farum Park"/>
    <x v="132"/>
    <x v="1"/>
    <x v="6"/>
    <n v="2163.91"/>
    <n v="12"/>
    <m/>
    <n v="0"/>
    <n v="12237"/>
    <n v="0.17683099999999999"/>
    <n v="3"/>
    <x v="0"/>
    <x v="4156"/>
    <n v="1731.13"/>
    <n v="0"/>
    <s v="9828007 BK"/>
    <m/>
    <n v="2163.9160000000002"/>
    <n v="0"/>
    <n v="58260"/>
  </r>
  <r>
    <x v="17"/>
    <s v="02561-5"/>
    <s v="Farum Park"/>
    <n v="5468"/>
    <m/>
    <s v="Farum Park"/>
    <x v="132"/>
    <x v="1"/>
    <x v="6"/>
    <n v="969"/>
    <n v="5"/>
    <s v="2008-05-01"/>
    <n v="0"/>
    <n v="12237"/>
    <n v="7.9185000000000005E-2"/>
    <n v="3"/>
    <x v="0"/>
    <x v="4157"/>
    <n v="775.2"/>
    <n v="0"/>
    <s v="9828007 BK"/>
    <m/>
    <n v="969"/>
    <n v="0"/>
    <n v="57826"/>
  </r>
  <r>
    <x v="17"/>
    <s v="02561-5"/>
    <s v="Farum Park"/>
    <n v="5468"/>
    <m/>
    <s v="Farum Park"/>
    <x v="132"/>
    <x v="1"/>
    <x v="6"/>
    <n v="308.88"/>
    <n v="12"/>
    <m/>
    <n v="0"/>
    <n v="12237"/>
    <n v="2.5241E-2"/>
    <n v="3"/>
    <x v="0"/>
    <x v="4158"/>
    <n v="247.09"/>
    <n v="1"/>
    <s v="28277499 BV"/>
    <m/>
    <n v="308.875"/>
    <n v="0"/>
    <n v="57827"/>
  </r>
  <r>
    <x v="17"/>
    <s v="02561-5"/>
    <s v="Farum Park"/>
    <n v="5468"/>
    <m/>
    <s v="Farum Park"/>
    <x v="132"/>
    <x v="1"/>
    <x v="6"/>
    <n v="93.33"/>
    <n v="12"/>
    <m/>
    <n v="0"/>
    <n v="12237"/>
    <n v="7.626E-3"/>
    <n v="3"/>
    <x v="0"/>
    <x v="4159"/>
    <n v="74.650000000000006"/>
    <n v="1"/>
    <s v="2200812 BV"/>
    <m/>
    <n v="93.33"/>
    <n v="0"/>
    <n v="57829"/>
  </r>
  <r>
    <x v="17"/>
    <s v="02561-5"/>
    <s v="Farum Park"/>
    <n v="6026"/>
    <m/>
    <s v="Bimåler F.K."/>
    <x v="132"/>
    <x v="1"/>
    <x v="7"/>
    <n v="187630.49"/>
    <n v="11"/>
    <s v="2015-05-04"/>
    <n v="0"/>
    <n v="0"/>
    <n v="1876304.9"/>
    <n v="1"/>
    <x v="1"/>
    <x v="4160"/>
    <n v="14373065.890000001"/>
    <n v="1"/>
    <s v="40014450 RA C/D"/>
    <m/>
    <n v="187630.48663"/>
    <n v="0"/>
    <n v="60556"/>
  </r>
  <r>
    <x v="17"/>
    <s v="02561-5"/>
    <s v="Farum Park"/>
    <n v="6027"/>
    <m/>
    <s v="Bimåler FCN"/>
    <x v="132"/>
    <x v="1"/>
    <x v="7"/>
    <n v="1630.21"/>
    <n v="1"/>
    <s v="2014-02-01"/>
    <n v="0"/>
    <n v="0"/>
    <n v="16302.1"/>
    <n v="1"/>
    <x v="1"/>
    <x v="4161"/>
    <n v="326.95"/>
    <n v="1"/>
    <s v="EM1 Loger"/>
    <m/>
    <n v="1630.20759"/>
    <n v="0"/>
    <n v="60564"/>
  </r>
  <r>
    <x v="17"/>
    <s v="02561-5"/>
    <s v="Farum Park"/>
    <n v="6027"/>
    <m/>
    <s v="Bimåler FCN"/>
    <x v="132"/>
    <x v="1"/>
    <x v="7"/>
    <n v="1652.18"/>
    <n v="1"/>
    <s v="2014-02-01"/>
    <n v="0"/>
    <n v="0"/>
    <n v="16521.8"/>
    <n v="1"/>
    <x v="1"/>
    <x v="4162"/>
    <n v="331.18"/>
    <n v="1"/>
    <s v="EM3 Suiter"/>
    <m/>
    <n v="1652.18228"/>
    <n v="0"/>
    <n v="60565"/>
  </r>
  <r>
    <x v="17"/>
    <s v="02561-5"/>
    <s v="Farum Park"/>
    <n v="6027"/>
    <m/>
    <s v="Bimåler FCN"/>
    <x v="132"/>
    <x v="1"/>
    <x v="7"/>
    <n v="63839.18"/>
    <n v="12"/>
    <s v="2015-05-04"/>
    <n v="0"/>
    <n v="0"/>
    <n v="638391.80000000005"/>
    <n v="1"/>
    <x v="1"/>
    <x v="4163"/>
    <n v="5221315.4000000004"/>
    <n v="1"/>
    <s v="EM6 RA 1.sal Trb.C"/>
    <m/>
    <n v="63839.168660000003"/>
    <n v="0"/>
    <n v="60567"/>
  </r>
  <r>
    <x v="17"/>
    <s v="02561-5"/>
    <s v="Farum Park"/>
    <n v="5468"/>
    <m/>
    <s v="Farum Park"/>
    <x v="132"/>
    <x v="0"/>
    <x v="7"/>
    <n v="205950"/>
    <n v="12"/>
    <m/>
    <n v="0"/>
    <n v="12237"/>
    <n v="16.829967"/>
    <n v="1"/>
    <x v="1"/>
    <x v="4164"/>
    <n v="24135720.079999998"/>
    <n v="0"/>
    <s v="1056425"/>
    <m/>
    <n v="205950"/>
    <n v="0"/>
    <n v="57821"/>
  </r>
  <r>
    <x v="17"/>
    <s v="02561-5"/>
    <s v="Farum Park"/>
    <n v="5468"/>
    <m/>
    <s v="Farum Park"/>
    <x v="132"/>
    <x v="1"/>
    <x v="7"/>
    <n v="278680"/>
    <n v="12"/>
    <m/>
    <n v="0"/>
    <n v="12237"/>
    <n v="22.773368999999999"/>
    <n v="1"/>
    <x v="1"/>
    <x v="4165"/>
    <n v="21528187.379999999"/>
    <n v="0"/>
    <s v="4105252"/>
    <m/>
    <n v="278680"/>
    <n v="0"/>
    <n v="57834"/>
  </r>
  <r>
    <x v="17"/>
    <s v="02561-5"/>
    <s v="Farum Park"/>
    <n v="5468"/>
    <m/>
    <s v="Farum Park"/>
    <x v="132"/>
    <x v="1"/>
    <x v="7"/>
    <n v="21111.94"/>
    <n v="12"/>
    <m/>
    <n v="0"/>
    <n v="12237"/>
    <n v="1.7252400000000001"/>
    <n v="1"/>
    <x v="3"/>
    <x v="4166"/>
    <n v="124.03"/>
    <n v="1"/>
    <s v="1056425"/>
    <m/>
    <n v="605.1"/>
    <n v="57821"/>
    <n v="57832"/>
  </r>
  <r>
    <x v="17"/>
    <s v="02561-5"/>
    <s v="Farum Park"/>
    <n v="5468"/>
    <m/>
    <s v="Farum Park"/>
    <x v="132"/>
    <x v="1"/>
    <x v="7"/>
    <n v="212267.27"/>
    <n v="12"/>
    <m/>
    <n v="0"/>
    <n v="12237"/>
    <n v="17.346207"/>
    <n v="1"/>
    <x v="3"/>
    <x v="4167"/>
    <n v="466101.97"/>
    <n v="1"/>
    <s v="4105252"/>
    <m/>
    <n v="6083.9"/>
    <n v="57834"/>
    <n v="57835"/>
  </r>
  <r>
    <x v="17"/>
    <m/>
    <s v="Værløse Bio Bymidten 44"/>
    <n v="13825"/>
    <m/>
    <s v="Værløse Bio"/>
    <x v="131"/>
    <x v="1"/>
    <x v="0"/>
    <n v="4913"/>
    <n v="5"/>
    <s v="2014-02-28"/>
    <n v="0"/>
    <n v="739"/>
    <n v="6.6472730000000002"/>
    <n v="1"/>
    <x v="1"/>
    <x v="4168"/>
    <n v="356.36"/>
    <n v="0"/>
    <s v="69061501"/>
    <m/>
    <n v="4913"/>
    <n v="0"/>
    <n v="94197"/>
  </r>
  <r>
    <x v="17"/>
    <m/>
    <s v="Værløse Bio Bymidten 44"/>
    <n v="13825"/>
    <m/>
    <s v="Værløse Bio"/>
    <x v="131"/>
    <x v="1"/>
    <x v="0"/>
    <n v="60181"/>
    <n v="5"/>
    <s v="2014-02-28"/>
    <n v="0"/>
    <n v="739"/>
    <n v="81.424705000000003"/>
    <n v="1"/>
    <x v="1"/>
    <x v="4169"/>
    <n v="4345.5200000000004"/>
    <n v="0"/>
    <s v="69320466"/>
    <m/>
    <n v="60181"/>
    <n v="0"/>
    <n v="94055"/>
  </r>
  <r>
    <x v="17"/>
    <m/>
    <s v="Værløse Bio Bymidten 44"/>
    <n v="13825"/>
    <m/>
    <s v="Værløse Bio"/>
    <x v="131"/>
    <x v="1"/>
    <x v="1"/>
    <n v="11187.93"/>
    <n v="5"/>
    <s v="2014-02-28"/>
    <n v="0"/>
    <n v="739"/>
    <n v="15.137233999999999"/>
    <n v="1"/>
    <x v="1"/>
    <x v="4170"/>
    <n v="774.63"/>
    <n v="0"/>
    <s v="69061501"/>
    <m/>
    <n v="11187.9256"/>
    <n v="0"/>
    <n v="94197"/>
  </r>
  <r>
    <x v="17"/>
    <m/>
    <s v="Værløse Bio Bymidten 44"/>
    <n v="13825"/>
    <m/>
    <s v="Værløse Bio"/>
    <x v="131"/>
    <x v="1"/>
    <x v="1"/>
    <n v="38247.15"/>
    <n v="4"/>
    <s v="2014-03-11"/>
    <n v="0"/>
    <n v="739"/>
    <n v="51.748274000000002"/>
    <n v="1"/>
    <x v="5"/>
    <x v="4171"/>
    <n v="2946.25"/>
    <n v="1"/>
    <s v="6991589"/>
    <m/>
    <n v="38.247149999999998"/>
    <n v="0"/>
    <n v="94054"/>
  </r>
  <r>
    <x v="17"/>
    <m/>
    <s v="Værløse Bio Bymidten 44"/>
    <n v="13825"/>
    <m/>
    <s v="Værløse Bio"/>
    <x v="131"/>
    <x v="1"/>
    <x v="1"/>
    <n v="108594.16"/>
    <n v="4"/>
    <s v="2014-02-28"/>
    <n v="0"/>
    <n v="739"/>
    <n v="146.92756"/>
    <n v="1"/>
    <x v="1"/>
    <x v="4172"/>
    <n v="7695.25"/>
    <n v="0"/>
    <s v="69320466"/>
    <m/>
    <n v="108594.17675"/>
    <n v="0"/>
    <n v="94055"/>
  </r>
  <r>
    <x v="17"/>
    <m/>
    <s v="Værløse Bio Bymidten 44"/>
    <n v="13825"/>
    <m/>
    <s v="Værløse Bio"/>
    <x v="131"/>
    <x v="1"/>
    <x v="2"/>
    <n v="134419.34"/>
    <n v="1"/>
    <s v="2014-02-28"/>
    <n v="0"/>
    <n v="739"/>
    <n v="181.86894799999999"/>
    <n v="1"/>
    <x v="1"/>
    <x v="4173"/>
    <n v="27264.65"/>
    <n v="0"/>
    <s v="69320466"/>
    <m/>
    <n v="134419.36463"/>
    <n v="0"/>
    <n v="94055"/>
  </r>
  <r>
    <x v="17"/>
    <m/>
    <s v="Værløse Bio Bymidten 44"/>
    <n v="13825"/>
    <m/>
    <s v="Værløse Bio"/>
    <x v="131"/>
    <x v="1"/>
    <x v="2"/>
    <n v="14133.09"/>
    <n v="1"/>
    <s v="2014-02-28"/>
    <n v="0"/>
    <n v="739"/>
    <n v="19.122026000000002"/>
    <n v="1"/>
    <x v="1"/>
    <x v="4174"/>
    <n v="2883.63"/>
    <n v="0"/>
    <s v="69061501"/>
    <m/>
    <n v="14133.110479999999"/>
    <n v="0"/>
    <n v="94197"/>
  </r>
  <r>
    <x v="17"/>
    <m/>
    <s v="Værløse Bio Bymidten 44"/>
    <n v="13825"/>
    <m/>
    <s v="Værløse Bio"/>
    <x v="131"/>
    <x v="1"/>
    <x v="3"/>
    <n v="125900.35"/>
    <n v="1"/>
    <s v="2014-02-28"/>
    <n v="0"/>
    <n v="739"/>
    <n v="170.342781"/>
    <n v="1"/>
    <x v="1"/>
    <x v="4175"/>
    <n v="27719.85"/>
    <n v="0"/>
    <s v="69320466"/>
    <m/>
    <n v="125900.36571"/>
    <n v="0"/>
    <n v="94055"/>
  </r>
  <r>
    <x v="17"/>
    <m/>
    <s v="Værløse Bio Bymidten 44"/>
    <n v="13825"/>
    <m/>
    <s v="Værløse Bio"/>
    <x v="131"/>
    <x v="1"/>
    <x v="3"/>
    <n v="12777.59"/>
    <n v="1"/>
    <s v="2014-02-28"/>
    <n v="0"/>
    <n v="739"/>
    <n v="17.288039000000001"/>
    <n v="1"/>
    <x v="1"/>
    <x v="4176"/>
    <n v="2807.71"/>
    <n v="0"/>
    <s v="69061501"/>
    <m/>
    <n v="12777.6026"/>
    <n v="0"/>
    <n v="94197"/>
  </r>
  <r>
    <x v="17"/>
    <m/>
    <s v="Værløse Bio Bymidten 44"/>
    <n v="13825"/>
    <m/>
    <s v="Værløse Bio"/>
    <x v="131"/>
    <x v="1"/>
    <x v="4"/>
    <n v="114513.68"/>
    <n v="1"/>
    <s v="2014-02-28"/>
    <n v="0"/>
    <n v="739"/>
    <n v="154.93665200000001"/>
    <n v="1"/>
    <x v="1"/>
    <x v="4177"/>
    <n v="27937.35"/>
    <n v="0"/>
    <s v="69320466"/>
    <m/>
    <n v="114513.66574"/>
    <n v="0"/>
    <n v="94055"/>
  </r>
  <r>
    <x v="17"/>
    <m/>
    <s v="Værløse Bio Bymidten 44"/>
    <n v="13825"/>
    <m/>
    <s v="Værløse Bio"/>
    <x v="131"/>
    <x v="1"/>
    <x v="4"/>
    <n v="10175.719999999999"/>
    <n v="1"/>
    <s v="2014-02-28"/>
    <n v="0"/>
    <n v="739"/>
    <n v="13.767716999999999"/>
    <n v="1"/>
    <x v="1"/>
    <x v="4178"/>
    <n v="2431.2199999999998"/>
    <n v="0"/>
    <s v="69061501"/>
    <m/>
    <n v="10175.73695"/>
    <n v="0"/>
    <n v="94197"/>
  </r>
  <r>
    <x v="17"/>
    <m/>
    <s v="Værløse Bio Bymidten 44"/>
    <n v="13825"/>
    <m/>
    <s v="Værløse Bio"/>
    <x v="131"/>
    <x v="1"/>
    <x v="5"/>
    <n v="100796.38"/>
    <n v="1"/>
    <s v="2014-02-28"/>
    <n v="0"/>
    <n v="739"/>
    <n v="136.37718799999999"/>
    <n v="1"/>
    <x v="1"/>
    <x v="4179"/>
    <n v="27348.86"/>
    <n v="0"/>
    <s v="69320466"/>
    <m/>
    <n v="100796.38082999999"/>
    <n v="0"/>
    <n v="94055"/>
  </r>
  <r>
    <x v="17"/>
    <m/>
    <s v="Værløse Bio Bymidten 44"/>
    <n v="13825"/>
    <m/>
    <s v="Værløse Bio"/>
    <x v="131"/>
    <x v="1"/>
    <x v="5"/>
    <n v="8044.88"/>
    <n v="1"/>
    <s v="2014-02-28"/>
    <n v="0"/>
    <n v="739"/>
    <n v="10.884696999999999"/>
    <n v="1"/>
    <x v="1"/>
    <x v="4180"/>
    <n v="2162.27"/>
    <n v="0"/>
    <s v="69061501"/>
    <m/>
    <n v="8044.9013699999996"/>
    <n v="0"/>
    <n v="94197"/>
  </r>
  <r>
    <x v="17"/>
    <m/>
    <s v="Værløse Bio Bymidten 44"/>
    <n v="13825"/>
    <m/>
    <s v="Værløse Bio"/>
    <x v="131"/>
    <x v="1"/>
    <x v="6"/>
    <n v="97806.68"/>
    <n v="1"/>
    <s v="2014-02-28"/>
    <n v="0"/>
    <n v="739"/>
    <n v="132.332133"/>
    <n v="1"/>
    <x v="1"/>
    <x v="4181"/>
    <n v="23466.1"/>
    <n v="0"/>
    <s v="69320466"/>
    <m/>
    <n v="97806.669670000003"/>
    <n v="0"/>
    <n v="94055"/>
  </r>
  <r>
    <x v="17"/>
    <m/>
    <s v="Værløse Bio Bymidten 44"/>
    <n v="13825"/>
    <m/>
    <s v="Værløse Bio"/>
    <x v="131"/>
    <x v="1"/>
    <x v="6"/>
    <n v="7534.82"/>
    <n v="1"/>
    <s v="2014-02-28"/>
    <n v="0"/>
    <n v="739"/>
    <n v="10.194588"/>
    <n v="1"/>
    <x v="1"/>
    <x v="4182"/>
    <n v="1806.07"/>
    <n v="0"/>
    <s v="69061501"/>
    <m/>
    <n v="7534.8328000000001"/>
    <n v="0"/>
    <n v="94197"/>
  </r>
  <r>
    <x v="17"/>
    <s v="05368-6"/>
    <s v="TD-Bygning"/>
    <n v="5465"/>
    <m/>
    <s v="TD-Bygning"/>
    <x v="130"/>
    <x v="1"/>
    <x v="0"/>
    <n v="6286.13"/>
    <n v="4"/>
    <s v="2015-05-04"/>
    <n v="0"/>
    <n v="1384"/>
    <n v="4.5416730000000003"/>
    <n v="2"/>
    <x v="2"/>
    <x v="4183"/>
    <n v="2514.4499999999998"/>
    <n v="1"/>
    <s v="EL03 VE01"/>
    <m/>
    <n v="6286.1250099999997"/>
    <n v="0"/>
    <n v="57770"/>
  </r>
  <r>
    <x v="17"/>
    <s v="05368-6"/>
    <s v="TD-Bygning"/>
    <n v="5465"/>
    <m/>
    <s v="TD-Bygning"/>
    <x v="130"/>
    <x v="1"/>
    <x v="0"/>
    <n v="25666"/>
    <n v="5"/>
    <m/>
    <n v="0"/>
    <n v="1384"/>
    <n v="18.543457"/>
    <n v="2"/>
    <x v="2"/>
    <x v="4184"/>
    <n v="10266.41"/>
    <n v="0"/>
    <s v="3104996"/>
    <s v="74115046041"/>
    <n v="25666.000499999998"/>
    <n v="0"/>
    <n v="58297"/>
  </r>
  <r>
    <x v="17"/>
    <s v="05368-6"/>
    <s v="TD-Bygning"/>
    <n v="5465"/>
    <m/>
    <s v="TD-Bygning"/>
    <x v="130"/>
    <x v="1"/>
    <x v="0"/>
    <n v="619.03"/>
    <n v="5"/>
    <s v="2015-05-04"/>
    <n v="0"/>
    <n v="1384"/>
    <n v="0.447243"/>
    <n v="2"/>
    <x v="2"/>
    <x v="4185"/>
    <n v="185.7"/>
    <n v="1"/>
    <s v="112579 Nordic Sportscente"/>
    <m/>
    <n v="619.03125"/>
    <n v="0"/>
    <n v="90264"/>
  </r>
  <r>
    <x v="17"/>
    <s v="05368-6"/>
    <s v="TD-Bygning"/>
    <n v="5465"/>
    <m/>
    <s v="TD-Bygning"/>
    <x v="130"/>
    <x v="1"/>
    <x v="0"/>
    <n v="210.22"/>
    <n v="5"/>
    <s v="2015-05-04"/>
    <n v="0"/>
    <n v="1384"/>
    <n v="0.15188199999999999"/>
    <n v="2"/>
    <x v="2"/>
    <x v="4186"/>
    <n v="63.07"/>
    <n v="1"/>
    <s v="113957 Køkken"/>
    <m/>
    <n v="210.21875"/>
    <n v="0"/>
    <n v="90266"/>
  </r>
  <r>
    <x v="17"/>
    <s v="05368-6"/>
    <s v="TD-Bygning"/>
    <n v="5465"/>
    <m/>
    <s v="TD-Bygning"/>
    <x v="130"/>
    <x v="1"/>
    <x v="0"/>
    <n v="33.06"/>
    <n v="5"/>
    <s v="2015-05-04"/>
    <n v="0"/>
    <n v="1384"/>
    <n v="2.3885E-2"/>
    <n v="2"/>
    <x v="2"/>
    <x v="4187"/>
    <n v="9.91"/>
    <n v="1"/>
    <s v="112644 Krop Danmark"/>
    <m/>
    <n v="33.0625"/>
    <n v="0"/>
    <n v="90265"/>
  </r>
  <r>
    <x v="17"/>
    <s v="05368-6"/>
    <s v="TD-Bygning"/>
    <n v="5465"/>
    <m/>
    <s v="TD-Bygning"/>
    <x v="130"/>
    <x v="1"/>
    <x v="0"/>
    <n v="2466.16"/>
    <n v="5"/>
    <s v="2015-05-04"/>
    <n v="0"/>
    <n v="1384"/>
    <n v="1.7817780000000001"/>
    <n v="2"/>
    <x v="2"/>
    <x v="4188"/>
    <n v="739.85"/>
    <n v="1"/>
    <s v="112614 Svøm 1 Sal"/>
    <m/>
    <n v="2466.15625"/>
    <n v="0"/>
    <n v="90267"/>
  </r>
  <r>
    <x v="17"/>
    <s v="05368-6"/>
    <s v="TD-Bygning"/>
    <n v="5465"/>
    <m/>
    <s v="TD-Bygning"/>
    <x v="130"/>
    <x v="1"/>
    <x v="0"/>
    <n v="4871.3999999999996"/>
    <n v="5"/>
    <s v="2015-05-04"/>
    <n v="0"/>
    <n v="1384"/>
    <n v="3.5195430000000001"/>
    <n v="2"/>
    <x v="2"/>
    <x v="4189"/>
    <n v="1461.42"/>
    <n v="1"/>
    <s v="112643 Svøm 2 Sal"/>
    <m/>
    <n v="4871.4062599999997"/>
    <n v="0"/>
    <n v="90268"/>
  </r>
  <r>
    <x v="17"/>
    <s v="05368-6"/>
    <s v="TD-Bygning"/>
    <n v="5465"/>
    <m/>
    <s v="TD-Bygning"/>
    <x v="130"/>
    <x v="1"/>
    <x v="1"/>
    <n v="704.08"/>
    <n v="12"/>
    <s v="2015-05-04"/>
    <n v="0"/>
    <n v="1384"/>
    <n v="0.508691"/>
    <n v="2"/>
    <x v="2"/>
    <x v="4190"/>
    <n v="211.21"/>
    <n v="1"/>
    <s v="112644 Krop Danmark"/>
    <m/>
    <n v="704.08825000000002"/>
    <n v="0"/>
    <n v="90265"/>
  </r>
  <r>
    <x v="17"/>
    <m/>
    <s v="Ballerupvej 29A UDLEJET"/>
    <n v="10276"/>
    <m/>
    <s v="Ballerupvej 29A"/>
    <x v="126"/>
    <x v="1"/>
    <x v="0"/>
    <n v="1894.93"/>
    <n v="5"/>
    <m/>
    <n v="0"/>
    <n v="0"/>
    <n v="18949.3"/>
    <n v="2"/>
    <x v="2"/>
    <x v="4191"/>
    <n v="888.73"/>
    <n v="0"/>
    <m/>
    <m/>
    <n v="1894.9163000000001"/>
    <n v="0"/>
    <n v="90594"/>
  </r>
  <r>
    <x v="17"/>
    <m/>
    <s v="Ballerupvej 29A UDLEJET"/>
    <n v="10276"/>
    <m/>
    <s v="Ballerupvej 29A"/>
    <x v="126"/>
    <x v="1"/>
    <x v="1"/>
    <n v="2759.33"/>
    <n v="12"/>
    <m/>
    <n v="0"/>
    <n v="0"/>
    <n v="27593.3"/>
    <n v="2"/>
    <x v="2"/>
    <x v="4192"/>
    <n v="1294.1099999999999"/>
    <n v="0"/>
    <m/>
    <m/>
    <n v="2759.3262"/>
    <n v="0"/>
    <n v="90594"/>
  </r>
  <r>
    <x v="17"/>
    <m/>
    <s v="Ballerupvej 29A UDLEJET"/>
    <n v="10276"/>
    <m/>
    <s v="Ballerupvej 29A"/>
    <x v="126"/>
    <x v="1"/>
    <x v="2"/>
    <n v="5428.67"/>
    <n v="12"/>
    <m/>
    <n v="0"/>
    <n v="0"/>
    <n v="54286.7"/>
    <n v="2"/>
    <x v="2"/>
    <x v="4193"/>
    <n v="2546.0500000000002"/>
    <n v="0"/>
    <m/>
    <m/>
    <n v="5428.6736000000001"/>
    <n v="0"/>
    <n v="90594"/>
  </r>
  <r>
    <x v="17"/>
    <m/>
    <s v="Ballerupvej 29A UDLEJET"/>
    <n v="10276"/>
    <m/>
    <s v="Ballerupvej 29A"/>
    <x v="126"/>
    <x v="1"/>
    <x v="3"/>
    <n v="277.14999999999998"/>
    <n v="1"/>
    <m/>
    <n v="0"/>
    <n v="0"/>
    <n v="2771.5"/>
    <n v="2"/>
    <x v="2"/>
    <x v="4194"/>
    <n v="129.99"/>
    <n v="0"/>
    <m/>
    <m/>
    <n v="277.15370000000001"/>
    <n v="0"/>
    <n v="90594"/>
  </r>
  <r>
    <x v="17"/>
    <m/>
    <s v="Ballerupvej 31 UDLEJET"/>
    <n v="10277"/>
    <m/>
    <s v="Ballerupvej 31"/>
    <x v="127"/>
    <x v="1"/>
    <x v="0"/>
    <n v="4738.24"/>
    <n v="5"/>
    <s v="2013-05-07"/>
    <n v="0"/>
    <n v="304"/>
    <n v="15.581189999999999"/>
    <n v="2"/>
    <x v="2"/>
    <x v="4195"/>
    <n v="1421.47"/>
    <n v="0"/>
    <s v="482983-33501 / 1096152"/>
    <s v="74110499637"/>
    <n v="4738.2349999999997"/>
    <n v="0"/>
    <n v="77671"/>
  </r>
  <r>
    <x v="17"/>
    <m/>
    <s v="Ballerupvej 31 UDLEJET"/>
    <n v="10277"/>
    <m/>
    <s v="Ballerupvej 31"/>
    <x v="127"/>
    <x v="1"/>
    <x v="1"/>
    <n v="5140.1400000000003"/>
    <n v="13"/>
    <s v="2013-05-07"/>
    <n v="0"/>
    <n v="304"/>
    <n v="16.902795000000001"/>
    <n v="2"/>
    <x v="2"/>
    <x v="4196"/>
    <n v="1542.05"/>
    <n v="0"/>
    <s v="482983-33501 / 1096152"/>
    <s v="74110499637"/>
    <n v="5140.1309899999997"/>
    <n v="0"/>
    <n v="77671"/>
  </r>
  <r>
    <x v="17"/>
    <m/>
    <s v="Ballerupvej 31 UDLEJET"/>
    <n v="10277"/>
    <m/>
    <s v="Ballerupvej 31"/>
    <x v="127"/>
    <x v="1"/>
    <x v="2"/>
    <n v="13415.42"/>
    <n v="12"/>
    <s v="2013-05-07"/>
    <n v="0"/>
    <n v="304"/>
    <n v="44.115158999999998"/>
    <n v="2"/>
    <x v="2"/>
    <x v="4197"/>
    <n v="5366.09"/>
    <n v="0"/>
    <s v="482983-33501 / 1096152"/>
    <s v="74110499637"/>
    <n v="13415.3791"/>
    <n v="0"/>
    <n v="77671"/>
  </r>
  <r>
    <x v="17"/>
    <m/>
    <s v="Ballerupvej 31 UDLEJET"/>
    <n v="10277"/>
    <m/>
    <s v="Ballerupvej 31"/>
    <x v="127"/>
    <x v="1"/>
    <x v="3"/>
    <n v="2556.14"/>
    <n v="3"/>
    <s v="2013-05-07"/>
    <n v="0"/>
    <n v="304"/>
    <n v="8.4055900000000001"/>
    <n v="2"/>
    <x v="2"/>
    <x v="4198"/>
    <n v="1198.8399999999999"/>
    <n v="0"/>
    <s v="482983-33501 / 1096152"/>
    <s v="74110499637"/>
    <n v="2556.1228900000001"/>
    <n v="0"/>
    <n v="77671"/>
  </r>
  <r>
    <x v="17"/>
    <m/>
    <s v="Ballerupvej 31 UDLEJET"/>
    <n v="10277"/>
    <m/>
    <s v="Ballerupvej 31"/>
    <x v="127"/>
    <x v="1"/>
    <x v="4"/>
    <n v="3935.94"/>
    <n v="3"/>
    <s v="2013-05-07"/>
    <n v="0"/>
    <n v="304"/>
    <n v="12.942913000000001"/>
    <n v="2"/>
    <x v="2"/>
    <x v="4199"/>
    <n v="1845.96"/>
    <n v="0"/>
    <s v="482983-33501 / 1096152"/>
    <s v="74110499637"/>
    <n v="3935.9627399999999"/>
    <n v="0"/>
    <n v="77671"/>
  </r>
  <r>
    <x v="17"/>
    <m/>
    <s v="Ballerupvej 31 UDLEJET"/>
    <n v="10277"/>
    <m/>
    <s v="Ballerupvej 31"/>
    <x v="127"/>
    <x v="1"/>
    <x v="5"/>
    <n v="4248.1099999999997"/>
    <n v="4"/>
    <s v="2013-05-07"/>
    <n v="0"/>
    <n v="304"/>
    <n v="13.96945"/>
    <n v="2"/>
    <x v="2"/>
    <x v="4200"/>
    <n v="1992.37"/>
    <n v="0"/>
    <s v="482983-33501 / 1096152"/>
    <s v="74110499637"/>
    <n v="4248.1281499999996"/>
    <n v="0"/>
    <n v="77671"/>
  </r>
  <r>
    <x v="17"/>
    <m/>
    <s v="Ballerupvej 31 UDLEJET"/>
    <n v="10277"/>
    <m/>
    <s v="Ballerupvej 31"/>
    <x v="127"/>
    <x v="1"/>
    <x v="6"/>
    <n v="4419.3900000000003"/>
    <n v="4"/>
    <s v="2013-05-07"/>
    <n v="0"/>
    <n v="304"/>
    <n v="14.532686"/>
    <n v="2"/>
    <x v="2"/>
    <x v="4201"/>
    <n v="2072.7199999999998"/>
    <n v="0"/>
    <s v="482983-33501 / 1096152"/>
    <s v="74110499637"/>
    <n v="4419.41795"/>
    <n v="0"/>
    <n v="77671"/>
  </r>
  <r>
    <x v="17"/>
    <s v="10802"/>
    <s v="Farum Genbrug, Gammel 77-79"/>
    <n v="13360"/>
    <s v="0"/>
    <s v="Farum Genbrug"/>
    <x v="128"/>
    <x v="1"/>
    <x v="0"/>
    <n v="11046.88"/>
    <n v="5"/>
    <s v="2012-01-31"/>
    <n v="0"/>
    <n v="317"/>
    <n v="34.837212000000001"/>
    <n v="2"/>
    <x v="2"/>
    <x v="4202"/>
    <n v="3314.07"/>
    <n v="0"/>
    <s v="3105129"/>
    <m/>
    <n v="11046.882"/>
    <n v="0"/>
    <n v="91052"/>
  </r>
  <r>
    <x v="17"/>
    <s v="10802"/>
    <s v="Farum Genbrug, Gammel 77-79"/>
    <n v="13360"/>
    <s v="0"/>
    <s v="Farum Genbrug"/>
    <x v="128"/>
    <x v="1"/>
    <x v="1"/>
    <n v="25328.19"/>
    <n v="12"/>
    <s v="2012-01-31"/>
    <n v="0"/>
    <n v="317"/>
    <n v="79.874455999999995"/>
    <n v="2"/>
    <x v="2"/>
    <x v="4203"/>
    <n v="7598.46"/>
    <n v="0"/>
    <s v="3105129"/>
    <m/>
    <n v="25328.194"/>
    <n v="0"/>
    <n v="91052"/>
  </r>
  <r>
    <x v="17"/>
    <s v="10802"/>
    <s v="Farum Genbrug, Gammel 77-79"/>
    <n v="13360"/>
    <s v="0"/>
    <s v="Farum Genbrug"/>
    <x v="128"/>
    <x v="1"/>
    <x v="2"/>
    <n v="22467.32"/>
    <n v="13"/>
    <s v="2012-01-31"/>
    <n v="0"/>
    <n v="317"/>
    <n v="70.852474999999998"/>
    <n v="2"/>
    <x v="2"/>
    <x v="4204"/>
    <n v="8986.9500000000007"/>
    <n v="0"/>
    <s v="3105129"/>
    <m/>
    <n v="22467.348999999998"/>
    <n v="0"/>
    <n v="91052"/>
  </r>
  <r>
    <x v="17"/>
    <s v="10802"/>
    <s v="Farum Genbrug, Gammel 77-79"/>
    <n v="13360"/>
    <s v="0"/>
    <s v="Farum Genbrug"/>
    <x v="128"/>
    <x v="1"/>
    <x v="2"/>
    <n v="2127.21"/>
    <n v="2"/>
    <s v="2012-01-18"/>
    <n v="0"/>
    <n v="317"/>
    <n v="6.7083250000000003"/>
    <n v="2"/>
    <x v="2"/>
    <x v="4205"/>
    <n v="850.89"/>
    <n v="0"/>
    <s v="AFMELDT"/>
    <s v="74114359395"/>
    <n v="2127.2142899999999"/>
    <n v="0"/>
    <n v="89449"/>
  </r>
  <r>
    <x v="17"/>
    <s v="10802"/>
    <s v="Farum Genbrug, Gammel 77-79"/>
    <n v="13360"/>
    <s v="0"/>
    <s v="Farum Genbrug"/>
    <x v="128"/>
    <x v="1"/>
    <x v="3"/>
    <n v="27121.77"/>
    <n v="4"/>
    <s v="2012-01-18"/>
    <n v="0"/>
    <n v="317"/>
    <n v="85.530652000000003"/>
    <n v="2"/>
    <x v="2"/>
    <x v="4206"/>
    <n v="12720.11"/>
    <n v="0"/>
    <s v="AFMELDT"/>
    <s v="74114359395"/>
    <n v="27121.766540000001"/>
    <n v="0"/>
    <n v="89449"/>
  </r>
  <r>
    <x v="17"/>
    <s v="10802"/>
    <s v="Farum Genbrug, Gammel 77-79"/>
    <n v="13360"/>
    <s v="0"/>
    <s v="Farum Genbrug"/>
    <x v="128"/>
    <x v="1"/>
    <x v="4"/>
    <n v="25069.89"/>
    <n v="1"/>
    <s v="2012-01-18"/>
    <n v="0"/>
    <n v="317"/>
    <n v="79.059886000000006"/>
    <n v="2"/>
    <x v="2"/>
    <x v="4207"/>
    <n v="11757.76"/>
    <n v="0"/>
    <s v="AFMELDT"/>
    <s v="74114359395"/>
    <n v="25069.857540000001"/>
    <n v="0"/>
    <n v="89449"/>
  </r>
  <r>
    <x v="17"/>
    <s v="10802"/>
    <s v="Farum Genbrug, Gammel 77-79"/>
    <n v="13360"/>
    <s v="0"/>
    <s v="Farum Genbrug"/>
    <x v="128"/>
    <x v="1"/>
    <x v="5"/>
    <n v="21356.92"/>
    <n v="1"/>
    <s v="2012-01-18"/>
    <n v="0"/>
    <n v="317"/>
    <n v="67.350740999999999"/>
    <n v="2"/>
    <x v="2"/>
    <x v="4208"/>
    <n v="10016.4"/>
    <n v="0"/>
    <s v="AFMELDT"/>
    <s v="74114359395"/>
    <n v="21356.91576"/>
    <n v="0"/>
    <n v="89449"/>
  </r>
  <r>
    <x v="17"/>
    <s v="10802"/>
    <s v="Farum Genbrug, Gammel 77-79"/>
    <n v="13360"/>
    <s v="0"/>
    <s v="Farum Genbrug"/>
    <x v="128"/>
    <x v="1"/>
    <x v="6"/>
    <n v="25727.79"/>
    <n v="1"/>
    <s v="2012-01-18"/>
    <n v="0"/>
    <n v="317"/>
    <n v="81.134625999999997"/>
    <n v="2"/>
    <x v="2"/>
    <x v="4209"/>
    <n v="12066.3"/>
    <n v="0"/>
    <s v="AFMELDT"/>
    <s v="74114359395"/>
    <n v="25727.788359999999"/>
    <n v="0"/>
    <n v="89449"/>
  </r>
  <r>
    <x v="17"/>
    <s v="000254"/>
    <s v="Golfklub Kiosk"/>
    <n v="13512"/>
    <s v="0"/>
    <s v="Golfklub og ridecenter"/>
    <x v="134"/>
    <x v="1"/>
    <x v="1"/>
    <n v="2515.34"/>
    <n v="5"/>
    <s v="2014-12-01"/>
    <n v="0"/>
    <n v="1"/>
    <n v="2286.6727270000001"/>
    <n v="2"/>
    <x v="2"/>
    <x v="4210"/>
    <n v="754.62"/>
    <n v="0"/>
    <s v="1046146"/>
    <s v="74111921601"/>
    <n v="2515.3387299999999"/>
    <n v="0"/>
    <n v="90398"/>
  </r>
  <r>
    <x v="17"/>
    <s v="000254"/>
    <s v="Golfklub Kiosk"/>
    <n v="13512"/>
    <s v="0"/>
    <s v="Golfklub og ridecenter"/>
    <x v="134"/>
    <x v="1"/>
    <x v="2"/>
    <n v="2619.65"/>
    <n v="2"/>
    <s v="2014-12-01"/>
    <n v="0"/>
    <n v="1"/>
    <n v="2381.5"/>
    <n v="2"/>
    <x v="2"/>
    <x v="4211"/>
    <n v="1047.8499999999999"/>
    <n v="0"/>
    <s v="1046146"/>
    <s v="74111921601"/>
    <n v="2619.63553"/>
    <n v="0"/>
    <n v="90398"/>
  </r>
  <r>
    <x v="17"/>
    <s v="000254"/>
    <s v="Golfklub Kiosk"/>
    <n v="13512"/>
    <s v="0"/>
    <s v="Golfklub og ridecenter"/>
    <x v="134"/>
    <x v="1"/>
    <x v="3"/>
    <n v="2872.78"/>
    <n v="1"/>
    <s v="2014-12-01"/>
    <n v="0"/>
    <n v="1"/>
    <n v="2611.6181809999998"/>
    <n v="2"/>
    <x v="2"/>
    <x v="4212"/>
    <n v="1347.34"/>
    <n v="0"/>
    <s v="1046146"/>
    <s v="74111921601"/>
    <n v="2872.7587600000002"/>
    <n v="0"/>
    <n v="90398"/>
  </r>
  <r>
    <x v="17"/>
    <s v="000254"/>
    <s v="Golfklub Kiosk"/>
    <n v="13512"/>
    <s v="0"/>
    <s v="Golfklub og ridecenter"/>
    <x v="134"/>
    <x v="1"/>
    <x v="4"/>
    <n v="2810.63"/>
    <n v="1"/>
    <s v="2014-12-01"/>
    <n v="0"/>
    <n v="1"/>
    <n v="2555.1181809999998"/>
    <n v="2"/>
    <x v="2"/>
    <x v="4213"/>
    <n v="1318.2"/>
    <n v="0"/>
    <s v="1046146"/>
    <s v="74111921601"/>
    <n v="2810.6495"/>
    <n v="0"/>
    <n v="90398"/>
  </r>
  <r>
    <x v="17"/>
    <s v="000254"/>
    <s v="Golfklub Kiosk"/>
    <n v="13512"/>
    <s v="0"/>
    <s v="Golfklub og ridecenter"/>
    <x v="134"/>
    <x v="1"/>
    <x v="5"/>
    <n v="2709.45"/>
    <n v="1"/>
    <s v="2014-12-01"/>
    <n v="0"/>
    <n v="1"/>
    <n v="2463.1363630000001"/>
    <n v="2"/>
    <x v="2"/>
    <x v="4214"/>
    <n v="1270.76"/>
    <n v="0"/>
    <s v="1046146"/>
    <s v="74111921601"/>
    <n v="2709.4533299999998"/>
    <n v="0"/>
    <n v="90398"/>
  </r>
  <r>
    <x v="17"/>
    <s v="000254"/>
    <s v="Golfklub Kiosk"/>
    <n v="13512"/>
    <s v="0"/>
    <s v="Golfklub og ridecenter"/>
    <x v="134"/>
    <x v="1"/>
    <x v="6"/>
    <n v="2207.4499999999998"/>
    <n v="1"/>
    <s v="2014-12-01"/>
    <n v="0"/>
    <n v="1"/>
    <n v="2006.772727"/>
    <n v="2"/>
    <x v="2"/>
    <x v="4215"/>
    <n v="1035.31"/>
    <n v="0"/>
    <s v="1046146"/>
    <s v="74111921601"/>
    <n v="2207.44841"/>
    <n v="0"/>
    <n v="90398"/>
  </r>
  <r>
    <x v="17"/>
    <m/>
    <s v="Langkærgård"/>
    <n v="11035"/>
    <m/>
    <s v="Solhuset"/>
    <x v="129"/>
    <x v="1"/>
    <x v="0"/>
    <n v="1034.1400000000001"/>
    <n v="5"/>
    <s v="2012-02-29"/>
    <n v="0"/>
    <n v="225"/>
    <n v="4.5941349999999996"/>
    <n v="2"/>
    <x v="2"/>
    <x v="4216"/>
    <n v="310.25"/>
    <n v="0"/>
    <s v="798307"/>
    <s v="74114755326"/>
    <n v="1034.146"/>
    <n v="0"/>
    <n v="79962"/>
  </r>
  <r>
    <x v="17"/>
    <m/>
    <s v="Langkærgård"/>
    <n v="11035"/>
    <m/>
    <s v="Solhuset"/>
    <x v="129"/>
    <x v="1"/>
    <x v="1"/>
    <n v="3306"/>
    <n v="12"/>
    <s v="2012-02-29"/>
    <n v="0"/>
    <n v="225"/>
    <n v="14.686805"/>
    <n v="2"/>
    <x v="2"/>
    <x v="4217"/>
    <n v="991.81"/>
    <n v="0"/>
    <s v="798307"/>
    <s v="74114755326"/>
    <n v="3305.9933000000001"/>
    <n v="0"/>
    <n v="79962"/>
  </r>
  <r>
    <x v="17"/>
    <m/>
    <s v="Langkærgård"/>
    <n v="11035"/>
    <m/>
    <s v="Solhuset"/>
    <x v="129"/>
    <x v="1"/>
    <x v="2"/>
    <n v="3597.62"/>
    <n v="13"/>
    <s v="2012-02-29"/>
    <n v="0"/>
    <n v="225"/>
    <n v="15.982317999999999"/>
    <n v="2"/>
    <x v="2"/>
    <x v="4218"/>
    <n v="1439.05"/>
    <n v="0"/>
    <s v="798307"/>
    <s v="74114755326"/>
    <n v="3597.6420499999999"/>
    <n v="0"/>
    <n v="79962"/>
  </r>
  <r>
    <x v="17"/>
    <m/>
    <s v="Langkærgård"/>
    <n v="11035"/>
    <m/>
    <s v="Solhuset"/>
    <x v="129"/>
    <x v="1"/>
    <x v="3"/>
    <n v="8019.74"/>
    <n v="6"/>
    <s v="2012-02-29"/>
    <n v="0"/>
    <n v="225"/>
    <n v="35.627454"/>
    <n v="2"/>
    <x v="2"/>
    <x v="4219"/>
    <n v="3761.25"/>
    <n v="0"/>
    <s v="798307"/>
    <s v="74114755326"/>
    <n v="8019.7320799999998"/>
    <n v="0"/>
    <n v="79962"/>
  </r>
  <r>
    <x v="17"/>
    <m/>
    <s v="Langkærgård"/>
    <n v="11035"/>
    <m/>
    <s v="Solhuset"/>
    <x v="129"/>
    <x v="1"/>
    <x v="4"/>
    <n v="10618.7"/>
    <n v="4"/>
    <s v="2012-02-29"/>
    <n v="0"/>
    <n v="225"/>
    <n v="47.173256000000002"/>
    <n v="2"/>
    <x v="2"/>
    <x v="4220"/>
    <n v="4980.18"/>
    <n v="0"/>
    <s v="798307"/>
    <s v="74114755326"/>
    <n v="10618.70421"/>
    <n v="0"/>
    <n v="79962"/>
  </r>
  <r>
    <x v="17"/>
    <m/>
    <s v="Langkærgård"/>
    <n v="11035"/>
    <m/>
    <s v="Solhuset"/>
    <x v="129"/>
    <x v="1"/>
    <x v="5"/>
    <n v="11087.89"/>
    <n v="2"/>
    <s v="2012-02-29"/>
    <n v="0"/>
    <n v="225"/>
    <n v="49.257618000000001"/>
    <n v="2"/>
    <x v="2"/>
    <x v="4221"/>
    <n v="5200.25"/>
    <n v="0"/>
    <s v="798307"/>
    <s v="74114755326"/>
    <n v="11087.901089999999"/>
    <n v="0"/>
    <n v="79962"/>
  </r>
  <r>
    <x v="17"/>
    <m/>
    <s v="Langkærgård"/>
    <n v="11035"/>
    <m/>
    <s v="Solhuset"/>
    <x v="129"/>
    <x v="1"/>
    <x v="6"/>
    <n v="9861.27"/>
    <n v="3"/>
    <s v="2012-02-29"/>
    <n v="0"/>
    <n v="225"/>
    <n v="43.808396000000002"/>
    <n v="2"/>
    <x v="2"/>
    <x v="4222"/>
    <n v="4624.91"/>
    <n v="0"/>
    <s v="798307"/>
    <s v="74114755326"/>
    <n v="9861.2520700000005"/>
    <n v="0"/>
    <n v="79962"/>
  </r>
  <r>
    <x v="17"/>
    <m/>
    <s v="Overgangsboligerne Lillevangspark 8"/>
    <n v="13988"/>
    <s v="0"/>
    <s v="Overgangsboligerne Lillevangspark 8"/>
    <x v="133"/>
    <x v="1"/>
    <x v="1"/>
    <n v="6322.03"/>
    <n v="3"/>
    <s v="2014-11-07"/>
    <n v="0"/>
    <n v="0"/>
    <n v="63220.3"/>
    <n v="2"/>
    <x v="2"/>
    <x v="4223"/>
    <n v="1896.62"/>
    <n v="0"/>
    <s v="784016-36317 / 70-19972"/>
    <s v="74111477900"/>
    <n v="6322.0458600000002"/>
    <n v="0"/>
    <n v="92749"/>
  </r>
  <r>
    <x v="17"/>
    <m/>
    <s v="Overgangsboligerne Lillevangspark 8"/>
    <n v="13988"/>
    <s v="0"/>
    <s v="Overgangsboligerne Lillevangspark 8"/>
    <x v="133"/>
    <x v="1"/>
    <x v="2"/>
    <n v="5988.97"/>
    <n v="1"/>
    <s v="2014-11-07"/>
    <n v="0"/>
    <n v="0"/>
    <n v="59889.7"/>
    <n v="2"/>
    <x v="2"/>
    <x v="4224"/>
    <n v="2395.59"/>
    <n v="0"/>
    <s v="784016-36317 / 70-19972"/>
    <s v="74111477900"/>
    <n v="5988.9813899999999"/>
    <n v="0"/>
    <n v="92749"/>
  </r>
  <r>
    <x v="17"/>
    <m/>
    <s v="Overgangsboligerne Lillevangspark 8"/>
    <n v="13988"/>
    <s v="0"/>
    <s v="Overgangsboligerne Lillevangspark 8"/>
    <x v="133"/>
    <x v="1"/>
    <x v="3"/>
    <n v="5941.84"/>
    <n v="0"/>
    <s v="2014-11-07"/>
    <n v="0"/>
    <n v="0"/>
    <n v="59418.400000000001"/>
    <n v="2"/>
    <x v="2"/>
    <x v="4225"/>
    <n v="2786.74"/>
    <n v="0"/>
    <s v="784016-36317 / 70-19972"/>
    <s v="74111477900"/>
    <n v="5941.8604299999997"/>
    <n v="0"/>
    <n v="92749"/>
  </r>
  <r>
    <x v="17"/>
    <m/>
    <s v="Overgangsboligerne Lillevangspark 8"/>
    <n v="13988"/>
    <s v="0"/>
    <s v="Overgangsboligerne Lillevangspark 8"/>
    <x v="133"/>
    <x v="1"/>
    <x v="4"/>
    <n v="5974.6"/>
    <n v="1"/>
    <s v="2014-11-07"/>
    <n v="0"/>
    <n v="0"/>
    <n v="59746"/>
    <n v="2"/>
    <x v="2"/>
    <x v="4226"/>
    <n v="2802.08"/>
    <n v="0"/>
    <s v="784016-36317 / 70-19972"/>
    <s v="74111477900"/>
    <n v="5974.5892400000002"/>
    <n v="0"/>
    <n v="92749"/>
  </r>
  <r>
    <x v="17"/>
    <m/>
    <s v="Overgangsboligerne Lillevangspark 8"/>
    <n v="13988"/>
    <s v="0"/>
    <s v="Overgangsboligerne Lillevangspark 8"/>
    <x v="133"/>
    <x v="1"/>
    <x v="5"/>
    <n v="5986.79"/>
    <n v="0"/>
    <s v="2014-11-07"/>
    <n v="0"/>
    <n v="0"/>
    <n v="59867.9"/>
    <n v="2"/>
    <x v="2"/>
    <x v="4227"/>
    <n v="2807.8"/>
    <n v="0"/>
    <s v="784016-36317 / 70-19972"/>
    <s v="74111477900"/>
    <n v="5986.77027"/>
    <n v="0"/>
    <n v="92749"/>
  </r>
  <r>
    <x v="17"/>
    <m/>
    <s v="Overgangsboligerne Lillevangspark 8"/>
    <n v="13988"/>
    <s v="0"/>
    <s v="Overgangsboligerne Lillevangspark 8"/>
    <x v="133"/>
    <x v="1"/>
    <x v="6"/>
    <n v="3641.28"/>
    <n v="1"/>
    <s v="2014-11-07"/>
    <n v="0"/>
    <n v="0"/>
    <n v="36412.800000000003"/>
    <n v="2"/>
    <x v="2"/>
    <x v="4228"/>
    <n v="1707.76"/>
    <n v="0"/>
    <s v="784016-36317 / 70-19972"/>
    <s v="74111477900"/>
    <n v="3641.2684899999999"/>
    <n v="0"/>
    <n v="92749"/>
  </r>
  <r>
    <x v="17"/>
    <s v="05368-6"/>
    <s v="TD-Bygning"/>
    <n v="5465"/>
    <m/>
    <s v="TD-Bygning"/>
    <x v="130"/>
    <x v="1"/>
    <x v="1"/>
    <n v="554"/>
    <n v="12"/>
    <s v="2015-05-04"/>
    <n v="0"/>
    <n v="1384"/>
    <n v="0.40026"/>
    <n v="2"/>
    <x v="2"/>
    <x v="4229"/>
    <n v="166.19"/>
    <n v="1"/>
    <s v="113957 Køkken"/>
    <m/>
    <n v="554.00284999999997"/>
    <n v="0"/>
    <n v="90266"/>
  </r>
  <r>
    <x v="17"/>
    <s v="05368-6"/>
    <s v="TD-Bygning"/>
    <n v="5465"/>
    <m/>
    <s v="TD-Bygning"/>
    <x v="130"/>
    <x v="1"/>
    <x v="1"/>
    <n v="15090.88"/>
    <n v="12"/>
    <s v="2015-05-04"/>
    <n v="0"/>
    <n v="1384"/>
    <n v="10.903027"/>
    <n v="2"/>
    <x v="2"/>
    <x v="4230"/>
    <n v="4527.26"/>
    <n v="1"/>
    <s v="112643 Svøm 2 Sal"/>
    <m/>
    <n v="15090.87002"/>
    <n v="0"/>
    <n v="90268"/>
  </r>
  <r>
    <x v="17"/>
    <s v="05368-6"/>
    <s v="TD-Bygning"/>
    <n v="5465"/>
    <m/>
    <s v="TD-Bygning"/>
    <x v="130"/>
    <x v="1"/>
    <x v="1"/>
    <n v="19865.080000000002"/>
    <n v="11"/>
    <s v="2015-05-04"/>
    <n v="0"/>
    <n v="1384"/>
    <n v="14.352344"/>
    <n v="2"/>
    <x v="2"/>
    <x v="4231"/>
    <n v="7946.03"/>
    <n v="1"/>
    <s v="EL03 VE01"/>
    <m/>
    <n v="19865.0759"/>
    <n v="0"/>
    <n v="57770"/>
  </r>
  <r>
    <x v="17"/>
    <s v="05368-6"/>
    <s v="TD-Bygning"/>
    <n v="5465"/>
    <m/>
    <s v="TD-Bygning"/>
    <x v="130"/>
    <x v="1"/>
    <x v="1"/>
    <n v="69264.039999999994"/>
    <n v="12"/>
    <m/>
    <n v="0"/>
    <n v="1384"/>
    <n v="50.042655000000003"/>
    <n v="2"/>
    <x v="2"/>
    <x v="4232"/>
    <n v="27705.61"/>
    <n v="0"/>
    <s v="3104996"/>
    <s v="74115046041"/>
    <n v="69264.049859999999"/>
    <n v="0"/>
    <n v="58297"/>
  </r>
  <r>
    <x v="17"/>
    <s v="05368-6"/>
    <s v="TD-Bygning"/>
    <n v="5465"/>
    <m/>
    <s v="TD-Bygning"/>
    <x v="130"/>
    <x v="1"/>
    <x v="1"/>
    <n v="1529.54"/>
    <n v="12"/>
    <s v="2015-05-04"/>
    <n v="0"/>
    <n v="1384"/>
    <n v="1.1050789999999999"/>
    <n v="2"/>
    <x v="2"/>
    <x v="4233"/>
    <n v="458.86"/>
    <n v="1"/>
    <s v="112579 Nordic Sportscente"/>
    <m/>
    <n v="1529.5445999999999"/>
    <n v="0"/>
    <n v="90264"/>
  </r>
  <r>
    <x v="17"/>
    <s v="05368-6"/>
    <s v="TD-Bygning"/>
    <n v="5465"/>
    <m/>
    <s v="TD-Bygning"/>
    <x v="130"/>
    <x v="1"/>
    <x v="1"/>
    <n v="6769.71"/>
    <n v="12"/>
    <s v="2015-05-04"/>
    <n v="0"/>
    <n v="1384"/>
    <n v="4.8910549999999997"/>
    <n v="2"/>
    <x v="2"/>
    <x v="4234"/>
    <n v="2030.92"/>
    <n v="1"/>
    <s v="112614 Svøm 1 Sal"/>
    <m/>
    <n v="6769.7011400000001"/>
    <n v="0"/>
    <n v="90267"/>
  </r>
  <r>
    <x v="17"/>
    <s v="05368-6"/>
    <s v="TD-Bygning"/>
    <n v="5465"/>
    <m/>
    <s v="TD-Bygning"/>
    <x v="130"/>
    <x v="1"/>
    <x v="2"/>
    <n v="358.28"/>
    <n v="13"/>
    <s v="2015-05-04"/>
    <n v="0"/>
    <n v="1384"/>
    <n v="0.25885399999999997"/>
    <n v="2"/>
    <x v="2"/>
    <x v="4235"/>
    <n v="143.30000000000001"/>
    <n v="1"/>
    <s v="112644 Krop Danmark"/>
    <m/>
    <n v="358.27541000000002"/>
    <n v="0"/>
    <n v="90265"/>
  </r>
  <r>
    <x v="17"/>
    <s v="05368-6"/>
    <s v="TD-Bygning"/>
    <n v="5465"/>
    <m/>
    <s v="TD-Bygning"/>
    <x v="130"/>
    <x v="1"/>
    <x v="2"/>
    <n v="14615.74"/>
    <n v="13"/>
    <s v="2015-05-04"/>
    <n v="0"/>
    <n v="1384"/>
    <n v="10.559742"/>
    <n v="2"/>
    <x v="2"/>
    <x v="4236"/>
    <n v="5846.3"/>
    <n v="1"/>
    <s v="112643 Svøm 2 Sal"/>
    <m/>
    <n v="14615.74777"/>
    <n v="0"/>
    <n v="90268"/>
  </r>
  <r>
    <x v="17"/>
    <s v="05368-6"/>
    <s v="TD-Bygning"/>
    <n v="5465"/>
    <m/>
    <s v="TD-Bygning"/>
    <x v="130"/>
    <x v="1"/>
    <x v="2"/>
    <n v="18681.21"/>
    <n v="12"/>
    <s v="2015-05-04"/>
    <n v="0"/>
    <n v="1384"/>
    <n v="13.497007999999999"/>
    <n v="2"/>
    <x v="2"/>
    <x v="4237"/>
    <n v="7472.5"/>
    <n v="1"/>
    <s v="EL03 VE01"/>
    <m/>
    <n v="18681.208559999999"/>
    <n v="0"/>
    <n v="57770"/>
  </r>
  <r>
    <x v="17"/>
    <s v="05368-6"/>
    <s v="TD-Bygning"/>
    <n v="5465"/>
    <m/>
    <s v="TD-Bygning"/>
    <x v="130"/>
    <x v="1"/>
    <x v="2"/>
    <n v="67477.34"/>
    <n v="12"/>
    <m/>
    <n v="0"/>
    <n v="1384"/>
    <n v="48.751779999999997"/>
    <n v="2"/>
    <x v="2"/>
    <x v="4238"/>
    <n v="26990.94"/>
    <n v="0"/>
    <s v="3104996"/>
    <s v="74115046041"/>
    <n v="67477.339760000003"/>
    <n v="0"/>
    <n v="58297"/>
  </r>
  <r>
    <x v="17"/>
    <s v="05368-6"/>
    <s v="TD-Bygning"/>
    <n v="5465"/>
    <m/>
    <s v="TD-Bygning"/>
    <x v="130"/>
    <x v="1"/>
    <x v="2"/>
    <n v="1632.84"/>
    <n v="13"/>
    <s v="2015-05-04"/>
    <n v="0"/>
    <n v="1384"/>
    <n v="1.1797120000000001"/>
    <n v="2"/>
    <x v="2"/>
    <x v="4239"/>
    <n v="653.13"/>
    <n v="1"/>
    <s v="112579 Nordic Sportscente"/>
    <m/>
    <n v="1632.8395700000001"/>
    <n v="0"/>
    <n v="90264"/>
  </r>
  <r>
    <x v="17"/>
    <s v="05368-6"/>
    <s v="TD-Bygning"/>
    <n v="5465"/>
    <m/>
    <s v="TD-Bygning"/>
    <x v="130"/>
    <x v="1"/>
    <x v="2"/>
    <n v="645.61"/>
    <n v="12"/>
    <s v="2015-05-04"/>
    <n v="0"/>
    <n v="1384"/>
    <n v="0.466447"/>
    <n v="2"/>
    <x v="2"/>
    <x v="4240"/>
    <n v="258.27"/>
    <n v="1"/>
    <s v="113957 Køkken"/>
    <m/>
    <n v="645.60518000000002"/>
    <n v="0"/>
    <n v="90266"/>
  </r>
  <r>
    <x v="17"/>
    <s v="05368-6"/>
    <s v="TD-Bygning"/>
    <n v="5465"/>
    <m/>
    <s v="TD-Bygning"/>
    <x v="130"/>
    <x v="1"/>
    <x v="2"/>
    <n v="6870.48"/>
    <n v="13"/>
    <s v="2015-05-04"/>
    <n v="0"/>
    <n v="1384"/>
    <n v="4.9638600000000004"/>
    <n v="2"/>
    <x v="2"/>
    <x v="4241"/>
    <n v="2748.18"/>
    <n v="1"/>
    <s v="112614 Svøm 1 Sal"/>
    <m/>
    <n v="6870.4572099999996"/>
    <n v="0"/>
    <n v="90267"/>
  </r>
  <r>
    <x v="17"/>
    <s v="05368-6"/>
    <s v="TD-Bygning"/>
    <n v="5465"/>
    <m/>
    <s v="TD-Bygning"/>
    <x v="130"/>
    <x v="1"/>
    <x v="3"/>
    <n v="127.64"/>
    <n v="3"/>
    <s v="2015-05-04"/>
    <n v="0"/>
    <n v="1384"/>
    <n v="9.2217999999999994E-2"/>
    <n v="2"/>
    <x v="2"/>
    <x v="4242"/>
    <n v="59.87"/>
    <n v="1"/>
    <s v="112644 Krop Danmark"/>
    <m/>
    <n v="127.63637"/>
    <n v="0"/>
    <n v="90265"/>
  </r>
  <r>
    <x v="17"/>
    <s v="05368-6"/>
    <s v="TD-Bygning"/>
    <n v="5465"/>
    <m/>
    <s v="TD-Bygning"/>
    <x v="130"/>
    <x v="1"/>
    <x v="3"/>
    <n v="1468.45"/>
    <n v="3"/>
    <s v="2015-05-04"/>
    <n v="0"/>
    <n v="1384"/>
    <n v="1.0609420000000001"/>
    <n v="2"/>
    <x v="2"/>
    <x v="4243"/>
    <n v="688.71"/>
    <n v="1"/>
    <s v="112614 Svøm 1 Sal"/>
    <m/>
    <n v="1468.45454"/>
    <n v="0"/>
    <n v="90267"/>
  </r>
  <r>
    <x v="17"/>
    <s v="05368-6"/>
    <s v="TD-Bygning"/>
    <n v="5465"/>
    <m/>
    <s v="TD-Bygning"/>
    <x v="130"/>
    <x v="1"/>
    <x v="3"/>
    <n v="3329.57"/>
    <n v="3"/>
    <s v="2015-05-04"/>
    <n v="0"/>
    <n v="1384"/>
    <n v="2.4055840000000002"/>
    <n v="2"/>
    <x v="2"/>
    <x v="4244"/>
    <n v="1561.58"/>
    <n v="1"/>
    <s v="112643 Svøm 2 Sal"/>
    <m/>
    <n v="3329.5757600000002"/>
    <n v="0"/>
    <n v="90268"/>
  </r>
  <r>
    <x v="17"/>
    <s v="05368-6"/>
    <s v="TD-Bygning"/>
    <n v="5465"/>
    <m/>
    <s v="TD-Bygning"/>
    <x v="130"/>
    <x v="1"/>
    <x v="3"/>
    <n v="16463.2"/>
    <n v="12"/>
    <s v="2015-05-04"/>
    <n v="0"/>
    <n v="1384"/>
    <n v="11.894515999999999"/>
    <n v="2"/>
    <x v="2"/>
    <x v="4245"/>
    <n v="7721.24"/>
    <n v="1"/>
    <s v="EL03 VE01"/>
    <m/>
    <n v="16463.181820000002"/>
    <n v="0"/>
    <n v="57770"/>
  </r>
  <r>
    <x v="17"/>
    <s v="05368-6"/>
    <s v="TD-Bygning"/>
    <n v="5465"/>
    <m/>
    <s v="TD-Bygning"/>
    <x v="130"/>
    <x v="1"/>
    <x v="3"/>
    <n v="62448.95"/>
    <n v="12"/>
    <m/>
    <n v="0"/>
    <n v="1384"/>
    <n v="45.118813000000003"/>
    <n v="2"/>
    <x v="2"/>
    <x v="4246"/>
    <n v="29288.54"/>
    <n v="0"/>
    <s v="3104996"/>
    <s v="74115046041"/>
    <n v="62448.974139999998"/>
    <n v="0"/>
    <n v="58297"/>
  </r>
  <r>
    <x v="17"/>
    <s v="05368-6"/>
    <s v="TD-Bygning"/>
    <n v="5465"/>
    <m/>
    <s v="TD-Bygning"/>
    <x v="130"/>
    <x v="1"/>
    <x v="3"/>
    <n v="392.45"/>
    <n v="3"/>
    <s v="2015-05-04"/>
    <n v="0"/>
    <n v="1384"/>
    <n v="0.28354099999999999"/>
    <n v="2"/>
    <x v="2"/>
    <x v="4247"/>
    <n v="184.07"/>
    <n v="1"/>
    <s v="112579 Nordic Sportscente"/>
    <m/>
    <n v="392.45454000000001"/>
    <n v="0"/>
    <n v="90264"/>
  </r>
  <r>
    <x v="17"/>
    <s v="05368-6"/>
    <s v="TD-Bygning"/>
    <n v="5465"/>
    <m/>
    <s v="TD-Bygning"/>
    <x v="130"/>
    <x v="1"/>
    <x v="3"/>
    <n v="176.43"/>
    <n v="3"/>
    <s v="2015-05-04"/>
    <n v="0"/>
    <n v="1384"/>
    <n v="0.127469"/>
    <n v="2"/>
    <x v="2"/>
    <x v="4248"/>
    <n v="82.74"/>
    <n v="1"/>
    <s v="113957 Køkken"/>
    <m/>
    <n v="176.42424"/>
    <n v="0"/>
    <n v="90266"/>
  </r>
  <r>
    <x v="17"/>
    <s v="05368-6"/>
    <s v="TD-Bygning"/>
    <n v="5465"/>
    <m/>
    <s v="TD-Bygning"/>
    <x v="130"/>
    <x v="1"/>
    <x v="4"/>
    <n v="18553.490000000002"/>
    <n v="11"/>
    <s v="2015-05-04"/>
    <n v="0"/>
    <n v="1384"/>
    <n v="13.404731999999999"/>
    <n v="2"/>
    <x v="2"/>
    <x v="4249"/>
    <n v="8701.58"/>
    <n v="1"/>
    <s v="EL03 VE01"/>
    <m/>
    <n v="18553.491979999999"/>
    <n v="0"/>
    <n v="57770"/>
  </r>
  <r>
    <x v="17"/>
    <s v="05368-6"/>
    <s v="TD-Bygning"/>
    <n v="5465"/>
    <m/>
    <s v="TD-Bygning"/>
    <x v="130"/>
    <x v="1"/>
    <x v="4"/>
    <n v="70345.039999999994"/>
    <n v="12"/>
    <m/>
    <n v="0"/>
    <n v="1384"/>
    <n v="50.823667999999998"/>
    <n v="2"/>
    <x v="2"/>
    <x v="4250"/>
    <n v="32991.86"/>
    <n v="0"/>
    <s v="3104996"/>
    <s v="74115046041"/>
    <n v="70345.050289999999"/>
    <n v="0"/>
    <n v="58297"/>
  </r>
  <r>
    <x v="17"/>
    <s v="05368-6"/>
    <s v="TD-Bygning"/>
    <n v="5465"/>
    <m/>
    <s v="TD-Bygning"/>
    <x v="130"/>
    <x v="1"/>
    <x v="5"/>
    <n v="13629.53"/>
    <n v="12"/>
    <s v="2015-05-04"/>
    <n v="0"/>
    <n v="1384"/>
    <n v="9.8472139999999992"/>
    <n v="2"/>
    <x v="2"/>
    <x v="4251"/>
    <n v="6392.24"/>
    <n v="1"/>
    <s v="EL03 VE01"/>
    <m/>
    <n v="13629.516540000001"/>
    <n v="0"/>
    <n v="57770"/>
  </r>
  <r>
    <x v="17"/>
    <s v="05368-6"/>
    <s v="TD-Bygning"/>
    <n v="5465"/>
    <m/>
    <s v="TD-Bygning"/>
    <x v="130"/>
    <x v="1"/>
    <x v="5"/>
    <n v="63207.28"/>
    <n v="12"/>
    <m/>
    <n v="0"/>
    <n v="1384"/>
    <n v="45.666699999999999"/>
    <n v="2"/>
    <x v="2"/>
    <x v="4252"/>
    <n v="29644.22"/>
    <n v="0"/>
    <s v="3104996"/>
    <s v="74115046041"/>
    <n v="63207.29206"/>
    <n v="0"/>
    <n v="58297"/>
  </r>
  <r>
    <x v="17"/>
    <s v="05368-6"/>
    <s v="TD-Bygning"/>
    <n v="5465"/>
    <m/>
    <s v="TD-Bygning"/>
    <x v="130"/>
    <x v="1"/>
    <x v="6"/>
    <n v="11289"/>
    <n v="12"/>
    <s v="2015-05-04"/>
    <n v="0"/>
    <n v="1384"/>
    <n v="8.1562020000000004"/>
    <n v="2"/>
    <x v="2"/>
    <x v="4253"/>
    <n v="5294.52"/>
    <n v="1"/>
    <s v="EL03 VE01"/>
    <m/>
    <n v="11288.991470000001"/>
    <n v="0"/>
    <n v="57770"/>
  </r>
  <r>
    <x v="17"/>
    <s v="05368-6"/>
    <s v="TD-Bygning"/>
    <n v="5465"/>
    <m/>
    <s v="TD-Bygning"/>
    <x v="130"/>
    <x v="1"/>
    <x v="6"/>
    <n v="67291.899999999994"/>
    <n v="12"/>
    <m/>
    <n v="0"/>
    <n v="1384"/>
    <n v="48.617801999999998"/>
    <n v="2"/>
    <x v="2"/>
    <x v="4254"/>
    <n v="31559.9"/>
    <n v="0"/>
    <s v="3104996"/>
    <s v="74115046041"/>
    <n v="67291.899269999994"/>
    <n v="0"/>
    <n v="58297"/>
  </r>
  <r>
    <x v="17"/>
    <s v="05368-6"/>
    <s v="TD-Bygning"/>
    <n v="5539"/>
    <m/>
    <s v="Tennishal BM"/>
    <x v="130"/>
    <x v="1"/>
    <x v="0"/>
    <n v="16871.78"/>
    <n v="5"/>
    <s v="2015-05-04"/>
    <n v="0"/>
    <n v="1480"/>
    <n v="11.399081000000001"/>
    <n v="2"/>
    <x v="2"/>
    <x v="4255"/>
    <n v="6748.71"/>
    <n v="0"/>
    <s v="P71 EL02 hal"/>
    <m/>
    <n v="16871.78125"/>
    <n v="0"/>
    <n v="58286"/>
  </r>
  <r>
    <x v="17"/>
    <s v="05368-6"/>
    <s v="TD-Bygning"/>
    <n v="5539"/>
    <m/>
    <s v="Tennishal BM"/>
    <x v="130"/>
    <x v="1"/>
    <x v="0"/>
    <n v="3852.4"/>
    <n v="5"/>
    <s v="2015-05-04"/>
    <n v="0"/>
    <n v="1480"/>
    <n v="2.6027969999999998"/>
    <n v="2"/>
    <x v="2"/>
    <x v="4256"/>
    <n v="1540.96"/>
    <n v="0"/>
    <s v="EL04 VE02 hal"/>
    <m/>
    <n v="3852.40625"/>
    <n v="0"/>
    <n v="58287"/>
  </r>
  <r>
    <x v="17"/>
    <s v="05368-6"/>
    <s v="TD-Bygning"/>
    <n v="5539"/>
    <m/>
    <s v="Tennishal BM"/>
    <x v="130"/>
    <x v="1"/>
    <x v="1"/>
    <n v="36990.54"/>
    <n v="12"/>
    <s v="2015-05-04"/>
    <n v="0"/>
    <n v="1480"/>
    <n v="24.991918999999999"/>
    <n v="2"/>
    <x v="2"/>
    <x v="4257"/>
    <n v="14796.22"/>
    <n v="0"/>
    <s v="P71 EL02 hal"/>
    <m/>
    <n v="36990.535109999997"/>
    <n v="0"/>
    <n v="58286"/>
  </r>
  <r>
    <x v="17"/>
    <s v="05368-6"/>
    <s v="TD-Bygning"/>
    <n v="5539"/>
    <m/>
    <s v="Tennishal BM"/>
    <x v="130"/>
    <x v="1"/>
    <x v="1"/>
    <n v="6976.49"/>
    <n v="12"/>
    <s v="2015-05-04"/>
    <n v="0"/>
    <n v="1480"/>
    <n v="4.7135259999999999"/>
    <n v="2"/>
    <x v="2"/>
    <x v="4258"/>
    <n v="2790.59"/>
    <n v="0"/>
    <s v="EL04 VE02 hal"/>
    <m/>
    <n v="6976.4810299999999"/>
    <n v="0"/>
    <n v="58287"/>
  </r>
  <r>
    <x v="17"/>
    <s v="05368-6"/>
    <s v="TD-Bygning"/>
    <n v="5539"/>
    <m/>
    <s v="Tennishal BM"/>
    <x v="130"/>
    <x v="1"/>
    <x v="2"/>
    <n v="11917.73"/>
    <n v="12"/>
    <s v="2015-05-04"/>
    <n v="0"/>
    <n v="1480"/>
    <n v="8.0519759999999998"/>
    <n v="2"/>
    <x v="2"/>
    <x v="4259"/>
    <n v="4767.07"/>
    <n v="0"/>
    <s v="EL04 VE02 hal"/>
    <m/>
    <n v="11917.728160000001"/>
    <n v="0"/>
    <n v="58287"/>
  </r>
  <r>
    <x v="17"/>
    <s v="05368-6"/>
    <s v="TD-Bygning"/>
    <n v="5539"/>
    <m/>
    <s v="Tennishal BM"/>
    <x v="130"/>
    <x v="1"/>
    <x v="2"/>
    <n v="34503.19"/>
    <n v="11"/>
    <s v="2015-05-04"/>
    <n v="0"/>
    <n v="1480"/>
    <n v="23.311391"/>
    <n v="2"/>
    <x v="2"/>
    <x v="4260"/>
    <n v="13801.29"/>
    <n v="0"/>
    <s v="P71 EL02 hal"/>
    <m/>
    <n v="34503.196080000002"/>
    <n v="0"/>
    <n v="58286"/>
  </r>
  <r>
    <x v="17"/>
    <s v="05368-6"/>
    <s v="TD-Bygning"/>
    <n v="5539"/>
    <m/>
    <s v="Tennishal BM"/>
    <x v="130"/>
    <x v="1"/>
    <x v="3"/>
    <n v="29935.55"/>
    <n v="12"/>
    <s v="2015-05-04"/>
    <n v="0"/>
    <n v="1480"/>
    <n v="20.225356000000001"/>
    <n v="2"/>
    <x v="2"/>
    <x v="4261"/>
    <n v="14039.78"/>
    <n v="0"/>
    <s v="EL04 VE02 hal"/>
    <m/>
    <n v="29935.545460000001"/>
    <n v="0"/>
    <n v="58287"/>
  </r>
  <r>
    <x v="17"/>
    <s v="05368-6"/>
    <s v="TD-Bygning"/>
    <n v="5539"/>
    <m/>
    <s v="Tennishal BM"/>
    <x v="130"/>
    <x v="1"/>
    <x v="3"/>
    <n v="34942.959999999999"/>
    <n v="12"/>
    <s v="2015-05-04"/>
    <n v="0"/>
    <n v="1480"/>
    <n v="23.608512000000001"/>
    <n v="2"/>
    <x v="2"/>
    <x v="4262"/>
    <n v="16388.25"/>
    <n v="0"/>
    <s v="P71 EL02 hal"/>
    <m/>
    <n v="34942.939400000003"/>
    <n v="0"/>
    <n v="58286"/>
  </r>
  <r>
    <x v="17"/>
    <s v="05368-6"/>
    <s v="TD-Bygning"/>
    <n v="5539"/>
    <m/>
    <s v="Tennishal BM"/>
    <x v="130"/>
    <x v="1"/>
    <x v="4"/>
    <n v="19145.95"/>
    <n v="12"/>
    <s v="2015-05-04"/>
    <n v="0"/>
    <n v="1480"/>
    <n v="12.935578"/>
    <n v="2"/>
    <x v="2"/>
    <x v="4263"/>
    <n v="8979.42"/>
    <n v="0"/>
    <s v="EL04 VE02 hal"/>
    <m/>
    <n v="19145.932250000002"/>
    <n v="0"/>
    <n v="58287"/>
  </r>
  <r>
    <x v="17"/>
    <s v="04310-9"/>
    <s v="Fuglsang, Farum Hovedgade 84"/>
    <n v="5954"/>
    <m/>
    <s v="Fuglsang"/>
    <x v="135"/>
    <x v="1"/>
    <x v="7"/>
    <n v="17287.990000000002"/>
    <n v="12"/>
    <s v="2011-11-30"/>
    <n v="0"/>
    <n v="475"/>
    <n v="36.388106999999998"/>
    <n v="2"/>
    <x v="2"/>
    <x v="4264"/>
    <n v="6915.19"/>
    <n v="0"/>
    <s v="059999"/>
    <m/>
    <n v="17287.991999999998"/>
    <n v="0"/>
    <n v="59980"/>
  </r>
  <r>
    <x v="17"/>
    <s v="04310-9"/>
    <s v="Fuglsang, Farum Hovedgade 84"/>
    <n v="5954"/>
    <m/>
    <s v="Fuglsang"/>
    <x v="135"/>
    <x v="1"/>
    <x v="7"/>
    <n v="173.93"/>
    <n v="12"/>
    <s v="2011-11-30"/>
    <n v="0"/>
    <n v="475"/>
    <n v="0.366091"/>
    <n v="3"/>
    <x v="0"/>
    <x v="4265"/>
    <n v="139.15"/>
    <n v="0"/>
    <s v="98391706"/>
    <m/>
    <n v="173.935"/>
    <n v="0"/>
    <n v="59982"/>
  </r>
  <r>
    <x v="17"/>
    <s v="04310-9"/>
    <s v="Fuglsang, Farum Hovedgade 84"/>
    <n v="5954"/>
    <m/>
    <s v="Fuglsang"/>
    <x v="135"/>
    <x v="1"/>
    <x v="7"/>
    <n v="66378.14"/>
    <n v="12"/>
    <s v="2011-12-30"/>
    <n v="0"/>
    <n v="475"/>
    <n v="139.71403900000001"/>
    <n v="1"/>
    <x v="4"/>
    <x v="4266"/>
    <n v="16700.18"/>
    <n v="0"/>
    <s v="1203138"/>
    <s v="98001988648"/>
    <n v="6146.125"/>
    <n v="0"/>
    <n v="59981"/>
  </r>
  <r>
    <x v="17"/>
    <s v="03888-1"/>
    <s v="Furesøgård - UDLEJET"/>
    <n v="5429"/>
    <m/>
    <s v="Furesøgård - UDLEJET"/>
    <x v="136"/>
    <x v="1"/>
    <x v="7"/>
    <n v="41464.589999999997"/>
    <n v="12"/>
    <s v="2006-03-15"/>
    <n v="0"/>
    <n v="1747"/>
    <n v="23.733381000000001"/>
    <n v="2"/>
    <x v="2"/>
    <x v="4267"/>
    <n v="16585.830000000002"/>
    <n v="0"/>
    <s v="1004739"/>
    <s v="74111471663/74113768662"/>
    <n v="41464.58"/>
    <n v="0"/>
    <n v="57408"/>
  </r>
  <r>
    <x v="17"/>
    <s v="03888-1"/>
    <s v="Furesøgård - UDLEJET"/>
    <n v="5431"/>
    <m/>
    <s v="Stållade"/>
    <x v="136"/>
    <x v="1"/>
    <x v="7"/>
    <n v="17341.77"/>
    <n v="4"/>
    <s v="2014-10-20"/>
    <n v="0"/>
    <n v="640"/>
    <n v="27.092282000000001"/>
    <n v="2"/>
    <x v="2"/>
    <x v="4268"/>
    <n v="6936.72"/>
    <n v="0"/>
    <s v="787490"/>
    <m/>
    <n v="17341.78314"/>
    <n v="0"/>
    <n v="57417"/>
  </r>
  <r>
    <x v="17"/>
    <s v="03888-1"/>
    <s v="Furesøgård - UDLEJET"/>
    <n v="5429"/>
    <m/>
    <s v="Furesøgård - UDLEJET"/>
    <x v="136"/>
    <x v="1"/>
    <x v="7"/>
    <n v="453.99"/>
    <n v="12"/>
    <m/>
    <n v="0"/>
    <n v="1747"/>
    <n v="0.259853"/>
    <n v="3"/>
    <x v="0"/>
    <x v="4269"/>
    <n v="363.18"/>
    <n v="0"/>
    <s v="04016440"/>
    <m/>
    <n v="453.988"/>
    <n v="0"/>
    <n v="57410"/>
  </r>
  <r>
    <x v="17"/>
    <s v="03888-1"/>
    <s v="Furesøgård - UDLEJET"/>
    <n v="5429"/>
    <m/>
    <s v="Furesøgård - UDLEJET"/>
    <x v="136"/>
    <x v="1"/>
    <x v="7"/>
    <n v="92634.29"/>
    <n v="12"/>
    <s v="2006-03-15"/>
    <n v="0"/>
    <n v="1747"/>
    <n v="53.021743999999998"/>
    <n v="1"/>
    <x v="4"/>
    <x v="4270"/>
    <n v="23368.34"/>
    <n v="0"/>
    <s v="11004538"/>
    <s v="98001985401"/>
    <n v="8577.25"/>
    <n v="0"/>
    <n v="57409"/>
  </r>
  <r>
    <x v="17"/>
    <s v="000254"/>
    <s v="Golfklub Kiosk"/>
    <n v="13512"/>
    <s v="0"/>
    <s v="Golfklub og ridecenter"/>
    <x v="134"/>
    <x v="1"/>
    <x v="7"/>
    <n v="2256.81"/>
    <n v="4"/>
    <s v="2014-12-01"/>
    <n v="0"/>
    <n v="1"/>
    <n v="2051.645454"/>
    <n v="2"/>
    <x v="2"/>
    <x v="4271"/>
    <n v="677.06"/>
    <n v="0"/>
    <s v="1046146"/>
    <s v="74111921601"/>
    <n v="2256.8041400000002"/>
    <n v="0"/>
    <n v="90398"/>
  </r>
  <r>
    <x v="17"/>
    <s v="05359-7"/>
    <s v="Idræt Fritid"/>
    <n v="5265"/>
    <m/>
    <s v="Idræt Fritid"/>
    <x v="137"/>
    <x v="1"/>
    <x v="7"/>
    <n v="22484.39"/>
    <n v="12"/>
    <s v="2005-05-01"/>
    <n v="0"/>
    <n v="585"/>
    <n v="38.428285000000002"/>
    <n v="2"/>
    <x v="2"/>
    <x v="4272"/>
    <n v="8993.75"/>
    <n v="0"/>
    <s v="1012836"/>
    <s v="74114304265"/>
    <n v="22484.366000000002"/>
    <n v="0"/>
    <n v="56773"/>
  </r>
  <r>
    <x v="17"/>
    <s v="05359-7"/>
    <s v="Idræt Fritid"/>
    <n v="5265"/>
    <m/>
    <s v="Idræt Fritid"/>
    <x v="137"/>
    <x v="1"/>
    <x v="7"/>
    <n v="155.56"/>
    <n v="12"/>
    <s v="2005-05-01"/>
    <n v="0"/>
    <n v="585"/>
    <n v="0.26586900000000002"/>
    <n v="3"/>
    <x v="0"/>
    <x v="4273"/>
    <n v="124.43"/>
    <n v="0"/>
    <s v="BK"/>
    <m/>
    <n v="155.55199999999999"/>
    <n v="0"/>
    <n v="56775"/>
  </r>
  <r>
    <x v="17"/>
    <s v="05359-7"/>
    <s v="Idræt Fritid"/>
    <n v="5265"/>
    <m/>
    <s v="Idræt Fritid"/>
    <x v="137"/>
    <x v="1"/>
    <x v="7"/>
    <n v="58965"/>
    <n v="12"/>
    <s v="2005-09-01"/>
    <n v="0"/>
    <n v="585"/>
    <n v="100.777644"/>
    <n v="1"/>
    <x v="1"/>
    <x v="4274"/>
    <n v="2992813.11"/>
    <n v="0"/>
    <s v="4824609"/>
    <m/>
    <n v="58965"/>
    <n v="0"/>
    <n v="56774"/>
  </r>
  <r>
    <x v="17"/>
    <s v="05359-7"/>
    <s v="Idræt Fritid"/>
    <n v="5265"/>
    <m/>
    <s v="Idræt Fritid"/>
    <x v="137"/>
    <x v="1"/>
    <x v="7"/>
    <n v="52978.36"/>
    <n v="12"/>
    <s v="2005-09-01"/>
    <n v="0"/>
    <n v="585"/>
    <n v="90.545821000000004"/>
    <n v="1"/>
    <x v="3"/>
    <x v="4275"/>
    <n v="83231.570000000007"/>
    <n v="1"/>
    <s v="4824609"/>
    <m/>
    <n v="1518.44"/>
    <n v="0"/>
    <n v="56999"/>
  </r>
  <r>
    <x v="17"/>
    <s v="5359-7"/>
    <s v="Idræt Klub"/>
    <n v="5266"/>
    <m/>
    <s v="Idræt Klub"/>
    <x v="138"/>
    <x v="1"/>
    <x v="7"/>
    <n v="31512.98"/>
    <n v="12"/>
    <s v="2005-05-01"/>
    <n v="0"/>
    <n v="585"/>
    <n v="53.859135000000002"/>
    <n v="2"/>
    <x v="2"/>
    <x v="4276"/>
    <n v="12605.19"/>
    <n v="0"/>
    <s v="548872"/>
    <m/>
    <n v="31512.959999999999"/>
    <n v="0"/>
    <n v="56782"/>
  </r>
  <r>
    <x v="17"/>
    <s v="5359-7"/>
    <s v="Idræt Klub"/>
    <n v="5266"/>
    <m/>
    <s v="Idræt Klub"/>
    <x v="138"/>
    <x v="1"/>
    <x v="7"/>
    <n v="161.05000000000001"/>
    <n v="12"/>
    <s v="2005-05-01"/>
    <n v="0"/>
    <n v="585"/>
    <n v="0.275252"/>
    <n v="3"/>
    <x v="0"/>
    <x v="4277"/>
    <n v="128.83000000000001"/>
    <n v="0"/>
    <s v="BK 548872"/>
    <m/>
    <n v="161.04"/>
    <n v="0"/>
    <n v="56781"/>
  </r>
  <r>
    <x v="17"/>
    <s v="5359-7"/>
    <s v="Idræt Klub"/>
    <n v="5266"/>
    <m/>
    <s v="Idræt Klub"/>
    <x v="138"/>
    <x v="1"/>
    <x v="7"/>
    <n v="51188"/>
    <n v="12"/>
    <s v="2005-09-01"/>
    <n v="0"/>
    <n v="585"/>
    <n v="87.485899000000003"/>
    <n v="1"/>
    <x v="1"/>
    <x v="4278"/>
    <n v="5483179.7999999998"/>
    <n v="0"/>
    <s v="4824607"/>
    <m/>
    <n v="51188"/>
    <n v="0"/>
    <n v="56780"/>
  </r>
  <r>
    <x v="17"/>
    <s v="5359-7"/>
    <s v="Idræt Klub"/>
    <n v="5266"/>
    <m/>
    <s v="Idræt Klub"/>
    <x v="138"/>
    <x v="1"/>
    <x v="7"/>
    <n v="41208.559999999998"/>
    <n v="12"/>
    <s v="2005-09-01"/>
    <n v="0"/>
    <n v="585"/>
    <n v="70.429942999999994"/>
    <n v="1"/>
    <x v="3"/>
    <x v="4279"/>
    <n v="130009.13"/>
    <n v="1"/>
    <s v="4824607"/>
    <m/>
    <n v="1181.0999999999999"/>
    <n v="0"/>
    <n v="57000"/>
  </r>
  <r>
    <x v="17"/>
    <s v="05368-6"/>
    <s v="TD-Bygning"/>
    <n v="5539"/>
    <m/>
    <s v="Tennishal BM"/>
    <x v="130"/>
    <x v="1"/>
    <x v="4"/>
    <n v="38249.71"/>
    <n v="12"/>
    <s v="2015-05-04"/>
    <n v="0"/>
    <n v="1480"/>
    <n v="25.842652000000001"/>
    <n v="2"/>
    <x v="2"/>
    <x v="4280"/>
    <n v="17939.099999999999"/>
    <n v="0"/>
    <s v="P71 EL02 hal"/>
    <m/>
    <n v="38249.71746"/>
    <n v="0"/>
    <n v="58286"/>
  </r>
  <r>
    <x v="17"/>
    <s v="05368-6"/>
    <s v="TD-Bygning"/>
    <n v="5539"/>
    <m/>
    <s v="Tennishal BM"/>
    <x v="130"/>
    <x v="1"/>
    <x v="5"/>
    <n v="35035.47"/>
    <n v="12"/>
    <s v="2015-05-04"/>
    <n v="0"/>
    <n v="1480"/>
    <n v="23.671015000000001"/>
    <n v="2"/>
    <x v="2"/>
    <x v="4281"/>
    <n v="16431.62"/>
    <n v="0"/>
    <s v="P71 EL02 hal"/>
    <m/>
    <n v="35035.457730000002"/>
    <n v="0"/>
    <n v="58286"/>
  </r>
  <r>
    <x v="17"/>
    <s v="05368-6"/>
    <s v="TD-Bygning"/>
    <n v="5539"/>
    <m/>
    <s v="Tennishal BM"/>
    <x v="130"/>
    <x v="1"/>
    <x v="5"/>
    <n v="27410.58"/>
    <n v="12"/>
    <s v="2015-05-04"/>
    <n v="0"/>
    <n v="1480"/>
    <n v="18.519410000000001"/>
    <n v="2"/>
    <x v="2"/>
    <x v="4282"/>
    <n v="12855.56"/>
    <n v="0"/>
    <s v="EL04 VE02 hal"/>
    <m/>
    <n v="27410.577209999999"/>
    <n v="0"/>
    <n v="58287"/>
  </r>
  <r>
    <x v="17"/>
    <s v="05368-6"/>
    <s v="TD-Bygning"/>
    <n v="5539"/>
    <m/>
    <s v="Tennishal BM"/>
    <x v="130"/>
    <x v="1"/>
    <x v="6"/>
    <n v="13338.28"/>
    <n v="12"/>
    <s v="2015-05-04"/>
    <n v="0"/>
    <n v="1480"/>
    <n v="9.0117419999999999"/>
    <n v="2"/>
    <x v="2"/>
    <x v="4283"/>
    <n v="6255.66"/>
    <n v="0"/>
    <s v="EL04 VE02 hal"/>
    <m/>
    <n v="13338.278399999999"/>
    <n v="0"/>
    <n v="58287"/>
  </r>
  <r>
    <x v="17"/>
    <s v="05368-6"/>
    <s v="TD-Bygning"/>
    <n v="5539"/>
    <m/>
    <s v="Tennishal BM"/>
    <x v="130"/>
    <x v="1"/>
    <x v="6"/>
    <n v="34261.980000000003"/>
    <n v="12"/>
    <s v="2015-05-04"/>
    <n v="0"/>
    <n v="1480"/>
    <n v="23.148422"/>
    <n v="2"/>
    <x v="2"/>
    <x v="4284"/>
    <n v="16068.85"/>
    <n v="0"/>
    <s v="P71 EL02 hal"/>
    <m/>
    <n v="34261.976329999998"/>
    <n v="0"/>
    <n v="58286"/>
  </r>
  <r>
    <x v="17"/>
    <m/>
    <s v="Værløse Bio Bymidten 44"/>
    <n v="13825"/>
    <m/>
    <s v="Værløse Bio"/>
    <x v="131"/>
    <x v="1"/>
    <x v="0"/>
    <n v="26852.39"/>
    <n v="5"/>
    <s v="2013-09-30"/>
    <n v="0"/>
    <n v="739"/>
    <n v="36.331200000000003"/>
    <n v="2"/>
    <x v="2"/>
    <x v="4285"/>
    <n v="8055.72"/>
    <n v="0"/>
    <s v="4203804"/>
    <s v="74110495646"/>
    <n v="26852.384999999998"/>
    <n v="0"/>
    <n v="91847"/>
  </r>
  <r>
    <x v="17"/>
    <m/>
    <s v="Langkærgård"/>
    <n v="11035"/>
    <m/>
    <s v="Solhuset"/>
    <x v="129"/>
    <x v="1"/>
    <x v="7"/>
    <n v="101.05"/>
    <n v="12"/>
    <s v="2012-02-29"/>
    <n v="0"/>
    <n v="225"/>
    <n v="0.448911"/>
    <n v="3"/>
    <x v="0"/>
    <x v="4286"/>
    <n v="80.849999999999994"/>
    <n v="0"/>
    <s v="44109"/>
    <m/>
    <n v="101.06599"/>
    <n v="0"/>
    <n v="79963"/>
  </r>
  <r>
    <x v="17"/>
    <m/>
    <s v="Langkærgård"/>
    <n v="11035"/>
    <m/>
    <s v="Solhuset"/>
    <x v="129"/>
    <x v="1"/>
    <x v="7"/>
    <n v="30148.01"/>
    <n v="12"/>
    <s v="2012-02-29"/>
    <n v="0"/>
    <n v="225"/>
    <n v="133.93163000000001"/>
    <n v="1"/>
    <x v="1"/>
    <x v="4287"/>
    <n v="2307.84"/>
    <n v="0"/>
    <s v="7299730"/>
    <m/>
    <n v="30148"/>
    <n v="0"/>
    <n v="79964"/>
  </r>
  <r>
    <x v="17"/>
    <m/>
    <s v="Langkærgård"/>
    <n v="11035"/>
    <m/>
    <s v="Solhuset"/>
    <x v="129"/>
    <x v="1"/>
    <x v="7"/>
    <n v="3395.44"/>
    <n v="12"/>
    <s v="2012-02-29"/>
    <n v="0"/>
    <n v="225"/>
    <n v="15.08414"/>
    <n v="2"/>
    <x v="2"/>
    <x v="4288"/>
    <n v="1018.64"/>
    <n v="0"/>
    <s v="798307"/>
    <s v="74114755326"/>
    <n v="3395.4379199999998"/>
    <n v="0"/>
    <n v="79962"/>
  </r>
  <r>
    <x v="17"/>
    <s v="1937"/>
    <s v="Lerstedet 1"/>
    <n v="13666"/>
    <s v="0"/>
    <s v="Lerstedet 1A-E"/>
    <x v="139"/>
    <x v="1"/>
    <x v="7"/>
    <n v="284.04000000000002"/>
    <n v="1"/>
    <s v="2014-03-28"/>
    <n v="0"/>
    <n v="1155"/>
    <n v="0.24590000000000001"/>
    <n v="2"/>
    <x v="2"/>
    <x v="4289"/>
    <n v="85.21"/>
    <n v="0"/>
    <s v="3105690 vandværk"/>
    <s v="74111859508"/>
    <n v="284.03669000000002"/>
    <n v="0"/>
    <n v="91259"/>
  </r>
  <r>
    <x v="17"/>
    <s v="1937"/>
    <s v="Lerstedet 1"/>
    <n v="13666"/>
    <s v="0"/>
    <s v="Lerstedet 1A-E"/>
    <x v="139"/>
    <x v="1"/>
    <x v="7"/>
    <n v="12797.45"/>
    <n v="2"/>
    <s v="2014-04-07"/>
    <n v="0"/>
    <n v="1155"/>
    <n v="11.079084"/>
    <n v="2"/>
    <x v="2"/>
    <x v="4290"/>
    <n v="3839.24"/>
    <n v="0"/>
    <s v="1000280 50564 boliger"/>
    <s v="74115276493"/>
    <n v="12797.44954"/>
    <n v="0"/>
    <n v="91264"/>
  </r>
  <r>
    <x v="17"/>
    <s v="1937"/>
    <s v="Lerstedet 1"/>
    <n v="13666"/>
    <s v="0"/>
    <s v="Lerstedet 1A-E"/>
    <x v="139"/>
    <x v="1"/>
    <x v="7"/>
    <n v="14479.16"/>
    <n v="9"/>
    <m/>
    <n v="0"/>
    <n v="1155"/>
    <n v="12.534983"/>
    <n v="2"/>
    <x v="2"/>
    <x v="4291"/>
    <n v="4343.74"/>
    <n v="0"/>
    <s v="3100363 Boliger"/>
    <m/>
    <n v="14479.152"/>
    <n v="0"/>
    <n v="96149"/>
  </r>
  <r>
    <x v="17"/>
    <s v="1937"/>
    <s v="Lerstedet 1"/>
    <n v="13666"/>
    <s v="0"/>
    <s v="Lerstedet 1A-E"/>
    <x v="139"/>
    <x v="1"/>
    <x v="7"/>
    <n v="240"/>
    <n v="2"/>
    <s v="2014-04-09"/>
    <n v="0"/>
    <n v="1155"/>
    <n v="0.20777399999999999"/>
    <n v="2"/>
    <x v="2"/>
    <x v="4292"/>
    <n v="72"/>
    <n v="0"/>
    <s v="3100363 Boliger"/>
    <m/>
    <n v="240"/>
    <n v="0"/>
    <n v="96084"/>
  </r>
  <r>
    <x v="17"/>
    <s v="1937"/>
    <s v="Lerstedet 1"/>
    <n v="13666"/>
    <s v="0"/>
    <s v="Lerstedet 1A-E"/>
    <x v="139"/>
    <x v="1"/>
    <x v="7"/>
    <n v="394.14"/>
    <n v="9"/>
    <m/>
    <n v="0"/>
    <n v="1155"/>
    <n v="0.34121699999999999"/>
    <n v="2"/>
    <x v="2"/>
    <x v="4293"/>
    <n v="118.24"/>
    <n v="0"/>
    <s v="3105690 vandværk"/>
    <s v="74111859508"/>
    <n v="394.14598000000001"/>
    <n v="0"/>
    <n v="96150"/>
  </r>
  <r>
    <x v="17"/>
    <s v="1937"/>
    <s v="Lerstedet 1"/>
    <n v="13666"/>
    <s v="0"/>
    <s v="Lerstedet 1A-E"/>
    <x v="139"/>
    <x v="1"/>
    <x v="7"/>
    <n v="128.91"/>
    <n v="4"/>
    <s v="2014-12-10"/>
    <n v="0"/>
    <n v="1155"/>
    <n v="0.1116"/>
    <n v="3"/>
    <x v="0"/>
    <x v="4294"/>
    <n v="103.14"/>
    <n v="0"/>
    <s v="02pc501321"/>
    <m/>
    <n v="128.90290999999999"/>
    <n v="0"/>
    <n v="91260"/>
  </r>
  <r>
    <x v="17"/>
    <s v="7662"/>
    <s v="Lille Bjørn, Kålund 24"/>
    <n v="13868"/>
    <s v="0"/>
    <s v="Lille Bjørn"/>
    <x v="140"/>
    <x v="1"/>
    <x v="7"/>
    <n v="12100.11"/>
    <n v="11"/>
    <s v="2014-03-31"/>
    <n v="0"/>
    <n v="867"/>
    <n v="13.954688000000001"/>
    <n v="2"/>
    <x v="2"/>
    <x v="4295"/>
    <n v="3630.03"/>
    <n v="0"/>
    <s v="4203708"/>
    <s v="74111459890"/>
    <n v="12100.096820000001"/>
    <n v="0"/>
    <n v="92216"/>
  </r>
  <r>
    <x v="17"/>
    <s v="7662"/>
    <s v="Lille Bjørn, Kålund 24"/>
    <n v="13868"/>
    <s v="0"/>
    <s v="Lille Bjørn"/>
    <x v="140"/>
    <x v="1"/>
    <x v="7"/>
    <n v="320.97000000000003"/>
    <n v="11"/>
    <s v="2014-03-31"/>
    <n v="0"/>
    <n v="867"/>
    <n v="0.37016399999999999"/>
    <n v="3"/>
    <x v="0"/>
    <x v="4296"/>
    <n v="256.8"/>
    <n v="0"/>
    <s v="06 452924"/>
    <m/>
    <n v="320.98516999999998"/>
    <n v="0"/>
    <n v="92217"/>
  </r>
  <r>
    <x v="17"/>
    <s v="7662"/>
    <s v="Lille Bjørn, Kålund 24"/>
    <n v="13868"/>
    <s v="0"/>
    <s v="Lille Bjørn"/>
    <x v="140"/>
    <x v="1"/>
    <x v="7"/>
    <n v="142359.57"/>
    <n v="12"/>
    <s v="2013-08-31"/>
    <n v="0"/>
    <n v="867"/>
    <n v="164.17895200000001"/>
    <n v="1"/>
    <x v="4"/>
    <x v="4297"/>
    <n v="35722.1"/>
    <n v="0"/>
    <s v="3100441"/>
    <m/>
    <n v="13181.44"/>
    <n v="0"/>
    <n v="92670"/>
  </r>
  <r>
    <x v="17"/>
    <m/>
    <s v="Værløse Bio Bymidten 44"/>
    <n v="13825"/>
    <m/>
    <s v="Værløse Bio"/>
    <x v="131"/>
    <x v="1"/>
    <x v="0"/>
    <n v="11276.33"/>
    <n v="5"/>
    <s v="2013-09-30"/>
    <n v="0"/>
    <n v="739"/>
    <n v="15.256838999999999"/>
    <n v="2"/>
    <x v="2"/>
    <x v="4298"/>
    <n v="3382.9"/>
    <n v="0"/>
    <s v="4029504"/>
    <s v="74113122839"/>
    <n v="11276.331"/>
    <n v="0"/>
    <n v="94053"/>
  </r>
  <r>
    <x v="17"/>
    <m/>
    <s v="Værløse Bio Bymidten 44"/>
    <n v="13825"/>
    <m/>
    <s v="Værløse Bio"/>
    <x v="131"/>
    <x v="1"/>
    <x v="1"/>
    <n v="72954.58"/>
    <n v="8"/>
    <s v="2013-09-30"/>
    <n v="0"/>
    <n v="739"/>
    <n v="98.707318999999998"/>
    <n v="2"/>
    <x v="2"/>
    <x v="4299"/>
    <n v="21886.38"/>
    <n v="0"/>
    <s v="4203804"/>
    <s v="74110495646"/>
    <n v="72954.59143"/>
    <n v="0"/>
    <n v="91847"/>
  </r>
  <r>
    <x v="17"/>
    <m/>
    <s v="Værløse Bio Bymidten 44"/>
    <n v="13825"/>
    <m/>
    <s v="Værløse Bio"/>
    <x v="131"/>
    <x v="1"/>
    <x v="1"/>
    <n v="26799.919999999998"/>
    <n v="9"/>
    <s v="2013-09-30"/>
    <n v="0"/>
    <n v="739"/>
    <n v="36.260207999999999"/>
    <n v="2"/>
    <x v="2"/>
    <x v="4300"/>
    <n v="8039.96"/>
    <n v="0"/>
    <s v="4029504"/>
    <s v="74113122839"/>
    <n v="26799.924620000002"/>
    <n v="0"/>
    <n v="94053"/>
  </r>
  <r>
    <x v="17"/>
    <m/>
    <s v="Værløse Bio Bymidten 44"/>
    <n v="13825"/>
    <m/>
    <s v="Værløse Bio"/>
    <x v="131"/>
    <x v="1"/>
    <x v="2"/>
    <n v="62409.3"/>
    <n v="2"/>
    <s v="2013-09-30"/>
    <n v="0"/>
    <n v="739"/>
    <n v="84.439588000000001"/>
    <n v="2"/>
    <x v="2"/>
    <x v="4301"/>
    <n v="24963.73"/>
    <n v="0"/>
    <s v="4203804"/>
    <s v="74110495646"/>
    <n v="62409.305"/>
    <n v="0"/>
    <n v="91847"/>
  </r>
  <r>
    <x v="17"/>
    <m/>
    <s v="Værløse Bio Bymidten 44"/>
    <n v="13825"/>
    <m/>
    <s v="Værløse Bio"/>
    <x v="131"/>
    <x v="1"/>
    <x v="2"/>
    <n v="27479.83"/>
    <n v="1"/>
    <s v="2013-09-30"/>
    <n v="0"/>
    <n v="739"/>
    <n v="37.180123999999999"/>
    <n v="2"/>
    <x v="2"/>
    <x v="4302"/>
    <n v="10991.95"/>
    <n v="0"/>
    <s v="4029504"/>
    <s v="74113122839"/>
    <n v="27479.844130000001"/>
    <n v="0"/>
    <n v="94053"/>
  </r>
  <r>
    <x v="17"/>
    <m/>
    <s v="Værløse Bio Bymidten 44"/>
    <n v="13825"/>
    <m/>
    <s v="Værløse Bio"/>
    <x v="131"/>
    <x v="1"/>
    <x v="3"/>
    <n v="62308.24"/>
    <n v="0"/>
    <s v="2013-09-30"/>
    <n v="0"/>
    <n v="739"/>
    <n v="84.302853999999996"/>
    <n v="2"/>
    <x v="2"/>
    <x v="4303"/>
    <n v="29222.61"/>
    <n v="0"/>
    <s v="4203804"/>
    <s v="74110495646"/>
    <n v="62308.263720000003"/>
    <n v="0"/>
    <n v="91847"/>
  </r>
  <r>
    <x v="17"/>
    <m/>
    <s v="Værløse Bio Bymidten 44"/>
    <n v="13825"/>
    <m/>
    <s v="Værløse Bio"/>
    <x v="131"/>
    <x v="1"/>
    <x v="3"/>
    <n v="27137.15"/>
    <n v="0"/>
    <s v="2013-09-30"/>
    <n v="0"/>
    <n v="739"/>
    <n v="36.716479"/>
    <n v="2"/>
    <x v="2"/>
    <x v="4304"/>
    <n v="12727.31"/>
    <n v="0"/>
    <s v="4029504"/>
    <s v="74113122839"/>
    <n v="27137.12399"/>
    <n v="0"/>
    <n v="94053"/>
  </r>
  <r>
    <x v="17"/>
    <m/>
    <s v="Værløse Bio Bymidten 44"/>
    <n v="13825"/>
    <m/>
    <s v="Værløse Bio"/>
    <x v="131"/>
    <x v="1"/>
    <x v="4"/>
    <n v="65743.3"/>
    <n v="1"/>
    <s v="2013-09-30"/>
    <n v="0"/>
    <n v="739"/>
    <n v="88.950479999999999"/>
    <n v="2"/>
    <x v="2"/>
    <x v="4305"/>
    <n v="30833.58"/>
    <n v="0"/>
    <s v="4203804"/>
    <s v="74110495646"/>
    <n v="65743.293950000007"/>
    <n v="0"/>
    <n v="91847"/>
  </r>
  <r>
    <x v="17"/>
    <m/>
    <s v="Værløse Bio Bymidten 44"/>
    <n v="13825"/>
    <m/>
    <s v="Værløse Bio"/>
    <x v="131"/>
    <x v="1"/>
    <x v="4"/>
    <n v="23279.59"/>
    <n v="1"/>
    <s v="2013-09-30"/>
    <n v="0"/>
    <n v="739"/>
    <n v="31.497212000000001"/>
    <n v="2"/>
    <x v="2"/>
    <x v="4306"/>
    <n v="10918.11"/>
    <n v="0"/>
    <s v="4029504"/>
    <s v="74113122839"/>
    <n v="23279.597590000001"/>
    <n v="0"/>
    <n v="94053"/>
  </r>
  <r>
    <x v="17"/>
    <m/>
    <s v="Værløse Bio Bymidten 44"/>
    <n v="13825"/>
    <m/>
    <s v="Værløse Bio"/>
    <x v="131"/>
    <x v="1"/>
    <x v="5"/>
    <n v="56229.919999999998"/>
    <n v="4"/>
    <s v="2013-09-30"/>
    <n v="0"/>
    <n v="739"/>
    <n v="76.078906000000003"/>
    <n v="2"/>
    <x v="2"/>
    <x v="4307"/>
    <n v="26371.83"/>
    <n v="0"/>
    <s v="4203804"/>
    <s v="74110495646"/>
    <n v="56229.926449999999"/>
    <n v="0"/>
    <n v="91847"/>
  </r>
  <r>
    <x v="17"/>
    <m/>
    <s v="Værløse Bio Bymidten 44"/>
    <n v="13825"/>
    <m/>
    <s v="Værløse Bio"/>
    <x v="131"/>
    <x v="1"/>
    <x v="5"/>
    <n v="20774.400000000001"/>
    <n v="1"/>
    <s v="2013-09-30"/>
    <n v="0"/>
    <n v="739"/>
    <n v="28.107697999999999"/>
    <n v="2"/>
    <x v="2"/>
    <x v="4308"/>
    <n v="9743.2099999999991"/>
    <n v="0"/>
    <s v="4029504"/>
    <s v="74113122839"/>
    <n v="20774.404589999998"/>
    <n v="0"/>
    <n v="94053"/>
  </r>
  <r>
    <x v="17"/>
    <m/>
    <s v="Værløse Bio Bymidten 44"/>
    <n v="13825"/>
    <m/>
    <s v="Værløse Bio"/>
    <x v="131"/>
    <x v="1"/>
    <x v="6"/>
    <n v="56253.599999999999"/>
    <n v="0"/>
    <s v="2013-09-30"/>
    <n v="0"/>
    <n v="739"/>
    <n v="76.110945000000001"/>
    <n v="2"/>
    <x v="2"/>
    <x v="4309"/>
    <n v="26382.95"/>
    <n v="0"/>
    <s v="4203804"/>
    <s v="74110495646"/>
    <n v="56253.619019999998"/>
    <n v="0"/>
    <n v="91847"/>
  </r>
  <r>
    <x v="17"/>
    <m/>
    <s v="Værløse Bio Bymidten 44"/>
    <n v="13825"/>
    <m/>
    <s v="Værløse Bio"/>
    <x v="131"/>
    <x v="1"/>
    <x v="6"/>
    <n v="20824.439999999999"/>
    <n v="0"/>
    <s v="2013-09-30"/>
    <n v="0"/>
    <n v="739"/>
    <n v="28.175401999999998"/>
    <n v="2"/>
    <x v="2"/>
    <x v="4310"/>
    <n v="9766.67"/>
    <n v="0"/>
    <s v="4029504"/>
    <s v="74113122839"/>
    <n v="20824.448710000001"/>
    <n v="0"/>
    <n v="94053"/>
  </r>
  <r>
    <x v="17"/>
    <m/>
    <s v="Ballerupvej 29 - Udlejet"/>
    <n v="10275"/>
    <m/>
    <s v="Ballerupvej 29"/>
    <x v="125"/>
    <x v="1"/>
    <x v="0"/>
    <n v="171.7"/>
    <n v="5"/>
    <s v="2011-11-29"/>
    <n v="0"/>
    <n v="551"/>
    <n v="0.311558"/>
    <n v="3"/>
    <x v="0"/>
    <x v="4311"/>
    <n v="137.36000000000001"/>
    <n v="0"/>
    <s v="40790"/>
    <m/>
    <n v="171.7"/>
    <n v="0"/>
    <n v="77669"/>
  </r>
  <r>
    <x v="17"/>
    <m/>
    <s v="Ballerupvej 29 - Udlejet"/>
    <n v="10275"/>
    <m/>
    <s v="Ballerupvej 29"/>
    <x v="125"/>
    <x v="1"/>
    <x v="1"/>
    <n v="271"/>
    <n v="12"/>
    <s v="2011-11-29"/>
    <n v="0"/>
    <n v="551"/>
    <n v="0.49174299999999999"/>
    <n v="3"/>
    <x v="0"/>
    <x v="4312"/>
    <n v="216.8"/>
    <n v="0"/>
    <s v="40790"/>
    <m/>
    <n v="271"/>
    <n v="0"/>
    <n v="77669"/>
  </r>
  <r>
    <x v="17"/>
    <m/>
    <s v="Ballerupvej 29 - Udlejet"/>
    <n v="10275"/>
    <m/>
    <s v="Ballerupvej 29"/>
    <x v="125"/>
    <x v="1"/>
    <x v="2"/>
    <n v="318.89999999999998"/>
    <n v="12"/>
    <s v="2011-11-29"/>
    <n v="0"/>
    <n v="551"/>
    <n v="0.57865999999999995"/>
    <n v="3"/>
    <x v="0"/>
    <x v="4313"/>
    <n v="255.12"/>
    <n v="0"/>
    <s v="40790"/>
    <m/>
    <n v="318.89999999999998"/>
    <n v="0"/>
    <n v="77669"/>
  </r>
  <r>
    <x v="17"/>
    <m/>
    <s v="Ballerupvej 29 - Udlejet"/>
    <n v="10275"/>
    <m/>
    <s v="Ballerupvej 29"/>
    <x v="125"/>
    <x v="1"/>
    <x v="3"/>
    <n v="597.48"/>
    <n v="5"/>
    <s v="2011-11-29"/>
    <n v="0"/>
    <n v="551"/>
    <n v="1.084158"/>
    <n v="3"/>
    <x v="0"/>
    <x v="4314"/>
    <n v="477.98"/>
    <n v="0"/>
    <s v="40790"/>
    <m/>
    <n v="597.50000999999997"/>
    <n v="0"/>
    <n v="77669"/>
  </r>
  <r>
    <x v="17"/>
    <m/>
    <s v="Ballerupvej 29 - Udlejet"/>
    <n v="10275"/>
    <m/>
    <s v="Ballerupvej 29"/>
    <x v="125"/>
    <x v="1"/>
    <x v="4"/>
    <n v="639.63"/>
    <n v="3"/>
    <s v="2011-11-29"/>
    <n v="0"/>
    <n v="551"/>
    <n v="1.160642"/>
    <n v="3"/>
    <x v="0"/>
    <x v="4315"/>
    <n v="511.73"/>
    <n v="0"/>
    <s v="40790"/>
    <m/>
    <n v="639.63999000000001"/>
    <n v="0"/>
    <n v="77669"/>
  </r>
  <r>
    <x v="17"/>
    <m/>
    <s v="Ballerupvej 29 - Udlejet"/>
    <n v="10275"/>
    <m/>
    <s v="Ballerupvej 29"/>
    <x v="125"/>
    <x v="1"/>
    <x v="5"/>
    <n v="632.91"/>
    <n v="2"/>
    <s v="2011-11-29"/>
    <n v="0"/>
    <n v="551"/>
    <n v="1.1484479999999999"/>
    <n v="3"/>
    <x v="0"/>
    <x v="4316"/>
    <n v="506.34"/>
    <n v="0"/>
    <s v="40790"/>
    <m/>
    <n v="632.90545999999995"/>
    <n v="0"/>
    <n v="77669"/>
  </r>
  <r>
    <x v="17"/>
    <m/>
    <s v="Ballerupvej 29 - Udlejet"/>
    <n v="10275"/>
    <m/>
    <s v="Ballerupvej 29"/>
    <x v="125"/>
    <x v="1"/>
    <x v="6"/>
    <n v="666.09"/>
    <n v="3"/>
    <s v="2011-11-29"/>
    <n v="0"/>
    <n v="551"/>
    <n v="1.208655"/>
    <n v="3"/>
    <x v="0"/>
    <x v="4317"/>
    <n v="532.89"/>
    <n v="0"/>
    <s v="40790"/>
    <m/>
    <n v="666.09559000000002"/>
    <n v="0"/>
    <n v="77669"/>
  </r>
  <r>
    <x v="17"/>
    <s v="02561-5"/>
    <s v="Farum Park"/>
    <n v="6027"/>
    <m/>
    <s v="Bimåler FCN"/>
    <x v="132"/>
    <x v="1"/>
    <x v="0"/>
    <n v="4.01"/>
    <n v="5"/>
    <s v="2015-05-04"/>
    <n v="0"/>
    <n v="0"/>
    <n v="40.1"/>
    <n v="3"/>
    <x v="0"/>
    <x v="4318"/>
    <n v="3.2"/>
    <n v="1"/>
    <s v="Suiter VM2 BV"/>
    <m/>
    <n v="3.9999899999999999"/>
    <n v="0"/>
    <n v="60568"/>
  </r>
  <r>
    <x v="17"/>
    <s v="02561-5"/>
    <s v="Farum Park"/>
    <n v="6027"/>
    <m/>
    <s v="Bimåler FCN"/>
    <x v="132"/>
    <x v="1"/>
    <x v="0"/>
    <n v="12.12"/>
    <n v="5"/>
    <s v="2015-05-04"/>
    <n v="0"/>
    <n v="0"/>
    <n v="121.2"/>
    <n v="3"/>
    <x v="0"/>
    <x v="4319"/>
    <n v="9.6999999999999993"/>
    <n v="1"/>
    <s v="Suiter VM3 BK"/>
    <m/>
    <n v="12.114280000000001"/>
    <n v="0"/>
    <n v="60570"/>
  </r>
  <r>
    <x v="17"/>
    <s v="02561-5"/>
    <s v="Farum Park"/>
    <n v="6027"/>
    <m/>
    <s v="Bimåler FCN"/>
    <x v="132"/>
    <x v="1"/>
    <x v="0"/>
    <n v="6.12"/>
    <n v="5"/>
    <s v="2015-05-04"/>
    <n v="0"/>
    <n v="0"/>
    <n v="61.2"/>
    <n v="3"/>
    <x v="0"/>
    <x v="4320"/>
    <n v="4.8899999999999997"/>
    <n v="1"/>
    <s v="Loger VM4 BV"/>
    <m/>
    <n v="6.1142799999999999"/>
    <n v="0"/>
    <n v="60571"/>
  </r>
  <r>
    <x v="17"/>
    <s v="02561-5"/>
    <s v="Farum Park"/>
    <n v="6027"/>
    <m/>
    <s v="Bimåler FCN"/>
    <x v="132"/>
    <x v="1"/>
    <x v="0"/>
    <n v="0"/>
    <n v="5"/>
    <s v="2015-05-04"/>
    <n v="0"/>
    <n v="0"/>
    <n v="0"/>
    <n v="3"/>
    <x v="0"/>
    <x v="1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0"/>
    <n v="0.28999999999999998"/>
    <n v="5"/>
    <s v="2015-05-04"/>
    <n v="0"/>
    <n v="0"/>
    <n v="2.9"/>
    <n v="3"/>
    <x v="0"/>
    <x v="4321"/>
    <n v="0.23"/>
    <n v="1"/>
    <s v="Køk. VM6 BV"/>
    <m/>
    <n v="0.3"/>
    <n v="0"/>
    <n v="60573"/>
  </r>
  <r>
    <x v="17"/>
    <s v="02561-5"/>
    <s v="Farum Park"/>
    <n v="6027"/>
    <m/>
    <s v="Bimåler FCN"/>
    <x v="132"/>
    <x v="1"/>
    <x v="0"/>
    <n v="1.99"/>
    <n v="5"/>
    <s v="2015-05-04"/>
    <n v="0"/>
    <n v="0"/>
    <n v="19.899999999999999"/>
    <n v="3"/>
    <x v="0"/>
    <x v="4322"/>
    <n v="1.6"/>
    <n v="1"/>
    <s v="Køk.VM7 BK"/>
    <m/>
    <n v="2"/>
    <n v="0"/>
    <n v="60574"/>
  </r>
  <r>
    <x v="17"/>
    <s v="02561-5"/>
    <s v="Farum Park"/>
    <n v="6027"/>
    <m/>
    <s v="Bimåler FCN"/>
    <x v="132"/>
    <x v="1"/>
    <x v="0"/>
    <n v="60.39"/>
    <n v="5"/>
    <s v="2015-05-04"/>
    <n v="0"/>
    <n v="0"/>
    <n v="603.9"/>
    <n v="3"/>
    <x v="0"/>
    <x v="4323"/>
    <n v="48.32"/>
    <n v="1"/>
    <s v="Vaskeri VM8 BK"/>
    <m/>
    <n v="60.400010000000002"/>
    <n v="0"/>
    <n v="60575"/>
  </r>
  <r>
    <x v="17"/>
    <s v="02561-5"/>
    <s v="Farum Park"/>
    <n v="6027"/>
    <m/>
    <s v="Bimåler FCN"/>
    <x v="132"/>
    <x v="1"/>
    <x v="1"/>
    <n v="36.06"/>
    <n v="12"/>
    <s v="2015-05-04"/>
    <n v="0"/>
    <n v="0"/>
    <n v="360.6"/>
    <n v="3"/>
    <x v="0"/>
    <x v="4324"/>
    <n v="28.84"/>
    <n v="1"/>
    <s v="Suiter VM2 BV"/>
    <m/>
    <n v="36.055970000000002"/>
    <n v="0"/>
    <n v="60568"/>
  </r>
  <r>
    <x v="17"/>
    <s v="02561-5"/>
    <s v="Farum Park"/>
    <n v="6027"/>
    <m/>
    <s v="Bimåler FCN"/>
    <x v="132"/>
    <x v="1"/>
    <x v="1"/>
    <n v="171.51"/>
    <n v="12"/>
    <s v="2015-05-04"/>
    <n v="0"/>
    <n v="0"/>
    <n v="1715.1"/>
    <n v="3"/>
    <x v="0"/>
    <x v="4325"/>
    <n v="137.21"/>
    <n v="1"/>
    <s v="Suiter VM3 BK"/>
    <m/>
    <n v="171.51519999999999"/>
    <n v="0"/>
    <n v="60570"/>
  </r>
  <r>
    <x v="17"/>
    <s v="02561-5"/>
    <s v="Farum Park"/>
    <n v="6027"/>
    <m/>
    <s v="Bimåler FCN"/>
    <x v="132"/>
    <x v="1"/>
    <x v="1"/>
    <n v="54.98"/>
    <n v="12"/>
    <s v="2015-05-04"/>
    <n v="0"/>
    <n v="0"/>
    <n v="549.79999999999995"/>
    <n v="3"/>
    <x v="0"/>
    <x v="4326"/>
    <n v="44.01"/>
    <n v="1"/>
    <s v="Loger VM4 BV"/>
    <m/>
    <n v="54.99145"/>
    <n v="0"/>
    <n v="60571"/>
  </r>
  <r>
    <x v="17"/>
    <s v="02561-5"/>
    <s v="Farum Park"/>
    <n v="6027"/>
    <m/>
    <s v="Bimåler FCN"/>
    <x v="132"/>
    <x v="1"/>
    <x v="1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1"/>
    <n v="0.97"/>
    <n v="12"/>
    <s v="2015-05-04"/>
    <n v="0"/>
    <n v="0"/>
    <n v="9.6999999999999993"/>
    <n v="3"/>
    <x v="0"/>
    <x v="4327"/>
    <n v="0.77"/>
    <n v="1"/>
    <s v="Køk. VM6 BV"/>
    <m/>
    <n v="0.96774000000000004"/>
    <n v="0"/>
    <n v="60573"/>
  </r>
  <r>
    <x v="17"/>
    <s v="02561-5"/>
    <s v="Farum Park"/>
    <n v="6027"/>
    <m/>
    <s v="Bimåler FCN"/>
    <x v="132"/>
    <x v="1"/>
    <x v="1"/>
    <n v="10"/>
    <n v="12"/>
    <s v="2015-05-04"/>
    <n v="0"/>
    <n v="0"/>
    <n v="100"/>
    <n v="3"/>
    <x v="0"/>
    <x v="3505"/>
    <n v="8"/>
    <n v="1"/>
    <s v="Køk.VM7 BK"/>
    <m/>
    <n v="10"/>
    <n v="0"/>
    <n v="60574"/>
  </r>
  <r>
    <x v="17"/>
    <s v="02561-5"/>
    <s v="Farum Park"/>
    <n v="6027"/>
    <m/>
    <s v="Bimåler FCN"/>
    <x v="132"/>
    <x v="1"/>
    <x v="1"/>
    <n v="190.78"/>
    <n v="12"/>
    <s v="2015-05-04"/>
    <n v="0"/>
    <n v="0"/>
    <n v="1907.8"/>
    <n v="3"/>
    <x v="0"/>
    <x v="4328"/>
    <n v="152.6"/>
    <n v="1"/>
    <s v="Vaskeri VM8 BK"/>
    <m/>
    <n v="190.75711000000001"/>
    <n v="0"/>
    <n v="60575"/>
  </r>
  <r>
    <x v="17"/>
    <s v="02561-5"/>
    <s v="Farum Park"/>
    <n v="6027"/>
    <m/>
    <s v="Bimåler FCN"/>
    <x v="132"/>
    <x v="1"/>
    <x v="2"/>
    <n v="30.01"/>
    <n v="12"/>
    <s v="2015-05-04"/>
    <n v="0"/>
    <n v="0"/>
    <n v="300.10000000000002"/>
    <n v="3"/>
    <x v="0"/>
    <x v="4329"/>
    <n v="24.01"/>
    <n v="1"/>
    <s v="Suiter VM2 BV"/>
    <m/>
    <n v="30.002680000000002"/>
    <n v="0"/>
    <n v="60568"/>
  </r>
  <r>
    <x v="17"/>
    <s v="02561-5"/>
    <s v="Farum Park"/>
    <n v="6027"/>
    <m/>
    <s v="Bimåler FCN"/>
    <x v="132"/>
    <x v="1"/>
    <x v="2"/>
    <n v="217.44"/>
    <n v="12"/>
    <s v="2015-05-04"/>
    <n v="0"/>
    <n v="0"/>
    <n v="2174.4"/>
    <n v="3"/>
    <x v="0"/>
    <x v="4330"/>
    <n v="173.96"/>
    <n v="1"/>
    <s v="Suiter VM3 BK"/>
    <m/>
    <n v="217.44474"/>
    <n v="0"/>
    <n v="60570"/>
  </r>
  <r>
    <x v="17"/>
    <s v="02561-5"/>
    <s v="Farum Park"/>
    <n v="6027"/>
    <m/>
    <s v="Bimåler FCN"/>
    <x v="132"/>
    <x v="1"/>
    <x v="2"/>
    <n v="40.950000000000003"/>
    <n v="12"/>
    <s v="2015-05-04"/>
    <n v="0"/>
    <n v="0"/>
    <n v="409.5"/>
    <n v="3"/>
    <x v="0"/>
    <x v="4331"/>
    <n v="32.75"/>
    <n v="1"/>
    <s v="Loger VM4 BV"/>
    <m/>
    <n v="40.942059999999998"/>
    <n v="0"/>
    <n v="60571"/>
  </r>
  <r>
    <x v="17"/>
    <s v="02561-5"/>
    <s v="Farum Park"/>
    <n v="6027"/>
    <m/>
    <s v="Bimåler FCN"/>
    <x v="132"/>
    <x v="1"/>
    <x v="2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2"/>
    <n v="1"/>
    <n v="12"/>
    <s v="2015-05-04"/>
    <n v="0"/>
    <n v="0"/>
    <n v="10"/>
    <n v="3"/>
    <x v="0"/>
    <x v="3577"/>
    <n v="0.81"/>
    <n v="1"/>
    <s v="Køk. VM6 BV"/>
    <m/>
    <n v="1"/>
    <n v="0"/>
    <n v="60573"/>
  </r>
  <r>
    <x v="17"/>
    <s v="02561-5"/>
    <s v="Farum Park"/>
    <n v="6027"/>
    <m/>
    <s v="Bimåler FCN"/>
    <x v="132"/>
    <x v="1"/>
    <x v="2"/>
    <n v="1"/>
    <n v="12"/>
    <s v="2015-05-04"/>
    <n v="0"/>
    <n v="0"/>
    <n v="10"/>
    <n v="3"/>
    <x v="0"/>
    <x v="3577"/>
    <n v="0.8"/>
    <n v="1"/>
    <s v="Køk.VM7 BK"/>
    <m/>
    <n v="1"/>
    <n v="0"/>
    <n v="60574"/>
  </r>
  <r>
    <x v="17"/>
    <s v="02561-5"/>
    <s v="Farum Park"/>
    <n v="6027"/>
    <m/>
    <s v="Bimåler FCN"/>
    <x v="132"/>
    <x v="1"/>
    <x v="2"/>
    <n v="112.98"/>
    <n v="12"/>
    <s v="2015-05-04"/>
    <n v="0"/>
    <n v="0"/>
    <n v="1129.8"/>
    <n v="3"/>
    <x v="0"/>
    <x v="4332"/>
    <n v="90.39"/>
    <n v="1"/>
    <s v="Vaskeri VM8 BK"/>
    <m/>
    <n v="112.97504000000001"/>
    <n v="0"/>
    <n v="60575"/>
  </r>
  <r>
    <x v="17"/>
    <s v="02561-5"/>
    <s v="Farum Park"/>
    <n v="6027"/>
    <m/>
    <s v="Bimåler FCN"/>
    <x v="132"/>
    <x v="1"/>
    <x v="3"/>
    <n v="37.96"/>
    <n v="12"/>
    <s v="2015-05-04"/>
    <n v="0"/>
    <n v="0"/>
    <n v="379.6"/>
    <n v="3"/>
    <x v="0"/>
    <x v="4333"/>
    <n v="30.37"/>
    <n v="1"/>
    <s v="Suiter VM2 BV"/>
    <m/>
    <n v="37.96969"/>
    <n v="0"/>
    <n v="60568"/>
  </r>
  <r>
    <x v="17"/>
    <s v="02561-5"/>
    <s v="Farum Park"/>
    <n v="6027"/>
    <m/>
    <s v="Bimåler FCN"/>
    <x v="132"/>
    <x v="1"/>
    <x v="3"/>
    <n v="125"/>
    <n v="12"/>
    <s v="2015-05-04"/>
    <n v="0"/>
    <n v="0"/>
    <n v="1250"/>
    <n v="3"/>
    <x v="0"/>
    <x v="4334"/>
    <n v="100.02"/>
    <n v="1"/>
    <s v="Suiter VM3 BK"/>
    <m/>
    <n v="124.99999"/>
    <n v="0"/>
    <n v="60570"/>
  </r>
  <r>
    <x v="17"/>
    <s v="02561-5"/>
    <s v="Farum Park"/>
    <n v="6027"/>
    <m/>
    <s v="Bimåler FCN"/>
    <x v="132"/>
    <x v="1"/>
    <x v="3"/>
    <n v="36.04"/>
    <n v="12"/>
    <s v="2015-05-04"/>
    <n v="0"/>
    <n v="0"/>
    <n v="360.4"/>
    <n v="3"/>
    <x v="0"/>
    <x v="4335"/>
    <n v="28.81"/>
    <n v="1"/>
    <s v="Loger VM4 BV"/>
    <m/>
    <n v="36.030290000000001"/>
    <n v="0"/>
    <n v="60571"/>
  </r>
  <r>
    <x v="17"/>
    <s v="02561-5"/>
    <s v="Farum Park"/>
    <n v="6027"/>
    <m/>
    <s v="Bimåler FCN"/>
    <x v="132"/>
    <x v="1"/>
    <x v="3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3"/>
    <n v="0"/>
    <n v="12"/>
    <s v="2015-05-04"/>
    <n v="0"/>
    <n v="0"/>
    <n v="0"/>
    <n v="3"/>
    <x v="0"/>
    <x v="1"/>
    <n v="0"/>
    <n v="1"/>
    <s v="Køk. VM6 BV"/>
    <m/>
    <n v="0"/>
    <n v="0"/>
    <n v="60573"/>
  </r>
  <r>
    <x v="17"/>
    <s v="02561-5"/>
    <s v="Farum Park"/>
    <n v="6027"/>
    <m/>
    <s v="Bimåler FCN"/>
    <x v="132"/>
    <x v="1"/>
    <x v="3"/>
    <n v="1"/>
    <n v="12"/>
    <s v="2015-05-04"/>
    <n v="0"/>
    <n v="0"/>
    <n v="10"/>
    <n v="3"/>
    <x v="0"/>
    <x v="3577"/>
    <n v="0.8"/>
    <n v="1"/>
    <s v="Køk.VM7 BK"/>
    <m/>
    <n v="1"/>
    <n v="0"/>
    <n v="60574"/>
  </r>
  <r>
    <x v="17"/>
    <s v="02561-5"/>
    <s v="Farum Park"/>
    <n v="6027"/>
    <m/>
    <s v="Bimåler FCN"/>
    <x v="132"/>
    <x v="1"/>
    <x v="3"/>
    <n v="159.1"/>
    <n v="12"/>
    <s v="2015-05-04"/>
    <n v="0"/>
    <n v="0"/>
    <n v="1591"/>
    <n v="3"/>
    <x v="0"/>
    <x v="4336"/>
    <n v="127.28"/>
    <n v="1"/>
    <s v="Vaskeri VM8 BK"/>
    <m/>
    <n v="159.09091000000001"/>
    <n v="0"/>
    <n v="60575"/>
  </r>
  <r>
    <x v="17"/>
    <s v="02561-5"/>
    <s v="Farum Park"/>
    <n v="6027"/>
    <m/>
    <s v="Bimåler FCN"/>
    <x v="132"/>
    <x v="1"/>
    <x v="4"/>
    <n v="33.47"/>
    <n v="12"/>
    <s v="2015-05-04"/>
    <n v="0"/>
    <n v="0"/>
    <n v="334.7"/>
    <n v="3"/>
    <x v="0"/>
    <x v="4337"/>
    <n v="26.76"/>
    <n v="1"/>
    <s v="Suiter VM2 BV"/>
    <m/>
    <n v="33.468800000000002"/>
    <n v="0"/>
    <n v="60568"/>
  </r>
  <r>
    <x v="17"/>
    <s v="02561-5"/>
    <s v="Farum Park"/>
    <n v="6027"/>
    <m/>
    <s v="Bimåler FCN"/>
    <x v="132"/>
    <x v="1"/>
    <x v="4"/>
    <n v="49.33"/>
    <n v="12"/>
    <s v="2015-05-04"/>
    <n v="0"/>
    <n v="0"/>
    <n v="493.3"/>
    <n v="3"/>
    <x v="0"/>
    <x v="4338"/>
    <n v="39.46"/>
    <n v="1"/>
    <s v="Suiter VM3 BK"/>
    <m/>
    <n v="49.319969999999998"/>
    <n v="0"/>
    <n v="60570"/>
  </r>
  <r>
    <x v="17"/>
    <s v="02561-5"/>
    <s v="Farum Park"/>
    <n v="6027"/>
    <m/>
    <s v="Bimåler FCN"/>
    <x v="132"/>
    <x v="1"/>
    <x v="4"/>
    <n v="34.28"/>
    <n v="12"/>
    <s v="2015-05-04"/>
    <n v="0"/>
    <n v="0"/>
    <n v="342.8"/>
    <n v="3"/>
    <x v="0"/>
    <x v="4339"/>
    <n v="27.43"/>
    <n v="1"/>
    <s v="Loger VM4 BV"/>
    <m/>
    <n v="34.292340000000003"/>
    <n v="0"/>
    <n v="60571"/>
  </r>
  <r>
    <x v="17"/>
    <s v="02561-5"/>
    <s v="Farum Park"/>
    <n v="6027"/>
    <m/>
    <s v="Bimåler FCN"/>
    <x v="132"/>
    <x v="1"/>
    <x v="4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4"/>
    <n v="1"/>
    <n v="12"/>
    <s v="2015-05-04"/>
    <n v="0"/>
    <n v="0"/>
    <n v="10"/>
    <n v="3"/>
    <x v="0"/>
    <x v="3577"/>
    <n v="0.8"/>
    <n v="1"/>
    <s v="Køk. VM6 BV"/>
    <m/>
    <n v="1"/>
    <n v="0"/>
    <n v="60573"/>
  </r>
  <r>
    <x v="17"/>
    <s v="02561-5"/>
    <s v="Farum Park"/>
    <n v="6027"/>
    <m/>
    <s v="Bimåler FCN"/>
    <x v="132"/>
    <x v="1"/>
    <x v="4"/>
    <n v="1"/>
    <n v="12"/>
    <s v="2015-05-04"/>
    <n v="0"/>
    <n v="0"/>
    <n v="10"/>
    <n v="3"/>
    <x v="0"/>
    <x v="3577"/>
    <n v="0.8"/>
    <n v="1"/>
    <s v="Køk.VM7 BK"/>
    <m/>
    <n v="1"/>
    <n v="0"/>
    <n v="60574"/>
  </r>
  <r>
    <x v="17"/>
    <s v="02561-5"/>
    <s v="Farum Park"/>
    <n v="6027"/>
    <m/>
    <s v="Bimåler FCN"/>
    <x v="132"/>
    <x v="1"/>
    <x v="4"/>
    <n v="155.81"/>
    <n v="12"/>
    <s v="2015-05-04"/>
    <n v="0"/>
    <n v="0"/>
    <n v="1558.1"/>
    <n v="3"/>
    <x v="0"/>
    <x v="4340"/>
    <n v="124.66"/>
    <n v="1"/>
    <s v="Vaskeri VM8 BK"/>
    <m/>
    <n v="155.81640999999999"/>
    <n v="0"/>
    <n v="60575"/>
  </r>
  <r>
    <x v="17"/>
    <s v="02561-5"/>
    <s v="Farum Park"/>
    <n v="6027"/>
    <m/>
    <s v="Bimåler FCN"/>
    <x v="132"/>
    <x v="1"/>
    <x v="5"/>
    <n v="51.59"/>
    <n v="12"/>
    <s v="2015-05-04"/>
    <n v="0"/>
    <n v="0"/>
    <n v="515.9"/>
    <n v="3"/>
    <x v="0"/>
    <x v="4341"/>
    <n v="41.25"/>
    <n v="1"/>
    <s v="Suiter VM2 BV"/>
    <m/>
    <n v="51.564329999999998"/>
    <n v="0"/>
    <n v="60568"/>
  </r>
  <r>
    <x v="17"/>
    <s v="02561-5"/>
    <s v="Farum Park"/>
    <n v="6027"/>
    <m/>
    <s v="Bimåler FCN"/>
    <x v="132"/>
    <x v="1"/>
    <x v="5"/>
    <n v="60.63"/>
    <n v="12"/>
    <s v="2015-05-04"/>
    <n v="0"/>
    <n v="0"/>
    <n v="606.29999999999995"/>
    <n v="3"/>
    <x v="0"/>
    <x v="4342"/>
    <n v="48.5"/>
    <n v="1"/>
    <s v="Suiter VM3 BK"/>
    <m/>
    <n v="60.62133"/>
    <n v="0"/>
    <n v="60570"/>
  </r>
  <r>
    <x v="17"/>
    <s v="02561-5"/>
    <s v="Farum Park"/>
    <n v="6027"/>
    <m/>
    <s v="Bimåler FCN"/>
    <x v="132"/>
    <x v="1"/>
    <x v="5"/>
    <n v="29.7"/>
    <n v="12"/>
    <s v="2015-05-04"/>
    <n v="0"/>
    <n v="0"/>
    <n v="297"/>
    <n v="3"/>
    <x v="0"/>
    <x v="4343"/>
    <n v="23.75"/>
    <n v="1"/>
    <s v="Loger VM4 BV"/>
    <m/>
    <n v="29.70956"/>
    <n v="0"/>
    <n v="60571"/>
  </r>
  <r>
    <x v="17"/>
    <s v="02561-5"/>
    <s v="Farum Park"/>
    <n v="6027"/>
    <m/>
    <s v="Bimåler FCN"/>
    <x v="132"/>
    <x v="1"/>
    <x v="5"/>
    <n v="141"/>
    <n v="12"/>
    <s v="2015-05-04"/>
    <n v="0"/>
    <n v="0"/>
    <n v="1410"/>
    <n v="3"/>
    <x v="0"/>
    <x v="4344"/>
    <n v="112.8"/>
    <n v="1"/>
    <s v="Loger VM5 BK"/>
    <m/>
    <n v="141"/>
    <n v="0"/>
    <n v="60572"/>
  </r>
  <r>
    <x v="17"/>
    <s v="02561-5"/>
    <s v="Farum Park"/>
    <n v="6027"/>
    <m/>
    <s v="Bimåler FCN"/>
    <x v="132"/>
    <x v="1"/>
    <x v="5"/>
    <n v="0"/>
    <n v="12"/>
    <s v="2015-05-04"/>
    <n v="0"/>
    <n v="0"/>
    <n v="0"/>
    <n v="3"/>
    <x v="0"/>
    <x v="1"/>
    <n v="0"/>
    <n v="1"/>
    <s v="Køk. VM6 BV"/>
    <m/>
    <n v="0"/>
    <n v="0"/>
    <n v="60573"/>
  </r>
  <r>
    <x v="17"/>
    <s v="02561-5"/>
    <s v="Farum Park"/>
    <n v="6027"/>
    <m/>
    <s v="Bimåler FCN"/>
    <x v="132"/>
    <x v="1"/>
    <x v="5"/>
    <n v="2"/>
    <n v="11"/>
    <s v="2015-05-04"/>
    <n v="0"/>
    <n v="0"/>
    <n v="20"/>
    <n v="3"/>
    <x v="0"/>
    <x v="4345"/>
    <n v="1.6"/>
    <n v="1"/>
    <s v="Køk.VM7 BK"/>
    <m/>
    <n v="2"/>
    <n v="0"/>
    <n v="60574"/>
  </r>
  <r>
    <x v="17"/>
    <s v="02561-5"/>
    <s v="Farum Park"/>
    <n v="6027"/>
    <m/>
    <s v="Bimåler FCN"/>
    <x v="132"/>
    <x v="1"/>
    <x v="5"/>
    <n v="181.32"/>
    <n v="12"/>
    <s v="2015-05-04"/>
    <n v="0"/>
    <n v="0"/>
    <n v="1813.2"/>
    <n v="3"/>
    <x v="0"/>
    <x v="4346"/>
    <n v="145.06"/>
    <n v="1"/>
    <s v="Vaskeri VM8 BK"/>
    <m/>
    <n v="181.31619000000001"/>
    <n v="0"/>
    <n v="60575"/>
  </r>
  <r>
    <x v="17"/>
    <s v="02561-5"/>
    <s v="Farum Park"/>
    <n v="6027"/>
    <m/>
    <s v="Bimåler FCN"/>
    <x v="132"/>
    <x v="1"/>
    <x v="6"/>
    <n v="67.010000000000005"/>
    <n v="11"/>
    <s v="2015-05-04"/>
    <n v="0"/>
    <n v="0"/>
    <n v="670.1"/>
    <n v="3"/>
    <x v="0"/>
    <x v="4347"/>
    <n v="53.62"/>
    <n v="1"/>
    <s v="Suiter VM2 BV"/>
    <m/>
    <n v="66.997159999999994"/>
    <n v="0"/>
    <n v="60568"/>
  </r>
  <r>
    <x v="17"/>
    <s v="02561-5"/>
    <s v="Farum Park"/>
    <n v="6027"/>
    <m/>
    <s v="Bimåler FCN"/>
    <x v="132"/>
    <x v="1"/>
    <x v="6"/>
    <n v="462.02"/>
    <n v="11"/>
    <s v="2015-05-04"/>
    <n v="0"/>
    <n v="0"/>
    <n v="4620.2"/>
    <n v="3"/>
    <x v="0"/>
    <x v="4348"/>
    <n v="369.63"/>
    <n v="1"/>
    <s v="Suiter VM3 BK"/>
    <m/>
    <n v="462.02841000000001"/>
    <n v="0"/>
    <n v="60570"/>
  </r>
  <r>
    <x v="17"/>
    <s v="02561-5"/>
    <s v="Farum Park"/>
    <n v="6027"/>
    <m/>
    <s v="Bimåler FCN"/>
    <x v="132"/>
    <x v="1"/>
    <x v="6"/>
    <n v="56.03"/>
    <n v="11"/>
    <s v="2015-05-04"/>
    <n v="0"/>
    <n v="0"/>
    <n v="560.29999999999995"/>
    <n v="3"/>
    <x v="0"/>
    <x v="4349"/>
    <n v="44.83"/>
    <n v="1"/>
    <s v="Loger VM4 BV"/>
    <m/>
    <n v="56.028410000000001"/>
    <n v="0"/>
    <n v="60571"/>
  </r>
  <r>
    <x v="17"/>
    <s v="02561-5"/>
    <s v="Farum Park"/>
    <n v="6027"/>
    <m/>
    <s v="Bimåler FCN"/>
    <x v="132"/>
    <x v="1"/>
    <x v="6"/>
    <n v="484"/>
    <n v="11"/>
    <s v="2015-05-04"/>
    <n v="0"/>
    <n v="0"/>
    <n v="4840"/>
    <n v="3"/>
    <x v="0"/>
    <x v="4350"/>
    <n v="387.2"/>
    <n v="1"/>
    <s v="Loger VM5 BK"/>
    <m/>
    <n v="484"/>
    <n v="0"/>
    <n v="60572"/>
  </r>
  <r>
    <x v="17"/>
    <s v="02561-5"/>
    <s v="Farum Park"/>
    <n v="6027"/>
    <m/>
    <s v="Bimåler FCN"/>
    <x v="132"/>
    <x v="1"/>
    <x v="6"/>
    <n v="1"/>
    <n v="11"/>
    <s v="2015-05-04"/>
    <n v="0"/>
    <n v="0"/>
    <n v="10"/>
    <n v="3"/>
    <x v="0"/>
    <x v="3577"/>
    <n v="0.8"/>
    <n v="1"/>
    <s v="Køk. VM6 BV"/>
    <m/>
    <n v="1"/>
    <n v="0"/>
    <n v="60573"/>
  </r>
  <r>
    <x v="17"/>
    <s v="02561-5"/>
    <s v="Farum Park"/>
    <n v="6027"/>
    <m/>
    <s v="Bimåler FCN"/>
    <x v="132"/>
    <x v="1"/>
    <x v="6"/>
    <n v="0"/>
    <n v="11"/>
    <s v="2015-05-04"/>
    <n v="0"/>
    <n v="0"/>
    <n v="0"/>
    <n v="3"/>
    <x v="0"/>
    <x v="1"/>
    <n v="0"/>
    <n v="1"/>
    <s v="Køk.VM7 BK"/>
    <m/>
    <n v="0"/>
    <n v="0"/>
    <n v="60574"/>
  </r>
  <r>
    <x v="17"/>
    <s v="02561-5"/>
    <s v="Farum Park"/>
    <n v="6027"/>
    <m/>
    <s v="Bimåler FCN"/>
    <x v="132"/>
    <x v="1"/>
    <x v="6"/>
    <n v="338.05"/>
    <n v="11"/>
    <s v="2015-05-04"/>
    <n v="0"/>
    <n v="0"/>
    <n v="3380.5"/>
    <n v="3"/>
    <x v="0"/>
    <x v="4351"/>
    <n v="270.45"/>
    <n v="1"/>
    <s v="Vaskeri VM8 BK"/>
    <m/>
    <n v="338.04924999999997"/>
    <n v="0"/>
    <n v="60575"/>
  </r>
  <r>
    <x v="17"/>
    <s v="02561-5"/>
    <s v="Farum Park"/>
    <n v="5468"/>
    <m/>
    <s v="Farum Park"/>
    <x v="132"/>
    <x v="0"/>
    <x v="6"/>
    <n v="2695.7"/>
    <m/>
    <m/>
    <n v="0"/>
    <n v="12237"/>
    <n v="2.8600000000000001E-3"/>
    <n v="3"/>
    <x v="0"/>
    <x v="4352"/>
    <m/>
    <n v="1"/>
    <m/>
    <m/>
    <m/>
    <n v="0"/>
    <m/>
  </r>
  <r>
    <x v="17"/>
    <s v="02561-5"/>
    <s v="Farum Park"/>
    <n v="5468"/>
    <m/>
    <s v="Farum Park"/>
    <x v="132"/>
    <x v="1"/>
    <x v="6"/>
    <n v="35"/>
    <n v="5"/>
    <s v="2008-05-01"/>
    <n v="0"/>
    <n v="12237"/>
    <n v="2.8600000000000001E-3"/>
    <n v="3"/>
    <x v="0"/>
    <x v="4353"/>
    <n v="28"/>
    <n v="1"/>
    <s v="2200812 BV"/>
    <m/>
    <n v="35"/>
    <n v="0"/>
    <n v="57830"/>
  </r>
  <r>
    <x v="17"/>
    <s v="02561-5"/>
    <s v="Farum Park"/>
    <n v="5468"/>
    <m/>
    <s v="Farum Park"/>
    <x v="132"/>
    <x v="1"/>
    <x v="5"/>
    <n v="2642.78"/>
    <n v="12"/>
    <m/>
    <n v="0"/>
    <n v="12237"/>
    <n v="0.21596399999999999"/>
    <n v="3"/>
    <x v="0"/>
    <x v="4354"/>
    <n v="2114.2199999999998"/>
    <n v="0"/>
    <s v="9828007 BK"/>
    <m/>
    <n v="2642.779"/>
    <n v="0"/>
    <n v="58260"/>
  </r>
  <r>
    <x v="17"/>
    <s v="02561-5"/>
    <s v="Farum Park"/>
    <n v="5468"/>
    <m/>
    <s v="Farum Park"/>
    <x v="132"/>
    <x v="1"/>
    <x v="5"/>
    <n v="488.12"/>
    <n v="12"/>
    <m/>
    <n v="0"/>
    <n v="12237"/>
    <n v="3.9888E-2"/>
    <n v="3"/>
    <x v="0"/>
    <x v="4355"/>
    <n v="390.5"/>
    <n v="1"/>
    <s v="28277499 BV"/>
    <m/>
    <n v="488.12700000000001"/>
    <n v="0"/>
    <n v="57827"/>
  </r>
  <r>
    <x v="17"/>
    <s v="02561-5"/>
    <s v="Farum Park"/>
    <n v="5468"/>
    <m/>
    <s v="Farum Park"/>
    <x v="132"/>
    <x v="1"/>
    <x v="5"/>
    <n v="85.88"/>
    <n v="12"/>
    <m/>
    <n v="0"/>
    <n v="12237"/>
    <n v="7.0179999999999999E-3"/>
    <n v="3"/>
    <x v="0"/>
    <x v="4356"/>
    <n v="68.709999999999994"/>
    <n v="1"/>
    <s v="2200812 BV"/>
    <m/>
    <n v="85.88"/>
    <n v="0"/>
    <n v="57829"/>
  </r>
  <r>
    <x v="17"/>
    <s v="02561-5"/>
    <s v="Farum Park"/>
    <n v="5468"/>
    <m/>
    <s v="Farum Park"/>
    <x v="132"/>
    <x v="0"/>
    <x v="5"/>
    <n v="2068.7800000000002"/>
    <n v="12"/>
    <m/>
    <n v="0"/>
    <n v="12237"/>
    <m/>
    <n v="3"/>
    <x v="0"/>
    <x v="4357"/>
    <m/>
    <m/>
    <m/>
    <m/>
    <m/>
    <n v="0"/>
    <n v="57829"/>
  </r>
  <r>
    <x v="17"/>
    <s v="02561-5"/>
    <s v="Farum Park"/>
    <n v="5468"/>
    <m/>
    <s v="Farum Park"/>
    <x v="132"/>
    <x v="1"/>
    <x v="4"/>
    <n v="2711.19"/>
    <n v="12"/>
    <m/>
    <n v="0"/>
    <n v="12237"/>
    <n v="0.221554"/>
    <n v="3"/>
    <x v="0"/>
    <x v="4358"/>
    <n v="2168.94"/>
    <n v="0"/>
    <s v="9828007 BK"/>
    <m/>
    <n v="2711.1869999999999"/>
    <n v="0"/>
    <n v="58260"/>
  </r>
  <r>
    <x v="17"/>
    <s v="02561-5"/>
    <s v="Farum Park"/>
    <n v="5468"/>
    <m/>
    <s v="Farum Park"/>
    <x v="132"/>
    <x v="1"/>
    <x v="4"/>
    <n v="492.75"/>
    <n v="12"/>
    <m/>
    <n v="0"/>
    <n v="12237"/>
    <n v="4.0266000000000003E-2"/>
    <n v="3"/>
    <x v="0"/>
    <x v="4359"/>
    <n v="394.2"/>
    <n v="1"/>
    <s v="28277499 BV"/>
    <m/>
    <n v="492.74299999999999"/>
    <n v="0"/>
    <n v="57827"/>
  </r>
  <r>
    <x v="17"/>
    <s v="02561-5"/>
    <s v="Farum Park"/>
    <n v="5468"/>
    <m/>
    <s v="Farum Park"/>
    <x v="132"/>
    <x v="1"/>
    <x v="4"/>
    <n v="70.73"/>
    <n v="12"/>
    <m/>
    <n v="0"/>
    <n v="12237"/>
    <n v="5.7790000000000003E-3"/>
    <n v="3"/>
    <x v="0"/>
    <x v="4360"/>
    <n v="56.57"/>
    <n v="1"/>
    <s v="2200812 BV"/>
    <m/>
    <n v="70.73"/>
    <n v="0"/>
    <n v="57829"/>
  </r>
  <r>
    <x v="17"/>
    <s v="02561-5"/>
    <s v="Farum Park"/>
    <n v="5468"/>
    <m/>
    <s v="Farum Park"/>
    <x v="132"/>
    <x v="1"/>
    <x v="2"/>
    <n v="0"/>
    <n v="3"/>
    <s v="2015-05-04"/>
    <n v="0"/>
    <n v="12237"/>
    <n v="0"/>
    <n v="3"/>
    <x v="0"/>
    <x v="1"/>
    <n v="0"/>
    <n v="0"/>
    <s v="65122167  bane vand"/>
    <m/>
    <n v="0"/>
    <n v="0"/>
    <n v="92976"/>
  </r>
  <r>
    <x v="17"/>
    <s v="02561-5"/>
    <s v="Farum Park"/>
    <n v="5468"/>
    <m/>
    <s v="Farum Park"/>
    <x v="132"/>
    <x v="0"/>
    <x v="4"/>
    <n v="2147.71"/>
    <n v="12"/>
    <m/>
    <n v="0"/>
    <n v="12237"/>
    <m/>
    <n v="3"/>
    <x v="0"/>
    <x v="4361"/>
    <m/>
    <m/>
    <m/>
    <m/>
    <m/>
    <n v="0"/>
    <n v="57829"/>
  </r>
  <r>
    <x v="17"/>
    <s v="02561-5"/>
    <s v="Farum Park"/>
    <n v="5468"/>
    <m/>
    <s v="Farum Park"/>
    <x v="132"/>
    <x v="1"/>
    <x v="3"/>
    <n v="3451.01"/>
    <n v="12"/>
    <m/>
    <n v="0"/>
    <n v="12237"/>
    <n v="0.28201199999999998"/>
    <n v="3"/>
    <x v="0"/>
    <x v="4362"/>
    <n v="2760.81"/>
    <n v="0"/>
    <s v="9828007 BK"/>
    <m/>
    <n v="3451.0010000000002"/>
    <n v="0"/>
    <n v="58260"/>
  </r>
  <r>
    <x v="17"/>
    <s v="02561-5"/>
    <s v="Farum Park"/>
    <n v="5468"/>
    <m/>
    <s v="Farum Park"/>
    <x v="132"/>
    <x v="1"/>
    <x v="3"/>
    <n v="548.84"/>
    <n v="12"/>
    <m/>
    <n v="0"/>
    <n v="12237"/>
    <n v="4.4850000000000001E-2"/>
    <n v="3"/>
    <x v="0"/>
    <x v="4363"/>
    <n v="439.07"/>
    <n v="1"/>
    <s v="28277499 BV"/>
    <m/>
    <n v="548.83900000000006"/>
    <n v="0"/>
    <n v="57827"/>
  </r>
  <r>
    <x v="17"/>
    <s v="02561-5"/>
    <s v="Farum Park"/>
    <n v="5468"/>
    <m/>
    <s v="Farum Park"/>
    <x v="132"/>
    <x v="1"/>
    <x v="3"/>
    <n v="77.8"/>
    <n v="12"/>
    <m/>
    <n v="0"/>
    <n v="12237"/>
    <n v="6.3569999999999998E-3"/>
    <n v="3"/>
    <x v="0"/>
    <x v="4364"/>
    <n v="62.24"/>
    <n v="1"/>
    <s v="2200812 BV"/>
    <m/>
    <n v="77.8"/>
    <n v="0"/>
    <n v="57829"/>
  </r>
  <r>
    <x v="17"/>
    <s v="02561-5"/>
    <s v="Farum Park"/>
    <n v="5468"/>
    <m/>
    <s v="Farum Park"/>
    <x v="132"/>
    <x v="1"/>
    <x v="2"/>
    <n v="157"/>
    <n v="8"/>
    <s v="2012-08-01"/>
    <n v="0"/>
    <n v="12237"/>
    <n v="1.2829E-2"/>
    <n v="3"/>
    <x v="0"/>
    <x v="4365"/>
    <n v="125.61"/>
    <n v="0"/>
    <s v="2151699 NEDTAGET maj 2012"/>
    <m/>
    <n v="157"/>
    <n v="0"/>
    <n v="85967"/>
  </r>
  <r>
    <x v="17"/>
    <s v="02561-5"/>
    <s v="Farum Park"/>
    <n v="5468"/>
    <m/>
    <s v="Farum Park"/>
    <x v="132"/>
    <x v="1"/>
    <x v="1"/>
    <n v="5676.01"/>
    <n v="9"/>
    <s v="2015-05-04"/>
    <n v="0"/>
    <n v="12237"/>
    <n v="0.46383600000000003"/>
    <n v="3"/>
    <x v="0"/>
    <x v="4366"/>
    <n v="4540.8"/>
    <n v="0"/>
    <s v="65122167  bane vand"/>
    <m/>
    <n v="5676.0000099999997"/>
    <n v="0"/>
    <n v="92976"/>
  </r>
  <r>
    <x v="17"/>
    <s v="02561-5"/>
    <s v="Farum Park"/>
    <n v="5468"/>
    <m/>
    <s v="Farum Park"/>
    <x v="132"/>
    <x v="0"/>
    <x v="3"/>
    <n v="2824.37"/>
    <n v="12"/>
    <m/>
    <n v="0"/>
    <n v="12237"/>
    <m/>
    <n v="3"/>
    <x v="0"/>
    <x v="4367"/>
    <m/>
    <m/>
    <m/>
    <m/>
    <m/>
    <n v="0"/>
    <n v="57829"/>
  </r>
  <r>
    <x v="17"/>
    <s v="02561-5"/>
    <s v="Farum Park"/>
    <n v="5468"/>
    <m/>
    <s v="Farum Park"/>
    <x v="132"/>
    <x v="1"/>
    <x v="2"/>
    <n v="3244.6"/>
    <n v="12"/>
    <m/>
    <n v="0"/>
    <n v="12237"/>
    <n v="0.26514399999999999"/>
    <n v="3"/>
    <x v="0"/>
    <x v="4368"/>
    <n v="2595.67"/>
    <n v="0"/>
    <s v="9828007 BK"/>
    <m/>
    <n v="3244.5940000000001"/>
    <n v="0"/>
    <n v="58260"/>
  </r>
  <r>
    <x v="17"/>
    <s v="02561-5"/>
    <s v="Farum Park"/>
    <n v="5468"/>
    <m/>
    <s v="Farum Park"/>
    <x v="132"/>
    <x v="1"/>
    <x v="2"/>
    <n v="585.70000000000005"/>
    <n v="12"/>
    <m/>
    <n v="0"/>
    <n v="12237"/>
    <n v="4.7862000000000002E-2"/>
    <n v="3"/>
    <x v="0"/>
    <x v="4369"/>
    <n v="468.56"/>
    <n v="1"/>
    <s v="28277499 BV"/>
    <m/>
    <n v="585.69600000000003"/>
    <n v="0"/>
    <n v="57827"/>
  </r>
  <r>
    <x v="17"/>
    <s v="02561-5"/>
    <s v="Farum Park"/>
    <n v="5468"/>
    <m/>
    <s v="Farum Park"/>
    <x v="132"/>
    <x v="1"/>
    <x v="2"/>
    <n v="66.77"/>
    <n v="12"/>
    <m/>
    <n v="0"/>
    <n v="12237"/>
    <n v="5.4559999999999999E-3"/>
    <n v="3"/>
    <x v="0"/>
    <x v="4370"/>
    <n v="53.42"/>
    <n v="1"/>
    <s v="2200812 BV"/>
    <m/>
    <n v="66.77"/>
    <n v="0"/>
    <n v="57829"/>
  </r>
  <r>
    <x v="17"/>
    <s v="02561-5"/>
    <s v="Farum Park"/>
    <n v="5468"/>
    <m/>
    <s v="Farum Park"/>
    <x v="132"/>
    <x v="1"/>
    <x v="3"/>
    <n v="250"/>
    <n v="13"/>
    <s v="2012-08-01"/>
    <n v="0"/>
    <n v="12237"/>
    <n v="2.0428999999999999E-2"/>
    <n v="3"/>
    <x v="0"/>
    <x v="4371"/>
    <n v="200"/>
    <n v="0"/>
    <s v="2151699 NEDTAGET maj 2012"/>
    <m/>
    <n v="250"/>
    <n v="0"/>
    <n v="85967"/>
  </r>
  <r>
    <x v="17"/>
    <s v="02561-5"/>
    <s v="Farum Park"/>
    <n v="5468"/>
    <m/>
    <s v="Farum Park"/>
    <x v="132"/>
    <x v="0"/>
    <x v="2"/>
    <n v="2592.1299999999997"/>
    <n v="12"/>
    <m/>
    <n v="0"/>
    <n v="12237"/>
    <m/>
    <n v="3"/>
    <x v="0"/>
    <x v="4372"/>
    <m/>
    <n v="1"/>
    <m/>
    <m/>
    <m/>
    <n v="0"/>
    <n v="57829"/>
  </r>
  <r>
    <x v="17"/>
    <s v="02561-5"/>
    <s v="Farum Park"/>
    <n v="5468"/>
    <m/>
    <s v="Farum Park"/>
    <x v="132"/>
    <x v="1"/>
    <x v="1"/>
    <n v="575.54"/>
    <n v="12"/>
    <m/>
    <n v="0"/>
    <n v="12237"/>
    <n v="4.7031999999999997E-2"/>
    <n v="3"/>
    <x v="0"/>
    <x v="4373"/>
    <n v="460.43"/>
    <n v="1"/>
    <s v="28277499 BV"/>
    <m/>
    <n v="575.53200000000004"/>
    <n v="0"/>
    <n v="57827"/>
  </r>
  <r>
    <x v="17"/>
    <s v="02561-5"/>
    <s v="Farum Park"/>
    <n v="5468"/>
    <m/>
    <s v="Farum Park"/>
    <x v="132"/>
    <x v="1"/>
    <x v="1"/>
    <n v="95.85"/>
    <n v="12"/>
    <m/>
    <n v="0"/>
    <n v="12237"/>
    <n v="7.8320000000000004E-3"/>
    <n v="3"/>
    <x v="0"/>
    <x v="4374"/>
    <n v="76.69"/>
    <n v="1"/>
    <s v="2200812 BV"/>
    <m/>
    <n v="95.85"/>
    <n v="0"/>
    <n v="57829"/>
  </r>
  <r>
    <x v="17"/>
    <s v="02561-5"/>
    <s v="Farum Park"/>
    <n v="5468"/>
    <m/>
    <s v="Farum Park"/>
    <x v="132"/>
    <x v="1"/>
    <x v="7"/>
    <n v="8641"/>
    <n v="12"/>
    <s v="2015-05-04"/>
    <n v="0"/>
    <n v="12237"/>
    <n v="0.70613099999999995"/>
    <n v="3"/>
    <x v="0"/>
    <x v="4375"/>
    <n v="6912.79"/>
    <n v="0"/>
    <s v="65122167  bane vand"/>
    <m/>
    <n v="8640.9999900000003"/>
    <n v="0"/>
    <n v="92976"/>
  </r>
  <r>
    <x v="17"/>
    <s v="02561-5"/>
    <s v="Farum Park"/>
    <n v="5468"/>
    <m/>
    <s v="Farum Park"/>
    <x v="132"/>
    <x v="1"/>
    <x v="4"/>
    <n v="93.01"/>
    <n v="5"/>
    <s v="2012-08-01"/>
    <n v="0"/>
    <n v="12237"/>
    <n v="7.6E-3"/>
    <n v="3"/>
    <x v="0"/>
    <x v="4376"/>
    <n v="74.400000000000006"/>
    <n v="0"/>
    <s v="2151699 NEDTAGET maj 2012"/>
    <m/>
    <n v="92.999989999999997"/>
    <n v="0"/>
    <n v="85967"/>
  </r>
  <r>
    <x v="17"/>
    <s v="02561-5"/>
    <s v="Farum Park"/>
    <n v="5468"/>
    <m/>
    <s v="Farum Park"/>
    <x v="132"/>
    <x v="1"/>
    <x v="1"/>
    <n v="3016.05"/>
    <n v="12"/>
    <m/>
    <n v="0"/>
    <n v="12237"/>
    <n v="0.24646699999999999"/>
    <n v="3"/>
    <x v="0"/>
    <x v="4377"/>
    <n v="2412.85"/>
    <n v="0"/>
    <s v="9828007 BK"/>
    <m/>
    <n v="3016.0569999999998"/>
    <n v="0"/>
    <n v="58260"/>
  </r>
  <r>
    <x v="17"/>
    <s v="02561-5"/>
    <s v="Farum Park"/>
    <n v="5468"/>
    <m/>
    <s v="Farum Park"/>
    <x v="132"/>
    <x v="0"/>
    <x v="1"/>
    <n v="2344.6600000000003"/>
    <n v="12"/>
    <m/>
    <n v="0"/>
    <n v="12237"/>
    <m/>
    <n v="3"/>
    <x v="0"/>
    <x v="4378"/>
    <m/>
    <n v="0"/>
    <m/>
    <m/>
    <m/>
    <m/>
    <n v="58260"/>
  </r>
  <r>
    <x v="17"/>
    <s v="02561-5"/>
    <s v="Farum Park"/>
    <n v="5468"/>
    <m/>
    <s v="Farum Park"/>
    <x v="132"/>
    <x v="1"/>
    <x v="7"/>
    <n v="653.9"/>
    <n v="12"/>
    <m/>
    <n v="0"/>
    <n v="12237"/>
    <n v="5.3435000000000003E-2"/>
    <n v="3"/>
    <x v="0"/>
    <x v="4379"/>
    <n v="523.13"/>
    <n v="1"/>
    <s v="28277499 BV"/>
    <m/>
    <n v="653.91"/>
    <n v="0"/>
    <n v="57827"/>
  </r>
  <r>
    <x v="17"/>
    <s v="02561-5"/>
    <s v="Farum Park"/>
    <n v="5468"/>
    <m/>
    <s v="Farum Park"/>
    <x v="132"/>
    <x v="1"/>
    <x v="7"/>
    <n v="92.58"/>
    <n v="12"/>
    <m/>
    <n v="0"/>
    <n v="12237"/>
    <n v="7.5649999999999997E-3"/>
    <n v="3"/>
    <x v="0"/>
    <x v="4380"/>
    <n v="74.06"/>
    <n v="1"/>
    <s v="2200812 BV"/>
    <m/>
    <n v="92.58"/>
    <n v="0"/>
    <n v="57829"/>
  </r>
  <r>
    <x v="17"/>
    <s v="02561-5"/>
    <s v="Farum Park"/>
    <n v="5468"/>
    <m/>
    <s v="Farum Park"/>
    <x v="132"/>
    <x v="1"/>
    <x v="7"/>
    <n v="3352.8"/>
    <n v="12"/>
    <m/>
    <n v="0"/>
    <n v="12237"/>
    <n v="0.27398600000000001"/>
    <n v="3"/>
    <x v="0"/>
    <x v="4381"/>
    <n v="2682.23"/>
    <n v="0"/>
    <s v="9828007 BK"/>
    <m/>
    <n v="3352.7860000000001"/>
    <n v="0"/>
    <n v="58260"/>
  </r>
  <r>
    <x v="17"/>
    <s v="02561-5"/>
    <s v="Farum Park"/>
    <n v="5468"/>
    <m/>
    <s v="Farum Park"/>
    <x v="132"/>
    <x v="0"/>
    <x v="7"/>
    <n v="2606.3200000000002"/>
    <n v="12"/>
    <m/>
    <n v="0"/>
    <n v="12237"/>
    <m/>
    <n v="3"/>
    <x v="0"/>
    <x v="4382"/>
    <m/>
    <n v="0"/>
    <m/>
    <m/>
    <m/>
    <n v="0"/>
    <n v="58260"/>
  </r>
  <r>
    <x v="17"/>
    <s v="02561-5"/>
    <s v="Farum Park"/>
    <n v="5468"/>
    <m/>
    <s v="Farum Park"/>
    <x v="132"/>
    <x v="1"/>
    <x v="0"/>
    <n v="663"/>
    <n v="5"/>
    <m/>
    <n v="0"/>
    <n v="12237"/>
    <n v="2.3909E-2"/>
    <n v="3"/>
    <x v="0"/>
    <x v="4383"/>
    <n v="663"/>
    <n v="1"/>
    <s v="28277499 BV"/>
    <m/>
    <n v="292.58600000000001"/>
    <n v="0"/>
    <n v="57827"/>
  </r>
  <r>
    <x v="17"/>
    <s v="02561-5"/>
    <s v="Farum Park"/>
    <n v="5468"/>
    <m/>
    <s v="Farum Park"/>
    <x v="132"/>
    <x v="1"/>
    <x v="0"/>
    <n v="46"/>
    <n v="5"/>
    <m/>
    <n v="0"/>
    <n v="12237"/>
    <n v="9.4700000000000003E-4"/>
    <n v="3"/>
    <x v="0"/>
    <x v="4384"/>
    <n v="46"/>
    <n v="1"/>
    <s v="2200812 BV"/>
    <m/>
    <n v="11.59"/>
    <n v="0"/>
    <n v="57829"/>
  </r>
  <r>
    <x v="17"/>
    <s v="02561-5"/>
    <s v="Farum Park"/>
    <n v="5468"/>
    <m/>
    <s v="Farum Park"/>
    <x v="132"/>
    <x v="1"/>
    <x v="0"/>
    <n v="2693"/>
    <n v="5"/>
    <m/>
    <n v="0"/>
    <n v="12237"/>
    <n v="9.2108999999999996E-2"/>
    <n v="3"/>
    <x v="0"/>
    <x v="4385"/>
    <n v="2693"/>
    <n v="0"/>
    <s v="9828007 BK"/>
    <m/>
    <n v="1127.146"/>
    <n v="0"/>
    <n v="58260"/>
  </r>
  <r>
    <x v="17"/>
    <s v="02561-5"/>
    <s v="Farum Park"/>
    <n v="5468"/>
    <m/>
    <s v="Farum Park"/>
    <x v="132"/>
    <x v="0"/>
    <x v="0"/>
    <n v="1984"/>
    <n v="5"/>
    <m/>
    <n v="0"/>
    <n v="12237"/>
    <n v="9.2108999999999996E-2"/>
    <n v="3"/>
    <x v="0"/>
    <x v="4385"/>
    <n v="1984"/>
    <n v="0"/>
    <m/>
    <m/>
    <m/>
    <n v="0"/>
    <n v="58260"/>
  </r>
  <r>
    <x v="17"/>
    <s v="02561-5"/>
    <s v="Farum Park"/>
    <n v="5468"/>
    <m/>
    <s v="Farum Park"/>
    <x v="132"/>
    <x v="1"/>
    <x v="0"/>
    <n v="0"/>
    <n v="5"/>
    <s v="2015-05-04"/>
    <n v="0"/>
    <n v="12237"/>
    <n v="0"/>
    <n v="3"/>
    <x v="0"/>
    <x v="1"/>
    <n v="0"/>
    <n v="0"/>
    <s v="65122167  bane vand"/>
    <m/>
    <n v="0"/>
    <n v="0"/>
    <n v="92976"/>
  </r>
  <r>
    <x v="17"/>
    <s v="04310-9"/>
    <s v="Fuglsang, Farum Hovedgade 84"/>
    <n v="5954"/>
    <m/>
    <s v="Fuglsang"/>
    <x v="135"/>
    <x v="1"/>
    <x v="0"/>
    <n v="50.37"/>
    <n v="5"/>
    <s v="2011-11-30"/>
    <n v="0"/>
    <n v="475"/>
    <n v="0.106019"/>
    <n v="3"/>
    <x v="0"/>
    <x v="4386"/>
    <n v="40.299999999999997"/>
    <n v="0"/>
    <s v="98391706"/>
    <m/>
    <n v="50.372999999999998"/>
    <n v="0"/>
    <n v="59982"/>
  </r>
  <r>
    <x v="17"/>
    <s v="04310-9"/>
    <s v="Fuglsang, Farum Hovedgade 84"/>
    <n v="5954"/>
    <m/>
    <s v="Fuglsang"/>
    <x v="135"/>
    <x v="1"/>
    <x v="1"/>
    <n v="203.36"/>
    <n v="12"/>
    <s v="2011-11-30"/>
    <n v="0"/>
    <n v="475"/>
    <n v="0.42803600000000003"/>
    <n v="3"/>
    <x v="0"/>
    <x v="4387"/>
    <n v="162.68"/>
    <n v="0"/>
    <s v="98391706"/>
    <m/>
    <n v="203.37"/>
    <n v="0"/>
    <n v="59982"/>
  </r>
  <r>
    <x v="17"/>
    <s v="04310-9"/>
    <s v="Fuglsang, Farum Hovedgade 84"/>
    <n v="5954"/>
    <m/>
    <s v="Fuglsang"/>
    <x v="135"/>
    <x v="1"/>
    <x v="2"/>
    <n v="247.37"/>
    <n v="12"/>
    <s v="2011-11-30"/>
    <n v="0"/>
    <n v="475"/>
    <n v="0.52066900000000005"/>
    <n v="3"/>
    <x v="0"/>
    <x v="4388"/>
    <n v="197.9"/>
    <n v="0"/>
    <s v="98391706"/>
    <m/>
    <n v="247.36743000000001"/>
    <n v="0"/>
    <n v="59982"/>
  </r>
  <r>
    <x v="17"/>
    <s v="04310-9"/>
    <s v="Fuglsang, Farum Hovedgade 84"/>
    <n v="5954"/>
    <m/>
    <s v="Fuglsang"/>
    <x v="135"/>
    <x v="1"/>
    <x v="3"/>
    <n v="223.19"/>
    <n v="12"/>
    <s v="2011-11-30"/>
    <n v="0"/>
    <n v="475"/>
    <n v="0.46977400000000002"/>
    <n v="3"/>
    <x v="0"/>
    <x v="4389"/>
    <n v="178.55"/>
    <n v="0"/>
    <s v="98391706"/>
    <m/>
    <n v="223.18672000000001"/>
    <n v="0"/>
    <n v="59982"/>
  </r>
  <r>
    <x v="17"/>
    <s v="04310-9"/>
    <s v="Fuglsang, Farum Hovedgade 84"/>
    <n v="5954"/>
    <m/>
    <s v="Fuglsang"/>
    <x v="135"/>
    <x v="1"/>
    <x v="4"/>
    <n v="352.01"/>
    <n v="11"/>
    <s v="2011-11-30"/>
    <n v="0"/>
    <n v="475"/>
    <n v="0.74091700000000005"/>
    <n v="3"/>
    <x v="0"/>
    <x v="4390"/>
    <n v="281.64"/>
    <n v="0"/>
    <s v="98391706"/>
    <m/>
    <n v="352.02656000000002"/>
    <n v="0"/>
    <n v="59982"/>
  </r>
  <r>
    <x v="17"/>
    <s v="04310-9"/>
    <s v="Fuglsang, Farum Hovedgade 84"/>
    <n v="5954"/>
    <m/>
    <s v="Fuglsang"/>
    <x v="135"/>
    <x v="1"/>
    <x v="5"/>
    <n v="240.17"/>
    <n v="11"/>
    <s v="2011-11-30"/>
    <n v="0"/>
    <n v="475"/>
    <n v="0.50551400000000002"/>
    <n v="3"/>
    <x v="0"/>
    <x v="4391"/>
    <n v="192.15"/>
    <n v="0"/>
    <s v="98391706"/>
    <m/>
    <n v="240.17122000000001"/>
    <n v="0"/>
    <n v="59982"/>
  </r>
  <r>
    <x v="17"/>
    <s v="04310-9"/>
    <s v="Fuglsang, Farum Hovedgade 84"/>
    <n v="5954"/>
    <m/>
    <s v="Fuglsang"/>
    <x v="135"/>
    <x v="1"/>
    <x v="6"/>
    <n v="196.73"/>
    <n v="12"/>
    <s v="2011-11-30"/>
    <n v="0"/>
    <n v="475"/>
    <n v="0.41408099999999998"/>
    <n v="3"/>
    <x v="0"/>
    <x v="4392"/>
    <n v="157.38"/>
    <n v="0"/>
    <s v="98391706"/>
    <m/>
    <n v="196.73255"/>
    <n v="0"/>
    <n v="59982"/>
  </r>
  <r>
    <x v="17"/>
    <s v="03888-1"/>
    <s v="Furesøgård - UDLEJET"/>
    <n v="5429"/>
    <m/>
    <s v="Furesøgård - UDLEJET"/>
    <x v="136"/>
    <x v="1"/>
    <x v="0"/>
    <n v="91.3"/>
    <n v="5"/>
    <m/>
    <n v="0"/>
    <n v="1747"/>
    <n v="5.2257999999999999E-2"/>
    <n v="3"/>
    <x v="0"/>
    <x v="4393"/>
    <n v="73.03"/>
    <n v="0"/>
    <s v="04016440"/>
    <m/>
    <n v="91.298000000000002"/>
    <n v="0"/>
    <n v="57410"/>
  </r>
  <r>
    <x v="17"/>
    <s v="03888-1"/>
    <s v="Furesøgård - UDLEJET"/>
    <n v="5429"/>
    <m/>
    <s v="Furesøgård - UDLEJET"/>
    <x v="136"/>
    <x v="1"/>
    <x v="1"/>
    <n v="385.16"/>
    <n v="12"/>
    <m/>
    <n v="0"/>
    <n v="1747"/>
    <n v="0.22045600000000001"/>
    <n v="3"/>
    <x v="0"/>
    <x v="4394"/>
    <n v="308.12"/>
    <n v="0"/>
    <s v="04016440"/>
    <m/>
    <n v="385.15800000000002"/>
    <n v="0"/>
    <n v="57410"/>
  </r>
  <r>
    <x v="17"/>
    <s v="03888-1"/>
    <s v="Furesøgård - UDLEJET"/>
    <n v="5429"/>
    <m/>
    <s v="Furesøgård - UDLEJET"/>
    <x v="136"/>
    <x v="1"/>
    <x v="2"/>
    <n v="417.53"/>
    <n v="12"/>
    <m/>
    <n v="0"/>
    <n v="1747"/>
    <n v="0.238984"/>
    <n v="3"/>
    <x v="0"/>
    <x v="4395"/>
    <n v="334.03"/>
    <n v="0"/>
    <s v="04016440"/>
    <m/>
    <n v="417.54199999999997"/>
    <n v="0"/>
    <n v="57410"/>
  </r>
  <r>
    <x v="17"/>
    <m/>
    <s v="Overgangsboligerne Lillevangspark 8"/>
    <n v="13988"/>
    <s v="0"/>
    <s v="Overgangsboligerne Lillevangspark 8"/>
    <x v="133"/>
    <x v="1"/>
    <x v="7"/>
    <n v="11823.91"/>
    <n v="3"/>
    <s v="2014-11-07"/>
    <n v="0"/>
    <n v="0"/>
    <n v="118239.1"/>
    <n v="1"/>
    <x v="5"/>
    <x v="4396"/>
    <n v="630.11"/>
    <n v="0"/>
    <s v="948570"/>
    <m/>
    <n v="11.82391"/>
    <n v="0"/>
    <n v="94860"/>
  </r>
  <r>
    <x v="17"/>
    <s v="03888-1"/>
    <s v="Furesøgård - UDLEJET"/>
    <n v="5429"/>
    <m/>
    <s v="Furesøgård - UDLEJET"/>
    <x v="136"/>
    <x v="1"/>
    <x v="3"/>
    <n v="612.1"/>
    <n v="12"/>
    <m/>
    <n v="0"/>
    <n v="1747"/>
    <n v="0.350352"/>
    <n v="3"/>
    <x v="0"/>
    <x v="4397"/>
    <n v="489.71"/>
    <n v="0"/>
    <s v="04016440"/>
    <m/>
    <n v="612.11546999999996"/>
    <n v="0"/>
    <n v="57410"/>
  </r>
  <r>
    <x v="17"/>
    <s v="03888-1"/>
    <s v="Furesøgård - UDLEJET"/>
    <n v="5429"/>
    <m/>
    <s v="Furesøgård - UDLEJET"/>
    <x v="136"/>
    <x v="1"/>
    <x v="4"/>
    <n v="531.07000000000005"/>
    <n v="12"/>
    <m/>
    <n v="0"/>
    <n v="1747"/>
    <n v="0.30397200000000002"/>
    <n v="3"/>
    <x v="0"/>
    <x v="4398"/>
    <n v="424.85"/>
    <n v="0"/>
    <s v="04016440"/>
    <m/>
    <n v="531.07351000000006"/>
    <n v="0"/>
    <n v="57410"/>
  </r>
  <r>
    <x v="17"/>
    <s v="03888-1"/>
    <s v="Furesøgård - UDLEJET"/>
    <n v="5429"/>
    <m/>
    <s v="Furesøgård - UDLEJET"/>
    <x v="136"/>
    <x v="1"/>
    <x v="5"/>
    <n v="359.24"/>
    <n v="12"/>
    <m/>
    <n v="0"/>
    <n v="1747"/>
    <n v="0.20562"/>
    <n v="3"/>
    <x v="0"/>
    <x v="4399"/>
    <n v="287.43"/>
    <n v="0"/>
    <s v="04016440"/>
    <m/>
    <n v="359.274"/>
    <n v="0"/>
    <n v="57410"/>
  </r>
  <r>
    <x v="17"/>
    <s v="03888-1"/>
    <s v="Furesøgård - UDLEJET"/>
    <n v="5429"/>
    <m/>
    <s v="Furesøgård - UDLEJET"/>
    <x v="136"/>
    <x v="1"/>
    <x v="6"/>
    <n v="406.32"/>
    <n v="12"/>
    <m/>
    <n v="0"/>
    <n v="1747"/>
    <n v="0.232568"/>
    <n v="3"/>
    <x v="0"/>
    <x v="4400"/>
    <n v="325.06"/>
    <n v="0"/>
    <s v="04016440"/>
    <m/>
    <n v="406.31900000000002"/>
    <n v="0"/>
    <n v="57410"/>
  </r>
  <r>
    <x v="17"/>
    <s v="05359-7"/>
    <s v="Idræt Fritid"/>
    <n v="5265"/>
    <m/>
    <s v="Idræt Fritid"/>
    <x v="137"/>
    <x v="1"/>
    <x v="0"/>
    <n v="52.13"/>
    <n v="5"/>
    <s v="2005-05-01"/>
    <n v="0"/>
    <n v="585"/>
    <n v="8.9094999999999994E-2"/>
    <n v="3"/>
    <x v="0"/>
    <x v="4401"/>
    <n v="41.71"/>
    <n v="0"/>
    <s v="BK"/>
    <m/>
    <n v="52.137999999999998"/>
    <n v="0"/>
    <n v="56775"/>
  </r>
  <r>
    <x v="17"/>
    <s v="05359-7"/>
    <s v="Idræt Fritid"/>
    <n v="5265"/>
    <m/>
    <s v="Idræt Fritid"/>
    <x v="137"/>
    <x v="1"/>
    <x v="1"/>
    <n v="136.71"/>
    <n v="12"/>
    <s v="2005-05-01"/>
    <n v="0"/>
    <n v="585"/>
    <n v="0.233652"/>
    <n v="3"/>
    <x v="0"/>
    <x v="4402"/>
    <n v="109.38"/>
    <n v="0"/>
    <s v="BK"/>
    <m/>
    <n v="136.715"/>
    <n v="0"/>
    <n v="56775"/>
  </r>
  <r>
    <x v="17"/>
    <s v="05359-7"/>
    <s v="Idræt Fritid"/>
    <n v="5265"/>
    <m/>
    <s v="Idræt Fritid"/>
    <x v="137"/>
    <x v="1"/>
    <x v="2"/>
    <n v="129.1"/>
    <n v="12"/>
    <s v="2005-05-01"/>
    <n v="0"/>
    <n v="585"/>
    <n v="0.22064600000000001"/>
    <n v="3"/>
    <x v="0"/>
    <x v="4403"/>
    <n v="103.28"/>
    <n v="0"/>
    <s v="BK"/>
    <m/>
    <n v="129.101"/>
    <n v="0"/>
    <n v="56775"/>
  </r>
  <r>
    <x v="17"/>
    <s v="05359-7"/>
    <s v="Idræt Fritid"/>
    <n v="5265"/>
    <m/>
    <s v="Idræt Fritid"/>
    <x v="137"/>
    <x v="1"/>
    <x v="3"/>
    <n v="151.59"/>
    <n v="12"/>
    <s v="2005-05-01"/>
    <n v="0"/>
    <n v="585"/>
    <n v="0.25908300000000001"/>
    <n v="3"/>
    <x v="0"/>
    <x v="4404"/>
    <n v="121.28"/>
    <n v="0"/>
    <s v="BK"/>
    <m/>
    <n v="151.59"/>
    <n v="0"/>
    <n v="56775"/>
  </r>
  <r>
    <x v="17"/>
    <s v="05359-7"/>
    <s v="Idræt Fritid"/>
    <n v="5265"/>
    <m/>
    <s v="Idræt Fritid"/>
    <x v="137"/>
    <x v="1"/>
    <x v="4"/>
    <n v="162.44"/>
    <n v="12"/>
    <s v="2005-05-01"/>
    <n v="0"/>
    <n v="585"/>
    <n v="0.27762700000000001"/>
    <n v="3"/>
    <x v="0"/>
    <x v="4405"/>
    <n v="129.96"/>
    <n v="0"/>
    <s v="BK"/>
    <m/>
    <n v="162.44999999999999"/>
    <n v="0"/>
    <n v="56775"/>
  </r>
  <r>
    <x v="17"/>
    <s v="05359-7"/>
    <s v="Idræt Fritid"/>
    <n v="5265"/>
    <m/>
    <s v="Idræt Fritid"/>
    <x v="137"/>
    <x v="1"/>
    <x v="5"/>
    <n v="150.57"/>
    <n v="12"/>
    <s v="2005-05-01"/>
    <n v="0"/>
    <n v="585"/>
    <n v="0.25734000000000001"/>
    <n v="3"/>
    <x v="0"/>
    <x v="4406"/>
    <n v="120.48"/>
    <n v="0"/>
    <s v="BK"/>
    <m/>
    <n v="150.58199999999999"/>
    <n v="0"/>
    <n v="56775"/>
  </r>
  <r>
    <x v="17"/>
    <s v="05359-7"/>
    <s v="Idræt Fritid"/>
    <n v="5265"/>
    <m/>
    <s v="Idræt Fritid"/>
    <x v="137"/>
    <x v="1"/>
    <x v="6"/>
    <n v="170.8"/>
    <n v="12"/>
    <s v="2005-05-01"/>
    <n v="0"/>
    <n v="585"/>
    <n v="0.29191499999999998"/>
    <n v="3"/>
    <x v="0"/>
    <x v="4407"/>
    <n v="136.65"/>
    <n v="0"/>
    <s v="BK"/>
    <m/>
    <n v="170.797"/>
    <n v="0"/>
    <n v="56775"/>
  </r>
  <r>
    <x v="17"/>
    <s v="5359-7"/>
    <s v="Idræt Klub"/>
    <n v="5266"/>
    <m/>
    <s v="Idræt Klub"/>
    <x v="138"/>
    <x v="1"/>
    <x v="0"/>
    <n v="65.23"/>
    <n v="5"/>
    <s v="2005-05-01"/>
    <n v="0"/>
    <n v="585"/>
    <n v="0.111485"/>
    <n v="3"/>
    <x v="0"/>
    <x v="4408"/>
    <n v="52.18"/>
    <n v="0"/>
    <s v="BK 548872"/>
    <m/>
    <n v="65.224000000000004"/>
    <n v="0"/>
    <n v="56781"/>
  </r>
  <r>
    <x v="17"/>
    <s v="5359-7"/>
    <s v="Idræt Klub"/>
    <n v="5266"/>
    <m/>
    <s v="Idræt Klub"/>
    <x v="138"/>
    <x v="1"/>
    <x v="1"/>
    <n v="184.54"/>
    <n v="12"/>
    <s v="2005-05-01"/>
    <n v="0"/>
    <n v="585"/>
    <n v="0.31539899999999998"/>
    <n v="3"/>
    <x v="0"/>
    <x v="4409"/>
    <n v="147.62"/>
    <n v="0"/>
    <s v="BK 548872"/>
    <m/>
    <n v="184.541"/>
    <n v="0"/>
    <n v="56781"/>
  </r>
  <r>
    <x v="17"/>
    <s v="5359-7"/>
    <s v="Idræt Klub"/>
    <n v="5266"/>
    <m/>
    <s v="Idræt Klub"/>
    <x v="138"/>
    <x v="1"/>
    <x v="2"/>
    <n v="172.84"/>
    <n v="12"/>
    <s v="2005-05-01"/>
    <n v="0"/>
    <n v="585"/>
    <n v="0.295402"/>
    <n v="3"/>
    <x v="0"/>
    <x v="4410"/>
    <n v="138.26"/>
    <n v="0"/>
    <s v="BK 548872"/>
    <m/>
    <n v="172.82400000000001"/>
    <n v="0"/>
    <n v="56781"/>
  </r>
  <r>
    <x v="17"/>
    <s v="5359-7"/>
    <s v="Idræt Klub"/>
    <n v="5266"/>
    <m/>
    <s v="Idræt Klub"/>
    <x v="138"/>
    <x v="1"/>
    <x v="3"/>
    <n v="176.38"/>
    <n v="12"/>
    <s v="2005-05-01"/>
    <n v="0"/>
    <n v="585"/>
    <n v="0.301452"/>
    <n v="3"/>
    <x v="0"/>
    <x v="4411"/>
    <n v="141.09"/>
    <n v="0"/>
    <s v="BK 548872"/>
    <m/>
    <n v="176.369"/>
    <n v="0"/>
    <n v="56781"/>
  </r>
  <r>
    <x v="17"/>
    <s v="5359-7"/>
    <s v="Idræt Klub"/>
    <n v="5266"/>
    <m/>
    <s v="Idræt Klub"/>
    <x v="138"/>
    <x v="1"/>
    <x v="4"/>
    <n v="212.72"/>
    <n v="12"/>
    <s v="2005-05-01"/>
    <n v="0"/>
    <n v="585"/>
    <n v="0.36356100000000002"/>
    <n v="3"/>
    <x v="0"/>
    <x v="4412"/>
    <n v="170.18"/>
    <n v="0"/>
    <s v="BK 548872"/>
    <m/>
    <n v="212.726"/>
    <n v="0"/>
    <n v="56781"/>
  </r>
  <r>
    <x v="17"/>
    <s v="5359-7"/>
    <s v="Idræt Klub"/>
    <n v="5266"/>
    <m/>
    <s v="Idræt Klub"/>
    <x v="138"/>
    <x v="1"/>
    <x v="5"/>
    <n v="234.8"/>
    <n v="12"/>
    <s v="2005-05-01"/>
    <n v="0"/>
    <n v="585"/>
    <n v="0.40129799999999999"/>
    <n v="3"/>
    <x v="0"/>
    <x v="4413"/>
    <n v="187.86"/>
    <n v="0"/>
    <s v="BK 548872"/>
    <m/>
    <n v="234.80500000000001"/>
    <n v="0"/>
    <n v="56781"/>
  </r>
  <r>
    <x v="17"/>
    <m/>
    <s v="Overgangsboligerne Lillevangspark 8"/>
    <n v="13988"/>
    <s v="0"/>
    <s v="Overgangsboligerne Lillevangspark 8"/>
    <x v="133"/>
    <x v="1"/>
    <x v="7"/>
    <n v="5495.49"/>
    <n v="2"/>
    <s v="2014-11-07"/>
    <n v="0"/>
    <n v="0"/>
    <n v="54954.9"/>
    <n v="2"/>
    <x v="2"/>
    <x v="4414"/>
    <n v="1648.63"/>
    <n v="0"/>
    <s v="784016-36317 / 70-19972"/>
    <s v="74111477900"/>
    <n v="5495.4843000000001"/>
    <n v="0"/>
    <n v="92749"/>
  </r>
  <r>
    <x v="17"/>
    <s v="5359-7"/>
    <s v="Idræt Klub"/>
    <n v="5266"/>
    <m/>
    <s v="Idræt Klub"/>
    <x v="138"/>
    <x v="1"/>
    <x v="6"/>
    <n v="211.86"/>
    <n v="12"/>
    <s v="2005-05-01"/>
    <n v="0"/>
    <n v="585"/>
    <n v="0.362091"/>
    <n v="3"/>
    <x v="0"/>
    <x v="4415"/>
    <n v="169.49"/>
    <n v="0"/>
    <s v="BK 548872"/>
    <m/>
    <n v="211.86"/>
    <n v="0"/>
    <n v="56781"/>
  </r>
  <r>
    <x v="17"/>
    <s v="1937"/>
    <s v="Lerstedet 1"/>
    <n v="13666"/>
    <s v="0"/>
    <s v="Lerstedet 1A-E"/>
    <x v="139"/>
    <x v="1"/>
    <x v="1"/>
    <n v="129.75"/>
    <n v="2"/>
    <s v="2014-12-10"/>
    <n v="0"/>
    <n v="1155"/>
    <n v="0.112327"/>
    <n v="3"/>
    <x v="0"/>
    <x v="4416"/>
    <n v="103.83"/>
    <n v="0"/>
    <s v="02pc501321"/>
    <m/>
    <n v="129.76373000000001"/>
    <n v="0"/>
    <n v="91260"/>
  </r>
  <r>
    <x v="17"/>
    <s v="1937"/>
    <s v="Lerstedet 1"/>
    <n v="13666"/>
    <s v="0"/>
    <s v="Lerstedet 1A-E"/>
    <x v="139"/>
    <x v="1"/>
    <x v="2"/>
    <n v="7.33"/>
    <n v="1"/>
    <s v="2014-12-10"/>
    <n v="0"/>
    <n v="1155"/>
    <n v="6.3449999999999999E-3"/>
    <n v="3"/>
    <x v="0"/>
    <x v="4417"/>
    <n v="5.87"/>
    <n v="0"/>
    <s v="02pc501321"/>
    <m/>
    <n v="7.3333300000000001"/>
    <n v="0"/>
    <n v="91260"/>
  </r>
  <r>
    <x v="17"/>
    <s v="7662"/>
    <s v="Lille Bjørn, Kålund 24"/>
    <n v="13868"/>
    <s v="0"/>
    <s v="Lille Bjørn"/>
    <x v="140"/>
    <x v="1"/>
    <x v="0"/>
    <n v="133.13"/>
    <n v="5"/>
    <s v="2014-03-31"/>
    <n v="0"/>
    <n v="867"/>
    <n v="0.153534"/>
    <n v="3"/>
    <x v="0"/>
    <x v="4418"/>
    <n v="106.5"/>
    <n v="0"/>
    <s v="06 452924"/>
    <m/>
    <n v="133.126"/>
    <n v="0"/>
    <n v="92217"/>
  </r>
  <r>
    <x v="17"/>
    <s v="7662"/>
    <s v="Lille Bjørn, Kålund 24"/>
    <n v="13868"/>
    <s v="0"/>
    <s v="Lille Bjørn"/>
    <x v="140"/>
    <x v="1"/>
    <x v="1"/>
    <n v="311.85000000000002"/>
    <n v="4"/>
    <s v="2014-03-31"/>
    <n v="0"/>
    <n v="867"/>
    <n v="0.35964699999999999"/>
    <n v="3"/>
    <x v="0"/>
    <x v="4419"/>
    <n v="249.47"/>
    <n v="0"/>
    <s v="06 452924"/>
    <m/>
    <n v="311.84782999999999"/>
    <n v="0"/>
    <n v="92217"/>
  </r>
  <r>
    <x v="17"/>
    <s v="????"/>
    <s v="Skomagerbakken P. E. Rasmunnens Vej 3"/>
    <n v="6370"/>
    <m/>
    <s v="Skomagerbakken"/>
    <x v="141"/>
    <x v="1"/>
    <x v="0"/>
    <n v="38.31"/>
    <n v="5"/>
    <s v="2011-11-30"/>
    <n v="0"/>
    <n v="99"/>
    <n v="0.38657900000000001"/>
    <n v="3"/>
    <x v="0"/>
    <x v="4420"/>
    <n v="30.66"/>
    <n v="0"/>
    <s v="98392295"/>
    <m/>
    <n v="38.311"/>
    <n v="0"/>
    <n v="62723"/>
  </r>
  <r>
    <x v="17"/>
    <s v="????"/>
    <s v="Skomagerbakken P. E. Rasmunnens Vej 3"/>
    <n v="6370"/>
    <m/>
    <s v="Skomagerbakken"/>
    <x v="141"/>
    <x v="1"/>
    <x v="1"/>
    <n v="95.31"/>
    <n v="12"/>
    <s v="2011-11-30"/>
    <n v="0"/>
    <n v="99"/>
    <n v="0.96175500000000003"/>
    <n v="3"/>
    <x v="0"/>
    <x v="4421"/>
    <n v="76.25"/>
    <n v="0"/>
    <s v="98392295"/>
    <m/>
    <n v="95.311999999999998"/>
    <n v="0"/>
    <n v="62723"/>
  </r>
  <r>
    <x v="17"/>
    <s v="????"/>
    <s v="Skomagerbakken P. E. Rasmunnens Vej 3"/>
    <n v="6370"/>
    <m/>
    <s v="Skomagerbakken"/>
    <x v="141"/>
    <x v="1"/>
    <x v="2"/>
    <n v="91.66"/>
    <n v="12"/>
    <s v="2011-11-30"/>
    <n v="0"/>
    <n v="99"/>
    <n v="0.92492399999999997"/>
    <n v="3"/>
    <x v="0"/>
    <x v="4422"/>
    <n v="73.33"/>
    <n v="0"/>
    <s v="98392295"/>
    <m/>
    <n v="91.67"/>
    <n v="0"/>
    <n v="62723"/>
  </r>
  <r>
    <x v="17"/>
    <s v="????"/>
    <s v="Skomagerbakken P. E. Rasmunnens Vej 3"/>
    <n v="6370"/>
    <m/>
    <s v="Skomagerbakken"/>
    <x v="141"/>
    <x v="1"/>
    <x v="3"/>
    <n v="76.14"/>
    <n v="6"/>
    <s v="2011-11-30"/>
    <n v="0"/>
    <n v="99"/>
    <n v="0.76831400000000005"/>
    <n v="3"/>
    <x v="0"/>
    <x v="4423"/>
    <n v="60.93"/>
    <n v="0"/>
    <s v="98392295"/>
    <m/>
    <n v="76.15701"/>
    <n v="0"/>
    <n v="62723"/>
  </r>
  <r>
    <x v="17"/>
    <s v="????"/>
    <s v="Skomagerbakken P. E. Rasmunnens Vej 3"/>
    <n v="6370"/>
    <m/>
    <s v="Skomagerbakken"/>
    <x v="141"/>
    <x v="1"/>
    <x v="4"/>
    <n v="67.91"/>
    <n v="5"/>
    <s v="2011-11-30"/>
    <n v="0"/>
    <n v="99"/>
    <n v="0.68526699999999996"/>
    <n v="3"/>
    <x v="0"/>
    <x v="4424"/>
    <n v="54.35"/>
    <n v="0"/>
    <s v="98392295"/>
    <m/>
    <n v="67.935400000000001"/>
    <n v="0"/>
    <n v="62723"/>
  </r>
  <r>
    <x v="17"/>
    <s v="????"/>
    <s v="Skomagerbakken P. E. Rasmunnens Vej 3"/>
    <n v="6370"/>
    <m/>
    <s v="Skomagerbakken"/>
    <x v="141"/>
    <x v="1"/>
    <x v="5"/>
    <n v="68.14"/>
    <n v="6"/>
    <s v="2011-11-30"/>
    <n v="0"/>
    <n v="99"/>
    <n v="0.68758799999999998"/>
    <n v="3"/>
    <x v="0"/>
    <x v="4425"/>
    <n v="54.55"/>
    <n v="0"/>
    <s v="98392295"/>
    <m/>
    <n v="68.165940000000006"/>
    <n v="0"/>
    <n v="62723"/>
  </r>
  <r>
    <x v="17"/>
    <s v="????"/>
    <s v="Skomagerbakken P. E. Rasmunnens Vej 3"/>
    <n v="6370"/>
    <m/>
    <s v="Skomagerbakken"/>
    <x v="141"/>
    <x v="1"/>
    <x v="6"/>
    <n v="77.319999999999993"/>
    <n v="5"/>
    <s v="2011-11-30"/>
    <n v="0"/>
    <n v="99"/>
    <n v="0.78022100000000005"/>
    <n v="3"/>
    <x v="0"/>
    <x v="4426"/>
    <n v="61.85"/>
    <n v="0"/>
    <s v="98392295"/>
    <m/>
    <n v="77.31371"/>
    <n v="0"/>
    <n v="62723"/>
  </r>
  <r>
    <x v="17"/>
    <s v="03972-1"/>
    <s v="Solhøjgård - UDLEJET"/>
    <n v="5953"/>
    <m/>
    <s v="Solhøjgård"/>
    <x v="142"/>
    <x v="1"/>
    <x v="0"/>
    <n v="36.630000000000003"/>
    <n v="5"/>
    <s v="2011-12-31"/>
    <n v="0"/>
    <n v="272"/>
    <n v="0.13461899999999999"/>
    <n v="3"/>
    <x v="0"/>
    <x v="4427"/>
    <n v="29.29"/>
    <n v="0"/>
    <s v="97600445"/>
    <m/>
    <n v="36.617429999999999"/>
    <n v="0"/>
    <n v="59979"/>
  </r>
  <r>
    <x v="17"/>
    <s v="03972-1"/>
    <s v="Solhøjgård - UDLEJET"/>
    <n v="5953"/>
    <m/>
    <s v="Solhøjgård"/>
    <x v="142"/>
    <x v="1"/>
    <x v="1"/>
    <n v="163.51"/>
    <n v="12"/>
    <s v="2011-12-31"/>
    <n v="0"/>
    <n v="272"/>
    <n v="0.60091799999999995"/>
    <n v="3"/>
    <x v="0"/>
    <x v="4428"/>
    <n v="130.79"/>
    <n v="0"/>
    <s v="97600445"/>
    <m/>
    <n v="163.50334000000001"/>
    <n v="0"/>
    <n v="59979"/>
  </r>
  <r>
    <x v="17"/>
    <s v="03972-1"/>
    <s v="Solhøjgård - UDLEJET"/>
    <n v="5953"/>
    <m/>
    <s v="Solhøjgård"/>
    <x v="142"/>
    <x v="1"/>
    <x v="2"/>
    <n v="174.01"/>
    <n v="12"/>
    <s v="2011-12-31"/>
    <n v="0"/>
    <n v="272"/>
    <n v="0.63950700000000005"/>
    <n v="3"/>
    <x v="0"/>
    <x v="4429"/>
    <n v="139.21"/>
    <n v="0"/>
    <s v="97600445"/>
    <m/>
    <n v="174.00001"/>
    <n v="0"/>
    <n v="59979"/>
  </r>
  <r>
    <x v="17"/>
    <s v="03972-1"/>
    <s v="Solhøjgård - UDLEJET"/>
    <n v="5953"/>
    <m/>
    <s v="Solhøjgård"/>
    <x v="142"/>
    <x v="1"/>
    <x v="3"/>
    <n v="264.43"/>
    <n v="10"/>
    <s v="2011-12-31"/>
    <n v="0"/>
    <n v="272"/>
    <n v="0.97181099999999998"/>
    <n v="3"/>
    <x v="0"/>
    <x v="4430"/>
    <n v="211.55"/>
    <n v="0"/>
    <s v="97600445"/>
    <m/>
    <n v="264.43671999999998"/>
    <n v="0"/>
    <n v="59979"/>
  </r>
  <r>
    <x v="17"/>
    <s v="03972-1"/>
    <s v="Solhøjgård - UDLEJET"/>
    <n v="5953"/>
    <m/>
    <s v="Solhøjgård"/>
    <x v="142"/>
    <x v="1"/>
    <x v="4"/>
    <n v="265.27999999999997"/>
    <n v="4"/>
    <s v="2011-12-31"/>
    <n v="0"/>
    <n v="272"/>
    <n v="0.974935"/>
    <n v="3"/>
    <x v="0"/>
    <x v="4431"/>
    <n v="212.21"/>
    <n v="0"/>
    <s v="97600445"/>
    <m/>
    <n v="265.28377999999998"/>
    <n v="0"/>
    <n v="59979"/>
  </r>
  <r>
    <x v="17"/>
    <s v="03972-1"/>
    <s v="Solhøjgård - UDLEJET"/>
    <n v="5953"/>
    <m/>
    <s v="Solhøjgård"/>
    <x v="142"/>
    <x v="1"/>
    <x v="5"/>
    <n v="152.11000000000001"/>
    <n v="1"/>
    <s v="2011-12-31"/>
    <n v="0"/>
    <n v="272"/>
    <n v="0.55902200000000002"/>
    <n v="3"/>
    <x v="0"/>
    <x v="4432"/>
    <n v="121.66"/>
    <n v="0"/>
    <s v="97600445"/>
    <m/>
    <n v="152.08452"/>
    <n v="0"/>
    <n v="59979"/>
  </r>
  <r>
    <x v="17"/>
    <s v="03972-1"/>
    <s v="Solhøjgård - UDLEJET"/>
    <n v="5953"/>
    <m/>
    <s v="Solhøjgård"/>
    <x v="142"/>
    <x v="1"/>
    <x v="6"/>
    <n v="126.72"/>
    <n v="3"/>
    <s v="2011-12-31"/>
    <n v="0"/>
    <n v="272"/>
    <n v="0.46571099999999999"/>
    <n v="3"/>
    <x v="0"/>
    <x v="4433"/>
    <n v="101.34"/>
    <n v="0"/>
    <s v="97600445"/>
    <m/>
    <n v="126.71760999999999"/>
    <n v="0"/>
    <n v="59979"/>
  </r>
  <r>
    <x v="17"/>
    <m/>
    <s v="Stenvadhallen"/>
    <n v="13534"/>
    <s v="0"/>
    <s v="Stenvadhallen"/>
    <x v="143"/>
    <x v="1"/>
    <x v="0"/>
    <n v="195.57"/>
    <n v="3"/>
    <s v="2015-05-04"/>
    <n v="0"/>
    <n v="2088"/>
    <n v="9.3659000000000006E-2"/>
    <n v="3"/>
    <x v="0"/>
    <x v="4434"/>
    <n v="0"/>
    <n v="1"/>
    <s v="Koldt vand 5019440"/>
    <m/>
    <n v="195.57144"/>
    <n v="0"/>
    <n v="90572"/>
  </r>
  <r>
    <x v="17"/>
    <m/>
    <s v="Stenvadhallen"/>
    <n v="13534"/>
    <s v="0"/>
    <s v="Stenvadhallen"/>
    <x v="143"/>
    <x v="1"/>
    <x v="1"/>
    <n v="396.15"/>
    <n v="6"/>
    <s v="2014-11-02"/>
    <n v="0"/>
    <n v="2088"/>
    <n v="0.189717"/>
    <n v="3"/>
    <x v="8"/>
    <x v="4435"/>
    <n v="0"/>
    <n v="1"/>
    <s v="Cirkul. 6508842 ?"/>
    <m/>
    <n v="396151.74047999998"/>
    <n v="0"/>
    <n v="90570"/>
  </r>
  <r>
    <x v="17"/>
    <m/>
    <s v="Stenvadhallen"/>
    <n v="13534"/>
    <s v="0"/>
    <s v="Stenvadhallen"/>
    <x v="143"/>
    <x v="1"/>
    <x v="1"/>
    <n v="549.16"/>
    <n v="6"/>
    <s v="2014-11-02"/>
    <n v="0"/>
    <n v="2088"/>
    <n v="0.26299499999999998"/>
    <n v="3"/>
    <x v="8"/>
    <x v="4436"/>
    <n v="0"/>
    <n v="1"/>
    <s v="Varmt brugsvand 6508842 ?"/>
    <m/>
    <n v="549161.41304000001"/>
    <n v="0"/>
    <n v="90571"/>
  </r>
  <r>
    <x v="17"/>
    <m/>
    <s v="Stenvadhallen"/>
    <n v="13534"/>
    <s v="0"/>
    <s v="Stenvadhallen"/>
    <x v="143"/>
    <x v="1"/>
    <x v="1"/>
    <n v="195.71"/>
    <n v="6"/>
    <s v="2015-05-04"/>
    <n v="0"/>
    <n v="2088"/>
    <n v="9.3726000000000004E-2"/>
    <n v="3"/>
    <x v="0"/>
    <x v="4437"/>
    <n v="0"/>
    <n v="1"/>
    <s v="Koldt vand 5019440"/>
    <m/>
    <n v="195.71983"/>
    <n v="0"/>
    <n v="90572"/>
  </r>
  <r>
    <x v="17"/>
    <m/>
    <s v="Stenvadhallen"/>
    <n v="13534"/>
    <s v="0"/>
    <s v="Stenvadhallen"/>
    <x v="143"/>
    <x v="1"/>
    <x v="2"/>
    <n v="394.13"/>
    <n v="6"/>
    <s v="2014-11-02"/>
    <n v="0"/>
    <n v="2088"/>
    <n v="0.18875"/>
    <n v="3"/>
    <x v="8"/>
    <x v="4438"/>
    <n v="0"/>
    <n v="1"/>
    <s v="Cirkul. 6508842 ?"/>
    <m/>
    <n v="394128.23285999999"/>
    <n v="0"/>
    <n v="90570"/>
  </r>
  <r>
    <x v="17"/>
    <m/>
    <s v="Stenvadhallen"/>
    <n v="13534"/>
    <s v="0"/>
    <s v="Stenvadhallen"/>
    <x v="143"/>
    <x v="1"/>
    <x v="2"/>
    <n v="553.89"/>
    <n v="6"/>
    <s v="2014-11-02"/>
    <n v="0"/>
    <n v="2088"/>
    <n v="0.26526"/>
    <n v="3"/>
    <x v="8"/>
    <x v="4439"/>
    <n v="0"/>
    <n v="1"/>
    <s v="Varmt brugsvand 6508842 ?"/>
    <m/>
    <n v="553884.62902999995"/>
    <n v="0"/>
    <n v="90571"/>
  </r>
  <r>
    <x v="17"/>
    <m/>
    <s v="Stenvadhallen"/>
    <n v="13534"/>
    <s v="0"/>
    <s v="Stenvadhallen"/>
    <x v="143"/>
    <x v="1"/>
    <x v="2"/>
    <n v="212.91"/>
    <n v="6"/>
    <s v="2015-05-04"/>
    <n v="0"/>
    <n v="2088"/>
    <n v="0.101963"/>
    <n v="3"/>
    <x v="0"/>
    <x v="4440"/>
    <n v="0"/>
    <n v="1"/>
    <s v="Koldt vand 5019440"/>
    <m/>
    <n v="212.92238"/>
    <n v="0"/>
    <n v="90572"/>
  </r>
  <r>
    <x v="17"/>
    <m/>
    <s v="Stenvadhallen"/>
    <n v="13534"/>
    <s v="0"/>
    <s v="Stenvadhallen"/>
    <x v="143"/>
    <x v="1"/>
    <x v="3"/>
    <n v="424.1"/>
    <n v="2"/>
    <s v="2014-11-02"/>
    <n v="0"/>
    <n v="2088"/>
    <n v="0.20310300000000001"/>
    <n v="3"/>
    <x v="8"/>
    <x v="4441"/>
    <n v="0"/>
    <n v="1"/>
    <s v="Cirkul. 6508842 ?"/>
    <m/>
    <n v="424078.91201999999"/>
    <n v="0"/>
    <n v="90570"/>
  </r>
  <r>
    <x v="17"/>
    <m/>
    <s v="Stenvadhallen"/>
    <n v="13534"/>
    <s v="0"/>
    <s v="Stenvadhallen"/>
    <x v="143"/>
    <x v="1"/>
    <x v="3"/>
    <n v="541.42999999999995"/>
    <n v="2"/>
    <s v="2014-11-02"/>
    <n v="0"/>
    <n v="2088"/>
    <n v="0.259293"/>
    <n v="3"/>
    <x v="8"/>
    <x v="4442"/>
    <n v="0"/>
    <n v="1"/>
    <s v="Varmt brugsvand 6508842 ?"/>
    <m/>
    <n v="541451.14373000001"/>
    <n v="0"/>
    <n v="90571"/>
  </r>
  <r>
    <x v="17"/>
    <m/>
    <s v="Stenvadhallen"/>
    <n v="13534"/>
    <s v="0"/>
    <s v="Stenvadhallen"/>
    <x v="143"/>
    <x v="1"/>
    <x v="3"/>
    <n v="193.3"/>
    <n v="2"/>
    <s v="2015-05-04"/>
    <n v="0"/>
    <n v="2088"/>
    <n v="9.2572000000000002E-2"/>
    <n v="3"/>
    <x v="0"/>
    <x v="4443"/>
    <n v="0"/>
    <n v="1"/>
    <s v="Koldt vand 5019440"/>
    <m/>
    <n v="193.30206000000001"/>
    <n v="0"/>
    <n v="90572"/>
  </r>
  <r>
    <x v="17"/>
    <m/>
    <s v="Stenvadhallen"/>
    <n v="13534"/>
    <s v="0"/>
    <s v="Stenvadhallen"/>
    <x v="143"/>
    <x v="1"/>
    <x v="4"/>
    <n v="41.94"/>
    <n v="1"/>
    <s v="2014-11-02"/>
    <n v="0"/>
    <n v="2088"/>
    <n v="2.0084999999999999E-2"/>
    <n v="3"/>
    <x v="8"/>
    <x v="4444"/>
    <n v="0"/>
    <n v="1"/>
    <s v="Cirkul. 6508842 ?"/>
    <m/>
    <n v="41943.636359999997"/>
    <n v="0"/>
    <n v="90570"/>
  </r>
  <r>
    <x v="17"/>
    <m/>
    <s v="Stenvadhallen"/>
    <n v="13534"/>
    <s v="0"/>
    <s v="Stenvadhallen"/>
    <x v="143"/>
    <x v="1"/>
    <x v="4"/>
    <n v="38.65"/>
    <n v="1"/>
    <s v="2014-11-02"/>
    <n v="0"/>
    <n v="2088"/>
    <n v="1.8509000000000001E-2"/>
    <n v="3"/>
    <x v="8"/>
    <x v="4445"/>
    <n v="0"/>
    <n v="1"/>
    <s v="Varmt brugsvand 6508842 ?"/>
    <m/>
    <n v="38652.727270000003"/>
    <n v="0"/>
    <n v="90571"/>
  </r>
  <r>
    <x v="17"/>
    <m/>
    <s v="Stenvadhallen"/>
    <n v="13534"/>
    <s v="0"/>
    <s v="Stenvadhallen"/>
    <x v="143"/>
    <x v="1"/>
    <x v="4"/>
    <n v="231.18"/>
    <n v="2"/>
    <s v="2015-05-04"/>
    <n v="0"/>
    <n v="2088"/>
    <n v="0.11071300000000001"/>
    <n v="3"/>
    <x v="0"/>
    <x v="4446"/>
    <n v="0"/>
    <n v="1"/>
    <s v="Koldt vand 5019440"/>
    <m/>
    <n v="231.17417"/>
    <n v="0"/>
    <n v="90572"/>
  </r>
  <r>
    <x v="17"/>
    <m/>
    <s v="Stenvadhallen"/>
    <n v="13534"/>
    <s v="0"/>
    <s v="Stenvadhallen"/>
    <x v="143"/>
    <x v="1"/>
    <x v="5"/>
    <n v="157.01"/>
    <n v="1"/>
    <s v="2015-05-04"/>
    <n v="0"/>
    <n v="2088"/>
    <n v="7.5191999999999995E-2"/>
    <n v="3"/>
    <x v="0"/>
    <x v="4447"/>
    <n v="0"/>
    <n v="1"/>
    <s v="Koldt vand 5019440"/>
    <m/>
    <n v="157.00766999999999"/>
    <n v="0"/>
    <n v="90572"/>
  </r>
  <r>
    <x v="17"/>
    <m/>
    <s v="Ballerupvej 29 - Udlejet"/>
    <n v="10275"/>
    <m/>
    <s v="Ballerupvej 29"/>
    <x v="125"/>
    <x v="1"/>
    <x v="0"/>
    <n v="40730.26"/>
    <n v="5"/>
    <s v="2011-11-29"/>
    <n v="0"/>
    <n v="551"/>
    <n v="73.907202999999996"/>
    <n v="1"/>
    <x v="4"/>
    <x v="4448"/>
    <n v="8613.7000000000007"/>
    <n v="0"/>
    <s v="1540749"/>
    <s v="98001309450"/>
    <n v="3771.32"/>
    <n v="0"/>
    <n v="77675"/>
  </r>
  <r>
    <x v="17"/>
    <m/>
    <s v="Ballerupvej 29 - Udlejet"/>
    <n v="10275"/>
    <m/>
    <s v="Ballerupvej 29"/>
    <x v="125"/>
    <x v="1"/>
    <x v="1"/>
    <n v="84278.57"/>
    <n v="12"/>
    <s v="2011-11-29"/>
    <n v="0"/>
    <n v="551"/>
    <n v="152.927907"/>
    <n v="1"/>
    <x v="4"/>
    <x v="4449"/>
    <n v="17823.36"/>
    <n v="0"/>
    <s v="1540749"/>
    <s v="98001309450"/>
    <n v="7803.57"/>
    <n v="0"/>
    <n v="77675"/>
  </r>
  <r>
    <x v="17"/>
    <m/>
    <s v="Ballerupvej 29 - Udlejet"/>
    <n v="10275"/>
    <m/>
    <s v="Ballerupvej 29"/>
    <x v="125"/>
    <x v="1"/>
    <x v="2"/>
    <n v="81237.91"/>
    <n v="12"/>
    <s v="2011-11-29"/>
    <n v="0"/>
    <n v="551"/>
    <n v="147.41046900000001"/>
    <n v="1"/>
    <x v="4"/>
    <x v="4450"/>
    <n v="17180.32"/>
    <n v="0"/>
    <s v="1540749"/>
    <s v="98001309450"/>
    <n v="7522.03"/>
    <n v="0"/>
    <n v="77675"/>
  </r>
  <r>
    <x v="17"/>
    <m/>
    <s v="Ballerupvej 29 - Udlejet"/>
    <n v="10275"/>
    <m/>
    <s v="Ballerupvej 29"/>
    <x v="125"/>
    <x v="1"/>
    <x v="3"/>
    <n v="56370.07"/>
    <n v="4"/>
    <s v="2011-11-29"/>
    <n v="0"/>
    <n v="551"/>
    <n v="102.286463"/>
    <n v="1"/>
    <x v="4"/>
    <x v="4451"/>
    <n v="11921.22"/>
    <n v="0"/>
    <s v="1540749"/>
    <s v="98001309450"/>
    <n v="5219.4508500000002"/>
    <n v="0"/>
    <n v="77675"/>
  </r>
  <r>
    <x v="17"/>
    <m/>
    <s v="Ballerupvej 29 - Udlejet"/>
    <n v="10275"/>
    <m/>
    <s v="Ballerupvej 29"/>
    <x v="125"/>
    <x v="1"/>
    <x v="4"/>
    <n v="64454.43"/>
    <n v="2"/>
    <s v="2011-11-29"/>
    <n v="0"/>
    <n v="551"/>
    <n v="116.95596"/>
    <n v="1"/>
    <x v="4"/>
    <x v="4452"/>
    <n v="13630.93"/>
    <n v="0"/>
    <s v="1540749"/>
    <s v="98001309450"/>
    <n v="5968.0036499999997"/>
    <n v="0"/>
    <n v="77675"/>
  </r>
  <r>
    <x v="17"/>
    <m/>
    <s v="Poppelgården ungdomsboliger UDLEJET"/>
    <n v="10616"/>
    <m/>
    <s v="Poppelgården"/>
    <x v="144"/>
    <x v="1"/>
    <x v="7"/>
    <n v="128510.11"/>
    <n v="12"/>
    <s v="2011-12-31"/>
    <n v="0"/>
    <n v="0"/>
    <n v="1285101.1000000001"/>
    <n v="1"/>
    <x v="1"/>
    <x v="4453"/>
    <n v="28322.07"/>
    <n v="0"/>
    <m/>
    <m/>
    <n v="128510.11"/>
    <n v="0"/>
    <n v="90988"/>
  </r>
  <r>
    <x v="17"/>
    <m/>
    <s v="Ballerupvej 29 - Udlejet"/>
    <n v="10275"/>
    <m/>
    <s v="Ballerupvej 29"/>
    <x v="125"/>
    <x v="1"/>
    <x v="5"/>
    <n v="81017.06"/>
    <n v="2"/>
    <s v="2011-11-29"/>
    <n v="0"/>
    <n v="551"/>
    <n v="147.009726"/>
    <n v="1"/>
    <x v="4"/>
    <x v="4454"/>
    <n v="17133.64"/>
    <n v="0"/>
    <s v="1540749"/>
    <s v="98001309450"/>
    <n v="7501.5808299999999"/>
    <n v="0"/>
    <n v="77675"/>
  </r>
  <r>
    <x v="17"/>
    <m/>
    <s v="Ballerupvej 29 - Udlejet"/>
    <n v="10275"/>
    <m/>
    <s v="Ballerupvej 29"/>
    <x v="125"/>
    <x v="1"/>
    <x v="6"/>
    <n v="62805.63"/>
    <n v="2"/>
    <s v="2011-11-29"/>
    <n v="0"/>
    <n v="551"/>
    <n v="113.96412599999999"/>
    <n v="1"/>
    <x v="4"/>
    <x v="4455"/>
    <n v="13282.22"/>
    <n v="0"/>
    <s v="1540749"/>
    <s v="98001309450"/>
    <n v="5815.3372099999997"/>
    <n v="0"/>
    <n v="77675"/>
  </r>
  <r>
    <x v="17"/>
    <s v="02561-5"/>
    <s v="Farum Park"/>
    <n v="6026"/>
    <m/>
    <s v="Bimåler F.K."/>
    <x v="132"/>
    <x v="1"/>
    <x v="0"/>
    <n v="126998.77"/>
    <n v="5"/>
    <s v="2015-05-04"/>
    <n v="0"/>
    <n v="0"/>
    <n v="1269987.7"/>
    <n v="1"/>
    <x v="1"/>
    <x v="4456"/>
    <n v="26906738.550000001"/>
    <n v="1"/>
    <s v="40014450 RA C/D"/>
    <m/>
    <n v="126998.77142999999"/>
    <n v="0"/>
    <n v="60556"/>
  </r>
  <r>
    <x v="17"/>
    <s v="02561-5"/>
    <s v="Farum Park"/>
    <n v="6026"/>
    <m/>
    <s v="Bimåler F.K."/>
    <x v="132"/>
    <x v="1"/>
    <x v="1"/>
    <n v="188600.11"/>
    <n v="12"/>
    <s v="2015-05-04"/>
    <n v="0"/>
    <n v="0"/>
    <n v="1886001.1"/>
    <n v="1"/>
    <x v="1"/>
    <x v="4457"/>
    <n v="35561.910000000003"/>
    <n v="1"/>
    <s v="40014450 RA C/D"/>
    <m/>
    <n v="188600.09487999999"/>
    <n v="0"/>
    <n v="60556"/>
  </r>
  <r>
    <x v="17"/>
    <s v="02561-5"/>
    <s v="Farum Park"/>
    <n v="6026"/>
    <m/>
    <s v="Bimåler F.K."/>
    <x v="132"/>
    <x v="1"/>
    <x v="2"/>
    <n v="232561.53"/>
    <n v="12"/>
    <s v="2015-05-04"/>
    <n v="0"/>
    <n v="0"/>
    <n v="2325615.2999999998"/>
    <n v="1"/>
    <x v="1"/>
    <x v="4458"/>
    <n v="45296.07"/>
    <n v="1"/>
    <s v="40014450 RA C/D"/>
    <m/>
    <n v="232561.52585999999"/>
    <n v="0"/>
    <n v="60556"/>
  </r>
  <r>
    <x v="17"/>
    <s v="02561-5"/>
    <s v="Farum Park"/>
    <n v="6026"/>
    <m/>
    <s v="Bimåler F.K."/>
    <x v="132"/>
    <x v="1"/>
    <x v="3"/>
    <n v="197954.3"/>
    <n v="12"/>
    <s v="2015-05-04"/>
    <n v="0"/>
    <n v="0"/>
    <n v="1979543"/>
    <n v="1"/>
    <x v="1"/>
    <x v="4459"/>
    <n v="39587.93"/>
    <n v="1"/>
    <s v="40014450 RA C/D"/>
    <m/>
    <n v="197954.30301999999"/>
    <n v="0"/>
    <n v="60556"/>
  </r>
  <r>
    <x v="17"/>
    <s v="02561-5"/>
    <s v="Farum Park"/>
    <n v="6026"/>
    <m/>
    <s v="Bimåler F.K."/>
    <x v="132"/>
    <x v="1"/>
    <x v="4"/>
    <n v="269779.40000000002"/>
    <n v="12"/>
    <s v="2015-05-04"/>
    <n v="0"/>
    <n v="0"/>
    <n v="2697794"/>
    <n v="1"/>
    <x v="1"/>
    <x v="4460"/>
    <n v="45213.15"/>
    <n v="1"/>
    <s v="40014450 RA C/D"/>
    <m/>
    <n v="269779.40642000001"/>
    <n v="0"/>
    <n v="60556"/>
  </r>
  <r>
    <x v="17"/>
    <s v="02561-5"/>
    <s v="Farum Park"/>
    <n v="6026"/>
    <m/>
    <s v="Bimåler F.K."/>
    <x v="132"/>
    <x v="1"/>
    <x v="5"/>
    <n v="185249.57"/>
    <n v="12"/>
    <s v="2015-05-04"/>
    <n v="0"/>
    <n v="0"/>
    <n v="1852495.7"/>
    <n v="1"/>
    <x v="1"/>
    <x v="4461"/>
    <n v="36699.300000000003"/>
    <n v="1"/>
    <s v="40014450 RA C/D"/>
    <m/>
    <n v="185249.568"/>
    <n v="0"/>
    <n v="60556"/>
  </r>
  <r>
    <x v="17"/>
    <s v="02561-5"/>
    <s v="Farum Park"/>
    <n v="6026"/>
    <m/>
    <s v="Bimåler F.K."/>
    <x v="132"/>
    <x v="1"/>
    <x v="6"/>
    <n v="151068.96"/>
    <n v="11"/>
    <s v="2015-05-04"/>
    <n v="0"/>
    <n v="0"/>
    <n v="1510689.6"/>
    <n v="1"/>
    <x v="1"/>
    <x v="4462"/>
    <n v="32534.94"/>
    <n v="1"/>
    <s v="40014450 RA C/D"/>
    <m/>
    <n v="151068.96496000001"/>
    <n v="0"/>
    <n v="60556"/>
  </r>
  <r>
    <x v="17"/>
    <s v="02561-5"/>
    <s v="Farum Park"/>
    <n v="6027"/>
    <m/>
    <s v="Bimåler FCN"/>
    <x v="132"/>
    <x v="1"/>
    <x v="0"/>
    <n v="38953.06"/>
    <n v="5"/>
    <s v="2015-05-04"/>
    <n v="0"/>
    <n v="0"/>
    <n v="389530.6"/>
    <n v="1"/>
    <x v="1"/>
    <x v="4463"/>
    <n v="8238995.3499999996"/>
    <n v="1"/>
    <s v="EM6 RA 1.sal Trb.C"/>
    <m/>
    <n v="38953.057139999997"/>
    <n v="0"/>
    <n v="60567"/>
  </r>
  <r>
    <x v="17"/>
    <s v="02561-5"/>
    <s v="Farum Park"/>
    <n v="6027"/>
    <m/>
    <s v="Bimåler FCN"/>
    <x v="132"/>
    <x v="1"/>
    <x v="1"/>
    <n v="19833.14"/>
    <n v="1"/>
    <s v="2014-02-01"/>
    <n v="0"/>
    <n v="0"/>
    <n v="198331.4"/>
    <n v="1"/>
    <x v="1"/>
    <x v="4464"/>
    <n v="5263.38"/>
    <n v="1"/>
    <s v="EM3 Suiter"/>
    <m/>
    <n v="19833.14128"/>
    <n v="0"/>
    <n v="60565"/>
  </r>
  <r>
    <x v="17"/>
    <s v="02561-5"/>
    <s v="Farum Park"/>
    <n v="6027"/>
    <m/>
    <s v="Bimåler FCN"/>
    <x v="132"/>
    <x v="1"/>
    <x v="1"/>
    <n v="19157.650000000001"/>
    <n v="1"/>
    <s v="2014-02-01"/>
    <n v="0"/>
    <n v="0"/>
    <n v="191576.5"/>
    <n v="1"/>
    <x v="1"/>
    <x v="4465"/>
    <n v="5125.7299999999996"/>
    <n v="1"/>
    <s v="EM1 Loger"/>
    <m/>
    <n v="19157.633890000001"/>
    <n v="0"/>
    <n v="60564"/>
  </r>
  <r>
    <x v="17"/>
    <s v="02561-5"/>
    <s v="Farum Park"/>
    <n v="6027"/>
    <m/>
    <s v="Bimåler FCN"/>
    <x v="132"/>
    <x v="1"/>
    <x v="1"/>
    <n v="59077.42"/>
    <n v="12"/>
    <s v="2015-05-04"/>
    <n v="0"/>
    <n v="0"/>
    <n v="590774.19999999995"/>
    <n v="1"/>
    <x v="1"/>
    <x v="4466"/>
    <n v="11146.79"/>
    <n v="1"/>
    <s v="EM6 RA 1.sal Trb.C"/>
    <m/>
    <n v="59077.421249999999"/>
    <n v="0"/>
    <n v="60567"/>
  </r>
  <r>
    <x v="17"/>
    <s v="02561-5"/>
    <s v="Farum Park"/>
    <n v="6027"/>
    <m/>
    <s v="Bimåler FCN"/>
    <x v="132"/>
    <x v="1"/>
    <x v="2"/>
    <n v="16356.65"/>
    <n v="12"/>
    <s v="2014-02-01"/>
    <n v="0"/>
    <n v="0"/>
    <n v="163566.5"/>
    <n v="1"/>
    <x v="1"/>
    <x v="4467"/>
    <n v="2913.29"/>
    <n v="1"/>
    <s v="EM3 Suiter"/>
    <m/>
    <n v="16356.64617"/>
    <n v="0"/>
    <n v="60565"/>
  </r>
  <r>
    <x v="17"/>
    <s v="02561-5"/>
    <s v="Farum Park"/>
    <n v="6027"/>
    <m/>
    <s v="Bimåler FCN"/>
    <x v="132"/>
    <x v="1"/>
    <x v="2"/>
    <n v="6122.85"/>
    <n v="1"/>
    <s v="2014-02-01"/>
    <n v="0"/>
    <n v="0"/>
    <n v="61228.5"/>
    <n v="1"/>
    <x v="1"/>
    <x v="4468"/>
    <n v="1263.1400000000001"/>
    <n v="1"/>
    <s v="EM1 Loger"/>
    <m/>
    <n v="6122.8251200000004"/>
    <n v="0"/>
    <n v="60564"/>
  </r>
  <r>
    <x v="17"/>
    <s v="02561-5"/>
    <s v="Farum Park"/>
    <n v="6027"/>
    <m/>
    <s v="Bimåler FCN"/>
    <x v="132"/>
    <x v="1"/>
    <x v="2"/>
    <n v="82768.38"/>
    <n v="12"/>
    <s v="2015-05-04"/>
    <n v="0"/>
    <n v="0"/>
    <n v="827683.8"/>
    <n v="1"/>
    <x v="1"/>
    <x v="4469"/>
    <n v="15900.92"/>
    <n v="1"/>
    <s v="EM6 RA 1.sal Trb.C"/>
    <m/>
    <n v="82768.383239999996"/>
    <n v="0"/>
    <n v="60567"/>
  </r>
  <r>
    <x v="17"/>
    <s v="02561-5"/>
    <s v="Farum Park"/>
    <n v="6027"/>
    <m/>
    <s v="Bimåler FCN"/>
    <x v="132"/>
    <x v="1"/>
    <x v="3"/>
    <n v="65823.03"/>
    <n v="11"/>
    <s v="2014-02-01"/>
    <n v="0"/>
    <n v="0"/>
    <n v="658230.30000000005"/>
    <n v="1"/>
    <x v="1"/>
    <x v="4470"/>
    <n v="14698.58"/>
    <n v="1"/>
    <s v="EM3 Suiter"/>
    <m/>
    <n v="65823.030310000002"/>
    <n v="0"/>
    <n v="60565"/>
  </r>
  <r>
    <x v="17"/>
    <s v="02561-5"/>
    <s v="Farum Park"/>
    <n v="6027"/>
    <m/>
    <s v="Bimåler FCN"/>
    <x v="132"/>
    <x v="1"/>
    <x v="3"/>
    <n v="59715.58"/>
    <n v="12"/>
    <s v="2015-05-04"/>
    <n v="0"/>
    <n v="0"/>
    <n v="597155.80000000005"/>
    <n v="1"/>
    <x v="1"/>
    <x v="4471"/>
    <n v="11969.48"/>
    <n v="1"/>
    <s v="EM6 RA 1.sal Trb.C"/>
    <m/>
    <n v="59715.57576"/>
    <n v="0"/>
    <n v="60567"/>
  </r>
  <r>
    <x v="17"/>
    <s v="02561-5"/>
    <s v="Farum Park"/>
    <n v="6027"/>
    <m/>
    <s v="Bimåler FCN"/>
    <x v="132"/>
    <x v="1"/>
    <x v="3"/>
    <n v="10901.34"/>
    <n v="11"/>
    <s v="2014-02-01"/>
    <n v="0"/>
    <n v="0"/>
    <n v="109013.4"/>
    <n v="1"/>
    <x v="1"/>
    <x v="4472"/>
    <n v="2434.3200000000002"/>
    <n v="1"/>
    <s v="EM1 Loger"/>
    <m/>
    <n v="10901.333339999999"/>
    <n v="0"/>
    <n v="60564"/>
  </r>
  <r>
    <x v="17"/>
    <s v="02561-5"/>
    <s v="Farum Park"/>
    <n v="6027"/>
    <m/>
    <s v="Bimåler FCN"/>
    <x v="132"/>
    <x v="1"/>
    <x v="4"/>
    <n v="0"/>
    <n v="11"/>
    <s v="2014-02-01"/>
    <n v="0"/>
    <n v="0"/>
    <n v="0"/>
    <n v="1"/>
    <x v="1"/>
    <x v="1"/>
    <n v="0"/>
    <n v="1"/>
    <s v="EM1 Loger"/>
    <m/>
    <n v="0"/>
    <n v="0"/>
    <n v="60564"/>
  </r>
  <r>
    <x v="17"/>
    <s v="02561-5"/>
    <s v="Farum Park"/>
    <n v="6027"/>
    <m/>
    <s v="Bimåler FCN"/>
    <x v="132"/>
    <x v="1"/>
    <x v="4"/>
    <n v="0"/>
    <n v="11"/>
    <s v="2014-02-01"/>
    <n v="0"/>
    <n v="0"/>
    <n v="0"/>
    <n v="1"/>
    <x v="1"/>
    <x v="1"/>
    <n v="0"/>
    <n v="1"/>
    <s v="EM3 Suiter"/>
    <m/>
    <n v="0"/>
    <n v="0"/>
    <n v="60565"/>
  </r>
  <r>
    <x v="17"/>
    <s v="02561-5"/>
    <s v="Farum Park"/>
    <n v="6027"/>
    <m/>
    <s v="Bimåler FCN"/>
    <x v="132"/>
    <x v="1"/>
    <x v="4"/>
    <n v="86614.39"/>
    <n v="12"/>
    <s v="2015-05-04"/>
    <n v="0"/>
    <n v="0"/>
    <n v="866143.9"/>
    <n v="1"/>
    <x v="1"/>
    <x v="4473"/>
    <n v="14526.42"/>
    <n v="1"/>
    <s v="EM6 RA 1.sal Trb.C"/>
    <m/>
    <n v="86614.393930000006"/>
    <n v="0"/>
    <n v="60567"/>
  </r>
  <r>
    <x v="17"/>
    <s v="02561-5"/>
    <s v="Farum Park"/>
    <n v="6027"/>
    <m/>
    <s v="Bimåler FCN"/>
    <x v="132"/>
    <x v="1"/>
    <x v="5"/>
    <n v="0"/>
    <n v="11"/>
    <s v="2014-02-01"/>
    <n v="0"/>
    <n v="0"/>
    <n v="0"/>
    <n v="1"/>
    <x v="1"/>
    <x v="1"/>
    <n v="0"/>
    <n v="1"/>
    <s v="EM3 Suiter"/>
    <m/>
    <n v="0"/>
    <n v="0"/>
    <n v="60565"/>
  </r>
  <r>
    <x v="17"/>
    <s v="02561-5"/>
    <s v="Farum Park"/>
    <n v="6027"/>
    <m/>
    <s v="Bimåler FCN"/>
    <x v="132"/>
    <x v="1"/>
    <x v="5"/>
    <n v="0"/>
    <n v="11"/>
    <s v="2014-02-01"/>
    <n v="0"/>
    <n v="0"/>
    <n v="0"/>
    <n v="1"/>
    <x v="1"/>
    <x v="1"/>
    <n v="0"/>
    <n v="1"/>
    <s v="EM1 Loger"/>
    <m/>
    <n v="0"/>
    <n v="0"/>
    <n v="60564"/>
  </r>
  <r>
    <x v="17"/>
    <s v="02561-5"/>
    <s v="Farum Park"/>
    <n v="6027"/>
    <m/>
    <s v="Bimåler FCN"/>
    <x v="132"/>
    <x v="1"/>
    <x v="5"/>
    <n v="33181.99"/>
    <n v="14"/>
    <s v="2015-05-04"/>
    <n v="0"/>
    <n v="0"/>
    <n v="331819.90000000002"/>
    <n v="1"/>
    <x v="1"/>
    <x v="4474"/>
    <n v="6409.62"/>
    <n v="1"/>
    <s v="EM6 RA 1.sal Trb.C"/>
    <m/>
    <n v="33181.968739999997"/>
    <n v="0"/>
    <n v="60567"/>
  </r>
  <r>
    <x v="17"/>
    <s v="02561-5"/>
    <s v="Farum Park"/>
    <n v="6027"/>
    <m/>
    <s v="Bimåler FCN"/>
    <x v="132"/>
    <x v="1"/>
    <x v="6"/>
    <n v="0"/>
    <n v="11"/>
    <s v="2014-02-01"/>
    <n v="0"/>
    <n v="0"/>
    <n v="0"/>
    <n v="1"/>
    <x v="1"/>
    <x v="1"/>
    <n v="0"/>
    <n v="1"/>
    <s v="EM3 Suiter"/>
    <m/>
    <n v="0"/>
    <n v="0"/>
    <n v="60565"/>
  </r>
  <r>
    <x v="17"/>
    <s v="02561-5"/>
    <s v="Farum Park"/>
    <n v="6027"/>
    <m/>
    <s v="Bimåler FCN"/>
    <x v="132"/>
    <x v="1"/>
    <x v="6"/>
    <n v="0"/>
    <n v="10"/>
    <s v="2014-02-01"/>
    <n v="0"/>
    <n v="0"/>
    <n v="0"/>
    <n v="1"/>
    <x v="1"/>
    <x v="1"/>
    <n v="0"/>
    <n v="1"/>
    <s v="EM1 Loger"/>
    <m/>
    <n v="0"/>
    <n v="0"/>
    <n v="60564"/>
  </r>
  <r>
    <x v="17"/>
    <s v="02561-5"/>
    <s v="Farum Park"/>
    <n v="6027"/>
    <m/>
    <s v="Bimåler FCN"/>
    <x v="132"/>
    <x v="1"/>
    <x v="6"/>
    <n v="13435.62"/>
    <n v="12"/>
    <s v="2015-05-04"/>
    <n v="0"/>
    <n v="0"/>
    <n v="134356.20000000001"/>
    <n v="1"/>
    <x v="1"/>
    <x v="4475"/>
    <n v="2899.24"/>
    <n v="1"/>
    <s v="EM6 RA 1.sal Trb.C"/>
    <m/>
    <n v="13435.60701"/>
    <n v="0"/>
    <n v="60567"/>
  </r>
  <r>
    <x v="17"/>
    <s v="02561-5"/>
    <s v="Farum Park"/>
    <n v="5468"/>
    <m/>
    <s v="Farum Park"/>
    <x v="132"/>
    <x v="0"/>
    <x v="0"/>
    <n v="232030"/>
    <n v="5"/>
    <m/>
    <n v="0"/>
    <n v="12237"/>
    <n v="11.742160999999999"/>
    <n v="1"/>
    <x v="1"/>
    <x v="4476"/>
    <n v="30158450.25"/>
    <n v="0"/>
    <s v="1056425"/>
    <m/>
    <n v="143690"/>
    <n v="0"/>
    <n v="57821"/>
  </r>
  <r>
    <x v="17"/>
    <s v="02561-5"/>
    <s v="Farum Park"/>
    <n v="5468"/>
    <m/>
    <s v="Farum Park"/>
    <x v="132"/>
    <x v="1"/>
    <x v="0"/>
    <n v="186570"/>
    <n v="5"/>
    <m/>
    <n v="0"/>
    <n v="12237"/>
    <n v="15.246259"/>
    <n v="1"/>
    <x v="1"/>
    <x v="4477"/>
    <n v="38735316.649999999"/>
    <n v="0"/>
    <s v="4105252"/>
    <m/>
    <n v="186570"/>
    <n v="0"/>
    <n v="57834"/>
  </r>
  <r>
    <x v="17"/>
    <s v="02561-5"/>
    <s v="Farum Park"/>
    <n v="5468"/>
    <m/>
    <s v="Farum Park"/>
    <x v="132"/>
    <x v="1"/>
    <x v="0"/>
    <n v="0"/>
    <n v="5"/>
    <m/>
    <n v="0"/>
    <n v="12237"/>
    <n v="0"/>
    <n v="1"/>
    <x v="3"/>
    <x v="1"/>
    <n v="0"/>
    <n v="1"/>
    <s v="1056425"/>
    <m/>
    <n v="0"/>
    <n v="57821"/>
    <n v="57832"/>
  </r>
  <r>
    <x v="17"/>
    <s v="02561-5"/>
    <s v="Farum Park"/>
    <n v="5468"/>
    <m/>
    <s v="Farum Park"/>
    <x v="132"/>
    <x v="1"/>
    <x v="0"/>
    <n v="135104.54"/>
    <n v="5"/>
    <m/>
    <n v="0"/>
    <n v="12237"/>
    <n v="11.040568"/>
    <n v="1"/>
    <x v="3"/>
    <x v="4478"/>
    <n v="803363.42"/>
    <n v="1"/>
    <s v="4105252"/>
    <m/>
    <n v="3872.3"/>
    <n v="57834"/>
    <n v="57835"/>
  </r>
  <r>
    <x v="17"/>
    <s v="02561-5"/>
    <s v="Farum Park"/>
    <n v="5468"/>
    <m/>
    <s v="Farum Park"/>
    <x v="132"/>
    <x v="1"/>
    <x v="1"/>
    <n v="227011.79"/>
    <n v="12"/>
    <m/>
    <n v="0"/>
    <n v="12237"/>
    <n v="18.551110000000001"/>
    <n v="1"/>
    <x v="3"/>
    <x v="4479"/>
    <n v="1321.49"/>
    <n v="1"/>
    <s v="4105252"/>
    <m/>
    <n v="6506.5"/>
    <n v="57834"/>
    <n v="57835"/>
  </r>
  <r>
    <x v="17"/>
    <s v="02561-5"/>
    <s v="Farum Park"/>
    <n v="5468"/>
    <m/>
    <s v="Farum Park"/>
    <x v="132"/>
    <x v="0"/>
    <x v="1"/>
    <n v="332970"/>
    <n v="12"/>
    <m/>
    <n v="0"/>
    <n v="12237"/>
    <n v="27.209878"/>
    <n v="1"/>
    <x v="1"/>
    <x v="4480"/>
    <n v="66555.72"/>
    <n v="0"/>
    <s v="1056425"/>
    <m/>
    <n v="332970"/>
    <n v="0"/>
    <n v="57821"/>
  </r>
  <r>
    <x v="17"/>
    <s v="02561-5"/>
    <s v="Farum Park"/>
    <n v="5468"/>
    <m/>
    <s v="Farum Park"/>
    <x v="132"/>
    <x v="1"/>
    <x v="1"/>
    <n v="265820"/>
    <n v="12"/>
    <m/>
    <n v="0"/>
    <n v="12237"/>
    <n v="21.722466000000001"/>
    <n v="1"/>
    <x v="1"/>
    <x v="4481"/>
    <n v="49920.31"/>
    <n v="0"/>
    <s v="4105252"/>
    <m/>
    <n v="265820"/>
    <n v="0"/>
    <n v="57834"/>
  </r>
  <r>
    <x v="17"/>
    <s v="02561-5"/>
    <s v="Farum Park"/>
    <n v="5468"/>
    <m/>
    <s v="Farum Park"/>
    <x v="132"/>
    <x v="1"/>
    <x v="1"/>
    <n v="335362.68"/>
    <n v="12"/>
    <m/>
    <n v="0"/>
    <n v="12237"/>
    <n v="27.405404000000001"/>
    <n v="1"/>
    <x v="3"/>
    <x v="4482"/>
    <n v="1872.2"/>
    <n v="1"/>
    <s v="1056425"/>
    <m/>
    <n v="9612.0000999999993"/>
    <n v="57821"/>
    <n v="57832"/>
  </r>
  <r>
    <x v="17"/>
    <s v="02561-5"/>
    <s v="Farum Park"/>
    <n v="5468"/>
    <m/>
    <s v="Farum Park"/>
    <x v="132"/>
    <x v="0"/>
    <x v="2"/>
    <n v="302980"/>
    <n v="12"/>
    <m/>
    <n v="0"/>
    <n v="12237"/>
    <n v="24.759134"/>
    <n v="1"/>
    <x v="1"/>
    <x v="4483"/>
    <n v="58909.48"/>
    <n v="0"/>
    <s v="1056425"/>
    <m/>
    <n v="302980"/>
    <n v="0"/>
    <n v="57821"/>
  </r>
  <r>
    <x v="17"/>
    <s v="02561-5"/>
    <s v="Farum Park"/>
    <n v="5468"/>
    <m/>
    <s v="Farum Park"/>
    <x v="132"/>
    <x v="1"/>
    <x v="2"/>
    <n v="285660"/>
    <n v="12"/>
    <m/>
    <n v="0"/>
    <n v="12237"/>
    <n v="23.343765999999999"/>
    <n v="1"/>
    <x v="1"/>
    <x v="4484"/>
    <n v="55258.19"/>
    <n v="0"/>
    <s v="4105252"/>
    <m/>
    <n v="285660"/>
    <n v="0"/>
    <n v="57834"/>
  </r>
  <r>
    <x v="17"/>
    <s v="02561-5"/>
    <s v="Farum Park"/>
    <n v="5468"/>
    <m/>
    <s v="Farum Park"/>
    <x v="132"/>
    <x v="1"/>
    <x v="2"/>
    <n v="201761.89"/>
    <n v="12"/>
    <m/>
    <n v="0"/>
    <n v="12237"/>
    <n v="16.487719999999999"/>
    <n v="1"/>
    <x v="3"/>
    <x v="4485"/>
    <n v="1112.0999999999999"/>
    <n v="1"/>
    <s v="1056425"/>
    <m/>
    <n v="5782.8"/>
    <n v="57821"/>
    <n v="57832"/>
  </r>
  <r>
    <x v="17"/>
    <s v="02561-5"/>
    <s v="Farum Park"/>
    <n v="5468"/>
    <m/>
    <s v="Farum Park"/>
    <x v="132"/>
    <x v="1"/>
    <x v="2"/>
    <n v="223770.51"/>
    <n v="12"/>
    <m/>
    <n v="0"/>
    <n v="12237"/>
    <n v="18.286235999999999"/>
    <n v="1"/>
    <x v="3"/>
    <x v="4486"/>
    <n v="1237.3"/>
    <n v="1"/>
    <s v="4105252"/>
    <m/>
    <n v="6413.6"/>
    <n v="57834"/>
    <n v="57835"/>
  </r>
  <r>
    <x v="17"/>
    <s v="02561-5"/>
    <s v="Farum Park"/>
    <n v="5468"/>
    <m/>
    <s v="Farum Park"/>
    <x v="132"/>
    <x v="0"/>
    <x v="3"/>
    <n v="288140"/>
    <n v="12"/>
    <m/>
    <n v="0"/>
    <n v="12237"/>
    <n v="23.546427999999999"/>
    <n v="1"/>
    <x v="1"/>
    <x v="4487"/>
    <n v="58350.06"/>
    <n v="0"/>
    <s v="1056425"/>
    <m/>
    <n v="288140"/>
    <n v="0"/>
    <n v="57821"/>
  </r>
  <r>
    <x v="17"/>
    <s v="02561-5"/>
    <s v="Farum Park"/>
    <n v="5468"/>
    <m/>
    <s v="Farum Park"/>
    <x v="132"/>
    <x v="1"/>
    <x v="3"/>
    <n v="235080"/>
    <n v="12"/>
    <m/>
    <n v="0"/>
    <n v="12237"/>
    <n v="19.210432999999998"/>
    <n v="1"/>
    <x v="1"/>
    <x v="4488"/>
    <n v="46326.59"/>
    <n v="0"/>
    <s v="4105252"/>
    <m/>
    <n v="235080"/>
    <n v="0"/>
    <n v="57834"/>
  </r>
  <r>
    <x v="17"/>
    <s v="02561-5"/>
    <s v="Farum Park"/>
    <n v="5468"/>
    <m/>
    <s v="Farum Park"/>
    <x v="132"/>
    <x v="1"/>
    <x v="3"/>
    <n v="187593.06"/>
    <n v="12"/>
    <m/>
    <n v="0"/>
    <n v="12237"/>
    <n v="15.329862"/>
    <n v="1"/>
    <x v="3"/>
    <x v="4489"/>
    <n v="1069.22"/>
    <n v="1"/>
    <s v="1056425"/>
    <m/>
    <n v="5376.7"/>
    <n v="57821"/>
    <n v="57832"/>
  </r>
  <r>
    <x v="17"/>
    <s v="02561-5"/>
    <s v="Farum Park"/>
    <n v="5468"/>
    <m/>
    <s v="Farum Park"/>
    <x v="132"/>
    <x v="1"/>
    <x v="3"/>
    <n v="165594.93"/>
    <n v="12"/>
    <m/>
    <n v="0"/>
    <n v="12237"/>
    <n v="13.532203000000001"/>
    <n v="1"/>
    <x v="3"/>
    <x v="4490"/>
    <n v="932.87"/>
    <n v="1"/>
    <s v="4105252"/>
    <m/>
    <n v="4746.2"/>
    <n v="57834"/>
    <n v="57835"/>
  </r>
  <r>
    <x v="17"/>
    <s v="02561-5"/>
    <s v="Farum Park"/>
    <n v="5468"/>
    <m/>
    <s v="Farum Park"/>
    <x v="132"/>
    <x v="0"/>
    <x v="4"/>
    <n v="338650"/>
    <n v="12"/>
    <m/>
    <n v="0"/>
    <n v="12237"/>
    <n v="27.674040000000002"/>
    <n v="1"/>
    <x v="1"/>
    <x v="4491"/>
    <n v="57279.72"/>
    <n v="0"/>
    <s v="1056425"/>
    <m/>
    <n v="338650"/>
    <n v="0"/>
    <n v="57821"/>
  </r>
  <r>
    <x v="17"/>
    <s v="02561-5"/>
    <s v="Farum Park"/>
    <n v="5468"/>
    <m/>
    <s v="Farum Park"/>
    <x v="132"/>
    <x v="1"/>
    <x v="4"/>
    <n v="328480"/>
    <n v="12"/>
    <m/>
    <n v="0"/>
    <n v="12237"/>
    <n v="26.842960999999999"/>
    <n v="1"/>
    <x v="1"/>
    <x v="4492"/>
    <n v="55631"/>
    <n v="0"/>
    <s v="4105252"/>
    <m/>
    <n v="328480"/>
    <n v="0"/>
    <n v="57834"/>
  </r>
  <r>
    <x v="17"/>
    <s v="02561-5"/>
    <s v="Farum Park"/>
    <n v="5468"/>
    <m/>
    <s v="Farum Park"/>
    <x v="132"/>
    <x v="1"/>
    <x v="4"/>
    <n v="227936.36"/>
    <n v="12"/>
    <m/>
    <n v="0"/>
    <n v="12237"/>
    <n v="18.626664000000002"/>
    <n v="1"/>
    <x v="3"/>
    <x v="4493"/>
    <n v="1114.96"/>
    <n v="1"/>
    <s v="1056425"/>
    <m/>
    <n v="6533"/>
    <n v="57821"/>
    <n v="57832"/>
  </r>
  <r>
    <x v="17"/>
    <s v="02561-5"/>
    <s v="Farum Park"/>
    <n v="5468"/>
    <m/>
    <s v="Farum Park"/>
    <x v="132"/>
    <x v="1"/>
    <x v="4"/>
    <n v="290106.86"/>
    <n v="12"/>
    <m/>
    <n v="0"/>
    <n v="12237"/>
    <n v="23.707156999999999"/>
    <n v="1"/>
    <x v="3"/>
    <x v="4494"/>
    <n v="1420.94"/>
    <n v="1"/>
    <s v="4105252"/>
    <m/>
    <n v="8314.9"/>
    <n v="57834"/>
    <n v="57835"/>
  </r>
  <r>
    <x v="17"/>
    <s v="????"/>
    <s v="Skomagerbakken P. E. Rasmunnens Vej 3"/>
    <n v="6370"/>
    <m/>
    <s v="Skomagerbakken"/>
    <x v="141"/>
    <x v="1"/>
    <x v="7"/>
    <n v="3067.89"/>
    <n v="12"/>
    <s v="2011-11-30"/>
    <n v="0"/>
    <n v="99"/>
    <n v="30.957516999999999"/>
    <n v="2"/>
    <x v="2"/>
    <x v="4495"/>
    <n v="1227.1600000000001"/>
    <n v="0"/>
    <s v="295729"/>
    <m/>
    <n v="3067.9070999999999"/>
    <n v="0"/>
    <n v="62721"/>
  </r>
  <r>
    <x v="17"/>
    <s v="????"/>
    <s v="Skomagerbakken P. E. Rasmunnens Vej 3"/>
    <n v="6370"/>
    <m/>
    <s v="Skomagerbakken"/>
    <x v="141"/>
    <x v="1"/>
    <x v="7"/>
    <n v="15165.25"/>
    <n v="12"/>
    <s v="2011-12-30"/>
    <n v="0"/>
    <n v="99"/>
    <n v="153.02976699999999"/>
    <n v="1"/>
    <x v="4"/>
    <x v="4496"/>
    <n v="3826.94"/>
    <n v="0"/>
    <s v="1105196"/>
    <m/>
    <n v="1404.19"/>
    <n v="0"/>
    <n v="62722"/>
  </r>
  <r>
    <x v="17"/>
    <s v="????"/>
    <s v="Skomagerbakken P. E. Rasmunnens Vej 3"/>
    <n v="6370"/>
    <m/>
    <s v="Skomagerbakken"/>
    <x v="141"/>
    <x v="1"/>
    <x v="7"/>
    <n v="94.74"/>
    <n v="12"/>
    <s v="2011-11-30"/>
    <n v="0"/>
    <n v="99"/>
    <n v="0.95600399999999996"/>
    <n v="3"/>
    <x v="0"/>
    <x v="4497"/>
    <n v="75.790000000000006"/>
    <n v="0"/>
    <s v="98392295"/>
    <m/>
    <n v="94.738"/>
    <n v="0"/>
    <n v="62723"/>
  </r>
  <r>
    <x v="17"/>
    <s v="02561-5"/>
    <s v="Farum Park"/>
    <n v="5468"/>
    <m/>
    <s v="Farum Park"/>
    <x v="132"/>
    <x v="1"/>
    <x v="5"/>
    <n v="216293.58"/>
    <n v="12"/>
    <m/>
    <n v="0"/>
    <n v="12237"/>
    <n v="17.675231"/>
    <n v="1"/>
    <x v="3"/>
    <x v="4498"/>
    <n v="1224.5"/>
    <n v="1"/>
    <s v="4105252"/>
    <m/>
    <n v="6199.3"/>
    <n v="57834"/>
    <n v="57835"/>
  </r>
  <r>
    <x v="17"/>
    <s v="02561-5"/>
    <s v="Farum Park"/>
    <n v="5468"/>
    <m/>
    <s v="Farum Park"/>
    <x v="132"/>
    <x v="0"/>
    <x v="5"/>
    <n v="263390"/>
    <n v="12"/>
    <m/>
    <n v="0"/>
    <n v="12237"/>
    <n v="21.523890000000002"/>
    <n v="1"/>
    <x v="1"/>
    <x v="4499"/>
    <n v="52136.75"/>
    <n v="0"/>
    <s v="1056425"/>
    <m/>
    <n v="263390"/>
    <n v="0"/>
    <n v="57821"/>
  </r>
  <r>
    <x v="17"/>
    <s v="03972-1"/>
    <s v="Solhøjgård - UDLEJET"/>
    <n v="5953"/>
    <m/>
    <s v="Solhøjgård"/>
    <x v="142"/>
    <x v="1"/>
    <x v="7"/>
    <n v="5866.99"/>
    <n v="12"/>
    <s v="2012-01-31"/>
    <n v="0"/>
    <n v="272"/>
    <n v="21.561889000000001"/>
    <n v="2"/>
    <x v="2"/>
    <x v="4500"/>
    <n v="2346.81"/>
    <n v="0"/>
    <s v="4031428"/>
    <m/>
    <n v="5867.0039999999999"/>
    <n v="0"/>
    <n v="59977"/>
  </r>
  <r>
    <x v="17"/>
    <s v="03972-1"/>
    <s v="Solhøjgård - UDLEJET"/>
    <n v="5953"/>
    <m/>
    <s v="Solhøjgård"/>
    <x v="142"/>
    <x v="1"/>
    <x v="7"/>
    <n v="44683.49"/>
    <n v="12"/>
    <s v="2011-12-31"/>
    <n v="0"/>
    <n v="272"/>
    <n v="164.217162"/>
    <n v="1"/>
    <x v="4"/>
    <x v="4501"/>
    <n v="11305.69"/>
    <n v="0"/>
    <s v="1171337"/>
    <s v="98000130192"/>
    <n v="4137.3599999999997"/>
    <n v="0"/>
    <n v="59978"/>
  </r>
  <r>
    <x v="17"/>
    <s v="03972-1"/>
    <s v="Solhøjgård - UDLEJET"/>
    <n v="5953"/>
    <m/>
    <s v="Solhøjgård"/>
    <x v="142"/>
    <x v="1"/>
    <x v="7"/>
    <n v="165.04"/>
    <n v="12"/>
    <s v="2011-12-31"/>
    <n v="0"/>
    <n v="272"/>
    <n v="0.606541"/>
    <n v="3"/>
    <x v="0"/>
    <x v="4502"/>
    <n v="132.08000000000001"/>
    <n v="0"/>
    <s v="97600445"/>
    <m/>
    <n v="165.07326"/>
    <n v="0"/>
    <n v="59979"/>
  </r>
  <r>
    <x v="17"/>
    <s v="02561-5"/>
    <s v="Farum Park"/>
    <n v="5468"/>
    <m/>
    <s v="Farum Park"/>
    <x v="132"/>
    <x v="1"/>
    <x v="5"/>
    <n v="224290"/>
    <n v="12"/>
    <m/>
    <n v="0"/>
    <n v="12237"/>
    <n v="18.328688"/>
    <n v="1"/>
    <x v="1"/>
    <x v="4503"/>
    <n v="43913.74"/>
    <n v="0"/>
    <s v="4105252"/>
    <m/>
    <n v="224290"/>
    <n v="0"/>
    <n v="57834"/>
  </r>
  <r>
    <x v="17"/>
    <s v="02561-5"/>
    <s v="Farum Park"/>
    <n v="5468"/>
    <m/>
    <s v="Farum Park"/>
    <x v="132"/>
    <x v="1"/>
    <x v="5"/>
    <n v="218673.09"/>
    <n v="12"/>
    <m/>
    <n v="0"/>
    <n v="12237"/>
    <n v="17.869682000000001"/>
    <n v="1"/>
    <x v="3"/>
    <x v="4504"/>
    <n v="1745.92"/>
    <n v="1"/>
    <s v="1056425"/>
    <m/>
    <n v="6267.5"/>
    <n v="57821"/>
    <n v="57832"/>
  </r>
  <r>
    <x v="17"/>
    <s v="02561-5"/>
    <s v="Farum Park"/>
    <n v="5468"/>
    <m/>
    <s v="Farum Park"/>
    <x v="132"/>
    <x v="0"/>
    <x v="6"/>
    <n v="122760"/>
    <n v="12"/>
    <m/>
    <n v="0"/>
    <n v="12237"/>
    <n v="10.031788000000001"/>
    <n v="1"/>
    <x v="1"/>
    <x v="4505"/>
    <n v="24771.99"/>
    <n v="0"/>
    <s v="1056425"/>
    <m/>
    <n v="122760"/>
    <n v="0"/>
    <n v="57821"/>
  </r>
  <r>
    <x v="17"/>
    <s v="02561-5"/>
    <s v="Farum Park"/>
    <n v="5468"/>
    <m/>
    <s v="Farum Park"/>
    <x v="132"/>
    <x v="1"/>
    <x v="6"/>
    <n v="84716.41"/>
    <n v="12"/>
    <m/>
    <n v="0"/>
    <n v="12237"/>
    <n v="6.9229149999999997"/>
    <n v="1"/>
    <x v="3"/>
    <x v="4506"/>
    <n v="482.14"/>
    <n v="1"/>
    <s v="1056425"/>
    <m/>
    <n v="2428.1"/>
    <n v="57821"/>
    <n v="57832"/>
  </r>
  <r>
    <x v="17"/>
    <m/>
    <s v="Stenvadhallen"/>
    <n v="13534"/>
    <s v="0"/>
    <s v="Stenvadhallen"/>
    <x v="143"/>
    <x v="1"/>
    <x v="7"/>
    <n v="134.82"/>
    <n v="10"/>
    <s v="2014-11-02"/>
    <n v="0"/>
    <n v="2088"/>
    <n v="6.4564999999999997E-2"/>
    <n v="3"/>
    <x v="8"/>
    <x v="4507"/>
    <n v="0"/>
    <n v="1"/>
    <s v="Cirkul. 6508842 ?"/>
    <m/>
    <n v="134830.47824999999"/>
    <n v="0"/>
    <n v="90570"/>
  </r>
  <r>
    <x v="17"/>
    <m/>
    <s v="Stenvadhallen"/>
    <n v="13534"/>
    <s v="0"/>
    <s v="Stenvadhallen"/>
    <x v="143"/>
    <x v="1"/>
    <x v="7"/>
    <n v="154.25"/>
    <n v="10"/>
    <s v="2014-11-02"/>
    <n v="0"/>
    <n v="2088"/>
    <n v="7.3870000000000005E-2"/>
    <n v="3"/>
    <x v="8"/>
    <x v="4508"/>
    <n v="0"/>
    <n v="1"/>
    <s v="Varmt brugsvand 6508842 ?"/>
    <m/>
    <n v="154237.08695999999"/>
    <n v="0"/>
    <n v="90571"/>
  </r>
  <r>
    <x v="17"/>
    <m/>
    <s v="Stenvadhallen"/>
    <n v="13534"/>
    <s v="0"/>
    <s v="Stenvadhallen"/>
    <x v="143"/>
    <x v="1"/>
    <x v="7"/>
    <n v="49937.05"/>
    <n v="11"/>
    <s v="2015-05-04"/>
    <n v="0"/>
    <n v="2088"/>
    <n v="23.915065999999999"/>
    <n v="2"/>
    <x v="2"/>
    <x v="4509"/>
    <n v="14981.11"/>
    <n v="0"/>
    <s v="15465"/>
    <m/>
    <n v="49937.038500000002"/>
    <n v="0"/>
    <n v="90569"/>
  </r>
  <r>
    <x v="17"/>
    <m/>
    <s v="Stenvadhallen"/>
    <n v="13534"/>
    <s v="0"/>
    <s v="Stenvadhallen"/>
    <x v="143"/>
    <x v="1"/>
    <x v="7"/>
    <n v="70113.05"/>
    <n v="10"/>
    <s v="2014-11-02"/>
    <n v="0"/>
    <n v="2088"/>
    <n v="33.577438000000001"/>
    <n v="1"/>
    <x v="5"/>
    <x v="4510"/>
    <n v="10512.04"/>
    <n v="0"/>
    <s v="6508842"/>
    <m/>
    <n v="70.113050000000001"/>
    <n v="0"/>
    <n v="90565"/>
  </r>
  <r>
    <x v="17"/>
    <m/>
    <s v="Stenvadhallen"/>
    <n v="13534"/>
    <s v="0"/>
    <s v="Stenvadhallen"/>
    <x v="143"/>
    <x v="1"/>
    <x v="7"/>
    <n v="23205.65"/>
    <n v="10"/>
    <s v="2014-11-02"/>
    <n v="0"/>
    <n v="2088"/>
    <n v="11.113284"/>
    <n v="1"/>
    <x v="5"/>
    <x v="4511"/>
    <n v="3671.55"/>
    <n v="0"/>
    <s v="6506369"/>
    <m/>
    <n v="23.205649999999999"/>
    <n v="0"/>
    <n v="90567"/>
  </r>
  <r>
    <x v="17"/>
    <m/>
    <s v="Stenvadhallen"/>
    <n v="13534"/>
    <s v="0"/>
    <s v="Stenvadhallen"/>
    <x v="143"/>
    <x v="1"/>
    <x v="7"/>
    <n v="4040"/>
    <n v="2"/>
    <s v="2014-11-13"/>
    <n v="0"/>
    <n v="2088"/>
    <n v="1.9347730000000001"/>
    <n v="1"/>
    <x v="5"/>
    <x v="4512"/>
    <n v="889.27"/>
    <n v="1"/>
    <s v="61444137"/>
    <m/>
    <n v="4.04"/>
    <n v="0"/>
    <n v="96924"/>
  </r>
  <r>
    <x v="17"/>
    <m/>
    <s v="Stenvadhallen"/>
    <n v="13534"/>
    <s v="0"/>
    <s v="Stenvadhallen"/>
    <x v="143"/>
    <x v="1"/>
    <x v="7"/>
    <n v="6563.46"/>
    <n v="9"/>
    <s v="2014-11-02"/>
    <n v="0"/>
    <n v="2088"/>
    <n v="3.1432690000000001"/>
    <n v="1"/>
    <x v="5"/>
    <x v="4513"/>
    <n v="1027.07"/>
    <n v="0"/>
    <s v="6506368"/>
    <m/>
    <n v="6.5634600000000001"/>
    <n v="0"/>
    <n v="90566"/>
  </r>
  <r>
    <x v="17"/>
    <m/>
    <s v="Stenvadhallen"/>
    <n v="13534"/>
    <s v="0"/>
    <s v="Stenvadhallen"/>
    <x v="143"/>
    <x v="1"/>
    <x v="7"/>
    <n v="4634.34"/>
    <n v="10"/>
    <s v="2014-11-02"/>
    <n v="0"/>
    <n v="2088"/>
    <n v="2.2194050000000001"/>
    <n v="1"/>
    <x v="5"/>
    <x v="4514"/>
    <n v="776.57"/>
    <n v="0"/>
    <s v="608636"/>
    <m/>
    <n v="4.6343399999999999"/>
    <n v="0"/>
    <n v="90568"/>
  </r>
  <r>
    <x v="17"/>
    <m/>
    <s v="Stenvadhallen"/>
    <n v="13534"/>
    <s v="0"/>
    <s v="Stenvadhallen"/>
    <x v="143"/>
    <x v="1"/>
    <x v="7"/>
    <n v="305.31"/>
    <n v="11"/>
    <s v="2015-05-04"/>
    <n v="0"/>
    <n v="2088"/>
    <n v="0.14621400000000001"/>
    <n v="3"/>
    <x v="0"/>
    <x v="4515"/>
    <n v="0"/>
    <n v="1"/>
    <s v="Koldt vand 5019440"/>
    <m/>
    <n v="305.30248"/>
    <n v="0"/>
    <n v="90572"/>
  </r>
  <r>
    <x v="17"/>
    <s v="02561-5"/>
    <s v="Farum Park"/>
    <n v="5468"/>
    <m/>
    <s v="Farum Park"/>
    <x v="132"/>
    <x v="1"/>
    <x v="6"/>
    <n v="59839.83"/>
    <n v="12"/>
    <m/>
    <n v="0"/>
    <n v="12237"/>
    <n v="4.8900329999999999"/>
    <n v="1"/>
    <x v="3"/>
    <x v="4516"/>
    <n v="339.27"/>
    <n v="1"/>
    <s v="4105252"/>
    <m/>
    <n v="1715.1"/>
    <n v="57834"/>
    <n v="57835"/>
  </r>
  <r>
    <x v="17"/>
    <s v="02561-5"/>
    <s v="Farum Park"/>
    <n v="5468"/>
    <m/>
    <s v="Farum Park"/>
    <x v="132"/>
    <x v="1"/>
    <x v="6"/>
    <n v="80590"/>
    <n v="12"/>
    <m/>
    <n v="0"/>
    <n v="12237"/>
    <n v="6.5857099999999997"/>
    <n v="1"/>
    <x v="1"/>
    <x v="4517"/>
    <n v="15713.99"/>
    <n v="0"/>
    <s v="4105252"/>
    <m/>
    <n v="80590"/>
    <n v="0"/>
    <n v="57834"/>
  </r>
  <r>
    <x v="17"/>
    <s v="05368-6"/>
    <s v="TD-Bygning"/>
    <n v="5465"/>
    <m/>
    <s v="TD-Bygning"/>
    <x v="130"/>
    <x v="1"/>
    <x v="7"/>
    <n v="175.67"/>
    <n v="12"/>
    <m/>
    <n v="0"/>
    <n v="1384"/>
    <n v="0.12692000000000001"/>
    <n v="3"/>
    <x v="0"/>
    <x v="4518"/>
    <n v="140.53"/>
    <n v="0"/>
    <s v="01500592"/>
    <m/>
    <n v="175.67"/>
    <n v="0"/>
    <n v="57761"/>
  </r>
  <r>
    <x v="17"/>
    <s v="05368-6"/>
    <s v="TD-Bygning"/>
    <n v="5465"/>
    <m/>
    <s v="TD-Bygning"/>
    <x v="130"/>
    <x v="1"/>
    <x v="7"/>
    <n v="33.35"/>
    <n v="12"/>
    <m/>
    <n v="0"/>
    <n v="1384"/>
    <n v="2.4094999999999998E-2"/>
    <n v="3"/>
    <x v="0"/>
    <x v="4519"/>
    <n v="26.69"/>
    <n v="1"/>
    <s v="220156 BV"/>
    <m/>
    <n v="33.35"/>
    <n v="0"/>
    <n v="58121"/>
  </r>
  <r>
    <x v="17"/>
    <s v="05368-6"/>
    <s v="TD-Bygning"/>
    <n v="5465"/>
    <m/>
    <s v="TD-Bygning"/>
    <x v="130"/>
    <x v="1"/>
    <x v="7"/>
    <n v="94723.74"/>
    <n v="12"/>
    <m/>
    <n v="0"/>
    <n v="1384"/>
    <n v="68.437062999999995"/>
    <n v="1"/>
    <x v="1"/>
    <x v="4520"/>
    <n v="8236847.2400000002"/>
    <n v="0"/>
    <s v="4155449 aut"/>
    <m/>
    <n v="94723.755040000004"/>
    <n v="0"/>
    <n v="57760"/>
  </r>
  <r>
    <x v="17"/>
    <s v="05368-6"/>
    <s v="TD-Bygning"/>
    <n v="5465"/>
    <m/>
    <s v="TD-Bygning"/>
    <x v="130"/>
    <x v="1"/>
    <x v="7"/>
    <n v="4238.34"/>
    <n v="12"/>
    <s v="2015-05-04"/>
    <n v="0"/>
    <n v="1384"/>
    <n v="3.062163"/>
    <n v="1"/>
    <x v="1"/>
    <x v="4521"/>
    <n v="769689.18"/>
    <n v="1"/>
    <s v="30116799  VE01"/>
    <m/>
    <n v="4238.3417399999998"/>
    <n v="0"/>
    <n v="57767"/>
  </r>
  <r>
    <x v="17"/>
    <s v="05368-6"/>
    <s v="TD-Bygning"/>
    <n v="5465"/>
    <m/>
    <s v="TD-Bygning"/>
    <x v="130"/>
    <x v="1"/>
    <x v="7"/>
    <n v="8458.0400000000009"/>
    <n v="12"/>
    <s v="2015-05-04"/>
    <n v="0"/>
    <n v="1384"/>
    <n v="6.1108589999999996"/>
    <n v="1"/>
    <x v="1"/>
    <x v="4522"/>
    <n v="1000795.52"/>
    <n v="1"/>
    <s v="30116798 VVB1"/>
    <m/>
    <n v="8458.0342700000001"/>
    <n v="0"/>
    <n v="57775"/>
  </r>
  <r>
    <x v="17"/>
    <s v="05368-6"/>
    <s v="TD-Bygning"/>
    <n v="5465"/>
    <m/>
    <s v="TD-Bygning"/>
    <x v="130"/>
    <x v="1"/>
    <x v="7"/>
    <n v="68249.820000000007"/>
    <n v="12"/>
    <s v="2015-05-04"/>
    <n v="0"/>
    <n v="1384"/>
    <n v="49.309890000000003"/>
    <n v="1"/>
    <x v="1"/>
    <x v="4523"/>
    <n v="6576763.25"/>
    <n v="1"/>
    <s v="30116800 VV01"/>
    <m/>
    <n v="68249.798389999996"/>
    <n v="0"/>
    <n v="57777"/>
  </r>
  <r>
    <x v="17"/>
    <s v="05368-6"/>
    <s v="TD-Bygning"/>
    <n v="5539"/>
    <m/>
    <s v="Tennishal BM"/>
    <x v="130"/>
    <x v="1"/>
    <x v="7"/>
    <n v="7316.26"/>
    <n v="12"/>
    <s v="2015-05-04"/>
    <n v="0"/>
    <n v="1480"/>
    <n v="4.9430839999999998"/>
    <n v="1"/>
    <x v="1"/>
    <x v="4524"/>
    <n v="206138.17"/>
    <n v="0"/>
    <s v="30116801 VE02 hal"/>
    <m/>
    <n v="7316.24496"/>
    <n v="0"/>
    <n v="58289"/>
  </r>
  <r>
    <x v="17"/>
    <s v="05368-6"/>
    <s v="TD-Bygning"/>
    <n v="5465"/>
    <m/>
    <s v="TD-Bygning"/>
    <x v="130"/>
    <x v="1"/>
    <x v="7"/>
    <n v="525.76"/>
    <n v="12"/>
    <s v="2015-05-04"/>
    <n v="0"/>
    <n v="1384"/>
    <n v="0.37985600000000003"/>
    <n v="2"/>
    <x v="2"/>
    <x v="4525"/>
    <n v="157.72"/>
    <n v="1"/>
    <s v="113957 Køkken"/>
    <m/>
    <n v="525.74899000000005"/>
    <n v="0"/>
    <n v="90266"/>
  </r>
  <r>
    <x v="17"/>
    <s v="05368-6"/>
    <s v="TD-Bygning"/>
    <n v="5465"/>
    <m/>
    <s v="TD-Bygning"/>
    <x v="130"/>
    <x v="1"/>
    <x v="7"/>
    <n v="14385.42"/>
    <n v="12"/>
    <s v="2015-05-04"/>
    <n v="0"/>
    <n v="1384"/>
    <n v="10.393338"/>
    <n v="2"/>
    <x v="2"/>
    <x v="4526"/>
    <n v="4315.63"/>
    <n v="1"/>
    <s v="112643 Svøm 2 Sal"/>
    <m/>
    <n v="14385.4002"/>
    <n v="0"/>
    <n v="90268"/>
  </r>
  <r>
    <x v="17"/>
    <s v="05368-6"/>
    <s v="TD-Bygning"/>
    <n v="5465"/>
    <m/>
    <s v="TD-Bygning"/>
    <x v="130"/>
    <x v="1"/>
    <x v="7"/>
    <n v="18252.68"/>
    <n v="12"/>
    <s v="2015-05-04"/>
    <n v="0"/>
    <n v="1384"/>
    <n v="13.187398999999999"/>
    <n v="2"/>
    <x v="2"/>
    <x v="4527"/>
    <n v="7301.1"/>
    <n v="1"/>
    <s v="EL03 VE01"/>
    <m/>
    <n v="18252.68144"/>
    <n v="0"/>
    <n v="57770"/>
  </r>
  <r>
    <x v="17"/>
    <s v="05368-6"/>
    <s v="TD-Bygning"/>
    <n v="5465"/>
    <m/>
    <s v="TD-Bygning"/>
    <x v="130"/>
    <x v="1"/>
    <x v="7"/>
    <n v="66805.87"/>
    <n v="12"/>
    <m/>
    <n v="0"/>
    <n v="1384"/>
    <n v="48.266649000000001"/>
    <n v="2"/>
    <x v="2"/>
    <x v="4528"/>
    <n v="26722.32"/>
    <n v="0"/>
    <s v="3104996"/>
    <s v="74115046041"/>
    <n v="66805.861619999996"/>
    <n v="0"/>
    <n v="58297"/>
  </r>
  <r>
    <x v="17"/>
    <s v="05368-6"/>
    <s v="TD-Bygning"/>
    <n v="5465"/>
    <m/>
    <s v="TD-Bygning"/>
    <x v="130"/>
    <x v="1"/>
    <x v="7"/>
    <n v="1854.14"/>
    <n v="12"/>
    <s v="2015-05-04"/>
    <n v="0"/>
    <n v="1384"/>
    <n v="1.339599"/>
    <n v="2"/>
    <x v="2"/>
    <x v="4529"/>
    <n v="556.23"/>
    <n v="1"/>
    <s v="112579 Nordic Sportscente"/>
    <m/>
    <n v="1854.13004"/>
    <n v="0"/>
    <n v="90264"/>
  </r>
  <r>
    <x v="17"/>
    <s v="05368-6"/>
    <s v="TD-Bygning"/>
    <n v="5465"/>
    <m/>
    <s v="TD-Bygning"/>
    <x v="130"/>
    <x v="1"/>
    <x v="7"/>
    <n v="2.94"/>
    <n v="12"/>
    <s v="2015-05-04"/>
    <n v="0"/>
    <n v="1384"/>
    <n v="2.124E-3"/>
    <n v="2"/>
    <x v="2"/>
    <x v="4530"/>
    <n v="0.88"/>
    <n v="1"/>
    <s v="112644 Krop Danmark"/>
    <m/>
    <n v="2.9375"/>
    <n v="0"/>
    <n v="90265"/>
  </r>
  <r>
    <x v="17"/>
    <s v="05368-6"/>
    <s v="TD-Bygning"/>
    <n v="5465"/>
    <m/>
    <s v="TD-Bygning"/>
    <x v="130"/>
    <x v="1"/>
    <x v="7"/>
    <n v="6797.22"/>
    <n v="12"/>
    <s v="2015-05-04"/>
    <n v="0"/>
    <n v="1384"/>
    <n v="4.9109309999999997"/>
    <n v="2"/>
    <x v="2"/>
    <x v="4531"/>
    <n v="2039.17"/>
    <n v="1"/>
    <s v="112614 Svøm 1 Sal"/>
    <m/>
    <n v="6797.2308400000002"/>
    <n v="0"/>
    <n v="90267"/>
  </r>
  <r>
    <x v="17"/>
    <s v="05368-6"/>
    <s v="TD-Bygning"/>
    <n v="5539"/>
    <m/>
    <s v="Tennishal BM"/>
    <x v="130"/>
    <x v="1"/>
    <x v="7"/>
    <n v="32842.160000000003"/>
    <n v="12"/>
    <s v="2015-05-04"/>
    <n v="0"/>
    <n v="1480"/>
    <n v="22.189149"/>
    <n v="2"/>
    <x v="2"/>
    <x v="4532"/>
    <n v="13136.87"/>
    <n v="0"/>
    <s v="P71 EL02 hal"/>
    <m/>
    <n v="32842.154240000003"/>
    <n v="0"/>
    <n v="58286"/>
  </r>
  <r>
    <x v="17"/>
    <s v="05368-6"/>
    <s v="TD-Bygning"/>
    <n v="5539"/>
    <m/>
    <s v="Tennishal BM"/>
    <x v="130"/>
    <x v="1"/>
    <x v="7"/>
    <n v="10758.14"/>
    <n v="12"/>
    <s v="2015-05-04"/>
    <n v="0"/>
    <n v="1480"/>
    <n v="7.2685219999999999"/>
    <n v="2"/>
    <x v="2"/>
    <x v="4533"/>
    <n v="4303.2700000000004"/>
    <n v="0"/>
    <s v="EL04 VE02 hal"/>
    <m/>
    <n v="10758.14214"/>
    <n v="0"/>
    <n v="58287"/>
  </r>
  <r>
    <x v="17"/>
    <s v="05368-6"/>
    <s v="TD-Bygning"/>
    <n v="5465"/>
    <m/>
    <s v="TD-Bygning"/>
    <x v="130"/>
    <x v="1"/>
    <x v="7"/>
    <n v="71517.52"/>
    <n v="12"/>
    <m/>
    <n v="0"/>
    <n v="1384"/>
    <n v="51.670774999999999"/>
    <n v="1"/>
    <x v="3"/>
    <x v="4534"/>
    <n v="180420.31"/>
    <n v="1"/>
    <s v="4155449"/>
    <m/>
    <n v="2049.8000000000002"/>
    <n v="57760"/>
    <n v="57765"/>
  </r>
  <r>
    <x v="17"/>
    <s v="02561-5"/>
    <s v="Farum Park"/>
    <n v="5468"/>
    <m/>
    <s v="Farum Park"/>
    <x v="132"/>
    <x v="0"/>
    <x v="6"/>
    <n v="134990"/>
    <n v="5"/>
    <s v="2008-05-01"/>
    <n v="0"/>
    <n v="12237"/>
    <n v="11.031207999999999"/>
    <n v="1"/>
    <x v="5"/>
    <x v="4535"/>
    <n v="31.08"/>
    <n v="0"/>
    <s v="1056425"/>
    <m/>
    <n v="134.99"/>
    <n v="0"/>
    <n v="57831"/>
  </r>
  <r>
    <x v="17"/>
    <s v="02561-5"/>
    <s v="Farum Park"/>
    <n v="5468"/>
    <m/>
    <s v="Farum Park"/>
    <x v="132"/>
    <x v="1"/>
    <x v="6"/>
    <n v="110360"/>
    <n v="5"/>
    <s v="2008-05-01"/>
    <n v="0"/>
    <n v="12237"/>
    <n v="9.0184759999999997"/>
    <n v="1"/>
    <x v="5"/>
    <x v="4536"/>
    <n v="25.47"/>
    <n v="0"/>
    <s v="4105252"/>
    <m/>
    <n v="110.36"/>
    <n v="0"/>
    <n v="57836"/>
  </r>
  <r>
    <x v="17"/>
    <s v="04310-9"/>
    <s v="Fuglsang, Farum Hovedgade 84"/>
    <n v="5954"/>
    <m/>
    <s v="Fuglsang"/>
    <x v="135"/>
    <x v="1"/>
    <x v="0"/>
    <n v="35363.14"/>
    <n v="5"/>
    <s v="2011-12-30"/>
    <n v="0"/>
    <n v="475"/>
    <n v="74.433045000000007"/>
    <n v="1"/>
    <x v="4"/>
    <x v="4537"/>
    <n v="8418.11"/>
    <n v="0"/>
    <s v="1203138"/>
    <s v="98001988648"/>
    <n v="3274.3649999999998"/>
    <n v="0"/>
    <n v="59981"/>
  </r>
  <r>
    <x v="17"/>
    <s v="04310-9"/>
    <s v="Fuglsang, Farum Hovedgade 84"/>
    <n v="5954"/>
    <m/>
    <s v="Fuglsang"/>
    <x v="135"/>
    <x v="1"/>
    <x v="1"/>
    <n v="75932.2"/>
    <n v="12"/>
    <s v="2011-12-30"/>
    <n v="0"/>
    <n v="475"/>
    <n v="159.82361599999999"/>
    <n v="1"/>
    <x v="4"/>
    <x v="4538"/>
    <n v="17086.09"/>
    <n v="0"/>
    <s v="1203138"/>
    <s v="98001988648"/>
    <n v="7030.76"/>
    <n v="0"/>
    <n v="59981"/>
  </r>
  <r>
    <x v="17"/>
    <s v="04310-9"/>
    <s v="Fuglsang, Farum Hovedgade 84"/>
    <n v="5954"/>
    <m/>
    <s v="Fuglsang"/>
    <x v="135"/>
    <x v="1"/>
    <x v="2"/>
    <n v="74357.2"/>
    <n v="12"/>
    <s v="2011-12-30"/>
    <n v="0"/>
    <n v="475"/>
    <n v="156.50852399999999"/>
    <n v="1"/>
    <x v="4"/>
    <x v="4539"/>
    <n v="16447.63"/>
    <n v="0"/>
    <s v="1203138"/>
    <s v="98001988648"/>
    <n v="6884.9256999999998"/>
    <n v="0"/>
    <n v="59981"/>
  </r>
  <r>
    <x v="17"/>
    <s v="04310-9"/>
    <s v="Fuglsang, Farum Hovedgade 84"/>
    <n v="5954"/>
    <m/>
    <s v="Fuglsang"/>
    <x v="135"/>
    <x v="1"/>
    <x v="3"/>
    <n v="73502.929999999993"/>
    <n v="12"/>
    <s v="2011-12-30"/>
    <n v="0"/>
    <n v="475"/>
    <n v="154.71043900000001"/>
    <n v="1"/>
    <x v="4"/>
    <x v="4540"/>
    <n v="17014.990000000002"/>
    <n v="0"/>
    <s v="1203138"/>
    <s v="98001988648"/>
    <n v="6805.8264600000002"/>
    <n v="0"/>
    <n v="59981"/>
  </r>
  <r>
    <x v="17"/>
    <s v="04310-9"/>
    <s v="Fuglsang, Farum Hovedgade 84"/>
    <n v="5954"/>
    <m/>
    <s v="Fuglsang"/>
    <x v="135"/>
    <x v="1"/>
    <x v="4"/>
    <n v="77257.070000000007"/>
    <n v="11"/>
    <s v="2011-12-30"/>
    <n v="0"/>
    <n v="475"/>
    <n v="162.61222900000001"/>
    <n v="1"/>
    <x v="4"/>
    <x v="4541"/>
    <n v="14807.28"/>
    <n v="0"/>
    <s v="1203138"/>
    <s v="98001988648"/>
    <n v="7153.4308000000001"/>
    <n v="0"/>
    <n v="59981"/>
  </r>
  <r>
    <x v="17"/>
    <s v="04310-9"/>
    <s v="Fuglsang, Farum Hovedgade 84"/>
    <n v="5954"/>
    <m/>
    <s v="Fuglsang"/>
    <x v="135"/>
    <x v="1"/>
    <x v="5"/>
    <n v="75347.45"/>
    <n v="11"/>
    <s v="2011-12-30"/>
    <n v="0"/>
    <n v="475"/>
    <n v="158.59282200000001"/>
    <n v="1"/>
    <x v="4"/>
    <x v="4542"/>
    <n v="17159.93"/>
    <n v="0"/>
    <s v="1203138"/>
    <s v="98001988648"/>
    <n v="6976.6162999999997"/>
    <n v="0"/>
    <n v="59981"/>
  </r>
  <r>
    <x v="17"/>
    <s v="04310-9"/>
    <s v="Fuglsang, Farum Hovedgade 84"/>
    <n v="5954"/>
    <m/>
    <s v="Fuglsang"/>
    <x v="135"/>
    <x v="1"/>
    <x v="6"/>
    <n v="68328.149999999994"/>
    <n v="12"/>
    <s v="2011-12-30"/>
    <n v="0"/>
    <n v="475"/>
    <n v="143.81845899999999"/>
    <n v="1"/>
    <x v="4"/>
    <x v="4543"/>
    <n v="16488.259999999998"/>
    <n v="0"/>
    <s v="1203138"/>
    <s v="98001988648"/>
    <n v="6326.6796800000002"/>
    <n v="0"/>
    <n v="59981"/>
  </r>
  <r>
    <x v="17"/>
    <s v="03888-1"/>
    <s v="Furesøgård - UDLEJET"/>
    <n v="5429"/>
    <m/>
    <s v="Furesøgård - UDLEJET"/>
    <x v="136"/>
    <x v="1"/>
    <x v="0"/>
    <n v="53114.5"/>
    <n v="5"/>
    <s v="2006-03-15"/>
    <n v="0"/>
    <n v="1747"/>
    <n v="30.401522"/>
    <n v="1"/>
    <x v="4"/>
    <x v="4544"/>
    <n v="12618.28"/>
    <n v="0"/>
    <s v="11004538"/>
    <s v="98001985401"/>
    <n v="4918.01"/>
    <n v="0"/>
    <n v="57409"/>
  </r>
  <r>
    <x v="17"/>
    <s v="03888-1"/>
    <s v="Furesøgård - UDLEJET"/>
    <n v="5429"/>
    <m/>
    <s v="Furesøgård - UDLEJET"/>
    <x v="136"/>
    <x v="1"/>
    <x v="1"/>
    <n v="102614.25"/>
    <n v="12"/>
    <s v="2006-03-15"/>
    <n v="0"/>
    <n v="1747"/>
    <n v="58.734043999999997"/>
    <n v="1"/>
    <x v="4"/>
    <x v="4545"/>
    <n v="22679.47"/>
    <n v="0"/>
    <s v="11004538"/>
    <s v="98001985401"/>
    <n v="9501.32"/>
    <n v="0"/>
    <n v="57409"/>
  </r>
  <r>
    <x v="17"/>
    <s v="03888-1"/>
    <s v="Furesøgård - UDLEJET"/>
    <n v="5429"/>
    <m/>
    <s v="Furesøgård - UDLEJET"/>
    <x v="136"/>
    <x v="1"/>
    <x v="2"/>
    <n v="95958.97"/>
    <n v="12"/>
    <s v="2006-03-15"/>
    <n v="0"/>
    <n v="1747"/>
    <n v="54.924714999999999"/>
    <n v="1"/>
    <x v="4"/>
    <x v="4546"/>
    <n v="21277.52"/>
    <n v="0"/>
    <s v="11004538"/>
    <s v="98001985401"/>
    <n v="8885.09"/>
    <n v="0"/>
    <n v="57409"/>
  </r>
  <r>
    <x v="17"/>
    <s v="03888-1"/>
    <s v="Furesøgård - UDLEJET"/>
    <n v="5429"/>
    <m/>
    <s v="Furesøgård - UDLEJET"/>
    <x v="136"/>
    <x v="1"/>
    <x v="3"/>
    <n v="94017.13"/>
    <n v="12"/>
    <s v="2006-03-15"/>
    <n v="0"/>
    <n v="1747"/>
    <n v="53.813249999999996"/>
    <n v="1"/>
    <x v="4"/>
    <x v="4547"/>
    <n v="21716.46"/>
    <n v="0"/>
    <s v="11004538"/>
    <s v="98001985401"/>
    <n v="8705.2900000000009"/>
    <n v="0"/>
    <n v="57409"/>
  </r>
  <r>
    <x v="17"/>
    <s v="03888-1"/>
    <s v="Furesøgård - UDLEJET"/>
    <n v="5429"/>
    <m/>
    <s v="Furesøgård - UDLEJET"/>
    <x v="136"/>
    <x v="1"/>
    <x v="4"/>
    <n v="122168.63"/>
    <n v="12"/>
    <s v="2006-03-15"/>
    <n v="0"/>
    <n v="1747"/>
    <n v="69.926523000000003"/>
    <n v="1"/>
    <x v="4"/>
    <x v="4548"/>
    <n v="23495.37"/>
    <n v="0"/>
    <s v="11004538"/>
    <s v="98001985401"/>
    <n v="11311.91"/>
    <n v="0"/>
    <n v="57409"/>
  </r>
  <r>
    <x v="17"/>
    <s v="03888-1"/>
    <s v="Furesøgård - UDLEJET"/>
    <n v="5429"/>
    <m/>
    <s v="Furesøgård - UDLEJET"/>
    <x v="136"/>
    <x v="1"/>
    <x v="5"/>
    <n v="94946.36"/>
    <n v="12"/>
    <s v="2006-03-15"/>
    <n v="0"/>
    <n v="1747"/>
    <n v="54.345120000000001"/>
    <n v="1"/>
    <x v="4"/>
    <x v="4549"/>
    <n v="21184.33"/>
    <n v="0"/>
    <s v="11004538"/>
    <s v="98001985401"/>
    <n v="8791.33"/>
    <n v="0"/>
    <n v="57409"/>
  </r>
  <r>
    <x v="17"/>
    <s v="03888-1"/>
    <s v="Furesøgård - UDLEJET"/>
    <n v="5429"/>
    <m/>
    <s v="Furesøgård - UDLEJET"/>
    <x v="136"/>
    <x v="1"/>
    <x v="6"/>
    <n v="92716.86"/>
    <n v="12"/>
    <s v="2006-03-15"/>
    <n v="0"/>
    <n v="1747"/>
    <n v="53.069004999999997"/>
    <n v="1"/>
    <x v="4"/>
    <x v="4550"/>
    <n v="21992.63"/>
    <n v="0"/>
    <s v="11004538"/>
    <s v="98001985401"/>
    <n v="8584.8943999999992"/>
    <n v="0"/>
    <n v="57409"/>
  </r>
  <r>
    <x v="17"/>
    <s v="05359-7"/>
    <s v="Idræt Fritid"/>
    <n v="5265"/>
    <m/>
    <s v="Idræt Fritid"/>
    <x v="137"/>
    <x v="1"/>
    <x v="0"/>
    <n v="17981"/>
    <n v="5"/>
    <s v="2005-09-01"/>
    <n v="0"/>
    <n v="585"/>
    <n v="30.731497999999998"/>
    <n v="1"/>
    <x v="1"/>
    <x v="4551"/>
    <n v="3688925.9"/>
    <n v="0"/>
    <s v="4824609"/>
    <m/>
    <n v="17981"/>
    <n v="0"/>
    <n v="56774"/>
  </r>
  <r>
    <x v="17"/>
    <s v="05359-7"/>
    <s v="Idræt Fritid"/>
    <n v="5265"/>
    <m/>
    <s v="Idræt Fritid"/>
    <x v="137"/>
    <x v="1"/>
    <x v="0"/>
    <n v="15032.36"/>
    <n v="5"/>
    <s v="2005-09-01"/>
    <n v="0"/>
    <n v="585"/>
    <n v="25.691949999999999"/>
    <n v="1"/>
    <x v="3"/>
    <x v="4552"/>
    <n v="88121.99"/>
    <n v="1"/>
    <s v="4824609"/>
    <m/>
    <n v="430.85"/>
    <n v="0"/>
    <n v="56999"/>
  </r>
  <r>
    <x v="17"/>
    <m/>
    <s v="Værløse Bio Bymidten 44"/>
    <n v="13825"/>
    <m/>
    <s v="Værløse Bio"/>
    <x v="131"/>
    <x v="1"/>
    <x v="7"/>
    <n v="20295.86"/>
    <n v="1"/>
    <s v="2014-03-11"/>
    <n v="0"/>
    <n v="739"/>
    <n v="27.460235000000001"/>
    <n v="1"/>
    <x v="5"/>
    <x v="4553"/>
    <n v="1551.97"/>
    <n v="1"/>
    <s v="6991589"/>
    <m/>
    <n v="20.295860000000001"/>
    <n v="0"/>
    <n v="94054"/>
  </r>
  <r>
    <x v="17"/>
    <s v="05359-7"/>
    <s v="Idræt Fritid"/>
    <n v="5265"/>
    <m/>
    <s v="Idræt Fritid"/>
    <x v="137"/>
    <x v="1"/>
    <x v="1"/>
    <n v="67548"/>
    <n v="12"/>
    <s v="2005-09-01"/>
    <n v="0"/>
    <n v="585"/>
    <n v="115.446932"/>
    <n v="1"/>
    <x v="1"/>
    <x v="4554"/>
    <n v="13571.57"/>
    <n v="0"/>
    <s v="4824609"/>
    <m/>
    <n v="67548"/>
    <n v="0"/>
    <n v="56774"/>
  </r>
  <r>
    <x v="17"/>
    <m/>
    <s v="Værløse Bio Bymidten 44"/>
    <n v="13825"/>
    <m/>
    <s v="Værløse Bio"/>
    <x v="131"/>
    <x v="1"/>
    <x v="7"/>
    <n v="381.01"/>
    <n v="12"/>
    <s v="2013-09-30"/>
    <n v="0"/>
    <n v="739"/>
    <n v="0.51550499999999999"/>
    <n v="3"/>
    <x v="0"/>
    <x v="4555"/>
    <n v="304.81"/>
    <n v="0"/>
    <s v="4488"/>
    <m/>
    <n v="381.005"/>
    <n v="0"/>
    <n v="91848"/>
  </r>
  <r>
    <x v="17"/>
    <s v="05359-7"/>
    <s v="Idræt Fritid"/>
    <n v="5265"/>
    <m/>
    <s v="Idræt Fritid"/>
    <x v="137"/>
    <x v="1"/>
    <x v="1"/>
    <n v="58975.25"/>
    <n v="12"/>
    <s v="2005-09-01"/>
    <n v="0"/>
    <n v="585"/>
    <n v="100.795163"/>
    <n v="1"/>
    <x v="3"/>
    <x v="4556"/>
    <n v="338.84"/>
    <n v="1"/>
    <s v="4824609"/>
    <m/>
    <n v="1690.32"/>
    <n v="0"/>
    <n v="56999"/>
  </r>
  <r>
    <x v="17"/>
    <s v="05359-7"/>
    <s v="Idræt Fritid"/>
    <n v="5265"/>
    <m/>
    <s v="Idræt Fritid"/>
    <x v="137"/>
    <x v="1"/>
    <x v="2"/>
    <n v="40778"/>
    <n v="12"/>
    <s v="2005-09-01"/>
    <n v="0"/>
    <n v="585"/>
    <n v="69.694068999999999"/>
    <n v="1"/>
    <x v="1"/>
    <x v="4557"/>
    <n v="7870.97"/>
    <n v="0"/>
    <s v="4824609"/>
    <m/>
    <n v="40778"/>
    <n v="0"/>
    <n v="56774"/>
  </r>
  <r>
    <x v="17"/>
    <s v="05359-7"/>
    <s v="Idræt Fritid"/>
    <n v="5265"/>
    <m/>
    <s v="Idræt Fritid"/>
    <x v="137"/>
    <x v="1"/>
    <x v="2"/>
    <n v="60333.19"/>
    <n v="12"/>
    <s v="2005-09-01"/>
    <n v="0"/>
    <n v="585"/>
    <n v="103.11603100000001"/>
    <n v="1"/>
    <x v="3"/>
    <x v="4558"/>
    <n v="347.2"/>
    <n v="1"/>
    <s v="4824609"/>
    <m/>
    <n v="1729.24"/>
    <n v="0"/>
    <n v="56999"/>
  </r>
  <r>
    <x v="17"/>
    <s v="05359-7"/>
    <s v="Idræt Fritid"/>
    <n v="5265"/>
    <m/>
    <s v="Idræt Fritid"/>
    <x v="137"/>
    <x v="1"/>
    <x v="3"/>
    <n v="42173"/>
    <n v="12"/>
    <s v="2005-09-01"/>
    <n v="0"/>
    <n v="585"/>
    <n v="72.078277"/>
    <n v="1"/>
    <x v="1"/>
    <x v="4559"/>
    <n v="8518.4599999999991"/>
    <n v="0"/>
    <s v="4824609"/>
    <m/>
    <n v="42173"/>
    <n v="0"/>
    <n v="56774"/>
  </r>
  <r>
    <x v="17"/>
    <s v="05359-7"/>
    <s v="Idræt Fritid"/>
    <n v="5265"/>
    <m/>
    <s v="Idræt Fritid"/>
    <x v="137"/>
    <x v="1"/>
    <x v="3"/>
    <n v="48256.37"/>
    <n v="12"/>
    <s v="2005-09-01"/>
    <n v="0"/>
    <n v="585"/>
    <n v="82.475423000000006"/>
    <n v="1"/>
    <x v="3"/>
    <x v="4560"/>
    <n v="284.36"/>
    <n v="1"/>
    <s v="4824609"/>
    <m/>
    <n v="1383.1"/>
    <n v="0"/>
    <n v="56999"/>
  </r>
  <r>
    <x v="17"/>
    <s v="05359-7"/>
    <s v="Idræt Fritid"/>
    <n v="5265"/>
    <m/>
    <s v="Idræt Fritid"/>
    <x v="137"/>
    <x v="1"/>
    <x v="4"/>
    <n v="54034"/>
    <n v="12"/>
    <s v="2005-09-01"/>
    <n v="0"/>
    <n v="585"/>
    <n v="92.350025000000002"/>
    <n v="1"/>
    <x v="1"/>
    <x v="4561"/>
    <n v="9081.64"/>
    <n v="0"/>
    <s v="4824609"/>
    <m/>
    <n v="54034"/>
    <n v="0"/>
    <n v="56774"/>
  </r>
  <r>
    <x v="17"/>
    <s v="05359-7"/>
    <s v="Idræt Fritid"/>
    <n v="5265"/>
    <m/>
    <s v="Idræt Fritid"/>
    <x v="137"/>
    <x v="1"/>
    <x v="4"/>
    <n v="66436.12"/>
    <n v="12"/>
    <s v="2005-09-01"/>
    <n v="0"/>
    <n v="585"/>
    <n v="113.54660699999999"/>
    <n v="1"/>
    <x v="3"/>
    <x v="4562"/>
    <n v="321.77999999999997"/>
    <n v="1"/>
    <s v="4824609"/>
    <m/>
    <n v="1904.16"/>
    <n v="0"/>
    <n v="56999"/>
  </r>
  <r>
    <x v="17"/>
    <s v="05359-7"/>
    <s v="Idræt Fritid"/>
    <n v="5265"/>
    <m/>
    <s v="Idræt Fritid"/>
    <x v="137"/>
    <x v="1"/>
    <x v="5"/>
    <n v="42403"/>
    <n v="12"/>
    <s v="2005-09-01"/>
    <n v="0"/>
    <n v="585"/>
    <n v="72.471372000000002"/>
    <n v="1"/>
    <x v="1"/>
    <x v="4563"/>
    <n v="8354.68"/>
    <n v="0"/>
    <s v="4824609"/>
    <m/>
    <n v="42402.9997"/>
    <n v="0"/>
    <n v="56774"/>
  </r>
  <r>
    <x v="17"/>
    <m/>
    <s v="Værløse Bio Bymidten 44"/>
    <n v="13825"/>
    <m/>
    <s v="Værløse Bio"/>
    <x v="131"/>
    <x v="1"/>
    <x v="7"/>
    <n v="7566.92"/>
    <n v="11"/>
    <s v="2014-02-28"/>
    <n v="0"/>
    <n v="739"/>
    <n v="10.238019"/>
    <n v="1"/>
    <x v="1"/>
    <x v="4564"/>
    <n v="587.58000000000004"/>
    <n v="0"/>
    <s v="69061501"/>
    <m/>
    <n v="7566.9147300000004"/>
    <n v="0"/>
    <n v="94197"/>
  </r>
  <r>
    <x v="17"/>
    <s v="05359-7"/>
    <s v="Idræt Fritid"/>
    <n v="5265"/>
    <m/>
    <s v="Idræt Fritid"/>
    <x v="137"/>
    <x v="1"/>
    <x v="5"/>
    <n v="48736.800000000003"/>
    <n v="12"/>
    <s v="2005-09-01"/>
    <n v="0"/>
    <n v="585"/>
    <n v="83.296530000000004"/>
    <n v="1"/>
    <x v="3"/>
    <x v="4565"/>
    <n v="291.18"/>
    <n v="1"/>
    <s v="4824609"/>
    <m/>
    <n v="1396.87"/>
    <n v="0"/>
    <n v="56999"/>
  </r>
  <r>
    <x v="17"/>
    <s v="05359-7"/>
    <s v="Idræt Fritid"/>
    <n v="5265"/>
    <m/>
    <s v="Idræt Fritid"/>
    <x v="137"/>
    <x v="1"/>
    <x v="6"/>
    <n v="44570"/>
    <n v="12"/>
    <s v="2005-09-01"/>
    <n v="0"/>
    <n v="585"/>
    <n v="76.175011999999995"/>
    <n v="1"/>
    <x v="1"/>
    <x v="4566"/>
    <n v="9386.9500000000007"/>
    <n v="0"/>
    <s v="4824609"/>
    <m/>
    <n v="44570"/>
    <n v="0"/>
    <n v="56774"/>
  </r>
  <r>
    <x v="17"/>
    <s v="05359-7"/>
    <s v="Idræt Fritid"/>
    <n v="5265"/>
    <m/>
    <s v="Idræt Fritid"/>
    <x v="137"/>
    <x v="1"/>
    <x v="6"/>
    <n v="43034.720000000001"/>
    <n v="12"/>
    <s v="2005-09-01"/>
    <n v="0"/>
    <n v="585"/>
    <n v="73.551051000000001"/>
    <n v="1"/>
    <x v="3"/>
    <x v="4567"/>
    <n v="254.43"/>
    <n v="1"/>
    <s v="4824609"/>
    <m/>
    <n v="1233.44"/>
    <n v="0"/>
    <n v="56999"/>
  </r>
  <r>
    <x v="17"/>
    <s v="5359-7"/>
    <s v="Idræt Klub"/>
    <n v="5266"/>
    <m/>
    <s v="Idræt Klub"/>
    <x v="138"/>
    <x v="1"/>
    <x v="0"/>
    <n v="42226"/>
    <n v="5"/>
    <s v="2005-09-01"/>
    <n v="0"/>
    <n v="585"/>
    <n v="72.168859999999995"/>
    <n v="1"/>
    <x v="1"/>
    <x v="4568"/>
    <n v="8765448"/>
    <n v="0"/>
    <s v="4824607"/>
    <m/>
    <n v="42226"/>
    <n v="0"/>
    <n v="56780"/>
  </r>
  <r>
    <x v="17"/>
    <m/>
    <s v="Værløse Bio Bymidten 44"/>
    <n v="13825"/>
    <m/>
    <s v="Værløse Bio"/>
    <x v="131"/>
    <x v="1"/>
    <x v="7"/>
    <n v="98594.95"/>
    <n v="13"/>
    <s v="2014-02-28"/>
    <n v="0"/>
    <n v="739"/>
    <n v="133.39866000000001"/>
    <n v="1"/>
    <x v="1"/>
    <x v="4569"/>
    <n v="7640.12"/>
    <n v="0"/>
    <s v="69320466"/>
    <m/>
    <n v="98594.950419999994"/>
    <n v="0"/>
    <n v="94055"/>
  </r>
  <r>
    <x v="17"/>
    <s v="5359-7"/>
    <s v="Idræt Klub"/>
    <n v="5266"/>
    <m/>
    <s v="Idræt Klub"/>
    <x v="138"/>
    <x v="1"/>
    <x v="0"/>
    <n v="30548.28"/>
    <n v="5"/>
    <s v="2005-09-01"/>
    <n v="0"/>
    <n v="585"/>
    <n v="52.210357000000002"/>
    <n v="1"/>
    <x v="3"/>
    <x v="4570"/>
    <n v="180810.75"/>
    <n v="1"/>
    <s v="4824607"/>
    <m/>
    <n v="875.56"/>
    <n v="0"/>
    <n v="57000"/>
  </r>
  <r>
    <x v="17"/>
    <m/>
    <s v="Værløse Bio Bymidten 44"/>
    <n v="13825"/>
    <m/>
    <s v="Værløse Bio"/>
    <x v="131"/>
    <x v="1"/>
    <x v="7"/>
    <n v="68828.320000000007"/>
    <n v="12"/>
    <s v="2013-09-30"/>
    <n v="0"/>
    <n v="739"/>
    <n v="93.124502000000007"/>
    <n v="2"/>
    <x v="2"/>
    <x v="4571"/>
    <n v="20648.47"/>
    <n v="0"/>
    <s v="4203804"/>
    <s v="74110495646"/>
    <n v="68828.293999999994"/>
    <n v="0"/>
    <n v="91847"/>
  </r>
  <r>
    <x v="17"/>
    <s v="5359-7"/>
    <s v="Idræt Klub"/>
    <n v="5266"/>
    <m/>
    <s v="Idræt Klub"/>
    <x v="138"/>
    <x v="1"/>
    <x v="1"/>
    <n v="44258.5"/>
    <n v="12"/>
    <s v="2005-09-01"/>
    <n v="0"/>
    <n v="585"/>
    <n v="75.642624999999995"/>
    <n v="1"/>
    <x v="1"/>
    <x v="4572"/>
    <n v="8566.67"/>
    <n v="0"/>
    <s v="4824607"/>
    <m/>
    <n v="44258.5"/>
    <n v="0"/>
    <n v="56780"/>
  </r>
  <r>
    <x v="17"/>
    <s v="5359-7"/>
    <s v="Idræt Klub"/>
    <n v="5266"/>
    <m/>
    <s v="Idræt Klub"/>
    <x v="138"/>
    <x v="1"/>
    <x v="1"/>
    <n v="59782.27"/>
    <n v="12"/>
    <s v="2005-09-01"/>
    <n v="0"/>
    <n v="585"/>
    <n v="102.174448"/>
    <n v="1"/>
    <x v="3"/>
    <x v="4573"/>
    <n v="354.81"/>
    <n v="1"/>
    <s v="4824607"/>
    <m/>
    <n v="1713.45"/>
    <n v="0"/>
    <n v="57000"/>
  </r>
  <r>
    <x v="17"/>
    <s v="5359-7"/>
    <s v="Idræt Klub"/>
    <n v="5266"/>
    <m/>
    <s v="Idræt Klub"/>
    <x v="138"/>
    <x v="1"/>
    <x v="2"/>
    <n v="52224.5"/>
    <n v="12"/>
    <s v="2005-09-01"/>
    <n v="0"/>
    <n v="585"/>
    <n v="89.257390999999998"/>
    <n v="1"/>
    <x v="1"/>
    <x v="4574"/>
    <n v="10192.870000000001"/>
    <n v="0"/>
    <s v="4824607"/>
    <m/>
    <n v="52224.5"/>
    <n v="0"/>
    <n v="56780"/>
  </r>
  <r>
    <x v="17"/>
    <s v="5359-7"/>
    <s v="Idræt Klub"/>
    <n v="5266"/>
    <m/>
    <s v="Idræt Klub"/>
    <x v="138"/>
    <x v="1"/>
    <x v="2"/>
    <n v="60150.36"/>
    <n v="12"/>
    <s v="2005-09-01"/>
    <n v="0"/>
    <n v="585"/>
    <n v="102.80355400000001"/>
    <n v="1"/>
    <x v="3"/>
    <x v="4575"/>
    <n v="314.97000000000003"/>
    <n v="1"/>
    <s v="4824607"/>
    <m/>
    <n v="1724"/>
    <n v="0"/>
    <n v="57000"/>
  </r>
  <r>
    <x v="17"/>
    <s v="5359-7"/>
    <s v="Idræt Klub"/>
    <n v="5266"/>
    <m/>
    <s v="Idræt Klub"/>
    <x v="138"/>
    <x v="1"/>
    <x v="3"/>
    <n v="57174"/>
    <n v="12"/>
    <s v="2005-09-01"/>
    <n v="0"/>
    <n v="585"/>
    <n v="97.716628999999998"/>
    <n v="1"/>
    <x v="1"/>
    <x v="4576"/>
    <n v="11583.7"/>
    <n v="0"/>
    <s v="4824607"/>
    <m/>
    <n v="57174"/>
    <n v="0"/>
    <n v="56780"/>
  </r>
  <r>
    <x v="17"/>
    <m/>
    <s v="Værløse Bio Bymidten 44"/>
    <n v="13825"/>
    <m/>
    <s v="Værløse Bio"/>
    <x v="131"/>
    <x v="1"/>
    <x v="7"/>
    <n v="28768.23"/>
    <n v="12"/>
    <s v="2013-09-30"/>
    <n v="0"/>
    <n v="739"/>
    <n v="38.923324999999998"/>
    <n v="2"/>
    <x v="2"/>
    <x v="4577"/>
    <n v="8630.48"/>
    <n v="0"/>
    <s v="4029504"/>
    <s v="74113122839"/>
    <n v="28768.231"/>
    <n v="0"/>
    <n v="94053"/>
  </r>
  <r>
    <x v="17"/>
    <s v="5359-7"/>
    <s v="Idræt Klub"/>
    <n v="5266"/>
    <m/>
    <s v="Idræt Klub"/>
    <x v="138"/>
    <x v="1"/>
    <x v="3"/>
    <n v="47577.05"/>
    <n v="12"/>
    <s v="2005-09-01"/>
    <n v="0"/>
    <n v="585"/>
    <n v="81.314390000000003"/>
    <n v="1"/>
    <x v="3"/>
    <x v="4578"/>
    <n v="278.33"/>
    <n v="1"/>
    <s v="4824607"/>
    <m/>
    <n v="1363.63"/>
    <n v="0"/>
    <n v="57000"/>
  </r>
  <r>
    <x v="17"/>
    <s v="5359-7"/>
    <s v="Idræt Klub"/>
    <n v="5266"/>
    <m/>
    <s v="Idræt Klub"/>
    <x v="138"/>
    <x v="1"/>
    <x v="4"/>
    <n v="59492"/>
    <n v="12"/>
    <s v="2005-09-01"/>
    <n v="0"/>
    <n v="585"/>
    <n v="101.67834499999999"/>
    <n v="1"/>
    <x v="1"/>
    <x v="4579"/>
    <n v="10042.15"/>
    <n v="0"/>
    <s v="4824607"/>
    <m/>
    <n v="59492"/>
    <n v="0"/>
    <n v="56780"/>
  </r>
  <r>
    <x v="17"/>
    <s v="5359-7"/>
    <s v="Idræt Klub"/>
    <n v="5266"/>
    <m/>
    <s v="Idræt Klub"/>
    <x v="138"/>
    <x v="1"/>
    <x v="4"/>
    <n v="62093.72"/>
    <n v="12"/>
    <s v="2005-09-01"/>
    <n v="0"/>
    <n v="585"/>
    <n v="106.12497"/>
    <n v="1"/>
    <x v="3"/>
    <x v="4580"/>
    <n v="302.39"/>
    <n v="1"/>
    <s v="4824607"/>
    <m/>
    <n v="1779.7"/>
    <n v="0"/>
    <n v="57000"/>
  </r>
  <r>
    <x v="17"/>
    <s v="5359-7"/>
    <s v="Idræt Klub"/>
    <n v="5266"/>
    <m/>
    <s v="Idræt Klub"/>
    <x v="138"/>
    <x v="1"/>
    <x v="5"/>
    <n v="42831"/>
    <n v="12"/>
    <s v="2005-09-01"/>
    <n v="0"/>
    <n v="585"/>
    <n v="73.202871000000002"/>
    <n v="1"/>
    <x v="1"/>
    <x v="4581"/>
    <n v="8411.18"/>
    <n v="0"/>
    <s v="4824607"/>
    <m/>
    <n v="42831"/>
    <n v="0"/>
    <n v="56780"/>
  </r>
  <r>
    <x v="17"/>
    <s v="5359-7"/>
    <s v="Idræt Klub"/>
    <n v="5266"/>
    <m/>
    <s v="Idræt Klub"/>
    <x v="138"/>
    <x v="1"/>
    <x v="5"/>
    <n v="53438.22"/>
    <n v="12"/>
    <s v="2005-09-01"/>
    <n v="0"/>
    <n v="585"/>
    <n v="91.331772000000001"/>
    <n v="1"/>
    <x v="3"/>
    <x v="4582"/>
    <n v="297.04000000000002"/>
    <n v="1"/>
    <s v="4824607"/>
    <m/>
    <n v="1531.62"/>
    <n v="0"/>
    <n v="57000"/>
  </r>
  <r>
    <x v="17"/>
    <s v="5359-7"/>
    <s v="Idræt Klub"/>
    <n v="5266"/>
    <m/>
    <s v="Idræt Klub"/>
    <x v="138"/>
    <x v="1"/>
    <x v="6"/>
    <n v="41872"/>
    <n v="12"/>
    <s v="2005-09-01"/>
    <n v="0"/>
    <n v="585"/>
    <n v="71.563834999999997"/>
    <n v="1"/>
    <x v="1"/>
    <x v="4583"/>
    <n v="8924.59"/>
    <n v="0"/>
    <s v="4824607"/>
    <m/>
    <n v="41872"/>
    <n v="0"/>
    <n v="56780"/>
  </r>
  <r>
    <x v="17"/>
    <s v="5359-7"/>
    <s v="Idræt Klub"/>
    <n v="5266"/>
    <m/>
    <s v="Idræt Klub"/>
    <x v="138"/>
    <x v="1"/>
    <x v="6"/>
    <n v="133938.53"/>
    <n v="12"/>
    <s v="2005-09-01"/>
    <n v="0"/>
    <n v="585"/>
    <n v="228.91562099999999"/>
    <n v="1"/>
    <x v="3"/>
    <x v="4584"/>
    <n v="912.66"/>
    <n v="1"/>
    <s v="4824607"/>
    <m/>
    <n v="3838.88"/>
    <n v="0"/>
    <n v="57000"/>
  </r>
  <r>
    <x v="17"/>
    <s v="7662"/>
    <s v="Lille Bjørn, Kålund 24"/>
    <n v="13868"/>
    <s v="0"/>
    <s v="Lille Bjørn"/>
    <x v="140"/>
    <x v="1"/>
    <x v="0"/>
    <n v="83449.23"/>
    <n v="5"/>
    <s v="2013-08-31"/>
    <n v="0"/>
    <n v="867"/>
    <n v="96.239452999999997"/>
    <n v="1"/>
    <x v="4"/>
    <x v="4585"/>
    <n v="19747.349999999999"/>
    <n v="0"/>
    <s v="3100441"/>
    <m/>
    <n v="7726.78"/>
    <n v="0"/>
    <n v="92670"/>
  </r>
  <r>
    <x v="17"/>
    <s v="7662"/>
    <s v="Lille Bjørn, Kålund 24"/>
    <n v="13868"/>
    <s v="0"/>
    <s v="Lille Bjørn"/>
    <x v="140"/>
    <x v="1"/>
    <x v="1"/>
    <n v="174016.76"/>
    <n v="6"/>
    <s v="2013-08-31"/>
    <n v="0"/>
    <n v="867"/>
    <n v="200.68822499999999"/>
    <n v="1"/>
    <x v="4"/>
    <x v="4586"/>
    <n v="49960.98"/>
    <n v="0"/>
    <s v="3100441"/>
    <m/>
    <n v="16112.66173"/>
    <n v="0"/>
    <n v="92670"/>
  </r>
  <r>
    <x v="17"/>
    <s v="7662"/>
    <s v="Lille Bjørn, Kålund 24"/>
    <n v="13868"/>
    <s v="0"/>
    <s v="Lille Bjørn"/>
    <x v="140"/>
    <x v="1"/>
    <x v="2"/>
    <n v="147788.59"/>
    <n v="2"/>
    <s v="2013-08-31"/>
    <n v="0"/>
    <n v="867"/>
    <n v="170.440076"/>
    <n v="1"/>
    <x v="4"/>
    <x v="4587"/>
    <n v="34420.75"/>
    <n v="0"/>
    <s v="3100441"/>
    <m/>
    <n v="13684.129569999999"/>
    <n v="0"/>
    <n v="92670"/>
  </r>
  <r>
    <x v="17"/>
    <s v="7662"/>
    <s v="Lille Bjørn, Kålund 24"/>
    <n v="13868"/>
    <s v="0"/>
    <s v="Lille Bjørn"/>
    <x v="140"/>
    <x v="1"/>
    <x v="3"/>
    <n v="205960.07"/>
    <n v="1"/>
    <s v="2013-08-31"/>
    <n v="0"/>
    <n v="867"/>
    <n v="237.52746999999999"/>
    <n v="1"/>
    <x v="4"/>
    <x v="4588"/>
    <n v="50535.12"/>
    <n v="0"/>
    <s v="3100441"/>
    <m/>
    <n v="19070.378140000001"/>
    <n v="0"/>
    <n v="92670"/>
  </r>
  <r>
    <x v="17"/>
    <s v="7662"/>
    <s v="Lille Bjørn, Kålund 24"/>
    <n v="13868"/>
    <s v="0"/>
    <s v="Lille Bjørn"/>
    <x v="140"/>
    <x v="1"/>
    <x v="4"/>
    <n v="162701.76999999999"/>
    <n v="2"/>
    <s v="2013-08-31"/>
    <n v="0"/>
    <n v="867"/>
    <n v="187.638992"/>
    <n v="1"/>
    <x v="4"/>
    <x v="4589"/>
    <n v="36783.78"/>
    <n v="0"/>
    <s v="3100441"/>
    <m/>
    <n v="15064.9791"/>
    <n v="0"/>
    <n v="92670"/>
  </r>
  <r>
    <x v="17"/>
    <s v="7662"/>
    <s v="Lille Bjørn, Kålund 24"/>
    <n v="13868"/>
    <s v="0"/>
    <s v="Lille Bjørn"/>
    <x v="140"/>
    <x v="1"/>
    <x v="5"/>
    <n v="101870.82"/>
    <n v="1"/>
    <s v="2013-08-31"/>
    <n v="0"/>
    <n v="867"/>
    <n v="117.484511"/>
    <n v="1"/>
    <x v="4"/>
    <x v="4590"/>
    <n v="37096.35"/>
    <n v="0"/>
    <s v="3100441"/>
    <m/>
    <n v="9432.4814700000006"/>
    <n v="0"/>
    <n v="92670"/>
  </r>
  <r>
    <x v="17"/>
    <s v="7662"/>
    <s v="Lille Bjørn, Kålund 24"/>
    <n v="13868"/>
    <s v="0"/>
    <s v="Lille Bjørn"/>
    <x v="140"/>
    <x v="1"/>
    <x v="6"/>
    <n v="60766.82"/>
    <n v="1"/>
    <s v="2013-08-31"/>
    <n v="0"/>
    <n v="867"/>
    <n v="70.080521000000005"/>
    <n v="1"/>
    <x v="4"/>
    <x v="4591"/>
    <n v="15866.8"/>
    <n v="0"/>
    <s v="3100441"/>
    <m/>
    <n v="5626.5573800000002"/>
    <n v="0"/>
    <n v="92670"/>
  </r>
  <r>
    <x v="17"/>
    <m/>
    <s v="Poppelgården ungdomsboliger UDLEJET"/>
    <n v="10616"/>
    <m/>
    <s v="Poppelgården"/>
    <x v="144"/>
    <x v="1"/>
    <x v="0"/>
    <n v="70221.08"/>
    <n v="5"/>
    <s v="2011-12-31"/>
    <n v="0"/>
    <n v="0"/>
    <n v="702210.8"/>
    <n v="1"/>
    <x v="1"/>
    <x v="4592"/>
    <n v="14570.45"/>
    <n v="0"/>
    <m/>
    <m/>
    <n v="70221.08"/>
    <n v="0"/>
    <n v="90988"/>
  </r>
  <r>
    <x v="17"/>
    <m/>
    <s v="Poppelgården ungdomsboliger UDLEJET"/>
    <n v="10616"/>
    <m/>
    <s v="Poppelgården"/>
    <x v="144"/>
    <x v="1"/>
    <x v="1"/>
    <n v="158404.15"/>
    <n v="12"/>
    <s v="2011-12-31"/>
    <n v="0"/>
    <n v="0"/>
    <n v="1584041.5"/>
    <n v="1"/>
    <x v="1"/>
    <x v="4593"/>
    <n v="30900.71"/>
    <n v="0"/>
    <m/>
    <m/>
    <n v="158404.15"/>
    <n v="0"/>
    <n v="90988"/>
  </r>
  <r>
    <x v="17"/>
    <m/>
    <s v="Poppelgården ungdomsboliger UDLEJET"/>
    <n v="10616"/>
    <m/>
    <s v="Poppelgården"/>
    <x v="144"/>
    <x v="1"/>
    <x v="2"/>
    <n v="134780.66"/>
    <n v="12"/>
    <s v="2011-12-31"/>
    <n v="0"/>
    <n v="0"/>
    <n v="1347806.6"/>
    <n v="1"/>
    <x v="1"/>
    <x v="4594"/>
    <n v="25968.58"/>
    <n v="0"/>
    <m/>
    <m/>
    <n v="134780.65700000001"/>
    <n v="0"/>
    <n v="90988"/>
  </r>
  <r>
    <x v="17"/>
    <m/>
    <s v="Poppelgården ungdomsboliger UDLEJET"/>
    <n v="10616"/>
    <m/>
    <s v="Poppelgården"/>
    <x v="144"/>
    <x v="1"/>
    <x v="2"/>
    <n v="459.43"/>
    <n v="1"/>
    <s v="2012-01-02"/>
    <n v="0"/>
    <n v="0"/>
    <n v="4594.3"/>
    <n v="1"/>
    <x v="5"/>
    <x v="4595"/>
    <n v="84.99"/>
    <n v="0"/>
    <s v="AFMELDT"/>
    <m/>
    <n v="0.45943000000000001"/>
    <n v="0"/>
    <n v="78588"/>
  </r>
  <r>
    <x v="17"/>
    <m/>
    <s v="Poppelgården ungdomsboliger UDLEJET"/>
    <n v="10616"/>
    <m/>
    <s v="Poppelgården"/>
    <x v="144"/>
    <x v="1"/>
    <x v="3"/>
    <n v="132929.45000000001"/>
    <n v="6"/>
    <s v="2012-01-02"/>
    <n v="0"/>
    <n v="0"/>
    <n v="1329294.5"/>
    <n v="1"/>
    <x v="5"/>
    <x v="4596"/>
    <n v="28330.13"/>
    <n v="0"/>
    <s v="AFMELDT"/>
    <m/>
    <n v="132.92945"/>
    <n v="0"/>
    <n v="78588"/>
  </r>
  <r>
    <x v="17"/>
    <m/>
    <s v="Poppelgården ungdomsboliger UDLEJET"/>
    <n v="10616"/>
    <m/>
    <s v="Poppelgården"/>
    <x v="144"/>
    <x v="1"/>
    <x v="4"/>
    <n v="152154.57999999999"/>
    <n v="9"/>
    <s v="2012-01-02"/>
    <n v="0"/>
    <n v="0"/>
    <n v="1521545.8"/>
    <n v="1"/>
    <x v="5"/>
    <x v="4597"/>
    <n v="25785.14"/>
    <n v="0"/>
    <s v="AFMELDT"/>
    <m/>
    <n v="152.15458000000001"/>
    <n v="0"/>
    <n v="78588"/>
  </r>
  <r>
    <x v="17"/>
    <m/>
    <s v="Poppelgården ungdomsboliger UDLEJET"/>
    <n v="10616"/>
    <m/>
    <s v="Poppelgården"/>
    <x v="144"/>
    <x v="1"/>
    <x v="5"/>
    <n v="126930.04"/>
    <n v="9"/>
    <s v="2012-01-02"/>
    <n v="0"/>
    <n v="0"/>
    <n v="1269300.3999999999"/>
    <n v="1"/>
    <x v="5"/>
    <x v="4598"/>
    <n v="24979.07"/>
    <n v="0"/>
    <s v="AFMELDT"/>
    <m/>
    <n v="126.93004000000001"/>
    <n v="0"/>
    <n v="78588"/>
  </r>
  <r>
    <x v="17"/>
    <m/>
    <s v="Poppelgården ungdomsboliger UDLEJET"/>
    <n v="10616"/>
    <m/>
    <s v="Poppelgården"/>
    <x v="144"/>
    <x v="1"/>
    <x v="6"/>
    <n v="123776.4"/>
    <n v="11"/>
    <s v="2012-01-02"/>
    <n v="0"/>
    <n v="0"/>
    <n v="1237764"/>
    <n v="1"/>
    <x v="5"/>
    <x v="4599"/>
    <n v="26067.96"/>
    <n v="0"/>
    <s v="AFMELDT"/>
    <m/>
    <n v="123.7764"/>
    <n v="0"/>
    <n v="78588"/>
  </r>
  <r>
    <x v="17"/>
    <s v="????"/>
    <s v="Skomagerbakken P. E. Rasmunnens Vej 3"/>
    <n v="6370"/>
    <m/>
    <s v="Skomagerbakken"/>
    <x v="141"/>
    <x v="1"/>
    <x v="0"/>
    <n v="9389.42"/>
    <n v="5"/>
    <s v="2011-12-30"/>
    <n v="0"/>
    <n v="99"/>
    <n v="94.746921999999998"/>
    <n v="1"/>
    <x v="4"/>
    <x v="4600"/>
    <n v="2246.6999999999998"/>
    <n v="0"/>
    <s v="1105196"/>
    <m/>
    <n v="869.39"/>
    <n v="0"/>
    <n v="62722"/>
  </r>
  <r>
    <x v="17"/>
    <s v="????"/>
    <s v="Skomagerbakken P. E. Rasmunnens Vej 3"/>
    <n v="6370"/>
    <m/>
    <s v="Skomagerbakken"/>
    <x v="141"/>
    <x v="1"/>
    <x v="1"/>
    <n v="18621.580000000002"/>
    <n v="12"/>
    <s v="2011-12-30"/>
    <n v="0"/>
    <n v="99"/>
    <n v="187.90696199999999"/>
    <n v="1"/>
    <x v="4"/>
    <x v="4601"/>
    <n v="4109.8599999999997"/>
    <n v="0"/>
    <s v="1105196"/>
    <m/>
    <n v="1724.2199599999999"/>
    <n v="0"/>
    <n v="62722"/>
  </r>
  <r>
    <x v="17"/>
    <s v="????"/>
    <s v="Skomagerbakken P. E. Rasmunnens Vej 3"/>
    <n v="6370"/>
    <m/>
    <s v="Skomagerbakken"/>
    <x v="141"/>
    <x v="1"/>
    <x v="2"/>
    <n v="18491.310000000001"/>
    <n v="12"/>
    <s v="2011-12-30"/>
    <n v="0"/>
    <n v="99"/>
    <n v="186.592431"/>
    <n v="1"/>
    <x v="4"/>
    <x v="4602"/>
    <n v="4105.1099999999997"/>
    <n v="0"/>
    <s v="1105196"/>
    <m/>
    <n v="1712.16"/>
    <n v="0"/>
    <n v="62722"/>
  </r>
  <r>
    <x v="17"/>
    <s v="????"/>
    <s v="Skomagerbakken P. E. Rasmunnens Vej 3"/>
    <n v="6370"/>
    <m/>
    <s v="Skomagerbakken"/>
    <x v="141"/>
    <x v="1"/>
    <x v="3"/>
    <n v="17920.169999999998"/>
    <n v="6"/>
    <s v="2011-12-30"/>
    <n v="0"/>
    <n v="99"/>
    <n v="180.829162"/>
    <n v="1"/>
    <x v="4"/>
    <x v="4603"/>
    <n v="4328.88"/>
    <n v="0"/>
    <s v="1105196"/>
    <m/>
    <n v="1659.2750000000001"/>
    <n v="0"/>
    <n v="62722"/>
  </r>
  <r>
    <x v="17"/>
    <s v="????"/>
    <s v="Skomagerbakken P. E. Rasmunnens Vej 3"/>
    <n v="6370"/>
    <m/>
    <s v="Skomagerbakken"/>
    <x v="141"/>
    <x v="1"/>
    <x v="4"/>
    <n v="18090.2"/>
    <n v="6"/>
    <s v="2011-12-30"/>
    <n v="0"/>
    <n v="99"/>
    <n v="182.544904"/>
    <n v="1"/>
    <x v="4"/>
    <x v="4604"/>
    <n v="3445.74"/>
    <n v="0"/>
    <s v="1105196"/>
    <m/>
    <n v="1675.0194100000001"/>
    <n v="0"/>
    <n v="62722"/>
  </r>
  <r>
    <x v="17"/>
    <s v="????"/>
    <s v="Skomagerbakken P. E. Rasmunnens Vej 3"/>
    <n v="6370"/>
    <m/>
    <s v="Skomagerbakken"/>
    <x v="141"/>
    <x v="1"/>
    <x v="5"/>
    <n v="19887"/>
    <n v="6"/>
    <s v="2011-12-30"/>
    <n v="0"/>
    <n v="99"/>
    <n v="200.676084"/>
    <n v="1"/>
    <x v="4"/>
    <x v="4605"/>
    <n v="5290.78"/>
    <n v="0"/>
    <s v="1105196"/>
    <m/>
    <n v="1841.3898099999999"/>
    <n v="0"/>
    <n v="62722"/>
  </r>
  <r>
    <x v="17"/>
    <s v="????"/>
    <s v="Skomagerbakken P. E. Rasmunnens Vej 3"/>
    <n v="6370"/>
    <m/>
    <s v="Skomagerbakken"/>
    <x v="141"/>
    <x v="1"/>
    <x v="6"/>
    <n v="17799.650000000001"/>
    <n v="5"/>
    <s v="2011-12-30"/>
    <n v="0"/>
    <n v="99"/>
    <n v="179.61301700000001"/>
    <n v="1"/>
    <x v="4"/>
    <x v="4606"/>
    <n v="4541.3100000000004"/>
    <n v="0"/>
    <s v="1105196"/>
    <m/>
    <n v="1648.1157900000001"/>
    <n v="0"/>
    <n v="62722"/>
  </r>
  <r>
    <x v="17"/>
    <s v="03972-1"/>
    <s v="Solhøjgård - UDLEJET"/>
    <n v="5953"/>
    <m/>
    <s v="Solhøjgård"/>
    <x v="142"/>
    <x v="1"/>
    <x v="0"/>
    <n v="24447.21"/>
    <n v="5"/>
    <s v="2011-12-31"/>
    <n v="0"/>
    <n v="272"/>
    <n v="89.846416000000005"/>
    <n v="1"/>
    <x v="4"/>
    <x v="4607"/>
    <n v="5804.91"/>
    <n v="0"/>
    <s v="1171337"/>
    <s v="98000130192"/>
    <n v="2263.63"/>
    <n v="0"/>
    <n v="59978"/>
  </r>
  <r>
    <x v="17"/>
    <s v="03972-1"/>
    <s v="Solhøjgård - UDLEJET"/>
    <n v="5953"/>
    <m/>
    <s v="Solhøjgård"/>
    <x v="142"/>
    <x v="1"/>
    <x v="1"/>
    <n v="46428.55"/>
    <n v="12"/>
    <s v="2011-12-31"/>
    <n v="0"/>
    <n v="272"/>
    <n v="170.63046600000001"/>
    <n v="1"/>
    <x v="4"/>
    <x v="4608"/>
    <n v="10248.35"/>
    <n v="0"/>
    <s v="1171337"/>
    <s v="98000130192"/>
    <n v="4298.9399999999996"/>
    <n v="0"/>
    <n v="59978"/>
  </r>
  <r>
    <x v="17"/>
    <s v="03972-1"/>
    <s v="Solhøjgård - UDLEJET"/>
    <n v="5953"/>
    <m/>
    <s v="Solhøjgård"/>
    <x v="142"/>
    <x v="1"/>
    <x v="2"/>
    <n v="45460.66"/>
    <n v="12"/>
    <s v="2011-12-31"/>
    <n v="0"/>
    <n v="272"/>
    <n v="167.07335499999999"/>
    <n v="1"/>
    <x v="4"/>
    <x v="4609"/>
    <n v="10145.700000000001"/>
    <n v="0"/>
    <s v="1171337"/>
    <s v="98000130192"/>
    <n v="4209.32"/>
    <n v="0"/>
    <n v="59978"/>
  </r>
  <r>
    <x v="17"/>
    <s v="03972-1"/>
    <s v="Solhøjgård - UDLEJET"/>
    <n v="5953"/>
    <m/>
    <s v="Solhøjgård"/>
    <x v="142"/>
    <x v="1"/>
    <x v="3"/>
    <n v="48230.03"/>
    <n v="10"/>
    <s v="2011-12-31"/>
    <n v="0"/>
    <n v="272"/>
    <n v="177.25111999999999"/>
    <n v="1"/>
    <x v="4"/>
    <x v="4610"/>
    <n v="11303.8"/>
    <n v="0"/>
    <s v="1171337"/>
    <s v="98000130192"/>
    <n v="4465.7442000000001"/>
    <n v="0"/>
    <n v="59978"/>
  </r>
  <r>
    <x v="17"/>
    <s v="03972-1"/>
    <s v="Solhøjgård - UDLEJET"/>
    <n v="5953"/>
    <m/>
    <s v="Solhøjgård"/>
    <x v="142"/>
    <x v="1"/>
    <x v="4"/>
    <n v="45365.06"/>
    <n v="4"/>
    <s v="2011-12-31"/>
    <n v="0"/>
    <n v="272"/>
    <n v="166.722013"/>
    <n v="1"/>
    <x v="4"/>
    <x v="4611"/>
    <n v="8698.68"/>
    <n v="0"/>
    <s v="1171337"/>
    <s v="98000130192"/>
    <n v="4200.4685499999996"/>
    <n v="0"/>
    <n v="59978"/>
  </r>
  <r>
    <x v="17"/>
    <s v="03972-1"/>
    <s v="Solhøjgård - UDLEJET"/>
    <n v="5953"/>
    <m/>
    <s v="Solhøjgård"/>
    <x v="142"/>
    <x v="1"/>
    <x v="5"/>
    <n v="50304.13"/>
    <n v="1"/>
    <s v="2011-12-31"/>
    <n v="0"/>
    <n v="272"/>
    <n v="184.87368599999999"/>
    <n v="1"/>
    <x v="4"/>
    <x v="4612"/>
    <n v="15253.11"/>
    <n v="0"/>
    <s v="1171337"/>
    <s v="98000130192"/>
    <n v="4657.7873099999997"/>
    <n v="0"/>
    <n v="59978"/>
  </r>
  <r>
    <x v="17"/>
    <s v="03972-1"/>
    <s v="Solhøjgård - UDLEJET"/>
    <n v="5953"/>
    <m/>
    <s v="Solhøjgård"/>
    <x v="142"/>
    <x v="1"/>
    <x v="6"/>
    <n v="44945.279999999999"/>
    <n v="3"/>
    <s v="2011-12-31"/>
    <n v="0"/>
    <n v="272"/>
    <n v="165.179272"/>
    <n v="1"/>
    <x v="4"/>
    <x v="4613"/>
    <n v="11286.47"/>
    <n v="0"/>
    <s v="1171337"/>
    <s v="98000130192"/>
    <n v="4161.6000100000001"/>
    <n v="0"/>
    <n v="59978"/>
  </r>
  <r>
    <x v="17"/>
    <m/>
    <s v="Stenvadhallen"/>
    <n v="13534"/>
    <s v="0"/>
    <s v="Stenvadhallen"/>
    <x v="143"/>
    <x v="1"/>
    <x v="0"/>
    <n v="77320"/>
    <n v="4"/>
    <s v="2015-05-04"/>
    <n v="0"/>
    <n v="2088"/>
    <n v="37.028877000000001"/>
    <n v="1"/>
    <x v="5"/>
    <x v="4614"/>
    <n v="15775.72"/>
    <n v="0"/>
    <s v="Ny"/>
    <m/>
    <n v="77.319999999999993"/>
    <n v="0"/>
    <n v="96970"/>
  </r>
  <r>
    <x v="17"/>
    <m/>
    <s v="Stenvadhallen"/>
    <n v="13534"/>
    <s v="0"/>
    <s v="Stenvadhallen"/>
    <x v="143"/>
    <x v="1"/>
    <x v="1"/>
    <n v="30639.35"/>
    <n v="6"/>
    <s v="2014-11-02"/>
    <n v="0"/>
    <n v="2088"/>
    <n v="14.673315000000001"/>
    <n v="1"/>
    <x v="5"/>
    <x v="4615"/>
    <n v="4837.99"/>
    <n v="0"/>
    <s v="6506369"/>
    <m/>
    <n v="30.63935"/>
    <n v="0"/>
    <n v="90567"/>
  </r>
  <r>
    <x v="17"/>
    <m/>
    <s v="Stenvadhallen"/>
    <n v="13534"/>
    <s v="0"/>
    <s v="Stenvadhallen"/>
    <x v="143"/>
    <x v="1"/>
    <x v="1"/>
    <n v="151921.32999999999"/>
    <n v="6"/>
    <s v="2014-11-02"/>
    <n v="0"/>
    <n v="2088"/>
    <n v="72.755773000000005"/>
    <n v="1"/>
    <x v="5"/>
    <x v="4616"/>
    <n v="22377.1"/>
    <n v="0"/>
    <s v="6508842"/>
    <m/>
    <n v="151.92133000000001"/>
    <n v="0"/>
    <n v="90565"/>
  </r>
  <r>
    <x v="17"/>
    <m/>
    <s v="Stenvadhallen"/>
    <n v="13534"/>
    <s v="0"/>
    <s v="Stenvadhallen"/>
    <x v="143"/>
    <x v="1"/>
    <x v="1"/>
    <n v="13979.68"/>
    <n v="6"/>
    <s v="2014-11-02"/>
    <n v="0"/>
    <n v="2088"/>
    <n v="6.694928"/>
    <n v="1"/>
    <x v="5"/>
    <x v="4617"/>
    <n v="2221.34"/>
    <n v="0"/>
    <s v="6506368"/>
    <m/>
    <n v="13.97968"/>
    <n v="0"/>
    <n v="90566"/>
  </r>
  <r>
    <x v="17"/>
    <m/>
    <s v="Stenvadhallen"/>
    <n v="13534"/>
    <s v="0"/>
    <s v="Stenvadhallen"/>
    <x v="143"/>
    <x v="1"/>
    <x v="1"/>
    <n v="2826.3"/>
    <n v="6"/>
    <s v="2014-11-02"/>
    <n v="0"/>
    <n v="2088"/>
    <n v="1.3535269999999999"/>
    <n v="1"/>
    <x v="5"/>
    <x v="4618"/>
    <n v="433.72"/>
    <n v="0"/>
    <s v="608636"/>
    <m/>
    <n v="2.8262999999999998"/>
    <n v="0"/>
    <n v="90568"/>
  </r>
  <r>
    <x v="17"/>
    <m/>
    <s v="Stenvadhallen"/>
    <n v="13534"/>
    <s v="0"/>
    <s v="Stenvadhallen"/>
    <x v="143"/>
    <x v="1"/>
    <x v="2"/>
    <n v="4773.34"/>
    <n v="4"/>
    <s v="2014-11-02"/>
    <n v="0"/>
    <n v="2088"/>
    <n v="2.2859720000000001"/>
    <n v="1"/>
    <x v="5"/>
    <x v="4619"/>
    <n v="636.29999999999995"/>
    <n v="0"/>
    <s v="6506368"/>
    <m/>
    <n v="4.7733400000000001"/>
    <n v="0"/>
    <n v="90566"/>
  </r>
  <r>
    <x v="17"/>
    <m/>
    <s v="Stenvadhallen"/>
    <n v="13534"/>
    <s v="0"/>
    <s v="Stenvadhallen"/>
    <x v="143"/>
    <x v="1"/>
    <x v="2"/>
    <n v="28175.33"/>
    <n v="6"/>
    <s v="2014-11-02"/>
    <n v="0"/>
    <n v="2088"/>
    <n v="13.493285"/>
    <n v="1"/>
    <x v="5"/>
    <x v="4620"/>
    <n v="3934.01"/>
    <n v="0"/>
    <s v="6506369"/>
    <m/>
    <n v="28.175329999999999"/>
    <n v="0"/>
    <n v="90567"/>
  </r>
  <r>
    <x v="17"/>
    <m/>
    <s v="Stenvadhallen"/>
    <n v="13534"/>
    <s v="0"/>
    <s v="Stenvadhallen"/>
    <x v="143"/>
    <x v="1"/>
    <x v="2"/>
    <n v="139655.95000000001"/>
    <n v="6"/>
    <s v="2014-11-02"/>
    <n v="0"/>
    <n v="2088"/>
    <n v="66.881829999999994"/>
    <n v="1"/>
    <x v="5"/>
    <x v="4621"/>
    <n v="18777.080000000002"/>
    <n v="0"/>
    <s v="6508842"/>
    <m/>
    <n v="139.65594999999999"/>
    <n v="0"/>
    <n v="90565"/>
  </r>
  <r>
    <x v="17"/>
    <m/>
    <s v="Stenvadhallen"/>
    <n v="13534"/>
    <s v="0"/>
    <s v="Stenvadhallen"/>
    <x v="143"/>
    <x v="1"/>
    <x v="2"/>
    <n v="2211"/>
    <n v="6"/>
    <s v="2014-11-02"/>
    <n v="0"/>
    <n v="2088"/>
    <n v="1.0588569999999999"/>
    <n v="1"/>
    <x v="5"/>
    <x v="4622"/>
    <n v="302.3"/>
    <n v="0"/>
    <s v="608636"/>
    <m/>
    <n v="2.2109999999999999"/>
    <n v="0"/>
    <n v="90568"/>
  </r>
  <r>
    <x v="17"/>
    <m/>
    <s v="Stenvadhallen"/>
    <n v="13534"/>
    <s v="0"/>
    <s v="Stenvadhallen"/>
    <x v="143"/>
    <x v="1"/>
    <x v="3"/>
    <n v="3807.19"/>
    <n v="2"/>
    <s v="2014-11-02"/>
    <n v="0"/>
    <n v="2088"/>
    <n v="1.8232790000000001"/>
    <n v="1"/>
    <x v="5"/>
    <x v="4623"/>
    <n v="564.84"/>
    <n v="0"/>
    <s v="6506368"/>
    <m/>
    <n v="3.8071899999999999"/>
    <n v="0"/>
    <n v="90566"/>
  </r>
  <r>
    <x v="17"/>
    <m/>
    <s v="Stenvadhallen"/>
    <n v="13534"/>
    <s v="0"/>
    <s v="Stenvadhallen"/>
    <x v="143"/>
    <x v="1"/>
    <x v="3"/>
    <n v="117255.1"/>
    <n v="2"/>
    <s v="2014-11-02"/>
    <n v="0"/>
    <n v="2088"/>
    <n v="56.153967000000002"/>
    <n v="1"/>
    <x v="5"/>
    <x v="4624"/>
    <n v="17482.43"/>
    <n v="0"/>
    <s v="6508842"/>
    <m/>
    <n v="117.2551"/>
    <n v="0"/>
    <n v="90565"/>
  </r>
  <r>
    <x v="17"/>
    <m/>
    <s v="Stenvadhallen"/>
    <n v="13534"/>
    <s v="0"/>
    <s v="Stenvadhallen"/>
    <x v="143"/>
    <x v="1"/>
    <x v="3"/>
    <n v="28738.79"/>
    <n v="2"/>
    <s v="2014-11-02"/>
    <n v="0"/>
    <n v="2088"/>
    <n v="13.763128999999999"/>
    <n v="1"/>
    <x v="5"/>
    <x v="4625"/>
    <n v="4294.87"/>
    <n v="0"/>
    <s v="6506369"/>
    <m/>
    <n v="28.738790000000002"/>
    <n v="0"/>
    <n v="90567"/>
  </r>
  <r>
    <x v="17"/>
    <m/>
    <s v="Stenvadhallen"/>
    <n v="13534"/>
    <s v="0"/>
    <s v="Stenvadhallen"/>
    <x v="143"/>
    <x v="1"/>
    <x v="3"/>
    <n v="2756.59"/>
    <n v="2"/>
    <s v="2014-11-02"/>
    <n v="0"/>
    <n v="2088"/>
    <n v="1.3201419999999999"/>
    <n v="1"/>
    <x v="5"/>
    <x v="4626"/>
    <n v="409.4"/>
    <n v="0"/>
    <s v="608636"/>
    <m/>
    <n v="2.7565900000000001"/>
    <n v="0"/>
    <n v="90568"/>
  </r>
  <r>
    <x v="17"/>
    <m/>
    <s v="Stenvadhallen"/>
    <n v="13534"/>
    <s v="0"/>
    <s v="Stenvadhallen"/>
    <x v="143"/>
    <x v="1"/>
    <x v="4"/>
    <n v="8723.41"/>
    <n v="2"/>
    <s v="2014-11-02"/>
    <n v="0"/>
    <n v="2088"/>
    <n v="4.1776780000000002"/>
    <n v="1"/>
    <x v="5"/>
    <x v="4627"/>
    <n v="1375.54"/>
    <n v="0"/>
    <s v="6506368"/>
    <m/>
    <n v="8.7234099999999994"/>
    <n v="0"/>
    <n v="90566"/>
  </r>
  <r>
    <x v="17"/>
    <m/>
    <s v="Stenvadhallen"/>
    <n v="13534"/>
    <s v="0"/>
    <s v="Stenvadhallen"/>
    <x v="143"/>
    <x v="1"/>
    <x v="4"/>
    <n v="5293.01"/>
    <n v="2"/>
    <s v="2014-11-02"/>
    <n v="0"/>
    <n v="2088"/>
    <n v="2.5348449999999998"/>
    <n v="1"/>
    <x v="5"/>
    <x v="4628"/>
    <n v="827.75"/>
    <n v="0"/>
    <s v="608636"/>
    <m/>
    <n v="5.2930099999999998"/>
    <n v="0"/>
    <n v="90568"/>
  </r>
  <r>
    <x v="17"/>
    <m/>
    <s v="Stenvadhallen"/>
    <n v="13534"/>
    <s v="0"/>
    <s v="Stenvadhallen"/>
    <x v="143"/>
    <x v="1"/>
    <x v="4"/>
    <n v="138449.85999999999"/>
    <n v="2"/>
    <s v="2014-11-02"/>
    <n v="0"/>
    <n v="2088"/>
    <n v="66.304227999999995"/>
    <n v="1"/>
    <x v="5"/>
    <x v="4629"/>
    <n v="22355.73"/>
    <n v="0"/>
    <s v="6508842"/>
    <m/>
    <n v="138.44986"/>
    <n v="0"/>
    <n v="90565"/>
  </r>
  <r>
    <x v="17"/>
    <m/>
    <s v="Stenvadhallen"/>
    <n v="13534"/>
    <s v="0"/>
    <s v="Stenvadhallen"/>
    <x v="143"/>
    <x v="1"/>
    <x v="4"/>
    <n v="45856.23"/>
    <n v="2"/>
    <s v="2014-11-02"/>
    <n v="0"/>
    <n v="2088"/>
    <n v="21.960743999999998"/>
    <n v="1"/>
    <x v="5"/>
    <x v="4630"/>
    <n v="7173.23"/>
    <n v="0"/>
    <s v="6506369"/>
    <m/>
    <n v="45.856229999999996"/>
    <n v="0"/>
    <n v="90567"/>
  </r>
  <r>
    <x v="17"/>
    <m/>
    <s v="Stenvadhallen"/>
    <n v="13534"/>
    <s v="0"/>
    <s v="Stenvadhallen"/>
    <x v="143"/>
    <x v="1"/>
    <x v="5"/>
    <n v="48904.68"/>
    <n v="1"/>
    <s v="2014-11-02"/>
    <n v="0"/>
    <n v="2088"/>
    <n v="23.420659000000001"/>
    <n v="1"/>
    <x v="5"/>
    <x v="4631"/>
    <n v="10699.31"/>
    <n v="0"/>
    <s v="6508842"/>
    <m/>
    <n v="48.904679999999999"/>
    <n v="0"/>
    <n v="90565"/>
  </r>
  <r>
    <x v="17"/>
    <m/>
    <s v="Stenvadhallen"/>
    <n v="13534"/>
    <s v="0"/>
    <s v="Stenvadhallen"/>
    <x v="143"/>
    <x v="1"/>
    <x v="5"/>
    <n v="1902.94"/>
    <n v="1"/>
    <s v="2014-11-02"/>
    <n v="0"/>
    <n v="2088"/>
    <n v="0.91132599999999997"/>
    <n v="1"/>
    <x v="5"/>
    <x v="4632"/>
    <n v="416.32"/>
    <n v="0"/>
    <s v="6506368"/>
    <m/>
    <n v="1.9029400000000001"/>
    <n v="0"/>
    <n v="90566"/>
  </r>
  <r>
    <x v="17"/>
    <m/>
    <s v="Stenvadhallen"/>
    <n v="13534"/>
    <s v="0"/>
    <s v="Stenvadhallen"/>
    <x v="143"/>
    <x v="1"/>
    <x v="5"/>
    <n v="1488.83"/>
    <n v="1"/>
    <s v="2014-11-02"/>
    <n v="0"/>
    <n v="2088"/>
    <n v="0.71300699999999995"/>
    <n v="1"/>
    <x v="5"/>
    <x v="4633"/>
    <n v="325.72000000000003"/>
    <n v="0"/>
    <s v="608636"/>
    <m/>
    <n v="1.4888300000000001"/>
    <n v="0"/>
    <n v="90568"/>
  </r>
  <r>
    <x v="17"/>
    <m/>
    <s v="Stenvadhallen"/>
    <n v="13534"/>
    <s v="0"/>
    <s v="Stenvadhallen"/>
    <x v="143"/>
    <x v="1"/>
    <x v="5"/>
    <n v="15144.68"/>
    <n v="1"/>
    <s v="2014-11-02"/>
    <n v="0"/>
    <n v="2088"/>
    <n v="7.2528509999999997"/>
    <n v="1"/>
    <x v="5"/>
    <x v="4634"/>
    <n v="3313.33"/>
    <n v="0"/>
    <s v="6506369"/>
    <m/>
    <n v="15.144679999999999"/>
    <n v="0"/>
    <n v="90567"/>
  </r>
  <r>
    <x v="17"/>
    <m/>
    <s v="Ballerupvej 29 - Udlejet"/>
    <n v="10275"/>
    <m/>
    <s v="Ballerupvej 29"/>
    <x v="125"/>
    <x v="1"/>
    <x v="0"/>
    <n v="1719.35"/>
    <n v="5"/>
    <m/>
    <n v="0"/>
    <n v="551"/>
    <n v="3.1198510000000002"/>
    <n v="2"/>
    <x v="2"/>
    <x v="4635"/>
    <n v="515.82000000000005"/>
    <n v="0"/>
    <s v="814920"/>
    <s v="74110485982"/>
    <n v="1719.3642"/>
    <n v="0"/>
    <n v="92619"/>
  </r>
  <r>
    <x v="17"/>
    <m/>
    <s v="Ballerupvej 29 - Udlejet"/>
    <n v="10275"/>
    <m/>
    <s v="Ballerupvej 29"/>
    <x v="125"/>
    <x v="1"/>
    <x v="1"/>
    <n v="12678.82"/>
    <n v="12"/>
    <m/>
    <n v="0"/>
    <n v="551"/>
    <n v="23.006387"/>
    <n v="2"/>
    <x v="2"/>
    <x v="4636"/>
    <n v="3803.65"/>
    <n v="0"/>
    <s v="814920"/>
    <s v="74110485982"/>
    <n v="12678.8228"/>
    <n v="0"/>
    <n v="92619"/>
  </r>
  <r>
    <x v="17"/>
    <m/>
    <s v="Ballerupvej 29 - Udlejet"/>
    <n v="10275"/>
    <m/>
    <s v="Ballerupvej 29"/>
    <x v="125"/>
    <x v="1"/>
    <x v="2"/>
    <n v="8204.51"/>
    <n v="12"/>
    <m/>
    <n v="0"/>
    <n v="551"/>
    <n v="14.887515"/>
    <n v="2"/>
    <x v="2"/>
    <x v="4637"/>
    <n v="3281.8"/>
    <n v="0"/>
    <s v="814920"/>
    <s v="74110485982"/>
    <n v="8204.4969000000001"/>
    <n v="0"/>
    <n v="92619"/>
  </r>
  <r>
    <x v="17"/>
    <m/>
    <s v="Ballerupvej 29 - Udlejet"/>
    <n v="10275"/>
    <m/>
    <s v="Ballerupvej 29"/>
    <x v="125"/>
    <x v="1"/>
    <x v="3"/>
    <n v="225.5"/>
    <n v="1"/>
    <m/>
    <n v="0"/>
    <n v="551"/>
    <n v="0.40918100000000002"/>
    <n v="2"/>
    <x v="2"/>
    <x v="4638"/>
    <n v="105.75"/>
    <n v="0"/>
    <s v="814920"/>
    <s v="74110485982"/>
    <n v="225.49629999999999"/>
    <n v="0"/>
    <n v="92619"/>
  </r>
  <r>
    <x v="17"/>
    <m/>
    <s v="Ballerupvej 29 - Udlejet"/>
    <n v="10275"/>
    <m/>
    <s v="Ballerupvej 29"/>
    <x v="125"/>
    <x v="1"/>
    <x v="3"/>
    <n v="5725.5"/>
    <n v="3"/>
    <s v="2011-11-29"/>
    <n v="0"/>
    <n v="551"/>
    <n v="10.389220999999999"/>
    <n v="2"/>
    <x v="2"/>
    <x v="4639"/>
    <n v="2685.26"/>
    <n v="0"/>
    <s v="814920 AFMELDT"/>
    <m/>
    <n v="5725.5000099999997"/>
    <n v="0"/>
    <n v="77668"/>
  </r>
  <r>
    <x v="17"/>
    <m/>
    <s v="Ballerupvej 29 - Udlejet"/>
    <n v="10275"/>
    <m/>
    <s v="Ballerupvej 29"/>
    <x v="125"/>
    <x v="1"/>
    <x v="4"/>
    <n v="19809.09"/>
    <n v="3"/>
    <s v="2011-11-29"/>
    <n v="0"/>
    <n v="551"/>
    <n v="35.944637"/>
    <n v="2"/>
    <x v="2"/>
    <x v="4640"/>
    <n v="9290.4599999999991"/>
    <n v="0"/>
    <s v="814920 AFMELDT"/>
    <m/>
    <n v="19809.09"/>
    <n v="0"/>
    <n v="77668"/>
  </r>
  <r>
    <x v="17"/>
    <m/>
    <s v="Ballerupvej 29 - Udlejet"/>
    <n v="10275"/>
    <m/>
    <s v="Ballerupvej 29"/>
    <x v="125"/>
    <x v="1"/>
    <x v="5"/>
    <n v="20849.23"/>
    <n v="2"/>
    <s v="2011-11-29"/>
    <n v="0"/>
    <n v="551"/>
    <n v="37.832025999999999"/>
    <n v="2"/>
    <x v="2"/>
    <x v="4641"/>
    <n v="9778.26"/>
    <n v="0"/>
    <s v="814920 AFMELDT"/>
    <m/>
    <n v="20849.228190000002"/>
    <n v="0"/>
    <n v="77668"/>
  </r>
  <r>
    <x v="17"/>
    <m/>
    <s v="Ballerupvej 29 - Udlejet"/>
    <n v="10275"/>
    <m/>
    <s v="Ballerupvej 29"/>
    <x v="125"/>
    <x v="1"/>
    <x v="6"/>
    <n v="20190.86"/>
    <n v="4"/>
    <s v="2011-11-29"/>
    <n v="0"/>
    <n v="551"/>
    <n v="36.637379000000003"/>
    <n v="2"/>
    <x v="2"/>
    <x v="4642"/>
    <n v="9469.5400000000009"/>
    <n v="0"/>
    <s v="814920 AFMELDT"/>
    <m/>
    <n v="20190.850480000001"/>
    <n v="0"/>
    <n v="77668"/>
  </r>
  <r>
    <x v="17"/>
    <s v="02561-5"/>
    <s v="Farum Park"/>
    <n v="6026"/>
    <m/>
    <s v="Bimåler F.K."/>
    <x v="132"/>
    <x v="1"/>
    <x v="0"/>
    <n v="1057.9100000000001"/>
    <n v="5"/>
    <s v="2015-05-04"/>
    <n v="0"/>
    <n v="0"/>
    <n v="10579.1"/>
    <n v="2"/>
    <x v="2"/>
    <x v="4643"/>
    <n v="423.17"/>
    <n v="1"/>
    <s v="Trc BK 31000018112"/>
    <m/>
    <n v="1057.9142899999999"/>
    <n v="0"/>
    <n v="60555"/>
  </r>
  <r>
    <x v="17"/>
    <s v="02561-5"/>
    <s v="Farum Park"/>
    <n v="6026"/>
    <m/>
    <s v="Bimåler F.K."/>
    <x v="132"/>
    <x v="1"/>
    <x v="0"/>
    <n v="5438.63"/>
    <n v="5"/>
    <s v="2015-05-04"/>
    <n v="0"/>
    <n v="0"/>
    <n v="54386.3"/>
    <n v="2"/>
    <x v="2"/>
    <x v="4644"/>
    <n v="1631.58"/>
    <n v="1"/>
    <s v="Trænings lys D"/>
    <m/>
    <n v="5438.6285699999999"/>
    <n v="0"/>
    <n v="93454"/>
  </r>
  <r>
    <x v="17"/>
    <s v="02561-5"/>
    <s v="Farum Park"/>
    <n v="6026"/>
    <m/>
    <s v="Bimåler F.K."/>
    <x v="132"/>
    <x v="1"/>
    <x v="0"/>
    <n v="5411.26"/>
    <n v="5"/>
    <s v="2015-05-04"/>
    <n v="0"/>
    <n v="0"/>
    <n v="54112.6"/>
    <n v="2"/>
    <x v="2"/>
    <x v="4645"/>
    <n v="1623.38"/>
    <n v="1"/>
    <s v="Trænings lys B"/>
    <m/>
    <n v="5411.2571399999997"/>
    <n v="0"/>
    <n v="93455"/>
  </r>
  <r>
    <x v="17"/>
    <s v="02561-5"/>
    <s v="Farum Park"/>
    <n v="6026"/>
    <m/>
    <s v="Bimåler F.K."/>
    <x v="132"/>
    <x v="1"/>
    <x v="0"/>
    <n v="5436.69"/>
    <n v="5"/>
    <s v="2015-05-04"/>
    <n v="0"/>
    <n v="0"/>
    <n v="54366.9"/>
    <n v="2"/>
    <x v="2"/>
    <x v="4646"/>
    <n v="1631.01"/>
    <n v="1"/>
    <s v="Trænings lys C"/>
    <m/>
    <n v="5436.6857099999997"/>
    <n v="0"/>
    <n v="93457"/>
  </r>
  <r>
    <x v="17"/>
    <s v="02561-5"/>
    <s v="Farum Park"/>
    <n v="6026"/>
    <m/>
    <s v="Bimåler F.K."/>
    <x v="132"/>
    <x v="1"/>
    <x v="0"/>
    <n v="10529.71"/>
    <n v="5"/>
    <s v="2015-05-04"/>
    <n v="0"/>
    <n v="0"/>
    <n v="105297.1"/>
    <n v="2"/>
    <x v="2"/>
    <x v="4647"/>
    <n v="3158.9"/>
    <n v="1"/>
    <s v="EL tribune D 369785"/>
    <m/>
    <n v="10529.71429"/>
    <n v="0"/>
    <n v="95436"/>
  </r>
  <r>
    <x v="17"/>
    <s v="02561-5"/>
    <s v="Farum Park"/>
    <n v="6026"/>
    <m/>
    <s v="Bimåler F.K."/>
    <x v="132"/>
    <x v="1"/>
    <x v="0"/>
    <n v="3172"/>
    <n v="4"/>
    <s v="2015-05-04"/>
    <n v="0"/>
    <n v="0"/>
    <n v="31720"/>
    <n v="2"/>
    <x v="2"/>
    <x v="4648"/>
    <n v="951.6"/>
    <n v="1"/>
    <s v="P15 Master"/>
    <m/>
    <n v="3172"/>
    <n v="0"/>
    <n v="97266"/>
  </r>
  <r>
    <x v="17"/>
    <s v="02561-5"/>
    <s v="Farum Park"/>
    <n v="6026"/>
    <m/>
    <s v="Bimåler F.K."/>
    <x v="132"/>
    <x v="1"/>
    <x v="1"/>
    <n v="483.24"/>
    <n v="3"/>
    <s v="2013-02-27"/>
    <n v="0"/>
    <n v="0"/>
    <n v="4832.3999999999996"/>
    <n v="2"/>
    <x v="2"/>
    <x v="4649"/>
    <n v="193.29"/>
    <n v="1"/>
    <s v="Maste P15"/>
    <m/>
    <n v="483.23529000000002"/>
    <n v="0"/>
    <n v="60553"/>
  </r>
  <r>
    <x v="17"/>
    <s v="02561-5"/>
    <s v="Farum Park"/>
    <n v="6026"/>
    <m/>
    <s v="Bimåler F.K."/>
    <x v="132"/>
    <x v="1"/>
    <x v="1"/>
    <n v="7736.5"/>
    <n v="12"/>
    <s v="2015-05-04"/>
    <n v="0"/>
    <n v="0"/>
    <n v="77365"/>
    <n v="2"/>
    <x v="2"/>
    <x v="4650"/>
    <n v="2320.94"/>
    <n v="1"/>
    <s v="Trænings lys B"/>
    <m/>
    <n v="7736.48855"/>
    <n v="0"/>
    <n v="93455"/>
  </r>
  <r>
    <x v="17"/>
    <s v="02561-5"/>
    <s v="Farum Park"/>
    <n v="6026"/>
    <m/>
    <s v="Bimåler F.K."/>
    <x v="132"/>
    <x v="1"/>
    <x v="1"/>
    <n v="5550.59"/>
    <n v="12"/>
    <s v="2015-05-04"/>
    <n v="0"/>
    <n v="0"/>
    <n v="55505.9"/>
    <n v="2"/>
    <x v="2"/>
    <x v="4651"/>
    <n v="2220.2199999999998"/>
    <n v="1"/>
    <s v="Trc BK 31000018112"/>
    <m/>
    <n v="5550.5834800000002"/>
    <n v="0"/>
    <n v="60555"/>
  </r>
  <r>
    <x v="17"/>
    <s v="02561-5"/>
    <s v="Farum Park"/>
    <n v="6026"/>
    <m/>
    <s v="Bimåler F.K."/>
    <x v="132"/>
    <x v="1"/>
    <x v="1"/>
    <n v="2836.38"/>
    <n v="3"/>
    <s v="2013-02-27"/>
    <n v="0"/>
    <n v="0"/>
    <n v="28363.8"/>
    <n v="2"/>
    <x v="2"/>
    <x v="4652"/>
    <n v="850.91"/>
    <n v="1"/>
    <s v="Trænings lys A"/>
    <m/>
    <n v="2836.3809500000002"/>
    <n v="0"/>
    <n v="93435"/>
  </r>
  <r>
    <x v="17"/>
    <s v="02561-5"/>
    <s v="Farum Park"/>
    <n v="6026"/>
    <m/>
    <s v="Bimåler F.K."/>
    <x v="132"/>
    <x v="1"/>
    <x v="1"/>
    <n v="7661.04"/>
    <n v="12"/>
    <s v="2015-05-04"/>
    <n v="0"/>
    <n v="0"/>
    <n v="76610.399999999994"/>
    <n v="2"/>
    <x v="2"/>
    <x v="4653"/>
    <n v="2298.3200000000002"/>
    <n v="1"/>
    <s v="Trænings lys D"/>
    <m/>
    <n v="7661.0308500000001"/>
    <n v="0"/>
    <n v="93454"/>
  </r>
  <r>
    <x v="17"/>
    <s v="02561-5"/>
    <s v="Farum Park"/>
    <n v="6026"/>
    <m/>
    <s v="Bimåler F.K."/>
    <x v="132"/>
    <x v="1"/>
    <x v="1"/>
    <n v="11067.84"/>
    <n v="12"/>
    <s v="2015-05-04"/>
    <n v="0"/>
    <n v="0"/>
    <n v="110678.39999999999"/>
    <n v="2"/>
    <x v="2"/>
    <x v="4654"/>
    <n v="3320.36"/>
    <n v="1"/>
    <s v="Trænings lys C"/>
    <m/>
    <n v="11067.84058"/>
    <n v="0"/>
    <n v="93457"/>
  </r>
  <r>
    <x v="17"/>
    <s v="02561-5"/>
    <s v="Farum Park"/>
    <n v="6026"/>
    <m/>
    <s v="Bimåler F.K."/>
    <x v="132"/>
    <x v="1"/>
    <x v="2"/>
    <n v="14929.49"/>
    <n v="12"/>
    <s v="2013-02-27"/>
    <n v="0"/>
    <n v="0"/>
    <n v="149294.9"/>
    <n v="2"/>
    <x v="2"/>
    <x v="4655"/>
    <n v="5971.81"/>
    <n v="1"/>
    <s v="Maste P15"/>
    <m/>
    <n v="14929.491980000001"/>
    <n v="0"/>
    <n v="60553"/>
  </r>
  <r>
    <x v="17"/>
    <s v="02561-5"/>
    <s v="Farum Park"/>
    <n v="6026"/>
    <m/>
    <s v="Bimåler F.K."/>
    <x v="132"/>
    <x v="1"/>
    <x v="2"/>
    <n v="3692.72"/>
    <n v="11"/>
    <s v="2015-05-04"/>
    <n v="0"/>
    <n v="0"/>
    <n v="36927.199999999997"/>
    <n v="2"/>
    <x v="2"/>
    <x v="4656"/>
    <n v="1477.11"/>
    <n v="1"/>
    <s v="Trc BK 31000018112"/>
    <m/>
    <n v="3692.7263899999998"/>
    <n v="0"/>
    <n v="60555"/>
  </r>
  <r>
    <x v="17"/>
    <s v="02561-5"/>
    <s v="Farum Park"/>
    <n v="6026"/>
    <m/>
    <s v="Bimåler F.K."/>
    <x v="132"/>
    <x v="1"/>
    <x v="2"/>
    <n v="2386.89"/>
    <n v="1"/>
    <s v="2015-05-04"/>
    <n v="0"/>
    <n v="0"/>
    <n v="23868.9"/>
    <n v="2"/>
    <x v="2"/>
    <x v="4657"/>
    <n v="954.76"/>
    <n v="1"/>
    <s v="Trænings lys B"/>
    <m/>
    <n v="2386.8985499999999"/>
    <n v="0"/>
    <n v="93455"/>
  </r>
  <r>
    <x v="17"/>
    <s v="02561-5"/>
    <s v="Farum Park"/>
    <n v="6026"/>
    <m/>
    <s v="Bimåler F.K."/>
    <x v="132"/>
    <x v="1"/>
    <x v="2"/>
    <n v="3253.16"/>
    <n v="1"/>
    <s v="2015-05-04"/>
    <n v="0"/>
    <n v="0"/>
    <n v="32531.599999999999"/>
    <n v="2"/>
    <x v="2"/>
    <x v="4658"/>
    <n v="1301.26"/>
    <n v="1"/>
    <s v="Trænings lys C"/>
    <m/>
    <n v="3253.15942"/>
    <n v="0"/>
    <n v="93457"/>
  </r>
  <r>
    <x v="17"/>
    <s v="02561-5"/>
    <s v="Farum Park"/>
    <n v="6026"/>
    <m/>
    <s v="Bimåler F.K."/>
    <x v="132"/>
    <x v="1"/>
    <x v="2"/>
    <n v="2589.62"/>
    <n v="2"/>
    <s v="2013-02-27"/>
    <n v="0"/>
    <n v="0"/>
    <n v="25896.2"/>
    <n v="2"/>
    <x v="2"/>
    <x v="4659"/>
    <n v="1035.8499999999999"/>
    <n v="1"/>
    <s v="Trænings lys A"/>
    <m/>
    <n v="2589.6190499999998"/>
    <n v="0"/>
    <n v="93435"/>
  </r>
  <r>
    <x v="17"/>
    <s v="02561-5"/>
    <s v="Farum Park"/>
    <n v="6026"/>
    <m/>
    <s v="Bimåler F.K."/>
    <x v="132"/>
    <x v="1"/>
    <x v="2"/>
    <n v="2235.14"/>
    <n v="1"/>
    <s v="2015-05-04"/>
    <n v="0"/>
    <n v="0"/>
    <n v="22351.4"/>
    <n v="2"/>
    <x v="2"/>
    <x v="4660"/>
    <n v="894.04"/>
    <n v="1"/>
    <s v="Trænings lys D"/>
    <m/>
    <n v="2235.1304399999999"/>
    <n v="0"/>
    <n v="93454"/>
  </r>
  <r>
    <x v="17"/>
    <s v="02561-5"/>
    <s v="Farum Park"/>
    <n v="6026"/>
    <m/>
    <s v="Bimåler F.K."/>
    <x v="132"/>
    <x v="1"/>
    <x v="3"/>
    <n v="18260.62"/>
    <n v="12"/>
    <s v="2013-02-27"/>
    <n v="0"/>
    <n v="0"/>
    <n v="182606.2"/>
    <n v="2"/>
    <x v="2"/>
    <x v="4661"/>
    <n v="8564.2199999999993"/>
    <n v="1"/>
    <s v="Maste P15"/>
    <m/>
    <n v="18260.606070000002"/>
    <n v="0"/>
    <n v="60553"/>
  </r>
  <r>
    <x v="17"/>
    <s v="02561-5"/>
    <s v="Farum Park"/>
    <n v="6026"/>
    <m/>
    <s v="Bimåler F.K."/>
    <x v="132"/>
    <x v="1"/>
    <x v="3"/>
    <n v="3619.88"/>
    <n v="12"/>
    <s v="2015-05-04"/>
    <n v="0"/>
    <n v="0"/>
    <n v="36198.800000000003"/>
    <n v="2"/>
    <x v="2"/>
    <x v="4662"/>
    <n v="1697.73"/>
    <n v="1"/>
    <s v="Trc BK 31000018112"/>
    <m/>
    <n v="3619.87878"/>
    <n v="0"/>
    <n v="60555"/>
  </r>
  <r>
    <x v="17"/>
    <s v="02561-5"/>
    <s v="Farum Park"/>
    <n v="6026"/>
    <m/>
    <s v="Bimåler F.K."/>
    <x v="132"/>
    <x v="1"/>
    <x v="4"/>
    <n v="20919.61"/>
    <n v="12"/>
    <s v="2013-02-27"/>
    <n v="0"/>
    <n v="0"/>
    <n v="209196.1"/>
    <n v="2"/>
    <x v="2"/>
    <x v="4663"/>
    <n v="9811.2999999999993"/>
    <n v="1"/>
    <s v="Maste P15"/>
    <m/>
    <n v="20919.60786"/>
    <n v="0"/>
    <n v="60553"/>
  </r>
  <r>
    <x v="17"/>
    <s v="02561-5"/>
    <s v="Farum Park"/>
    <n v="6026"/>
    <m/>
    <s v="Bimåler F.K."/>
    <x v="132"/>
    <x v="1"/>
    <x v="4"/>
    <n v="767.16"/>
    <n v="12"/>
    <s v="2015-05-04"/>
    <n v="0"/>
    <n v="0"/>
    <n v="7671.6"/>
    <n v="2"/>
    <x v="2"/>
    <x v="4664"/>
    <n v="359.8"/>
    <n v="1"/>
    <s v="Trc BK 31000018112"/>
    <m/>
    <n v="767.15953000000002"/>
    <n v="0"/>
    <n v="60555"/>
  </r>
  <r>
    <x v="17"/>
    <s v="02561-5"/>
    <s v="Farum Park"/>
    <n v="6026"/>
    <m/>
    <s v="Bimåler F.K."/>
    <x v="132"/>
    <x v="1"/>
    <x v="5"/>
    <n v="28833.94"/>
    <n v="12"/>
    <s v="2013-02-27"/>
    <n v="0"/>
    <n v="0"/>
    <n v="288339.40000000002"/>
    <n v="2"/>
    <x v="2"/>
    <x v="4665"/>
    <n v="13523.12"/>
    <n v="1"/>
    <s v="Maste P15"/>
    <m/>
    <n v="28833.933809999999"/>
    <n v="0"/>
    <n v="60553"/>
  </r>
  <r>
    <x v="17"/>
    <s v="02561-5"/>
    <s v="Farum Park"/>
    <n v="6026"/>
    <m/>
    <s v="Bimåler F.K."/>
    <x v="132"/>
    <x v="1"/>
    <x v="5"/>
    <n v="274.17"/>
    <n v="12"/>
    <s v="2015-05-04"/>
    <n v="0"/>
    <n v="0"/>
    <n v="2741.7"/>
    <n v="2"/>
    <x v="2"/>
    <x v="4666"/>
    <n v="128.58000000000001"/>
    <n v="1"/>
    <s v="Trc BK 31000018112"/>
    <m/>
    <n v="274.17095999999998"/>
    <n v="0"/>
    <n v="60555"/>
  </r>
  <r>
    <x v="17"/>
    <s v="02561-5"/>
    <s v="Farum Park"/>
    <n v="6026"/>
    <m/>
    <s v="Bimåler F.K."/>
    <x v="132"/>
    <x v="1"/>
    <x v="6"/>
    <n v="21464.35"/>
    <n v="12"/>
    <s v="2013-02-27"/>
    <n v="0"/>
    <n v="0"/>
    <n v="214643.5"/>
    <n v="2"/>
    <x v="2"/>
    <x v="4667"/>
    <n v="10066.77"/>
    <n v="1"/>
    <s v="Maste P15"/>
    <m/>
    <n v="21464.33712"/>
    <n v="0"/>
    <n v="60553"/>
  </r>
  <r>
    <x v="17"/>
    <s v="02561-5"/>
    <s v="Farum Park"/>
    <n v="6026"/>
    <m/>
    <s v="Bimåler F.K."/>
    <x v="132"/>
    <x v="1"/>
    <x v="6"/>
    <n v="136.55000000000001"/>
    <n v="12"/>
    <s v="2015-05-04"/>
    <n v="0"/>
    <n v="0"/>
    <n v="1365.5"/>
    <n v="2"/>
    <x v="2"/>
    <x v="4668"/>
    <n v="64.040000000000006"/>
    <n v="1"/>
    <s v="Trc BK 31000018112"/>
    <m/>
    <n v="136.54829000000001"/>
    <n v="0"/>
    <n v="60555"/>
  </r>
  <r>
    <x v="17"/>
    <s v="02561-5"/>
    <s v="Farum Park"/>
    <n v="6027"/>
    <m/>
    <s v="Bimåler FCN"/>
    <x v="132"/>
    <x v="1"/>
    <x v="0"/>
    <n v="28144.09"/>
    <n v="5"/>
    <s v="2015-05-04"/>
    <n v="0"/>
    <n v="0"/>
    <n v="281440.90000000002"/>
    <n v="2"/>
    <x v="2"/>
    <x v="4669"/>
    <n v="11257.63"/>
    <n v="1"/>
    <s v="Q14 VE01&amp;VE02"/>
    <m/>
    <n v="28144.085709999999"/>
    <n v="0"/>
    <n v="60559"/>
  </r>
  <r>
    <x v="17"/>
    <s v="02561-5"/>
    <s v="Farum Park"/>
    <n v="6027"/>
    <m/>
    <s v="Bimåler FCN"/>
    <x v="132"/>
    <x v="0"/>
    <x v="0"/>
    <n v="13235.01"/>
    <n v="5"/>
    <s v="2015-05-04"/>
    <n v="0"/>
    <n v="0"/>
    <n v="132350.1"/>
    <n v="2"/>
    <x v="2"/>
    <x v="4670"/>
    <n v="5293.99"/>
    <n v="1"/>
    <s v="Vaskeri  og tribune D"/>
    <m/>
    <n v="13234.99999"/>
    <n v="0"/>
    <n v="60561"/>
  </r>
  <r>
    <x v="17"/>
    <s v="02561-5"/>
    <s v="Farum Park"/>
    <n v="6027"/>
    <m/>
    <s v="Bimåler FCN"/>
    <x v="132"/>
    <x v="1"/>
    <x v="0"/>
    <n v="5693.09"/>
    <n v="5"/>
    <s v="2015-05-04"/>
    <n v="0"/>
    <n v="0"/>
    <n v="56930.9"/>
    <n v="2"/>
    <x v="2"/>
    <x v="4671"/>
    <n v="2277.23"/>
    <n v="1"/>
    <s v="Eltrc.31100018199"/>
    <m/>
    <n v="5693.0857100000003"/>
    <n v="0"/>
    <n v="60562"/>
  </r>
  <r>
    <x v="17"/>
    <s v="02561-5"/>
    <s v="Farum Park"/>
    <n v="6027"/>
    <m/>
    <s v="Bimåler FCN"/>
    <x v="132"/>
    <x v="1"/>
    <x v="0"/>
    <n v="496.08"/>
    <n v="5"/>
    <s v="2015-05-04"/>
    <n v="0"/>
    <n v="0"/>
    <n v="4960.8"/>
    <n v="2"/>
    <x v="2"/>
    <x v="4672"/>
    <n v="148.82"/>
    <n v="1"/>
    <s v="St.skærm0300118454"/>
    <m/>
    <n v="496.08571999999998"/>
    <n v="0"/>
    <n v="71007"/>
  </r>
  <r>
    <x v="17"/>
    <s v="02561-5"/>
    <s v="Farum Park"/>
    <n v="6027"/>
    <m/>
    <s v="Bimåler FCN"/>
    <x v="132"/>
    <x v="1"/>
    <x v="0"/>
    <n v="807.8"/>
    <n v="5"/>
    <s v="2015-05-04"/>
    <n v="0"/>
    <n v="0"/>
    <n v="8078"/>
    <n v="2"/>
    <x v="2"/>
    <x v="4673"/>
    <n v="242.35"/>
    <n v="1"/>
    <s v="bande B 122000320824"/>
    <m/>
    <n v="807.8"/>
    <n v="0"/>
    <n v="92703"/>
  </r>
  <r>
    <x v="17"/>
    <s v="02561-5"/>
    <s v="Farum Park"/>
    <n v="6027"/>
    <m/>
    <s v="Bimåler FCN"/>
    <x v="132"/>
    <x v="1"/>
    <x v="0"/>
    <n v="30495.09"/>
    <n v="2"/>
    <s v="2015-05-04"/>
    <n v="0"/>
    <n v="0"/>
    <n v="304950.90000000002"/>
    <n v="2"/>
    <x v="2"/>
    <x v="4674"/>
    <n v="9148.52"/>
    <n v="1"/>
    <s v="Banevarme 487273 -P1"/>
    <m/>
    <n v="30495.093049999999"/>
    <n v="0"/>
    <n v="92732"/>
  </r>
  <r>
    <x v="17"/>
    <s v="02561-5"/>
    <s v="Farum Park"/>
    <n v="6027"/>
    <m/>
    <s v="Bimåler FCN"/>
    <x v="132"/>
    <x v="1"/>
    <x v="0"/>
    <n v="3536.57"/>
    <n v="5"/>
    <s v="2015-05-04"/>
    <n v="0"/>
    <n v="0"/>
    <n v="35365.699999999997"/>
    <n v="2"/>
    <x v="2"/>
    <x v="4675"/>
    <n v="1414.63"/>
    <n v="1"/>
    <s v="P30 Suiter"/>
    <m/>
    <n v="3536.57143"/>
    <n v="0"/>
    <n v="60557"/>
  </r>
  <r>
    <x v="17"/>
    <s v="02561-5"/>
    <s v="Farum Park"/>
    <n v="6027"/>
    <m/>
    <s v="Bimåler FCN"/>
    <x v="132"/>
    <x v="1"/>
    <x v="0"/>
    <n v="4729.91"/>
    <n v="5"/>
    <s v="2015-05-04"/>
    <n v="0"/>
    <n v="0"/>
    <n v="47299.1"/>
    <n v="2"/>
    <x v="2"/>
    <x v="4676"/>
    <n v="1891.97"/>
    <n v="1"/>
    <s v="P40 Loger"/>
    <m/>
    <n v="4729.9142899999997"/>
    <n v="0"/>
    <n v="60558"/>
  </r>
  <r>
    <x v="17"/>
    <s v="02561-5"/>
    <s v="Farum Park"/>
    <n v="6027"/>
    <m/>
    <s v="Bimåler FCN"/>
    <x v="132"/>
    <x v="1"/>
    <x v="0"/>
    <n v="627.14"/>
    <n v="5"/>
    <s v="2015-05-04"/>
    <n v="0"/>
    <n v="0"/>
    <n v="6271.4"/>
    <n v="2"/>
    <x v="2"/>
    <x v="4677"/>
    <n v="250.86"/>
    <n v="1"/>
    <s v="Q2 Lys gangareal"/>
    <m/>
    <n v="627.14286000000004"/>
    <n v="0"/>
    <n v="60560"/>
  </r>
  <r>
    <x v="17"/>
    <s v="02561-5"/>
    <s v="Farum Park"/>
    <n v="6027"/>
    <m/>
    <s v="Bimåler FCN"/>
    <x v="132"/>
    <x v="1"/>
    <x v="0"/>
    <n v="147.37"/>
    <n v="5"/>
    <s v="2015-05-04"/>
    <n v="0"/>
    <n v="0"/>
    <n v="1473.7"/>
    <n v="2"/>
    <x v="2"/>
    <x v="4678"/>
    <n v="58.95"/>
    <n v="1"/>
    <s v="Eltrc.31000018096"/>
    <m/>
    <n v="147.37143"/>
    <n v="0"/>
    <n v="60563"/>
  </r>
  <r>
    <x v="17"/>
    <s v="02561-5"/>
    <s v="Farum Park"/>
    <n v="6027"/>
    <m/>
    <s v="Bimåler FCN"/>
    <x v="132"/>
    <x v="1"/>
    <x v="0"/>
    <n v="86528.66"/>
    <n v="2"/>
    <s v="2015-05-04"/>
    <n v="0"/>
    <n v="0"/>
    <n v="865286.6"/>
    <n v="2"/>
    <x v="2"/>
    <x v="4679"/>
    <n v="25958.59"/>
    <n v="1"/>
    <s v="Banevarme 494847 -P2"/>
    <m/>
    <n v="86528.65006"/>
    <n v="0"/>
    <n v="92734"/>
  </r>
  <r>
    <x v="17"/>
    <s v="02561-5"/>
    <s v="Farum Park"/>
    <n v="6027"/>
    <m/>
    <s v="Bimåler FCN"/>
    <x v="132"/>
    <x v="1"/>
    <x v="1"/>
    <n v="15116.56"/>
    <n v="12"/>
    <s v="2015-05-04"/>
    <n v="0"/>
    <n v="0"/>
    <n v="151165.6"/>
    <n v="2"/>
    <x v="2"/>
    <x v="4680"/>
    <n v="6046.63"/>
    <n v="1"/>
    <s v="P40 Loger"/>
    <m/>
    <n v="15116.5522"/>
    <n v="0"/>
    <n v="60558"/>
  </r>
  <r>
    <x v="17"/>
    <s v="02561-5"/>
    <s v="Farum Park"/>
    <n v="6027"/>
    <m/>
    <s v="Bimåler FCN"/>
    <x v="132"/>
    <x v="0"/>
    <x v="1"/>
    <n v="46047.73"/>
    <n v="12"/>
    <s v="2015-05-04"/>
    <n v="0"/>
    <n v="0"/>
    <n v="460477.3"/>
    <n v="2"/>
    <x v="2"/>
    <x v="4681"/>
    <n v="18419.099999999999"/>
    <n v="1"/>
    <s v="Vaskeri  og tribune D"/>
    <m/>
    <n v="46047.737200000003"/>
    <n v="0"/>
    <n v="60561"/>
  </r>
  <r>
    <x v="17"/>
    <s v="02561-5"/>
    <s v="Farum Park"/>
    <n v="6027"/>
    <m/>
    <s v="Bimåler FCN"/>
    <x v="132"/>
    <x v="1"/>
    <x v="1"/>
    <n v="523.54999999999995"/>
    <n v="12"/>
    <s v="2015-05-04"/>
    <n v="0"/>
    <n v="0"/>
    <n v="5235.5"/>
    <n v="2"/>
    <x v="2"/>
    <x v="4682"/>
    <n v="209.42"/>
    <n v="1"/>
    <s v="Eltrc.31000018096"/>
    <m/>
    <n v="523.55123000000003"/>
    <n v="0"/>
    <n v="60563"/>
  </r>
  <r>
    <x v="17"/>
    <s v="02561-5"/>
    <s v="Farum Park"/>
    <n v="6027"/>
    <m/>
    <s v="Bimåler FCN"/>
    <x v="132"/>
    <x v="1"/>
    <x v="1"/>
    <n v="3115.1"/>
    <n v="12"/>
    <s v="2015-05-04"/>
    <n v="0"/>
    <n v="0"/>
    <n v="31151"/>
    <n v="2"/>
    <x v="2"/>
    <x v="4683"/>
    <n v="934.53"/>
    <n v="1"/>
    <s v="St.skærm0300118454"/>
    <m/>
    <n v="3115.0844299999999"/>
    <n v="0"/>
    <n v="71007"/>
  </r>
  <r>
    <x v="17"/>
    <s v="02561-5"/>
    <s v="Farum Park"/>
    <n v="6027"/>
    <m/>
    <s v="Bimåler FCN"/>
    <x v="132"/>
    <x v="1"/>
    <x v="1"/>
    <n v="6217.41"/>
    <n v="10"/>
    <s v="2015-05-04"/>
    <n v="0"/>
    <n v="0"/>
    <n v="62174.1"/>
    <n v="2"/>
    <x v="2"/>
    <x v="4684"/>
    <n v="1865.22"/>
    <n v="1"/>
    <s v="bande B 122000320824"/>
    <m/>
    <n v="6217.4127099999996"/>
    <n v="0"/>
    <n v="92703"/>
  </r>
  <r>
    <x v="17"/>
    <s v="02561-5"/>
    <s v="Farum Park"/>
    <n v="6027"/>
    <m/>
    <s v="Bimåler FCN"/>
    <x v="132"/>
    <x v="1"/>
    <x v="1"/>
    <n v="344856.38"/>
    <n v="3"/>
    <s v="2015-05-04"/>
    <n v="0"/>
    <n v="0"/>
    <n v="3448563.8"/>
    <n v="2"/>
    <x v="2"/>
    <x v="4685"/>
    <n v="103456.9"/>
    <n v="1"/>
    <s v="Banevarme 487273 -P1"/>
    <m/>
    <n v="344856.39556999999"/>
    <n v="0"/>
    <n v="92732"/>
  </r>
  <r>
    <x v="17"/>
    <s v="02561-5"/>
    <s v="Farum Park"/>
    <n v="6027"/>
    <m/>
    <s v="Bimåler FCN"/>
    <x v="132"/>
    <x v="1"/>
    <x v="1"/>
    <n v="215993.83"/>
    <n v="3"/>
    <s v="2015-05-04"/>
    <n v="0"/>
    <n v="0"/>
    <n v="2159938.2999999998"/>
    <n v="2"/>
    <x v="2"/>
    <x v="4686"/>
    <n v="64798.14"/>
    <n v="1"/>
    <s v="Banevarme 494847 -P2"/>
    <m/>
    <n v="215993.81813"/>
    <n v="0"/>
    <n v="92734"/>
  </r>
  <r>
    <x v="17"/>
    <s v="02561-5"/>
    <s v="Farum Park"/>
    <n v="6027"/>
    <m/>
    <s v="Bimåler FCN"/>
    <x v="132"/>
    <x v="1"/>
    <x v="1"/>
    <n v="10925.35"/>
    <n v="12"/>
    <s v="2015-05-04"/>
    <n v="0"/>
    <n v="0"/>
    <n v="109253.5"/>
    <n v="2"/>
    <x v="2"/>
    <x v="4687"/>
    <n v="4370.1499999999996"/>
    <n v="1"/>
    <s v="P30 Suiter"/>
    <m/>
    <n v="10925.357690000001"/>
    <n v="0"/>
    <n v="60557"/>
  </r>
  <r>
    <x v="17"/>
    <s v="02561-5"/>
    <s v="Farum Park"/>
    <n v="6027"/>
    <m/>
    <s v="Bimåler FCN"/>
    <x v="132"/>
    <x v="1"/>
    <x v="1"/>
    <n v="72430.570000000007"/>
    <n v="12"/>
    <s v="2015-05-04"/>
    <n v="0"/>
    <n v="0"/>
    <n v="724305.7"/>
    <n v="2"/>
    <x v="2"/>
    <x v="4688"/>
    <n v="28972.23"/>
    <n v="1"/>
    <s v="Q14 VE01&amp;VE02"/>
    <m/>
    <n v="72430.568299999999"/>
    <n v="0"/>
    <n v="60559"/>
  </r>
  <r>
    <x v="17"/>
    <s v="02561-5"/>
    <s v="Farum Park"/>
    <n v="6027"/>
    <m/>
    <s v="Bimåler FCN"/>
    <x v="132"/>
    <x v="1"/>
    <x v="1"/>
    <n v="3062.4"/>
    <n v="12"/>
    <s v="2015-05-04"/>
    <n v="0"/>
    <n v="0"/>
    <n v="30624"/>
    <n v="2"/>
    <x v="2"/>
    <x v="4689"/>
    <n v="1224.98"/>
    <n v="1"/>
    <s v="Q2 Lys gangareal"/>
    <m/>
    <n v="3062.4070400000001"/>
    <n v="0"/>
    <n v="60560"/>
  </r>
  <r>
    <x v="17"/>
    <s v="02561-5"/>
    <s v="Farum Park"/>
    <n v="6027"/>
    <m/>
    <s v="Bimåler FCN"/>
    <x v="132"/>
    <x v="1"/>
    <x v="1"/>
    <n v="16531.810000000001"/>
    <n v="12"/>
    <s v="2015-05-04"/>
    <n v="0"/>
    <n v="0"/>
    <n v="165318.1"/>
    <n v="2"/>
    <x v="2"/>
    <x v="4690"/>
    <n v="6612.73"/>
    <n v="1"/>
    <s v="Eltrc.31100018199"/>
    <m/>
    <n v="16531.82732"/>
    <n v="0"/>
    <n v="60562"/>
  </r>
  <r>
    <x v="17"/>
    <s v="02561-5"/>
    <s v="Farum Park"/>
    <n v="6027"/>
    <m/>
    <s v="Bimåler FCN"/>
    <x v="132"/>
    <x v="1"/>
    <x v="2"/>
    <n v="12455.35"/>
    <n v="12"/>
    <s v="2015-05-04"/>
    <n v="0"/>
    <n v="0"/>
    <n v="124553.5"/>
    <n v="2"/>
    <x v="2"/>
    <x v="4691"/>
    <n v="4982.1499999999996"/>
    <n v="1"/>
    <s v="P40 Loger"/>
    <m/>
    <n v="12455.34225"/>
    <n v="0"/>
    <n v="60558"/>
  </r>
  <r>
    <x v="17"/>
    <s v="02561-5"/>
    <s v="Farum Park"/>
    <n v="6027"/>
    <m/>
    <s v="Bimåler FCN"/>
    <x v="132"/>
    <x v="1"/>
    <x v="2"/>
    <n v="2898.45"/>
    <n v="12"/>
    <s v="2015-05-04"/>
    <n v="0"/>
    <n v="0"/>
    <n v="28984.5"/>
    <n v="2"/>
    <x v="2"/>
    <x v="4692"/>
    <n v="1159.4000000000001"/>
    <n v="1"/>
    <s v="Q2 Lys gangareal"/>
    <m/>
    <n v="2898.4483100000002"/>
    <n v="0"/>
    <n v="60560"/>
  </r>
  <r>
    <x v="17"/>
    <s v="02561-5"/>
    <s v="Farum Park"/>
    <n v="6027"/>
    <m/>
    <s v="Bimåler FCN"/>
    <x v="132"/>
    <x v="0"/>
    <x v="2"/>
    <n v="4456.7299999999996"/>
    <n v="12"/>
    <s v="2015-05-04"/>
    <n v="0"/>
    <n v="0"/>
    <n v="44567.3"/>
    <n v="2"/>
    <x v="2"/>
    <x v="4693"/>
    <n v="1782.71"/>
    <n v="1"/>
    <s v="Vaskeri  og tribune D"/>
    <m/>
    <n v="4456.7388600000004"/>
    <n v="0"/>
    <n v="60561"/>
  </r>
  <r>
    <x v="17"/>
    <s v="02561-5"/>
    <s v="Farum Park"/>
    <n v="6027"/>
    <m/>
    <s v="Bimåler FCN"/>
    <x v="132"/>
    <x v="1"/>
    <x v="2"/>
    <n v="303.45999999999998"/>
    <n v="12"/>
    <s v="2015-05-04"/>
    <n v="0"/>
    <n v="0"/>
    <n v="3034.6"/>
    <n v="2"/>
    <x v="2"/>
    <x v="4694"/>
    <n v="121.4"/>
    <n v="1"/>
    <s v="Eltrc.31000018096"/>
    <m/>
    <n v="303.45364999999998"/>
    <n v="0"/>
    <n v="60563"/>
  </r>
  <r>
    <x v="17"/>
    <s v="02561-5"/>
    <s v="Farum Park"/>
    <n v="6027"/>
    <m/>
    <s v="Bimåler FCN"/>
    <x v="132"/>
    <x v="1"/>
    <x v="2"/>
    <n v="3733.27"/>
    <n v="12"/>
    <s v="2015-05-04"/>
    <n v="0"/>
    <n v="0"/>
    <n v="37332.699999999997"/>
    <n v="2"/>
    <x v="2"/>
    <x v="4695"/>
    <n v="1493.3"/>
    <n v="1"/>
    <s v="St.skærm0300118454"/>
    <m/>
    <n v="3733.2665000000002"/>
    <n v="0"/>
    <n v="71007"/>
  </r>
  <r>
    <x v="17"/>
    <s v="02561-5"/>
    <s v="Farum Park"/>
    <n v="6027"/>
    <m/>
    <s v="Bimåler FCN"/>
    <x v="132"/>
    <x v="1"/>
    <x v="2"/>
    <n v="55369.11"/>
    <n v="4"/>
    <s v="2015-05-04"/>
    <n v="0"/>
    <n v="0"/>
    <n v="553691.1"/>
    <n v="2"/>
    <x v="2"/>
    <x v="4696"/>
    <n v="22147.65"/>
    <n v="1"/>
    <s v="Banevarme 494847 -P2"/>
    <m/>
    <n v="55369.11765"/>
    <n v="0"/>
    <n v="92734"/>
  </r>
  <r>
    <x v="17"/>
    <s v="02561-5"/>
    <s v="Farum Park"/>
    <n v="6027"/>
    <m/>
    <s v="Bimåler FCN"/>
    <x v="132"/>
    <x v="1"/>
    <x v="2"/>
    <n v="13118.56"/>
    <n v="12"/>
    <s v="2015-05-04"/>
    <n v="0"/>
    <n v="0"/>
    <n v="131185.60000000001"/>
    <n v="2"/>
    <x v="2"/>
    <x v="4697"/>
    <n v="5247.42"/>
    <n v="1"/>
    <s v="P30 Suiter"/>
    <m/>
    <n v="13118.54457"/>
    <n v="0"/>
    <n v="60557"/>
  </r>
  <r>
    <x v="17"/>
    <s v="02561-5"/>
    <s v="Farum Park"/>
    <n v="6027"/>
    <m/>
    <s v="Bimåler FCN"/>
    <x v="132"/>
    <x v="1"/>
    <x v="2"/>
    <n v="76600.56"/>
    <n v="12"/>
    <s v="2015-05-04"/>
    <n v="0"/>
    <n v="0"/>
    <n v="766005.6"/>
    <n v="2"/>
    <x v="2"/>
    <x v="4698"/>
    <n v="30640.25"/>
    <n v="1"/>
    <s v="Q14 VE01&amp;VE02"/>
    <m/>
    <n v="76600.569539999997"/>
    <n v="0"/>
    <n v="60559"/>
  </r>
  <r>
    <x v="17"/>
    <s v="02561-5"/>
    <s v="Farum Park"/>
    <n v="6027"/>
    <m/>
    <s v="Bimåler FCN"/>
    <x v="132"/>
    <x v="1"/>
    <x v="2"/>
    <n v="16625.34"/>
    <n v="12"/>
    <s v="2015-05-04"/>
    <n v="0"/>
    <n v="0"/>
    <n v="166253.4"/>
    <n v="2"/>
    <x v="2"/>
    <x v="4699"/>
    <n v="6650.13"/>
    <n v="1"/>
    <s v="Eltrc.31100018199"/>
    <m/>
    <n v="16625.336899999998"/>
    <n v="0"/>
    <n v="60562"/>
  </r>
  <r>
    <x v="17"/>
    <s v="02561-5"/>
    <s v="Farum Park"/>
    <n v="6027"/>
    <m/>
    <s v="Bimåler FCN"/>
    <x v="132"/>
    <x v="1"/>
    <x v="2"/>
    <n v="1194.27"/>
    <n v="5"/>
    <s v="2015-05-04"/>
    <n v="0"/>
    <n v="0"/>
    <n v="11942.7"/>
    <n v="2"/>
    <x v="2"/>
    <x v="4700"/>
    <n v="477.71"/>
    <n v="1"/>
    <s v="bande B 122000320824"/>
    <m/>
    <n v="1194.2647099999999"/>
    <n v="0"/>
    <n v="92703"/>
  </r>
  <r>
    <x v="17"/>
    <s v="02561-5"/>
    <s v="Farum Park"/>
    <n v="6027"/>
    <m/>
    <s v="Bimåler FCN"/>
    <x v="132"/>
    <x v="1"/>
    <x v="2"/>
    <n v="182614.43"/>
    <n v="4"/>
    <s v="2015-05-04"/>
    <n v="0"/>
    <n v="0"/>
    <n v="1826144.3"/>
    <n v="2"/>
    <x v="2"/>
    <x v="4701"/>
    <n v="73045.759999999995"/>
    <n v="1"/>
    <s v="Banevarme 487273 -P1"/>
    <m/>
    <n v="182614.41175999999"/>
    <n v="0"/>
    <n v="92732"/>
  </r>
  <r>
    <x v="17"/>
    <s v="02561-5"/>
    <s v="Farum Park"/>
    <n v="6027"/>
    <m/>
    <s v="Bimåler FCN"/>
    <x v="132"/>
    <x v="1"/>
    <x v="3"/>
    <n v="10892.88"/>
    <n v="12"/>
    <s v="2015-05-04"/>
    <n v="0"/>
    <n v="0"/>
    <n v="108928.8"/>
    <n v="2"/>
    <x v="2"/>
    <x v="4702"/>
    <n v="5108.7700000000004"/>
    <n v="1"/>
    <s v="P30 Suiter"/>
    <m/>
    <n v="10892.878790000001"/>
    <n v="0"/>
    <n v="60557"/>
  </r>
  <r>
    <x v="17"/>
    <s v="02561-5"/>
    <s v="Farum Park"/>
    <n v="6027"/>
    <m/>
    <s v="Bimåler FCN"/>
    <x v="132"/>
    <x v="1"/>
    <x v="3"/>
    <n v="13789.49"/>
    <n v="12"/>
    <s v="2015-05-04"/>
    <n v="0"/>
    <n v="0"/>
    <n v="137894.9"/>
    <n v="2"/>
    <x v="2"/>
    <x v="4703"/>
    <n v="6467.28"/>
    <n v="1"/>
    <s v="P40 Loger"/>
    <m/>
    <n v="13789.48486"/>
    <n v="0"/>
    <n v="60558"/>
  </r>
  <r>
    <x v="17"/>
    <s v="02561-5"/>
    <s v="Farum Park"/>
    <n v="6027"/>
    <m/>
    <s v="Bimåler FCN"/>
    <x v="132"/>
    <x v="1"/>
    <x v="3"/>
    <n v="3477.02"/>
    <n v="12"/>
    <s v="2015-05-04"/>
    <n v="0"/>
    <n v="0"/>
    <n v="34770.199999999997"/>
    <n v="2"/>
    <x v="2"/>
    <x v="4704"/>
    <n v="1630.72"/>
    <n v="1"/>
    <s v="Q2 Lys gangareal"/>
    <m/>
    <n v="3477"/>
    <n v="0"/>
    <n v="60560"/>
  </r>
  <r>
    <x v="17"/>
    <s v="02561-5"/>
    <s v="Farum Park"/>
    <n v="6027"/>
    <m/>
    <s v="Bimåler FCN"/>
    <x v="132"/>
    <x v="1"/>
    <x v="3"/>
    <n v="474.49"/>
    <n v="12"/>
    <s v="2015-05-04"/>
    <n v="0"/>
    <n v="0"/>
    <n v="4744.8999999999996"/>
    <n v="2"/>
    <x v="2"/>
    <x v="4705"/>
    <n v="222.54"/>
    <n v="1"/>
    <s v="Eltrc.31000018096"/>
    <m/>
    <n v="474.48484999999999"/>
    <n v="0"/>
    <n v="60563"/>
  </r>
  <r>
    <x v="17"/>
    <s v="02561-5"/>
    <s v="Farum Park"/>
    <n v="6027"/>
    <m/>
    <s v="Bimåler FCN"/>
    <x v="132"/>
    <x v="1"/>
    <x v="3"/>
    <n v="72354.12"/>
    <n v="12"/>
    <s v="2015-05-04"/>
    <n v="0"/>
    <n v="0"/>
    <n v="723541.2"/>
    <n v="2"/>
    <x v="2"/>
    <x v="4706"/>
    <n v="33934.07"/>
    <n v="1"/>
    <s v="Q14 VE01&amp;VE02"/>
    <m/>
    <n v="72354.121209999998"/>
    <n v="0"/>
    <n v="60559"/>
  </r>
  <r>
    <x v="17"/>
    <s v="02561-5"/>
    <s v="Farum Park"/>
    <n v="6027"/>
    <m/>
    <s v="Bimåler FCN"/>
    <x v="132"/>
    <x v="0"/>
    <x v="3"/>
    <n v="8149.22"/>
    <n v="12"/>
    <s v="2015-05-04"/>
    <n v="0"/>
    <n v="0"/>
    <n v="81492.2"/>
    <n v="2"/>
    <x v="2"/>
    <x v="4707"/>
    <n v="3821.97"/>
    <n v="1"/>
    <s v="Vaskeri  og tribune D"/>
    <m/>
    <n v="8149.2121200000001"/>
    <n v="0"/>
    <n v="60561"/>
  </r>
  <r>
    <x v="17"/>
    <s v="02561-5"/>
    <s v="Farum Park"/>
    <n v="6027"/>
    <m/>
    <s v="Bimåler FCN"/>
    <x v="132"/>
    <x v="1"/>
    <x v="3"/>
    <n v="16673.169999999998"/>
    <n v="12"/>
    <s v="2015-05-04"/>
    <n v="0"/>
    <n v="0"/>
    <n v="166731.70000000001"/>
    <n v="2"/>
    <x v="2"/>
    <x v="4708"/>
    <n v="7819.72"/>
    <n v="1"/>
    <s v="Eltrc.31100018199"/>
    <m/>
    <n v="16673.181830000001"/>
    <n v="0"/>
    <n v="60562"/>
  </r>
  <r>
    <x v="17"/>
    <s v="02561-5"/>
    <s v="Farum Park"/>
    <n v="6027"/>
    <m/>
    <s v="Bimåler FCN"/>
    <x v="132"/>
    <x v="1"/>
    <x v="3"/>
    <n v="8599.17"/>
    <n v="12"/>
    <s v="2015-05-04"/>
    <n v="0"/>
    <n v="0"/>
    <n v="85991.7"/>
    <n v="2"/>
    <x v="2"/>
    <x v="4709"/>
    <n v="4033.02"/>
    <n v="1"/>
    <s v="St.skærm0300118454"/>
    <m/>
    <n v="8599.1818299999995"/>
    <n v="0"/>
    <n v="71007"/>
  </r>
  <r>
    <x v="17"/>
    <s v="02561-5"/>
    <s v="Farum Park"/>
    <n v="6027"/>
    <m/>
    <s v="Bimåler FCN"/>
    <x v="132"/>
    <x v="1"/>
    <x v="4"/>
    <n v="13834.17"/>
    <n v="12"/>
    <s v="2015-05-04"/>
    <n v="0"/>
    <n v="0"/>
    <n v="138341.70000000001"/>
    <n v="2"/>
    <x v="2"/>
    <x v="4710"/>
    <n v="6488.24"/>
    <n v="1"/>
    <s v="P30 Suiter"/>
    <m/>
    <n v="13834.16488"/>
    <n v="0"/>
    <n v="60557"/>
  </r>
  <r>
    <x v="17"/>
    <s v="02561-5"/>
    <s v="Farum Park"/>
    <n v="6027"/>
    <m/>
    <s v="Bimåler FCN"/>
    <x v="132"/>
    <x v="1"/>
    <x v="4"/>
    <n v="2580.46"/>
    <n v="12"/>
    <s v="2015-05-04"/>
    <n v="0"/>
    <n v="0"/>
    <n v="25804.6"/>
    <n v="2"/>
    <x v="2"/>
    <x v="4711"/>
    <n v="1210.22"/>
    <n v="1"/>
    <s v="Q2 Lys gangareal"/>
    <m/>
    <n v="2580.4634599999999"/>
    <n v="0"/>
    <n v="60560"/>
  </r>
  <r>
    <x v="17"/>
    <s v="02561-5"/>
    <s v="Farum Park"/>
    <n v="6027"/>
    <m/>
    <s v="Bimåler FCN"/>
    <x v="132"/>
    <x v="1"/>
    <x v="4"/>
    <n v="16755.650000000001"/>
    <n v="12"/>
    <s v="2015-05-04"/>
    <n v="0"/>
    <n v="0"/>
    <n v="167556.5"/>
    <n v="2"/>
    <x v="2"/>
    <x v="4712"/>
    <n v="7858.41"/>
    <n v="1"/>
    <s v="Eltrc.31100018199"/>
    <m/>
    <n v="16755.657759999998"/>
    <n v="0"/>
    <n v="60562"/>
  </r>
  <r>
    <x v="17"/>
    <s v="02561-5"/>
    <s v="Farum Park"/>
    <n v="6027"/>
    <m/>
    <s v="Bimåler FCN"/>
    <x v="132"/>
    <x v="1"/>
    <x v="4"/>
    <n v="977.79"/>
    <n v="12"/>
    <s v="2015-05-04"/>
    <n v="0"/>
    <n v="0"/>
    <n v="9777.9"/>
    <n v="2"/>
    <x v="2"/>
    <x v="4713"/>
    <n v="458.56"/>
    <n v="1"/>
    <s v="Eltrc.31000018096"/>
    <m/>
    <n v="977.79679999999996"/>
    <n v="0"/>
    <n v="60563"/>
  </r>
  <r>
    <x v="17"/>
    <s v="02561-5"/>
    <s v="Farum Park"/>
    <n v="6027"/>
    <m/>
    <s v="Bimåler FCN"/>
    <x v="132"/>
    <x v="1"/>
    <x v="4"/>
    <n v="16443"/>
    <n v="12"/>
    <s v="2015-05-04"/>
    <n v="0"/>
    <n v="0"/>
    <n v="164430"/>
    <n v="2"/>
    <x v="2"/>
    <x v="4714"/>
    <n v="7711.77"/>
    <n v="1"/>
    <s v="P40 Loger"/>
    <m/>
    <n v="16442.996439999999"/>
    <n v="0"/>
    <n v="60558"/>
  </r>
  <r>
    <x v="17"/>
    <s v="02561-5"/>
    <s v="Farum Park"/>
    <n v="6027"/>
    <m/>
    <s v="Bimåler FCN"/>
    <x v="132"/>
    <x v="1"/>
    <x v="4"/>
    <n v="65108.38"/>
    <n v="12"/>
    <s v="2015-05-04"/>
    <n v="0"/>
    <n v="0"/>
    <n v="651083.80000000005"/>
    <n v="2"/>
    <x v="2"/>
    <x v="4715"/>
    <n v="30535.83"/>
    <n v="1"/>
    <s v="Q14 VE01&amp;VE02"/>
    <m/>
    <n v="65108.36808"/>
    <n v="0"/>
    <n v="60559"/>
  </r>
  <r>
    <x v="17"/>
    <s v="02561-5"/>
    <s v="Farum Park"/>
    <n v="6027"/>
    <m/>
    <s v="Bimåler FCN"/>
    <x v="132"/>
    <x v="0"/>
    <x v="4"/>
    <n v="8381.65"/>
    <n v="12"/>
    <s v="2015-05-04"/>
    <n v="0"/>
    <n v="0"/>
    <n v="83816.5"/>
    <n v="2"/>
    <x v="2"/>
    <x v="4716"/>
    <n v="3930.99"/>
    <n v="1"/>
    <s v="Vaskeri  og tribune D"/>
    <m/>
    <n v="8381.6372599999995"/>
    <n v="0"/>
    <n v="60561"/>
  </r>
  <r>
    <x v="17"/>
    <s v="02561-5"/>
    <s v="Farum Park"/>
    <n v="6027"/>
    <m/>
    <s v="Bimåler FCN"/>
    <x v="132"/>
    <x v="1"/>
    <x v="4"/>
    <n v="6509.14"/>
    <n v="12"/>
    <s v="2015-05-04"/>
    <n v="0"/>
    <n v="0"/>
    <n v="65091.4"/>
    <n v="2"/>
    <x v="2"/>
    <x v="4717"/>
    <n v="3052.79"/>
    <n v="1"/>
    <s v="St.skærm0300118454"/>
    <m/>
    <n v="6509.1399199999996"/>
    <n v="0"/>
    <n v="71007"/>
  </r>
  <r>
    <x v="17"/>
    <s v="02561-5"/>
    <s v="Farum Park"/>
    <n v="6027"/>
    <m/>
    <s v="Bimåler FCN"/>
    <x v="132"/>
    <x v="1"/>
    <x v="5"/>
    <n v="15875.17"/>
    <n v="12"/>
    <s v="2015-05-04"/>
    <n v="0"/>
    <n v="0"/>
    <n v="158751.70000000001"/>
    <n v="2"/>
    <x v="2"/>
    <x v="4718"/>
    <n v="7445.46"/>
    <n v="1"/>
    <s v="P30 Suiter"/>
    <m/>
    <n v="15875.19119"/>
    <n v="0"/>
    <n v="60557"/>
  </r>
  <r>
    <x v="17"/>
    <s v="02561-5"/>
    <s v="Farum Park"/>
    <n v="6027"/>
    <m/>
    <s v="Bimåler FCN"/>
    <x v="132"/>
    <x v="1"/>
    <x v="5"/>
    <n v="69579.679999999993"/>
    <n v="12"/>
    <s v="2015-05-04"/>
    <n v="0"/>
    <n v="0"/>
    <n v="695796.8"/>
    <n v="2"/>
    <x v="2"/>
    <x v="4719"/>
    <n v="32632.87"/>
    <n v="1"/>
    <s v="Q14 VE01&amp;VE02"/>
    <m/>
    <n v="69579.678310000003"/>
    <n v="0"/>
    <n v="60559"/>
  </r>
  <r>
    <x v="17"/>
    <s v="02561-5"/>
    <s v="Farum Park"/>
    <n v="6027"/>
    <m/>
    <s v="Bimåler FCN"/>
    <x v="132"/>
    <x v="1"/>
    <x v="5"/>
    <n v="3117.53"/>
    <n v="12"/>
    <s v="2015-05-04"/>
    <n v="0"/>
    <n v="0"/>
    <n v="31175.3"/>
    <n v="2"/>
    <x v="2"/>
    <x v="4720"/>
    <n v="1462.11"/>
    <n v="1"/>
    <s v="Q2 Lys gangareal"/>
    <m/>
    <n v="3117.5128599999998"/>
    <n v="0"/>
    <n v="60560"/>
  </r>
  <r>
    <x v="17"/>
    <s v="02561-5"/>
    <s v="Farum Park"/>
    <n v="6027"/>
    <m/>
    <s v="Bimåler FCN"/>
    <x v="132"/>
    <x v="1"/>
    <x v="5"/>
    <n v="16754.82"/>
    <n v="12"/>
    <s v="2015-05-04"/>
    <n v="0"/>
    <n v="0"/>
    <n v="167548.20000000001"/>
    <n v="2"/>
    <x v="2"/>
    <x v="4721"/>
    <n v="7858.01"/>
    <n v="1"/>
    <s v="Eltrc.31100018199"/>
    <m/>
    <n v="16754.830880000001"/>
    <n v="0"/>
    <n v="60562"/>
  </r>
  <r>
    <x v="17"/>
    <s v="02561-5"/>
    <s v="Farum Park"/>
    <n v="6027"/>
    <m/>
    <s v="Bimåler FCN"/>
    <x v="132"/>
    <x v="1"/>
    <x v="5"/>
    <n v="15299.1"/>
    <n v="12"/>
    <s v="2015-05-04"/>
    <n v="0"/>
    <n v="0"/>
    <n v="152991"/>
    <n v="2"/>
    <x v="2"/>
    <x v="4722"/>
    <n v="7175.28"/>
    <n v="1"/>
    <s v="P40 Loger"/>
    <m/>
    <n v="15299.10109"/>
    <n v="0"/>
    <n v="60558"/>
  </r>
  <r>
    <x v="17"/>
    <s v="02561-5"/>
    <s v="Farum Park"/>
    <n v="6027"/>
    <m/>
    <s v="Bimåler FCN"/>
    <x v="132"/>
    <x v="0"/>
    <x v="5"/>
    <n v="8352.5400000000009"/>
    <n v="12"/>
    <s v="2015-05-04"/>
    <n v="0"/>
    <n v="0"/>
    <n v="83525.399999999994"/>
    <n v="2"/>
    <x v="2"/>
    <x v="4723"/>
    <n v="3917.34"/>
    <n v="1"/>
    <s v="Vaskeri  og tribune D"/>
    <m/>
    <n v="8352.5294099999992"/>
    <n v="0"/>
    <n v="60561"/>
  </r>
  <r>
    <x v="17"/>
    <s v="02561-5"/>
    <s v="Farum Park"/>
    <n v="6027"/>
    <m/>
    <s v="Bimåler FCN"/>
    <x v="132"/>
    <x v="1"/>
    <x v="5"/>
    <n v="499.14"/>
    <n v="12"/>
    <s v="2015-05-04"/>
    <n v="0"/>
    <n v="0"/>
    <n v="4991.3999999999996"/>
    <n v="2"/>
    <x v="2"/>
    <x v="4724"/>
    <n v="234.08"/>
    <n v="1"/>
    <s v="Eltrc.31000018096"/>
    <m/>
    <n v="499.13785999999999"/>
    <n v="0"/>
    <n v="60563"/>
  </r>
  <r>
    <x v="17"/>
    <s v="02561-5"/>
    <s v="Farum Park"/>
    <n v="6027"/>
    <m/>
    <s v="Bimåler FCN"/>
    <x v="132"/>
    <x v="1"/>
    <x v="5"/>
    <n v="2566.7600000000002"/>
    <n v="12"/>
    <s v="2015-05-04"/>
    <n v="0"/>
    <n v="0"/>
    <n v="25667.599999999999"/>
    <n v="2"/>
    <x v="2"/>
    <x v="4725"/>
    <n v="1203.8"/>
    <n v="1"/>
    <s v="St.skærm0300118454"/>
    <m/>
    <n v="2566.7426599999999"/>
    <n v="0"/>
    <n v="71007"/>
  </r>
  <r>
    <x v="17"/>
    <s v="02561-5"/>
    <s v="Farum Park"/>
    <n v="6027"/>
    <m/>
    <s v="Bimåler FCN"/>
    <x v="132"/>
    <x v="1"/>
    <x v="6"/>
    <n v="14730.54"/>
    <n v="12"/>
    <s v="2015-05-04"/>
    <n v="0"/>
    <n v="0"/>
    <n v="147305.4"/>
    <n v="2"/>
    <x v="2"/>
    <x v="4726"/>
    <n v="6908.63"/>
    <n v="1"/>
    <s v="P30 Suiter"/>
    <m/>
    <n v="14730.52274"/>
    <n v="0"/>
    <n v="60557"/>
  </r>
  <r>
    <x v="17"/>
    <s v="02561-5"/>
    <s v="Farum Park"/>
    <n v="6027"/>
    <m/>
    <s v="Bimåler FCN"/>
    <x v="132"/>
    <x v="1"/>
    <x v="6"/>
    <n v="75484.98"/>
    <n v="12"/>
    <s v="2015-05-04"/>
    <n v="0"/>
    <n v="0"/>
    <n v="754849.8"/>
    <n v="2"/>
    <x v="2"/>
    <x v="4727"/>
    <n v="35402.47"/>
    <n v="1"/>
    <s v="Q14 VE01&amp;VE02"/>
    <m/>
    <n v="75484.983909999995"/>
    <n v="0"/>
    <n v="60559"/>
  </r>
  <r>
    <x v="17"/>
    <s v="02561-5"/>
    <s v="Farum Park"/>
    <n v="6027"/>
    <m/>
    <s v="Bimåler FCN"/>
    <x v="132"/>
    <x v="1"/>
    <x v="6"/>
    <n v="15644.95"/>
    <n v="12"/>
    <s v="2015-05-04"/>
    <n v="0"/>
    <n v="0"/>
    <n v="156449.5"/>
    <n v="2"/>
    <x v="2"/>
    <x v="4728"/>
    <n v="7337.48"/>
    <n v="1"/>
    <s v="Eltrc.31100018199"/>
    <m/>
    <n v="15644.935589999999"/>
    <n v="0"/>
    <n v="60562"/>
  </r>
  <r>
    <x v="17"/>
    <s v="02561-5"/>
    <s v="Farum Park"/>
    <n v="6027"/>
    <m/>
    <s v="Bimåler FCN"/>
    <x v="132"/>
    <x v="1"/>
    <x v="6"/>
    <n v="17824.86"/>
    <n v="12"/>
    <s v="2015-05-04"/>
    <n v="0"/>
    <n v="0"/>
    <n v="178248.6"/>
    <n v="2"/>
    <x v="2"/>
    <x v="4729"/>
    <n v="8359.86"/>
    <n v="1"/>
    <s v="P40 Loger"/>
    <m/>
    <n v="17824.872159999999"/>
    <n v="0"/>
    <n v="60558"/>
  </r>
  <r>
    <x v="17"/>
    <s v="02561-5"/>
    <s v="Farum Park"/>
    <n v="6027"/>
    <m/>
    <s v="Bimåler FCN"/>
    <x v="132"/>
    <x v="1"/>
    <x v="6"/>
    <n v="2803.49"/>
    <n v="12"/>
    <s v="2015-05-04"/>
    <n v="0"/>
    <n v="0"/>
    <n v="28034.9"/>
    <n v="2"/>
    <x v="2"/>
    <x v="4730"/>
    <n v="1314.81"/>
    <n v="1"/>
    <s v="Q2 Lys gangareal"/>
    <m/>
    <n v="2803.4782100000002"/>
    <n v="0"/>
    <n v="60560"/>
  </r>
  <r>
    <x v="17"/>
    <s v="02561-5"/>
    <s v="Farum Park"/>
    <n v="6027"/>
    <m/>
    <s v="Bimåler FCN"/>
    <x v="132"/>
    <x v="0"/>
    <x v="6"/>
    <n v="13593.9"/>
    <n v="12"/>
    <s v="2015-05-04"/>
    <n v="0"/>
    <n v="0"/>
    <n v="135939"/>
    <n v="2"/>
    <x v="2"/>
    <x v="4731"/>
    <n v="6375.53"/>
    <n v="1"/>
    <s v="Vaskeri  og tribune D"/>
    <m/>
    <n v="13593.89393"/>
    <n v="0"/>
    <n v="60561"/>
  </r>
  <r>
    <x v="17"/>
    <s v="02561-5"/>
    <s v="Farum Park"/>
    <n v="6027"/>
    <m/>
    <s v="Bimåler FCN"/>
    <x v="132"/>
    <x v="1"/>
    <x v="6"/>
    <n v="218.18"/>
    <n v="12"/>
    <s v="2015-05-04"/>
    <n v="0"/>
    <n v="0"/>
    <n v="2181.8000000000002"/>
    <n v="2"/>
    <x v="2"/>
    <x v="4732"/>
    <n v="102.31"/>
    <n v="1"/>
    <s v="Eltrc.31000018096"/>
    <m/>
    <n v="218.18655000000001"/>
    <n v="0"/>
    <n v="60563"/>
  </r>
  <r>
    <x v="17"/>
    <s v="02561-5"/>
    <s v="Farum Park"/>
    <n v="6027"/>
    <m/>
    <s v="Bimåler FCN"/>
    <x v="132"/>
    <x v="1"/>
    <x v="6"/>
    <n v="10909.37"/>
    <n v="12"/>
    <s v="2015-05-04"/>
    <n v="0"/>
    <n v="0"/>
    <n v="109093.7"/>
    <n v="2"/>
    <x v="2"/>
    <x v="4733"/>
    <n v="5116.4799999999996"/>
    <n v="1"/>
    <s v="St.skærm0300118454"/>
    <m/>
    <n v="10909.359850000001"/>
    <n v="0"/>
    <n v="71007"/>
  </r>
  <r>
    <x v="17"/>
    <s v="02561-5"/>
    <s v="Farum Park"/>
    <n v="5468"/>
    <m/>
    <s v="Farum Park"/>
    <x v="132"/>
    <x v="0"/>
    <x v="0"/>
    <n v="262966"/>
    <n v="5"/>
    <m/>
    <n v="0"/>
    <n v="12237"/>
    <n v="14.463167"/>
    <n v="2"/>
    <x v="2"/>
    <x v="4734"/>
    <n v="70794.899999999994"/>
    <n v="1"/>
    <s v="800166"/>
    <s v="74114755326"/>
    <n v="176987.23"/>
    <n v="0"/>
    <n v="57824"/>
  </r>
  <r>
    <x v="17"/>
    <s v="02561-5"/>
    <s v="Farum Park"/>
    <n v="5468"/>
    <m/>
    <s v="Farum Park"/>
    <x v="132"/>
    <x v="1"/>
    <x v="0"/>
    <n v="0"/>
    <n v="5"/>
    <m/>
    <n v="0"/>
    <n v="12237"/>
    <n v="0"/>
    <n v="2"/>
    <x v="2"/>
    <x v="1"/>
    <n v="0"/>
    <n v="1"/>
    <s v="1118529"/>
    <s v="74114203506"/>
    <n v="0"/>
    <n v="0"/>
    <n v="57820"/>
  </r>
  <r>
    <x v="17"/>
    <s v="02561-5"/>
    <s v="Farum Park"/>
    <n v="5468"/>
    <m/>
    <s v="Farum Park"/>
    <x v="132"/>
    <x v="1"/>
    <x v="0"/>
    <n v="35.75"/>
    <n v="5"/>
    <s v="2015-05-04"/>
    <n v="0"/>
    <n v="12237"/>
    <n v="2.921E-3"/>
    <n v="2"/>
    <x v="2"/>
    <x v="4735"/>
    <n v="10.72"/>
    <n v="1"/>
    <s v="dræn 121400315785"/>
    <m/>
    <n v="35.742849999999997"/>
    <n v="0"/>
    <n v="92978"/>
  </r>
  <r>
    <x v="17"/>
    <s v="02561-5"/>
    <s v="Farum Park"/>
    <n v="5468"/>
    <m/>
    <s v="Farum Park"/>
    <x v="132"/>
    <x v="0"/>
    <x v="1"/>
    <n v="393599"/>
    <n v="12"/>
    <m/>
    <n v="0"/>
    <n v="12237"/>
    <n v="32.164400999999998"/>
    <n v="2"/>
    <x v="2"/>
    <x v="4736"/>
    <n v="157439.59"/>
    <n v="1"/>
    <s v="800166"/>
    <s v="74114755326"/>
    <n v="393599"/>
    <n v="0"/>
    <n v="57824"/>
  </r>
  <r>
    <x v="17"/>
    <s v="02561-5"/>
    <s v="Farum Park"/>
    <n v="5468"/>
    <m/>
    <s v="Farum Park"/>
    <x v="132"/>
    <x v="1"/>
    <x v="1"/>
    <n v="350696.5"/>
    <n v="12"/>
    <m/>
    <n v="0"/>
    <n v="12237"/>
    <n v="28.658463999999999"/>
    <n v="2"/>
    <x v="2"/>
    <x v="4737"/>
    <n v="140278.6"/>
    <n v="1"/>
    <s v="1118529"/>
    <s v="74114203506"/>
    <n v="350696.5"/>
    <n v="0"/>
    <n v="57820"/>
  </r>
  <r>
    <x v="17"/>
    <s v="02561-5"/>
    <s v="Farum Park"/>
    <n v="5468"/>
    <m/>
    <s v="Farum Park"/>
    <x v="132"/>
    <x v="1"/>
    <x v="1"/>
    <n v="209.9"/>
    <n v="11"/>
    <s v="2015-05-04"/>
    <n v="0"/>
    <n v="12237"/>
    <n v="1.7152000000000001E-2"/>
    <n v="2"/>
    <x v="2"/>
    <x v="4738"/>
    <n v="62.97"/>
    <n v="1"/>
    <s v="dræn 121400315785"/>
    <m/>
    <n v="209.90701999999999"/>
    <n v="0"/>
    <n v="92978"/>
  </r>
  <r>
    <x v="17"/>
    <s v="02561-5"/>
    <s v="Farum Park"/>
    <n v="5468"/>
    <m/>
    <s v="Farum Park"/>
    <x v="132"/>
    <x v="1"/>
    <x v="2"/>
    <n v="396174.05"/>
    <n v="12"/>
    <m/>
    <n v="0"/>
    <n v="12237"/>
    <n v="32.374831"/>
    <n v="2"/>
    <x v="2"/>
    <x v="4739"/>
    <n v="158469.62"/>
    <n v="1"/>
    <s v="1118529"/>
    <s v="74114203506"/>
    <n v="396174.05"/>
    <n v="0"/>
    <n v="57820"/>
  </r>
  <r>
    <x v="17"/>
    <s v="02561-5"/>
    <s v="Farum Park"/>
    <n v="5468"/>
    <m/>
    <s v="Farum Park"/>
    <x v="132"/>
    <x v="0"/>
    <x v="2"/>
    <n v="196184.72"/>
    <n v="12"/>
    <m/>
    <n v="0"/>
    <n v="12237"/>
    <n v="16.031960999999999"/>
    <n v="2"/>
    <x v="2"/>
    <x v="4740"/>
    <n v="78473.899999999994"/>
    <n v="1"/>
    <s v="800166"/>
    <s v="74114755326"/>
    <n v="196184.71799999999"/>
    <n v="0"/>
    <n v="57824"/>
  </r>
  <r>
    <x v="17"/>
    <s v="02561-5"/>
    <s v="Farum Park"/>
    <n v="5468"/>
    <m/>
    <s v="Farum Park"/>
    <x v="132"/>
    <x v="1"/>
    <x v="2"/>
    <n v="27.71"/>
    <n v="4"/>
    <s v="2015-05-04"/>
    <n v="0"/>
    <n v="12237"/>
    <n v="2.264E-3"/>
    <n v="2"/>
    <x v="2"/>
    <x v="4741"/>
    <n v="11.09"/>
    <n v="1"/>
    <s v="dræn 121400315785"/>
    <m/>
    <n v="27.70589"/>
    <n v="0"/>
    <n v="92978"/>
  </r>
  <r>
    <x v="17"/>
    <s v="02561-5"/>
    <s v="Farum Park"/>
    <n v="5468"/>
    <m/>
    <s v="Farum Park"/>
    <x v="132"/>
    <x v="1"/>
    <x v="3"/>
    <n v="192165.4"/>
    <n v="12"/>
    <m/>
    <n v="0"/>
    <n v="12237"/>
    <n v="15.703507999999999"/>
    <n v="2"/>
    <x v="2"/>
    <x v="4742"/>
    <n v="90125.57"/>
    <n v="1"/>
    <s v="1118529"/>
    <s v="74114203506"/>
    <n v="192165.4"/>
    <n v="0"/>
    <n v="57820"/>
  </r>
  <r>
    <x v="17"/>
    <s v="02561-5"/>
    <s v="Farum Park"/>
    <n v="5468"/>
    <m/>
    <s v="Farum Park"/>
    <x v="132"/>
    <x v="0"/>
    <x v="3"/>
    <n v="190385.94"/>
    <n v="12"/>
    <m/>
    <n v="0"/>
    <n v="12237"/>
    <n v="15.558093"/>
    <n v="2"/>
    <x v="2"/>
    <x v="4743"/>
    <n v="89291.02"/>
    <n v="1"/>
    <s v="800166"/>
    <s v="74114755326"/>
    <n v="190385.94"/>
    <n v="0"/>
    <n v="57824"/>
  </r>
  <r>
    <x v="17"/>
    <s v="02561-5"/>
    <s v="Farum Park"/>
    <n v="5468"/>
    <m/>
    <s v="Farum Park"/>
    <x v="132"/>
    <x v="1"/>
    <x v="4"/>
    <n v="199257.1"/>
    <n v="12"/>
    <m/>
    <n v="0"/>
    <n v="12237"/>
    <n v="16.283031999999999"/>
    <n v="2"/>
    <x v="2"/>
    <x v="4744"/>
    <n v="93451.58"/>
    <n v="1"/>
    <s v="1118529"/>
    <s v="74114203506"/>
    <n v="199257.1"/>
    <n v="0"/>
    <n v="57820"/>
  </r>
  <r>
    <x v="17"/>
    <s v="02561-5"/>
    <s v="Farum Park"/>
    <n v="5468"/>
    <m/>
    <s v="Farum Park"/>
    <x v="132"/>
    <x v="0"/>
    <x v="4"/>
    <n v="187328.23"/>
    <n v="12"/>
    <m/>
    <n v="0"/>
    <n v="12237"/>
    <n v="15.30822"/>
    <n v="2"/>
    <x v="2"/>
    <x v="4745"/>
    <n v="87856.95"/>
    <n v="1"/>
    <s v="800166"/>
    <s v="74114755326"/>
    <n v="187328.23"/>
    <n v="0"/>
    <n v="57824"/>
  </r>
  <r>
    <x v="17"/>
    <s v="02561-5"/>
    <s v="Farum Park"/>
    <n v="5468"/>
    <m/>
    <s v="Farum Park"/>
    <x v="132"/>
    <x v="1"/>
    <x v="5"/>
    <n v="199762.5"/>
    <n v="12"/>
    <m/>
    <n v="0"/>
    <n v="12237"/>
    <n v="16.324332999999999"/>
    <n v="2"/>
    <x v="2"/>
    <x v="4746"/>
    <n v="93688.6"/>
    <n v="1"/>
    <s v="1118529"/>
    <s v="74114203506"/>
    <n v="199762.5"/>
    <n v="0"/>
    <n v="57820"/>
  </r>
  <r>
    <x v="17"/>
    <s v="02561-5"/>
    <s v="Farum Park"/>
    <n v="5468"/>
    <m/>
    <s v="Farum Park"/>
    <x v="132"/>
    <x v="0"/>
    <x v="5"/>
    <n v="183184.93"/>
    <n v="12"/>
    <m/>
    <n v="0"/>
    <n v="12237"/>
    <n v="14.969635"/>
    <n v="2"/>
    <x v="2"/>
    <x v="4747"/>
    <n v="85913.73"/>
    <n v="1"/>
    <s v="800166"/>
    <s v="74114755326"/>
    <n v="183184.93"/>
    <n v="0"/>
    <n v="57824"/>
  </r>
  <r>
    <x v="17"/>
    <s v="02561-5"/>
    <s v="Farum Park"/>
    <n v="5468"/>
    <m/>
    <s v="Farum Park"/>
    <x v="132"/>
    <x v="0"/>
    <x v="0"/>
    <n v="150267"/>
    <m/>
    <m/>
    <m/>
    <m/>
    <m/>
    <n v="2"/>
    <x v="2"/>
    <x v="4748"/>
    <m/>
    <m/>
    <s v="1136927"/>
    <m/>
    <m/>
    <m/>
    <m/>
  </r>
  <r>
    <x v="17"/>
    <s v="02561-5"/>
    <s v="Farum Park"/>
    <n v="5468"/>
    <m/>
    <s v="Farum Park"/>
    <x v="132"/>
    <x v="0"/>
    <x v="6"/>
    <n v="129162.33"/>
    <n v="12"/>
    <m/>
    <n v="0"/>
    <n v="12237"/>
    <n v="10.554978"/>
    <n v="2"/>
    <x v="2"/>
    <x v="4749"/>
    <n v="60577.120000000003"/>
    <n v="1"/>
    <s v="800166"/>
    <s v="74114755326"/>
    <n v="129162.33"/>
    <n v="0"/>
    <n v="57824"/>
  </r>
  <r>
    <x v="17"/>
    <s v="02561-5"/>
    <s v="Farum Park"/>
    <n v="5468"/>
    <m/>
    <s v="Farum Park"/>
    <x v="132"/>
    <x v="0"/>
    <x v="6"/>
    <n v="65904"/>
    <n v="5"/>
    <s v="2008-05-01"/>
    <n v="0"/>
    <n v="12237"/>
    <n v="5.3855890000000004"/>
    <n v="2"/>
    <x v="2"/>
    <x v="4750"/>
    <n v="30908.97"/>
    <n v="0"/>
    <s v="800166"/>
    <m/>
    <n v="65904"/>
    <n v="0"/>
    <n v="57825"/>
  </r>
  <r>
    <x v="17"/>
    <s v="02561-5"/>
    <s v="Farum Park"/>
    <n v="5468"/>
    <m/>
    <s v="Farum Park"/>
    <x v="132"/>
    <x v="1"/>
    <x v="6"/>
    <n v="118440.35"/>
    <n v="12"/>
    <m/>
    <n v="0"/>
    <n v="12237"/>
    <n v="9.6787919999999996"/>
    <n v="2"/>
    <x v="2"/>
    <x v="4751"/>
    <n v="55548.53"/>
    <n v="1"/>
    <s v="1118529"/>
    <s v="74114203506"/>
    <n v="118440.35"/>
    <n v="0"/>
    <n v="57820"/>
  </r>
  <r>
    <x v="17"/>
    <s v="02561-5"/>
    <s v="Farum Park"/>
    <n v="5468"/>
    <m/>
    <s v="Farum Park"/>
    <x v="132"/>
    <x v="1"/>
    <x v="6"/>
    <n v="51420"/>
    <n v="5"/>
    <s v="2008-05-01"/>
    <n v="0"/>
    <n v="12237"/>
    <n v="4.201975"/>
    <n v="2"/>
    <x v="2"/>
    <x v="4752"/>
    <n v="24115.98"/>
    <n v="0"/>
    <s v="741426"/>
    <m/>
    <n v="51420"/>
    <n v="0"/>
    <n v="57823"/>
  </r>
  <r>
    <x v="17"/>
    <s v="04310-9"/>
    <s v="Fuglsang, Farum Hovedgade 84"/>
    <n v="5954"/>
    <m/>
    <s v="Fuglsang"/>
    <x v="135"/>
    <x v="1"/>
    <x v="0"/>
    <n v="7829.26"/>
    <n v="5"/>
    <s v="2011-11-30"/>
    <n v="0"/>
    <n v="475"/>
    <n v="16.479182999999999"/>
    <n v="2"/>
    <x v="2"/>
    <x v="4753"/>
    <n v="3131.7"/>
    <n v="0"/>
    <s v="059999"/>
    <m/>
    <n v="7829.2518"/>
    <n v="0"/>
    <n v="59980"/>
  </r>
  <r>
    <x v="17"/>
    <s v="04310-9"/>
    <s v="Fuglsang, Farum Hovedgade 84"/>
    <n v="5954"/>
    <m/>
    <s v="Fuglsang"/>
    <x v="135"/>
    <x v="1"/>
    <x v="1"/>
    <n v="19443.61"/>
    <n v="12"/>
    <s v="2011-11-30"/>
    <n v="0"/>
    <n v="475"/>
    <n v="40.925299000000003"/>
    <n v="2"/>
    <x v="2"/>
    <x v="4754"/>
    <n v="7777.44"/>
    <n v="0"/>
    <s v="059999"/>
    <m/>
    <n v="19443.599999999999"/>
    <n v="0"/>
    <n v="59980"/>
  </r>
  <r>
    <x v="17"/>
    <s v="04310-9"/>
    <s v="Fuglsang, Farum Hovedgade 84"/>
    <n v="5954"/>
    <m/>
    <s v="Fuglsang"/>
    <x v="135"/>
    <x v="1"/>
    <x v="2"/>
    <n v="20352.98"/>
    <n v="12"/>
    <s v="2011-11-30"/>
    <n v="0"/>
    <n v="475"/>
    <n v="42.839359999999999"/>
    <n v="2"/>
    <x v="2"/>
    <x v="4755"/>
    <n v="8141.17"/>
    <n v="0"/>
    <s v="059999"/>
    <m/>
    <n v="20352.969000000001"/>
    <n v="0"/>
    <n v="59980"/>
  </r>
  <r>
    <x v="17"/>
    <s v="04310-9"/>
    <s v="Fuglsang, Farum Hovedgade 84"/>
    <n v="5954"/>
    <m/>
    <s v="Fuglsang"/>
    <x v="135"/>
    <x v="1"/>
    <x v="3"/>
    <n v="22220.61"/>
    <n v="12"/>
    <s v="2011-11-30"/>
    <n v="0"/>
    <n v="475"/>
    <n v="46.770384999999997"/>
    <n v="2"/>
    <x v="2"/>
    <x v="4756"/>
    <n v="10421.469999999999"/>
    <n v="0"/>
    <s v="059999"/>
    <m/>
    <n v="22220.609639999999"/>
    <n v="0"/>
    <n v="59980"/>
  </r>
  <r>
    <x v="17"/>
    <s v="04310-9"/>
    <s v="Fuglsang, Farum Hovedgade 84"/>
    <n v="5954"/>
    <m/>
    <s v="Fuglsang"/>
    <x v="135"/>
    <x v="1"/>
    <x v="4"/>
    <n v="21769.21"/>
    <n v="11"/>
    <s v="2011-11-30"/>
    <n v="0"/>
    <n v="475"/>
    <n v="45.820269000000003"/>
    <n v="2"/>
    <x v="2"/>
    <x v="4757"/>
    <n v="10209.75"/>
    <n v="0"/>
    <s v="059999"/>
    <m/>
    <n v="21769.212439999999"/>
    <n v="0"/>
    <n v="59980"/>
  </r>
  <r>
    <x v="17"/>
    <s v="04310-9"/>
    <s v="Fuglsang, Farum Hovedgade 84"/>
    <n v="5954"/>
    <m/>
    <s v="Fuglsang"/>
    <x v="135"/>
    <x v="1"/>
    <x v="5"/>
    <n v="22978.68"/>
    <n v="11"/>
    <s v="2011-11-30"/>
    <n v="0"/>
    <n v="475"/>
    <n v="48.365985999999999"/>
    <n v="2"/>
    <x v="2"/>
    <x v="4758"/>
    <n v="10777.01"/>
    <n v="0"/>
    <s v="059999"/>
    <m/>
    <n v="22978.677489999998"/>
    <n v="0"/>
    <n v="59980"/>
  </r>
  <r>
    <x v="17"/>
    <s v="04310-9"/>
    <s v="Fuglsang, Farum Hovedgade 84"/>
    <n v="5954"/>
    <m/>
    <s v="Fuglsang"/>
    <x v="135"/>
    <x v="1"/>
    <x v="6"/>
    <n v="20158.45"/>
    <n v="12"/>
    <s v="2011-11-30"/>
    <n v="0"/>
    <n v="475"/>
    <n v="42.429909000000002"/>
    <n v="2"/>
    <x v="2"/>
    <x v="4759"/>
    <n v="9454.31"/>
    <n v="0"/>
    <s v="059999"/>
    <m/>
    <n v="20158.464899999999"/>
    <n v="0"/>
    <n v="59980"/>
  </r>
  <r>
    <x v="17"/>
    <s v="03888-1"/>
    <s v="Furesøgård - UDLEJET"/>
    <n v="5429"/>
    <m/>
    <s v="Furesøgård - UDLEJET"/>
    <x v="136"/>
    <x v="1"/>
    <x v="0"/>
    <n v="12979.53"/>
    <n v="5"/>
    <s v="2006-03-15"/>
    <n v="0"/>
    <n v="1747"/>
    <n v="7.4291850000000004"/>
    <n v="2"/>
    <x v="2"/>
    <x v="4760"/>
    <n v="5191.8100000000004"/>
    <n v="0"/>
    <s v="1004739"/>
    <s v="74111471663/74113768662"/>
    <n v="12979.53"/>
    <n v="0"/>
    <n v="57408"/>
  </r>
  <r>
    <x v="17"/>
    <s v="03888-1"/>
    <s v="Furesøgård - UDLEJET"/>
    <n v="5429"/>
    <m/>
    <s v="Furesøgård - UDLEJET"/>
    <x v="136"/>
    <x v="1"/>
    <x v="1"/>
    <n v="41870.959999999999"/>
    <n v="12"/>
    <s v="2006-03-15"/>
    <n v="0"/>
    <n v="1747"/>
    <n v="23.965976999999999"/>
    <n v="2"/>
    <x v="2"/>
    <x v="4761"/>
    <n v="16748.400000000001"/>
    <n v="0"/>
    <s v="1004739"/>
    <s v="74111471663/74113768662"/>
    <n v="41870.983"/>
    <n v="0"/>
    <n v="57408"/>
  </r>
  <r>
    <x v="17"/>
    <s v="03888-1"/>
    <s v="Furesøgård - UDLEJET"/>
    <n v="5429"/>
    <m/>
    <s v="Furesøgård - UDLEJET"/>
    <x v="136"/>
    <x v="1"/>
    <x v="2"/>
    <n v="36637.75"/>
    <n v="12"/>
    <s v="2006-03-15"/>
    <n v="0"/>
    <n v="1747"/>
    <n v="20.970607999999999"/>
    <n v="2"/>
    <x v="2"/>
    <x v="4762"/>
    <n v="14655.1"/>
    <n v="0"/>
    <s v="1004739"/>
    <s v="74111471663/74113768662"/>
    <n v="36637.769999999997"/>
    <n v="0"/>
    <n v="57408"/>
  </r>
  <r>
    <x v="17"/>
    <s v="03888-1"/>
    <s v="Furesøgård - UDLEJET"/>
    <n v="5429"/>
    <m/>
    <s v="Furesøgård - UDLEJET"/>
    <x v="136"/>
    <x v="1"/>
    <x v="3"/>
    <n v="36968.199999999997"/>
    <n v="12"/>
    <s v="2006-03-15"/>
    <n v="0"/>
    <n v="1747"/>
    <n v="21.159749999999999"/>
    <n v="2"/>
    <x v="2"/>
    <x v="4763"/>
    <n v="17338.09"/>
    <n v="0"/>
    <s v="1004739"/>
    <s v="74111471663/74113768662"/>
    <n v="36968.205999999998"/>
    <n v="0"/>
    <n v="57408"/>
  </r>
  <r>
    <x v="17"/>
    <s v="03888-1"/>
    <s v="Furesøgård - UDLEJET"/>
    <n v="5429"/>
    <m/>
    <s v="Furesøgård - UDLEJET"/>
    <x v="136"/>
    <x v="1"/>
    <x v="4"/>
    <n v="40114.75"/>
    <n v="12"/>
    <s v="2006-03-15"/>
    <n v="0"/>
    <n v="1747"/>
    <n v="22.960763"/>
    <n v="2"/>
    <x v="2"/>
    <x v="4764"/>
    <n v="18813.810000000001"/>
    <n v="0"/>
    <s v="1004739"/>
    <s v="74111471663/74113768662"/>
    <n v="40114.745999999999"/>
    <n v="0"/>
    <n v="57408"/>
  </r>
  <r>
    <x v="17"/>
    <s v="03888-1"/>
    <s v="Furesøgård - UDLEJET"/>
    <n v="5429"/>
    <m/>
    <s v="Furesøgård - UDLEJET"/>
    <x v="136"/>
    <x v="1"/>
    <x v="5"/>
    <n v="38960.339999999997"/>
    <n v="12"/>
    <s v="2006-03-15"/>
    <n v="0"/>
    <n v="1747"/>
    <n v="22.300004999999999"/>
    <n v="2"/>
    <x v="2"/>
    <x v="4765"/>
    <n v="18272.39"/>
    <n v="0"/>
    <s v="1004739"/>
    <s v="74111471663/74113768662"/>
    <n v="38960.343000000001"/>
    <n v="0"/>
    <n v="57408"/>
  </r>
  <r>
    <x v="17"/>
    <s v="03888-1"/>
    <s v="Furesøgård - UDLEJET"/>
    <n v="5429"/>
    <m/>
    <s v="Furesøgård - UDLEJET"/>
    <x v="136"/>
    <x v="1"/>
    <x v="6"/>
    <n v="36758.17"/>
    <n v="12"/>
    <s v="2006-03-15"/>
    <n v="0"/>
    <n v="1747"/>
    <n v="21.039534"/>
    <n v="2"/>
    <x v="2"/>
    <x v="4766"/>
    <n v="17239.580000000002"/>
    <n v="0"/>
    <s v="1004739"/>
    <s v="74111471663/74113768662"/>
    <n v="36758.165000000001"/>
    <n v="0"/>
    <n v="57408"/>
  </r>
  <r>
    <x v="17"/>
    <s v="03888-1"/>
    <s v="Furesøgård - UDLEJET"/>
    <n v="5431"/>
    <m/>
    <s v="Stållade"/>
    <x v="136"/>
    <x v="1"/>
    <x v="1"/>
    <n v="25701.05"/>
    <n v="8"/>
    <s v="2014-10-20"/>
    <n v="0"/>
    <n v="640"/>
    <n v="40.151615999999997"/>
    <n v="2"/>
    <x v="2"/>
    <x v="4767"/>
    <n v="10280.44"/>
    <n v="0"/>
    <s v="787490"/>
    <m/>
    <n v="25701.063040000001"/>
    <n v="0"/>
    <n v="57417"/>
  </r>
  <r>
    <x v="17"/>
    <s v="03888-1"/>
    <s v="Furesøgård - UDLEJET"/>
    <n v="5431"/>
    <m/>
    <s v="Stållade"/>
    <x v="136"/>
    <x v="1"/>
    <x v="2"/>
    <n v="22783.279999999999"/>
    <n v="9"/>
    <s v="2014-10-20"/>
    <n v="0"/>
    <n v="640"/>
    <n v="35.593313000000002"/>
    <n v="2"/>
    <x v="2"/>
    <x v="4768"/>
    <n v="9113.33"/>
    <n v="0"/>
    <s v="787490"/>
    <m/>
    <n v="22783.282889999999"/>
    <n v="0"/>
    <n v="57417"/>
  </r>
  <r>
    <x v="17"/>
    <s v="03888-1"/>
    <s v="Furesøgård - UDLEJET"/>
    <n v="5431"/>
    <m/>
    <s v="Stållade"/>
    <x v="136"/>
    <x v="1"/>
    <x v="3"/>
    <n v="20490.990000000002"/>
    <n v="12"/>
    <s v="2014-10-20"/>
    <n v="0"/>
    <n v="640"/>
    <n v="32.012169"/>
    <n v="2"/>
    <x v="2"/>
    <x v="4769"/>
    <n v="9610.2900000000009"/>
    <n v="0"/>
    <s v="787490"/>
    <m/>
    <n v="20491"/>
    <n v="0"/>
    <n v="57417"/>
  </r>
  <r>
    <x v="17"/>
    <s v="03888-1"/>
    <s v="Furesøgård - UDLEJET"/>
    <n v="5431"/>
    <m/>
    <s v="Stållade"/>
    <x v="136"/>
    <x v="1"/>
    <x v="4"/>
    <n v="21909.87"/>
    <n v="12"/>
    <s v="2014-10-20"/>
    <n v="0"/>
    <n v="640"/>
    <n v="34.228822999999998"/>
    <n v="2"/>
    <x v="2"/>
    <x v="4770"/>
    <n v="10275.74"/>
    <n v="0"/>
    <s v="787490"/>
    <m/>
    <n v="21909.87097"/>
    <n v="0"/>
    <n v="57417"/>
  </r>
  <r>
    <x v="17"/>
    <s v="03888-1"/>
    <s v="Furesøgård - UDLEJET"/>
    <n v="5431"/>
    <m/>
    <s v="Stållade"/>
    <x v="136"/>
    <x v="1"/>
    <x v="5"/>
    <n v="20821.099999999999"/>
    <n v="10"/>
    <s v="2014-10-20"/>
    <n v="0"/>
    <n v="640"/>
    <n v="32.527886000000002"/>
    <n v="2"/>
    <x v="2"/>
    <x v="4771"/>
    <n v="9765.09"/>
    <n v="0"/>
    <s v="787490"/>
    <m/>
    <n v="20821.098590000001"/>
    <n v="0"/>
    <n v="57417"/>
  </r>
  <r>
    <x v="17"/>
    <s v="03888-1"/>
    <s v="Furesøgård - UDLEJET"/>
    <n v="5431"/>
    <m/>
    <s v="Stållade"/>
    <x v="136"/>
    <x v="1"/>
    <x v="6"/>
    <n v="19678.98"/>
    <n v="10"/>
    <s v="2014-10-20"/>
    <n v="0"/>
    <n v="640"/>
    <n v="30.743601999999999"/>
    <n v="2"/>
    <x v="2"/>
    <x v="4772"/>
    <n v="9229.42"/>
    <n v="0"/>
    <s v="787490"/>
    <m/>
    <n v="19678.970389999999"/>
    <n v="0"/>
    <n v="57417"/>
  </r>
  <r>
    <x v="17"/>
    <s v="05359-7"/>
    <s v="Idræt Fritid"/>
    <n v="5265"/>
    <m/>
    <s v="Idræt Fritid"/>
    <x v="137"/>
    <x v="1"/>
    <x v="0"/>
    <n v="6225.38"/>
    <n v="5"/>
    <s v="2005-05-01"/>
    <n v="0"/>
    <n v="585"/>
    <n v="10.639856"/>
    <n v="2"/>
    <x v="2"/>
    <x v="4773"/>
    <n v="2490.16"/>
    <n v="0"/>
    <s v="1012836"/>
    <s v="74114304265"/>
    <n v="6225.3760000000002"/>
    <n v="0"/>
    <n v="56773"/>
  </r>
  <r>
    <x v="17"/>
    <s v="05359-7"/>
    <s v="Idræt Fritid"/>
    <n v="5265"/>
    <m/>
    <s v="Idræt Fritid"/>
    <x v="137"/>
    <x v="1"/>
    <x v="1"/>
    <n v="26036.720000000001"/>
    <n v="12"/>
    <s v="2005-05-01"/>
    <n v="0"/>
    <n v="585"/>
    <n v="44.499606"/>
    <n v="2"/>
    <x v="2"/>
    <x v="4774"/>
    <n v="10414.709999999999"/>
    <n v="0"/>
    <s v="1012836"/>
    <s v="74114304265"/>
    <n v="26036.718000000001"/>
    <n v="0"/>
    <n v="56773"/>
  </r>
  <r>
    <x v="17"/>
    <s v="05359-7"/>
    <s v="Idræt Fritid"/>
    <n v="5265"/>
    <m/>
    <s v="Idræt Fritid"/>
    <x v="137"/>
    <x v="1"/>
    <x v="2"/>
    <n v="17399.89"/>
    <n v="12"/>
    <s v="2005-05-01"/>
    <n v="0"/>
    <n v="585"/>
    <n v="29.738318"/>
    <n v="2"/>
    <x v="2"/>
    <x v="4775"/>
    <n v="6959.96"/>
    <n v="0"/>
    <s v="1012836"/>
    <s v="74114304265"/>
    <n v="17399.89"/>
    <n v="0"/>
    <n v="56773"/>
  </r>
  <r>
    <x v="17"/>
    <s v="05359-7"/>
    <s v="Idræt Fritid"/>
    <n v="5265"/>
    <m/>
    <s v="Idræt Fritid"/>
    <x v="137"/>
    <x v="1"/>
    <x v="3"/>
    <n v="17670.7"/>
    <n v="12"/>
    <s v="2005-05-01"/>
    <n v="0"/>
    <n v="585"/>
    <n v="30.201162"/>
    <n v="2"/>
    <x v="2"/>
    <x v="4776"/>
    <n v="8287.57"/>
    <n v="0"/>
    <s v="1012836"/>
    <s v="74114304265"/>
    <n v="17670.696"/>
    <n v="0"/>
    <n v="56773"/>
  </r>
  <r>
    <x v="17"/>
    <s v="05359-7"/>
    <s v="Idræt Fritid"/>
    <n v="5265"/>
    <m/>
    <s v="Idræt Fritid"/>
    <x v="137"/>
    <x v="1"/>
    <x v="4"/>
    <n v="16425.52"/>
    <n v="12"/>
    <s v="2005-05-01"/>
    <n v="0"/>
    <n v="585"/>
    <n v="28.073013"/>
    <n v="2"/>
    <x v="2"/>
    <x v="4777"/>
    <n v="7703.57"/>
    <n v="0"/>
    <s v="1012836"/>
    <s v="74114304265"/>
    <n v="16425.526000000002"/>
    <n v="0"/>
    <n v="56773"/>
  </r>
  <r>
    <x v="17"/>
    <s v="05359-7"/>
    <s v="Idræt Fritid"/>
    <n v="5265"/>
    <m/>
    <s v="Idræt Fritid"/>
    <x v="137"/>
    <x v="1"/>
    <x v="5"/>
    <n v="18915.11"/>
    <n v="12"/>
    <s v="2005-05-01"/>
    <n v="0"/>
    <n v="585"/>
    <n v="32.327995000000001"/>
    <n v="2"/>
    <x v="2"/>
    <x v="4778"/>
    <n v="8871.2099999999991"/>
    <n v="0"/>
    <s v="1012836"/>
    <s v="74114304265"/>
    <n v="18915.133999999998"/>
    <n v="0"/>
    <n v="56773"/>
  </r>
  <r>
    <x v="17"/>
    <s v="05359-7"/>
    <s v="Idræt Fritid"/>
    <n v="5265"/>
    <m/>
    <s v="Idræt Fritid"/>
    <x v="137"/>
    <x v="1"/>
    <x v="6"/>
    <n v="20908.25"/>
    <n v="12"/>
    <s v="2005-05-01"/>
    <n v="0"/>
    <n v="585"/>
    <n v="35.734489000000004"/>
    <n v="2"/>
    <x v="2"/>
    <x v="4779"/>
    <n v="9805.98"/>
    <n v="0"/>
    <s v="1012836"/>
    <s v="74114304265"/>
    <n v="20908.25"/>
    <n v="0"/>
    <n v="56773"/>
  </r>
  <r>
    <x v="17"/>
    <s v="5359-7"/>
    <s v="Idræt Klub"/>
    <n v="5266"/>
    <m/>
    <s v="Idræt Klub"/>
    <x v="138"/>
    <x v="1"/>
    <x v="0"/>
    <n v="14700.75"/>
    <n v="5"/>
    <s v="2005-05-01"/>
    <n v="0"/>
    <n v="585"/>
    <n v="25.125191999999998"/>
    <n v="2"/>
    <x v="2"/>
    <x v="4780"/>
    <n v="5880.31"/>
    <n v="0"/>
    <s v="548872"/>
    <m/>
    <n v="14700.748"/>
    <n v="0"/>
    <n v="56782"/>
  </r>
  <r>
    <x v="17"/>
    <s v="5359-7"/>
    <s v="Idræt Klub"/>
    <n v="5266"/>
    <m/>
    <s v="Idræt Klub"/>
    <x v="138"/>
    <x v="1"/>
    <x v="1"/>
    <n v="20457.46"/>
    <n v="12"/>
    <s v="2005-05-01"/>
    <n v="0"/>
    <n v="585"/>
    <n v="34.964039999999997"/>
    <n v="2"/>
    <x v="2"/>
    <x v="4781"/>
    <n v="8183"/>
    <n v="0"/>
    <s v="548872"/>
    <m/>
    <n v="20457.472000000002"/>
    <n v="0"/>
    <n v="56782"/>
  </r>
  <r>
    <x v="17"/>
    <s v="5359-7"/>
    <s v="Idræt Klub"/>
    <n v="5266"/>
    <m/>
    <s v="Idræt Klub"/>
    <x v="138"/>
    <x v="1"/>
    <x v="2"/>
    <n v="19443.72"/>
    <n v="12"/>
    <s v="2005-05-01"/>
    <n v="0"/>
    <n v="585"/>
    <n v="33.231447000000003"/>
    <n v="2"/>
    <x v="2"/>
    <x v="4782"/>
    <n v="7777.51"/>
    <n v="0"/>
    <s v="548872"/>
    <m/>
    <n v="19443.723999999998"/>
    <n v="0"/>
    <n v="56782"/>
  </r>
  <r>
    <x v="17"/>
    <s v="5359-7"/>
    <s v="Idræt Klub"/>
    <n v="5266"/>
    <m/>
    <s v="Idræt Klub"/>
    <x v="138"/>
    <x v="1"/>
    <x v="3"/>
    <n v="22449.96"/>
    <n v="12"/>
    <s v="2005-05-01"/>
    <n v="0"/>
    <n v="585"/>
    <n v="38.369441000000002"/>
    <n v="2"/>
    <x v="2"/>
    <x v="4783"/>
    <n v="10529.03"/>
    <n v="0"/>
    <s v="548872"/>
    <m/>
    <n v="22449.948"/>
    <n v="0"/>
    <n v="56782"/>
  </r>
  <r>
    <x v="17"/>
    <s v="5359-7"/>
    <s v="Idræt Klub"/>
    <n v="5266"/>
    <m/>
    <s v="Idræt Klub"/>
    <x v="138"/>
    <x v="1"/>
    <x v="4"/>
    <n v="21537.14"/>
    <n v="12"/>
    <s v="2005-05-01"/>
    <n v="0"/>
    <n v="585"/>
    <n v="36.809331"/>
    <n v="2"/>
    <x v="2"/>
    <x v="4784"/>
    <n v="10100.92"/>
    <n v="0"/>
    <s v="548872"/>
    <m/>
    <n v="21537.132000000001"/>
    <n v="0"/>
    <n v="56782"/>
  </r>
  <r>
    <x v="17"/>
    <s v="5359-7"/>
    <s v="Idræt Klub"/>
    <n v="5266"/>
    <m/>
    <s v="Idræt Klub"/>
    <x v="138"/>
    <x v="1"/>
    <x v="5"/>
    <n v="20886.330000000002"/>
    <n v="12"/>
    <s v="2005-05-01"/>
    <n v="0"/>
    <n v="585"/>
    <n v="35.697026000000001"/>
    <n v="2"/>
    <x v="2"/>
    <x v="4785"/>
    <n v="9795.7099999999991"/>
    <n v="0"/>
    <s v="548872"/>
    <m/>
    <n v="20886.328000000001"/>
    <n v="0"/>
    <n v="56782"/>
  </r>
  <r>
    <x v="17"/>
    <s v="5359-7"/>
    <s v="Idræt Klub"/>
    <n v="5266"/>
    <m/>
    <s v="Idræt Klub"/>
    <x v="138"/>
    <x v="1"/>
    <x v="6"/>
    <n v="25047.74"/>
    <n v="12"/>
    <s v="2005-05-01"/>
    <n v="0"/>
    <n v="585"/>
    <n v="42.809331"/>
    <n v="2"/>
    <x v="2"/>
    <x v="4786"/>
    <n v="11747.4"/>
    <n v="0"/>
    <s v="548872"/>
    <m/>
    <n v="25047.756000000001"/>
    <n v="0"/>
    <n v="56782"/>
  </r>
  <r>
    <x v="17"/>
    <s v="1937"/>
    <s v="Lerstedet 1"/>
    <n v="13666"/>
    <s v="0"/>
    <s v="Lerstedet 1A-E"/>
    <x v="139"/>
    <x v="1"/>
    <x v="0"/>
    <n v="12895.43"/>
    <n v="5"/>
    <m/>
    <n v="0"/>
    <n v="1155"/>
    <n v="11.163907"/>
    <n v="2"/>
    <x v="2"/>
    <x v="4787"/>
    <n v="3868.63"/>
    <n v="0"/>
    <s v="3100363 Boliger"/>
    <m/>
    <n v="12895.428"/>
    <n v="0"/>
    <n v="96149"/>
  </r>
  <r>
    <x v="17"/>
    <s v="1937"/>
    <s v="Lerstedet 1"/>
    <n v="13666"/>
    <s v="0"/>
    <s v="Lerstedet 1A-E"/>
    <x v="139"/>
    <x v="1"/>
    <x v="0"/>
    <n v="191.51"/>
    <n v="5"/>
    <m/>
    <n v="0"/>
    <n v="1155"/>
    <n v="0.165795"/>
    <n v="2"/>
    <x v="2"/>
    <x v="4788"/>
    <n v="57.46"/>
    <n v="0"/>
    <s v="3105690 vandværk"/>
    <s v="74111859508"/>
    <n v="191.51400000000001"/>
    <n v="0"/>
    <n v="96150"/>
  </r>
  <r>
    <x v="17"/>
    <s v="1937"/>
    <s v="Lerstedet 1"/>
    <n v="13666"/>
    <s v="0"/>
    <s v="Lerstedet 1A-E"/>
    <x v="139"/>
    <x v="1"/>
    <x v="1"/>
    <n v="30642.25"/>
    <n v="6"/>
    <s v="2014-04-07"/>
    <n v="0"/>
    <n v="1155"/>
    <n v="26.527788999999999"/>
    <n v="2"/>
    <x v="2"/>
    <x v="4789"/>
    <n v="9192.67"/>
    <n v="0"/>
    <s v="1000280 50564 boliger"/>
    <s v="74115276493"/>
    <n v="30642.231319999999"/>
    <n v="0"/>
    <n v="91264"/>
  </r>
  <r>
    <x v="17"/>
    <s v="1937"/>
    <s v="Lerstedet 1"/>
    <n v="13666"/>
    <s v="0"/>
    <s v="Lerstedet 1A-E"/>
    <x v="139"/>
    <x v="1"/>
    <x v="1"/>
    <n v="233.9"/>
    <n v="4"/>
    <s v="2014-03-28"/>
    <n v="0"/>
    <n v="1155"/>
    <n v="0.20249300000000001"/>
    <n v="2"/>
    <x v="2"/>
    <x v="4790"/>
    <n v="70.180000000000007"/>
    <n v="0"/>
    <s v="3105690 vandværk"/>
    <s v="74111859508"/>
    <n v="233.89434"/>
    <n v="0"/>
    <n v="91259"/>
  </r>
  <r>
    <x v="17"/>
    <s v="1937"/>
    <s v="Lerstedet 1"/>
    <n v="13666"/>
    <s v="0"/>
    <s v="Lerstedet 1A-E"/>
    <x v="139"/>
    <x v="1"/>
    <x v="2"/>
    <n v="1130.07"/>
    <n v="1"/>
    <s v="2014-03-28"/>
    <n v="0"/>
    <n v="1155"/>
    <n v="0.97833000000000003"/>
    <n v="2"/>
    <x v="2"/>
    <x v="4791"/>
    <n v="452"/>
    <n v="0"/>
    <s v="3105690 vandværk"/>
    <s v="74111859508"/>
    <n v="1130.0497399999999"/>
    <n v="0"/>
    <n v="91259"/>
  </r>
  <r>
    <x v="17"/>
    <s v="1937"/>
    <s v="Lerstedet 1"/>
    <n v="13666"/>
    <s v="0"/>
    <s v="Lerstedet 1A-E"/>
    <x v="139"/>
    <x v="1"/>
    <x v="2"/>
    <n v="33156.160000000003"/>
    <n v="1"/>
    <s v="2014-04-07"/>
    <n v="0"/>
    <n v="1155"/>
    <n v="28.704146000000001"/>
    <n v="2"/>
    <x v="2"/>
    <x v="4792"/>
    <n v="13262.43"/>
    <n v="0"/>
    <s v="1000280 50564 boliger"/>
    <s v="74115276493"/>
    <n v="33156.157749999998"/>
    <n v="0"/>
    <n v="91264"/>
  </r>
  <r>
    <x v="17"/>
    <s v="1937"/>
    <s v="Lerstedet 1"/>
    <n v="13666"/>
    <s v="0"/>
    <s v="Lerstedet 1A-E"/>
    <x v="139"/>
    <x v="1"/>
    <x v="3"/>
    <n v="407.49"/>
    <n v="1"/>
    <s v="2014-03-28"/>
    <n v="0"/>
    <n v="1155"/>
    <n v="0.35277399999999998"/>
    <n v="2"/>
    <x v="2"/>
    <x v="4793"/>
    <n v="191.13"/>
    <n v="0"/>
    <s v="3105690 vandværk"/>
    <s v="74111859508"/>
    <n v="407.49797999999998"/>
    <n v="0"/>
    <n v="91259"/>
  </r>
  <r>
    <x v="17"/>
    <s v="1937"/>
    <s v="Lerstedet 1"/>
    <n v="13666"/>
    <s v="0"/>
    <s v="Lerstedet 1A-E"/>
    <x v="139"/>
    <x v="1"/>
    <x v="3"/>
    <n v="30739.7"/>
    <n v="1"/>
    <s v="2014-04-07"/>
    <n v="0"/>
    <n v="1155"/>
    <n v="26.612154"/>
    <n v="2"/>
    <x v="2"/>
    <x v="4794"/>
    <n v="14416.91"/>
    <n v="0"/>
    <s v="1000280 50564 boliger"/>
    <s v="74115276493"/>
    <n v="30739.70923"/>
    <n v="0"/>
    <n v="91264"/>
  </r>
  <r>
    <x v="17"/>
    <s v="1937"/>
    <s v="Lerstedet 1"/>
    <n v="13666"/>
    <s v="0"/>
    <s v="Lerstedet 1A-E"/>
    <x v="139"/>
    <x v="1"/>
    <x v="4"/>
    <n v="44.52"/>
    <n v="1"/>
    <s v="2014-03-28"/>
    <n v="0"/>
    <n v="1155"/>
    <n v="3.8542E-2"/>
    <n v="2"/>
    <x v="2"/>
    <x v="4795"/>
    <n v="20.88"/>
    <n v="0"/>
    <s v="3105690 vandværk"/>
    <s v="74111859508"/>
    <n v="44.521279999999997"/>
    <n v="0"/>
    <n v="91259"/>
  </r>
  <r>
    <x v="17"/>
    <s v="1937"/>
    <s v="Lerstedet 1"/>
    <n v="13666"/>
    <s v="0"/>
    <s v="Lerstedet 1A-E"/>
    <x v="139"/>
    <x v="1"/>
    <x v="4"/>
    <n v="19106.310000000001"/>
    <n v="1"/>
    <s v="2014-04-07"/>
    <n v="0"/>
    <n v="1155"/>
    <n v="16.540827"/>
    <n v="2"/>
    <x v="2"/>
    <x v="4796"/>
    <n v="8960.86"/>
    <n v="0"/>
    <s v="1000280 50564 boliger"/>
    <s v="74115276493"/>
    <n v="19106.315139999999"/>
    <n v="0"/>
    <n v="91264"/>
  </r>
  <r>
    <x v="17"/>
    <s v="1937"/>
    <s v="Lerstedet 1"/>
    <n v="13666"/>
    <s v="0"/>
    <s v="Lerstedet 1A-E"/>
    <x v="139"/>
    <x v="1"/>
    <x v="5"/>
    <n v="14461.45"/>
    <n v="1"/>
    <s v="2014-04-07"/>
    <n v="0"/>
    <n v="1155"/>
    <n v="12.519651"/>
    <n v="2"/>
    <x v="2"/>
    <x v="4797"/>
    <n v="6782.39"/>
    <n v="0"/>
    <s v="1000280 50564 boliger"/>
    <s v="74115276493"/>
    <n v="14461.43015"/>
    <n v="0"/>
    <n v="91264"/>
  </r>
  <r>
    <x v="17"/>
    <s v="1937"/>
    <s v="Lerstedet 1"/>
    <n v="13666"/>
    <s v="0"/>
    <s v="Lerstedet 1A-E"/>
    <x v="139"/>
    <x v="1"/>
    <x v="6"/>
    <n v="14450.74"/>
    <n v="1"/>
    <s v="2014-04-07"/>
    <n v="0"/>
    <n v="1155"/>
    <n v="12.51038"/>
    <n v="2"/>
    <x v="2"/>
    <x v="4798"/>
    <n v="6777.37"/>
    <n v="0"/>
    <s v="1000280 50564 boliger"/>
    <s v="74115276493"/>
    <n v="14450.723249999999"/>
    <n v="0"/>
    <n v="91264"/>
  </r>
  <r>
    <x v="17"/>
    <s v="7662"/>
    <s v="Lille Bjørn, Kålund 24"/>
    <n v="13868"/>
    <s v="0"/>
    <s v="Lille Bjørn"/>
    <x v="140"/>
    <x v="1"/>
    <x v="0"/>
    <n v="4811.7"/>
    <n v="5"/>
    <s v="2014-03-31"/>
    <n v="0"/>
    <n v="867"/>
    <n v="5.5491859999999997"/>
    <n v="2"/>
    <x v="2"/>
    <x v="4799"/>
    <n v="1443.52"/>
    <n v="0"/>
    <s v="4203708"/>
    <s v="74111459890"/>
    <n v="4811.6980000000003"/>
    <n v="0"/>
    <n v="92216"/>
  </r>
  <r>
    <x v="17"/>
    <s v="7662"/>
    <s v="Lille Bjørn, Kålund 24"/>
    <n v="13868"/>
    <s v="0"/>
    <s v="Lille Bjørn"/>
    <x v="140"/>
    <x v="1"/>
    <x v="1"/>
    <n v="15117.19"/>
    <n v="5"/>
    <s v="2014-03-31"/>
    <n v="0"/>
    <n v="867"/>
    <n v="17.434194000000002"/>
    <n v="2"/>
    <x v="2"/>
    <x v="4800"/>
    <n v="4535.17"/>
    <n v="0"/>
    <s v="4203708"/>
    <s v="74111459890"/>
    <n v="15117.191199999999"/>
    <n v="0"/>
    <n v="92216"/>
  </r>
  <r>
    <x v="17"/>
    <s v="7662"/>
    <s v="Lille Bjørn, Kålund 24"/>
    <n v="13868"/>
    <s v="0"/>
    <s v="Lille Bjørn"/>
    <x v="140"/>
    <x v="1"/>
    <x v="2"/>
    <n v="15700.17"/>
    <n v="2"/>
    <s v="2014-03-31"/>
    <n v="0"/>
    <n v="867"/>
    <n v="18.106527"/>
    <n v="2"/>
    <x v="2"/>
    <x v="4801"/>
    <n v="6280.05"/>
    <n v="0"/>
    <s v="4203708"/>
    <s v="74111459890"/>
    <n v="15700.152"/>
    <n v="0"/>
    <n v="92216"/>
  </r>
  <r>
    <x v="17"/>
    <s v="7662"/>
    <s v="Lille Bjørn, Kålund 24"/>
    <n v="13868"/>
    <s v="0"/>
    <s v="Lille Bjørn"/>
    <x v="140"/>
    <x v="1"/>
    <x v="3"/>
    <n v="17426.73"/>
    <n v="1"/>
    <s v="2014-03-31"/>
    <n v="0"/>
    <n v="867"/>
    <n v="20.097715999999998"/>
    <n v="2"/>
    <x v="2"/>
    <x v="4802"/>
    <n v="8173.18"/>
    <n v="0"/>
    <s v="4203708"/>
    <s v="74111459890"/>
    <n v="17426.76713"/>
    <n v="0"/>
    <n v="92216"/>
  </r>
  <r>
    <x v="17"/>
    <s v="7662"/>
    <s v="Lille Bjørn, Kålund 24"/>
    <n v="13868"/>
    <s v="0"/>
    <s v="Lille Bjørn"/>
    <x v="140"/>
    <x v="1"/>
    <x v="4"/>
    <n v="15334.16"/>
    <n v="1"/>
    <s v="2014-03-31"/>
    <n v="0"/>
    <n v="867"/>
    <n v="17.684418999999998"/>
    <n v="2"/>
    <x v="2"/>
    <x v="4803"/>
    <n v="7191.73"/>
    <n v="0"/>
    <s v="4203708"/>
    <s v="74111459890"/>
    <n v="15334.196739999999"/>
    <n v="0"/>
    <n v="92216"/>
  </r>
  <r>
    <x v="17"/>
    <s v="7662"/>
    <s v="Lille Bjørn, Kålund 24"/>
    <n v="13868"/>
    <s v="0"/>
    <s v="Lille Bjørn"/>
    <x v="140"/>
    <x v="1"/>
    <x v="5"/>
    <n v="13571.67"/>
    <n v="1"/>
    <s v="2014-03-31"/>
    <n v="0"/>
    <n v="867"/>
    <n v="15.651793"/>
    <n v="2"/>
    <x v="2"/>
    <x v="4804"/>
    <n v="6365.09"/>
    <n v="0"/>
    <s v="4203708"/>
    <s v="74111459890"/>
    <n v="13571.657590000001"/>
    <n v="0"/>
    <n v="92216"/>
  </r>
  <r>
    <x v="17"/>
    <s v="7662"/>
    <s v="Lille Bjørn, Kålund 24"/>
    <n v="13868"/>
    <s v="0"/>
    <s v="Lille Bjørn"/>
    <x v="140"/>
    <x v="1"/>
    <x v="6"/>
    <n v="12756.34"/>
    <n v="1"/>
    <s v="2014-03-31"/>
    <n v="0"/>
    <n v="867"/>
    <n v="14.711498000000001"/>
    <n v="2"/>
    <x v="2"/>
    <x v="4805"/>
    <n v="5982.68"/>
    <n v="0"/>
    <s v="4203708"/>
    <s v="74111459890"/>
    <n v="12756.353569999999"/>
    <n v="0"/>
    <n v="92216"/>
  </r>
  <r>
    <x v="17"/>
    <s v="????"/>
    <s v="Skomagerbakken P. E. Rasmunnens Vej 3"/>
    <n v="6370"/>
    <m/>
    <s v="Skomagerbakken"/>
    <x v="141"/>
    <x v="1"/>
    <x v="0"/>
    <n v="1177.96"/>
    <n v="5"/>
    <s v="2011-11-30"/>
    <n v="0"/>
    <n v="99"/>
    <n v="11.886578999999999"/>
    <n v="2"/>
    <x v="2"/>
    <x v="4806"/>
    <n v="471.18"/>
    <n v="0"/>
    <s v="295729"/>
    <m/>
    <n v="1177.963"/>
    <n v="0"/>
    <n v="62721"/>
  </r>
  <r>
    <x v="17"/>
    <s v="????"/>
    <s v="Skomagerbakken P. E. Rasmunnens Vej 3"/>
    <n v="6370"/>
    <m/>
    <s v="Skomagerbakken"/>
    <x v="141"/>
    <x v="1"/>
    <x v="1"/>
    <n v="3265.91"/>
    <n v="12"/>
    <s v="2011-11-30"/>
    <n v="0"/>
    <n v="99"/>
    <n v="32.955700999999998"/>
    <n v="2"/>
    <x v="2"/>
    <x v="4807"/>
    <n v="1306.3599999999999"/>
    <n v="0"/>
    <s v="295729"/>
    <m/>
    <n v="3265.9088999999999"/>
    <n v="0"/>
    <n v="62721"/>
  </r>
  <r>
    <x v="17"/>
    <s v="????"/>
    <s v="Skomagerbakken P. E. Rasmunnens Vej 3"/>
    <n v="6370"/>
    <m/>
    <s v="Skomagerbakken"/>
    <x v="141"/>
    <x v="1"/>
    <x v="2"/>
    <n v="3061.15"/>
    <n v="12"/>
    <s v="2011-11-30"/>
    <n v="0"/>
    <n v="99"/>
    <n v="30.889505"/>
    <n v="2"/>
    <x v="2"/>
    <x v="4808"/>
    <n v="1224.46"/>
    <n v="0"/>
    <s v="295729"/>
    <m/>
    <n v="3061.136"/>
    <n v="0"/>
    <n v="62721"/>
  </r>
  <r>
    <x v="17"/>
    <s v="????"/>
    <s v="Skomagerbakken P. E. Rasmunnens Vej 3"/>
    <n v="6370"/>
    <m/>
    <s v="Skomagerbakken"/>
    <x v="141"/>
    <x v="1"/>
    <x v="3"/>
    <n v="2818.18"/>
    <n v="6"/>
    <s v="2011-11-30"/>
    <n v="0"/>
    <n v="99"/>
    <n v="28.437739000000001"/>
    <n v="2"/>
    <x v="2"/>
    <x v="4809"/>
    <n v="1321.72"/>
    <n v="0"/>
    <s v="295729"/>
    <m/>
    <n v="2818.1700099999998"/>
    <n v="0"/>
    <n v="62721"/>
  </r>
  <r>
    <x v="17"/>
    <s v="????"/>
    <s v="Skomagerbakken P. E. Rasmunnens Vej 3"/>
    <n v="6370"/>
    <m/>
    <s v="Skomagerbakken"/>
    <x v="141"/>
    <x v="1"/>
    <x v="4"/>
    <n v="2987.34"/>
    <n v="6"/>
    <s v="2011-11-30"/>
    <n v="0"/>
    <n v="99"/>
    <n v="30.144701999999999"/>
    <n v="2"/>
    <x v="2"/>
    <x v="4810"/>
    <n v="1401.06"/>
    <n v="0"/>
    <s v="295729"/>
    <m/>
    <n v="2987.3402299999998"/>
    <n v="0"/>
    <n v="62721"/>
  </r>
  <r>
    <x v="17"/>
    <s v="????"/>
    <s v="Skomagerbakken P. E. Rasmunnens Vej 3"/>
    <n v="6370"/>
    <m/>
    <s v="Skomagerbakken"/>
    <x v="141"/>
    <x v="1"/>
    <x v="5"/>
    <n v="3128.17"/>
    <n v="6"/>
    <s v="2011-11-30"/>
    <n v="0"/>
    <n v="99"/>
    <n v="31.565791999999998"/>
    <n v="2"/>
    <x v="2"/>
    <x v="4811"/>
    <n v="1467.11"/>
    <n v="0"/>
    <s v="295729"/>
    <m/>
    <n v="3128.1953100000001"/>
    <n v="0"/>
    <n v="62721"/>
  </r>
  <r>
    <x v="17"/>
    <s v="????"/>
    <s v="Skomagerbakken P. E. Rasmunnens Vej 3"/>
    <n v="6370"/>
    <m/>
    <s v="Skomagerbakken"/>
    <x v="141"/>
    <x v="1"/>
    <x v="6"/>
    <n v="3588.84"/>
    <n v="5"/>
    <s v="2011-11-30"/>
    <n v="0"/>
    <n v="99"/>
    <n v="36.214328000000002"/>
    <n v="2"/>
    <x v="2"/>
    <x v="4812"/>
    <n v="1683.17"/>
    <n v="0"/>
    <s v="295729"/>
    <m/>
    <n v="3588.8294599999999"/>
    <n v="0"/>
    <n v="62721"/>
  </r>
  <r>
    <x v="17"/>
    <s v="03972-1"/>
    <s v="Solhøjgård - UDLEJET"/>
    <n v="5953"/>
    <m/>
    <s v="Solhøjgård"/>
    <x v="142"/>
    <x v="1"/>
    <x v="0"/>
    <n v="2105.69"/>
    <n v="5"/>
    <s v="2012-01-31"/>
    <n v="0"/>
    <n v="272"/>
    <n v="7.7386619999999997"/>
    <n v="2"/>
    <x v="2"/>
    <x v="4813"/>
    <n v="842.28"/>
    <n v="0"/>
    <s v="4031428"/>
    <m/>
    <n v="2105.6959999999999"/>
    <n v="0"/>
    <n v="59977"/>
  </r>
  <r>
    <x v="17"/>
    <s v="03972-1"/>
    <s v="Solhøjgård - UDLEJET"/>
    <n v="5953"/>
    <m/>
    <s v="Solhøjgård"/>
    <x v="142"/>
    <x v="1"/>
    <x v="1"/>
    <n v="5324.99"/>
    <n v="12"/>
    <s v="2012-01-31"/>
    <n v="0"/>
    <n v="272"/>
    <n v="19.569973999999998"/>
    <n v="2"/>
    <x v="2"/>
    <x v="4814"/>
    <n v="2130.02"/>
    <n v="0"/>
    <s v="4031428"/>
    <m/>
    <n v="5324.9920000000002"/>
    <n v="0"/>
    <n v="59977"/>
  </r>
  <r>
    <x v="17"/>
    <s v="03972-1"/>
    <s v="Solhøjgård - UDLEJET"/>
    <n v="5953"/>
    <m/>
    <s v="Solhøjgård"/>
    <x v="142"/>
    <x v="1"/>
    <x v="2"/>
    <n v="5225.03"/>
    <n v="15"/>
    <s v="2012-01-31"/>
    <n v="0"/>
    <n v="272"/>
    <n v="19.202608999999999"/>
    <n v="2"/>
    <x v="2"/>
    <x v="4815"/>
    <n v="2090.02"/>
    <n v="0"/>
    <s v="4031428"/>
    <m/>
    <n v="5225.0484999999999"/>
    <n v="0"/>
    <n v="59977"/>
  </r>
  <r>
    <x v="17"/>
    <s v="03972-1"/>
    <s v="Solhøjgård - UDLEJET"/>
    <n v="5953"/>
    <m/>
    <s v="Solhøjgård"/>
    <x v="142"/>
    <x v="1"/>
    <x v="3"/>
    <n v="6101.06"/>
    <n v="9"/>
    <s v="2012-01-31"/>
    <n v="0"/>
    <n v="272"/>
    <n v="22.422124"/>
    <n v="2"/>
    <x v="2"/>
    <x v="4816"/>
    <n v="2861.41"/>
    <n v="0"/>
    <s v="4031428"/>
    <m/>
    <n v="6101.0653899999998"/>
    <n v="0"/>
    <n v="59977"/>
  </r>
  <r>
    <x v="17"/>
    <s v="03972-1"/>
    <s v="Solhøjgård - UDLEJET"/>
    <n v="5953"/>
    <m/>
    <s v="Solhøjgård"/>
    <x v="142"/>
    <x v="1"/>
    <x v="4"/>
    <n v="6083.71"/>
    <n v="4"/>
    <s v="2012-01-31"/>
    <n v="0"/>
    <n v="272"/>
    <n v="22.358360000000001"/>
    <n v="2"/>
    <x v="2"/>
    <x v="4817"/>
    <n v="2853.26"/>
    <n v="0"/>
    <s v="4031428"/>
    <m/>
    <n v="6083.7143800000003"/>
    <n v="0"/>
    <n v="59977"/>
  </r>
  <r>
    <x v="17"/>
    <s v="03972-1"/>
    <s v="Solhøjgård - UDLEJET"/>
    <n v="5953"/>
    <m/>
    <s v="Solhøjgård"/>
    <x v="142"/>
    <x v="1"/>
    <x v="5"/>
    <n v="5864.61"/>
    <n v="1"/>
    <s v="2012-01-31"/>
    <n v="0"/>
    <n v="272"/>
    <n v="21.553142000000001"/>
    <n v="2"/>
    <x v="2"/>
    <x v="4818"/>
    <n v="2750.52"/>
    <n v="0"/>
    <s v="4031428"/>
    <m/>
    <n v="5864.6577100000004"/>
    <n v="0"/>
    <n v="59977"/>
  </r>
  <r>
    <x v="17"/>
    <s v="03972-1"/>
    <s v="Solhøjgård - UDLEJET"/>
    <n v="5953"/>
    <m/>
    <s v="Solhøjgård"/>
    <x v="142"/>
    <x v="1"/>
    <x v="6"/>
    <n v="5936.11"/>
    <n v="3"/>
    <s v="2012-01-31"/>
    <n v="0"/>
    <n v="272"/>
    <n v="21.815912999999998"/>
    <n v="2"/>
    <x v="2"/>
    <x v="4819"/>
    <n v="2784.04"/>
    <n v="0"/>
    <s v="4031428"/>
    <m/>
    <n v="5936.1000100000001"/>
    <n v="0"/>
    <n v="59977"/>
  </r>
  <r>
    <x v="17"/>
    <m/>
    <s v="Stenvadhallen"/>
    <n v="13534"/>
    <s v="0"/>
    <s v="Stenvadhallen"/>
    <x v="143"/>
    <x v="1"/>
    <x v="0"/>
    <n v="11282.66"/>
    <n v="4"/>
    <s v="2015-05-04"/>
    <n v="0"/>
    <n v="2088"/>
    <n v="5.403314"/>
    <n v="2"/>
    <x v="2"/>
    <x v="4820"/>
    <n v="3384.8"/>
    <n v="0"/>
    <s v="15465"/>
    <m/>
    <n v="11282.657139999999"/>
    <n v="0"/>
    <n v="90569"/>
  </r>
  <r>
    <x v="17"/>
    <m/>
    <s v="Stenvadhallen"/>
    <n v="13534"/>
    <s v="0"/>
    <s v="Stenvadhallen"/>
    <x v="143"/>
    <x v="1"/>
    <x v="1"/>
    <n v="45887.09"/>
    <n v="6"/>
    <s v="2015-05-04"/>
    <n v="0"/>
    <n v="2088"/>
    <n v="21.975522999999999"/>
    <n v="2"/>
    <x v="2"/>
    <x v="4821"/>
    <n v="13766.13"/>
    <n v="0"/>
    <s v="15465"/>
    <m/>
    <n v="45887.085599999999"/>
    <n v="0"/>
    <n v="90569"/>
  </r>
  <r>
    <x v="17"/>
    <m/>
    <s v="Stenvadhallen"/>
    <n v="13534"/>
    <s v="0"/>
    <s v="Stenvadhallen"/>
    <x v="143"/>
    <x v="1"/>
    <x v="2"/>
    <n v="42056.86"/>
    <n v="8"/>
    <s v="2015-05-04"/>
    <n v="0"/>
    <n v="2088"/>
    <n v="20.141209"/>
    <n v="2"/>
    <x v="2"/>
    <x v="4822"/>
    <n v="16822.73"/>
    <n v="0"/>
    <s v="15465"/>
    <m/>
    <n v="42056.86391"/>
    <n v="0"/>
    <n v="90569"/>
  </r>
  <r>
    <x v="17"/>
    <m/>
    <s v="Stenvadhallen"/>
    <n v="13534"/>
    <s v="0"/>
    <s v="Stenvadhallen"/>
    <x v="143"/>
    <x v="1"/>
    <x v="3"/>
    <n v="41902.07"/>
    <n v="2"/>
    <s v="2015-05-04"/>
    <n v="0"/>
    <n v="2088"/>
    <n v="20.067080000000001"/>
    <n v="2"/>
    <x v="2"/>
    <x v="4823"/>
    <n v="19652.060000000001"/>
    <n v="0"/>
    <s v="15465"/>
    <m/>
    <n v="41902.082110000003"/>
    <n v="0"/>
    <n v="90569"/>
  </r>
  <r>
    <x v="17"/>
    <m/>
    <s v="Stenvadhallen"/>
    <n v="13534"/>
    <s v="0"/>
    <s v="Stenvadhallen"/>
    <x v="143"/>
    <x v="1"/>
    <x v="4"/>
    <n v="42230.76"/>
    <n v="3"/>
    <s v="2015-05-04"/>
    <n v="0"/>
    <n v="2088"/>
    <n v="20.224491"/>
    <n v="2"/>
    <x v="2"/>
    <x v="4824"/>
    <n v="19806.240000000002"/>
    <n v="0"/>
    <s v="15465"/>
    <m/>
    <n v="42230.782050000002"/>
    <n v="0"/>
    <n v="90569"/>
  </r>
  <r>
    <x v="17"/>
    <m/>
    <s v="Stenvadhallen"/>
    <n v="13534"/>
    <s v="0"/>
    <s v="Stenvadhallen"/>
    <x v="143"/>
    <x v="1"/>
    <x v="5"/>
    <n v="26340.48"/>
    <n v="1"/>
    <s v="2015-05-04"/>
    <n v="0"/>
    <n v="2088"/>
    <n v="12.614568"/>
    <n v="2"/>
    <x v="2"/>
    <x v="4825"/>
    <n v="12353.7"/>
    <n v="0"/>
    <s v="15465"/>
    <m/>
    <n v="26340.490669999999"/>
    <n v="0"/>
    <n v="90569"/>
  </r>
  <r>
    <x v="17"/>
    <s v="05368-6"/>
    <s v="TD-Bygning"/>
    <n v="5465"/>
    <m/>
    <s v="TD-Bygning"/>
    <x v="130"/>
    <x v="1"/>
    <x v="0"/>
    <n v="41459.78"/>
    <n v="5"/>
    <m/>
    <n v="0"/>
    <n v="1384"/>
    <n v="29.954324"/>
    <n v="1"/>
    <x v="3"/>
    <x v="4826"/>
    <n v="248091.89"/>
    <n v="1"/>
    <s v="4155449"/>
    <m/>
    <n v="1188.3"/>
    <n v="57760"/>
    <n v="57765"/>
  </r>
  <r>
    <x v="17"/>
    <s v="05368-6"/>
    <s v="TD-Bygning"/>
    <n v="5465"/>
    <m/>
    <s v="TD-Bygning"/>
    <x v="130"/>
    <x v="1"/>
    <x v="1"/>
    <n v="73638.81"/>
    <n v="12"/>
    <m/>
    <n v="0"/>
    <n v="1384"/>
    <n v="53.203387999999997"/>
    <n v="1"/>
    <x v="3"/>
    <x v="4827"/>
    <n v="399.38"/>
    <n v="1"/>
    <s v="4155449"/>
    <m/>
    <n v="2110.6"/>
    <n v="57760"/>
    <n v="57765"/>
  </r>
  <r>
    <x v="17"/>
    <s v="05368-6"/>
    <s v="TD-Bygning"/>
    <n v="5465"/>
    <m/>
    <s v="TD-Bygning"/>
    <x v="130"/>
    <x v="1"/>
    <x v="2"/>
    <n v="80208.62"/>
    <n v="12"/>
    <m/>
    <n v="0"/>
    <n v="1384"/>
    <n v="57.950018"/>
    <n v="1"/>
    <x v="3"/>
    <x v="4828"/>
    <n v="446.13"/>
    <n v="1"/>
    <s v="4155449"/>
    <m/>
    <n v="2298.9"/>
    <n v="57760"/>
    <n v="57765"/>
  </r>
  <r>
    <x v="17"/>
    <s v="05368-6"/>
    <s v="TD-Bygning"/>
    <n v="5465"/>
    <m/>
    <s v="TD-Bygning"/>
    <x v="130"/>
    <x v="1"/>
    <x v="3"/>
    <n v="85815.45"/>
    <n v="12"/>
    <m/>
    <n v="0"/>
    <n v="1384"/>
    <n v="62.000903000000001"/>
    <n v="1"/>
    <x v="3"/>
    <x v="4829"/>
    <n v="483.3"/>
    <n v="1"/>
    <s v="4155449"/>
    <m/>
    <n v="2459.6"/>
    <n v="57760"/>
    <n v="57765"/>
  </r>
  <r>
    <x v="17"/>
    <s v="05368-6"/>
    <s v="TD-Bygning"/>
    <n v="5465"/>
    <m/>
    <s v="TD-Bygning"/>
    <x v="130"/>
    <x v="1"/>
    <x v="4"/>
    <n v="111539.82"/>
    <n v="12"/>
    <m/>
    <n v="0"/>
    <n v="1384"/>
    <n v="80.586532000000005"/>
    <n v="1"/>
    <x v="3"/>
    <x v="4830"/>
    <n v="540.63"/>
    <n v="1"/>
    <s v="4155449"/>
    <m/>
    <n v="3196.9"/>
    <n v="57760"/>
    <n v="57765"/>
  </r>
  <r>
    <x v="17"/>
    <s v="05368-6"/>
    <s v="TD-Bygning"/>
    <n v="5465"/>
    <m/>
    <s v="TD-Bygning"/>
    <x v="130"/>
    <x v="1"/>
    <x v="5"/>
    <n v="91010.55"/>
    <n v="12"/>
    <m/>
    <n v="0"/>
    <n v="1384"/>
    <n v="65.754316000000003"/>
    <n v="1"/>
    <x v="3"/>
    <x v="4831"/>
    <n v="504.38"/>
    <n v="1"/>
    <s v="4155449"/>
    <m/>
    <n v="2608.5"/>
    <n v="57760"/>
    <n v="57765"/>
  </r>
  <r>
    <x v="17"/>
    <s v="05368-6"/>
    <s v="TD-Bygning"/>
    <n v="5465"/>
    <m/>
    <s v="TD-Bygning"/>
    <x v="130"/>
    <x v="1"/>
    <x v="6"/>
    <n v="81443.73"/>
    <n v="12"/>
    <m/>
    <n v="0"/>
    <n v="1384"/>
    <n v="58.842374"/>
    <n v="1"/>
    <x v="3"/>
    <x v="4832"/>
    <n v="487.01"/>
    <n v="1"/>
    <s v="4155449"/>
    <m/>
    <n v="2334.3000000000002"/>
    <n v="57760"/>
    <n v="57765"/>
  </r>
  <r>
    <x v="18"/>
    <m/>
    <m/>
    <m/>
    <m/>
    <m/>
    <x v="91"/>
    <x v="2"/>
    <x v="8"/>
    <m/>
    <m/>
    <m/>
    <m/>
    <m/>
    <m/>
    <m/>
    <x v="11"/>
    <x v="1079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95">
  <r>
    <x v="0"/>
    <s v="05048-2 / 00140-6"/>
    <s v="Farum Rådhus, RT2"/>
    <n v="5484"/>
    <m/>
    <s v="Farum Rådhus"/>
    <x v="0"/>
    <x v="0"/>
    <x v="0"/>
    <n v="883"/>
    <n v="5"/>
    <m/>
    <n v="0"/>
    <n v="5672"/>
    <n v="7.3216000000000003E-2"/>
    <n v="3"/>
    <x v="0"/>
    <n v="415.29"/>
    <n v="332.23"/>
    <n v="0"/>
    <s v="500085 Gl. Rå aut"/>
    <m/>
    <n v="415.29300000000001"/>
    <n v="0"/>
    <n v="57963"/>
  </r>
  <r>
    <x v="0"/>
    <s v="05048-2 / 00140-6"/>
    <s v="Farum Rådhus, RT2"/>
    <n v="5484"/>
    <m/>
    <s v="Farum Rådhus"/>
    <x v="0"/>
    <x v="0"/>
    <x v="0"/>
    <n v="0"/>
    <n v="5"/>
    <s v="2005-06-01"/>
    <n v="0"/>
    <n v="5672"/>
    <n v="0"/>
    <n v="3"/>
    <x v="0"/>
    <n v="0"/>
    <n v="0"/>
    <n v="0"/>
    <s v="990600 Ny Rå"/>
    <m/>
    <n v="0"/>
    <n v="0"/>
    <n v="57970"/>
  </r>
  <r>
    <x v="0"/>
    <s v="05048-2 / 00140-6"/>
    <s v="Farum Rådhus, RT2"/>
    <n v="5484"/>
    <m/>
    <s v="Farum Rådhus"/>
    <x v="0"/>
    <x v="0"/>
    <x v="1"/>
    <n v="620.69000000000005"/>
    <n v="12"/>
    <m/>
    <n v="0"/>
    <n v="5672"/>
    <n v="0.109428"/>
    <n v="3"/>
    <x v="0"/>
    <n v="620.69000000000005"/>
    <n v="496.55"/>
    <n v="0"/>
    <s v="500085 Gl. Rå aut"/>
    <m/>
    <n v="620.67899999999997"/>
    <n v="0"/>
    <n v="57963"/>
  </r>
  <r>
    <x v="0"/>
    <s v="05048-2 / 00140-6"/>
    <s v="Farum Rådhus, RT2"/>
    <n v="5484"/>
    <m/>
    <s v="Farum Rådhus"/>
    <x v="0"/>
    <x v="0"/>
    <x v="1"/>
    <n v="609.82000000000005"/>
    <n v="12"/>
    <s v="2005-06-01"/>
    <n v="0"/>
    <n v="5672"/>
    <n v="0.107512"/>
    <n v="3"/>
    <x v="0"/>
    <n v="609.82000000000005"/>
    <n v="487.85"/>
    <n v="0"/>
    <s v="990600 Ny Rå"/>
    <m/>
    <n v="609.82000000000005"/>
    <n v="0"/>
    <n v="57970"/>
  </r>
  <r>
    <x v="0"/>
    <s v="05048-2 / 00140-6"/>
    <s v="Farum Rådhus, RT2"/>
    <n v="5484"/>
    <m/>
    <s v="Farum Rådhus"/>
    <x v="0"/>
    <x v="0"/>
    <x v="2"/>
    <n v="964.57"/>
    <n v="12"/>
    <m/>
    <n v="0"/>
    <n v="5672"/>
    <n v="0.17005500000000001"/>
    <n v="3"/>
    <x v="0"/>
    <n v="964.57"/>
    <n v="771.65"/>
    <n v="0"/>
    <s v="500085 Gl. Rå aut"/>
    <m/>
    <n v="964.56700000000001"/>
    <n v="0"/>
    <n v="57963"/>
  </r>
  <r>
    <x v="0"/>
    <s v="05048-2 / 00140-6"/>
    <s v="Farum Rådhus, RT2"/>
    <n v="5484"/>
    <m/>
    <s v="Farum Rådhus"/>
    <x v="0"/>
    <x v="0"/>
    <x v="2"/>
    <n v="638.91999999999996"/>
    <n v="12"/>
    <s v="2005-06-01"/>
    <n v="0"/>
    <n v="5672"/>
    <n v="0.11264200000000001"/>
    <n v="3"/>
    <x v="0"/>
    <n v="638.91999999999996"/>
    <n v="511.14"/>
    <n v="0"/>
    <s v="990600 Ny Rå"/>
    <m/>
    <n v="638.91999999999996"/>
    <n v="0"/>
    <n v="57970"/>
  </r>
  <r>
    <x v="0"/>
    <s v="05048-2 / 00140-6"/>
    <s v="Farum Rådhus, RT2"/>
    <n v="5484"/>
    <m/>
    <s v="Farum Rådhus"/>
    <x v="0"/>
    <x v="0"/>
    <x v="3"/>
    <n v="979.87"/>
    <n v="12"/>
    <m/>
    <n v="0"/>
    <n v="5672"/>
    <n v="0.17275199999999999"/>
    <n v="3"/>
    <x v="0"/>
    <n v="979.87"/>
    <n v="783.86"/>
    <n v="0"/>
    <s v="500085 Gl. Rå aut"/>
    <m/>
    <n v="979.84609999999998"/>
    <n v="0"/>
    <n v="57963"/>
  </r>
  <r>
    <x v="0"/>
    <s v="05048-2 / 00140-6"/>
    <s v="Farum Rådhus, RT2"/>
    <n v="5484"/>
    <m/>
    <s v="Farum Rådhus"/>
    <x v="0"/>
    <x v="0"/>
    <x v="3"/>
    <n v="677.13"/>
    <n v="12"/>
    <s v="2005-06-01"/>
    <n v="0"/>
    <n v="5672"/>
    <n v="0.119379"/>
    <n v="3"/>
    <x v="0"/>
    <n v="677.13"/>
    <n v="541.69000000000005"/>
    <n v="0"/>
    <s v="990600 Ny Rå"/>
    <m/>
    <n v="677.12000999999998"/>
    <n v="0"/>
    <n v="57970"/>
  </r>
  <r>
    <x v="0"/>
    <s v="05048-2 / 00140-6"/>
    <s v="Farum Rådhus, RT2"/>
    <n v="5484"/>
    <m/>
    <s v="Farum Rådhus"/>
    <x v="0"/>
    <x v="0"/>
    <x v="4"/>
    <n v="977.7"/>
    <n v="12"/>
    <m/>
    <n v="0"/>
    <n v="5672"/>
    <n v="0.17237"/>
    <n v="3"/>
    <x v="0"/>
    <n v="977.7"/>
    <n v="782.17"/>
    <n v="0"/>
    <s v="500085 Gl. Rå aut"/>
    <m/>
    <n v="977.70609999999999"/>
    <n v="0"/>
    <n v="57963"/>
  </r>
  <r>
    <x v="0"/>
    <s v="05048-2 / 00140-6"/>
    <s v="Farum Rådhus, RT2"/>
    <n v="5484"/>
    <m/>
    <s v="Farum Rådhus"/>
    <x v="0"/>
    <x v="0"/>
    <x v="4"/>
    <n v="596.76"/>
    <n v="12"/>
    <s v="2005-06-01"/>
    <n v="0"/>
    <n v="5672"/>
    <n v="0.105209"/>
    <n v="3"/>
    <x v="0"/>
    <n v="596.76"/>
    <n v="477.42"/>
    <n v="0"/>
    <s v="990600 Ny Rå"/>
    <m/>
    <n v="596.76"/>
    <n v="0"/>
    <n v="57970"/>
  </r>
  <r>
    <x v="0"/>
    <s v="05048-2 / 00140-6"/>
    <s v="Farum Rådhus, RT2"/>
    <n v="5484"/>
    <m/>
    <s v="Farum Rådhus"/>
    <x v="0"/>
    <x v="0"/>
    <x v="5"/>
    <n v="965.48"/>
    <n v="12"/>
    <m/>
    <n v="0"/>
    <n v="5672"/>
    <n v="0.17021500000000001"/>
    <n v="3"/>
    <x v="0"/>
    <n v="965.48"/>
    <n v="772.36"/>
    <n v="0"/>
    <s v="500085 Gl. Rå aut"/>
    <m/>
    <n v="965.47500000000002"/>
    <n v="0"/>
    <n v="57963"/>
  </r>
  <r>
    <x v="0"/>
    <s v="05048-2 / 00140-6"/>
    <s v="Farum Rådhus, RT2"/>
    <n v="5484"/>
    <m/>
    <s v="Farum Rådhus"/>
    <x v="0"/>
    <x v="0"/>
    <x v="5"/>
    <n v="673.93"/>
    <n v="12"/>
    <s v="2005-06-01"/>
    <n v="0"/>
    <n v="5672"/>
    <n v="0.118814"/>
    <n v="3"/>
    <x v="0"/>
    <n v="673.93"/>
    <n v="539.14"/>
    <n v="0"/>
    <s v="990600 Ny Rå"/>
    <m/>
    <n v="673.93"/>
    <n v="0"/>
    <n v="57970"/>
  </r>
  <r>
    <x v="0"/>
    <s v="05048-2 / 00140-6"/>
    <s v="Farum Rådhus, RT2"/>
    <n v="5484"/>
    <m/>
    <s v="Farum Rådhus"/>
    <x v="0"/>
    <x v="0"/>
    <x v="6"/>
    <n v="1135.1400000000001"/>
    <n v="12"/>
    <m/>
    <n v="0"/>
    <n v="5672"/>
    <n v="0.200126"/>
    <n v="3"/>
    <x v="0"/>
    <n v="1135.1400000000001"/>
    <n v="908.1"/>
    <n v="0"/>
    <s v="500085 Gl. Rå aut"/>
    <m/>
    <n v="1135.1379999999999"/>
    <n v="0"/>
    <n v="57963"/>
  </r>
  <r>
    <x v="0"/>
    <s v="05048-2 / 00140-6"/>
    <s v="Farum Rådhus, RT2"/>
    <n v="5484"/>
    <m/>
    <s v="Farum Rådhus"/>
    <x v="0"/>
    <x v="0"/>
    <x v="6"/>
    <n v="642.53"/>
    <n v="12"/>
    <s v="2005-06-01"/>
    <n v="0"/>
    <n v="5672"/>
    <n v="0.113279"/>
    <n v="3"/>
    <x v="0"/>
    <n v="642.53"/>
    <n v="514.02"/>
    <n v="0"/>
    <s v="990600 Ny Rå"/>
    <m/>
    <n v="642.53"/>
    <n v="0"/>
    <n v="57970"/>
  </r>
  <r>
    <x v="0"/>
    <m/>
    <s v="Værløse Rådhus"/>
    <n v="13925"/>
    <s v="0"/>
    <s v="Bygn B+C pav"/>
    <x v="1"/>
    <x v="0"/>
    <x v="0"/>
    <n v="641"/>
    <n v="5"/>
    <s v="2007-11-30"/>
    <n v="0"/>
    <n v="2349"/>
    <n v="9.6309000000000006E-2"/>
    <n v="3"/>
    <x v="0"/>
    <n v="226.24"/>
    <n v="180.99"/>
    <n v="0"/>
    <s v="Byg B-C 01PC502538"/>
    <m/>
    <n v="226.244"/>
    <n v="0"/>
    <n v="77030"/>
  </r>
  <r>
    <x v="0"/>
    <m/>
    <s v="Værløse Rådhus"/>
    <n v="13925"/>
    <s v="0"/>
    <s v="Bygn B+C pav"/>
    <x v="1"/>
    <x v="0"/>
    <x v="1"/>
    <n v="546.16999999999996"/>
    <n v="12"/>
    <s v="2007-11-30"/>
    <n v="0"/>
    <n v="2349"/>
    <n v="0.23250100000000001"/>
    <n v="3"/>
    <x v="0"/>
    <n v="546.16999999999996"/>
    <n v="436.9"/>
    <n v="0"/>
    <s v="Byg B-C 01PC502538"/>
    <m/>
    <n v="546.15200000000004"/>
    <n v="0"/>
    <n v="77030"/>
  </r>
  <r>
    <x v="0"/>
    <m/>
    <s v="Værløse Rådhus"/>
    <n v="13925"/>
    <s v="0"/>
    <s v="Bygn B+C pav"/>
    <x v="1"/>
    <x v="0"/>
    <x v="2"/>
    <n v="477.29"/>
    <n v="12"/>
    <s v="2007-11-30"/>
    <n v="0"/>
    <n v="2349"/>
    <n v="0.203179"/>
    <n v="3"/>
    <x v="0"/>
    <n v="477.29"/>
    <n v="381.84"/>
    <n v="0"/>
    <s v="Byg B-C 01PC502538"/>
    <m/>
    <n v="477.29500000000002"/>
    <n v="0"/>
    <n v="77030"/>
  </r>
  <r>
    <x v="0"/>
    <m/>
    <s v="Værløse Rådhus"/>
    <n v="13925"/>
    <s v="0"/>
    <s v="Bygn B+C pav"/>
    <x v="1"/>
    <x v="0"/>
    <x v="3"/>
    <n v="369.55"/>
    <n v="12"/>
    <s v="2007-11-30"/>
    <n v="0"/>
    <n v="2349"/>
    <n v="0.15731500000000001"/>
    <n v="3"/>
    <x v="0"/>
    <n v="369.55"/>
    <n v="295.64999999999998"/>
    <n v="0"/>
    <s v="Byg B-C 01PC502538"/>
    <m/>
    <n v="369.54264000000001"/>
    <n v="0"/>
    <n v="77030"/>
  </r>
  <r>
    <x v="0"/>
    <m/>
    <s v="Værløse Rådhus"/>
    <n v="13925"/>
    <s v="0"/>
    <s v="Bygn B+C pav"/>
    <x v="1"/>
    <x v="0"/>
    <x v="4"/>
    <n v="489.89"/>
    <n v="12"/>
    <s v="2007-11-30"/>
    <n v="0"/>
    <n v="2349"/>
    <n v="0.20854300000000001"/>
    <n v="3"/>
    <x v="0"/>
    <n v="489.89"/>
    <n v="391.92"/>
    <n v="0"/>
    <s v="Byg B-C 01PC502538"/>
    <m/>
    <n v="489.89836000000003"/>
    <n v="0"/>
    <n v="77030"/>
  </r>
  <r>
    <x v="0"/>
    <m/>
    <s v="Værløse Rådhus"/>
    <n v="13925"/>
    <s v="0"/>
    <s v="Bygn B+C pav"/>
    <x v="1"/>
    <x v="0"/>
    <x v="5"/>
    <n v="603.41"/>
    <n v="12"/>
    <s v="2007-11-30"/>
    <n v="0"/>
    <n v="2349"/>
    <n v="0.25686799999999999"/>
    <n v="3"/>
    <x v="0"/>
    <n v="603.41"/>
    <n v="482.72"/>
    <n v="0"/>
    <s v="Byg B-C 01PC502538"/>
    <m/>
    <n v="603.40599999999995"/>
    <n v="0"/>
    <n v="77030"/>
  </r>
  <r>
    <x v="0"/>
    <m/>
    <s v="Værløse Rådhus"/>
    <n v="13925"/>
    <s v="0"/>
    <s v="Bygn B+C pav"/>
    <x v="1"/>
    <x v="0"/>
    <x v="6"/>
    <n v="690.34"/>
    <n v="12"/>
    <s v="2007-11-30"/>
    <n v="0"/>
    <n v="2349"/>
    <n v="0.29387400000000002"/>
    <n v="3"/>
    <x v="0"/>
    <n v="690.34"/>
    <n v="552.29"/>
    <n v="0"/>
    <s v="Byg B-C 01PC502538"/>
    <m/>
    <n v="690.34500000000003"/>
    <n v="0"/>
    <n v="77030"/>
  </r>
  <r>
    <x v="0"/>
    <m/>
    <s v="Værløse Rådhus"/>
    <n v="9524"/>
    <m/>
    <s v="Værløse Rådhus Bygn A"/>
    <x v="1"/>
    <x v="0"/>
    <x v="0"/>
    <n v="590"/>
    <n v="5"/>
    <s v="2007-11-30"/>
    <n v="0"/>
    <n v="2899"/>
    <n v="7.8719999999999998E-2"/>
    <n v="3"/>
    <x v="0"/>
    <n v="228.22"/>
    <n v="182.59"/>
    <n v="0"/>
    <s v="Byg A 44860"/>
    <m/>
    <n v="228.22300000000001"/>
    <n v="0"/>
    <n v="77029"/>
  </r>
  <r>
    <x v="0"/>
    <m/>
    <s v="Værløse Rådhus"/>
    <n v="9524"/>
    <m/>
    <s v="Værløse Rådhus Bygn A"/>
    <x v="1"/>
    <x v="0"/>
    <x v="1"/>
    <n v="516.95000000000005"/>
    <n v="12"/>
    <s v="2007-11-30"/>
    <n v="0"/>
    <n v="2899"/>
    <n v="0.178313"/>
    <n v="3"/>
    <x v="0"/>
    <n v="516.95000000000005"/>
    <n v="413.56"/>
    <n v="0"/>
    <s v="Byg A 44860"/>
    <m/>
    <n v="516.94399999999996"/>
    <n v="0"/>
    <n v="77029"/>
  </r>
  <r>
    <x v="0"/>
    <m/>
    <s v="Værløse Rådhus"/>
    <n v="9524"/>
    <m/>
    <s v="Værløse Rådhus Bygn A"/>
    <x v="1"/>
    <x v="0"/>
    <x v="2"/>
    <n v="522.17999999999995"/>
    <n v="12"/>
    <s v="2007-11-30"/>
    <n v="0"/>
    <n v="2899"/>
    <n v="0.180117"/>
    <n v="3"/>
    <x v="0"/>
    <n v="522.17999999999995"/>
    <n v="417.75"/>
    <n v="0"/>
    <s v="Byg A 44860"/>
    <m/>
    <n v="522.17899999999997"/>
    <n v="0"/>
    <n v="77029"/>
  </r>
  <r>
    <x v="0"/>
    <m/>
    <s v="Værløse Rådhus"/>
    <n v="9524"/>
    <m/>
    <s v="Værløse Rådhus Bygn A"/>
    <x v="1"/>
    <x v="0"/>
    <x v="3"/>
    <n v="560.95000000000005"/>
    <n v="12"/>
    <s v="2007-11-30"/>
    <n v="0"/>
    <n v="2899"/>
    <n v="0.193491"/>
    <n v="3"/>
    <x v="0"/>
    <n v="560.95000000000005"/>
    <n v="448.74"/>
    <n v="0"/>
    <s v="Byg A 44860"/>
    <m/>
    <n v="560.94600000000003"/>
    <n v="0"/>
    <n v="77029"/>
  </r>
  <r>
    <x v="0"/>
    <m/>
    <s v="Værløse Rådhus"/>
    <n v="9524"/>
    <m/>
    <s v="Værløse Rådhus Bygn A"/>
    <x v="1"/>
    <x v="0"/>
    <x v="4"/>
    <n v="546.6"/>
    <n v="12"/>
    <s v="2007-11-30"/>
    <n v="0"/>
    <n v="2899"/>
    <n v="0.18854099999999999"/>
    <n v="3"/>
    <x v="0"/>
    <n v="546.6"/>
    <n v="437.29"/>
    <n v="0"/>
    <s v="Byg A 44860"/>
    <m/>
    <n v="546.59799999999996"/>
    <n v="0"/>
    <n v="77029"/>
  </r>
  <r>
    <x v="0"/>
    <m/>
    <s v="Værløse Rådhus"/>
    <n v="9524"/>
    <m/>
    <s v="Værløse Rådhus Bygn A"/>
    <x v="1"/>
    <x v="0"/>
    <x v="5"/>
    <n v="565.62"/>
    <n v="12"/>
    <s v="2007-11-30"/>
    <n v="0"/>
    <n v="2899"/>
    <n v="0.195101"/>
    <n v="3"/>
    <x v="0"/>
    <n v="565.62"/>
    <n v="452.49"/>
    <n v="0"/>
    <s v="Byg A 44860"/>
    <m/>
    <n v="565.62099999999998"/>
    <n v="0"/>
    <n v="77029"/>
  </r>
  <r>
    <x v="0"/>
    <m/>
    <s v="Værløse Rådhus"/>
    <n v="9524"/>
    <m/>
    <s v="Værløse Rådhus Bygn A"/>
    <x v="1"/>
    <x v="0"/>
    <x v="6"/>
    <n v="533.9"/>
    <n v="12"/>
    <s v="2007-11-30"/>
    <n v="0"/>
    <n v="2899"/>
    <n v="0.18415999999999999"/>
    <n v="3"/>
    <x v="0"/>
    <n v="533.9"/>
    <n v="427.11"/>
    <n v="0"/>
    <s v="Byg A 44860"/>
    <m/>
    <n v="533.89413999999999"/>
    <n v="0"/>
    <n v="77029"/>
  </r>
  <r>
    <x v="0"/>
    <s v="05048-2 / 00140-6"/>
    <s v="Farum Rådhus, RT2"/>
    <n v="5484"/>
    <m/>
    <s v="Farum Rådhus"/>
    <x v="0"/>
    <x v="0"/>
    <x v="7"/>
    <n v="891.61"/>
    <n v="12"/>
    <m/>
    <n v="0"/>
    <n v="5672"/>
    <n v="0.157192"/>
    <n v="3"/>
    <x v="0"/>
    <n v="891.61"/>
    <n v="713.26"/>
    <n v="0"/>
    <s v="500085 Gl. Rå aut"/>
    <m/>
    <n v="891.6"/>
    <n v="0"/>
    <n v="57963"/>
  </r>
  <r>
    <x v="0"/>
    <s v="05048-2 / 00140-6"/>
    <s v="Farum Rådhus, RT2"/>
    <n v="5484"/>
    <m/>
    <s v="Farum Rådhus"/>
    <x v="0"/>
    <x v="0"/>
    <x v="7"/>
    <n v="212.55"/>
    <n v="12"/>
    <s v="2005-06-01"/>
    <n v="0"/>
    <n v="5672"/>
    <n v="3.7471999999999998E-2"/>
    <n v="3"/>
    <x v="0"/>
    <n v="212.55"/>
    <n v="170.05"/>
    <n v="0"/>
    <s v="990600 Ny Rå"/>
    <m/>
    <n v="212.55"/>
    <n v="0"/>
    <n v="57970"/>
  </r>
  <r>
    <x v="0"/>
    <s v="05048-2 / 00140-6"/>
    <s v="Farum Rådhus, RT2"/>
    <n v="5484"/>
    <m/>
    <s v="Farum Rådhus"/>
    <x v="0"/>
    <x v="0"/>
    <x v="7"/>
    <n v="220979"/>
    <n v="12"/>
    <m/>
    <n v="0"/>
    <n v="5672"/>
    <n v="38.958939000000001"/>
    <n v="1"/>
    <x v="1"/>
    <n v="270573.82"/>
    <n v="19150159.68"/>
    <n v="0"/>
    <s v="4747292 Gl-Rådh"/>
    <m/>
    <n v="220979.00013999999"/>
    <n v="0"/>
    <n v="57974"/>
  </r>
  <r>
    <x v="0"/>
    <s v="05048-2 / 00140-6"/>
    <s v="Farum Rådhus, RT2"/>
    <n v="5484"/>
    <m/>
    <s v="Farum Rådhus"/>
    <x v="0"/>
    <x v="0"/>
    <x v="7"/>
    <n v="117710.01"/>
    <n v="12"/>
    <s v="2005-06-01"/>
    <n v="0"/>
    <n v="5672"/>
    <n v="20.752455999999999"/>
    <n v="1"/>
    <x v="1"/>
    <n v="143576.94"/>
    <n v="2391631.89"/>
    <n v="0"/>
    <s v="Ny Rådhus 4107811"/>
    <m/>
    <n v="117710.01"/>
    <n v="0"/>
    <n v="57962"/>
  </r>
  <r>
    <x v="0"/>
    <s v="05048-2 / 00140-6"/>
    <s v="Farum Rådhus, RT2"/>
    <n v="5484"/>
    <m/>
    <s v="Farum Rådhus"/>
    <x v="0"/>
    <x v="0"/>
    <x v="6"/>
    <n v="252443.37"/>
    <n v="12"/>
    <s v="2005-06-01"/>
    <n v="0"/>
    <n v="5672"/>
    <n v="44.506155999999997"/>
    <n v="2"/>
    <x v="2"/>
    <n v="252443.37"/>
    <n v="118395.95"/>
    <n v="0"/>
    <s v="49312"/>
    <s v="5713131 74112462363"/>
    <n v="252443.37804000001"/>
    <n v="0"/>
    <n v="57961"/>
  </r>
  <r>
    <x v="0"/>
    <s v="05048-2 / 00140-6"/>
    <s v="Farum Rådhus, RT2"/>
    <n v="5484"/>
    <m/>
    <s v="Farum Rådhus"/>
    <x v="0"/>
    <x v="1"/>
    <x v="7"/>
    <n v="347160.49"/>
    <n v="12"/>
    <m/>
    <n v="0"/>
    <n v="5672"/>
    <n v="61.204931000000002"/>
    <n v="1"/>
    <x v="3"/>
    <n v="413994.57"/>
    <n v="1390979.17"/>
    <n v="1"/>
    <s v="4747292 Gl-Rådhus"/>
    <m/>
    <n v="9950.1427800000001"/>
    <n v="0"/>
    <n v="58291"/>
  </r>
  <r>
    <x v="0"/>
    <s v="05048-2 / 00140-6"/>
    <s v="Farum Rådhus, RT2"/>
    <n v="5484"/>
    <m/>
    <s v="Farum Rådhus"/>
    <x v="0"/>
    <x v="1"/>
    <x v="7"/>
    <n v="146115.82999999999"/>
    <n v="12"/>
    <m/>
    <n v="0"/>
    <n v="5672"/>
    <n v="25.760446000000002"/>
    <n v="1"/>
    <x v="3"/>
    <n v="181994.9"/>
    <n v="412984.7"/>
    <n v="1"/>
    <s v="Ny Rådhus 4107811"/>
    <m/>
    <n v="4187.8999999999996"/>
    <n v="0"/>
    <n v="58292"/>
  </r>
  <r>
    <x v="0"/>
    <s v="05048-2 / 00140-6"/>
    <s v="Farum Rådhus, RT2"/>
    <n v="5484"/>
    <m/>
    <s v="Farum Rådhus"/>
    <x v="0"/>
    <x v="0"/>
    <x v="0"/>
    <n v="259544"/>
    <n v="5"/>
    <m/>
    <n v="0"/>
    <n v="5672"/>
    <n v="27.169830999999999"/>
    <n v="1"/>
    <x v="1"/>
    <n v="300746"/>
    <n v="32383831.899999999"/>
    <n v="0"/>
    <s v="4747292 Gl-Rådh"/>
    <m/>
    <n v="154110"/>
    <n v="0"/>
    <n v="57974"/>
  </r>
  <r>
    <x v="0"/>
    <s v="05048-2 / 00140-6"/>
    <s v="Farum Rådhus, RT2"/>
    <n v="5484"/>
    <m/>
    <s v="Farum Rådhus"/>
    <x v="0"/>
    <x v="1"/>
    <x v="0"/>
    <n v="937124.44"/>
    <n v="5"/>
    <m/>
    <n v="0"/>
    <n v="5672"/>
    <n v="165.216487"/>
    <n v="1"/>
    <x v="3"/>
    <n v="1058175.3"/>
    <n v="5610846.3899999997"/>
    <n v="1"/>
    <s v="4747292 Gl-Rådhus"/>
    <m/>
    <n v="26859.399000000001"/>
    <n v="0"/>
    <n v="58291"/>
  </r>
  <r>
    <x v="0"/>
    <s v="05048-2 / 00140-6"/>
    <s v="Farum Rådhus, RT2"/>
    <n v="5484"/>
    <m/>
    <s v="Farum Rådhus"/>
    <x v="0"/>
    <x v="0"/>
    <x v="0"/>
    <n v="0"/>
    <n v="5"/>
    <s v="2005-06-01"/>
    <n v="0"/>
    <n v="5672"/>
    <n v="0"/>
    <n v="1"/>
    <x v="1"/>
    <n v="0"/>
    <n v="0"/>
    <n v="0"/>
    <s v="Ny Rådhus 4107811"/>
    <m/>
    <n v="0"/>
    <n v="0"/>
    <n v="57962"/>
  </r>
  <r>
    <x v="0"/>
    <s v="05048-2 / 00140-6"/>
    <s v="Farum Rådhus, RT2"/>
    <n v="5484"/>
    <m/>
    <s v="Farum Rådhus"/>
    <x v="0"/>
    <x v="1"/>
    <x v="0"/>
    <n v="0"/>
    <n v="5"/>
    <m/>
    <n v="0"/>
    <n v="5672"/>
    <n v="0"/>
    <n v="1"/>
    <x v="3"/>
    <n v="0"/>
    <n v="0"/>
    <n v="1"/>
    <s v="Ny Rådhus 4107811"/>
    <m/>
    <n v="0"/>
    <n v="0"/>
    <n v="58292"/>
  </r>
  <r>
    <x v="0"/>
    <s v="05048-2 / 00140-6"/>
    <s v="Farum Rådhus, RT2"/>
    <n v="5484"/>
    <m/>
    <s v="Farum Rådhus"/>
    <x v="0"/>
    <x v="0"/>
    <x v="1"/>
    <n v="220880"/>
    <n v="12"/>
    <s v="2005-06-01"/>
    <n v="0"/>
    <n v="5672"/>
    <n v="38.941485"/>
    <n v="1"/>
    <x v="1"/>
    <n v="231011.99"/>
    <n v="42737.22"/>
    <n v="0"/>
    <s v="Ny Rådhus 4107811"/>
    <m/>
    <n v="220880"/>
    <n v="0"/>
    <n v="57962"/>
  </r>
  <r>
    <x v="0"/>
    <s v="05048-2 / 00140-6"/>
    <s v="Farum Rådhus, RT2"/>
    <n v="5484"/>
    <m/>
    <s v="Farum Rådhus"/>
    <x v="0"/>
    <x v="0"/>
    <x v="1"/>
    <n v="242885"/>
    <n v="12"/>
    <m/>
    <n v="0"/>
    <n v="5672"/>
    <n v="42.821001000000003"/>
    <n v="1"/>
    <x v="1"/>
    <n v="256615.88"/>
    <n v="47473.93"/>
    <n v="0"/>
    <s v="4747292 Gl-Rådh"/>
    <m/>
    <n v="242885"/>
    <n v="0"/>
    <n v="57974"/>
  </r>
  <r>
    <x v="0"/>
    <s v="05048-2 / 00140-6"/>
    <s v="Farum Rådhus, RT2"/>
    <n v="5484"/>
    <m/>
    <s v="Farum Rådhus"/>
    <x v="0"/>
    <x v="1"/>
    <x v="1"/>
    <n v="259402.44"/>
    <n v="12"/>
    <m/>
    <n v="0"/>
    <n v="5672"/>
    <n v="45.733051000000003"/>
    <n v="1"/>
    <x v="3"/>
    <n v="283541.88"/>
    <n v="1503.44"/>
    <n v="1"/>
    <s v="4747292 Gl-Rådhus"/>
    <m/>
    <n v="7434.8649999999998"/>
    <n v="0"/>
    <n v="58291"/>
  </r>
  <r>
    <x v="0"/>
    <s v="05048-2 / 00140-6"/>
    <s v="Farum Rådhus, RT2"/>
    <n v="5484"/>
    <m/>
    <s v="Farum Rådhus"/>
    <x v="0"/>
    <x v="1"/>
    <x v="1"/>
    <n v="174533.75"/>
    <n v="12"/>
    <m/>
    <n v="0"/>
    <n v="5672"/>
    <n v="30.770568999999998"/>
    <n v="1"/>
    <x v="3"/>
    <n v="188240.01"/>
    <n v="998.12"/>
    <n v="1"/>
    <s v="Ny Rådhus 4107811"/>
    <m/>
    <n v="5002.3999999999996"/>
    <n v="0"/>
    <n v="58292"/>
  </r>
  <r>
    <x v="0"/>
    <s v="05048-2 / 00140-6"/>
    <s v="Farum Rådhus, RT2"/>
    <n v="5484"/>
    <m/>
    <s v="Farum Rådhus"/>
    <x v="0"/>
    <x v="0"/>
    <x v="2"/>
    <n v="219560"/>
    <n v="12"/>
    <s v="2005-06-01"/>
    <n v="0"/>
    <n v="5672"/>
    <n v="38.708767000000002"/>
    <n v="1"/>
    <x v="1"/>
    <n v="230879.31"/>
    <n v="42712.68"/>
    <n v="0"/>
    <s v="Ny Rådhus 4107811"/>
    <m/>
    <n v="219560"/>
    <n v="0"/>
    <n v="57962"/>
  </r>
  <r>
    <x v="0"/>
    <s v="05048-2 / 00140-6"/>
    <s v="Farum Rådhus, RT2"/>
    <n v="5484"/>
    <m/>
    <s v="Farum Rådhus"/>
    <x v="0"/>
    <x v="1"/>
    <x v="2"/>
    <n v="176477.12"/>
    <n v="12"/>
    <m/>
    <n v="0"/>
    <n v="5672"/>
    <n v="31.113188999999998"/>
    <n v="1"/>
    <x v="3"/>
    <n v="187388.96"/>
    <n v="993.63"/>
    <n v="1"/>
    <s v="Ny Rådhus 4107811"/>
    <m/>
    <n v="5058.1000000000004"/>
    <n v="0"/>
    <n v="58292"/>
  </r>
  <r>
    <x v="0"/>
    <s v="05048-2 / 00140-6"/>
    <s v="Farum Rådhus, RT2"/>
    <n v="5484"/>
    <m/>
    <s v="Farum Rådhus"/>
    <x v="0"/>
    <x v="0"/>
    <x v="2"/>
    <n v="282805"/>
    <n v="12"/>
    <m/>
    <n v="0"/>
    <n v="5672"/>
    <n v="49.858958000000001"/>
    <n v="1"/>
    <x v="1"/>
    <n v="300570.59999999998"/>
    <n v="55605.57"/>
    <n v="0"/>
    <s v="4747292 Gl-Rådh"/>
    <m/>
    <n v="282805"/>
    <n v="0"/>
    <n v="57974"/>
  </r>
  <r>
    <x v="0"/>
    <s v="05048-2 / 00140-6"/>
    <s v="Farum Rådhus, RT2"/>
    <n v="5484"/>
    <m/>
    <s v="Farum Rådhus"/>
    <x v="0"/>
    <x v="1"/>
    <x v="2"/>
    <n v="263391.78000000003"/>
    <n v="12"/>
    <m/>
    <n v="0"/>
    <n v="5672"/>
    <n v="46.436377999999998"/>
    <n v="1"/>
    <x v="3"/>
    <n v="274909.71999999997"/>
    <n v="1457.68"/>
    <n v="1"/>
    <s v="4747292 Gl-Rådhus"/>
    <m/>
    <n v="7549.2049999999999"/>
    <n v="0"/>
    <n v="58291"/>
  </r>
  <r>
    <x v="0"/>
    <s v="05048-2 / 00140-6"/>
    <s v="Farum Rådhus, RT2"/>
    <n v="5484"/>
    <m/>
    <s v="Farum Rådhus"/>
    <x v="0"/>
    <x v="0"/>
    <x v="3"/>
    <n v="222130"/>
    <n v="12"/>
    <s v="2005-06-01"/>
    <n v="0"/>
    <n v="5672"/>
    <n v="39.161861999999999"/>
    <n v="1"/>
    <x v="1"/>
    <n v="240825.91"/>
    <n v="44552.800000000003"/>
    <n v="0"/>
    <s v="Ny Rådhus 4107811"/>
    <m/>
    <n v="222129.99799999999"/>
    <n v="0"/>
    <n v="57962"/>
  </r>
  <r>
    <x v="0"/>
    <s v="05048-2 / 00140-6"/>
    <s v="Farum Rådhus, RT2"/>
    <n v="5484"/>
    <m/>
    <s v="Farum Rådhus"/>
    <x v="0"/>
    <x v="1"/>
    <x v="3"/>
    <n v="180796.48"/>
    <n v="12"/>
    <m/>
    <n v="0"/>
    <n v="5672"/>
    <n v="31.874697999999999"/>
    <n v="1"/>
    <x v="3"/>
    <n v="199266.76"/>
    <n v="1056.5899999999999"/>
    <n v="1"/>
    <s v="Ny Rådhus 4107811"/>
    <m/>
    <n v="5181.8999000000003"/>
    <n v="0"/>
    <n v="58292"/>
  </r>
  <r>
    <x v="0"/>
    <s v="05048-2 / 00140-6"/>
    <s v="Farum Rådhus, RT2"/>
    <n v="5484"/>
    <m/>
    <s v="Farum Rådhus"/>
    <x v="0"/>
    <x v="0"/>
    <x v="3"/>
    <n v="243850"/>
    <n v="12"/>
    <m/>
    <n v="0"/>
    <n v="5672"/>
    <n v="42.991132"/>
    <n v="1"/>
    <x v="1"/>
    <n v="268605.53999999998"/>
    <n v="49692.04"/>
    <n v="0"/>
    <s v="4747292 Gl-Rådh"/>
    <m/>
    <n v="243850.008"/>
    <n v="0"/>
    <n v="57974"/>
  </r>
  <r>
    <x v="0"/>
    <s v="05048-2 / 00140-6"/>
    <s v="Farum Rådhus, RT2"/>
    <n v="5484"/>
    <m/>
    <s v="Farum Rådhus"/>
    <x v="0"/>
    <x v="1"/>
    <x v="3"/>
    <n v="384793.44"/>
    <n v="12"/>
    <m/>
    <n v="0"/>
    <n v="5672"/>
    <n v="67.839678000000006"/>
    <n v="1"/>
    <x v="3"/>
    <n v="454030.18"/>
    <n v="2407.44"/>
    <n v="1"/>
    <s v="4747292 Gl-Rådhus"/>
    <m/>
    <n v="11028.76"/>
    <n v="0"/>
    <n v="58291"/>
  </r>
  <r>
    <x v="0"/>
    <s v="05048-2 / 00140-6"/>
    <s v="Farum Rådhus, RT2"/>
    <n v="5484"/>
    <m/>
    <s v="Farum Rådhus"/>
    <x v="0"/>
    <x v="0"/>
    <x v="4"/>
    <n v="305760"/>
    <n v="12"/>
    <s v="2005-06-01"/>
    <n v="0"/>
    <n v="5672"/>
    <n v="53.90596"/>
    <n v="1"/>
    <x v="1"/>
    <n v="278355.18"/>
    <n v="51495.7"/>
    <n v="0"/>
    <s v="Ny Rådhus 4107811"/>
    <m/>
    <n v="305760"/>
    <n v="0"/>
    <n v="57962"/>
  </r>
  <r>
    <x v="0"/>
    <s v="05048-2 / 00140-6"/>
    <s v="Farum Rådhus, RT2"/>
    <n v="5484"/>
    <m/>
    <s v="Farum Rådhus"/>
    <x v="0"/>
    <x v="1"/>
    <x v="4"/>
    <n v="243532.21"/>
    <n v="12"/>
    <m/>
    <n v="0"/>
    <n v="5672"/>
    <n v="42.935105"/>
    <n v="1"/>
    <x v="3"/>
    <n v="220068.5"/>
    <n v="1166.8900000000001"/>
    <n v="1"/>
    <s v="Ny Rådhus 4107811"/>
    <m/>
    <n v="6980.0006000000003"/>
    <n v="0"/>
    <n v="58292"/>
  </r>
  <r>
    <x v="0"/>
    <s v="05048-2 / 00140-6"/>
    <s v="Farum Rådhus, RT2"/>
    <n v="5484"/>
    <m/>
    <s v="Farum Rådhus"/>
    <x v="0"/>
    <x v="0"/>
    <x v="4"/>
    <n v="258639.99"/>
    <n v="12"/>
    <m/>
    <n v="0"/>
    <n v="5672"/>
    <n v="45.59863"/>
    <n v="1"/>
    <x v="1"/>
    <n v="233724.53"/>
    <n v="43239.05"/>
    <n v="0"/>
    <s v="4747292 Gl-Rådh"/>
    <m/>
    <n v="258639.99"/>
    <n v="0"/>
    <n v="57974"/>
  </r>
  <r>
    <x v="0"/>
    <s v="05048-2 / 00140-6"/>
    <s v="Farum Rådhus, RT2"/>
    <n v="5484"/>
    <m/>
    <s v="Farum Rådhus"/>
    <x v="0"/>
    <x v="1"/>
    <x v="4"/>
    <n v="408333.72"/>
    <n v="12"/>
    <m/>
    <n v="0"/>
    <n v="5672"/>
    <n v="71.989866000000006"/>
    <n v="1"/>
    <x v="3"/>
    <n v="411787.28"/>
    <n v="2183.46"/>
    <n v="1"/>
    <s v="4747292 Gl-Rådhus"/>
    <m/>
    <n v="11703.46"/>
    <n v="0"/>
    <n v="58291"/>
  </r>
  <r>
    <x v="0"/>
    <s v="05048-2 / 00140-6"/>
    <s v="Farum Rådhus, RT2"/>
    <n v="5484"/>
    <m/>
    <s v="Farum Rådhus"/>
    <x v="0"/>
    <x v="0"/>
    <x v="5"/>
    <n v="168781.01"/>
    <n v="12"/>
    <s v="2005-06-01"/>
    <n v="0"/>
    <n v="5672"/>
    <n v="29.756353000000001"/>
    <n v="1"/>
    <x v="1"/>
    <n v="179516.26"/>
    <n v="33210.51"/>
    <n v="0"/>
    <s v="Ny Rådhus 4107811"/>
    <m/>
    <n v="168781.01"/>
    <n v="0"/>
    <n v="57962"/>
  </r>
  <r>
    <x v="0"/>
    <s v="05048-2 / 00140-6"/>
    <s v="Farum Rådhus, RT2"/>
    <n v="5484"/>
    <m/>
    <s v="Farum Rådhus"/>
    <x v="0"/>
    <x v="0"/>
    <x v="5"/>
    <n v="214100"/>
    <n v="12"/>
    <m/>
    <n v="0"/>
    <n v="5672"/>
    <n v="37.746161000000001"/>
    <n v="1"/>
    <x v="1"/>
    <n v="228968.55"/>
    <n v="42359.18"/>
    <n v="0"/>
    <s v="4747292 Gl-Rådh"/>
    <m/>
    <n v="214100"/>
    <n v="0"/>
    <n v="57974"/>
  </r>
  <r>
    <x v="0"/>
    <s v="05048-2 / 00140-6"/>
    <s v="Farum Rådhus, RT2"/>
    <n v="5484"/>
    <m/>
    <s v="Farum Rådhus"/>
    <x v="0"/>
    <x v="1"/>
    <x v="5"/>
    <n v="386833.46"/>
    <n v="12"/>
    <m/>
    <n v="0"/>
    <n v="5672"/>
    <n v="68.199337"/>
    <n v="1"/>
    <x v="3"/>
    <n v="497315.52"/>
    <n v="2636.96"/>
    <n v="1"/>
    <s v="4747292 Gl-Rådhus"/>
    <m/>
    <n v="11087.23"/>
    <n v="0"/>
    <n v="58291"/>
  </r>
  <r>
    <x v="0"/>
    <s v="05048-2 / 00140-6"/>
    <s v="Farum Rådhus, RT2"/>
    <n v="5484"/>
    <m/>
    <s v="Farum Rådhus"/>
    <x v="0"/>
    <x v="1"/>
    <x v="5"/>
    <n v="135017.10999999999"/>
    <n v="12"/>
    <m/>
    <n v="0"/>
    <n v="5672"/>
    <n v="23.803725"/>
    <n v="1"/>
    <x v="3"/>
    <n v="150076.88"/>
    <n v="795.77"/>
    <n v="1"/>
    <s v="Ny Rådhus 4107811"/>
    <m/>
    <n v="3869.7935000000002"/>
    <n v="0"/>
    <n v="58292"/>
  </r>
  <r>
    <x v="0"/>
    <s v="05048-2 / 00140-6"/>
    <s v="Farum Rådhus, RT2"/>
    <n v="5484"/>
    <m/>
    <s v="Farum Rådhus"/>
    <x v="0"/>
    <x v="0"/>
    <x v="6"/>
    <n v="260588.98"/>
    <n v="12"/>
    <s v="2005-06-01"/>
    <n v="0"/>
    <n v="5672"/>
    <n v="45.942239999999998"/>
    <n v="1"/>
    <x v="1"/>
    <n v="329778.32"/>
    <n v="61008.98"/>
    <n v="0"/>
    <s v="Ny Rådhus 4107811"/>
    <m/>
    <n v="260588.98"/>
    <n v="0"/>
    <n v="57962"/>
  </r>
  <r>
    <x v="0"/>
    <s v="05048-2 / 00140-6"/>
    <s v="Farum Rådhus, RT2"/>
    <n v="5484"/>
    <m/>
    <s v="Farum Rådhus"/>
    <x v="0"/>
    <x v="1"/>
    <x v="6"/>
    <n v="194525.95"/>
    <n v="12"/>
    <m/>
    <n v="0"/>
    <n v="5672"/>
    <n v="34.295225000000002"/>
    <n v="1"/>
    <x v="3"/>
    <n v="251424.26"/>
    <n v="1333.14"/>
    <n v="1"/>
    <s v="Ny Rådhus 4107811"/>
    <m/>
    <n v="5575.4062000000004"/>
    <n v="0"/>
    <n v="58292"/>
  </r>
  <r>
    <x v="0"/>
    <s v="05048-2 / 00140-6"/>
    <s v="Farum Rådhus, RT2"/>
    <n v="5484"/>
    <m/>
    <s v="Farum Rådhus"/>
    <x v="0"/>
    <x v="0"/>
    <x v="6"/>
    <n v="206630"/>
    <n v="12"/>
    <m/>
    <n v="0"/>
    <n v="5672"/>
    <n v="36.429188000000003"/>
    <n v="1"/>
    <x v="1"/>
    <n v="239554.09"/>
    <n v="44317.5"/>
    <n v="0"/>
    <s v="4747292 Gl-Rådh"/>
    <m/>
    <n v="206630.003"/>
    <n v="0"/>
    <n v="57974"/>
  </r>
  <r>
    <x v="0"/>
    <s v="05048-2 / 00140-6"/>
    <s v="Farum Rådhus, RT2"/>
    <n v="5484"/>
    <m/>
    <s v="Farum Rådhus"/>
    <x v="0"/>
    <x v="1"/>
    <x v="6"/>
    <n v="366067.26"/>
    <n v="12"/>
    <m/>
    <n v="0"/>
    <n v="5672"/>
    <n v="64.538223000000002"/>
    <n v="1"/>
    <x v="3"/>
    <n v="452440.08"/>
    <n v="2399.0100000000002"/>
    <n v="1"/>
    <s v="4747292 Gl-Rådhus"/>
    <m/>
    <n v="10492.0399"/>
    <n v="0"/>
    <n v="58291"/>
  </r>
  <r>
    <x v="0"/>
    <m/>
    <s v="Værløse Rådhus"/>
    <n v="9524"/>
    <m/>
    <s v="Værløse Rådhus Bygn A"/>
    <x v="1"/>
    <x v="0"/>
    <x v="0"/>
    <n v="158410"/>
    <n v="5"/>
    <m/>
    <n v="0"/>
    <n v="2899"/>
    <n v="32.992997000000003"/>
    <n v="1"/>
    <x v="1"/>
    <n v="184641"/>
    <n v="6975.24"/>
    <n v="0"/>
    <s v="7235797"/>
    <m/>
    <n v="95650"/>
    <n v="0"/>
    <n v="74459"/>
  </r>
  <r>
    <x v="0"/>
    <m/>
    <s v="Værløse Rådhus"/>
    <n v="9524"/>
    <m/>
    <s v="Værløse Rådhus Bygn A"/>
    <x v="1"/>
    <x v="1"/>
    <x v="0"/>
    <n v="107066.93"/>
    <n v="5"/>
    <m/>
    <n v="0"/>
    <n v="2899"/>
    <n v="36.931092"/>
    <n v="1"/>
    <x v="3"/>
    <n v="122411.03"/>
    <n v="224.54"/>
    <n v="1"/>
    <m/>
    <m/>
    <n v="3068.7"/>
    <n v="74459"/>
    <n v="74460"/>
  </r>
  <r>
    <x v="0"/>
    <m/>
    <s v="Værløse Rådhus"/>
    <n v="9524"/>
    <m/>
    <s v="Værløse Rådhus Bygn A"/>
    <x v="1"/>
    <x v="0"/>
    <x v="1"/>
    <n v="129490"/>
    <n v="12"/>
    <m/>
    <n v="0"/>
    <n v="2899"/>
    <n v="44.665585"/>
    <n v="1"/>
    <x v="1"/>
    <n v="135453.51"/>
    <n v="8669.02"/>
    <n v="0"/>
    <s v="7235797"/>
    <m/>
    <n v="129490"/>
    <n v="0"/>
    <n v="74459"/>
  </r>
  <r>
    <x v="0"/>
    <m/>
    <s v="Værløse Rådhus"/>
    <n v="9524"/>
    <m/>
    <s v="Værløse Rådhus Bygn A"/>
    <x v="1"/>
    <x v="1"/>
    <x v="1"/>
    <n v="145533.16"/>
    <n v="12"/>
    <m/>
    <n v="0"/>
    <n v="2899"/>
    <n v="50.199427"/>
    <n v="1"/>
    <x v="3"/>
    <n v="152875.74"/>
    <n v="280.45"/>
    <n v="1"/>
    <m/>
    <m/>
    <n v="4171.2"/>
    <n v="74459"/>
    <n v="74460"/>
  </r>
  <r>
    <x v="0"/>
    <m/>
    <s v="Værløse Rådhus"/>
    <n v="9524"/>
    <m/>
    <s v="Værløse Rådhus Bygn A"/>
    <x v="1"/>
    <x v="0"/>
    <x v="2"/>
    <n v="116476.31"/>
    <n v="12"/>
    <m/>
    <n v="0"/>
    <n v="2899"/>
    <n v="40.176712999999999"/>
    <n v="1"/>
    <x v="1"/>
    <n v="121841.34"/>
    <n v="22540.65"/>
    <n v="0"/>
    <s v="7235797"/>
    <m/>
    <n v="116476.31"/>
    <n v="0"/>
    <n v="74459"/>
  </r>
  <r>
    <x v="0"/>
    <m/>
    <s v="Værløse Rådhus"/>
    <n v="9524"/>
    <m/>
    <s v="Værløse Rådhus Bygn A"/>
    <x v="1"/>
    <x v="1"/>
    <x v="2"/>
    <n v="109589.48"/>
    <n v="12"/>
    <m/>
    <n v="0"/>
    <n v="2899"/>
    <n v="37.801206999999998"/>
    <n v="1"/>
    <x v="3"/>
    <n v="113831.69"/>
    <n v="603.57000000000005"/>
    <n v="1"/>
    <m/>
    <m/>
    <n v="3141"/>
    <n v="74459"/>
    <n v="74460"/>
  </r>
  <r>
    <x v="0"/>
    <m/>
    <s v="Værløse Rådhus"/>
    <n v="9524"/>
    <m/>
    <s v="Værløse Rådhus Bygn A"/>
    <x v="1"/>
    <x v="0"/>
    <x v="3"/>
    <n v="121383.7"/>
    <n v="12"/>
    <m/>
    <n v="0"/>
    <n v="2899"/>
    <n v="41.869441999999999"/>
    <n v="1"/>
    <x v="1"/>
    <n v="130873.11"/>
    <n v="24211.53"/>
    <n v="0"/>
    <s v="7235797"/>
    <m/>
    <n v="121383.7"/>
    <n v="0"/>
    <n v="74459"/>
  </r>
  <r>
    <x v="0"/>
    <m/>
    <s v="Værløse Rådhus"/>
    <n v="9524"/>
    <m/>
    <s v="Værløse Rådhus Bygn A"/>
    <x v="1"/>
    <x v="1"/>
    <x v="3"/>
    <n v="109812.78"/>
    <n v="12"/>
    <m/>
    <n v="0"/>
    <n v="2899"/>
    <n v="37.878231"/>
    <n v="1"/>
    <x v="3"/>
    <n v="118496.77"/>
    <n v="628.30999999999995"/>
    <n v="1"/>
    <m/>
    <m/>
    <n v="3147.4"/>
    <n v="74459"/>
    <n v="74460"/>
  </r>
  <r>
    <x v="0"/>
    <m/>
    <s v="Værløse Rådhus"/>
    <n v="9524"/>
    <m/>
    <s v="Værløse Rådhus Bygn A"/>
    <x v="1"/>
    <x v="0"/>
    <x v="4"/>
    <n v="164070.01"/>
    <n v="12"/>
    <m/>
    <n v="0"/>
    <n v="2899"/>
    <n v="56.593428000000003"/>
    <n v="1"/>
    <x v="1"/>
    <n v="149302.91"/>
    <n v="27621.02"/>
    <n v="0"/>
    <s v="7235797"/>
    <m/>
    <n v="164070.00099999999"/>
    <n v="0"/>
    <n v="74459"/>
  </r>
  <r>
    <x v="0"/>
    <m/>
    <s v="Værløse Rådhus"/>
    <n v="9524"/>
    <m/>
    <s v="Værløse Rådhus Bygn A"/>
    <x v="1"/>
    <x v="1"/>
    <x v="4"/>
    <n v="177010.94"/>
    <n v="12"/>
    <m/>
    <n v="0"/>
    <n v="2899"/>
    <n v="61.057203000000001"/>
    <n v="1"/>
    <x v="3"/>
    <n v="161760.95999999999"/>
    <n v="857.71"/>
    <n v="1"/>
    <m/>
    <m/>
    <n v="5073.3999999999996"/>
    <n v="74459"/>
    <n v="74460"/>
  </r>
  <r>
    <x v="0"/>
    <m/>
    <s v="Værløse Rådhus"/>
    <n v="9524"/>
    <m/>
    <s v="Værløse Rådhus Bygn A"/>
    <x v="1"/>
    <x v="0"/>
    <x v="5"/>
    <n v="140340"/>
    <n v="12"/>
    <m/>
    <n v="0"/>
    <n v="2899"/>
    <n v="48.408126000000003"/>
    <n v="1"/>
    <x v="1"/>
    <n v="148953.85999999999"/>
    <n v="27556.46"/>
    <n v="0"/>
    <s v="7235797"/>
    <m/>
    <n v="140340"/>
    <n v="0"/>
    <n v="74459"/>
  </r>
  <r>
    <x v="0"/>
    <m/>
    <s v="Værløse Rådhus"/>
    <n v="9524"/>
    <m/>
    <s v="Værløse Rådhus Bygn A"/>
    <x v="1"/>
    <x v="1"/>
    <x v="5"/>
    <n v="196210.9"/>
    <n v="12"/>
    <m/>
    <n v="0"/>
    <n v="2899"/>
    <n v="67.679935"/>
    <n v="1"/>
    <x v="3"/>
    <n v="243722.8"/>
    <n v="1292.32"/>
    <n v="1"/>
    <m/>
    <m/>
    <n v="5623.7"/>
    <n v="74459"/>
    <n v="74460"/>
  </r>
  <r>
    <x v="0"/>
    <m/>
    <s v="Værløse Rådhus"/>
    <n v="9524"/>
    <m/>
    <s v="Værløse Rådhus Bygn A"/>
    <x v="1"/>
    <x v="0"/>
    <x v="6"/>
    <n v="126260"/>
    <n v="12"/>
    <m/>
    <n v="0"/>
    <n v="2899"/>
    <n v="43.551447000000003"/>
    <n v="1"/>
    <x v="1"/>
    <n v="143880.32000000001"/>
    <n v="26617.86"/>
    <n v="0"/>
    <s v="7235797"/>
    <m/>
    <n v="126260"/>
    <n v="0"/>
    <n v="74459"/>
  </r>
  <r>
    <x v="0"/>
    <m/>
    <s v="Værløse Rådhus"/>
    <n v="9524"/>
    <m/>
    <s v="Værløse Rådhus Bygn A"/>
    <x v="1"/>
    <x v="1"/>
    <x v="6"/>
    <n v="143038.53"/>
    <n v="12"/>
    <m/>
    <n v="0"/>
    <n v="2899"/>
    <n v="49.338943"/>
    <n v="1"/>
    <x v="3"/>
    <n v="161194.9"/>
    <n v="854.73"/>
    <n v="1"/>
    <m/>
    <m/>
    <n v="4099.7"/>
    <n v="74459"/>
    <n v="74460"/>
  </r>
  <r>
    <x v="0"/>
    <s v="05048-2 / 00140-6"/>
    <s v="Farum Rådhus, RT2"/>
    <n v="5484"/>
    <m/>
    <s v="Farum Rådhus"/>
    <x v="0"/>
    <x v="0"/>
    <x v="5"/>
    <n v="262974.08000000002"/>
    <n v="12"/>
    <s v="2005-06-01"/>
    <n v="0"/>
    <n v="5672"/>
    <n v="46.362735999999998"/>
    <n v="2"/>
    <x v="2"/>
    <n v="262974.08000000002"/>
    <n v="123334.85"/>
    <n v="0"/>
    <s v="49312"/>
    <s v="5713131 74112462363"/>
    <n v="262974.05963999999"/>
    <n v="0"/>
    <n v="57961"/>
  </r>
  <r>
    <x v="0"/>
    <s v="05048-2 / 00140-6"/>
    <s v="Farum Rådhus, RT2"/>
    <n v="5484"/>
    <m/>
    <s v="Farum Rådhus"/>
    <x v="0"/>
    <x v="0"/>
    <x v="4"/>
    <n v="228726.5"/>
    <n v="12"/>
    <s v="2005-06-01"/>
    <n v="0"/>
    <n v="5672"/>
    <n v="40.324835"/>
    <n v="2"/>
    <x v="2"/>
    <n v="228726.5"/>
    <n v="107272.74"/>
    <n v="0"/>
    <s v="49312"/>
    <s v="5713131 74112462363"/>
    <n v="228726.49609"/>
    <n v="0"/>
    <n v="57961"/>
  </r>
  <r>
    <x v="0"/>
    <s v="05048-2 / 00140-6"/>
    <s v="Farum Rådhus, RT2"/>
    <n v="5484"/>
    <m/>
    <s v="Farum Rådhus"/>
    <x v="0"/>
    <x v="0"/>
    <x v="3"/>
    <n v="191558.04"/>
    <n v="12"/>
    <s v="2005-06-01"/>
    <n v="0"/>
    <n v="5672"/>
    <n v="33.771977999999997"/>
    <n v="2"/>
    <x v="2"/>
    <n v="191558.04"/>
    <n v="89840.72"/>
    <n v="0"/>
    <s v="49312"/>
    <s v="5713131 74112462363"/>
    <n v="191558.02997999999"/>
    <n v="0"/>
    <n v="57961"/>
  </r>
  <r>
    <x v="0"/>
    <s v="05048-2 / 00140-6"/>
    <s v="Farum Rådhus, RT2"/>
    <n v="5484"/>
    <m/>
    <s v="Farum Rådhus"/>
    <x v="0"/>
    <x v="0"/>
    <x v="2"/>
    <n v="168797.46"/>
    <n v="12"/>
    <s v="2005-06-01"/>
    <n v="0"/>
    <n v="5672"/>
    <n v="29.759253000000001"/>
    <n v="2"/>
    <x v="2"/>
    <n v="168797.46"/>
    <n v="67518.98"/>
    <n v="0"/>
    <s v="49312"/>
    <s v="5713131 74112462363"/>
    <n v="168797.46"/>
    <n v="0"/>
    <n v="57961"/>
  </r>
  <r>
    <x v="0"/>
    <s v="05048-2 / 00140-6"/>
    <s v="Farum Rådhus, RT2"/>
    <n v="5484"/>
    <m/>
    <s v="Farum Rådhus"/>
    <x v="0"/>
    <x v="0"/>
    <x v="1"/>
    <n v="161509.57"/>
    <n v="12"/>
    <s v="2005-06-01"/>
    <n v="0"/>
    <n v="5672"/>
    <n v="28.474385999999999"/>
    <n v="2"/>
    <x v="2"/>
    <n v="161509.57"/>
    <n v="64603.83"/>
    <n v="0"/>
    <s v="49312"/>
    <s v="5713131 74112462363"/>
    <n v="161509.57"/>
    <n v="0"/>
    <n v="57961"/>
  </r>
  <r>
    <x v="0"/>
    <s v="05048-2 / 00140-6"/>
    <s v="Farum Rådhus, RT2"/>
    <n v="5484"/>
    <m/>
    <s v="Farum Rådhus"/>
    <x v="0"/>
    <x v="0"/>
    <x v="7"/>
    <n v="161625.57"/>
    <n v="12"/>
    <s v="2005-06-01"/>
    <n v="0"/>
    <n v="5672"/>
    <n v="28.494837"/>
    <n v="2"/>
    <x v="2"/>
    <n v="161625.57"/>
    <n v="64650.22"/>
    <n v="0"/>
    <s v="49312"/>
    <s v="5713131 74112462363"/>
    <n v="161625.568"/>
    <n v="0"/>
    <n v="57961"/>
  </r>
  <r>
    <x v="0"/>
    <s v="05048-2 / 00140-6"/>
    <s v="Farum Rådhus, RT2"/>
    <n v="5484"/>
    <m/>
    <s v="Farum Rådhus"/>
    <x v="0"/>
    <x v="0"/>
    <x v="0"/>
    <n v="142770"/>
    <n v="5"/>
    <s v="2005-06-01"/>
    <n v="0"/>
    <n v="5672"/>
    <n v="11.087897999999999"/>
    <n v="2"/>
    <x v="2"/>
    <n v="62891.67"/>
    <n v="25156.65"/>
    <n v="0"/>
    <s v="49312"/>
    <s v="5713131 74112462363"/>
    <n v="62891.66"/>
    <n v="0"/>
    <n v="57961"/>
  </r>
  <r>
    <x v="0"/>
    <m/>
    <s v="Værløse Rådhus"/>
    <n v="13925"/>
    <s v="0"/>
    <s v="Bygn B+C pav"/>
    <x v="1"/>
    <x v="0"/>
    <x v="6"/>
    <n v="44328.94"/>
    <n v="12"/>
    <s v="2007-11-30"/>
    <n v="0"/>
    <n v="2349"/>
    <n v="18.870605000000001"/>
    <n v="2"/>
    <x v="2"/>
    <n v="44328.94"/>
    <n v="20790.259999999998"/>
    <n v="0"/>
    <s v="024148"/>
    <s v="74110485920"/>
    <n v="44328.94"/>
    <n v="0"/>
    <n v="76856"/>
  </r>
  <r>
    <x v="0"/>
    <m/>
    <s v="Værløse Rådhus"/>
    <n v="9524"/>
    <m/>
    <s v="Værløse Rådhus Bygn A"/>
    <x v="1"/>
    <x v="0"/>
    <x v="6"/>
    <n v="414339.3"/>
    <n v="12"/>
    <s v="2007-11-30"/>
    <n v="0"/>
    <n v="2899"/>
    <n v="142.91997499999999"/>
    <n v="2"/>
    <x v="2"/>
    <n v="414339.3"/>
    <n v="194325.13"/>
    <n v="0"/>
    <s v="0160016"/>
    <m/>
    <n v="414339.3"/>
    <n v="0"/>
    <n v="76870"/>
  </r>
  <r>
    <x v="0"/>
    <m/>
    <s v="Værløse Rådhus"/>
    <n v="13925"/>
    <s v="0"/>
    <s v="Bygn B+C pav"/>
    <x v="1"/>
    <x v="0"/>
    <x v="5"/>
    <n v="77353.48"/>
    <n v="12"/>
    <s v="2007-11-30"/>
    <n v="0"/>
    <n v="2349"/>
    <n v="32.928984999999997"/>
    <n v="2"/>
    <x v="2"/>
    <n v="77353.48"/>
    <n v="36278.78"/>
    <n v="0"/>
    <s v="024148"/>
    <s v="74110485920"/>
    <n v="77353.48"/>
    <n v="0"/>
    <n v="76856"/>
  </r>
  <r>
    <x v="0"/>
    <m/>
    <s v="Værløse Rådhus"/>
    <n v="9524"/>
    <m/>
    <s v="Værløse Rådhus Bygn A"/>
    <x v="1"/>
    <x v="0"/>
    <x v="5"/>
    <n v="354205.72"/>
    <n v="12"/>
    <s v="2007-11-30"/>
    <n v="0"/>
    <n v="2899"/>
    <n v="122.17782"/>
    <n v="2"/>
    <x v="2"/>
    <n v="354205.72"/>
    <n v="166122.48000000001"/>
    <n v="0"/>
    <s v="0160016"/>
    <m/>
    <n v="354205.72"/>
    <n v="0"/>
    <n v="76870"/>
  </r>
  <r>
    <x v="0"/>
    <m/>
    <s v="Værløse Rådhus"/>
    <n v="13925"/>
    <s v="0"/>
    <s v="Bygn B+C pav"/>
    <x v="1"/>
    <x v="0"/>
    <x v="4"/>
    <n v="94349.84"/>
    <n v="12"/>
    <s v="2007-11-30"/>
    <n v="0"/>
    <n v="2349"/>
    <n v="40.164250000000003"/>
    <n v="2"/>
    <x v="2"/>
    <n v="94349.84"/>
    <n v="44250.07"/>
    <n v="0"/>
    <s v="024148"/>
    <s v="74110485920"/>
    <n v="94349.84"/>
    <n v="0"/>
    <n v="76856"/>
  </r>
  <r>
    <x v="0"/>
    <m/>
    <s v="Værløse Rådhus"/>
    <n v="9524"/>
    <m/>
    <s v="Værløse Rådhus Bygn A"/>
    <x v="1"/>
    <x v="0"/>
    <x v="4"/>
    <n v="363640.61"/>
    <n v="12"/>
    <s v="2007-11-30"/>
    <n v="0"/>
    <n v="2899"/>
    <n v="125.432241"/>
    <n v="2"/>
    <x v="2"/>
    <n v="363640.61"/>
    <n v="170547.45"/>
    <n v="0"/>
    <s v="0160016"/>
    <m/>
    <n v="363640.61"/>
    <n v="0"/>
    <n v="76870"/>
  </r>
  <r>
    <x v="0"/>
    <m/>
    <s v="Værløse Rådhus"/>
    <n v="13925"/>
    <s v="0"/>
    <s v="Bygn B+C pav"/>
    <x v="1"/>
    <x v="0"/>
    <x v="3"/>
    <n v="38499.24"/>
    <n v="12"/>
    <s v="2007-11-30"/>
    <n v="0"/>
    <n v="2349"/>
    <n v="16.388930999999999"/>
    <n v="2"/>
    <x v="2"/>
    <n v="38499.24"/>
    <n v="18056.14"/>
    <n v="0"/>
    <s v="024148"/>
    <s v="74110485920"/>
    <n v="38499.24"/>
    <n v="0"/>
    <n v="76856"/>
  </r>
  <r>
    <x v="0"/>
    <m/>
    <s v="Værløse Rådhus"/>
    <n v="9524"/>
    <m/>
    <s v="Værløse Rådhus Bygn A"/>
    <x v="1"/>
    <x v="0"/>
    <x v="3"/>
    <n v="333483.59999999998"/>
    <n v="12"/>
    <s v="2007-11-30"/>
    <n v="0"/>
    <n v="2899"/>
    <n v="115.03004300000001"/>
    <n v="2"/>
    <x v="2"/>
    <n v="333483.59999999998"/>
    <n v="156403.81"/>
    <n v="0"/>
    <s v="0160016"/>
    <m/>
    <n v="333483.59999999998"/>
    <n v="0"/>
    <n v="76870"/>
  </r>
  <r>
    <x v="0"/>
    <m/>
    <s v="Værløse Rådhus"/>
    <n v="13925"/>
    <s v="0"/>
    <s v="Bygn B+C pav"/>
    <x v="1"/>
    <x v="0"/>
    <x v="2"/>
    <n v="139838.37"/>
    <n v="12"/>
    <s v="2007-11-30"/>
    <n v="0"/>
    <n v="2349"/>
    <n v="59.528486999999998"/>
    <n v="2"/>
    <x v="2"/>
    <n v="139838.37"/>
    <n v="55935.34"/>
    <n v="0"/>
    <s v="024148"/>
    <s v="74110485920"/>
    <n v="139838.37100000001"/>
    <n v="0"/>
    <n v="76856"/>
  </r>
  <r>
    <x v="0"/>
    <m/>
    <s v="Værløse Rådhus"/>
    <n v="9524"/>
    <m/>
    <s v="Værløse Rådhus Bygn A"/>
    <x v="1"/>
    <x v="0"/>
    <x v="2"/>
    <n v="193933.44"/>
    <n v="12"/>
    <s v="2007-11-30"/>
    <n v="0"/>
    <n v="2899"/>
    <n v="66.894360000000006"/>
    <n v="2"/>
    <x v="2"/>
    <n v="193933.44"/>
    <n v="77573.37"/>
    <n v="0"/>
    <s v="0160016"/>
    <m/>
    <n v="193933.43272000001"/>
    <n v="0"/>
    <n v="76870"/>
  </r>
  <r>
    <x v="0"/>
    <m/>
    <s v="Værløse Rådhus"/>
    <n v="9524"/>
    <m/>
    <s v="Værløse Rådhus Bygn A"/>
    <x v="1"/>
    <x v="0"/>
    <x v="2"/>
    <n v="22660.31"/>
    <n v="7"/>
    <s v="2015-02-10"/>
    <n v="0"/>
    <n v="2899"/>
    <n v="7.816325"/>
    <n v="2"/>
    <x v="2"/>
    <n v="22660.31"/>
    <n v="9064.1299999999992"/>
    <n v="0"/>
    <s v="aircon serverrum"/>
    <m/>
    <n v="22660.316279999999"/>
    <n v="0"/>
    <n v="92402"/>
  </r>
  <r>
    <x v="0"/>
    <m/>
    <s v="Værløse Rådhus"/>
    <n v="13925"/>
    <s v="0"/>
    <s v="Bygn B+C pav"/>
    <x v="1"/>
    <x v="0"/>
    <x v="1"/>
    <n v="124177.7"/>
    <n v="12"/>
    <s v="2007-11-30"/>
    <n v="0"/>
    <n v="2349"/>
    <n v="52.861818999999997"/>
    <n v="2"/>
    <x v="2"/>
    <n v="124177.7"/>
    <n v="37253.31"/>
    <n v="0"/>
    <s v="024148"/>
    <s v="74110485920"/>
    <n v="124177.7"/>
    <n v="0"/>
    <n v="76856"/>
  </r>
  <r>
    <x v="0"/>
    <m/>
    <s v="Værløse Rådhus"/>
    <n v="9524"/>
    <m/>
    <s v="Værløse Rådhus Bygn A"/>
    <x v="1"/>
    <x v="0"/>
    <x v="1"/>
    <n v="163200.82"/>
    <n v="12"/>
    <s v="2007-11-30"/>
    <n v="0"/>
    <n v="2899"/>
    <n v="56.293615000000003"/>
    <n v="2"/>
    <x v="2"/>
    <n v="163200.82"/>
    <n v="48960.25"/>
    <n v="0"/>
    <s v="0160016"/>
    <m/>
    <n v="163200.82185000001"/>
    <n v="0"/>
    <n v="76870"/>
  </r>
  <r>
    <x v="0"/>
    <m/>
    <s v="Værløse Rådhus"/>
    <n v="9524"/>
    <m/>
    <s v="Værløse Rådhus Bygn A"/>
    <x v="1"/>
    <x v="0"/>
    <x v="1"/>
    <n v="43208.08"/>
    <n v="8"/>
    <s v="2015-02-10"/>
    <n v="0"/>
    <n v="2899"/>
    <n v="14.903962999999999"/>
    <n v="2"/>
    <x v="2"/>
    <n v="43208.08"/>
    <n v="12962.42"/>
    <n v="0"/>
    <s v="aircon serverrum"/>
    <m/>
    <n v="43208.078150000001"/>
    <n v="0"/>
    <n v="92402"/>
  </r>
  <r>
    <x v="0"/>
    <m/>
    <s v="Værløse Rådhus"/>
    <n v="13925"/>
    <s v="0"/>
    <s v="Bygn B+C pav"/>
    <x v="1"/>
    <x v="0"/>
    <x v="7"/>
    <n v="87968.24"/>
    <n v="12"/>
    <s v="2007-11-30"/>
    <n v="0"/>
    <n v="2349"/>
    <n v="37.447634999999998"/>
    <n v="2"/>
    <x v="2"/>
    <n v="87968.24"/>
    <n v="26390.47"/>
    <n v="0"/>
    <s v="024148"/>
    <s v="74110485920"/>
    <n v="87968.24"/>
    <n v="0"/>
    <n v="76856"/>
  </r>
  <r>
    <x v="0"/>
    <m/>
    <s v="Værløse Rådhus"/>
    <n v="9524"/>
    <m/>
    <s v="Værløse Rådhus Bygn A"/>
    <x v="1"/>
    <x v="1"/>
    <x v="7"/>
    <n v="39218.33"/>
    <n v="2"/>
    <s v="2015-02-10"/>
    <n v="0"/>
    <n v="2899"/>
    <n v="13.527760000000001"/>
    <n v="2"/>
    <x v="2"/>
    <n v="39218.33"/>
    <n v="11765.5"/>
    <n v="1"/>
    <s v="BI Serverrum"/>
    <m/>
    <n v="39218.330349999997"/>
    <n v="0"/>
    <n v="96538"/>
  </r>
  <r>
    <x v="0"/>
    <m/>
    <s v="Værløse Rådhus"/>
    <n v="9524"/>
    <m/>
    <s v="Værløse Rådhus Bygn A"/>
    <x v="1"/>
    <x v="0"/>
    <x v="7"/>
    <n v="204726.99"/>
    <n v="12"/>
    <s v="2007-11-30"/>
    <n v="0"/>
    <n v="2899"/>
    <n v="70.617429000000001"/>
    <n v="2"/>
    <x v="2"/>
    <n v="204726.99"/>
    <n v="61418.09"/>
    <n v="0"/>
    <s v="0160016"/>
    <m/>
    <n v="204726.99176"/>
    <n v="0"/>
    <n v="76870"/>
  </r>
  <r>
    <x v="0"/>
    <m/>
    <s v="Værløse Rådhus"/>
    <n v="9524"/>
    <m/>
    <s v="Værløse Rådhus Bygn A"/>
    <x v="1"/>
    <x v="0"/>
    <x v="7"/>
    <n v="45629.01"/>
    <n v="6"/>
    <s v="2015-02-10"/>
    <n v="0"/>
    <n v="2899"/>
    <n v="15.739025"/>
    <n v="2"/>
    <x v="2"/>
    <n v="45629.01"/>
    <n v="13688.71"/>
    <n v="0"/>
    <s v="aircon serverrum"/>
    <m/>
    <n v="45629.008240000003"/>
    <n v="0"/>
    <n v="92402"/>
  </r>
  <r>
    <x v="0"/>
    <m/>
    <s v="Værløse Rådhus"/>
    <n v="9524"/>
    <m/>
    <s v="Værløse Rådhus Bygn A"/>
    <x v="1"/>
    <x v="1"/>
    <x v="7"/>
    <n v="128970.89"/>
    <n v="12"/>
    <m/>
    <n v="0"/>
    <n v="2899"/>
    <n v="44.486525999999998"/>
    <n v="1"/>
    <x v="3"/>
    <n v="153385.26999999999"/>
    <n v="281.36"/>
    <n v="1"/>
    <m/>
    <m/>
    <n v="3696.5"/>
    <n v="74459"/>
    <n v="74460"/>
  </r>
  <r>
    <x v="0"/>
    <m/>
    <s v="Værløse Rådhus"/>
    <n v="13925"/>
    <s v="0"/>
    <s v="Bygn B+C pav"/>
    <x v="1"/>
    <x v="0"/>
    <x v="7"/>
    <n v="591.4"/>
    <n v="12"/>
    <s v="2007-11-30"/>
    <n v="0"/>
    <n v="2349"/>
    <n v="0.25175500000000001"/>
    <n v="3"/>
    <x v="0"/>
    <n v="591.4"/>
    <n v="473.13"/>
    <n v="0"/>
    <s v="Byg B-C 01PC502538"/>
    <m/>
    <n v="591.40499999999997"/>
    <n v="0"/>
    <n v="77030"/>
  </r>
  <r>
    <x v="0"/>
    <m/>
    <s v="Værløse Rådhus"/>
    <n v="9524"/>
    <m/>
    <s v="Værløse Rådhus Bygn A"/>
    <x v="1"/>
    <x v="0"/>
    <x v="7"/>
    <n v="556.41"/>
    <n v="12"/>
    <s v="2007-11-30"/>
    <n v="0"/>
    <n v="2899"/>
    <n v="0.19192500000000001"/>
    <n v="3"/>
    <x v="0"/>
    <n v="556.41"/>
    <n v="445.11"/>
    <n v="0"/>
    <s v="Byg A 44860"/>
    <m/>
    <n v="556.40800000000002"/>
    <n v="0"/>
    <n v="77029"/>
  </r>
  <r>
    <x v="0"/>
    <m/>
    <s v="Værløse Rådhus"/>
    <n v="9524"/>
    <m/>
    <s v="Værløse Rådhus Bygn A"/>
    <x v="1"/>
    <x v="0"/>
    <x v="7"/>
    <n v="125350"/>
    <n v="12"/>
    <m/>
    <n v="0"/>
    <n v="2899"/>
    <n v="39.788209999999999"/>
    <n v="1"/>
    <x v="1"/>
    <n v="147742.20000000001"/>
    <n v="8815.5"/>
    <n v="0"/>
    <s v="7235797"/>
    <m/>
    <n v="115350"/>
    <n v="0"/>
    <n v="74459"/>
  </r>
  <r>
    <x v="0"/>
    <m/>
    <s v="Værløse Rådhus"/>
    <n v="13925"/>
    <s v="0"/>
    <s v="Bygn B+C pav"/>
    <x v="1"/>
    <x v="0"/>
    <x v="0"/>
    <n v="93204"/>
    <n v="5"/>
    <s v="2007-11-30"/>
    <n v="0"/>
    <n v="2349"/>
    <n v="24.918402"/>
    <n v="2"/>
    <x v="2"/>
    <n v="58535.82"/>
    <n v="17560.740000000002"/>
    <n v="0"/>
    <s v="024148"/>
    <s v="74110485920"/>
    <n v="58535.82"/>
    <n v="0"/>
    <n v="76856"/>
  </r>
  <r>
    <x v="0"/>
    <m/>
    <s v="Værløse Rådhus"/>
    <n v="9524"/>
    <m/>
    <s v="Værløse Rådhus Bygn A"/>
    <x v="1"/>
    <x v="0"/>
    <x v="0"/>
    <n v="0"/>
    <n v="2"/>
    <s v="2015-02-10"/>
    <n v="0"/>
    <n v="2899"/>
    <n v="1.729295"/>
    <n v="2"/>
    <x v="2"/>
    <n v="5013.3999999999996"/>
    <n v="1504.02"/>
    <n v="0"/>
    <s v="aircon serverrum"/>
    <m/>
    <n v="5013.39732"/>
    <n v="0"/>
    <n v="92402"/>
  </r>
  <r>
    <x v="0"/>
    <m/>
    <s v="Værløse Rådhus"/>
    <n v="9524"/>
    <m/>
    <s v="Værløse Rådhus Bygn A"/>
    <x v="1"/>
    <x v="1"/>
    <x v="0"/>
    <n v="0"/>
    <n v="2"/>
    <s v="2015-02-10"/>
    <n v="0"/>
    <n v="2899"/>
    <n v="3.9992299999999998"/>
    <n v="2"/>
    <x v="2"/>
    <n v="11594.17"/>
    <n v="3478.25"/>
    <n v="1"/>
    <s v="BI Serverrum"/>
    <m/>
    <n v="11594.16964"/>
    <n v="0"/>
    <n v="96538"/>
  </r>
  <r>
    <x v="0"/>
    <m/>
    <s v="Værløse Rådhus"/>
    <n v="9524"/>
    <m/>
    <s v="Værløse Rådhus Bygn A"/>
    <x v="1"/>
    <x v="0"/>
    <x v="0"/>
    <n v="246840"/>
    <n v="5"/>
    <s v="2007-11-30"/>
    <n v="0"/>
    <n v="2899"/>
    <n v="32.954813000000001"/>
    <n v="2"/>
    <x v="2"/>
    <n v="95539.3"/>
    <n v="28661.79"/>
    <n v="0"/>
    <s v="0160016"/>
    <m/>
    <n v="95539.302679999993"/>
    <n v="0"/>
    <n v="76870"/>
  </r>
  <r>
    <x v="1"/>
    <m/>
    <s v="Bjørnsholm SOLGT 2014"/>
    <n v="10227"/>
    <m/>
    <s v="Bjørnsholm"/>
    <x v="2"/>
    <x v="1"/>
    <x v="1"/>
    <n v="32.01"/>
    <n v="4"/>
    <s v="2014-07-01"/>
    <n v="0"/>
    <n v="260"/>
    <n v="0.123068"/>
    <n v="3"/>
    <x v="0"/>
    <n v="32.01"/>
    <n v="25.63"/>
    <n v="0"/>
    <s v="44961"/>
    <m/>
    <n v="32.022880000000001"/>
    <n v="0"/>
    <n v="77470"/>
  </r>
  <r>
    <x v="1"/>
    <m/>
    <s v="Bjørnsholm SOLGT 2014"/>
    <n v="10227"/>
    <m/>
    <s v="Bjørnsholm"/>
    <x v="2"/>
    <x v="1"/>
    <x v="2"/>
    <n v="35.549999999999997"/>
    <n v="5"/>
    <s v="2014-07-01"/>
    <n v="0"/>
    <n v="260"/>
    <n v="0.13667799999999999"/>
    <n v="3"/>
    <x v="0"/>
    <n v="35.549999999999997"/>
    <n v="28.46"/>
    <n v="0"/>
    <s v="44961"/>
    <m/>
    <n v="35.555300000000003"/>
    <n v="0"/>
    <n v="77470"/>
  </r>
  <r>
    <x v="1"/>
    <m/>
    <s v="Bjørnsholm SOLGT 2014"/>
    <n v="10227"/>
    <m/>
    <s v="Bjørnsholm"/>
    <x v="2"/>
    <x v="1"/>
    <x v="3"/>
    <n v="143.41"/>
    <n v="2"/>
    <s v="2014-07-01"/>
    <n v="0"/>
    <n v="260"/>
    <n v="0.55136399999999997"/>
    <n v="3"/>
    <x v="0"/>
    <n v="143.41"/>
    <n v="114.7"/>
    <n v="0"/>
    <s v="44961"/>
    <m/>
    <n v="143.38570000000001"/>
    <n v="0"/>
    <n v="77470"/>
  </r>
  <r>
    <x v="1"/>
    <m/>
    <s v="Bjørnsholm SOLGT 2014"/>
    <n v="10227"/>
    <m/>
    <s v="Bjørnsholm"/>
    <x v="2"/>
    <x v="1"/>
    <x v="4"/>
    <n v="33.26"/>
    <n v="2"/>
    <s v="2014-07-01"/>
    <n v="0"/>
    <n v="260"/>
    <n v="0.12787299999999999"/>
    <n v="3"/>
    <x v="0"/>
    <n v="33.26"/>
    <n v="26.62"/>
    <n v="0"/>
    <s v="44961"/>
    <m/>
    <n v="33.23912"/>
    <n v="0"/>
    <n v="77470"/>
  </r>
  <r>
    <x v="1"/>
    <m/>
    <s v="Bjørnsholm SOLGT 2014"/>
    <n v="10227"/>
    <m/>
    <s v="Bjørnsholm"/>
    <x v="2"/>
    <x v="1"/>
    <x v="5"/>
    <n v="29.62"/>
    <n v="4"/>
    <s v="2014-07-01"/>
    <n v="0"/>
    <n v="260"/>
    <n v="0.11387899999999999"/>
    <n v="3"/>
    <x v="0"/>
    <n v="29.62"/>
    <n v="23.68"/>
    <n v="0"/>
    <s v="44961"/>
    <m/>
    <n v="29.61252"/>
    <n v="0"/>
    <n v="77470"/>
  </r>
  <r>
    <x v="1"/>
    <m/>
    <s v="Bjørnsholm SOLGT 2014"/>
    <n v="10227"/>
    <m/>
    <s v="Bjørnsholm"/>
    <x v="2"/>
    <x v="1"/>
    <x v="6"/>
    <n v="44.53"/>
    <n v="4"/>
    <s v="2014-07-01"/>
    <n v="0"/>
    <n v="260"/>
    <n v="0.17120299999999999"/>
    <n v="3"/>
    <x v="0"/>
    <n v="44.53"/>
    <n v="35.619999999999997"/>
    <n v="0"/>
    <s v="44961"/>
    <m/>
    <n v="44.516480000000001"/>
    <n v="0"/>
    <n v="77470"/>
  </r>
  <r>
    <x v="1"/>
    <s v="9232"/>
    <s v="Hjortefarmen, Trevang 161"/>
    <n v="13906"/>
    <s v="0"/>
    <s v="Hjortefarmen"/>
    <x v="3"/>
    <x v="1"/>
    <x v="2"/>
    <n v="1.8"/>
    <n v="2"/>
    <s v="2012-08-08"/>
    <n v="0"/>
    <n v="734"/>
    <n v="2.4510000000000001E-3"/>
    <n v="3"/>
    <x v="0"/>
    <n v="1.8"/>
    <n v="1.45"/>
    <n v="0"/>
    <s v="D007AA003808 NEDTAGET"/>
    <m/>
    <n v="1.8"/>
    <n v="0"/>
    <n v="92372"/>
  </r>
  <r>
    <x v="1"/>
    <s v="2427"/>
    <s v="Kollekollevej 35 TOM"/>
    <n v="13363"/>
    <s v="0"/>
    <s v="Kollekollevej 35 TOM"/>
    <x v="4"/>
    <x v="1"/>
    <x v="2"/>
    <n v="0"/>
    <n v="1"/>
    <s v="2012-01-22"/>
    <n v="0"/>
    <n v="87"/>
    <n v="0"/>
    <n v="3"/>
    <x v="0"/>
    <n v="0"/>
    <n v="0"/>
    <n v="0"/>
    <s v="NEDTAGET"/>
    <m/>
    <n v="0"/>
    <n v="0"/>
    <n v="89460"/>
  </r>
  <r>
    <x v="1"/>
    <s v="2427"/>
    <s v="Kollekollevej 35 TOM"/>
    <n v="13363"/>
    <s v="0"/>
    <s v="Kollekollevej 35 TOM"/>
    <x v="4"/>
    <x v="1"/>
    <x v="3"/>
    <n v="0"/>
    <n v="4"/>
    <s v="2012-01-22"/>
    <n v="0"/>
    <n v="87"/>
    <n v="0"/>
    <n v="3"/>
    <x v="0"/>
    <n v="0"/>
    <n v="0"/>
    <n v="0"/>
    <s v="NEDTAGET"/>
    <m/>
    <n v="0"/>
    <n v="0"/>
    <n v="89460"/>
  </r>
  <r>
    <x v="1"/>
    <m/>
    <s v="Kollekollevej 37 TOM"/>
    <n v="10322"/>
    <m/>
    <s v="Kollekollevej 37"/>
    <x v="5"/>
    <x v="1"/>
    <x v="1"/>
    <n v="20.3"/>
    <n v="7"/>
    <s v="2014-07-01"/>
    <n v="0"/>
    <n v="98"/>
    <n v="0.206931"/>
    <n v="3"/>
    <x v="0"/>
    <n v="20.3"/>
    <n v="16.25"/>
    <n v="0"/>
    <s v="44753"/>
    <m/>
    <n v="20.30256"/>
    <n v="0"/>
    <n v="77813"/>
  </r>
  <r>
    <x v="1"/>
    <m/>
    <s v="Kollekollevej 37 TOM"/>
    <n v="10322"/>
    <m/>
    <s v="Kollekollevej 37"/>
    <x v="5"/>
    <x v="1"/>
    <x v="2"/>
    <n v="104.68"/>
    <n v="4"/>
    <s v="2014-07-01"/>
    <n v="0"/>
    <n v="98"/>
    <n v="1.0670740000000001"/>
    <n v="3"/>
    <x v="0"/>
    <n v="104.68"/>
    <n v="83.74"/>
    <n v="0"/>
    <s v="44753"/>
    <m/>
    <n v="104.69745"/>
    <n v="0"/>
    <n v="77813"/>
  </r>
  <r>
    <x v="1"/>
    <m/>
    <s v="Kollekollevej 37 TOM"/>
    <n v="10322"/>
    <m/>
    <s v="Kollekollevej 37"/>
    <x v="5"/>
    <x v="1"/>
    <x v="3"/>
    <n v="136.97999999999999"/>
    <n v="4"/>
    <s v="2014-07-01"/>
    <n v="0"/>
    <n v="98"/>
    <n v="1.3963300000000001"/>
    <n v="3"/>
    <x v="0"/>
    <n v="136.97999999999999"/>
    <n v="109.56"/>
    <n v="0"/>
    <s v="44753"/>
    <m/>
    <n v="137.00002000000001"/>
    <n v="0"/>
    <n v="77813"/>
  </r>
  <r>
    <x v="1"/>
    <m/>
    <s v="Kollekollevej 37 TOM"/>
    <n v="10322"/>
    <m/>
    <s v="Kollekollevej 37"/>
    <x v="5"/>
    <x v="1"/>
    <x v="4"/>
    <n v="41.76"/>
    <n v="3"/>
    <s v="2014-07-01"/>
    <n v="0"/>
    <n v="98"/>
    <n v="0.42568800000000001"/>
    <n v="3"/>
    <x v="0"/>
    <n v="41.76"/>
    <n v="33.42"/>
    <n v="0"/>
    <s v="44753"/>
    <m/>
    <n v="41.76858"/>
    <n v="0"/>
    <n v="77813"/>
  </r>
  <r>
    <x v="1"/>
    <m/>
    <s v="Kollekollevej 37 TOM"/>
    <n v="10322"/>
    <m/>
    <s v="Kollekollevej 37"/>
    <x v="5"/>
    <x v="1"/>
    <x v="5"/>
    <n v="9.8699999999999992"/>
    <n v="3"/>
    <s v="2014-07-01"/>
    <n v="0"/>
    <n v="98"/>
    <n v="0.10061100000000001"/>
    <n v="3"/>
    <x v="0"/>
    <n v="9.8699999999999992"/>
    <n v="7.89"/>
    <n v="0"/>
    <s v="44753"/>
    <m/>
    <n v="9.8697199999999992"/>
    <n v="0"/>
    <n v="77813"/>
  </r>
  <r>
    <x v="1"/>
    <m/>
    <s v="Kollekollevej 37 TOM"/>
    <n v="10322"/>
    <m/>
    <s v="Kollekollevej 37"/>
    <x v="5"/>
    <x v="1"/>
    <x v="6"/>
    <n v="12.82"/>
    <n v="3"/>
    <s v="2014-07-01"/>
    <n v="0"/>
    <n v="98"/>
    <n v="0.13068199999999999"/>
    <n v="3"/>
    <x v="0"/>
    <n v="12.82"/>
    <n v="10.27"/>
    <n v="0"/>
    <s v="44753"/>
    <m/>
    <n v="12.820729999999999"/>
    <n v="0"/>
    <n v="77813"/>
  </r>
  <r>
    <x v="1"/>
    <m/>
    <s v="Spejderhus, Alugod, Kollekollevej 39"/>
    <n v="10171"/>
    <m/>
    <s v="Spejderhus, Kollekollevej 39"/>
    <x v="6"/>
    <x v="0"/>
    <x v="0"/>
    <n v="2"/>
    <n v="5"/>
    <s v="2011-08-30"/>
    <n v="0"/>
    <n v="353"/>
    <n v="4.5310000000000003E-3"/>
    <n v="3"/>
    <x v="0"/>
    <n v="1.6"/>
    <n v="1.28"/>
    <n v="0"/>
    <s v="41215"/>
    <m/>
    <n v="1.6"/>
    <n v="0"/>
    <n v="77186"/>
  </r>
  <r>
    <x v="1"/>
    <m/>
    <s v="Spejderhus, Alugod, Kollekollevej 39"/>
    <n v="10171"/>
    <m/>
    <s v="Spejderhus, Kollekollevej 39"/>
    <x v="6"/>
    <x v="0"/>
    <x v="1"/>
    <n v="18.3"/>
    <n v="12"/>
    <s v="2011-08-30"/>
    <n v="0"/>
    <n v="353"/>
    <n v="5.1825999999999997E-2"/>
    <n v="3"/>
    <x v="0"/>
    <n v="18.3"/>
    <n v="14.64"/>
    <n v="0"/>
    <s v="41215"/>
    <m/>
    <n v="18.3"/>
    <n v="0"/>
    <n v="77186"/>
  </r>
  <r>
    <x v="1"/>
    <m/>
    <s v="Spejderhus, Alugod, Kollekollevej 39"/>
    <n v="10171"/>
    <m/>
    <s v="Spejderhus, Kollekollevej 39"/>
    <x v="6"/>
    <x v="0"/>
    <x v="2"/>
    <n v="310.10000000000002"/>
    <n v="12"/>
    <s v="2011-08-30"/>
    <n v="0"/>
    <n v="353"/>
    <n v="0.87822100000000003"/>
    <n v="3"/>
    <x v="0"/>
    <n v="310.10000000000002"/>
    <n v="248.08"/>
    <n v="0"/>
    <s v="41215"/>
    <m/>
    <n v="310.10000000000002"/>
    <n v="0"/>
    <n v="77186"/>
  </r>
  <r>
    <x v="1"/>
    <m/>
    <s v="Spejderhus, Alugod, Kollekollevej 39"/>
    <n v="10171"/>
    <m/>
    <s v="Spejderhus, Kollekollevej 39"/>
    <x v="6"/>
    <x v="0"/>
    <x v="3"/>
    <n v="166.98"/>
    <n v="7"/>
    <s v="2011-08-30"/>
    <n v="0"/>
    <n v="353"/>
    <n v="0.47289700000000001"/>
    <n v="3"/>
    <x v="0"/>
    <n v="166.98"/>
    <n v="133.58000000000001"/>
    <n v="0"/>
    <s v="41215"/>
    <m/>
    <n v="166.98177000000001"/>
    <n v="0"/>
    <n v="77186"/>
  </r>
  <r>
    <x v="1"/>
    <m/>
    <s v="Spejderhus, Alugod, Kollekollevej 39"/>
    <n v="10171"/>
    <m/>
    <s v="Spejderhus, Kollekollevej 39"/>
    <x v="6"/>
    <x v="0"/>
    <x v="4"/>
    <n v="159.57"/>
    <n v="2"/>
    <s v="2011-08-30"/>
    <n v="0"/>
    <n v="353"/>
    <n v="0.45191100000000001"/>
    <n v="3"/>
    <x v="0"/>
    <n v="159.57"/>
    <n v="127.65"/>
    <n v="0"/>
    <s v="41215"/>
    <m/>
    <n v="159.56614999999999"/>
    <n v="0"/>
    <n v="77186"/>
  </r>
  <r>
    <x v="1"/>
    <m/>
    <s v="Spejderhus, Alugod, Kollekollevej 39"/>
    <n v="10171"/>
    <m/>
    <s v="Spejderhus, Kollekollevej 39"/>
    <x v="6"/>
    <x v="0"/>
    <x v="5"/>
    <n v="73.989999999999995"/>
    <n v="3"/>
    <s v="2011-08-30"/>
    <n v="0"/>
    <n v="353"/>
    <n v="0.20954400000000001"/>
    <n v="3"/>
    <x v="0"/>
    <n v="73.989999999999995"/>
    <n v="59.22"/>
    <n v="0"/>
    <s v="41215"/>
    <m/>
    <n v="74.006619999999998"/>
    <n v="0"/>
    <n v="77186"/>
  </r>
  <r>
    <x v="1"/>
    <m/>
    <s v="Spejderhus, Alugod, Kollekollevej 39"/>
    <n v="10171"/>
    <m/>
    <s v="Spejderhus, Kollekollevej 39"/>
    <x v="6"/>
    <x v="0"/>
    <x v="6"/>
    <n v="84"/>
    <n v="4"/>
    <s v="2011-08-30"/>
    <n v="0"/>
    <n v="353"/>
    <n v="0.23789199999999999"/>
    <n v="3"/>
    <x v="0"/>
    <n v="84"/>
    <n v="67.2"/>
    <n v="0"/>
    <s v="41215"/>
    <m/>
    <n v="83.998260000000002"/>
    <n v="0"/>
    <n v="77186"/>
  </r>
  <r>
    <x v="1"/>
    <m/>
    <s v="Spejderhus, Egedal Solgt"/>
    <n v="10203"/>
    <m/>
    <s v="Spejderhus, Egedal"/>
    <x v="7"/>
    <x v="1"/>
    <x v="3"/>
    <n v="0"/>
    <n v="7"/>
    <s v="2011-12-31"/>
    <n v="0"/>
    <n v="178"/>
    <n v="0"/>
    <n v="3"/>
    <x v="0"/>
    <n v="0"/>
    <n v="0"/>
    <n v="0"/>
    <s v="NEDTAGET"/>
    <m/>
    <n v="0"/>
    <n v="0"/>
    <n v="77384"/>
  </r>
  <r>
    <x v="1"/>
    <m/>
    <s v="Spejderhus, Egedal Solgt"/>
    <n v="10203"/>
    <m/>
    <s v="Spejderhus, Egedal"/>
    <x v="7"/>
    <x v="1"/>
    <x v="4"/>
    <n v="1.0900000000000001"/>
    <n v="11"/>
    <s v="2011-12-31"/>
    <n v="0"/>
    <n v="178"/>
    <n v="6.1199999999999996E-3"/>
    <n v="3"/>
    <x v="0"/>
    <n v="1.0900000000000001"/>
    <n v="0.87"/>
    <n v="0"/>
    <s v="NEDTAGET"/>
    <m/>
    <n v="1.08571"/>
    <n v="0"/>
    <n v="77384"/>
  </r>
  <r>
    <x v="1"/>
    <m/>
    <s v="Spejderhus, Egedal Solgt"/>
    <n v="10203"/>
    <m/>
    <s v="Spejderhus, Egedal"/>
    <x v="7"/>
    <x v="1"/>
    <x v="5"/>
    <n v="88.73"/>
    <n v="11"/>
    <s v="2011-12-31"/>
    <n v="0"/>
    <n v="178"/>
    <n v="0.49820300000000001"/>
    <n v="3"/>
    <x v="0"/>
    <n v="88.73"/>
    <n v="70.98"/>
    <n v="0"/>
    <s v="NEDTAGET"/>
    <m/>
    <n v="88.720730000000003"/>
    <n v="0"/>
    <n v="77384"/>
  </r>
  <r>
    <x v="1"/>
    <m/>
    <s v="Spejderhus, Egedal Solgt"/>
    <n v="10203"/>
    <m/>
    <s v="Spejderhus, Egedal"/>
    <x v="7"/>
    <x v="1"/>
    <x v="6"/>
    <n v="93.14"/>
    <n v="9"/>
    <s v="2011-12-31"/>
    <n v="0"/>
    <n v="178"/>
    <n v="0.52296399999999998"/>
    <n v="3"/>
    <x v="0"/>
    <n v="93.14"/>
    <n v="74.510000000000005"/>
    <n v="0"/>
    <s v="NEDTAGET"/>
    <m/>
    <n v="93.149600000000007"/>
    <n v="0"/>
    <n v="77384"/>
  </r>
  <r>
    <x v="1"/>
    <m/>
    <s v="Bjørnsholm SOLGT 2014"/>
    <n v="10227"/>
    <m/>
    <s v="Bjørnsholm"/>
    <x v="2"/>
    <x v="1"/>
    <x v="7"/>
    <n v="10.54"/>
    <n v="3"/>
    <s v="2014-07-01"/>
    <n v="0"/>
    <n v="260"/>
    <n v="4.0522000000000002E-2"/>
    <n v="3"/>
    <x v="0"/>
    <n v="10.54"/>
    <n v="8.42"/>
    <n v="0"/>
    <s v="44961"/>
    <m/>
    <n v="10.536110000000001"/>
    <n v="0"/>
    <n v="77470"/>
  </r>
  <r>
    <x v="1"/>
    <m/>
    <s v="Bjørnsholm SOLGT 2014"/>
    <n v="10227"/>
    <m/>
    <s v="Bjørnsholm"/>
    <x v="2"/>
    <x v="1"/>
    <x v="7"/>
    <n v="2345.9"/>
    <n v="3"/>
    <s v="2014-07-01"/>
    <n v="0"/>
    <n v="260"/>
    <n v="9.0192230000000002"/>
    <n v="2"/>
    <x v="2"/>
    <n v="2345.9"/>
    <n v="703.75"/>
    <n v="0"/>
    <s v="595766"/>
    <s v="74110496490"/>
    <n v="2345.9117500000002"/>
    <n v="0"/>
    <n v="77469"/>
  </r>
  <r>
    <x v="1"/>
    <m/>
    <s v="Bjørnsholm SOLGT 2014"/>
    <n v="10227"/>
    <m/>
    <s v="Bjørnsholm"/>
    <x v="2"/>
    <x v="1"/>
    <x v="7"/>
    <n v="29516.400000000001"/>
    <n v="3"/>
    <s v="2014-07-01"/>
    <n v="0"/>
    <n v="260"/>
    <n v="113.480968"/>
    <n v="1"/>
    <x v="4"/>
    <n v="36421.730000000003"/>
    <n v="7702.52"/>
    <n v="0"/>
    <s v="29557"/>
    <s v="98001310111"/>
    <n v="2732.9999899999998"/>
    <n v="0"/>
    <n v="77471"/>
  </r>
  <r>
    <x v="1"/>
    <m/>
    <s v="Bjørnsholm SOLGT 2014"/>
    <n v="10227"/>
    <m/>
    <s v="Bjørnsholm"/>
    <x v="2"/>
    <x v="1"/>
    <x v="1"/>
    <n v="50828.77"/>
    <n v="5"/>
    <s v="2014-07-01"/>
    <n v="0"/>
    <n v="260"/>
    <n v="195.420107"/>
    <n v="1"/>
    <x v="4"/>
    <n v="61144.6"/>
    <n v="12930.93"/>
    <n v="0"/>
    <s v="29557"/>
    <s v="98001310111"/>
    <n v="4706.3654999999999"/>
    <n v="0"/>
    <n v="77471"/>
  </r>
  <r>
    <x v="1"/>
    <m/>
    <s v="Bjørnsholm SOLGT 2014"/>
    <n v="10227"/>
    <m/>
    <s v="Bjørnsholm"/>
    <x v="2"/>
    <x v="1"/>
    <x v="2"/>
    <n v="47993.08"/>
    <n v="2"/>
    <s v="2014-07-01"/>
    <n v="0"/>
    <n v="260"/>
    <n v="184.51779999999999"/>
    <n v="1"/>
    <x v="4"/>
    <n v="53153.47"/>
    <n v="11240.98"/>
    <n v="0"/>
    <s v="29557"/>
    <s v="98001310111"/>
    <n v="4443.80375"/>
    <n v="0"/>
    <n v="77471"/>
  </r>
  <r>
    <x v="1"/>
    <m/>
    <s v="Bjørnsholm SOLGT 2014"/>
    <n v="10227"/>
    <m/>
    <s v="Bjørnsholm"/>
    <x v="2"/>
    <x v="1"/>
    <x v="3"/>
    <n v="56080.76"/>
    <n v="2"/>
    <s v="2014-07-01"/>
    <n v="0"/>
    <n v="260"/>
    <n v="215.612302"/>
    <n v="1"/>
    <x v="4"/>
    <n v="65695.839999999997"/>
    <n v="13893.44"/>
    <n v="0"/>
    <s v="29557"/>
    <s v="98001310111"/>
    <n v="5192.6641099999997"/>
    <n v="0"/>
    <n v="77471"/>
  </r>
  <r>
    <x v="1"/>
    <m/>
    <s v="Bjørnsholm SOLGT 2014"/>
    <n v="10227"/>
    <m/>
    <s v="Bjørnsholm"/>
    <x v="2"/>
    <x v="1"/>
    <x v="4"/>
    <n v="60873.49"/>
    <n v="3"/>
    <s v="2014-07-01"/>
    <n v="0"/>
    <n v="260"/>
    <n v="234.038792"/>
    <n v="1"/>
    <x v="4"/>
    <n v="68251.62"/>
    <n v="14433.96"/>
    <n v="0"/>
    <s v="29557"/>
    <s v="98001310111"/>
    <n v="5636.4326099999998"/>
    <n v="0"/>
    <n v="77471"/>
  </r>
  <r>
    <x v="1"/>
    <m/>
    <s v="Bjørnsholm SOLGT 2014"/>
    <n v="10227"/>
    <m/>
    <s v="Bjørnsholm"/>
    <x v="2"/>
    <x v="1"/>
    <x v="5"/>
    <n v="54911.44"/>
    <n v="4"/>
    <s v="2014-07-01"/>
    <n v="0"/>
    <n v="260"/>
    <n v="211.116647"/>
    <n v="1"/>
    <x v="4"/>
    <n v="66555.77"/>
    <n v="14075.32"/>
    <n v="0"/>
    <s v="29557"/>
    <s v="98001310111"/>
    <n v="5084.3933900000002"/>
    <n v="0"/>
    <n v="77471"/>
  </r>
  <r>
    <x v="1"/>
    <m/>
    <s v="Bjørnsholm SOLGT 2014"/>
    <n v="10227"/>
    <m/>
    <s v="Bjørnsholm"/>
    <x v="2"/>
    <x v="1"/>
    <x v="6"/>
    <n v="47155.65"/>
    <n v="4"/>
    <s v="2014-07-01"/>
    <n v="0"/>
    <n v="260"/>
    <n v="181.29815400000001"/>
    <n v="1"/>
    <x v="4"/>
    <n v="54583.7"/>
    <n v="11543.45"/>
    <n v="0"/>
    <s v="29557"/>
    <s v="98001310111"/>
    <n v="4366.2637299999997"/>
    <n v="0"/>
    <n v="77471"/>
  </r>
  <r>
    <x v="1"/>
    <s v="2427"/>
    <s v="Kollekollevej 35 TOM"/>
    <n v="13363"/>
    <s v="0"/>
    <s v="Kollekollevej 35 TOM"/>
    <x v="4"/>
    <x v="1"/>
    <x v="2"/>
    <n v="7.25"/>
    <n v="2"/>
    <s v="2012-07-09"/>
    <n v="0"/>
    <n v="87"/>
    <n v="8.3237000000000005E-2"/>
    <n v="1"/>
    <x v="4"/>
    <n v="7.7"/>
    <n v="1.63"/>
    <n v="0"/>
    <s v="NEDTAGET"/>
    <m/>
    <n v="0.67098000000000002"/>
    <n v="0"/>
    <n v="89461"/>
  </r>
  <r>
    <x v="1"/>
    <s v="2427"/>
    <s v="Kollekollevej 35 TOM"/>
    <n v="13363"/>
    <s v="0"/>
    <s v="Kollekollevej 35 TOM"/>
    <x v="4"/>
    <x v="1"/>
    <x v="3"/>
    <n v="0"/>
    <n v="4"/>
    <s v="2012-07-09"/>
    <n v="0"/>
    <n v="87"/>
    <n v="0"/>
    <n v="1"/>
    <x v="4"/>
    <n v="0"/>
    <n v="0"/>
    <n v="0"/>
    <s v="NEDTAGET"/>
    <m/>
    <n v="0"/>
    <n v="0"/>
    <n v="89461"/>
  </r>
  <r>
    <x v="1"/>
    <m/>
    <s v="Kollekollevej 37 TOM"/>
    <n v="10322"/>
    <m/>
    <s v="Kollekollevej 37"/>
    <x v="5"/>
    <x v="1"/>
    <x v="0"/>
    <n v="1165.55"/>
    <n v="1"/>
    <s v="2015-02-13"/>
    <n v="0"/>
    <n v="98"/>
    <n v="11.881243"/>
    <n v="1"/>
    <x v="4"/>
    <n v="1165.55"/>
    <n v="246.49"/>
    <n v="0"/>
    <s v="HNG 1.522.623"/>
    <s v="98001314065"/>
    <n v="107.92157"/>
    <n v="0"/>
    <n v="77814"/>
  </r>
  <r>
    <x v="1"/>
    <m/>
    <s v="Kollekollevej 37 TOM"/>
    <n v="10322"/>
    <m/>
    <s v="Kollekollevej 37"/>
    <x v="5"/>
    <x v="1"/>
    <x v="1"/>
    <n v="21829.77"/>
    <n v="9"/>
    <s v="2015-02-13"/>
    <n v="0"/>
    <n v="98"/>
    <n v="222.525688"/>
    <n v="1"/>
    <x v="4"/>
    <n v="21829.77"/>
    <n v="4616.6000000000004"/>
    <n v="0"/>
    <s v="HNG 1.522.623"/>
    <s v="98001314065"/>
    <n v="2021.2750599999999"/>
    <n v="0"/>
    <n v="77814"/>
  </r>
  <r>
    <x v="1"/>
    <m/>
    <s v="Kollekollevej 37 TOM"/>
    <n v="10322"/>
    <m/>
    <s v="Kollekollevej 37"/>
    <x v="5"/>
    <x v="1"/>
    <x v="2"/>
    <n v="18274.759999999998"/>
    <n v="5"/>
    <s v="2015-02-13"/>
    <n v="0"/>
    <n v="98"/>
    <n v="186.28705400000001"/>
    <n v="1"/>
    <x v="4"/>
    <n v="18274.759999999998"/>
    <n v="3864.79"/>
    <n v="0"/>
    <s v="HNG 1.522.623"/>
    <s v="98001314065"/>
    <n v="1692.1073100000001"/>
    <n v="0"/>
    <n v="77814"/>
  </r>
  <r>
    <x v="1"/>
    <m/>
    <s v="Kollekollevej 37 TOM"/>
    <n v="10322"/>
    <m/>
    <s v="Kollekollevej 37"/>
    <x v="5"/>
    <x v="1"/>
    <x v="3"/>
    <n v="25826.39"/>
    <n v="4"/>
    <s v="2015-02-13"/>
    <n v="0"/>
    <n v="98"/>
    <n v="263.26595300000002"/>
    <n v="1"/>
    <x v="4"/>
    <n v="25826.39"/>
    <n v="5461.8"/>
    <n v="0"/>
    <s v="HNG 1.522.623"/>
    <s v="98001314065"/>
    <n v="2391.3333200000002"/>
    <n v="0"/>
    <n v="77814"/>
  </r>
  <r>
    <x v="1"/>
    <m/>
    <s v="Kollekollevej 37 TOM"/>
    <n v="10322"/>
    <m/>
    <s v="Kollekollevej 37"/>
    <x v="5"/>
    <x v="1"/>
    <x v="4"/>
    <n v="23583.66"/>
    <n v="5"/>
    <s v="2015-02-13"/>
    <n v="0"/>
    <n v="98"/>
    <n v="240.404281"/>
    <n v="1"/>
    <x v="4"/>
    <n v="23583.66"/>
    <n v="4987.5200000000004"/>
    <n v="0"/>
    <s v="HNG 1.522.623"/>
    <s v="98001314065"/>
    <n v="2183.6735600000002"/>
    <n v="0"/>
    <n v="77814"/>
  </r>
  <r>
    <x v="1"/>
    <m/>
    <s v="Kollekollevej 37 TOM"/>
    <n v="10322"/>
    <m/>
    <s v="Kollekollevej 37"/>
    <x v="5"/>
    <x v="1"/>
    <x v="5"/>
    <n v="24604.799999999999"/>
    <n v="3"/>
    <s v="2015-02-13"/>
    <n v="0"/>
    <n v="98"/>
    <n v="250.813455"/>
    <n v="1"/>
    <x v="4"/>
    <n v="24604.799999999999"/>
    <n v="5203.4799999999996"/>
    <n v="0"/>
    <s v="HNG 1.522.623"/>
    <s v="98001314065"/>
    <n v="2278.2238699999998"/>
    <n v="0"/>
    <n v="77814"/>
  </r>
  <r>
    <x v="1"/>
    <m/>
    <s v="Kollekollevej 37 TOM"/>
    <n v="10322"/>
    <m/>
    <s v="Kollekollevej 37"/>
    <x v="5"/>
    <x v="1"/>
    <x v="6"/>
    <n v="21404.97"/>
    <n v="4"/>
    <s v="2015-02-13"/>
    <n v="0"/>
    <n v="98"/>
    <n v="218.195412"/>
    <n v="1"/>
    <x v="4"/>
    <n v="21404.97"/>
    <n v="4526.76"/>
    <n v="0"/>
    <s v="HNG 1.522.623"/>
    <s v="98001314065"/>
    <n v="1981.94235"/>
    <n v="0"/>
    <n v="77814"/>
  </r>
  <r>
    <x v="1"/>
    <m/>
    <s v="Spejderhus, Egedal Solgt"/>
    <n v="10203"/>
    <m/>
    <s v="Spejderhus, Egedal"/>
    <x v="7"/>
    <x v="1"/>
    <x v="3"/>
    <n v="4311.17"/>
    <n v="7"/>
    <s v="2011-12-31"/>
    <n v="0"/>
    <n v="178"/>
    <n v="24.206457"/>
    <n v="1"/>
    <x v="5"/>
    <n v="5440.35"/>
    <n v="1006.47"/>
    <n v="0"/>
    <s v="2762360/06"/>
    <m/>
    <n v="4.3111699999999997"/>
    <n v="0"/>
    <n v="77385"/>
  </r>
  <r>
    <x v="1"/>
    <m/>
    <s v="Spejderhus, Egedal Solgt"/>
    <n v="10203"/>
    <m/>
    <s v="Spejderhus, Egedal"/>
    <x v="7"/>
    <x v="1"/>
    <x v="4"/>
    <n v="17437.16"/>
    <n v="11"/>
    <s v="2011-12-31"/>
    <n v="0"/>
    <n v="178"/>
    <n v="97.906569000000005"/>
    <n v="1"/>
    <x v="5"/>
    <n v="16376.77"/>
    <n v="3029.68"/>
    <n v="0"/>
    <s v="2762360/06"/>
    <m/>
    <n v="17.437159999999999"/>
    <n v="0"/>
    <n v="77385"/>
  </r>
  <r>
    <x v="1"/>
    <m/>
    <s v="Spejderhus, Egedal Solgt"/>
    <n v="10203"/>
    <m/>
    <s v="Spejderhus, Egedal"/>
    <x v="7"/>
    <x v="1"/>
    <x v="5"/>
    <n v="20048.61"/>
    <n v="11"/>
    <s v="2011-12-31"/>
    <n v="0"/>
    <n v="178"/>
    <n v="112.569399"/>
    <n v="1"/>
    <x v="5"/>
    <n v="21192.63"/>
    <n v="3920.64"/>
    <n v="0"/>
    <s v="2762360/06"/>
    <m/>
    <n v="20.04861"/>
    <n v="0"/>
    <n v="77385"/>
  </r>
  <r>
    <x v="1"/>
    <m/>
    <s v="Spejderhus, Egedal Solgt"/>
    <n v="10203"/>
    <m/>
    <s v="Spejderhus, Egedal"/>
    <x v="7"/>
    <x v="1"/>
    <x v="6"/>
    <n v="18532.240000000002"/>
    <n v="9"/>
    <s v="2011-12-31"/>
    <n v="0"/>
    <n v="178"/>
    <n v="104.055249"/>
    <n v="1"/>
    <x v="5"/>
    <n v="21271.77"/>
    <n v="3935.25"/>
    <n v="0"/>
    <s v="2762360/06"/>
    <m/>
    <n v="18.532240000000002"/>
    <n v="0"/>
    <n v="77385"/>
  </r>
  <r>
    <x v="1"/>
    <m/>
    <s v="Kollekollevej 37 TOM"/>
    <n v="10322"/>
    <m/>
    <s v="Kollekollevej 37"/>
    <x v="5"/>
    <x v="1"/>
    <x v="7"/>
    <n v="18810.32"/>
    <n v="4"/>
    <s v="2015-02-13"/>
    <n v="0"/>
    <n v="98"/>
    <n v="191.74638100000001"/>
    <n v="1"/>
    <x v="4"/>
    <n v="18810.32"/>
    <n v="3978.04"/>
    <n v="0"/>
    <s v="HNG 1.522.623"/>
    <s v="98001314065"/>
    <n v="1741.69606"/>
    <n v="0"/>
    <n v="77814"/>
  </r>
  <r>
    <x v="1"/>
    <m/>
    <s v="Kollekollevej 37 TOM"/>
    <n v="10322"/>
    <m/>
    <s v="Kollekollevej 37"/>
    <x v="5"/>
    <x v="1"/>
    <x v="7"/>
    <n v="5.74"/>
    <n v="3"/>
    <s v="2014-07-01"/>
    <n v="0"/>
    <n v="98"/>
    <n v="5.8511000000000001E-2"/>
    <n v="3"/>
    <x v="0"/>
    <n v="5.74"/>
    <n v="4.59"/>
    <n v="0"/>
    <s v="44753"/>
    <m/>
    <n v="5.7430000000000003"/>
    <n v="0"/>
    <n v="77813"/>
  </r>
  <r>
    <x v="1"/>
    <m/>
    <s v="Kollekollevej 37 TOM"/>
    <n v="10322"/>
    <m/>
    <s v="Kollekollevej 37"/>
    <x v="5"/>
    <x v="1"/>
    <x v="7"/>
    <n v="1621.89"/>
    <n v="2"/>
    <s v="2014-07-01"/>
    <n v="0"/>
    <n v="98"/>
    <n v="16.533027000000001"/>
    <n v="2"/>
    <x v="2"/>
    <n v="1621.89"/>
    <n v="486.56"/>
    <n v="0"/>
    <s v="375314-32607"/>
    <s v="74113159491"/>
    <n v="1621.8823600000001"/>
    <n v="0"/>
    <n v="77812"/>
  </r>
  <r>
    <x v="1"/>
    <m/>
    <s v="Bjørnsholm SOLGT 2014"/>
    <n v="10227"/>
    <m/>
    <s v="Bjørnsholm"/>
    <x v="2"/>
    <x v="1"/>
    <x v="1"/>
    <n v="4947.6400000000003"/>
    <n v="6"/>
    <s v="2014-07-01"/>
    <n v="0"/>
    <n v="260"/>
    <n v="19.022068000000001"/>
    <n v="2"/>
    <x v="2"/>
    <n v="4947.6400000000003"/>
    <n v="1484.28"/>
    <n v="0"/>
    <s v="595766"/>
    <s v="74110496490"/>
    <n v="4947.6596799999998"/>
    <n v="0"/>
    <n v="77469"/>
  </r>
  <r>
    <x v="1"/>
    <m/>
    <s v="Bjørnsholm SOLGT 2014"/>
    <n v="10227"/>
    <m/>
    <s v="Bjørnsholm"/>
    <x v="2"/>
    <x v="1"/>
    <x v="2"/>
    <n v="5290.14"/>
    <n v="5"/>
    <s v="2014-07-01"/>
    <n v="0"/>
    <n v="260"/>
    <n v="20.338868999999999"/>
    <n v="2"/>
    <x v="2"/>
    <n v="5290.14"/>
    <n v="2116.0500000000002"/>
    <n v="0"/>
    <s v="595766"/>
    <s v="74110496490"/>
    <n v="5290.1428699999997"/>
    <n v="0"/>
    <n v="77469"/>
  </r>
  <r>
    <x v="1"/>
    <m/>
    <s v="Bjørnsholm SOLGT 2014"/>
    <n v="10227"/>
    <m/>
    <s v="Bjørnsholm"/>
    <x v="2"/>
    <x v="1"/>
    <x v="3"/>
    <n v="4853.62"/>
    <n v="5"/>
    <s v="2014-07-01"/>
    <n v="0"/>
    <n v="260"/>
    <n v="18.660592000000001"/>
    <n v="2"/>
    <x v="2"/>
    <n v="4853.62"/>
    <n v="2276.33"/>
    <n v="0"/>
    <s v="595766"/>
    <s v="74110496490"/>
    <n v="4853.6190399999996"/>
    <n v="0"/>
    <n v="77469"/>
  </r>
  <r>
    <x v="1"/>
    <m/>
    <s v="Bjørnsholm SOLGT 2014"/>
    <n v="10227"/>
    <m/>
    <s v="Bjørnsholm"/>
    <x v="2"/>
    <x v="1"/>
    <x v="4"/>
    <n v="5893.82"/>
    <n v="3"/>
    <s v="2014-07-01"/>
    <n v="0"/>
    <n v="260"/>
    <n v="22.659822999999999"/>
    <n v="2"/>
    <x v="2"/>
    <n v="5893.82"/>
    <n v="2764.17"/>
    <n v="0"/>
    <s v="595766"/>
    <s v="74110496490"/>
    <n v="5893.7943299999997"/>
    <n v="0"/>
    <n v="77469"/>
  </r>
  <r>
    <x v="1"/>
    <m/>
    <s v="Bjørnsholm SOLGT 2014"/>
    <n v="10227"/>
    <m/>
    <s v="Bjørnsholm"/>
    <x v="2"/>
    <x v="1"/>
    <x v="5"/>
    <n v="5598.54"/>
    <n v="4"/>
    <s v="2014-07-01"/>
    <n v="0"/>
    <n v="260"/>
    <n v="21.524567000000001"/>
    <n v="2"/>
    <x v="2"/>
    <n v="5598.54"/>
    <n v="2625.73"/>
    <n v="0"/>
    <s v="595766"/>
    <s v="74110496490"/>
    <n v="5598.5316899999998"/>
    <n v="0"/>
    <n v="77469"/>
  </r>
  <r>
    <x v="1"/>
    <m/>
    <s v="Bjørnsholm SOLGT 2014"/>
    <n v="10227"/>
    <m/>
    <s v="Bjørnsholm"/>
    <x v="2"/>
    <x v="1"/>
    <x v="6"/>
    <n v="4947.09"/>
    <n v="4"/>
    <s v="2014-07-01"/>
    <n v="0"/>
    <n v="260"/>
    <n v="19.019953000000001"/>
    <n v="2"/>
    <x v="2"/>
    <n v="4947.09"/>
    <n v="2320.19"/>
    <n v="0"/>
    <s v="595766"/>
    <s v="74110496490"/>
    <n v="4947.0878899999998"/>
    <n v="0"/>
    <n v="77469"/>
  </r>
  <r>
    <x v="1"/>
    <s v="9232"/>
    <s v="Hjortefarmen, Trevang 161"/>
    <n v="13906"/>
    <s v="0"/>
    <s v="Hjortefarmen"/>
    <x v="3"/>
    <x v="1"/>
    <x v="1"/>
    <n v="0"/>
    <n v="3"/>
    <s v="2013-04-08"/>
    <n v="0"/>
    <n v="734"/>
    <n v="0"/>
    <n v="2"/>
    <x v="2"/>
    <n v="0"/>
    <n v="0"/>
    <n v="0"/>
    <s v="254494 NEDTAGET"/>
    <s v="74111465433"/>
    <n v="0"/>
    <n v="0"/>
    <n v="92371"/>
  </r>
  <r>
    <x v="1"/>
    <s v="9232"/>
    <s v="Hjortefarmen, Trevang 161"/>
    <n v="13906"/>
    <s v="0"/>
    <s v="Hjortefarmen"/>
    <x v="3"/>
    <x v="1"/>
    <x v="2"/>
    <n v="51"/>
    <n v="4"/>
    <s v="2013-04-08"/>
    <n v="0"/>
    <n v="734"/>
    <n v="6.9472000000000006E-2"/>
    <n v="2"/>
    <x v="2"/>
    <n v="51"/>
    <n v="20.399999999999999"/>
    <n v="0"/>
    <s v="254494 NEDTAGET"/>
    <s v="74111465433"/>
    <n v="51"/>
    <n v="0"/>
    <n v="92371"/>
  </r>
  <r>
    <x v="1"/>
    <s v="2427"/>
    <s v="Kollekollevej 35 TOM"/>
    <n v="13363"/>
    <s v="0"/>
    <s v="Kollekollevej 35 TOM"/>
    <x v="4"/>
    <x v="1"/>
    <x v="1"/>
    <n v="0"/>
    <n v="1"/>
    <s v="2013-01-14"/>
    <n v="0"/>
    <n v="87"/>
    <n v="0"/>
    <n v="2"/>
    <x v="2"/>
    <n v="0"/>
    <n v="0"/>
    <n v="0"/>
    <s v="NEDTAGET 10/1/2014"/>
    <s v="74114229582"/>
    <n v="0"/>
    <n v="0"/>
    <n v="89459"/>
  </r>
  <r>
    <x v="1"/>
    <s v="2427"/>
    <s v="Kollekollevej 35 TOM"/>
    <n v="13363"/>
    <s v="0"/>
    <s v="Kollekollevej 35 TOM"/>
    <x v="4"/>
    <x v="1"/>
    <x v="2"/>
    <n v="4"/>
    <n v="3"/>
    <s v="2013-01-14"/>
    <n v="0"/>
    <n v="87"/>
    <n v="4.5924E-2"/>
    <n v="2"/>
    <x v="2"/>
    <n v="4"/>
    <n v="1.6"/>
    <n v="0"/>
    <s v="NEDTAGET 10/1/2014"/>
    <s v="74114229582"/>
    <n v="4"/>
    <n v="0"/>
    <n v="89459"/>
  </r>
  <r>
    <x v="1"/>
    <s v="2427"/>
    <s v="Kollekollevej 35 TOM"/>
    <n v="13363"/>
    <s v="0"/>
    <s v="Kollekollevej 35 TOM"/>
    <x v="4"/>
    <x v="1"/>
    <x v="3"/>
    <n v="0"/>
    <n v="6"/>
    <s v="2013-01-14"/>
    <n v="0"/>
    <n v="87"/>
    <n v="0"/>
    <n v="2"/>
    <x v="2"/>
    <n v="0"/>
    <n v="0"/>
    <n v="0"/>
    <s v="NEDTAGET 10/1/2014"/>
    <s v="74114229582"/>
    <n v="0"/>
    <n v="0"/>
    <n v="89459"/>
  </r>
  <r>
    <x v="1"/>
    <m/>
    <s v="Kollekollevej 37 TOM"/>
    <n v="10322"/>
    <m/>
    <s v="Kollekollevej 37"/>
    <x v="5"/>
    <x v="1"/>
    <x v="1"/>
    <n v="3915.46"/>
    <n v="7"/>
    <s v="2014-07-01"/>
    <n v="0"/>
    <n v="98"/>
    <n v="39.912945000000001"/>
    <n v="2"/>
    <x v="2"/>
    <n v="3915.46"/>
    <n v="1174.6199999999999"/>
    <n v="0"/>
    <s v="375314-32607"/>
    <s v="74113159491"/>
    <n v="3915.4509699999999"/>
    <n v="0"/>
    <n v="77812"/>
  </r>
  <r>
    <x v="1"/>
    <m/>
    <s v="Kollekollevej 37 TOM"/>
    <n v="10322"/>
    <m/>
    <s v="Kollekollevej 37"/>
    <x v="5"/>
    <x v="1"/>
    <x v="2"/>
    <n v="2223.39"/>
    <n v="3"/>
    <s v="2014-07-01"/>
    <n v="0"/>
    <n v="98"/>
    <n v="22.664525000000001"/>
    <n v="2"/>
    <x v="2"/>
    <n v="2223.39"/>
    <n v="889.37"/>
    <n v="0"/>
    <s v="375314-32607"/>
    <s v="74113159491"/>
    <n v="2223.3939300000002"/>
    <n v="0"/>
    <n v="77812"/>
  </r>
  <r>
    <x v="1"/>
    <m/>
    <s v="Kollekollevej 37 TOM"/>
    <n v="10322"/>
    <m/>
    <s v="Kollekollevej 37"/>
    <x v="5"/>
    <x v="1"/>
    <x v="3"/>
    <n v="1638.93"/>
    <n v="4"/>
    <s v="2014-07-01"/>
    <n v="0"/>
    <n v="98"/>
    <n v="16.706727000000001"/>
    <n v="2"/>
    <x v="2"/>
    <n v="1638.93"/>
    <n v="768.67"/>
    <n v="0"/>
    <s v="375314-32607"/>
    <s v="74113159491"/>
    <n v="1638.9394199999999"/>
    <n v="0"/>
    <n v="77812"/>
  </r>
  <r>
    <x v="1"/>
    <m/>
    <s v="Kollekollevej 37 TOM"/>
    <n v="10322"/>
    <m/>
    <s v="Kollekollevej 37"/>
    <x v="5"/>
    <x v="1"/>
    <x v="4"/>
    <n v="1588.63"/>
    <n v="3"/>
    <s v="2014-07-01"/>
    <n v="0"/>
    <n v="98"/>
    <n v="16.193985000000001"/>
    <n v="2"/>
    <x v="2"/>
    <n v="1588.63"/>
    <n v="745.07"/>
    <n v="0"/>
    <s v="375314-32607"/>
    <s v="74113159491"/>
    <n v="1588.62672"/>
    <n v="0"/>
    <n v="77812"/>
  </r>
  <r>
    <x v="1"/>
    <m/>
    <s v="Kollekollevej 37 TOM"/>
    <n v="10322"/>
    <m/>
    <s v="Kollekollevej 37"/>
    <x v="5"/>
    <x v="1"/>
    <x v="5"/>
    <n v="1474.7"/>
    <n v="3"/>
    <s v="2014-07-01"/>
    <n v="0"/>
    <n v="98"/>
    <n v="15.032619"/>
    <n v="2"/>
    <x v="2"/>
    <n v="1474.7"/>
    <n v="691.66"/>
    <n v="0"/>
    <s v="375314-32607"/>
    <s v="74113159491"/>
    <n v="1474.7066199999999"/>
    <n v="0"/>
    <n v="77812"/>
  </r>
  <r>
    <x v="1"/>
    <m/>
    <s v="Kollekollevej 37 TOM"/>
    <n v="10322"/>
    <m/>
    <s v="Kollekollevej 37"/>
    <x v="5"/>
    <x v="1"/>
    <x v="6"/>
    <n v="1630.03"/>
    <n v="4"/>
    <s v="2014-07-01"/>
    <n v="0"/>
    <n v="98"/>
    <n v="16.616004"/>
    <n v="2"/>
    <x v="2"/>
    <n v="1630.03"/>
    <n v="764.5"/>
    <n v="0"/>
    <s v="375314-32607"/>
    <s v="74113159491"/>
    <n v="1630.03279"/>
    <n v="0"/>
    <n v="77812"/>
  </r>
  <r>
    <x v="1"/>
    <m/>
    <s v="Røde Rust OPSAGT pr 1/3-2012"/>
    <n v="5948"/>
    <m/>
    <s v="Røde Rust"/>
    <x v="8"/>
    <x v="1"/>
    <x v="3"/>
    <n v="795.98"/>
    <n v="2"/>
    <s v="2011-10-10"/>
    <n v="0"/>
    <n v="393"/>
    <n v="2.0248789999999999"/>
    <n v="2"/>
    <x v="2"/>
    <n v="795.98"/>
    <n v="373.34"/>
    <n v="0"/>
    <s v="414291/1097815-38075"/>
    <s v="74111661767"/>
    <n v="796.00001999999995"/>
    <n v="0"/>
    <n v="59962"/>
  </r>
  <r>
    <x v="1"/>
    <m/>
    <s v="Røde Rust OPSAGT pr 1/3-2012"/>
    <n v="5948"/>
    <m/>
    <s v="Røde Rust"/>
    <x v="8"/>
    <x v="1"/>
    <x v="4"/>
    <n v="5288.13"/>
    <n v="3"/>
    <s v="2011-10-10"/>
    <n v="0"/>
    <n v="393"/>
    <n v="13.452378"/>
    <n v="2"/>
    <x v="2"/>
    <n v="5288.13"/>
    <n v="2480.14"/>
    <n v="0"/>
    <s v="414291/1097815-38075"/>
    <s v="74111661767"/>
    <n v="5288.125"/>
    <n v="0"/>
    <n v="59962"/>
  </r>
  <r>
    <x v="1"/>
    <m/>
    <s v="Røde Rust OPSAGT pr 1/3-2012"/>
    <n v="5948"/>
    <m/>
    <s v="Røde Rust"/>
    <x v="8"/>
    <x v="1"/>
    <x v="5"/>
    <n v="13106.5"/>
    <n v="3"/>
    <s v="2011-10-10"/>
    <n v="0"/>
    <n v="393"/>
    <n v="33.341388000000002"/>
    <n v="2"/>
    <x v="2"/>
    <n v="13106.5"/>
    <n v="6146.95"/>
    <n v="0"/>
    <s v="414291/1097815-38075"/>
    <s v="74111661767"/>
    <n v="13106.483109999999"/>
    <n v="0"/>
    <n v="59962"/>
  </r>
  <r>
    <x v="1"/>
    <m/>
    <s v="Røde Rust OPSAGT pr 1/3-2012"/>
    <n v="5948"/>
    <m/>
    <s v="Røde Rust"/>
    <x v="8"/>
    <x v="1"/>
    <x v="6"/>
    <n v="15115.26"/>
    <n v="9"/>
    <s v="2011-10-10"/>
    <n v="0"/>
    <n v="393"/>
    <n v="38.451436999999999"/>
    <n v="2"/>
    <x v="2"/>
    <n v="15115.26"/>
    <n v="7089.05"/>
    <n v="0"/>
    <s v="414291/1097815-38075"/>
    <s v="74111661767"/>
    <n v="15115.2714"/>
    <n v="0"/>
    <n v="59962"/>
  </r>
  <r>
    <x v="1"/>
    <m/>
    <s v="Spejderhus, Alugod, Kollekollevej 39"/>
    <n v="10171"/>
    <m/>
    <s v="Spejderhus, Kollekollevej 39"/>
    <x v="6"/>
    <x v="0"/>
    <x v="0"/>
    <n v="10252"/>
    <n v="5"/>
    <s v="2012-10-31"/>
    <n v="0"/>
    <n v="353"/>
    <n v="29.035485000000001"/>
    <n v="2"/>
    <x v="2"/>
    <n v="10252.43"/>
    <n v="3075.73"/>
    <n v="0"/>
    <s v="136073"/>
    <s v="74110498135"/>
    <n v="10252.429"/>
    <n v="0"/>
    <n v="77185"/>
  </r>
  <r>
    <x v="1"/>
    <m/>
    <s v="Spejderhus, Alugod, Kollekollevej 39"/>
    <n v="10171"/>
    <m/>
    <s v="Spejderhus, Kollekollevej 39"/>
    <x v="6"/>
    <x v="0"/>
    <x v="1"/>
    <n v="36244.120000000003"/>
    <n v="12"/>
    <s v="2012-10-31"/>
    <n v="0"/>
    <n v="353"/>
    <n v="102.645482"/>
    <n v="2"/>
    <x v="2"/>
    <n v="36244.120000000003"/>
    <n v="10873.23"/>
    <n v="0"/>
    <s v="136073"/>
    <s v="74110498135"/>
    <n v="36244.122300000003"/>
    <n v="0"/>
    <n v="77185"/>
  </r>
  <r>
    <x v="1"/>
    <m/>
    <s v="Spejderhus, Alugod, Kollekollevej 39"/>
    <n v="10171"/>
    <m/>
    <s v="Spejderhus, Kollekollevej 39"/>
    <x v="6"/>
    <x v="0"/>
    <x v="2"/>
    <n v="33102.660000000003"/>
    <n v="10"/>
    <s v="2012-10-31"/>
    <n v="0"/>
    <n v="353"/>
    <n v="93.748683"/>
    <n v="2"/>
    <x v="2"/>
    <n v="33102.660000000003"/>
    <n v="13241.08"/>
    <n v="0"/>
    <s v="136073"/>
    <s v="74110498135"/>
    <n v="33102.665289999997"/>
    <n v="0"/>
    <n v="77185"/>
  </r>
  <r>
    <x v="1"/>
    <m/>
    <s v="Spejderhus, Alugod, Kollekollevej 39"/>
    <n v="10171"/>
    <m/>
    <s v="Spejderhus, Kollekollevej 39"/>
    <x v="6"/>
    <x v="0"/>
    <x v="3"/>
    <n v="28086.98"/>
    <n v="1"/>
    <s v="2012-10-31"/>
    <n v="0"/>
    <n v="353"/>
    <n v="79.543981000000002"/>
    <n v="2"/>
    <x v="2"/>
    <n v="28086.98"/>
    <n v="13172.79"/>
    <n v="0"/>
    <s v="136073"/>
    <s v="74110498135"/>
    <n v="28087.001120000001"/>
    <n v="0"/>
    <n v="77185"/>
  </r>
  <r>
    <x v="1"/>
    <m/>
    <s v="Spejderhus, Alugod, Kollekollevej 39"/>
    <n v="10171"/>
    <m/>
    <s v="Spejderhus, Kollekollevej 39"/>
    <x v="6"/>
    <x v="0"/>
    <x v="4"/>
    <n v="31061.34"/>
    <n v="3"/>
    <s v="2012-10-31"/>
    <n v="0"/>
    <n v="353"/>
    <n v="87.967544000000004"/>
    <n v="2"/>
    <x v="2"/>
    <n v="31061.34"/>
    <n v="14567.75"/>
    <n v="0"/>
    <s v="136073"/>
    <s v="74110498135"/>
    <n v="31061.353360000001"/>
    <n v="0"/>
    <n v="77185"/>
  </r>
  <r>
    <x v="1"/>
    <m/>
    <s v="Spejderhus, Alugod, Kollekollevej 39"/>
    <n v="10171"/>
    <m/>
    <s v="Spejderhus, Kollekollevej 39"/>
    <x v="6"/>
    <x v="0"/>
    <x v="5"/>
    <n v="29212.06"/>
    <n v="3"/>
    <s v="2012-10-31"/>
    <n v="0"/>
    <n v="353"/>
    <n v="82.730273999999994"/>
    <n v="2"/>
    <x v="2"/>
    <n v="29212.06"/>
    <n v="13700.43"/>
    <n v="0"/>
    <s v="136073"/>
    <s v="74110498135"/>
    <n v="29212.031230000001"/>
    <n v="0"/>
    <n v="77185"/>
  </r>
  <r>
    <x v="1"/>
    <m/>
    <s v="Spejderhus, Alugod, Kollekollevej 39"/>
    <n v="10171"/>
    <m/>
    <s v="Spejderhus, Kollekollevej 39"/>
    <x v="6"/>
    <x v="0"/>
    <x v="6"/>
    <n v="27496.95"/>
    <n v="4"/>
    <s v="2012-10-31"/>
    <n v="0"/>
    <n v="353"/>
    <n v="77.872981999999993"/>
    <n v="2"/>
    <x v="2"/>
    <n v="27496.95"/>
    <n v="12896.06"/>
    <n v="0"/>
    <s v="136073"/>
    <s v="74110498135"/>
    <n v="27496.952809999999"/>
    <n v="0"/>
    <n v="77185"/>
  </r>
  <r>
    <x v="1"/>
    <m/>
    <s v="Spejderhus, Egedal Solgt"/>
    <n v="10203"/>
    <m/>
    <s v="Spejderhus, Egedal"/>
    <x v="7"/>
    <x v="1"/>
    <x v="2"/>
    <n v="562.30999999999995"/>
    <n v="1"/>
    <s v="2012-11-30"/>
    <n v="0"/>
    <n v="178"/>
    <n v="3.1572710000000002"/>
    <n v="2"/>
    <x v="2"/>
    <n v="562.30999999999995"/>
    <n v="224.94"/>
    <n v="0"/>
    <s v="388648"/>
    <s v="74110492454"/>
    <n v="562.31637999999998"/>
    <n v="0"/>
    <n v="77383"/>
  </r>
  <r>
    <x v="1"/>
    <m/>
    <s v="Spejderhus, Egedal Solgt"/>
    <n v="10203"/>
    <m/>
    <s v="Spejderhus, Egedal"/>
    <x v="7"/>
    <x v="1"/>
    <x v="3"/>
    <n v="295.95"/>
    <n v="7"/>
    <s v="2012-11-30"/>
    <n v="0"/>
    <n v="178"/>
    <n v="1.6617059999999999"/>
    <n v="2"/>
    <x v="2"/>
    <n v="295.95"/>
    <n v="138.80000000000001"/>
    <n v="0"/>
    <s v="388648"/>
    <s v="74110492454"/>
    <n v="295.95632000000001"/>
    <n v="0"/>
    <n v="77383"/>
  </r>
  <r>
    <x v="1"/>
    <m/>
    <s v="Spejderhus, Egedal Solgt"/>
    <n v="10203"/>
    <m/>
    <s v="Spejderhus, Egedal"/>
    <x v="7"/>
    <x v="1"/>
    <x v="4"/>
    <n v="646.01"/>
    <n v="11"/>
    <s v="2012-11-30"/>
    <n v="0"/>
    <n v="178"/>
    <n v="3.6272310000000001"/>
    <n v="2"/>
    <x v="2"/>
    <n v="646.01"/>
    <n v="302.97000000000003"/>
    <n v="0"/>
    <s v="388648"/>
    <s v="74110492454"/>
    <n v="646.01297999999997"/>
    <n v="0"/>
    <n v="77383"/>
  </r>
  <r>
    <x v="1"/>
    <m/>
    <s v="Spejderhus, Egedal Solgt"/>
    <n v="10203"/>
    <m/>
    <s v="Spejderhus, Egedal"/>
    <x v="7"/>
    <x v="1"/>
    <x v="5"/>
    <n v="3205.04"/>
    <n v="11"/>
    <s v="2012-11-30"/>
    <n v="0"/>
    <n v="178"/>
    <n v="17.995732"/>
    <n v="2"/>
    <x v="2"/>
    <n v="3205.04"/>
    <n v="1503.16"/>
    <n v="0"/>
    <s v="388648"/>
    <s v="74110492454"/>
    <n v="3205.0368400000002"/>
    <n v="0"/>
    <n v="77383"/>
  </r>
  <r>
    <x v="1"/>
    <m/>
    <s v="Spejderhus, Egedal Solgt"/>
    <n v="10203"/>
    <m/>
    <s v="Spejderhus, Egedal"/>
    <x v="7"/>
    <x v="1"/>
    <x v="6"/>
    <n v="3138.37"/>
    <n v="9"/>
    <s v="2012-11-30"/>
    <n v="0"/>
    <n v="178"/>
    <n v="17.621392"/>
    <n v="2"/>
    <x v="2"/>
    <n v="3138.37"/>
    <n v="1471.89"/>
    <n v="0"/>
    <s v="388648"/>
    <s v="74110492454"/>
    <n v="3138.3587400000001"/>
    <n v="0"/>
    <n v="77383"/>
  </r>
  <r>
    <x v="1"/>
    <m/>
    <s v="Tumlebo - OPSAGT 31/7/2011"/>
    <n v="5947"/>
    <m/>
    <s v="Tumlebo"/>
    <x v="9"/>
    <x v="1"/>
    <x v="3"/>
    <n v="508.98"/>
    <n v="3"/>
    <s v="2011-11-09"/>
    <n v="0"/>
    <n v="489"/>
    <n v="1.040646"/>
    <n v="2"/>
    <x v="2"/>
    <n v="508.98"/>
    <n v="238.73"/>
    <n v="0"/>
    <s v="337918"/>
    <s v="74111798173"/>
    <n v="509"/>
    <n v="0"/>
    <n v="59959"/>
  </r>
  <r>
    <x v="1"/>
    <m/>
    <s v="Tumlebo - OPSAGT 31/7/2011"/>
    <n v="5947"/>
    <m/>
    <s v="Tumlebo"/>
    <x v="9"/>
    <x v="0"/>
    <x v="4"/>
    <n v="3978.82"/>
    <n v="3"/>
    <s v="2011-11-09"/>
    <n v="0"/>
    <n v="489"/>
    <n v="8.1349820000000008"/>
    <n v="2"/>
    <x v="2"/>
    <n v="3978.82"/>
    <n v="1866.05"/>
    <n v="0"/>
    <s v="337918"/>
    <s v="74111798173"/>
    <n v="3978.83401"/>
    <n v="0"/>
    <n v="59959"/>
  </r>
  <r>
    <x v="1"/>
    <m/>
    <s v="Tumlebo - OPSAGT 31/7/2011"/>
    <n v="5947"/>
    <m/>
    <s v="Tumlebo"/>
    <x v="9"/>
    <x v="0"/>
    <x v="5"/>
    <n v="16118.98"/>
    <n v="2"/>
    <s v="2011-11-09"/>
    <n v="0"/>
    <n v="489"/>
    <n v="32.956409000000001"/>
    <n v="2"/>
    <x v="2"/>
    <n v="16118.98"/>
    <n v="7559.79"/>
    <n v="0"/>
    <s v="337918"/>
    <s v="74111798173"/>
    <n v="16118.99458"/>
    <n v="0"/>
    <n v="59959"/>
  </r>
  <r>
    <x v="1"/>
    <m/>
    <s v="Tumlebo - OPSAGT 31/7/2011"/>
    <n v="5947"/>
    <m/>
    <s v="Tumlebo"/>
    <x v="9"/>
    <x v="0"/>
    <x v="6"/>
    <n v="17459.759999999998"/>
    <n v="3"/>
    <s v="2011-11-09"/>
    <n v="0"/>
    <n v="489"/>
    <n v="35.69773"/>
    <n v="2"/>
    <x v="2"/>
    <n v="17459.759999999998"/>
    <n v="8188.64"/>
    <n v="0"/>
    <s v="337918"/>
    <s v="74111798173"/>
    <n v="17459.786810000001"/>
    <n v="0"/>
    <n v="59959"/>
  </r>
  <r>
    <x v="1"/>
    <m/>
    <s v="Spejderhus, Alugod, Kollekollevej 39"/>
    <n v="10171"/>
    <m/>
    <s v="Spejderhus, Kollekollevej 39"/>
    <x v="6"/>
    <x v="0"/>
    <x v="7"/>
    <n v="61.8"/>
    <n v="12"/>
    <s v="2011-08-30"/>
    <n v="0"/>
    <n v="353"/>
    <n v="0.17502100000000001"/>
    <n v="3"/>
    <x v="0"/>
    <n v="61.8"/>
    <n v="49.44"/>
    <n v="0"/>
    <s v="41215"/>
    <m/>
    <n v="61.8"/>
    <n v="0"/>
    <n v="77186"/>
  </r>
  <r>
    <x v="1"/>
    <m/>
    <s v="Spejderhus, Alugod, Kollekollevej 39"/>
    <n v="10171"/>
    <m/>
    <s v="Spejderhus, Kollekollevej 39"/>
    <x v="6"/>
    <x v="0"/>
    <x v="7"/>
    <n v="18664.57"/>
    <n v="11"/>
    <s v="2012-10-31"/>
    <n v="0"/>
    <n v="353"/>
    <n v="52.859161"/>
    <n v="2"/>
    <x v="2"/>
    <n v="18664.57"/>
    <n v="5599.36"/>
    <n v="0"/>
    <s v="136073"/>
    <s v="74110498135"/>
    <n v="18664.554100000001"/>
    <n v="0"/>
    <n v="77185"/>
  </r>
  <r>
    <x v="2"/>
    <s v="04272-2"/>
    <s v="Bybækskolen"/>
    <n v="5478"/>
    <m/>
    <s v="Bimåler BV"/>
    <x v="10"/>
    <x v="0"/>
    <x v="0"/>
    <n v="0"/>
    <n v="5"/>
    <m/>
    <n v="0"/>
    <n v="0"/>
    <n v="0"/>
    <n v="3"/>
    <x v="0"/>
    <n v="0"/>
    <n v="0"/>
    <n v="1"/>
    <s v="BV 02"/>
    <m/>
    <n v="0"/>
    <n v="0"/>
    <n v="58275"/>
  </r>
  <r>
    <x v="2"/>
    <s v="04272-2"/>
    <s v="Bybækskolen"/>
    <n v="5478"/>
    <m/>
    <s v="Bimåler BV"/>
    <x v="10"/>
    <x v="0"/>
    <x v="0"/>
    <n v="0"/>
    <n v="5"/>
    <m/>
    <n v="0"/>
    <n v="0"/>
    <n v="898.4"/>
    <n v="3"/>
    <x v="0"/>
    <n v="89.84"/>
    <n v="71.87"/>
    <n v="1"/>
    <s v="BV 01"/>
    <m/>
    <n v="89.84"/>
    <n v="0"/>
    <n v="58276"/>
  </r>
  <r>
    <x v="2"/>
    <s v="04272-2"/>
    <s v="Bybækskolen"/>
    <n v="5478"/>
    <m/>
    <s v="Bimåler BV"/>
    <x v="10"/>
    <x v="0"/>
    <x v="1"/>
    <n v="0"/>
    <n v="12"/>
    <m/>
    <n v="0"/>
    <n v="0"/>
    <n v="0"/>
    <n v="3"/>
    <x v="0"/>
    <n v="0"/>
    <n v="0"/>
    <n v="1"/>
    <s v="BV 02"/>
    <m/>
    <n v="0"/>
    <n v="0"/>
    <n v="58275"/>
  </r>
  <r>
    <x v="2"/>
    <s v="04272-2"/>
    <s v="Bybækskolen"/>
    <n v="5478"/>
    <m/>
    <s v="Bimåler BV"/>
    <x v="10"/>
    <x v="0"/>
    <x v="1"/>
    <n v="122.51"/>
    <n v="12"/>
    <m/>
    <n v="0"/>
    <n v="0"/>
    <n v="1225.0999999999999"/>
    <n v="3"/>
    <x v="0"/>
    <n v="122.51"/>
    <n v="98"/>
    <n v="1"/>
    <s v="BV 01"/>
    <m/>
    <n v="122.51"/>
    <n v="0"/>
    <n v="58276"/>
  </r>
  <r>
    <x v="2"/>
    <s v="04272-2"/>
    <s v="Bybækskolen"/>
    <n v="5478"/>
    <m/>
    <s v="Bimåler BV"/>
    <x v="10"/>
    <x v="0"/>
    <x v="2"/>
    <n v="0"/>
    <n v="12"/>
    <m/>
    <n v="0"/>
    <n v="0"/>
    <n v="0"/>
    <n v="3"/>
    <x v="0"/>
    <n v="0"/>
    <n v="0"/>
    <n v="1"/>
    <s v="BV 02"/>
    <m/>
    <n v="0"/>
    <n v="0"/>
    <n v="58275"/>
  </r>
  <r>
    <x v="2"/>
    <s v="04272-2"/>
    <s v="Bybækskolen"/>
    <n v="5478"/>
    <m/>
    <s v="Bimåler BV"/>
    <x v="10"/>
    <x v="0"/>
    <x v="2"/>
    <n v="69.08"/>
    <n v="12"/>
    <m/>
    <n v="0"/>
    <n v="0"/>
    <n v="690.8"/>
    <n v="3"/>
    <x v="0"/>
    <n v="69.08"/>
    <n v="55.27"/>
    <n v="1"/>
    <s v="BV 01"/>
    <m/>
    <n v="69.08"/>
    <n v="0"/>
    <n v="58276"/>
  </r>
  <r>
    <x v="2"/>
    <s v="04272-2"/>
    <s v="Bybækskolen"/>
    <n v="5478"/>
    <m/>
    <s v="Bimåler BV"/>
    <x v="10"/>
    <x v="0"/>
    <x v="3"/>
    <n v="0"/>
    <n v="12"/>
    <m/>
    <n v="0"/>
    <n v="0"/>
    <n v="0"/>
    <n v="3"/>
    <x v="0"/>
    <n v="0"/>
    <n v="0"/>
    <n v="1"/>
    <s v="BV 02"/>
    <m/>
    <n v="0"/>
    <n v="0"/>
    <n v="58275"/>
  </r>
  <r>
    <x v="2"/>
    <s v="04272-2"/>
    <s v="Bybækskolen"/>
    <n v="5478"/>
    <m/>
    <s v="Bimåler BV"/>
    <x v="10"/>
    <x v="0"/>
    <x v="3"/>
    <n v="1.1000000000000001"/>
    <n v="12"/>
    <m/>
    <n v="0"/>
    <n v="0"/>
    <n v="11"/>
    <n v="3"/>
    <x v="0"/>
    <n v="1.1000000000000001"/>
    <n v="0.88"/>
    <n v="1"/>
    <s v="BV 01"/>
    <m/>
    <n v="1.1000000000000001"/>
    <n v="0"/>
    <n v="58276"/>
  </r>
  <r>
    <x v="2"/>
    <s v="04272-2"/>
    <s v="Bybækskolen"/>
    <n v="5478"/>
    <m/>
    <s v="Bimåler BV"/>
    <x v="10"/>
    <x v="0"/>
    <x v="4"/>
    <n v="0"/>
    <n v="12"/>
    <m/>
    <n v="0"/>
    <n v="0"/>
    <n v="0"/>
    <n v="3"/>
    <x v="0"/>
    <n v="0"/>
    <n v="0"/>
    <n v="1"/>
    <s v="BV 02"/>
    <m/>
    <n v="0"/>
    <n v="0"/>
    <n v="58275"/>
  </r>
  <r>
    <x v="2"/>
    <s v="04272-2"/>
    <s v="Bybækskolen"/>
    <n v="5478"/>
    <m/>
    <s v="Bimåler BV"/>
    <x v="10"/>
    <x v="0"/>
    <x v="4"/>
    <n v="5.46"/>
    <n v="12"/>
    <m/>
    <n v="0"/>
    <n v="0"/>
    <n v="54.6"/>
    <n v="3"/>
    <x v="0"/>
    <n v="5.46"/>
    <n v="4.3600000000000003"/>
    <n v="1"/>
    <s v="BV 01"/>
    <m/>
    <n v="5.46"/>
    <n v="0"/>
    <n v="58276"/>
  </r>
  <r>
    <x v="2"/>
    <s v="04272-2"/>
    <s v="Bybækskolen"/>
    <n v="5478"/>
    <m/>
    <s v="Bimåler BV"/>
    <x v="10"/>
    <x v="0"/>
    <x v="5"/>
    <n v="0"/>
    <n v="12"/>
    <m/>
    <n v="0"/>
    <n v="0"/>
    <n v="0"/>
    <n v="3"/>
    <x v="0"/>
    <n v="0"/>
    <n v="0"/>
    <n v="1"/>
    <s v="BV 02"/>
    <m/>
    <n v="0"/>
    <n v="0"/>
    <n v="58275"/>
  </r>
  <r>
    <x v="2"/>
    <s v="04272-2"/>
    <s v="Bybækskolen"/>
    <n v="5478"/>
    <m/>
    <s v="Bimåler BV"/>
    <x v="10"/>
    <x v="0"/>
    <x v="5"/>
    <n v="55.54"/>
    <n v="12"/>
    <m/>
    <n v="0"/>
    <n v="0"/>
    <n v="555.4"/>
    <n v="3"/>
    <x v="0"/>
    <n v="55.54"/>
    <n v="44.43"/>
    <n v="1"/>
    <s v="BV 01"/>
    <m/>
    <n v="55.54"/>
    <n v="0"/>
    <n v="58276"/>
  </r>
  <r>
    <x v="2"/>
    <s v="04272-2"/>
    <s v="Bybækskolen"/>
    <n v="5478"/>
    <m/>
    <s v="Bimåler BV"/>
    <x v="10"/>
    <x v="0"/>
    <x v="6"/>
    <n v="0"/>
    <n v="12"/>
    <m/>
    <n v="0"/>
    <n v="0"/>
    <n v="0"/>
    <n v="3"/>
    <x v="0"/>
    <n v="0"/>
    <n v="0"/>
    <n v="1"/>
    <s v="BV 02"/>
    <m/>
    <n v="0"/>
    <n v="0"/>
    <n v="58275"/>
  </r>
  <r>
    <x v="2"/>
    <s v="04272-2"/>
    <s v="Bybækskolen"/>
    <n v="5478"/>
    <m/>
    <s v="Bimåler BV"/>
    <x v="10"/>
    <x v="0"/>
    <x v="6"/>
    <n v="99.74"/>
    <n v="12"/>
    <m/>
    <n v="0"/>
    <n v="0"/>
    <n v="997.4"/>
    <n v="3"/>
    <x v="0"/>
    <n v="99.74"/>
    <n v="79.81"/>
    <n v="1"/>
    <s v="BV 01"/>
    <m/>
    <n v="99.74"/>
    <n v="0"/>
    <n v="58276"/>
  </r>
  <r>
    <x v="2"/>
    <s v="04272-2"/>
    <s v="Bybækskolen"/>
    <n v="5477"/>
    <m/>
    <s v="Bybækskolen"/>
    <x v="10"/>
    <x v="0"/>
    <x v="0"/>
    <n v="957"/>
    <n v="5"/>
    <s v="2005-06-01"/>
    <n v="0"/>
    <n v="9829"/>
    <n v="5.0610000000000002E-2"/>
    <n v="3"/>
    <x v="0"/>
    <n v="497.46"/>
    <n v="397.97"/>
    <n v="0"/>
    <s v="10012218"/>
    <m/>
    <n v="497.46"/>
    <n v="0"/>
    <n v="57922"/>
  </r>
  <r>
    <x v="2"/>
    <s v="04272-2"/>
    <s v="Bybækskolen"/>
    <n v="5477"/>
    <m/>
    <s v="Bybækskolen"/>
    <x v="10"/>
    <x v="0"/>
    <x v="1"/>
    <n v="735.58"/>
    <n v="12"/>
    <s v="2005-06-01"/>
    <n v="0"/>
    <n v="9829"/>
    <n v="7.4836E-2"/>
    <n v="3"/>
    <x v="0"/>
    <n v="735.58"/>
    <n v="588.47"/>
    <n v="0"/>
    <s v="10012218"/>
    <m/>
    <n v="735.58"/>
    <n v="0"/>
    <n v="57922"/>
  </r>
  <r>
    <x v="2"/>
    <s v="04272-2"/>
    <s v="Bybækskolen"/>
    <n v="5477"/>
    <m/>
    <s v="Bybækskolen"/>
    <x v="10"/>
    <x v="0"/>
    <x v="2"/>
    <n v="434.42"/>
    <n v="12"/>
    <s v="2005-06-01"/>
    <n v="0"/>
    <n v="9829"/>
    <n v="4.4197E-2"/>
    <n v="3"/>
    <x v="0"/>
    <n v="434.42"/>
    <n v="347.56"/>
    <n v="0"/>
    <s v="10012218"/>
    <m/>
    <n v="434.42"/>
    <n v="0"/>
    <n v="57922"/>
  </r>
  <r>
    <x v="2"/>
    <s v="04272-2"/>
    <s v="Bybækskolen"/>
    <n v="5477"/>
    <m/>
    <s v="Bybækskolen"/>
    <x v="10"/>
    <x v="0"/>
    <x v="3"/>
    <n v="336.4"/>
    <n v="12"/>
    <s v="2005-06-01"/>
    <n v="0"/>
    <n v="9829"/>
    <n v="3.4223999999999997E-2"/>
    <n v="3"/>
    <x v="0"/>
    <n v="336.4"/>
    <n v="269.11"/>
    <n v="0"/>
    <s v="10012218"/>
    <m/>
    <n v="336.4"/>
    <n v="0"/>
    <n v="57922"/>
  </r>
  <r>
    <x v="2"/>
    <s v="04272-2"/>
    <s v="Bybækskolen"/>
    <n v="5477"/>
    <m/>
    <s v="Bybækskolen"/>
    <x v="10"/>
    <x v="0"/>
    <x v="4"/>
    <n v="501.06"/>
    <n v="12"/>
    <s v="2005-06-01"/>
    <n v="0"/>
    <n v="9829"/>
    <n v="5.0977000000000001E-2"/>
    <n v="3"/>
    <x v="0"/>
    <n v="501.06"/>
    <n v="400.84"/>
    <n v="0"/>
    <s v="10012218"/>
    <m/>
    <n v="501.06"/>
    <n v="0"/>
    <n v="57922"/>
  </r>
  <r>
    <x v="2"/>
    <s v="04272-2"/>
    <s v="Bybækskolen"/>
    <n v="5477"/>
    <m/>
    <s v="Bybækskolen"/>
    <x v="10"/>
    <x v="0"/>
    <x v="5"/>
    <n v="635.45000000000005"/>
    <n v="12"/>
    <s v="2005-06-01"/>
    <n v="0"/>
    <n v="9829"/>
    <n v="6.4648999999999998E-2"/>
    <n v="3"/>
    <x v="0"/>
    <n v="635.45000000000005"/>
    <n v="508.38"/>
    <n v="0"/>
    <s v="10012218"/>
    <m/>
    <n v="635.45000000000005"/>
    <n v="0"/>
    <n v="57922"/>
  </r>
  <r>
    <x v="2"/>
    <s v="04272-2"/>
    <s v="Bybækskolen"/>
    <n v="5477"/>
    <m/>
    <s v="Bybækskolen"/>
    <x v="10"/>
    <x v="0"/>
    <x v="6"/>
    <n v="960.7"/>
    <n v="12"/>
    <s v="2005-06-01"/>
    <n v="0"/>
    <n v="9829"/>
    <n v="9.7739999999999994E-2"/>
    <n v="3"/>
    <x v="0"/>
    <n v="960.7"/>
    <n v="768.56"/>
    <n v="0"/>
    <s v="10012218"/>
    <m/>
    <n v="960.7"/>
    <n v="0"/>
    <n v="57922"/>
  </r>
  <r>
    <x v="2"/>
    <m/>
    <s v="Driftsgården"/>
    <n v="10123"/>
    <m/>
    <s v="Bygning 3"/>
    <x v="11"/>
    <x v="0"/>
    <x v="1"/>
    <n v="1926.87"/>
    <n v="12"/>
    <m/>
    <n v="0"/>
    <n v="1413"/>
    <n v="1.3635759999999999"/>
    <n v="3"/>
    <x v="0"/>
    <n v="1926.87"/>
    <n v="1541.49"/>
    <n v="0"/>
    <m/>
    <m/>
    <n v="1926.8779999999999"/>
    <n v="0"/>
    <n v="76937"/>
  </r>
  <r>
    <x v="2"/>
    <m/>
    <s v="Driftsgården"/>
    <n v="10124"/>
    <m/>
    <s v="Bygning 1"/>
    <x v="11"/>
    <x v="0"/>
    <x v="1"/>
    <n v="145518.56"/>
    <n v="12"/>
    <s v="2008-01-31"/>
    <n v="0"/>
    <n v="780"/>
    <n v="186.538341"/>
    <n v="1"/>
    <x v="4"/>
    <n v="151569.49"/>
    <n v="32054.16"/>
    <n v="0"/>
    <s v="Afmeldt 1203849"/>
    <s v="98004052476"/>
    <n v="13473.94"/>
    <n v="0"/>
    <n v="77796"/>
  </r>
  <r>
    <x v="2"/>
    <m/>
    <s v="Driftsgården"/>
    <n v="10123"/>
    <m/>
    <s v="Bygning 3"/>
    <x v="11"/>
    <x v="0"/>
    <x v="2"/>
    <n v="1860.98"/>
    <n v="12"/>
    <m/>
    <n v="0"/>
    <n v="1413"/>
    <n v="1.316948"/>
    <n v="3"/>
    <x v="0"/>
    <n v="1860.98"/>
    <n v="1488.79"/>
    <n v="0"/>
    <m/>
    <m/>
    <n v="1860.991"/>
    <n v="0"/>
    <n v="76937"/>
  </r>
  <r>
    <x v="2"/>
    <m/>
    <s v="Driftsgården"/>
    <n v="10123"/>
    <m/>
    <s v="Bygning 3"/>
    <x v="11"/>
    <x v="0"/>
    <x v="3"/>
    <n v="1727.76"/>
    <n v="12"/>
    <m/>
    <n v="0"/>
    <n v="1413"/>
    <n v="1.2226729999999999"/>
    <n v="3"/>
    <x v="0"/>
    <n v="1727.76"/>
    <n v="1382.19"/>
    <n v="0"/>
    <m/>
    <m/>
    <n v="1727.742"/>
    <n v="0"/>
    <n v="76937"/>
  </r>
  <r>
    <x v="2"/>
    <m/>
    <s v="Driftsgården"/>
    <n v="10123"/>
    <m/>
    <s v="Bygning 3"/>
    <x v="11"/>
    <x v="0"/>
    <x v="4"/>
    <n v="1555.69"/>
    <n v="12"/>
    <m/>
    <n v="0"/>
    <n v="1413"/>
    <n v="1.100905"/>
    <n v="3"/>
    <x v="0"/>
    <n v="1555.69"/>
    <n v="1244.55"/>
    <n v="0"/>
    <m/>
    <m/>
    <n v="1555.6949999999999"/>
    <n v="0"/>
    <n v="76937"/>
  </r>
  <r>
    <x v="2"/>
    <m/>
    <s v="Driftsgården"/>
    <n v="10123"/>
    <m/>
    <s v="Bygning 3"/>
    <x v="11"/>
    <x v="0"/>
    <x v="5"/>
    <n v="1509.57"/>
    <n v="12"/>
    <m/>
    <n v="0"/>
    <n v="1413"/>
    <n v="1.068268"/>
    <n v="3"/>
    <x v="0"/>
    <n v="1509.57"/>
    <n v="1207.67"/>
    <n v="0"/>
    <m/>
    <m/>
    <n v="1509.58"/>
    <n v="0"/>
    <n v="76937"/>
  </r>
  <r>
    <x v="2"/>
    <m/>
    <s v="Driftsgården"/>
    <n v="10123"/>
    <m/>
    <s v="Bygning 3"/>
    <x v="11"/>
    <x v="0"/>
    <x v="6"/>
    <n v="1157.79"/>
    <n v="12"/>
    <m/>
    <n v="0"/>
    <n v="1413"/>
    <n v="0.819326"/>
    <n v="3"/>
    <x v="0"/>
    <n v="1157.79"/>
    <n v="926.22"/>
    <n v="0"/>
    <m/>
    <m/>
    <n v="1157.7850000000001"/>
    <n v="0"/>
    <n v="76937"/>
  </r>
  <r>
    <x v="2"/>
    <m/>
    <s v="Driftsgården"/>
    <n v="10123"/>
    <m/>
    <s v="Bygning 3"/>
    <x v="11"/>
    <x v="0"/>
    <x v="6"/>
    <n v="131.61000000000001"/>
    <n v="1"/>
    <s v="2008-01-31"/>
    <n v="0"/>
    <n v="1413"/>
    <n v="9.3134999999999996E-2"/>
    <n v="3"/>
    <x v="0"/>
    <n v="131.61000000000001"/>
    <n v="105.29"/>
    <n v="0"/>
    <s v="00WPE016273"/>
    <m/>
    <n v="131.6129"/>
    <n v="0"/>
    <n v="77799"/>
  </r>
  <r>
    <x v="2"/>
    <s v="03972-1"/>
    <s v="Skolelandbruget"/>
    <n v="6070"/>
    <m/>
    <s v="Skolelandbruget"/>
    <x v="12"/>
    <x v="0"/>
    <x v="0"/>
    <n v="105"/>
    <n v="5"/>
    <s v="2015-05-06"/>
    <n v="0"/>
    <n v="800"/>
    <n v="4.7606000000000002E-2"/>
    <n v="3"/>
    <x v="0"/>
    <n v="38.090000000000003"/>
    <n v="30.48"/>
    <n v="0"/>
    <s v="-04104875"/>
    <m/>
    <n v="38.092570000000002"/>
    <n v="0"/>
    <n v="60881"/>
  </r>
  <r>
    <x v="2"/>
    <s v="03972-1"/>
    <s v="Skolelandbruget"/>
    <n v="6070"/>
    <m/>
    <s v="Skolelandbruget"/>
    <x v="12"/>
    <x v="0"/>
    <x v="1"/>
    <n v="111.97"/>
    <n v="12"/>
    <s v="2015-05-06"/>
    <n v="0"/>
    <n v="800"/>
    <n v="0.13994500000000001"/>
    <n v="3"/>
    <x v="0"/>
    <n v="111.97"/>
    <n v="89.58"/>
    <n v="0"/>
    <s v="-04104875"/>
    <m/>
    <n v="111.96766"/>
    <n v="0"/>
    <n v="60881"/>
  </r>
  <r>
    <x v="2"/>
    <s v="03972-1"/>
    <s v="Skolelandbruget"/>
    <n v="6070"/>
    <m/>
    <s v="Skolelandbruget"/>
    <x v="12"/>
    <x v="0"/>
    <x v="2"/>
    <n v="130.54"/>
    <n v="12"/>
    <s v="2015-05-06"/>
    <n v="0"/>
    <n v="800"/>
    <n v="0.16315399999999999"/>
    <n v="3"/>
    <x v="0"/>
    <n v="130.54"/>
    <n v="104.43"/>
    <n v="0"/>
    <s v="-04104875"/>
    <m/>
    <n v="130.54799"/>
    <n v="0"/>
    <n v="60881"/>
  </r>
  <r>
    <x v="2"/>
    <s v="03972-1"/>
    <s v="Skolelandbruget"/>
    <n v="6070"/>
    <m/>
    <s v="Skolelandbruget"/>
    <x v="12"/>
    <x v="0"/>
    <x v="3"/>
    <n v="130.24"/>
    <n v="12"/>
    <s v="2015-05-06"/>
    <n v="0"/>
    <n v="800"/>
    <n v="0.16277900000000001"/>
    <n v="3"/>
    <x v="0"/>
    <n v="130.24"/>
    <n v="104.19"/>
    <n v="0"/>
    <s v="-04104875"/>
    <m/>
    <n v="130.23769999999999"/>
    <n v="0"/>
    <n v="60881"/>
  </r>
  <r>
    <x v="2"/>
    <s v="03972-1"/>
    <s v="Skolelandbruget"/>
    <n v="6070"/>
    <m/>
    <s v="Skolelandbruget"/>
    <x v="12"/>
    <x v="0"/>
    <x v="4"/>
    <n v="137.47999999999999"/>
    <n v="12"/>
    <s v="2015-05-06"/>
    <n v="0"/>
    <n v="800"/>
    <n v="0.17182800000000001"/>
    <n v="3"/>
    <x v="0"/>
    <n v="137.47999999999999"/>
    <n v="109.97"/>
    <n v="0"/>
    <s v="-04104875"/>
    <m/>
    <n v="137.47457"/>
    <n v="0"/>
    <n v="60881"/>
  </r>
  <r>
    <x v="2"/>
    <s v="03972-1"/>
    <s v="Skolelandbruget"/>
    <n v="6070"/>
    <m/>
    <s v="Skolelandbruget"/>
    <x v="12"/>
    <x v="0"/>
    <x v="5"/>
    <n v="147.16"/>
    <n v="12"/>
    <s v="2015-05-06"/>
    <n v="0"/>
    <n v="800"/>
    <n v="0.18392700000000001"/>
    <n v="3"/>
    <x v="0"/>
    <n v="147.16"/>
    <n v="117.72"/>
    <n v="0"/>
    <s v="-04104875"/>
    <m/>
    <n v="147.14938000000001"/>
    <n v="0"/>
    <n v="60881"/>
  </r>
  <r>
    <x v="2"/>
    <s v="03972-1"/>
    <s v="Skolelandbruget"/>
    <n v="6070"/>
    <m/>
    <s v="Skolelandbruget"/>
    <x v="12"/>
    <x v="0"/>
    <x v="6"/>
    <n v="210.62"/>
    <n v="11"/>
    <s v="2015-05-06"/>
    <n v="0"/>
    <n v="800"/>
    <n v="0.26324199999999998"/>
    <n v="3"/>
    <x v="0"/>
    <n v="210.62"/>
    <n v="168.5"/>
    <n v="0"/>
    <s v="-04104875"/>
    <m/>
    <n v="210.61574999999999"/>
    <n v="0"/>
    <n v="60881"/>
  </r>
  <r>
    <x v="2"/>
    <s v="04272-2"/>
    <s v="Bybækskolen"/>
    <n v="5478"/>
    <m/>
    <s v="Bimåler BV"/>
    <x v="10"/>
    <x v="0"/>
    <x v="7"/>
    <n v="0"/>
    <n v="12"/>
    <m/>
    <n v="0"/>
    <n v="0"/>
    <n v="0"/>
    <n v="3"/>
    <x v="0"/>
    <n v="0"/>
    <n v="0"/>
    <n v="1"/>
    <s v="BV 02"/>
    <m/>
    <n v="0"/>
    <n v="0"/>
    <n v="58275"/>
  </r>
  <r>
    <x v="2"/>
    <s v="04272-2"/>
    <s v="Bybækskolen"/>
    <n v="5478"/>
    <m/>
    <s v="Bimåler BV"/>
    <x v="10"/>
    <x v="0"/>
    <x v="7"/>
    <n v="141.85"/>
    <n v="12"/>
    <m/>
    <n v="0"/>
    <n v="0"/>
    <n v="1418.5"/>
    <n v="3"/>
    <x v="0"/>
    <n v="141.85"/>
    <n v="113.46"/>
    <n v="1"/>
    <s v="BV 01"/>
    <m/>
    <n v="141.85"/>
    <n v="0"/>
    <n v="58276"/>
  </r>
  <r>
    <x v="2"/>
    <s v="04272-2"/>
    <s v="Bybækskolen"/>
    <n v="5477"/>
    <m/>
    <s v="Bybækskolen"/>
    <x v="10"/>
    <x v="0"/>
    <x v="7"/>
    <n v="1031.78"/>
    <n v="12"/>
    <s v="2005-06-01"/>
    <n v="0"/>
    <n v="9829"/>
    <n v="0.10497099999999999"/>
    <n v="3"/>
    <x v="0"/>
    <n v="1031.78"/>
    <n v="825.42"/>
    <n v="0"/>
    <s v="10012218"/>
    <m/>
    <n v="1031.78"/>
    <n v="0"/>
    <n v="57922"/>
  </r>
  <r>
    <x v="2"/>
    <s v="04272-2"/>
    <s v="Bybækskolen"/>
    <n v="5477"/>
    <m/>
    <s v="Bybækskolen"/>
    <x v="10"/>
    <x v="0"/>
    <x v="7"/>
    <n v="611620"/>
    <n v="12"/>
    <s v="2005-06-01"/>
    <n v="0"/>
    <n v="9829"/>
    <n v="62.225431999999998"/>
    <n v="1"/>
    <x v="1"/>
    <n v="743319.27"/>
    <n v="51271821.479999997"/>
    <n v="0"/>
    <s v="4107844"/>
    <m/>
    <n v="611620"/>
    <n v="0"/>
    <n v="57921"/>
  </r>
  <r>
    <x v="2"/>
    <s v="04272-2"/>
    <s v="Bybækskolen"/>
    <n v="5477"/>
    <m/>
    <s v="Bybækskolen"/>
    <x v="10"/>
    <x v="0"/>
    <x v="6"/>
    <n v="301881.03999999998"/>
    <n v="12"/>
    <s v="2005-06-01"/>
    <n v="0"/>
    <n v="9829"/>
    <n v="30.712987999999999"/>
    <n v="2"/>
    <x v="2"/>
    <n v="301881.03999999998"/>
    <n v="141582.22"/>
    <n v="0"/>
    <s v="70-011153/459113"/>
    <s v="74111762860"/>
    <n v="301881.05482999998"/>
    <n v="0"/>
    <n v="57920"/>
  </r>
  <r>
    <x v="2"/>
    <s v="04272-2"/>
    <s v="Bybækskolen"/>
    <n v="5477"/>
    <m/>
    <s v="Bybækskolen"/>
    <x v="10"/>
    <x v="1"/>
    <x v="7"/>
    <n v="908172.75"/>
    <n v="12"/>
    <s v="2005-06-01"/>
    <n v="0"/>
    <n v="9829"/>
    <n v="92.396327999999997"/>
    <n v="1"/>
    <x v="3"/>
    <n v="1104684.19"/>
    <n v="1651210.03"/>
    <n v="1"/>
    <s v="4107844"/>
    <m/>
    <n v="26029.599999999999"/>
    <n v="0"/>
    <n v="58277"/>
  </r>
  <r>
    <x v="2"/>
    <m/>
    <s v="Bygning 77, Sandet 17"/>
    <n v="14276"/>
    <s v="347"/>
    <s v="Bygning 77"/>
    <x v="13"/>
    <x v="0"/>
    <x v="7"/>
    <n v="5946.78"/>
    <n v="3"/>
    <s v="2015-01-26"/>
    <n v="0"/>
    <n v="315"/>
    <n v="18.872675000000001"/>
    <n v="2"/>
    <x v="2"/>
    <n v="5946.78"/>
    <n v="1784.03"/>
    <n v="0"/>
    <s v="3100847"/>
    <s v="74115958559"/>
    <n v="5946.7746500000003"/>
    <n v="0"/>
    <n v="94519"/>
  </r>
  <r>
    <x v="2"/>
    <m/>
    <s v="Driftsgården"/>
    <n v="10123"/>
    <m/>
    <s v="Bygning 3"/>
    <x v="11"/>
    <x v="0"/>
    <x v="1"/>
    <n v="141946.78"/>
    <n v="12"/>
    <s v="2010-11-30"/>
    <n v="0"/>
    <n v="1413"/>
    <n v="100.450626"/>
    <n v="1"/>
    <x v="4"/>
    <n v="147718.46"/>
    <n v="31239.73"/>
    <n v="0"/>
    <s v="3101250"/>
    <s v="98004376794"/>
    <n v="13143.22"/>
    <n v="0"/>
    <n v="77798"/>
  </r>
  <r>
    <x v="2"/>
    <m/>
    <s v="Driftsgården"/>
    <n v="10124"/>
    <m/>
    <s v="Bygning 1"/>
    <x v="11"/>
    <x v="0"/>
    <x v="1"/>
    <n v="46034.720000000001"/>
    <n v="12"/>
    <m/>
    <n v="0"/>
    <n v="780"/>
    <n v="59.011305999999998"/>
    <n v="2"/>
    <x v="2"/>
    <n v="46034.720000000001"/>
    <n v="13810.42"/>
    <n v="0"/>
    <m/>
    <m/>
    <n v="46034.724000000002"/>
    <n v="0"/>
    <n v="76939"/>
  </r>
  <r>
    <x v="2"/>
    <m/>
    <s v="Driftsgården"/>
    <n v="10123"/>
    <m/>
    <s v="Bygning 3"/>
    <x v="11"/>
    <x v="0"/>
    <x v="1"/>
    <n v="36854.44"/>
    <n v="12"/>
    <m/>
    <n v="0"/>
    <n v="1413"/>
    <n v="26.080559999999998"/>
    <n v="2"/>
    <x v="2"/>
    <n v="36854.44"/>
    <n v="11056.33"/>
    <n v="0"/>
    <s v="60319 36312"/>
    <s v="74115285587"/>
    <n v="36854.442000000003"/>
    <n v="0"/>
    <n v="76936"/>
  </r>
  <r>
    <x v="2"/>
    <m/>
    <s v="Driftsgården"/>
    <n v="10123"/>
    <m/>
    <s v="Bygning 3"/>
    <x v="11"/>
    <x v="0"/>
    <x v="7"/>
    <n v="1565.98"/>
    <n v="12"/>
    <m/>
    <n v="0"/>
    <n v="1413"/>
    <n v="1.108187"/>
    <n v="3"/>
    <x v="0"/>
    <n v="1565.98"/>
    <n v="1252.79"/>
    <n v="0"/>
    <m/>
    <m/>
    <n v="1565.9749999999999"/>
    <n v="0"/>
    <n v="76937"/>
  </r>
  <r>
    <x v="2"/>
    <m/>
    <s v="Driftsgården"/>
    <n v="10124"/>
    <m/>
    <s v="Bygning 1"/>
    <x v="11"/>
    <x v="0"/>
    <x v="7"/>
    <n v="51336"/>
    <n v="10"/>
    <s v="2014-04-30"/>
    <n v="0"/>
    <n v="780"/>
    <n v="65.806946999999994"/>
    <n v="1"/>
    <x v="1"/>
    <n v="64274.91"/>
    <n v="4113.58"/>
    <n v="0"/>
    <s v="69271170"/>
    <m/>
    <n v="51336"/>
    <n v="0"/>
    <n v="96143"/>
  </r>
  <r>
    <x v="2"/>
    <m/>
    <s v="Driftsgården"/>
    <n v="10123"/>
    <m/>
    <s v="Bygning 3"/>
    <x v="11"/>
    <x v="0"/>
    <x v="7"/>
    <n v="19234"/>
    <n v="8"/>
    <s v="2014-08-31"/>
    <n v="0"/>
    <n v="1413"/>
    <n v="13.611209000000001"/>
    <n v="1"/>
    <x v="1"/>
    <n v="22513.29"/>
    <n v="1440.86"/>
    <n v="0"/>
    <s v="69271176"/>
    <m/>
    <n v="19234"/>
    <n v="0"/>
    <n v="96273"/>
  </r>
  <r>
    <x v="2"/>
    <m/>
    <s v="Driftsgården"/>
    <n v="10124"/>
    <m/>
    <s v="Bygning 1"/>
    <x v="11"/>
    <x v="0"/>
    <x v="7"/>
    <n v="38993.75"/>
    <n v="12"/>
    <m/>
    <n v="0"/>
    <n v="780"/>
    <n v="49.985577999999997"/>
    <n v="2"/>
    <x v="2"/>
    <n v="38993.75"/>
    <n v="11698.15"/>
    <n v="0"/>
    <m/>
    <m/>
    <n v="38993.771999999997"/>
    <n v="0"/>
    <n v="76939"/>
  </r>
  <r>
    <x v="2"/>
    <s v="04272-2"/>
    <s v="Bybækskolen"/>
    <n v="5477"/>
    <m/>
    <s v="Bybækskolen"/>
    <x v="10"/>
    <x v="0"/>
    <x v="0"/>
    <n v="602020"/>
    <n v="5"/>
    <s v="2005-06-01"/>
    <n v="0"/>
    <n v="9829"/>
    <n v="39.213152000000001"/>
    <n v="1"/>
    <x v="1"/>
    <n v="701533"/>
    <n v="80862933.900000006"/>
    <n v="0"/>
    <s v="4107844"/>
    <m/>
    <n v="385430"/>
    <n v="0"/>
    <n v="57921"/>
  </r>
  <r>
    <x v="2"/>
    <s v="04272-2"/>
    <s v="Bybækskolen"/>
    <n v="5477"/>
    <m/>
    <s v="Bybækskolen"/>
    <x v="10"/>
    <x v="1"/>
    <x v="0"/>
    <n v="484001.05"/>
    <n v="5"/>
    <s v="2005-06-01"/>
    <n v="0"/>
    <n v="9829"/>
    <n v="49.241644000000001"/>
    <n v="1"/>
    <x v="3"/>
    <n v="543744.22"/>
    <n v="2883137.87"/>
    <n v="1"/>
    <s v="4107844"/>
    <m/>
    <n v="13872.2"/>
    <n v="0"/>
    <n v="58277"/>
  </r>
  <r>
    <x v="2"/>
    <s v="04272-2"/>
    <s v="Bybækskolen"/>
    <n v="5477"/>
    <m/>
    <s v="Bybækskolen"/>
    <x v="10"/>
    <x v="0"/>
    <x v="1"/>
    <n v="645550"/>
    <n v="12"/>
    <s v="2005-06-01"/>
    <n v="0"/>
    <n v="9829"/>
    <n v="65.677426999999994"/>
    <n v="1"/>
    <x v="1"/>
    <n v="683857.16"/>
    <n v="126513.58"/>
    <n v="0"/>
    <s v="4107844"/>
    <m/>
    <n v="645550"/>
    <n v="0"/>
    <n v="57921"/>
  </r>
  <r>
    <x v="2"/>
    <s v="04272-2"/>
    <s v="Bybækskolen"/>
    <n v="5477"/>
    <m/>
    <s v="Bybækskolen"/>
    <x v="10"/>
    <x v="1"/>
    <x v="1"/>
    <n v="1068963.31"/>
    <n v="12"/>
    <s v="2005-06-01"/>
    <n v="0"/>
    <n v="9829"/>
    <n v="108.754953"/>
    <n v="1"/>
    <x v="3"/>
    <n v="1306171.23"/>
    <n v="6925.82"/>
    <n v="1"/>
    <s v="4107844"/>
    <m/>
    <n v="30638.1"/>
    <n v="0"/>
    <n v="58277"/>
  </r>
  <r>
    <x v="2"/>
    <s v="04272-2"/>
    <s v="Bybækskolen"/>
    <n v="5477"/>
    <m/>
    <s v="Bybækskolen"/>
    <x v="10"/>
    <x v="0"/>
    <x v="2"/>
    <n v="603580"/>
    <n v="12"/>
    <s v="2005-06-01"/>
    <n v="0"/>
    <n v="9829"/>
    <n v="61.407452999999997"/>
    <n v="1"/>
    <x v="1"/>
    <n v="632152.22"/>
    <n v="116948.18"/>
    <n v="0"/>
    <s v="4107844"/>
    <m/>
    <n v="603580"/>
    <n v="0"/>
    <n v="57921"/>
  </r>
  <r>
    <x v="2"/>
    <s v="04272-2"/>
    <s v="Bybækskolen"/>
    <n v="5477"/>
    <m/>
    <s v="Bybækskolen"/>
    <x v="10"/>
    <x v="1"/>
    <x v="2"/>
    <n v="876482.16"/>
    <n v="12"/>
    <s v="2005-06-01"/>
    <n v="0"/>
    <n v="9829"/>
    <n v="89.172167999999999"/>
    <n v="1"/>
    <x v="3"/>
    <n v="940549.93"/>
    <n v="4987.1499999999996"/>
    <n v="1"/>
    <s v="4107844"/>
    <m/>
    <n v="25121.3"/>
    <n v="0"/>
    <n v="58277"/>
  </r>
  <r>
    <x v="2"/>
    <s v="04272-2"/>
    <s v="Bybækskolen"/>
    <n v="5477"/>
    <m/>
    <s v="Bybækskolen"/>
    <x v="10"/>
    <x v="0"/>
    <x v="3"/>
    <n v="505700"/>
    <n v="12"/>
    <s v="2005-06-01"/>
    <n v="0"/>
    <n v="9829"/>
    <n v="51.449266999999999"/>
    <n v="1"/>
    <x v="1"/>
    <n v="553953.25"/>
    <n v="102481.36"/>
    <n v="0"/>
    <s v="4107844"/>
    <m/>
    <n v="505700"/>
    <n v="0"/>
    <n v="57921"/>
  </r>
  <r>
    <x v="2"/>
    <s v="04272-2"/>
    <s v="Bybækskolen"/>
    <n v="5477"/>
    <m/>
    <s v="Bybækskolen"/>
    <x v="10"/>
    <x v="1"/>
    <x v="3"/>
    <n v="532759.82999999996"/>
    <n v="12"/>
    <s v="2005-06-01"/>
    <n v="0"/>
    <n v="9829"/>
    <n v="54.202300000000001"/>
    <n v="1"/>
    <x v="3"/>
    <n v="585145.23"/>
    <n v="3102.65"/>
    <n v="1"/>
    <s v="4107844"/>
    <m/>
    <n v="15269.7"/>
    <n v="0"/>
    <n v="58277"/>
  </r>
  <r>
    <x v="2"/>
    <s v="04272-2"/>
    <s v="Bybækskolen"/>
    <n v="5477"/>
    <m/>
    <s v="Bybækskolen"/>
    <x v="10"/>
    <x v="0"/>
    <x v="4"/>
    <n v="697655.01"/>
    <n v="12"/>
    <s v="2005-06-01"/>
    <n v="0"/>
    <n v="9829"/>
    <n v="70.978522999999996"/>
    <n v="1"/>
    <x v="1"/>
    <n v="629426.46"/>
    <n v="116443.89"/>
    <n v="0"/>
    <s v="4107844"/>
    <m/>
    <n v="697655.01"/>
    <n v="0"/>
    <n v="57921"/>
  </r>
  <r>
    <x v="2"/>
    <s v="04272-2"/>
    <s v="Bybækskolen"/>
    <n v="5477"/>
    <m/>
    <s v="Bybækskolen"/>
    <x v="10"/>
    <x v="1"/>
    <x v="4"/>
    <n v="1338687.44"/>
    <n v="12"/>
    <s v="2005-06-01"/>
    <n v="0"/>
    <n v="9829"/>
    <n v="136.19633899999999"/>
    <n v="1"/>
    <x v="3"/>
    <n v="1248279.81"/>
    <n v="6618.85"/>
    <n v="1"/>
    <s v="4107844"/>
    <m/>
    <n v="38368.800000000003"/>
    <n v="0"/>
    <n v="58277"/>
  </r>
  <r>
    <x v="2"/>
    <s v="04272-2"/>
    <s v="Bybækskolen"/>
    <n v="5477"/>
    <m/>
    <s v="Bybækskolen"/>
    <x v="10"/>
    <x v="0"/>
    <x v="5"/>
    <n v="723465"/>
    <n v="12"/>
    <s v="2005-06-01"/>
    <n v="0"/>
    <n v="9829"/>
    <n v="73.604399000000001"/>
    <n v="1"/>
    <x v="1"/>
    <n v="772641.88"/>
    <n v="142938.75"/>
    <n v="0"/>
    <s v="4107844"/>
    <m/>
    <n v="723465"/>
    <n v="0"/>
    <n v="57921"/>
  </r>
  <r>
    <x v="2"/>
    <s v="04272-2"/>
    <s v="Bybækskolen"/>
    <n v="5477"/>
    <m/>
    <s v="Bybækskolen"/>
    <x v="10"/>
    <x v="1"/>
    <x v="5"/>
    <n v="1148456.68"/>
    <n v="12"/>
    <s v="2005-06-01"/>
    <n v="0"/>
    <n v="9829"/>
    <n v="116.842506"/>
    <n v="1"/>
    <x v="3"/>
    <n v="1379916.93"/>
    <n v="7316.84"/>
    <n v="1"/>
    <s v="4107844"/>
    <m/>
    <n v="32916.5"/>
    <n v="0"/>
    <n v="58277"/>
  </r>
  <r>
    <x v="2"/>
    <s v="04272-2"/>
    <s v="Bybækskolen"/>
    <n v="5477"/>
    <m/>
    <s v="Bybækskolen"/>
    <x v="10"/>
    <x v="0"/>
    <x v="6"/>
    <n v="732640"/>
    <n v="12"/>
    <s v="2005-06-01"/>
    <n v="0"/>
    <n v="9829"/>
    <n v="74.537851000000003"/>
    <n v="1"/>
    <x v="1"/>
    <n v="848651.36"/>
    <n v="157000.5"/>
    <n v="0"/>
    <s v="4107844"/>
    <m/>
    <n v="732640"/>
    <n v="0"/>
    <n v="57921"/>
  </r>
  <r>
    <x v="2"/>
    <s v="04272-2"/>
    <s v="Bybækskolen"/>
    <n v="5477"/>
    <m/>
    <s v="Bybækskolen"/>
    <x v="10"/>
    <x v="1"/>
    <x v="6"/>
    <n v="942820.28"/>
    <n v="12"/>
    <s v="2005-06-01"/>
    <n v="0"/>
    <n v="9829"/>
    <n v="95.921323000000001"/>
    <n v="1"/>
    <x v="3"/>
    <n v="1094981.8"/>
    <n v="5806.01"/>
    <n v="1"/>
    <s v="4107844"/>
    <m/>
    <n v="27022.65"/>
    <n v="0"/>
    <n v="58277"/>
  </r>
  <r>
    <x v="2"/>
    <m/>
    <s v="Driftsgården"/>
    <n v="10123"/>
    <m/>
    <s v="Bygning 3"/>
    <x v="11"/>
    <x v="0"/>
    <x v="7"/>
    <n v="25341.22"/>
    <n v="12"/>
    <m/>
    <n v="0"/>
    <n v="1413"/>
    <n v="17.933069"/>
    <n v="2"/>
    <x v="2"/>
    <n v="25341.22"/>
    <n v="7602.37"/>
    <n v="0"/>
    <s v="60319 36312"/>
    <s v="74115285587"/>
    <n v="25341.221000000001"/>
    <n v="0"/>
    <n v="76936"/>
  </r>
  <r>
    <x v="3"/>
    <m/>
    <s v="Birkedal Børnehus, Kollekolle 75"/>
    <n v="9980"/>
    <m/>
    <s v="Birkedal Børnehus"/>
    <x v="14"/>
    <x v="0"/>
    <x v="7"/>
    <n v="0"/>
    <n v="12"/>
    <s v="2010-10-31"/>
    <n v="0"/>
    <n v="961"/>
    <n v="0"/>
    <n v="1"/>
    <x v="4"/>
    <n v="0"/>
    <n v="0"/>
    <n v="0"/>
    <s v="NEDTAGET 3100633"/>
    <s v="98001314126"/>
    <n v="0"/>
    <n v="0"/>
    <n v="76422"/>
  </r>
  <r>
    <x v="4"/>
    <m/>
    <s v="Familiehuset Villa Solhøj KV54"/>
    <n v="10318"/>
    <m/>
    <s v="Villa Solhøj"/>
    <x v="15"/>
    <x v="0"/>
    <x v="7"/>
    <n v="0"/>
    <n v="12"/>
    <s v="2010-10-31"/>
    <n v="0"/>
    <n v="170"/>
    <n v="0"/>
    <n v="1"/>
    <x v="4"/>
    <n v="0"/>
    <n v="0"/>
    <n v="0"/>
    <s v="AFMELDT"/>
    <s v="98004052360"/>
    <n v="0"/>
    <n v="0"/>
    <n v="77794"/>
  </r>
  <r>
    <x v="2"/>
    <m/>
    <s v="Driftsgården"/>
    <n v="10124"/>
    <m/>
    <s v="Bygning 1"/>
    <x v="11"/>
    <x v="0"/>
    <x v="2"/>
    <n v="172210.53"/>
    <n v="12"/>
    <s v="2008-01-31"/>
    <n v="0"/>
    <n v="780"/>
    <n v="220.75442799999999"/>
    <n v="1"/>
    <x v="4"/>
    <n v="182025.49"/>
    <n v="38495.019999999997"/>
    <n v="0"/>
    <s v="Afmeldt 1203849"/>
    <s v="98004052476"/>
    <n v="15945.42"/>
    <n v="0"/>
    <n v="77796"/>
  </r>
  <r>
    <x v="2"/>
    <m/>
    <s v="Driftsgården"/>
    <n v="10124"/>
    <m/>
    <s v="Bygning 1"/>
    <x v="11"/>
    <x v="0"/>
    <x v="3"/>
    <n v="157370.88"/>
    <n v="12"/>
    <s v="2008-01-31"/>
    <n v="0"/>
    <n v="780"/>
    <n v="201.731675"/>
    <n v="1"/>
    <x v="4"/>
    <n v="170401.33"/>
    <n v="36036.730000000003"/>
    <n v="0"/>
    <s v="Afmeldt 1203849"/>
    <s v="98004052476"/>
    <n v="14571.379300000001"/>
    <n v="0"/>
    <n v="77796"/>
  </r>
  <r>
    <x v="2"/>
    <m/>
    <s v="Driftsgården"/>
    <n v="10124"/>
    <m/>
    <s v="Bygning 1"/>
    <x v="11"/>
    <x v="0"/>
    <x v="4"/>
    <n v="197710.85"/>
    <n v="12"/>
    <s v="2008-01-31"/>
    <n v="0"/>
    <n v="780"/>
    <n v="253.44295600000001"/>
    <n v="1"/>
    <x v="4"/>
    <n v="180324.99"/>
    <n v="38135.4"/>
    <n v="0"/>
    <s v="Afmeldt 1203849"/>
    <s v="98004052476"/>
    <n v="18306.560000000001"/>
    <n v="0"/>
    <n v="77796"/>
  </r>
  <r>
    <x v="2"/>
    <m/>
    <s v="Driftsgården"/>
    <n v="10124"/>
    <m/>
    <s v="Bygning 1"/>
    <x v="11"/>
    <x v="0"/>
    <x v="5"/>
    <n v="159637.4"/>
    <n v="12"/>
    <s v="2008-01-31"/>
    <n v="0"/>
    <n v="780"/>
    <n v="204.63709700000001"/>
    <n v="1"/>
    <x v="4"/>
    <n v="169676.89"/>
    <n v="35883.51"/>
    <n v="0"/>
    <s v="Afmeldt 1203849"/>
    <s v="98004052476"/>
    <n v="14781.24"/>
    <n v="0"/>
    <n v="77796"/>
  </r>
  <r>
    <x v="2"/>
    <m/>
    <s v="Driftsgården"/>
    <n v="10124"/>
    <m/>
    <s v="Bygning 1"/>
    <x v="11"/>
    <x v="0"/>
    <x v="6"/>
    <n v="145926.57999999999"/>
    <n v="12"/>
    <s v="2008-01-31"/>
    <n v="0"/>
    <n v="780"/>
    <n v="187.061376"/>
    <n v="1"/>
    <x v="4"/>
    <n v="164943.85"/>
    <n v="34882.57"/>
    <n v="0"/>
    <s v="Afmeldt 1203849"/>
    <s v="98004052476"/>
    <n v="13511.71968"/>
    <n v="0"/>
    <n v="77796"/>
  </r>
  <r>
    <x v="2"/>
    <m/>
    <s v="Driftsgården"/>
    <n v="10123"/>
    <m/>
    <s v="Bygning 3"/>
    <x v="11"/>
    <x v="0"/>
    <x v="0"/>
    <n v="1173"/>
    <n v="5"/>
    <m/>
    <n v="0"/>
    <n v="1413"/>
    <n v="0.30887399999999998"/>
    <n v="3"/>
    <x v="0"/>
    <n v="436.47"/>
    <n v="349.17"/>
    <n v="0"/>
    <m/>
    <m/>
    <n v="436.471"/>
    <n v="0"/>
    <n v="76937"/>
  </r>
  <r>
    <x v="2"/>
    <m/>
    <s v="Driftsgården"/>
    <n v="10124"/>
    <m/>
    <s v="Bygning 1"/>
    <x v="11"/>
    <x v="0"/>
    <x v="0"/>
    <n v="132978"/>
    <n v="5"/>
    <s v="2014-04-30"/>
    <n v="0"/>
    <n v="780"/>
    <n v="97.827201000000002"/>
    <n v="1"/>
    <x v="1"/>
    <n v="159495"/>
    <n v="5574.27"/>
    <n v="0"/>
    <s v="69271170"/>
    <m/>
    <n v="76315"/>
    <n v="0"/>
    <n v="96143"/>
  </r>
  <r>
    <x v="2"/>
    <m/>
    <s v="Driftsgården"/>
    <n v="10124"/>
    <m/>
    <s v="Bygning 1"/>
    <x v="11"/>
    <x v="0"/>
    <x v="0"/>
    <n v="0"/>
    <n v="5"/>
    <s v="2008-01-31"/>
    <n v="0"/>
    <n v="780"/>
    <n v="0"/>
    <n v="1"/>
    <x v="4"/>
    <n v="0"/>
    <n v="0"/>
    <n v="0"/>
    <s v="Afmeldt 1203849"/>
    <s v="98004052476"/>
    <n v="0"/>
    <n v="0"/>
    <n v="77796"/>
  </r>
  <r>
    <x v="2"/>
    <m/>
    <s v="Driftsgården"/>
    <n v="10123"/>
    <m/>
    <s v="Bygning 3"/>
    <x v="11"/>
    <x v="0"/>
    <x v="2"/>
    <n v="166566.24"/>
    <n v="12"/>
    <s v="2010-11-30"/>
    <n v="0"/>
    <n v="1413"/>
    <n v="117.87293099999999"/>
    <n v="1"/>
    <x v="4"/>
    <n v="173324.66"/>
    <n v="36654.959999999999"/>
    <n v="0"/>
    <s v="3101250"/>
    <s v="98004376794"/>
    <n v="15422.8"/>
    <n v="0"/>
    <n v="77798"/>
  </r>
  <r>
    <x v="2"/>
    <m/>
    <s v="Driftsgården"/>
    <n v="10123"/>
    <m/>
    <s v="Bygning 3"/>
    <x v="11"/>
    <x v="0"/>
    <x v="3"/>
    <n v="155086.26999999999"/>
    <n v="12"/>
    <s v="2010-11-30"/>
    <n v="0"/>
    <n v="1413"/>
    <n v="109.74897"/>
    <n v="1"/>
    <x v="4"/>
    <n v="166453.45000000001"/>
    <n v="35201.81"/>
    <n v="0"/>
    <s v="3101250"/>
    <s v="98004376794"/>
    <n v="14359.84"/>
    <n v="0"/>
    <n v="77798"/>
  </r>
  <r>
    <x v="2"/>
    <m/>
    <s v="Driftsgården"/>
    <n v="10123"/>
    <m/>
    <s v="Bygning 3"/>
    <x v="11"/>
    <x v="0"/>
    <x v="4"/>
    <n v="155407.25"/>
    <n v="6"/>
    <s v="2010-11-30"/>
    <n v="0"/>
    <n v="1413"/>
    <n v="109.976116"/>
    <n v="1"/>
    <x v="4"/>
    <n v="167568.04999999999"/>
    <n v="35437.53"/>
    <n v="0"/>
    <s v="3101250"/>
    <s v="98004376794"/>
    <n v="14389.560289999999"/>
    <n v="0"/>
    <n v="77798"/>
  </r>
  <r>
    <x v="2"/>
    <m/>
    <s v="Driftsgården"/>
    <n v="10123"/>
    <m/>
    <s v="Bygning 3"/>
    <x v="11"/>
    <x v="0"/>
    <x v="5"/>
    <n v="115035.66"/>
    <n v="0"/>
    <s v="2010-11-30"/>
    <n v="0"/>
    <n v="1413"/>
    <n v="81.406594999999996"/>
    <n v="1"/>
    <x v="4"/>
    <n v="159793.18"/>
    <n v="33793.300000000003"/>
    <n v="0"/>
    <s v="3101250"/>
    <s v="98004376794"/>
    <n v="10651.45119"/>
    <n v="0"/>
    <n v="77798"/>
  </r>
  <r>
    <x v="2"/>
    <m/>
    <s v="Driftsgården"/>
    <n v="10123"/>
    <m/>
    <s v="Bygning 3"/>
    <x v="11"/>
    <x v="0"/>
    <x v="6"/>
    <n v="82761.7"/>
    <n v="2"/>
    <s v="2010-11-30"/>
    <n v="0"/>
    <n v="1413"/>
    <n v="58.567475000000002"/>
    <n v="1"/>
    <x v="4"/>
    <n v="101544.66"/>
    <n v="21474.82"/>
    <n v="0"/>
    <s v="3101250"/>
    <s v="98004376794"/>
    <n v="7663.1224099999999"/>
    <n v="0"/>
    <n v="77798"/>
  </r>
  <r>
    <x v="2"/>
    <s v="04272-2"/>
    <s v="Bybækskolen"/>
    <n v="5477"/>
    <m/>
    <s v="Bybækskolen"/>
    <x v="10"/>
    <x v="0"/>
    <x v="5"/>
    <n v="193063.15"/>
    <n v="12"/>
    <s v="2005-06-01"/>
    <n v="0"/>
    <n v="9829"/>
    <n v="19.641995999999999"/>
    <n v="2"/>
    <x v="2"/>
    <n v="193063.15"/>
    <n v="90546.57"/>
    <n v="0"/>
    <s v="70-011153/459113"/>
    <s v="74111762860"/>
    <n v="193063.12723000001"/>
    <n v="0"/>
    <n v="57920"/>
  </r>
  <r>
    <x v="2"/>
    <s v="04272-2"/>
    <s v="Bybækskolen"/>
    <n v="5477"/>
    <m/>
    <s v="Bybækskolen"/>
    <x v="10"/>
    <x v="0"/>
    <x v="4"/>
    <n v="147820.74"/>
    <n v="12"/>
    <s v="2005-06-01"/>
    <n v="0"/>
    <n v="9829"/>
    <n v="15.039092"/>
    <n v="2"/>
    <x v="2"/>
    <n v="147820.74"/>
    <n v="69327.91"/>
    <n v="0"/>
    <s v="70-011153/459113"/>
    <s v="74111762860"/>
    <n v="147820.73063000001"/>
    <n v="0"/>
    <n v="57920"/>
  </r>
  <r>
    <x v="2"/>
    <s v="04272-2"/>
    <s v="Bybækskolen"/>
    <n v="5477"/>
    <m/>
    <s v="Bybækskolen"/>
    <x v="10"/>
    <x v="0"/>
    <x v="3"/>
    <n v="85917.74"/>
    <n v="12"/>
    <s v="2005-06-01"/>
    <n v="0"/>
    <n v="9829"/>
    <n v="8.7411600000000007"/>
    <n v="2"/>
    <x v="2"/>
    <n v="85917.74"/>
    <n v="40295.42"/>
    <n v="0"/>
    <s v="70-011153/459113"/>
    <s v="74111762860"/>
    <n v="85917.719670000006"/>
    <n v="0"/>
    <n v="57920"/>
  </r>
  <r>
    <x v="2"/>
    <s v="04272-2"/>
    <s v="Bybækskolen"/>
    <n v="5477"/>
    <m/>
    <s v="Bybækskolen"/>
    <x v="10"/>
    <x v="0"/>
    <x v="2"/>
    <n v="108181.67"/>
    <n v="12"/>
    <s v="2005-06-01"/>
    <n v="0"/>
    <n v="9829"/>
    <n v="11.006264"/>
    <n v="2"/>
    <x v="2"/>
    <n v="108181.67"/>
    <n v="43272.66"/>
    <n v="0"/>
    <s v="70-011153/459113"/>
    <s v="74111762860"/>
    <n v="108181.671"/>
    <n v="0"/>
    <n v="57920"/>
  </r>
  <r>
    <x v="2"/>
    <s v="04272-2"/>
    <s v="Bybækskolen"/>
    <n v="5477"/>
    <m/>
    <s v="Bybækskolen"/>
    <x v="10"/>
    <x v="0"/>
    <x v="1"/>
    <n v="229468.56"/>
    <n v="12"/>
    <s v="2005-06-01"/>
    <n v="0"/>
    <n v="9829"/>
    <n v="23.345835999999998"/>
    <n v="2"/>
    <x v="2"/>
    <n v="229468.56"/>
    <n v="91787.4"/>
    <n v="0"/>
    <s v="70-011153/459113"/>
    <s v="74111762860"/>
    <n v="229468.56299999999"/>
    <n v="0"/>
    <n v="57920"/>
  </r>
  <r>
    <x v="2"/>
    <s v="04272-2"/>
    <s v="Bybækskolen"/>
    <n v="5477"/>
    <m/>
    <s v="Bybækskolen"/>
    <x v="10"/>
    <x v="0"/>
    <x v="7"/>
    <n v="365467.65"/>
    <n v="12"/>
    <s v="2005-06-01"/>
    <n v="0"/>
    <n v="9829"/>
    <n v="37.182208000000003"/>
    <n v="2"/>
    <x v="2"/>
    <n v="365467.65"/>
    <n v="146187.04999999999"/>
    <n v="0"/>
    <s v="70-011153/459113"/>
    <s v="74111762860"/>
    <n v="365467.65"/>
    <n v="0"/>
    <n v="57920"/>
  </r>
  <r>
    <x v="2"/>
    <s v="04272-2"/>
    <s v="Bybækskolen"/>
    <n v="5477"/>
    <m/>
    <s v="Bybækskolen"/>
    <x v="10"/>
    <x v="0"/>
    <x v="0"/>
    <n v="261201"/>
    <n v="5"/>
    <s v="2005-06-01"/>
    <n v="0"/>
    <n v="9829"/>
    <n v="15.471049000000001"/>
    <n v="2"/>
    <x v="2"/>
    <n v="152066.49"/>
    <n v="60826.6"/>
    <n v="0"/>
    <s v="70-011153/459113"/>
    <s v="74111762860"/>
    <n v="152066.49"/>
    <n v="0"/>
    <n v="57920"/>
  </r>
  <r>
    <x v="2"/>
    <m/>
    <s v="Bygning 77, Sandet 17"/>
    <n v="14276"/>
    <s v="347"/>
    <s v="Bygning 77"/>
    <x v="13"/>
    <x v="0"/>
    <x v="0"/>
    <n v="4605"/>
    <n v="1"/>
    <s v="2015-01-26"/>
    <n v="0"/>
    <n v="315"/>
    <n v="1.0278"/>
    <n v="2"/>
    <x v="2"/>
    <n v="323.86"/>
    <n v="97.16"/>
    <n v="0"/>
    <s v="3100847"/>
    <s v="74115958559"/>
    <n v="323.86363999999998"/>
    <n v="0"/>
    <n v="94519"/>
  </r>
  <r>
    <x v="2"/>
    <m/>
    <s v="Bygning 77, Sandet 17"/>
    <n v="14276"/>
    <s v="347"/>
    <s v="Bygning 77"/>
    <x v="13"/>
    <x v="0"/>
    <x v="1"/>
    <n v="3149.36"/>
    <n v="3"/>
    <s v="2015-01-26"/>
    <n v="0"/>
    <n v="315"/>
    <n v="9.9947949999999999"/>
    <n v="2"/>
    <x v="2"/>
    <n v="3149.36"/>
    <n v="944.8"/>
    <n v="0"/>
    <s v="3100847"/>
    <s v="74115958559"/>
    <n v="3149.3616999999999"/>
    <n v="0"/>
    <n v="94519"/>
  </r>
  <r>
    <x v="2"/>
    <m/>
    <s v="Driftsgården"/>
    <n v="10123"/>
    <m/>
    <s v="Bygning 3"/>
    <x v="11"/>
    <x v="0"/>
    <x v="0"/>
    <n v="52351"/>
    <n v="5"/>
    <s v="2014-08-31"/>
    <n v="0"/>
    <n v="1413"/>
    <n v="20.462812"/>
    <n v="1"/>
    <x v="1"/>
    <n v="60482"/>
    <n v="2086.31"/>
    <n v="0"/>
    <s v="69271176"/>
    <m/>
    <n v="28916"/>
    <n v="0"/>
    <n v="96273"/>
  </r>
  <r>
    <x v="2"/>
    <m/>
    <s v="Driftsgården"/>
    <n v="10123"/>
    <m/>
    <s v="Bygning 3"/>
    <x v="11"/>
    <x v="0"/>
    <x v="0"/>
    <n v="0"/>
    <n v="5"/>
    <s v="2010-11-30"/>
    <n v="0"/>
    <n v="1413"/>
    <n v="3.6719999999999999E-3"/>
    <n v="1"/>
    <x v="4"/>
    <n v="0"/>
    <n v="1.1000000000000001"/>
    <n v="0"/>
    <s v="3101250"/>
    <s v="98004376794"/>
    <n v="0.48"/>
    <n v="0"/>
    <n v="77798"/>
  </r>
  <r>
    <x v="2"/>
    <m/>
    <s v="Driftsgården"/>
    <n v="10124"/>
    <m/>
    <s v="Bygning 1"/>
    <x v="11"/>
    <x v="0"/>
    <x v="2"/>
    <n v="42046.65"/>
    <n v="12"/>
    <m/>
    <n v="0"/>
    <n v="780"/>
    <n v="53.899051"/>
    <n v="2"/>
    <x v="2"/>
    <n v="42046.65"/>
    <n v="16818.66"/>
    <n v="0"/>
    <m/>
    <m/>
    <n v="42046.631999999998"/>
    <n v="0"/>
    <n v="76939"/>
  </r>
  <r>
    <x v="2"/>
    <m/>
    <s v="Driftsgården"/>
    <n v="10124"/>
    <m/>
    <s v="Bygning 1"/>
    <x v="11"/>
    <x v="0"/>
    <x v="3"/>
    <n v="40986.35"/>
    <n v="12"/>
    <m/>
    <n v="0"/>
    <n v="780"/>
    <n v="52.539866000000004"/>
    <n v="2"/>
    <x v="2"/>
    <n v="40986.35"/>
    <n v="19222.59"/>
    <n v="0"/>
    <m/>
    <m/>
    <n v="40986.336000000003"/>
    <n v="0"/>
    <n v="76939"/>
  </r>
  <r>
    <x v="2"/>
    <m/>
    <s v="Driftsgården"/>
    <n v="10124"/>
    <m/>
    <s v="Bygning 1"/>
    <x v="11"/>
    <x v="0"/>
    <x v="4"/>
    <n v="43041.07"/>
    <n v="12"/>
    <m/>
    <n v="0"/>
    <n v="780"/>
    <n v="55.173785000000002"/>
    <n v="2"/>
    <x v="2"/>
    <n v="43041.07"/>
    <n v="20186.27"/>
    <n v="0"/>
    <m/>
    <m/>
    <n v="43041.06"/>
    <n v="0"/>
    <n v="76939"/>
  </r>
  <r>
    <x v="2"/>
    <m/>
    <s v="Driftsgården"/>
    <n v="10124"/>
    <m/>
    <s v="Bygning 1"/>
    <x v="11"/>
    <x v="0"/>
    <x v="5"/>
    <n v="41707.01"/>
    <n v="12"/>
    <m/>
    <n v="0"/>
    <n v="780"/>
    <n v="53.463670999999998"/>
    <n v="2"/>
    <x v="2"/>
    <n v="41707.01"/>
    <n v="19560.580000000002"/>
    <n v="0"/>
    <m/>
    <m/>
    <n v="41707.008000000002"/>
    <n v="0"/>
    <n v="76939"/>
  </r>
  <r>
    <x v="2"/>
    <m/>
    <s v="Driftsgården"/>
    <n v="10124"/>
    <m/>
    <s v="Bygning 1"/>
    <x v="11"/>
    <x v="0"/>
    <x v="6"/>
    <n v="14635.76"/>
    <n v="3"/>
    <s v="2008-04-22"/>
    <n v="0"/>
    <n v="780"/>
    <n v="18.761389000000001"/>
    <n v="2"/>
    <x v="2"/>
    <n v="14635.76"/>
    <n v="6864.17"/>
    <n v="0"/>
    <s v="283667-51099"/>
    <m/>
    <n v="14635.753059999999"/>
    <n v="0"/>
    <n v="77436"/>
  </r>
  <r>
    <x v="2"/>
    <m/>
    <s v="Driftsgården"/>
    <n v="10124"/>
    <m/>
    <s v="Bygning 1"/>
    <x v="11"/>
    <x v="0"/>
    <x v="6"/>
    <n v="31982.720000000001"/>
    <n v="12"/>
    <m/>
    <n v="0"/>
    <n v="780"/>
    <n v="40.99823"/>
    <n v="2"/>
    <x v="2"/>
    <n v="31982.720000000001"/>
    <n v="14999.89"/>
    <n v="0"/>
    <m/>
    <m/>
    <n v="31982.712"/>
    <n v="0"/>
    <n v="76939"/>
  </r>
  <r>
    <x v="2"/>
    <m/>
    <s v="Driftsgården"/>
    <n v="10124"/>
    <m/>
    <s v="Bygning 1"/>
    <x v="11"/>
    <x v="0"/>
    <x v="0"/>
    <n v="26541"/>
    <n v="5"/>
    <m/>
    <n v="0"/>
    <n v="780"/>
    <n v="5.8210870000000003"/>
    <n v="2"/>
    <x v="2"/>
    <n v="4541.03"/>
    <n v="1362.31"/>
    <n v="0"/>
    <m/>
    <m/>
    <n v="4541.0280000000002"/>
    <n v="0"/>
    <n v="76939"/>
  </r>
  <r>
    <x v="2"/>
    <m/>
    <s v="Driftsgården"/>
    <n v="10123"/>
    <m/>
    <s v="Bygning 3"/>
    <x v="11"/>
    <x v="0"/>
    <x v="0"/>
    <n v="23444"/>
    <n v="5"/>
    <m/>
    <n v="0"/>
    <n v="1413"/>
    <n v="7.4733770000000002"/>
    <n v="2"/>
    <x v="2"/>
    <n v="10560.63"/>
    <n v="3168.19"/>
    <n v="0"/>
    <s v="60319 36312"/>
    <s v="74115285587"/>
    <n v="10560.624"/>
    <n v="0"/>
    <n v="76936"/>
  </r>
  <r>
    <x v="2"/>
    <m/>
    <s v="Driftsgården"/>
    <n v="10123"/>
    <m/>
    <s v="Bygning 3"/>
    <x v="11"/>
    <x v="0"/>
    <x v="2"/>
    <n v="31236.23"/>
    <n v="12"/>
    <m/>
    <n v="0"/>
    <n v="1413"/>
    <n v="22.104755000000001"/>
    <n v="2"/>
    <x v="2"/>
    <n v="31236.23"/>
    <n v="12494.51"/>
    <n v="0"/>
    <s v="60319 36312"/>
    <s v="74115285587"/>
    <n v="31236.223999999998"/>
    <n v="0"/>
    <n v="76936"/>
  </r>
  <r>
    <x v="2"/>
    <m/>
    <s v="Driftsgården"/>
    <n v="10123"/>
    <m/>
    <s v="Bygning 3"/>
    <x v="11"/>
    <x v="0"/>
    <x v="3"/>
    <n v="24142.04"/>
    <n v="12"/>
    <m/>
    <n v="0"/>
    <n v="1413"/>
    <n v="17.084451999999999"/>
    <n v="2"/>
    <x v="2"/>
    <n v="24142.04"/>
    <n v="11322.63"/>
    <n v="0"/>
    <s v="60319 36312"/>
    <s v="74115285587"/>
    <n v="24142.043000000001"/>
    <n v="0"/>
    <n v="76936"/>
  </r>
  <r>
    <x v="2"/>
    <m/>
    <s v="Driftsgården"/>
    <n v="10123"/>
    <m/>
    <s v="Bygning 3"/>
    <x v="11"/>
    <x v="0"/>
    <x v="4"/>
    <n v="30633.91"/>
    <n v="12"/>
    <m/>
    <n v="0"/>
    <n v="1413"/>
    <n v="21.678515000000001"/>
    <n v="2"/>
    <x v="2"/>
    <n v="30633.91"/>
    <n v="14367.31"/>
    <n v="0"/>
    <s v="60319 36312"/>
    <s v="74115285587"/>
    <n v="30633.913"/>
    <n v="0"/>
    <n v="76936"/>
  </r>
  <r>
    <x v="2"/>
    <m/>
    <s v="Driftsgården"/>
    <n v="10123"/>
    <m/>
    <s v="Bygning 3"/>
    <x v="11"/>
    <x v="0"/>
    <x v="5"/>
    <n v="29048.26"/>
    <n v="12"/>
    <m/>
    <n v="0"/>
    <n v="1413"/>
    <n v="20.556407"/>
    <n v="2"/>
    <x v="2"/>
    <n v="29048.26"/>
    <n v="13623.64"/>
    <n v="0"/>
    <s v="60319 36312"/>
    <s v="74115285587"/>
    <n v="29048.272000000001"/>
    <n v="0"/>
    <n v="76936"/>
  </r>
  <r>
    <x v="2"/>
    <m/>
    <s v="Driftsgården"/>
    <n v="10123"/>
    <m/>
    <s v="Bygning 3"/>
    <x v="11"/>
    <x v="0"/>
    <x v="6"/>
    <n v="3333.87"/>
    <n v="1"/>
    <s v="2008-01-31"/>
    <n v="0"/>
    <n v="1413"/>
    <n v="2.3592590000000002"/>
    <n v="2"/>
    <x v="2"/>
    <n v="3333.87"/>
    <n v="1563.59"/>
    <n v="0"/>
    <s v="283667-51099"/>
    <m/>
    <n v="3333.8709699999999"/>
    <n v="0"/>
    <n v="77797"/>
  </r>
  <r>
    <x v="2"/>
    <m/>
    <s v="Driftsgården"/>
    <n v="10123"/>
    <m/>
    <s v="Bygning 3"/>
    <x v="11"/>
    <x v="0"/>
    <x v="6"/>
    <n v="18133.689999999999"/>
    <n v="12"/>
    <m/>
    <n v="0"/>
    <n v="1413"/>
    <n v="12.832559"/>
    <n v="2"/>
    <x v="2"/>
    <n v="18133.689999999999"/>
    <n v="8504.69"/>
    <n v="0"/>
    <s v="60319 36312"/>
    <s v="74115285587"/>
    <n v="18133.698700000001"/>
    <n v="0"/>
    <n v="76936"/>
  </r>
  <r>
    <x v="2"/>
    <s v="03972-1"/>
    <s v="Skolelandbruget"/>
    <n v="6070"/>
    <m/>
    <s v="Skolelandbruget"/>
    <x v="12"/>
    <x v="0"/>
    <x v="6"/>
    <n v="10038.75"/>
    <n v="11"/>
    <s v="2015-05-06"/>
    <n v="0"/>
    <n v="800"/>
    <n v="12.546868999999999"/>
    <n v="2"/>
    <x v="2"/>
    <n v="10038.75"/>
    <n v="4708.18"/>
    <n v="0"/>
    <s v="815868"/>
    <s v="74115165162"/>
    <n v="10038.763419999999"/>
    <n v="0"/>
    <n v="60879"/>
  </r>
  <r>
    <x v="2"/>
    <s v="03972-1"/>
    <s v="Skolelandbruget"/>
    <n v="6070"/>
    <m/>
    <s v="Skolelandbruget"/>
    <x v="12"/>
    <x v="0"/>
    <x v="5"/>
    <n v="10333"/>
    <n v="12"/>
    <s v="2015-05-06"/>
    <n v="0"/>
    <n v="800"/>
    <n v="12.914635000000001"/>
    <n v="2"/>
    <x v="2"/>
    <n v="10333"/>
    <n v="4846.1899999999996"/>
    <n v="0"/>
    <s v="815868"/>
    <s v="74115165162"/>
    <n v="10332.990470000001"/>
    <n v="0"/>
    <n v="60879"/>
  </r>
  <r>
    <x v="2"/>
    <s v="03972-1"/>
    <s v="Skolelandbruget"/>
    <n v="6070"/>
    <m/>
    <s v="Skolelandbruget"/>
    <x v="12"/>
    <x v="0"/>
    <x v="4"/>
    <n v="12026.14"/>
    <n v="12"/>
    <s v="2015-05-06"/>
    <n v="0"/>
    <n v="800"/>
    <n v="15.030796"/>
    <n v="2"/>
    <x v="2"/>
    <n v="12026.14"/>
    <n v="5640.25"/>
    <n v="0"/>
    <s v="815868"/>
    <s v="74115165162"/>
    <n v="12026.14285"/>
    <n v="0"/>
    <n v="60879"/>
  </r>
  <r>
    <x v="2"/>
    <s v="03972-1"/>
    <s v="Skolelandbruget"/>
    <n v="6070"/>
    <m/>
    <s v="Skolelandbruget"/>
    <x v="12"/>
    <x v="0"/>
    <x v="3"/>
    <n v="9310.81"/>
    <n v="11"/>
    <s v="2015-05-06"/>
    <n v="0"/>
    <n v="800"/>
    <n v="11.637057"/>
    <n v="2"/>
    <x v="2"/>
    <n v="9310.81"/>
    <n v="4366.78"/>
    <n v="0"/>
    <s v="815868"/>
    <s v="74115165162"/>
    <n v="9310.8140299999995"/>
    <n v="0"/>
    <n v="60879"/>
  </r>
  <r>
    <x v="2"/>
    <s v="03972-1"/>
    <s v="Skolelandbruget"/>
    <n v="6070"/>
    <m/>
    <s v="Skolelandbruget"/>
    <x v="12"/>
    <x v="0"/>
    <x v="2"/>
    <n v="9901.52"/>
    <n v="12"/>
    <s v="2015-05-06"/>
    <n v="0"/>
    <n v="800"/>
    <n v="12.375353"/>
    <n v="2"/>
    <x v="2"/>
    <n v="9901.52"/>
    <n v="3960.6"/>
    <n v="0"/>
    <s v="815868"/>
    <s v="74115165162"/>
    <n v="9901.5192999999999"/>
    <n v="0"/>
    <n v="60879"/>
  </r>
  <r>
    <x v="2"/>
    <s v="03972-1"/>
    <s v="Skolelandbruget"/>
    <n v="6070"/>
    <m/>
    <s v="Skolelandbruget"/>
    <x v="12"/>
    <x v="0"/>
    <x v="1"/>
    <n v="10243.34"/>
    <n v="12"/>
    <s v="2015-05-06"/>
    <n v="0"/>
    <n v="800"/>
    <n v="12.802574"/>
    <n v="2"/>
    <x v="2"/>
    <n v="10243.34"/>
    <n v="4097.34"/>
    <n v="0"/>
    <s v="815868"/>
    <s v="74115165162"/>
    <n v="10243.333339999999"/>
    <n v="0"/>
    <n v="60879"/>
  </r>
  <r>
    <x v="2"/>
    <s v="03972-1"/>
    <s v="Skolelandbruget"/>
    <n v="6070"/>
    <m/>
    <s v="Skolelandbruget"/>
    <x v="12"/>
    <x v="0"/>
    <x v="7"/>
    <n v="7547.76"/>
    <n v="12"/>
    <s v="2015-05-06"/>
    <n v="0"/>
    <n v="800"/>
    <n v="9.4335199999999997"/>
    <n v="2"/>
    <x v="2"/>
    <n v="7547.76"/>
    <n v="3019.09"/>
    <n v="0"/>
    <s v="815868"/>
    <s v="74115165162"/>
    <n v="7547.7619000000004"/>
    <n v="0"/>
    <n v="60879"/>
  </r>
  <r>
    <x v="2"/>
    <s v="03972-1"/>
    <s v="Skolelandbruget"/>
    <n v="6070"/>
    <m/>
    <s v="Skolelandbruget"/>
    <x v="12"/>
    <x v="0"/>
    <x v="7"/>
    <n v="125.39"/>
    <n v="12"/>
    <s v="2015-05-06"/>
    <n v="0"/>
    <n v="800"/>
    <n v="0.156717"/>
    <n v="3"/>
    <x v="0"/>
    <n v="125.39"/>
    <n v="100.28"/>
    <n v="0"/>
    <s v="-04104875"/>
    <m/>
    <n v="125.37174"/>
    <n v="0"/>
    <n v="60881"/>
  </r>
  <r>
    <x v="2"/>
    <s v="03972-1"/>
    <s v="Skolelandbruget"/>
    <n v="6070"/>
    <m/>
    <s v="Skolelandbruget"/>
    <x v="12"/>
    <x v="0"/>
    <x v="0"/>
    <n v="7387"/>
    <n v="5"/>
    <s v="2015-05-06"/>
    <n v="0"/>
    <n v="800"/>
    <n v="4.2391819999999996"/>
    <n v="2"/>
    <x v="2"/>
    <n v="3391.77"/>
    <n v="1356.7"/>
    <n v="0"/>
    <s v="815868"/>
    <s v="74115165162"/>
    <n v="3391.7714299999998"/>
    <n v="0"/>
    <n v="60879"/>
  </r>
  <r>
    <x v="3"/>
    <s v="04859-3"/>
    <s v="Bakkehuset, Hvilebækgårdsvej 5"/>
    <n v="5244"/>
    <m/>
    <s v="Bakkehuset"/>
    <x v="16"/>
    <x v="0"/>
    <x v="7"/>
    <n v="125.83"/>
    <n v="12"/>
    <s v="2005-07-01"/>
    <n v="0"/>
    <n v="560"/>
    <n v="0.22465599999999999"/>
    <n v="3"/>
    <x v="0"/>
    <n v="125.83"/>
    <n v="100.67"/>
    <n v="0"/>
    <s v="BK 24201918"/>
    <m/>
    <n v="125.842"/>
    <n v="0"/>
    <n v="56615"/>
  </r>
  <r>
    <x v="3"/>
    <s v="04859-3"/>
    <s v="Bakkehuset, Hvilebækgårdsvej 5"/>
    <n v="5244"/>
    <m/>
    <s v="Bakkehuset"/>
    <x v="16"/>
    <x v="0"/>
    <x v="7"/>
    <n v="33612"/>
    <n v="12"/>
    <s v="2005-09-20"/>
    <n v="0"/>
    <n v="560"/>
    <n v="57.332619000000001"/>
    <n v="1"/>
    <x v="1"/>
    <n v="39838.67"/>
    <n v="2409822.5699999998"/>
    <n v="0"/>
    <s v="4813499"/>
    <m/>
    <n v="32112"/>
    <n v="0"/>
    <n v="56614"/>
  </r>
  <r>
    <x v="3"/>
    <s v="04859-3"/>
    <s v="Bakkehuset, Hvilebækgårdsvej 5"/>
    <n v="5244"/>
    <m/>
    <s v="Bakkehuset"/>
    <x v="16"/>
    <x v="0"/>
    <x v="7"/>
    <n v="13486"/>
    <n v="12"/>
    <s v="2005-07-01"/>
    <n v="0"/>
    <n v="560"/>
    <n v="24.077843000000001"/>
    <n v="2"/>
    <x v="2"/>
    <n v="13486"/>
    <n v="5394.4"/>
    <n v="0"/>
    <s v="BM"/>
    <m/>
    <n v="13486"/>
    <n v="0"/>
    <n v="57569"/>
  </r>
  <r>
    <x v="3"/>
    <s v="04859-3"/>
    <s v="Bakkehuset, Hvilebækgårdsvej 5"/>
    <n v="5244"/>
    <m/>
    <s v="Bakkehuset"/>
    <x v="16"/>
    <x v="0"/>
    <x v="0"/>
    <n v="238"/>
    <n v="5"/>
    <s v="2005-07-01"/>
    <n v="0"/>
    <n v="560"/>
    <n v="0.163774"/>
    <n v="3"/>
    <x v="0"/>
    <n v="91.73"/>
    <n v="73.38"/>
    <n v="0"/>
    <s v="BK 24201918"/>
    <m/>
    <n v="91.72"/>
    <n v="0"/>
    <n v="56615"/>
  </r>
  <r>
    <x v="3"/>
    <s v="04859-3"/>
    <s v="Bakkehuset, Hvilebækgårdsvej 5"/>
    <n v="5244"/>
    <m/>
    <s v="Bakkehuset"/>
    <x v="16"/>
    <x v="1"/>
    <x v="7"/>
    <n v="28913.34"/>
    <n v="12"/>
    <s v="2005-09-20"/>
    <n v="0"/>
    <n v="560"/>
    <n v="51.621746000000002"/>
    <n v="1"/>
    <x v="3"/>
    <n v="34467.69"/>
    <n v="64543.48"/>
    <n v="1"/>
    <s v="4813499"/>
    <m/>
    <n v="828.7"/>
    <n v="0"/>
    <n v="56993"/>
  </r>
  <r>
    <x v="3"/>
    <s v="04859-3"/>
    <s v="Bakkehuset, Hvilebækgårdsvej 5"/>
    <n v="5244"/>
    <m/>
    <s v="Bakkehuset"/>
    <x v="16"/>
    <x v="0"/>
    <x v="1"/>
    <n v="247.55"/>
    <n v="12"/>
    <s v="2005-07-01"/>
    <n v="0"/>
    <n v="560"/>
    <n v="0.44197399999999998"/>
    <n v="3"/>
    <x v="0"/>
    <n v="247.55"/>
    <n v="198.06"/>
    <n v="0"/>
    <s v="BK 24201918"/>
    <m/>
    <n v="247.54599999999999"/>
    <n v="0"/>
    <n v="56615"/>
  </r>
  <r>
    <x v="3"/>
    <s v="04859-3"/>
    <s v="Bakkehuset, Hvilebækgårdsvej 5"/>
    <n v="5244"/>
    <m/>
    <s v="Bakkehuset"/>
    <x v="16"/>
    <x v="0"/>
    <x v="2"/>
    <n v="242.19"/>
    <n v="12"/>
    <s v="2005-07-01"/>
    <n v="0"/>
    <n v="560"/>
    <n v="0.43240400000000001"/>
    <n v="3"/>
    <x v="0"/>
    <n v="242.19"/>
    <n v="193.76"/>
    <n v="0"/>
    <s v="BK 24201918"/>
    <m/>
    <n v="242.20599999999999"/>
    <n v="0"/>
    <n v="56615"/>
  </r>
  <r>
    <x v="3"/>
    <s v="04859-3"/>
    <s v="Bakkehuset, Hvilebækgårdsvej 5"/>
    <n v="5244"/>
    <m/>
    <s v="Bakkehuset"/>
    <x v="16"/>
    <x v="0"/>
    <x v="3"/>
    <n v="237.22"/>
    <n v="12"/>
    <s v="2005-07-01"/>
    <n v="0"/>
    <n v="560"/>
    <n v="0.42353099999999999"/>
    <n v="3"/>
    <x v="0"/>
    <n v="237.22"/>
    <n v="189.78"/>
    <n v="0"/>
    <s v="BK 24201918"/>
    <m/>
    <n v="237.22499999999999"/>
    <n v="0"/>
    <n v="56615"/>
  </r>
  <r>
    <x v="3"/>
    <s v="04859-3"/>
    <s v="Bakkehuset, Hvilebækgårdsvej 5"/>
    <n v="5244"/>
    <m/>
    <s v="Bakkehuset"/>
    <x v="16"/>
    <x v="0"/>
    <x v="4"/>
    <n v="191.77"/>
    <n v="12"/>
    <s v="2005-07-01"/>
    <n v="0"/>
    <n v="560"/>
    <n v="0.34238499999999999"/>
    <n v="3"/>
    <x v="0"/>
    <n v="191.77"/>
    <n v="153.38"/>
    <n v="0"/>
    <s v="BK 24201918"/>
    <m/>
    <n v="191.751"/>
    <n v="0"/>
    <n v="56615"/>
  </r>
  <r>
    <x v="3"/>
    <s v="04859-3"/>
    <s v="Bakkehuset, Hvilebækgårdsvej 5"/>
    <n v="5244"/>
    <m/>
    <s v="Bakkehuset"/>
    <x v="16"/>
    <x v="0"/>
    <x v="5"/>
    <n v="305.60000000000002"/>
    <n v="12"/>
    <s v="2005-07-01"/>
    <n v="0"/>
    <n v="560"/>
    <n v="0.54561599999999999"/>
    <n v="3"/>
    <x v="0"/>
    <n v="305.60000000000002"/>
    <n v="244.46"/>
    <n v="0"/>
    <s v="BK 24201918"/>
    <m/>
    <n v="305.59100000000001"/>
    <n v="0"/>
    <n v="56615"/>
  </r>
  <r>
    <x v="3"/>
    <s v="04859-3"/>
    <s v="Bakkehuset, Hvilebækgårdsvej 5"/>
    <n v="5244"/>
    <m/>
    <s v="Bakkehuset"/>
    <x v="16"/>
    <x v="0"/>
    <x v="6"/>
    <n v="286.5"/>
    <n v="12"/>
    <s v="2005-07-01"/>
    <n v="0"/>
    <n v="560"/>
    <n v="0.51151500000000005"/>
    <n v="3"/>
    <x v="0"/>
    <n v="286.5"/>
    <n v="229.2"/>
    <n v="0"/>
    <s v="BK 24201918"/>
    <m/>
    <n v="286.5"/>
    <n v="0"/>
    <n v="56615"/>
  </r>
  <r>
    <x v="3"/>
    <m/>
    <s v="Bavnebo"/>
    <n v="9965"/>
    <m/>
    <s v="Bavnebo"/>
    <x v="17"/>
    <x v="0"/>
    <x v="0"/>
    <n v="353"/>
    <n v="5"/>
    <s v="2010-01-31"/>
    <n v="0"/>
    <n v="715"/>
    <n v="0.19311900000000001"/>
    <n v="3"/>
    <x v="0"/>
    <n v="138.1"/>
    <n v="110.48"/>
    <n v="0"/>
    <m/>
    <m/>
    <n v="138.1"/>
    <n v="0"/>
    <n v="76373"/>
  </r>
  <r>
    <x v="3"/>
    <m/>
    <s v="Bavnebo"/>
    <n v="9965"/>
    <m/>
    <s v="Bavnebo"/>
    <x v="17"/>
    <x v="0"/>
    <x v="1"/>
    <n v="367.9"/>
    <n v="12"/>
    <s v="2010-01-31"/>
    <n v="0"/>
    <n v="715"/>
    <n v="0.51447299999999996"/>
    <n v="3"/>
    <x v="0"/>
    <n v="367.9"/>
    <n v="294.32"/>
    <n v="0"/>
    <m/>
    <m/>
    <n v="367.9"/>
    <n v="0"/>
    <n v="76373"/>
  </r>
  <r>
    <x v="3"/>
    <m/>
    <s v="Bavnebo"/>
    <n v="9965"/>
    <m/>
    <s v="Bavnebo"/>
    <x v="17"/>
    <x v="0"/>
    <x v="2"/>
    <n v="453.1"/>
    <n v="12"/>
    <s v="2010-01-31"/>
    <n v="0"/>
    <n v="715"/>
    <n v="0.63361699999999999"/>
    <n v="3"/>
    <x v="0"/>
    <n v="453.1"/>
    <n v="362.48"/>
    <n v="0"/>
    <m/>
    <m/>
    <n v="453.1"/>
    <n v="0"/>
    <n v="76373"/>
  </r>
  <r>
    <x v="3"/>
    <m/>
    <s v="Bavnebo"/>
    <n v="9965"/>
    <m/>
    <s v="Bavnebo"/>
    <x v="17"/>
    <x v="0"/>
    <x v="3"/>
    <n v="571.20000000000005"/>
    <n v="12"/>
    <s v="2010-01-31"/>
    <n v="0"/>
    <n v="715"/>
    <n v="0.79876899999999995"/>
    <n v="3"/>
    <x v="0"/>
    <n v="571.20000000000005"/>
    <n v="456.96"/>
    <n v="0"/>
    <m/>
    <m/>
    <n v="571.20000000000005"/>
    <n v="0"/>
    <n v="76373"/>
  </r>
  <r>
    <x v="3"/>
    <m/>
    <s v="Bavnebo"/>
    <n v="9965"/>
    <m/>
    <s v="Bavnebo"/>
    <x v="17"/>
    <x v="0"/>
    <x v="4"/>
    <n v="515.54"/>
    <n v="12"/>
    <s v="2010-01-31"/>
    <n v="0"/>
    <n v="715"/>
    <n v="0.72093399999999996"/>
    <n v="3"/>
    <x v="0"/>
    <n v="515.54"/>
    <n v="412.44"/>
    <n v="0"/>
    <m/>
    <m/>
    <n v="515.54444000000001"/>
    <n v="0"/>
    <n v="76373"/>
  </r>
  <r>
    <x v="3"/>
    <m/>
    <s v="Bavnebo"/>
    <n v="9965"/>
    <m/>
    <s v="Bavnebo"/>
    <x v="17"/>
    <x v="0"/>
    <x v="5"/>
    <n v="549.29"/>
    <n v="5"/>
    <s v="2010-01-31"/>
    <n v="0"/>
    <n v="715"/>
    <n v="0.76812999999999998"/>
    <n v="3"/>
    <x v="0"/>
    <n v="549.29"/>
    <n v="439.42"/>
    <n v="0"/>
    <m/>
    <m/>
    <n v="549.28126999999995"/>
    <n v="0"/>
    <n v="76373"/>
  </r>
  <r>
    <x v="3"/>
    <m/>
    <s v="Bavnebo"/>
    <n v="9965"/>
    <m/>
    <s v="Bavnebo"/>
    <x v="17"/>
    <x v="0"/>
    <x v="6"/>
    <n v="424.23"/>
    <n v="5"/>
    <s v="2010-01-31"/>
    <n v="0"/>
    <n v="715"/>
    <n v="0.59324500000000002"/>
    <n v="3"/>
    <x v="0"/>
    <n v="424.23"/>
    <n v="339.37"/>
    <n v="0"/>
    <m/>
    <m/>
    <n v="424.22831000000002"/>
    <n v="0"/>
    <n v="76373"/>
  </r>
  <r>
    <x v="3"/>
    <s v="004757-0"/>
    <s v="Bifrost Nordtoftevej 56c"/>
    <n v="5251"/>
    <m/>
    <s v="Bifrost"/>
    <x v="18"/>
    <x v="0"/>
    <x v="0"/>
    <n v="36"/>
    <n v="5"/>
    <s v="2005-05-01"/>
    <n v="0"/>
    <n v="375"/>
    <n v="3.9935999999999999E-2"/>
    <n v="3"/>
    <x v="0"/>
    <n v="14.98"/>
    <n v="11.98"/>
    <n v="0"/>
    <s v="BK 98392292"/>
    <m/>
    <n v="14.981999999999999"/>
    <n v="0"/>
    <n v="56682"/>
  </r>
  <r>
    <x v="3"/>
    <s v="004757-0"/>
    <s v="Bifrost Nordtoftevej 56c"/>
    <n v="5251"/>
    <m/>
    <s v="Bifrost"/>
    <x v="18"/>
    <x v="0"/>
    <x v="1"/>
    <n v="46.48"/>
    <n v="12"/>
    <s v="2005-05-01"/>
    <n v="0"/>
    <n v="375"/>
    <n v="0.123913"/>
    <n v="3"/>
    <x v="0"/>
    <n v="46.48"/>
    <n v="37.17"/>
    <n v="0"/>
    <s v="BK 98392292"/>
    <m/>
    <n v="46.472000000000001"/>
    <n v="0"/>
    <n v="56682"/>
  </r>
  <r>
    <x v="3"/>
    <s v="004757-0"/>
    <s v="Bifrost Nordtoftevej 56c"/>
    <n v="5251"/>
    <m/>
    <s v="Bifrost"/>
    <x v="18"/>
    <x v="0"/>
    <x v="2"/>
    <n v="73.430000000000007"/>
    <n v="12"/>
    <s v="2005-05-01"/>
    <n v="0"/>
    <n v="375"/>
    <n v="0.19576099999999999"/>
    <n v="3"/>
    <x v="0"/>
    <n v="73.430000000000007"/>
    <n v="58.75"/>
    <n v="0"/>
    <s v="BK 98392292"/>
    <m/>
    <n v="73.430999999999997"/>
    <n v="0"/>
    <n v="56682"/>
  </r>
  <r>
    <x v="3"/>
    <s v="004757-0"/>
    <s v="Bifrost Nordtoftevej 56c"/>
    <n v="5251"/>
    <m/>
    <s v="Bifrost"/>
    <x v="18"/>
    <x v="0"/>
    <x v="3"/>
    <n v="95.11"/>
    <n v="12"/>
    <s v="2005-05-01"/>
    <n v="0"/>
    <n v="375"/>
    <n v="0.25355899999999998"/>
    <n v="3"/>
    <x v="0"/>
    <n v="95.11"/>
    <n v="76.069999999999993"/>
    <n v="0"/>
    <s v="BK 98392292"/>
    <m/>
    <n v="95.11"/>
    <n v="0"/>
    <n v="56682"/>
  </r>
  <r>
    <x v="3"/>
    <s v="004757-0"/>
    <s v="Bifrost Nordtoftevej 56c"/>
    <n v="5251"/>
    <m/>
    <s v="Bifrost"/>
    <x v="18"/>
    <x v="0"/>
    <x v="4"/>
    <n v="121.35"/>
    <n v="12"/>
    <s v="2005-05-01"/>
    <n v="0"/>
    <n v="375"/>
    <n v="0.323513"/>
    <n v="3"/>
    <x v="0"/>
    <n v="121.35"/>
    <n v="97.07"/>
    <n v="0"/>
    <s v="BK 98392292"/>
    <m/>
    <n v="121.342"/>
    <n v="0"/>
    <n v="56682"/>
  </r>
  <r>
    <x v="3"/>
    <s v="004757-0"/>
    <s v="Bifrost Nordtoftevej 56c"/>
    <n v="5251"/>
    <m/>
    <s v="Bifrost"/>
    <x v="18"/>
    <x v="0"/>
    <x v="5"/>
    <n v="174.75"/>
    <n v="12"/>
    <s v="2005-05-01"/>
    <n v="0"/>
    <n v="375"/>
    <n v="0.46587499999999998"/>
    <n v="3"/>
    <x v="0"/>
    <n v="174.75"/>
    <n v="139.78"/>
    <n v="0"/>
    <s v="BK 98392292"/>
    <m/>
    <n v="174.73599999999999"/>
    <n v="0"/>
    <n v="56682"/>
  </r>
  <r>
    <x v="3"/>
    <s v="004757-0"/>
    <s v="Bifrost Nordtoftevej 56c"/>
    <n v="5251"/>
    <m/>
    <s v="Bifrost"/>
    <x v="18"/>
    <x v="0"/>
    <x v="6"/>
    <n v="158.05000000000001"/>
    <n v="12"/>
    <s v="2005-05-01"/>
    <n v="0"/>
    <n v="375"/>
    <n v="0.42135400000000001"/>
    <n v="3"/>
    <x v="0"/>
    <n v="158.05000000000001"/>
    <n v="126.44"/>
    <n v="0"/>
    <s v="BK 98392292"/>
    <m/>
    <n v="158.05099999999999"/>
    <n v="0"/>
    <n v="56682"/>
  </r>
  <r>
    <x v="3"/>
    <m/>
    <s v="Birkedal Børnehus, Kollekolle 75"/>
    <n v="9980"/>
    <m/>
    <s v="Birkedal Børnehus"/>
    <x v="14"/>
    <x v="0"/>
    <x v="0"/>
    <n v="460"/>
    <n v="5"/>
    <s v="2010-10-31"/>
    <n v="0"/>
    <n v="961"/>
    <n v="0.190302"/>
    <n v="3"/>
    <x v="0"/>
    <n v="182.9"/>
    <n v="146.32"/>
    <n v="0"/>
    <s v="41223"/>
    <m/>
    <n v="182.9"/>
    <n v="0"/>
    <n v="76421"/>
  </r>
  <r>
    <x v="3"/>
    <m/>
    <s v="Birkedal Børnehus, Kollekolle 75"/>
    <n v="9980"/>
    <m/>
    <s v="Birkedal Børnehus"/>
    <x v="14"/>
    <x v="0"/>
    <x v="1"/>
    <n v="568.20000000000005"/>
    <n v="12"/>
    <s v="2010-10-31"/>
    <n v="0"/>
    <n v="961"/>
    <n v="0.59119699999999997"/>
    <n v="3"/>
    <x v="0"/>
    <n v="568.20000000000005"/>
    <n v="454.56"/>
    <n v="0"/>
    <s v="41223"/>
    <m/>
    <n v="568.20000000000005"/>
    <n v="0"/>
    <n v="76421"/>
  </r>
  <r>
    <x v="3"/>
    <m/>
    <s v="Birkedal Børnehus, Kollekolle 75"/>
    <n v="9980"/>
    <m/>
    <s v="Birkedal Børnehus"/>
    <x v="14"/>
    <x v="0"/>
    <x v="2"/>
    <n v="523.70000000000005"/>
    <n v="12"/>
    <s v="2010-10-31"/>
    <n v="0"/>
    <n v="961"/>
    <n v="0.54489600000000005"/>
    <n v="3"/>
    <x v="0"/>
    <n v="523.70000000000005"/>
    <n v="418.96"/>
    <n v="0"/>
    <s v="41223"/>
    <m/>
    <n v="523.70000000000005"/>
    <n v="0"/>
    <n v="76421"/>
  </r>
  <r>
    <x v="3"/>
    <m/>
    <s v="Birkedal Børnehus, Kollekolle 75"/>
    <n v="9980"/>
    <m/>
    <s v="Birkedal Børnehus"/>
    <x v="14"/>
    <x v="0"/>
    <x v="3"/>
    <n v="595.4"/>
    <n v="12"/>
    <s v="2010-10-31"/>
    <n v="0"/>
    <n v="961"/>
    <n v="0.61949799999999999"/>
    <n v="3"/>
    <x v="0"/>
    <n v="595.4"/>
    <n v="476.32"/>
    <n v="0"/>
    <s v="41223"/>
    <m/>
    <n v="595.4"/>
    <n v="0"/>
    <n v="76421"/>
  </r>
  <r>
    <x v="3"/>
    <m/>
    <s v="Birkedal Børnehus, Kollekolle 75"/>
    <n v="9980"/>
    <m/>
    <s v="Birkedal Børnehus"/>
    <x v="14"/>
    <x v="0"/>
    <x v="4"/>
    <n v="526.29999999999995"/>
    <n v="6"/>
    <s v="2010-10-31"/>
    <n v="0"/>
    <n v="961"/>
    <n v="0.547601"/>
    <n v="3"/>
    <x v="0"/>
    <n v="526.29999999999995"/>
    <n v="421.04"/>
    <n v="0"/>
    <s v="41223"/>
    <m/>
    <n v="526.30002000000002"/>
    <n v="0"/>
    <n v="76421"/>
  </r>
  <r>
    <x v="3"/>
    <m/>
    <s v="Birkedal Børnehus, Kollekolle 75"/>
    <n v="9980"/>
    <m/>
    <s v="Birkedal Børnehus"/>
    <x v="14"/>
    <x v="0"/>
    <x v="4"/>
    <n v="61.99"/>
    <n v="3"/>
    <s v="2010-07-08"/>
    <n v="0"/>
    <n v="961"/>
    <n v="6.4499000000000001E-2"/>
    <n v="3"/>
    <x v="0"/>
    <n v="61.99"/>
    <n v="0"/>
    <n v="1"/>
    <s v="Varmt vand"/>
    <m/>
    <n v="62"/>
    <n v="0"/>
    <n v="78372"/>
  </r>
  <r>
    <x v="3"/>
    <m/>
    <s v="Birkedal Børnehus, Kollekolle 75"/>
    <n v="9980"/>
    <m/>
    <s v="Birkedal Børnehus"/>
    <x v="14"/>
    <x v="0"/>
    <x v="5"/>
    <n v="525.65"/>
    <n v="9"/>
    <s v="2010-10-31"/>
    <n v="0"/>
    <n v="961"/>
    <n v="0.54692499999999999"/>
    <n v="3"/>
    <x v="0"/>
    <n v="525.65"/>
    <n v="420.55"/>
    <n v="0"/>
    <s v="41223"/>
    <m/>
    <n v="525.67647999999997"/>
    <n v="0"/>
    <n v="76421"/>
  </r>
  <r>
    <x v="3"/>
    <m/>
    <s v="Birkedal Børnehus, Kollekolle 75"/>
    <n v="9980"/>
    <m/>
    <s v="Birkedal Børnehus"/>
    <x v="14"/>
    <x v="0"/>
    <x v="5"/>
    <n v="118.44"/>
    <n v="10"/>
    <s v="2010-07-08"/>
    <n v="0"/>
    <n v="961"/>
    <n v="0.123233"/>
    <n v="3"/>
    <x v="0"/>
    <n v="118.44"/>
    <n v="0"/>
    <n v="1"/>
    <s v="Varmt vand"/>
    <m/>
    <n v="118.44119000000001"/>
    <n v="0"/>
    <n v="78372"/>
  </r>
  <r>
    <x v="3"/>
    <m/>
    <s v="Birkedal Børnehus, Kollekolle 75"/>
    <n v="9980"/>
    <m/>
    <s v="Birkedal Børnehus"/>
    <x v="14"/>
    <x v="0"/>
    <x v="6"/>
    <n v="540.04"/>
    <n v="4"/>
    <s v="2010-10-31"/>
    <n v="0"/>
    <n v="961"/>
    <n v="0.56189699999999998"/>
    <n v="3"/>
    <x v="0"/>
    <n v="540.04"/>
    <n v="432.05"/>
    <n v="0"/>
    <s v="41223"/>
    <m/>
    <n v="540.03543999999999"/>
    <n v="0"/>
    <n v="76421"/>
  </r>
  <r>
    <x v="3"/>
    <m/>
    <s v="Birkedal Børnehus, Kollekolle 75"/>
    <n v="9980"/>
    <m/>
    <s v="Birkedal Børnehus"/>
    <x v="14"/>
    <x v="0"/>
    <x v="6"/>
    <n v="46.56"/>
    <n v="4"/>
    <s v="2010-07-08"/>
    <n v="0"/>
    <n v="961"/>
    <n v="4.8444000000000001E-2"/>
    <n v="3"/>
    <x v="0"/>
    <n v="46.56"/>
    <n v="0"/>
    <n v="1"/>
    <s v="Varmt vand"/>
    <m/>
    <n v="46.558819999999997"/>
    <n v="0"/>
    <n v="78372"/>
  </r>
  <r>
    <x v="3"/>
    <s v="???"/>
    <s v="Birkhøj (Valmuen)"/>
    <n v="5278"/>
    <m/>
    <s v="Birkhøj (Valmuen)"/>
    <x v="19"/>
    <x v="0"/>
    <x v="0"/>
    <n v="395"/>
    <n v="5"/>
    <s v="2005-05-01"/>
    <n v="0"/>
    <n v="760"/>
    <n v="0.21740499999999999"/>
    <n v="3"/>
    <x v="0"/>
    <n v="165.25"/>
    <n v="132.19999999999999"/>
    <n v="0"/>
    <s v="BK 4093455"/>
    <m/>
    <n v="165.25399999999999"/>
    <n v="0"/>
    <n v="56875"/>
  </r>
  <r>
    <x v="3"/>
    <s v="???"/>
    <s v="Birkhøj (Valmuen)"/>
    <n v="5278"/>
    <m/>
    <s v="Birkhøj (Valmuen)"/>
    <x v="19"/>
    <x v="0"/>
    <x v="1"/>
    <n v="343.49"/>
    <n v="12"/>
    <s v="2005-05-01"/>
    <n v="0"/>
    <n v="760"/>
    <n v="0.451901"/>
    <n v="3"/>
    <x v="0"/>
    <n v="343.49"/>
    <n v="274.77"/>
    <n v="0"/>
    <s v="BK 4093455"/>
    <m/>
    <n v="343.48500000000001"/>
    <n v="0"/>
    <n v="56875"/>
  </r>
  <r>
    <x v="3"/>
    <s v="???"/>
    <s v="Birkhøj (Valmuen)"/>
    <n v="5278"/>
    <m/>
    <s v="Birkhøj (Valmuen)"/>
    <x v="19"/>
    <x v="0"/>
    <x v="2"/>
    <n v="349.14"/>
    <n v="12"/>
    <s v="2005-05-01"/>
    <n v="0"/>
    <n v="760"/>
    <n v="0.45933400000000002"/>
    <n v="3"/>
    <x v="0"/>
    <n v="349.14"/>
    <n v="279.32"/>
    <n v="0"/>
    <s v="BK 4093455"/>
    <m/>
    <n v="349.14800000000002"/>
    <n v="0"/>
    <n v="56875"/>
  </r>
  <r>
    <x v="3"/>
    <s v="???"/>
    <s v="Birkhøj (Valmuen)"/>
    <n v="5278"/>
    <m/>
    <s v="Birkhøj (Valmuen)"/>
    <x v="19"/>
    <x v="0"/>
    <x v="3"/>
    <n v="383.55"/>
    <n v="12"/>
    <s v="2005-05-01"/>
    <n v="0"/>
    <n v="760"/>
    <n v="0.50460400000000005"/>
    <n v="3"/>
    <x v="0"/>
    <n v="383.55"/>
    <n v="306.86"/>
    <n v="0"/>
    <s v="BK 4093455"/>
    <m/>
    <n v="383.56400000000002"/>
    <n v="0"/>
    <n v="56875"/>
  </r>
  <r>
    <x v="3"/>
    <s v="???"/>
    <s v="Birkhøj (Valmuen)"/>
    <n v="5278"/>
    <m/>
    <s v="Birkhøj (Valmuen)"/>
    <x v="19"/>
    <x v="0"/>
    <x v="4"/>
    <n v="347.69"/>
    <n v="12"/>
    <s v="2005-05-01"/>
    <n v="0"/>
    <n v="760"/>
    <n v="0.457426"/>
    <n v="3"/>
    <x v="0"/>
    <n v="347.69"/>
    <n v="278.14999999999998"/>
    <n v="0"/>
    <s v="BK 4093455"/>
    <m/>
    <n v="347.69"/>
    <n v="0"/>
    <n v="56875"/>
  </r>
  <r>
    <x v="3"/>
    <s v="???"/>
    <s v="Birkhøj (Valmuen)"/>
    <n v="5278"/>
    <m/>
    <s v="Birkhøj (Valmuen)"/>
    <x v="19"/>
    <x v="0"/>
    <x v="5"/>
    <n v="84.9"/>
    <n v="12"/>
    <s v="2005-05-01"/>
    <n v="0"/>
    <n v="760"/>
    <n v="0.111695"/>
    <n v="3"/>
    <x v="0"/>
    <n v="84.9"/>
    <n v="67.92"/>
    <n v="0"/>
    <s v="BK 4093455"/>
    <m/>
    <n v="84.891000000000005"/>
    <n v="0"/>
    <n v="56875"/>
  </r>
  <r>
    <x v="3"/>
    <s v="???"/>
    <s v="Birkhøj (Valmuen)"/>
    <n v="5278"/>
    <m/>
    <s v="Birkhøj (Valmuen)"/>
    <x v="19"/>
    <x v="0"/>
    <x v="6"/>
    <n v="122.46"/>
    <n v="12"/>
    <s v="2005-05-01"/>
    <n v="0"/>
    <n v="760"/>
    <n v="0.16111"/>
    <n v="3"/>
    <x v="0"/>
    <n v="122.46"/>
    <n v="97.96"/>
    <n v="0"/>
    <s v="BK 4093455"/>
    <m/>
    <n v="122.473"/>
    <n v="0"/>
    <n v="56875"/>
  </r>
  <r>
    <x v="3"/>
    <s v="03322-7"/>
    <s v="Brudedalen Legestue, Brudedalen 54-58"/>
    <n v="5276"/>
    <m/>
    <s v="Legestuen"/>
    <x v="20"/>
    <x v="0"/>
    <x v="0"/>
    <n v="97"/>
    <n v="5"/>
    <s v="2005-10-03"/>
    <n v="0"/>
    <n v="284"/>
    <n v="0.140373"/>
    <n v="3"/>
    <x v="0"/>
    <n v="39.880000000000003"/>
    <n v="31.9"/>
    <n v="0"/>
    <s v="BK 99105981"/>
    <m/>
    <n v="39.872"/>
    <n v="0"/>
    <n v="56863"/>
  </r>
  <r>
    <x v="3"/>
    <s v="03322-7"/>
    <s v="Brudedalen Legestue, Brudedalen 54-58"/>
    <n v="5276"/>
    <m/>
    <s v="Legestuen"/>
    <x v="20"/>
    <x v="0"/>
    <x v="1"/>
    <n v="106.74"/>
    <n v="12"/>
    <s v="2005-10-03"/>
    <n v="0"/>
    <n v="284"/>
    <n v="0.37571199999999999"/>
    <n v="3"/>
    <x v="0"/>
    <n v="106.74"/>
    <n v="85.4"/>
    <n v="0"/>
    <s v="BK 99105981"/>
    <m/>
    <n v="106.74299999999999"/>
    <n v="0"/>
    <n v="56863"/>
  </r>
  <r>
    <x v="3"/>
    <s v="03322-7"/>
    <s v="Brudedalen Legestue, Brudedalen 54-58"/>
    <n v="5276"/>
    <m/>
    <s v="Legestuen"/>
    <x v="20"/>
    <x v="0"/>
    <x v="2"/>
    <n v="146.86000000000001"/>
    <n v="12"/>
    <s v="2005-10-03"/>
    <n v="0"/>
    <n v="284"/>
    <n v="0.51693"/>
    <n v="3"/>
    <x v="0"/>
    <n v="146.86000000000001"/>
    <n v="117.5"/>
    <n v="0"/>
    <s v="BK 99105981"/>
    <m/>
    <n v="146.87700000000001"/>
    <n v="0"/>
    <n v="56863"/>
  </r>
  <r>
    <x v="3"/>
    <s v="03322-7"/>
    <s v="Brudedalen Legestue, Brudedalen 54-58"/>
    <n v="5276"/>
    <m/>
    <s v="Legestuen"/>
    <x v="20"/>
    <x v="0"/>
    <x v="3"/>
    <n v="233.34"/>
    <n v="12"/>
    <s v="2005-10-03"/>
    <n v="0"/>
    <n v="284"/>
    <n v="0.82133"/>
    <n v="3"/>
    <x v="0"/>
    <n v="233.34"/>
    <n v="186.68"/>
    <n v="0"/>
    <s v="BK 99105981"/>
    <m/>
    <n v="233.32900000000001"/>
    <n v="0"/>
    <n v="56863"/>
  </r>
  <r>
    <x v="3"/>
    <s v="03322-7"/>
    <s v="Brudedalen Legestue, Brudedalen 54-58"/>
    <n v="5276"/>
    <m/>
    <s v="Legestuen"/>
    <x v="20"/>
    <x v="0"/>
    <x v="4"/>
    <n v="122.72"/>
    <n v="12"/>
    <s v="2005-10-03"/>
    <n v="0"/>
    <n v="284"/>
    <n v="0.43196000000000001"/>
    <n v="3"/>
    <x v="0"/>
    <n v="122.72"/>
    <n v="98.17"/>
    <n v="0"/>
    <s v="BK 99105981"/>
    <m/>
    <n v="122.73399999999999"/>
    <n v="0"/>
    <n v="56863"/>
  </r>
  <r>
    <x v="3"/>
    <s v="03322-7"/>
    <s v="Brudedalen Legestue, Brudedalen 54-58"/>
    <n v="5276"/>
    <m/>
    <s v="Legestuen"/>
    <x v="20"/>
    <x v="0"/>
    <x v="5"/>
    <n v="106.54"/>
    <n v="12"/>
    <s v="2005-10-03"/>
    <n v="0"/>
    <n v="284"/>
    <n v="0.37500800000000001"/>
    <n v="3"/>
    <x v="0"/>
    <n v="106.54"/>
    <n v="85.21"/>
    <n v="0"/>
    <s v="BK 99105981"/>
    <m/>
    <n v="106.523"/>
    <n v="0"/>
    <n v="56863"/>
  </r>
  <r>
    <x v="3"/>
    <s v="03322-7"/>
    <s v="Brudedalen Legestue, Brudedalen 54-58"/>
    <n v="5276"/>
    <m/>
    <s v="Legestuen"/>
    <x v="20"/>
    <x v="0"/>
    <x v="6"/>
    <n v="126.27"/>
    <n v="12"/>
    <s v="2005-10-03"/>
    <n v="0"/>
    <n v="284"/>
    <n v="0.44445600000000002"/>
    <n v="3"/>
    <x v="0"/>
    <n v="126.27"/>
    <n v="101.03"/>
    <n v="0"/>
    <s v="BK 99105981"/>
    <m/>
    <n v="126.27800000000001"/>
    <n v="0"/>
    <n v="56863"/>
  </r>
  <r>
    <x v="3"/>
    <m/>
    <s v="Bøgely Ravnehusvej 20"/>
    <n v="9970"/>
    <m/>
    <s v="Bøgely"/>
    <x v="21"/>
    <x v="0"/>
    <x v="0"/>
    <n v="534"/>
    <n v="5"/>
    <s v="2009-12-31"/>
    <n v="0"/>
    <n v="864"/>
    <n v="0.269459"/>
    <n v="3"/>
    <x v="0"/>
    <n v="232.84"/>
    <n v="186.28"/>
    <n v="0"/>
    <m/>
    <m/>
    <n v="232.84399999999999"/>
    <n v="0"/>
    <n v="76388"/>
  </r>
  <r>
    <x v="3"/>
    <m/>
    <s v="Bøgely Ravnehusvej 20"/>
    <n v="9970"/>
    <m/>
    <s v="Bøgely"/>
    <x v="21"/>
    <x v="0"/>
    <x v="1"/>
    <n v="691.9"/>
    <n v="12"/>
    <s v="2009-12-31"/>
    <n v="0"/>
    <n v="864"/>
    <n v="0.80071700000000001"/>
    <n v="3"/>
    <x v="0"/>
    <n v="691.9"/>
    <n v="553.52"/>
    <n v="0"/>
    <m/>
    <m/>
    <n v="691.9"/>
    <n v="0"/>
    <n v="76388"/>
  </r>
  <r>
    <x v="3"/>
    <m/>
    <s v="Bøgely Ravnehusvej 20"/>
    <n v="9970"/>
    <m/>
    <s v="Bøgely"/>
    <x v="21"/>
    <x v="0"/>
    <x v="2"/>
    <n v="615.9"/>
    <n v="12"/>
    <s v="2009-12-31"/>
    <n v="0"/>
    <n v="796"/>
    <n v="0.77364599999999994"/>
    <n v="3"/>
    <x v="0"/>
    <n v="615.9"/>
    <n v="492.72"/>
    <n v="0"/>
    <m/>
    <m/>
    <n v="615.9"/>
    <n v="0"/>
    <n v="76388"/>
  </r>
  <r>
    <x v="3"/>
    <m/>
    <s v="Bøgely Ravnehusvej 20"/>
    <n v="9970"/>
    <m/>
    <s v="Bøgely"/>
    <x v="21"/>
    <x v="0"/>
    <x v="3"/>
    <n v="478.5"/>
    <n v="12"/>
    <s v="2009-12-31"/>
    <n v="0"/>
    <n v="774"/>
    <n v="0.61813700000000005"/>
    <n v="3"/>
    <x v="0"/>
    <n v="478.5"/>
    <n v="382.8"/>
    <n v="0"/>
    <m/>
    <m/>
    <n v="478.5"/>
    <n v="0"/>
    <n v="76388"/>
  </r>
  <r>
    <x v="3"/>
    <m/>
    <s v="Bøgely Ravnehusvej 20"/>
    <n v="9970"/>
    <m/>
    <s v="Bøgely"/>
    <x v="21"/>
    <x v="0"/>
    <x v="4"/>
    <n v="475.1"/>
    <n v="12"/>
    <s v="2009-12-31"/>
    <n v="0"/>
    <n v="774"/>
    <n v="0.61374399999999996"/>
    <n v="3"/>
    <x v="0"/>
    <n v="475.1"/>
    <n v="380.08"/>
    <n v="0"/>
    <m/>
    <m/>
    <n v="475.1"/>
    <n v="0"/>
    <n v="76388"/>
  </r>
  <r>
    <x v="3"/>
    <m/>
    <s v="Bøgely Ravnehusvej 20"/>
    <n v="9970"/>
    <m/>
    <s v="Bøgely"/>
    <x v="21"/>
    <x v="0"/>
    <x v="5"/>
    <n v="543.19000000000005"/>
    <n v="11"/>
    <s v="2009-12-31"/>
    <n v="0"/>
    <n v="774"/>
    <n v="0.70170500000000002"/>
    <n v="3"/>
    <x v="0"/>
    <n v="543.19000000000005"/>
    <n v="434.55"/>
    <n v="0"/>
    <m/>
    <m/>
    <n v="543.20001000000002"/>
    <n v="0"/>
    <n v="76388"/>
  </r>
  <r>
    <x v="3"/>
    <m/>
    <s v="Bøgely Ravnehusvej 20"/>
    <n v="9970"/>
    <m/>
    <s v="Bøgely"/>
    <x v="21"/>
    <x v="0"/>
    <x v="6"/>
    <n v="684.19"/>
    <n v="7"/>
    <s v="2009-12-31"/>
    <n v="0"/>
    <n v="774"/>
    <n v="0.88385199999999997"/>
    <n v="3"/>
    <x v="0"/>
    <n v="684.19"/>
    <n v="547.34"/>
    <n v="0"/>
    <m/>
    <m/>
    <n v="684.16980000000001"/>
    <n v="0"/>
    <n v="76388"/>
  </r>
  <r>
    <x v="3"/>
    <s v="02558-5"/>
    <s v="Børnehusene Ryttergårdsvej 100 - 102"/>
    <n v="5252"/>
    <m/>
    <s v="Børnehusene Ryttergårdsvej 100 - 102"/>
    <x v="22"/>
    <x v="0"/>
    <x v="0"/>
    <n v="476"/>
    <n v="5"/>
    <s v="2005-05-01"/>
    <n v="0"/>
    <n v="752"/>
    <n v="0.223028"/>
    <n v="3"/>
    <x v="0"/>
    <n v="167.74"/>
    <n v="134.19"/>
    <n v="0"/>
    <s v="BK 99100253"/>
    <m/>
    <n v="167.73699999999999"/>
    <n v="0"/>
    <n v="56689"/>
  </r>
  <r>
    <x v="3"/>
    <s v="02558-5"/>
    <s v="Børnehusene Ryttergårdsvej 100 - 102"/>
    <n v="5252"/>
    <m/>
    <s v="Børnehusene Ryttergårdsvej 100 - 102"/>
    <x v="22"/>
    <x v="0"/>
    <x v="1"/>
    <n v="404.13"/>
    <n v="12"/>
    <s v="2005-05-01"/>
    <n v="0"/>
    <n v="752"/>
    <n v="0.53733500000000001"/>
    <n v="3"/>
    <x v="0"/>
    <n v="404.13"/>
    <n v="323.29000000000002"/>
    <n v="0"/>
    <s v="BK 99100253"/>
    <m/>
    <n v="404.12700000000001"/>
    <n v="0"/>
    <n v="56689"/>
  </r>
  <r>
    <x v="3"/>
    <s v="02558-5"/>
    <s v="Børnehusene Ryttergårdsvej 100 - 102"/>
    <n v="5252"/>
    <m/>
    <s v="Børnehusene Ryttergårdsvej 100 - 102"/>
    <x v="22"/>
    <x v="0"/>
    <x v="2"/>
    <n v="424.72"/>
    <n v="12"/>
    <s v="2005-05-01"/>
    <n v="0"/>
    <n v="752"/>
    <n v="0.56471199999999999"/>
    <n v="3"/>
    <x v="0"/>
    <n v="424.72"/>
    <n v="339.77"/>
    <n v="0"/>
    <s v="BK 99100253"/>
    <m/>
    <n v="424.71800000000002"/>
    <n v="0"/>
    <n v="56689"/>
  </r>
  <r>
    <x v="3"/>
    <s v="02558-5"/>
    <s v="Børnehusene Ryttergårdsvej 100 - 102"/>
    <n v="5252"/>
    <m/>
    <s v="Børnehusene Ryttergårdsvej 100 - 102"/>
    <x v="22"/>
    <x v="0"/>
    <x v="3"/>
    <n v="419.28"/>
    <n v="12"/>
    <s v="2005-05-01"/>
    <n v="0"/>
    <n v="752"/>
    <n v="0.55747899999999995"/>
    <n v="3"/>
    <x v="0"/>
    <n v="419.28"/>
    <n v="335.45"/>
    <n v="0"/>
    <s v="BK 99100253"/>
    <m/>
    <n v="419.291"/>
    <n v="0"/>
    <n v="56689"/>
  </r>
  <r>
    <x v="3"/>
    <s v="02558-5"/>
    <s v="Børnehusene Ryttergårdsvej 100 - 102"/>
    <n v="5252"/>
    <m/>
    <s v="Børnehusene Ryttergårdsvej 100 - 102"/>
    <x v="22"/>
    <x v="0"/>
    <x v="4"/>
    <n v="379.38"/>
    <n v="12"/>
    <s v="2005-05-01"/>
    <n v="0"/>
    <n v="752"/>
    <n v="0.50442699999999996"/>
    <n v="3"/>
    <x v="0"/>
    <n v="379.38"/>
    <n v="303.5"/>
    <n v="0"/>
    <s v="BK 99100253"/>
    <m/>
    <n v="379.36700000000002"/>
    <n v="0"/>
    <n v="56689"/>
  </r>
  <r>
    <x v="3"/>
    <s v="02558-5"/>
    <s v="Børnehusene Ryttergårdsvej 100 - 102"/>
    <n v="5252"/>
    <m/>
    <s v="Børnehusene Ryttergårdsvej 100 - 102"/>
    <x v="22"/>
    <x v="0"/>
    <x v="5"/>
    <n v="378.39"/>
    <n v="12"/>
    <s v="2005-05-01"/>
    <n v="0"/>
    <n v="752"/>
    <n v="0.50311099999999997"/>
    <n v="3"/>
    <x v="0"/>
    <n v="378.39"/>
    <n v="302.72000000000003"/>
    <n v="0"/>
    <s v="BK 99100253"/>
    <m/>
    <n v="378.40199999999999"/>
    <n v="0"/>
    <n v="56689"/>
  </r>
  <r>
    <x v="3"/>
    <s v="02558-5"/>
    <s v="Børnehusene Ryttergårdsvej 100 - 102"/>
    <n v="5252"/>
    <m/>
    <s v="Børnehusene Ryttergårdsvej 100 - 102"/>
    <x v="22"/>
    <x v="0"/>
    <x v="6"/>
    <n v="404.61"/>
    <n v="12"/>
    <s v="2005-05-01"/>
    <n v="0"/>
    <n v="752"/>
    <n v="0.53797300000000003"/>
    <n v="3"/>
    <x v="0"/>
    <n v="404.61"/>
    <n v="323.69"/>
    <n v="0"/>
    <s v="BK 99100253"/>
    <m/>
    <n v="404.62799999999999"/>
    <n v="0"/>
    <n v="56689"/>
  </r>
  <r>
    <x v="3"/>
    <m/>
    <s v="Børnehuset Åkanden / Skovbo Skovbovænget 75"/>
    <n v="9977"/>
    <m/>
    <s v="Åkanden/Skovbo"/>
    <x v="23"/>
    <x v="0"/>
    <x v="0"/>
    <n v="438"/>
    <n v="5"/>
    <s v="2010-10-31"/>
    <n v="0"/>
    <n v="487"/>
    <n v="0.34459000000000001"/>
    <n v="3"/>
    <x v="0"/>
    <n v="167.85"/>
    <n v="134.27000000000001"/>
    <n v="0"/>
    <m/>
    <m/>
    <n v="167.846"/>
    <n v="0"/>
    <n v="76403"/>
  </r>
  <r>
    <x v="3"/>
    <m/>
    <s v="Børnehuset Åkanden / Skovbo Skovbovænget 75"/>
    <n v="9977"/>
    <m/>
    <s v="Åkanden/Skovbo"/>
    <x v="23"/>
    <x v="0"/>
    <x v="1"/>
    <n v="422.6"/>
    <n v="12"/>
    <s v="2010-10-31"/>
    <n v="0"/>
    <n v="487"/>
    <n v="0.86758299999999999"/>
    <n v="3"/>
    <x v="0"/>
    <n v="422.6"/>
    <n v="338.08"/>
    <n v="0"/>
    <m/>
    <m/>
    <n v="422.6"/>
    <n v="0"/>
    <n v="76403"/>
  </r>
  <r>
    <x v="3"/>
    <m/>
    <s v="Børnehuset Åkanden / Skovbo Skovbovænget 75"/>
    <n v="9977"/>
    <m/>
    <s v="Åkanden/Skovbo"/>
    <x v="23"/>
    <x v="0"/>
    <x v="2"/>
    <n v="475.3"/>
    <n v="12"/>
    <s v="2010-10-31"/>
    <n v="0"/>
    <n v="487"/>
    <n v="0.97577400000000003"/>
    <n v="3"/>
    <x v="0"/>
    <n v="475.3"/>
    <n v="380.24"/>
    <n v="0"/>
    <m/>
    <m/>
    <n v="475.3"/>
    <n v="0"/>
    <n v="76403"/>
  </r>
  <r>
    <x v="3"/>
    <m/>
    <s v="Børnehuset Åkanden / Skovbo Skovbovænget 75"/>
    <n v="9977"/>
    <m/>
    <s v="Åkanden/Skovbo"/>
    <x v="23"/>
    <x v="0"/>
    <x v="3"/>
    <n v="678.1"/>
    <n v="12"/>
    <s v="2010-10-31"/>
    <n v="0"/>
    <n v="487"/>
    <n v="1.3921159999999999"/>
    <n v="3"/>
    <x v="0"/>
    <n v="678.1"/>
    <n v="542.48"/>
    <n v="0"/>
    <m/>
    <m/>
    <n v="678.1"/>
    <n v="0"/>
    <n v="76403"/>
  </r>
  <r>
    <x v="3"/>
    <m/>
    <s v="Børnehuset Åkanden / Skovbo Skovbovænget 75"/>
    <n v="9977"/>
    <m/>
    <s v="Åkanden/Skovbo"/>
    <x v="23"/>
    <x v="0"/>
    <x v="4"/>
    <n v="607.02"/>
    <n v="5"/>
    <s v="2010-10-31"/>
    <n v="0"/>
    <n v="487"/>
    <n v="1.246191"/>
    <n v="3"/>
    <x v="0"/>
    <n v="607.02"/>
    <n v="485.61"/>
    <n v="0"/>
    <m/>
    <m/>
    <n v="607.00908000000004"/>
    <n v="0"/>
    <n v="76403"/>
  </r>
  <r>
    <x v="3"/>
    <m/>
    <s v="Børnehuset Åkanden / Skovbo Skovbovænget 75"/>
    <n v="9977"/>
    <m/>
    <s v="Åkanden/Skovbo"/>
    <x v="23"/>
    <x v="0"/>
    <x v="5"/>
    <n v="408.85"/>
    <n v="6"/>
    <s v="2010-10-31"/>
    <n v="0"/>
    <n v="487"/>
    <n v="0.83935499999999996"/>
    <n v="3"/>
    <x v="0"/>
    <n v="408.85"/>
    <n v="327.06"/>
    <n v="0"/>
    <m/>
    <m/>
    <n v="408.84384"/>
    <n v="0"/>
    <n v="76403"/>
  </r>
  <r>
    <x v="3"/>
    <m/>
    <s v="Børnehuset Åkanden / Skovbo Skovbovænget 75"/>
    <n v="9977"/>
    <m/>
    <s v="Åkanden/Skovbo"/>
    <x v="23"/>
    <x v="0"/>
    <x v="6"/>
    <n v="328.63"/>
    <n v="8"/>
    <s v="2010-10-31"/>
    <n v="0"/>
    <n v="487"/>
    <n v="0.67466599999999999"/>
    <n v="3"/>
    <x v="0"/>
    <n v="328.63"/>
    <n v="262.92"/>
    <n v="0"/>
    <m/>
    <m/>
    <n v="328.63828999999998"/>
    <n v="0"/>
    <n v="76403"/>
  </r>
  <r>
    <x v="3"/>
    <m/>
    <s v="Dalgården, Dalsø 107-109"/>
    <n v="10018"/>
    <m/>
    <s v="Dalgården"/>
    <x v="24"/>
    <x v="0"/>
    <x v="0"/>
    <n v="462"/>
    <n v="5"/>
    <s v="2010-01-31"/>
    <n v="0"/>
    <n v="838"/>
    <n v="0.23588999999999999"/>
    <n v="3"/>
    <x v="0"/>
    <n v="197.7"/>
    <n v="158.16"/>
    <n v="0"/>
    <s v="02pc5012--"/>
    <m/>
    <n v="197.7"/>
    <n v="0"/>
    <n v="76529"/>
  </r>
  <r>
    <x v="3"/>
    <m/>
    <s v="Bavnebo"/>
    <n v="9965"/>
    <m/>
    <s v="Bavnebo"/>
    <x v="17"/>
    <x v="0"/>
    <x v="7"/>
    <n v="326.3"/>
    <n v="12"/>
    <s v="2010-01-31"/>
    <n v="0"/>
    <n v="715"/>
    <n v="0.45629900000000001"/>
    <n v="3"/>
    <x v="0"/>
    <n v="326.3"/>
    <n v="261.04000000000002"/>
    <n v="0"/>
    <m/>
    <m/>
    <n v="326.29998999999998"/>
    <n v="0"/>
    <n v="76373"/>
  </r>
  <r>
    <x v="3"/>
    <m/>
    <s v="Dalgården, Dalsø 107-109"/>
    <n v="10018"/>
    <m/>
    <s v="Dalgården"/>
    <x v="24"/>
    <x v="0"/>
    <x v="1"/>
    <n v="475.8"/>
    <n v="12"/>
    <s v="2010-01-31"/>
    <n v="0"/>
    <n v="838"/>
    <n v="0.56771199999999999"/>
    <n v="3"/>
    <x v="0"/>
    <n v="475.8"/>
    <n v="380.64"/>
    <n v="0"/>
    <s v="02pc5012--"/>
    <m/>
    <n v="475.8"/>
    <n v="0"/>
    <n v="76529"/>
  </r>
  <r>
    <x v="3"/>
    <m/>
    <s v="Dalgården, Dalsø 107-109"/>
    <n v="10018"/>
    <m/>
    <s v="Dalgården"/>
    <x v="24"/>
    <x v="0"/>
    <x v="2"/>
    <n v="437.7"/>
    <n v="12"/>
    <s v="2010-01-31"/>
    <n v="0"/>
    <n v="838"/>
    <n v="0.52225200000000005"/>
    <n v="3"/>
    <x v="0"/>
    <n v="437.7"/>
    <n v="350.16"/>
    <n v="0"/>
    <s v="02pc5012--"/>
    <m/>
    <n v="437.7"/>
    <n v="0"/>
    <n v="76529"/>
  </r>
  <r>
    <x v="3"/>
    <m/>
    <s v="Dalgården, Dalsø 107-109"/>
    <n v="10018"/>
    <m/>
    <s v="Dalgården"/>
    <x v="24"/>
    <x v="0"/>
    <x v="3"/>
    <n v="428.5"/>
    <n v="12"/>
    <s v="2010-01-31"/>
    <n v="0"/>
    <n v="838"/>
    <n v="0.51127500000000003"/>
    <n v="3"/>
    <x v="0"/>
    <n v="428.5"/>
    <n v="342.8"/>
    <n v="0"/>
    <s v="02pc5012--"/>
    <m/>
    <n v="428.5"/>
    <n v="0"/>
    <n v="76529"/>
  </r>
  <r>
    <x v="3"/>
    <m/>
    <s v="Dalgården, Dalsø 107-109"/>
    <n v="10018"/>
    <m/>
    <s v="Dalgården"/>
    <x v="24"/>
    <x v="0"/>
    <x v="4"/>
    <n v="569.54"/>
    <n v="12"/>
    <s v="2010-01-31"/>
    <n v="0"/>
    <n v="838"/>
    <n v="0.67956000000000005"/>
    <n v="3"/>
    <x v="0"/>
    <n v="569.54"/>
    <n v="455.63"/>
    <n v="0"/>
    <s v="02pc5012--"/>
    <m/>
    <n v="569.54142000000002"/>
    <n v="0"/>
    <n v="76529"/>
  </r>
  <r>
    <x v="3"/>
    <m/>
    <s v="Dalgården, Dalsø 107-109"/>
    <n v="10018"/>
    <m/>
    <s v="Dalgården"/>
    <x v="24"/>
    <x v="0"/>
    <x v="5"/>
    <n v="617.34"/>
    <n v="3"/>
    <s v="2010-01-31"/>
    <n v="0"/>
    <n v="838"/>
    <n v="0.73659399999999997"/>
    <n v="3"/>
    <x v="0"/>
    <n v="617.34"/>
    <n v="493.86"/>
    <n v="0"/>
    <s v="02pc5012--"/>
    <m/>
    <n v="617.34520999999995"/>
    <n v="0"/>
    <n v="76529"/>
  </r>
  <r>
    <x v="3"/>
    <m/>
    <s v="Dalgården, Dalsø 107-109"/>
    <n v="10018"/>
    <m/>
    <s v="Dalgården"/>
    <x v="24"/>
    <x v="0"/>
    <x v="6"/>
    <n v="563.30999999999995"/>
    <n v="5"/>
    <s v="2010-01-31"/>
    <n v="0"/>
    <n v="838"/>
    <n v="0.67212700000000003"/>
    <n v="3"/>
    <x v="0"/>
    <n v="563.30999999999995"/>
    <n v="450.65"/>
    <n v="0"/>
    <s v="02pc5012--"/>
    <m/>
    <n v="563.31335000000001"/>
    <n v="0"/>
    <n v="76529"/>
  </r>
  <r>
    <x v="3"/>
    <s v="04730-9"/>
    <s v="Drivhuset Hvilebæksgårdsvej 17"/>
    <n v="5486"/>
    <m/>
    <s v="Drivhuset"/>
    <x v="25"/>
    <x v="0"/>
    <x v="0"/>
    <n v="0"/>
    <n v="5"/>
    <s v="2005-05-01"/>
    <n v="0"/>
    <n v="417"/>
    <n v="-8.0070000000000002E-3"/>
    <n v="3"/>
    <x v="0"/>
    <n v="-3.34"/>
    <n v="-2.65"/>
    <n v="0"/>
    <s v="3090080"/>
    <m/>
    <n v="-3.3170000000000002"/>
    <n v="0"/>
    <n v="57985"/>
  </r>
  <r>
    <x v="3"/>
    <s v="04730-9"/>
    <s v="Drivhuset Hvilebæksgårdsvej 17"/>
    <n v="5486"/>
    <m/>
    <s v="Drivhuset"/>
    <x v="25"/>
    <x v="0"/>
    <x v="0"/>
    <n v="288"/>
    <n v="5"/>
    <s v="2005-05-01"/>
    <n v="0"/>
    <n v="417"/>
    <n v="0.32131300000000002"/>
    <n v="3"/>
    <x v="0"/>
    <n v="134.02000000000001"/>
    <n v="107.21"/>
    <n v="0"/>
    <s v="03485049"/>
    <m/>
    <n v="134.01599999999999"/>
    <n v="0"/>
    <n v="60151"/>
  </r>
  <r>
    <x v="3"/>
    <m/>
    <s v="Bavnebo"/>
    <n v="9965"/>
    <m/>
    <s v="Bavnebo"/>
    <x v="17"/>
    <x v="0"/>
    <x v="7"/>
    <n v="17206.64"/>
    <n v="12"/>
    <s v="2010-01-31"/>
    <n v="0"/>
    <n v="715"/>
    <n v="24.061865000000001"/>
    <n v="2"/>
    <x v="2"/>
    <n v="17206.64"/>
    <n v="5161.99"/>
    <n v="0"/>
    <m/>
    <s v="74110485999"/>
    <n v="17206.644"/>
    <n v="0"/>
    <n v="76372"/>
  </r>
  <r>
    <x v="3"/>
    <m/>
    <s v="Bavnebo"/>
    <n v="9965"/>
    <m/>
    <s v="Bavnebo"/>
    <x v="17"/>
    <x v="0"/>
    <x v="7"/>
    <n v="48470"/>
    <n v="12"/>
    <s v="2010-10-31"/>
    <n v="0"/>
    <n v="715"/>
    <n v="67.780728999999994"/>
    <n v="1"/>
    <x v="5"/>
    <n v="57460.4"/>
    <n v="3677.46"/>
    <n v="0"/>
    <m/>
    <m/>
    <n v="48.47"/>
    <n v="0"/>
    <n v="76374"/>
  </r>
  <r>
    <x v="3"/>
    <s v="04730-9"/>
    <s v="Drivhuset Hvilebæksgårdsvej 17"/>
    <n v="5486"/>
    <m/>
    <s v="Drivhuset"/>
    <x v="25"/>
    <x v="0"/>
    <x v="1"/>
    <n v="-2.13"/>
    <n v="12"/>
    <s v="2005-05-01"/>
    <n v="0"/>
    <n v="417"/>
    <n v="-5.1060000000000003E-3"/>
    <n v="3"/>
    <x v="0"/>
    <n v="-2.13"/>
    <n v="-1.7"/>
    <n v="0"/>
    <s v="3090080"/>
    <m/>
    <n v="-2.1419999999999999"/>
    <n v="0"/>
    <n v="57985"/>
  </r>
  <r>
    <x v="3"/>
    <s v="04730-9"/>
    <s v="Drivhuset Hvilebæksgårdsvej 17"/>
    <n v="5486"/>
    <m/>
    <s v="Drivhuset"/>
    <x v="25"/>
    <x v="0"/>
    <x v="1"/>
    <n v="300.83"/>
    <n v="12"/>
    <s v="2005-05-01"/>
    <n v="0"/>
    <n v="417"/>
    <n v="0.72124100000000002"/>
    <n v="3"/>
    <x v="0"/>
    <n v="300.83"/>
    <n v="240.68"/>
    <n v="0"/>
    <s v="03485049"/>
    <m/>
    <n v="300.82900000000001"/>
    <n v="0"/>
    <n v="60151"/>
  </r>
  <r>
    <x v="3"/>
    <s v="04730-9"/>
    <s v="Drivhuset Hvilebæksgårdsvej 17"/>
    <n v="5486"/>
    <m/>
    <s v="Drivhuset"/>
    <x v="25"/>
    <x v="0"/>
    <x v="2"/>
    <n v="15.28"/>
    <n v="12"/>
    <s v="2005-05-01"/>
    <n v="0"/>
    <n v="417"/>
    <n v="3.6632999999999999E-2"/>
    <n v="3"/>
    <x v="0"/>
    <n v="15.28"/>
    <n v="12.25"/>
    <n v="0"/>
    <s v="3090080"/>
    <m/>
    <n v="15.294"/>
    <n v="0"/>
    <n v="57985"/>
  </r>
  <r>
    <x v="3"/>
    <s v="04730-9"/>
    <s v="Drivhuset Hvilebæksgårdsvej 17"/>
    <n v="5486"/>
    <m/>
    <s v="Drivhuset"/>
    <x v="25"/>
    <x v="0"/>
    <x v="2"/>
    <n v="398.87"/>
    <n v="12"/>
    <s v="2005-05-01"/>
    <n v="0"/>
    <n v="417"/>
    <n v="0.95629299999999995"/>
    <n v="3"/>
    <x v="0"/>
    <n v="398.87"/>
    <n v="319.11"/>
    <n v="0"/>
    <s v="03485049"/>
    <m/>
    <n v="398.87599999999998"/>
    <n v="0"/>
    <n v="60151"/>
  </r>
  <r>
    <x v="3"/>
    <s v="04730-9"/>
    <s v="Drivhuset Hvilebæksgårdsvej 17"/>
    <n v="5486"/>
    <m/>
    <s v="Drivhuset"/>
    <x v="25"/>
    <x v="0"/>
    <x v="3"/>
    <n v="52.19"/>
    <n v="12"/>
    <s v="2005-05-01"/>
    <n v="0"/>
    <n v="417"/>
    <n v="0.12512499999999999"/>
    <n v="3"/>
    <x v="0"/>
    <n v="52.19"/>
    <n v="41.75"/>
    <n v="0"/>
    <s v="3090080"/>
    <m/>
    <n v="52.195999999999998"/>
    <n v="0"/>
    <n v="57985"/>
  </r>
  <r>
    <x v="3"/>
    <s v="04730-9"/>
    <s v="Drivhuset Hvilebæksgårdsvej 17"/>
    <n v="5486"/>
    <m/>
    <s v="Drivhuset"/>
    <x v="25"/>
    <x v="0"/>
    <x v="3"/>
    <n v="353.71"/>
    <n v="12"/>
    <s v="2005-05-01"/>
    <n v="0"/>
    <n v="417"/>
    <n v="0.84802200000000005"/>
    <n v="3"/>
    <x v="0"/>
    <n v="353.71"/>
    <n v="282.98"/>
    <n v="0"/>
    <s v="03485049"/>
    <m/>
    <n v="353.71100000000001"/>
    <n v="0"/>
    <n v="60151"/>
  </r>
  <r>
    <x v="3"/>
    <s v="04730-9"/>
    <s v="Drivhuset Hvilebæksgårdsvej 17"/>
    <n v="5486"/>
    <m/>
    <s v="Drivhuset"/>
    <x v="25"/>
    <x v="0"/>
    <x v="4"/>
    <n v="26.26"/>
    <n v="12"/>
    <s v="2005-05-01"/>
    <n v="0"/>
    <n v="417"/>
    <n v="6.2958E-2"/>
    <n v="3"/>
    <x v="0"/>
    <n v="26.26"/>
    <n v="21.02"/>
    <n v="0"/>
    <s v="3090080"/>
    <m/>
    <n v="26.265000000000001"/>
    <n v="0"/>
    <n v="57985"/>
  </r>
  <r>
    <x v="3"/>
    <s v="04730-9"/>
    <s v="Drivhuset Hvilebæksgårdsvej 17"/>
    <n v="5486"/>
    <m/>
    <s v="Drivhuset"/>
    <x v="25"/>
    <x v="0"/>
    <x v="4"/>
    <n v="436.66"/>
    <n v="12"/>
    <s v="2005-05-01"/>
    <n v="0"/>
    <n v="417"/>
    <n v="1.0468949999999999"/>
    <n v="3"/>
    <x v="0"/>
    <n v="436.66"/>
    <n v="349.32"/>
    <n v="0"/>
    <s v="03485049"/>
    <m/>
    <n v="436.661"/>
    <n v="0"/>
    <n v="60151"/>
  </r>
  <r>
    <x v="3"/>
    <s v="04730-9"/>
    <s v="Drivhuset Hvilebæksgårdsvej 17"/>
    <n v="5486"/>
    <m/>
    <s v="Drivhuset"/>
    <x v="25"/>
    <x v="0"/>
    <x v="5"/>
    <n v="13.68"/>
    <n v="12"/>
    <s v="2005-05-01"/>
    <n v="0"/>
    <n v="417"/>
    <n v="3.2797E-2"/>
    <n v="3"/>
    <x v="0"/>
    <n v="13.68"/>
    <n v="11.01"/>
    <n v="0"/>
    <s v="3090080"/>
    <m/>
    <n v="13.733000000000001"/>
    <n v="0"/>
    <n v="57985"/>
  </r>
  <r>
    <x v="3"/>
    <s v="04730-9"/>
    <s v="Drivhuset Hvilebæksgårdsvej 17"/>
    <n v="5486"/>
    <m/>
    <s v="Drivhuset"/>
    <x v="25"/>
    <x v="0"/>
    <x v="5"/>
    <n v="278.41000000000003"/>
    <n v="12"/>
    <s v="2005-05-01"/>
    <n v="0"/>
    <n v="417"/>
    <n v="0.667489"/>
    <n v="3"/>
    <x v="0"/>
    <n v="278.41000000000003"/>
    <n v="222.7"/>
    <n v="0"/>
    <s v="03485049"/>
    <m/>
    <n v="278.39299999999997"/>
    <n v="0"/>
    <n v="60151"/>
  </r>
  <r>
    <x v="3"/>
    <s v="04730-9"/>
    <s v="Drivhuset Hvilebæksgårdsvej 17"/>
    <n v="5486"/>
    <m/>
    <s v="Drivhuset"/>
    <x v="25"/>
    <x v="0"/>
    <x v="6"/>
    <n v="28.92"/>
    <n v="12"/>
    <s v="2005-05-01"/>
    <n v="0"/>
    <n v="417"/>
    <n v="6.9334999999999994E-2"/>
    <n v="3"/>
    <x v="0"/>
    <n v="28.92"/>
    <n v="23.14"/>
    <n v="0"/>
    <s v="3090080"/>
    <m/>
    <n v="28.911999999999999"/>
    <n v="0"/>
    <n v="57985"/>
  </r>
  <r>
    <x v="3"/>
    <s v="04730-9"/>
    <s v="Drivhuset Hvilebæksgårdsvej 17"/>
    <n v="5486"/>
    <m/>
    <s v="Drivhuset"/>
    <x v="25"/>
    <x v="0"/>
    <x v="6"/>
    <n v="247.99"/>
    <n v="12"/>
    <s v="2005-05-01"/>
    <n v="0"/>
    <n v="417"/>
    <n v="0.594557"/>
    <n v="3"/>
    <x v="0"/>
    <n v="247.99"/>
    <n v="198.4"/>
    <n v="0"/>
    <s v="03485049"/>
    <m/>
    <n v="248.00899999999999"/>
    <n v="0"/>
    <n v="60151"/>
  </r>
  <r>
    <x v="3"/>
    <m/>
    <s v="Espebo Børnecenter"/>
    <n v="10058"/>
    <m/>
    <s v="Espebo Børnecenter"/>
    <x v="26"/>
    <x v="0"/>
    <x v="0"/>
    <n v="1064"/>
    <n v="5"/>
    <s v="2010-08-30"/>
    <n v="0"/>
    <n v="692"/>
    <n v="0.52680199999999999"/>
    <n v="3"/>
    <x v="0"/>
    <n v="364.6"/>
    <n v="291.68"/>
    <n v="0"/>
    <m/>
    <m/>
    <n v="364.6"/>
    <n v="0"/>
    <n v="76685"/>
  </r>
  <r>
    <x v="3"/>
    <s v="004757-0"/>
    <s v="Bifrost Nordtoftevej 56c"/>
    <n v="5251"/>
    <m/>
    <s v="Bifrost"/>
    <x v="18"/>
    <x v="0"/>
    <x v="7"/>
    <n v="39.86"/>
    <n v="12"/>
    <s v="2005-05-01"/>
    <n v="0"/>
    <n v="375"/>
    <n v="0.106264"/>
    <n v="3"/>
    <x v="0"/>
    <n v="39.86"/>
    <n v="31.87"/>
    <n v="0"/>
    <s v="BK 98392292"/>
    <m/>
    <n v="39.847999999999999"/>
    <n v="0"/>
    <n v="56682"/>
  </r>
  <r>
    <x v="3"/>
    <m/>
    <s v="Espebo Børnecenter"/>
    <n v="10058"/>
    <m/>
    <s v="Espebo Børnecenter"/>
    <x v="26"/>
    <x v="0"/>
    <x v="1"/>
    <n v="962.2"/>
    <n v="12"/>
    <s v="2010-08-30"/>
    <n v="0"/>
    <n v="692"/>
    <n v="1.390261"/>
    <n v="3"/>
    <x v="0"/>
    <n v="962.2"/>
    <n v="769.76"/>
    <n v="0"/>
    <m/>
    <m/>
    <n v="962.2"/>
    <n v="0"/>
    <n v="76685"/>
  </r>
  <r>
    <x v="3"/>
    <m/>
    <s v="Espebo Børnecenter"/>
    <n v="10058"/>
    <m/>
    <s v="Espebo Børnecenter"/>
    <x v="26"/>
    <x v="0"/>
    <x v="2"/>
    <n v="903.6"/>
    <n v="12"/>
    <s v="2010-08-30"/>
    <n v="0"/>
    <n v="692"/>
    <n v="1.3055909999999999"/>
    <n v="3"/>
    <x v="0"/>
    <n v="903.6"/>
    <n v="722.88"/>
    <n v="0"/>
    <m/>
    <m/>
    <n v="903.6"/>
    <n v="0"/>
    <n v="76685"/>
  </r>
  <r>
    <x v="3"/>
    <m/>
    <s v="Espebo Børnecenter"/>
    <n v="10058"/>
    <m/>
    <s v="Espebo Børnecenter"/>
    <x v="26"/>
    <x v="0"/>
    <x v="3"/>
    <n v="776.4"/>
    <n v="12"/>
    <s v="2010-08-30"/>
    <n v="0"/>
    <n v="692"/>
    <n v="1.1218030000000001"/>
    <n v="3"/>
    <x v="0"/>
    <n v="776.4"/>
    <n v="621.12"/>
    <n v="0"/>
    <m/>
    <m/>
    <n v="776.4"/>
    <n v="0"/>
    <n v="76685"/>
  </r>
  <r>
    <x v="3"/>
    <m/>
    <s v="Espebo Børnecenter"/>
    <n v="10058"/>
    <m/>
    <s v="Espebo Børnecenter"/>
    <x v="26"/>
    <x v="0"/>
    <x v="4"/>
    <n v="371.37"/>
    <n v="6"/>
    <s v="2010-08-30"/>
    <n v="0"/>
    <n v="692"/>
    <n v="0.53658399999999995"/>
    <n v="3"/>
    <x v="0"/>
    <n v="371.37"/>
    <n v="297.10000000000002"/>
    <n v="0"/>
    <m/>
    <m/>
    <n v="371.37975"/>
    <n v="0"/>
    <n v="76685"/>
  </r>
  <r>
    <x v="3"/>
    <m/>
    <s v="Espebo Børnecenter"/>
    <n v="10058"/>
    <m/>
    <s v="Espebo Børnecenter"/>
    <x v="26"/>
    <x v="0"/>
    <x v="5"/>
    <n v="351.24"/>
    <n v="5"/>
    <s v="2010-08-30"/>
    <n v="0"/>
    <n v="692"/>
    <n v="0.507498"/>
    <n v="3"/>
    <x v="0"/>
    <n v="351.24"/>
    <n v="281"/>
    <n v="0"/>
    <m/>
    <m/>
    <n v="351.25229999999999"/>
    <n v="0"/>
    <n v="76685"/>
  </r>
  <r>
    <x v="3"/>
    <m/>
    <s v="Espebo Børnecenter"/>
    <n v="10058"/>
    <m/>
    <s v="Espebo Børnecenter"/>
    <x v="26"/>
    <x v="0"/>
    <x v="6"/>
    <n v="460.6"/>
    <n v="4"/>
    <s v="2010-08-30"/>
    <n v="0"/>
    <n v="692"/>
    <n v="0.66551000000000005"/>
    <n v="3"/>
    <x v="0"/>
    <n v="460.6"/>
    <n v="368.48"/>
    <n v="0"/>
    <m/>
    <m/>
    <n v="460.59796"/>
    <n v="0"/>
    <n v="76685"/>
  </r>
  <r>
    <x v="3"/>
    <s v="03971-3"/>
    <s v="Farum Vejgård, Stavnsholtvej 170"/>
    <n v="5428"/>
    <m/>
    <s v="Farum Vejgård"/>
    <x v="27"/>
    <x v="0"/>
    <x v="0"/>
    <n v="383"/>
    <n v="5"/>
    <s v="2013-05-07"/>
    <n v="0"/>
    <n v="679"/>
    <n v="0.22014400000000001"/>
    <n v="3"/>
    <x v="0"/>
    <n v="149.5"/>
    <n v="119.62"/>
    <n v="0"/>
    <s v="4093459"/>
    <m/>
    <n v="149.50700000000001"/>
    <n v="0"/>
    <n v="57404"/>
  </r>
  <r>
    <x v="3"/>
    <s v="004757-0"/>
    <s v="Bifrost Nordtoftevej 56c"/>
    <n v="5251"/>
    <m/>
    <s v="Bifrost"/>
    <x v="18"/>
    <x v="0"/>
    <x v="7"/>
    <n v="8000.73"/>
    <n v="12"/>
    <s v="2005-05-01"/>
    <n v="0"/>
    <n v="375"/>
    <n v="21.329592000000002"/>
    <n v="2"/>
    <x v="2"/>
    <n v="8000.73"/>
    <n v="3200.29"/>
    <n v="0"/>
    <s v="670761"/>
    <s v="74112842813"/>
    <n v="8000.7338"/>
    <n v="0"/>
    <n v="56680"/>
  </r>
  <r>
    <x v="3"/>
    <s v="03971-3"/>
    <s v="Farum Vejgård, Stavnsholtvej 170"/>
    <n v="5428"/>
    <m/>
    <s v="Farum Vejgård"/>
    <x v="27"/>
    <x v="0"/>
    <x v="1"/>
    <n v="762.86"/>
    <n v="13"/>
    <s v="2013-05-07"/>
    <n v="0"/>
    <n v="679"/>
    <n v="1.1233390000000001"/>
    <n v="3"/>
    <x v="0"/>
    <n v="762.86"/>
    <n v="610.28"/>
    <n v="0"/>
    <s v="4093459"/>
    <m/>
    <n v="762.84789999999998"/>
    <n v="0"/>
    <n v="57404"/>
  </r>
  <r>
    <x v="3"/>
    <s v="03971-3"/>
    <s v="Farum Vejgård, Stavnsholtvej 170"/>
    <n v="5428"/>
    <m/>
    <s v="Farum Vejgård"/>
    <x v="27"/>
    <x v="0"/>
    <x v="2"/>
    <n v="1097.74"/>
    <n v="12"/>
    <s v="2013-05-07"/>
    <n v="0"/>
    <n v="679"/>
    <n v="1.6164620000000001"/>
    <n v="3"/>
    <x v="0"/>
    <n v="1097.74"/>
    <n v="878.18"/>
    <n v="0"/>
    <s v="4093459"/>
    <m/>
    <n v="1097.7440099999999"/>
    <n v="0"/>
    <n v="57404"/>
  </r>
  <r>
    <x v="3"/>
    <s v="03971-3"/>
    <s v="Farum Vejgård, Stavnsholtvej 170"/>
    <n v="5428"/>
    <m/>
    <s v="Farum Vejgård"/>
    <x v="27"/>
    <x v="0"/>
    <x v="3"/>
    <n v="1056.74"/>
    <n v="12"/>
    <s v="2013-05-07"/>
    <n v="0"/>
    <n v="679"/>
    <n v="1.5560879999999999"/>
    <n v="3"/>
    <x v="0"/>
    <n v="1056.74"/>
    <n v="845.37"/>
    <n v="0"/>
    <s v="4093459"/>
    <m/>
    <n v="1056.73153"/>
    <n v="0"/>
    <n v="57404"/>
  </r>
  <r>
    <x v="3"/>
    <s v="03971-3"/>
    <s v="Farum Vejgård, Stavnsholtvej 170"/>
    <n v="5428"/>
    <m/>
    <s v="Farum Vejgård"/>
    <x v="28"/>
    <x v="0"/>
    <x v="4"/>
    <n v="1151.74"/>
    <n v="12"/>
    <s v="2013-05-07"/>
    <n v="0"/>
    <n v="679"/>
    <n v="1.6959789999999999"/>
    <n v="3"/>
    <x v="0"/>
    <n v="1151.74"/>
    <n v="921.37"/>
    <n v="0"/>
    <s v="4093459"/>
    <m/>
    <n v="1151.7295300000001"/>
    <n v="0"/>
    <n v="57404"/>
  </r>
  <r>
    <x v="3"/>
    <s v="03971-3"/>
    <s v="Farum Vejgård, Stavnsholtvej 170"/>
    <n v="5428"/>
    <m/>
    <s v="Farum Vejgård"/>
    <x v="28"/>
    <x v="0"/>
    <x v="5"/>
    <n v="1136.8599999999999"/>
    <n v="12"/>
    <s v="2013-05-07"/>
    <n v="0"/>
    <n v="679"/>
    <n v="1.6740679999999999"/>
    <n v="3"/>
    <x v="0"/>
    <n v="1136.8599999999999"/>
    <n v="909.47"/>
    <n v="0"/>
    <s v="4093459"/>
    <m/>
    <n v="1136.84853"/>
    <n v="0"/>
    <n v="57404"/>
  </r>
  <r>
    <x v="3"/>
    <s v="03971-3"/>
    <s v="Farum Vejgård, Stavnsholtvej 170"/>
    <n v="5428"/>
    <m/>
    <s v="Farum Vejgård"/>
    <x v="28"/>
    <x v="0"/>
    <x v="6"/>
    <n v="1160.51"/>
    <n v="12"/>
    <s v="2013-05-07"/>
    <n v="0"/>
    <n v="679"/>
    <n v="1.7088939999999999"/>
    <n v="3"/>
    <x v="0"/>
    <n v="1160.51"/>
    <n v="928.43"/>
    <n v="0"/>
    <s v="4093459"/>
    <m/>
    <n v="1160.5120099999999"/>
    <n v="0"/>
    <n v="57404"/>
  </r>
  <r>
    <x v="3"/>
    <s v="00005-1"/>
    <s v="Farumsødal"/>
    <n v="5262"/>
    <m/>
    <s v="Farumsødal"/>
    <x v="29"/>
    <x v="0"/>
    <x v="0"/>
    <n v="690"/>
    <n v="5"/>
    <s v="2012-01-25"/>
    <n v="0"/>
    <n v="874"/>
    <n v="0.450268"/>
    <n v="3"/>
    <x v="0"/>
    <n v="393.58"/>
    <n v="314.87"/>
    <n v="0"/>
    <s v="06202446"/>
    <m/>
    <n v="393.57900000000001"/>
    <n v="0"/>
    <n v="56739"/>
  </r>
  <r>
    <x v="5"/>
    <m/>
    <s v="Smedegade 19"/>
    <n v="13961"/>
    <s v="0"/>
    <s v="Smedegade 19"/>
    <x v="30"/>
    <x v="0"/>
    <x v="7"/>
    <n v="4071.04"/>
    <n v="3"/>
    <s v="2014-11-04"/>
    <n v="0"/>
    <n v="214"/>
    <n v="19.014665999999998"/>
    <n v="1"/>
    <x v="4"/>
    <n v="4831.8999999999996"/>
    <n v="1021.86"/>
    <n v="0"/>
    <s v="1540873"/>
    <s v="5715151-980-0129757-3"/>
    <n v="376.94700999999998"/>
    <n v="0"/>
    <n v="92684"/>
  </r>
  <r>
    <x v="3"/>
    <s v="00005-1"/>
    <s v="Farumsødal"/>
    <n v="5262"/>
    <m/>
    <s v="Farumsødal"/>
    <x v="29"/>
    <x v="0"/>
    <x v="1"/>
    <n v="470.8"/>
    <n v="12"/>
    <s v="2012-01-25"/>
    <n v="0"/>
    <n v="874"/>
    <n v="0.53861099999999995"/>
    <n v="3"/>
    <x v="0"/>
    <n v="470.8"/>
    <n v="376.65"/>
    <n v="0"/>
    <s v="06202446"/>
    <m/>
    <n v="470.79500000000002"/>
    <n v="0"/>
    <n v="56739"/>
  </r>
  <r>
    <x v="3"/>
    <s v="00005-1"/>
    <s v="Farumsødal"/>
    <n v="5262"/>
    <m/>
    <s v="Farumsødal"/>
    <x v="29"/>
    <x v="0"/>
    <x v="2"/>
    <n v="757.34"/>
    <n v="12"/>
    <s v="2012-01-25"/>
    <n v="0"/>
    <n v="874"/>
    <n v="0.86642200000000003"/>
    <n v="3"/>
    <x v="0"/>
    <n v="757.34"/>
    <n v="605.87"/>
    <n v="0"/>
    <s v="06202446"/>
    <m/>
    <n v="757.34900000000005"/>
    <n v="0"/>
    <n v="56739"/>
  </r>
  <r>
    <x v="3"/>
    <s v="00005-1"/>
    <s v="Farumsødal"/>
    <n v="5262"/>
    <m/>
    <s v="Farumsødal"/>
    <x v="29"/>
    <x v="0"/>
    <x v="3"/>
    <n v="562.64"/>
    <n v="2"/>
    <s v="2012-01-25"/>
    <n v="0"/>
    <n v="874"/>
    <n v="0.643679"/>
    <n v="3"/>
    <x v="0"/>
    <n v="562.64"/>
    <n v="450.12"/>
    <n v="0"/>
    <s v="06202446"/>
    <m/>
    <n v="562.64130999999998"/>
    <n v="0"/>
    <n v="56739"/>
  </r>
  <r>
    <x v="3"/>
    <s v="00005-1"/>
    <s v="Farumsødal"/>
    <n v="5262"/>
    <m/>
    <s v="Farumsødal"/>
    <x v="29"/>
    <x v="0"/>
    <x v="4"/>
    <n v="626.95000000000005"/>
    <n v="1"/>
    <s v="2012-01-25"/>
    <n v="0"/>
    <n v="874"/>
    <n v="0.717252"/>
    <n v="3"/>
    <x v="0"/>
    <n v="626.95000000000005"/>
    <n v="501.53"/>
    <n v="0"/>
    <s v="06202446"/>
    <m/>
    <n v="626.91502000000003"/>
    <n v="0"/>
    <n v="56739"/>
  </r>
  <r>
    <x v="3"/>
    <s v="00005-1"/>
    <s v="Farumsødal"/>
    <n v="5262"/>
    <m/>
    <s v="Farumsødal"/>
    <x v="29"/>
    <x v="0"/>
    <x v="5"/>
    <n v="654.4"/>
    <n v="1"/>
    <s v="2012-01-25"/>
    <n v="0"/>
    <n v="874"/>
    <n v="0.74865499999999996"/>
    <n v="3"/>
    <x v="0"/>
    <n v="654.4"/>
    <n v="523.52"/>
    <n v="0"/>
    <s v="06202446"/>
    <m/>
    <n v="654.42148999999995"/>
    <n v="0"/>
    <n v="56739"/>
  </r>
  <r>
    <x v="3"/>
    <s v="00005-1"/>
    <s v="Farumsødal"/>
    <n v="5262"/>
    <m/>
    <s v="Farumsødal"/>
    <x v="29"/>
    <x v="0"/>
    <x v="6"/>
    <n v="892.12"/>
    <n v="1"/>
    <s v="2012-01-25"/>
    <n v="0"/>
    <n v="874"/>
    <n v="1.020615"/>
    <n v="3"/>
    <x v="0"/>
    <n v="892.12"/>
    <n v="713.7"/>
    <n v="0"/>
    <s v="06202446"/>
    <m/>
    <n v="892.10973000000001"/>
    <n v="0"/>
    <n v="56739"/>
  </r>
  <r>
    <x v="3"/>
    <s v="00731-5"/>
    <s v="Græshoppen"/>
    <n v="5264"/>
    <m/>
    <s v="Græshoppen"/>
    <x v="31"/>
    <x v="0"/>
    <x v="0"/>
    <n v="225"/>
    <n v="5"/>
    <s v="2005-07-01"/>
    <n v="0"/>
    <n v="333"/>
    <n v="0.29171399999999997"/>
    <n v="3"/>
    <x v="0"/>
    <n v="97.17"/>
    <n v="77.739999999999995"/>
    <n v="0"/>
    <s v="BK 4016436"/>
    <m/>
    <n v="97.171999999999997"/>
    <n v="0"/>
    <n v="56769"/>
  </r>
  <r>
    <x v="5"/>
    <m/>
    <s v="Kollekollevej 27 TOM"/>
    <n v="10271"/>
    <m/>
    <s v="Kollekollevej 27"/>
    <x v="32"/>
    <x v="0"/>
    <x v="7"/>
    <n v="7381.07"/>
    <n v="4"/>
    <s v="2015-02-12"/>
    <n v="0"/>
    <n v="123"/>
    <n v="59.959950999999997"/>
    <n v="1"/>
    <x v="4"/>
    <n v="8815.18"/>
    <n v="1864.24"/>
    <n v="0"/>
    <s v="HNG16.03.587"/>
    <s v="98001314041"/>
    <n v="683.43129999999996"/>
    <n v="0"/>
    <n v="77658"/>
  </r>
  <r>
    <x v="3"/>
    <s v="00731-5"/>
    <s v="Græshoppen"/>
    <n v="5264"/>
    <m/>
    <s v="Græshoppen"/>
    <x v="31"/>
    <x v="0"/>
    <x v="1"/>
    <n v="254.09"/>
    <n v="12"/>
    <s v="2005-07-01"/>
    <n v="0"/>
    <n v="333"/>
    <n v="0.76280300000000001"/>
    <n v="3"/>
    <x v="0"/>
    <n v="254.09"/>
    <n v="203.27"/>
    <n v="0"/>
    <s v="BK 4016436"/>
    <m/>
    <n v="254.09100000000001"/>
    <n v="0"/>
    <n v="56769"/>
  </r>
  <r>
    <x v="3"/>
    <s v="00731-5"/>
    <s v="Græshoppen"/>
    <n v="5264"/>
    <m/>
    <s v="Græshoppen"/>
    <x v="31"/>
    <x v="0"/>
    <x v="2"/>
    <n v="243.22"/>
    <n v="12"/>
    <s v="2005-07-01"/>
    <n v="0"/>
    <n v="333"/>
    <n v="0.73017100000000001"/>
    <n v="3"/>
    <x v="0"/>
    <n v="243.22"/>
    <n v="194.57"/>
    <n v="0"/>
    <s v="BK 4016436"/>
    <m/>
    <n v="243.22399999999999"/>
    <n v="0"/>
    <n v="56769"/>
  </r>
  <r>
    <x v="3"/>
    <s v="00731-5"/>
    <s v="Græshoppen"/>
    <n v="5264"/>
    <m/>
    <s v="Græshoppen"/>
    <x v="31"/>
    <x v="0"/>
    <x v="3"/>
    <n v="276.04000000000002"/>
    <n v="12"/>
    <s v="2005-07-01"/>
    <n v="0"/>
    <n v="333"/>
    <n v="0.82869999999999999"/>
    <n v="3"/>
    <x v="0"/>
    <n v="276.04000000000002"/>
    <n v="220.83"/>
    <n v="0"/>
    <s v="BK 4016436"/>
    <m/>
    <n v="276.03899000000001"/>
    <n v="0"/>
    <n v="56769"/>
  </r>
  <r>
    <x v="3"/>
    <s v="00731-5"/>
    <s v="Græshoppen"/>
    <n v="5264"/>
    <m/>
    <s v="Græshoppen"/>
    <x v="31"/>
    <x v="0"/>
    <x v="4"/>
    <n v="281.17"/>
    <n v="12"/>
    <s v="2005-07-01"/>
    <n v="0"/>
    <n v="333"/>
    <n v="0.84409999999999996"/>
    <n v="3"/>
    <x v="0"/>
    <n v="281.17"/>
    <n v="224.93"/>
    <n v="0"/>
    <s v="BK 4016436"/>
    <m/>
    <n v="281.16800000000001"/>
    <n v="0"/>
    <n v="56769"/>
  </r>
  <r>
    <x v="3"/>
    <s v="00731-5"/>
    <s v="Græshoppen"/>
    <n v="5264"/>
    <m/>
    <s v="Græshoppen"/>
    <x v="31"/>
    <x v="0"/>
    <x v="5"/>
    <n v="303.89"/>
    <n v="12"/>
    <s v="2005-07-01"/>
    <n v="0"/>
    <n v="333"/>
    <n v="0.91230800000000001"/>
    <n v="3"/>
    <x v="0"/>
    <n v="303.89"/>
    <n v="243.11"/>
    <n v="0"/>
    <s v="BK 4016436"/>
    <m/>
    <n v="303.88099999999997"/>
    <n v="0"/>
    <n v="56769"/>
  </r>
  <r>
    <x v="3"/>
    <s v="00731-5"/>
    <s v="Græshoppen"/>
    <n v="5264"/>
    <m/>
    <s v="Græshoppen"/>
    <x v="31"/>
    <x v="0"/>
    <x v="6"/>
    <n v="302.29000000000002"/>
    <n v="12"/>
    <s v="2005-07-01"/>
    <n v="0"/>
    <n v="333"/>
    <n v="0.90750500000000001"/>
    <n v="3"/>
    <x v="0"/>
    <n v="302.29000000000002"/>
    <n v="241.85"/>
    <n v="0"/>
    <s v="BK 4016436"/>
    <m/>
    <n v="302.3"/>
    <n v="0"/>
    <n v="56769"/>
  </r>
  <r>
    <x v="3"/>
    <m/>
    <s v="Hareskov Børnehus, Skovmose 55"/>
    <n v="9957"/>
    <m/>
    <s v="Hareskov Børnehus"/>
    <x v="33"/>
    <x v="0"/>
    <x v="0"/>
    <n v="322"/>
    <n v="5"/>
    <s v="2011-12-31"/>
    <n v="0"/>
    <n v="646"/>
    <n v="0.23566000000000001"/>
    <n v="3"/>
    <x v="0"/>
    <n v="152.26"/>
    <n v="121.81"/>
    <n v="0"/>
    <m/>
    <m/>
    <n v="152.262"/>
    <n v="0"/>
    <n v="76342"/>
  </r>
  <r>
    <x v="3"/>
    <m/>
    <s v="Hareskov Børnehus, Skovmose 55"/>
    <n v="9957"/>
    <m/>
    <s v="Hareskov Børnehus"/>
    <x v="33"/>
    <x v="0"/>
    <x v="1"/>
    <n v="695.5"/>
    <n v="12"/>
    <s v="2011-12-31"/>
    <n v="0"/>
    <n v="646"/>
    <n v="1.0764579999999999"/>
    <n v="3"/>
    <x v="0"/>
    <n v="695.5"/>
    <n v="556.4"/>
    <n v="0"/>
    <m/>
    <m/>
    <n v="695.5"/>
    <n v="0"/>
    <n v="76342"/>
  </r>
  <r>
    <x v="3"/>
    <m/>
    <s v="Hareskov Børnehus, Skovmose 55"/>
    <n v="9957"/>
    <m/>
    <s v="Hareskov Børnehus"/>
    <x v="33"/>
    <x v="0"/>
    <x v="2"/>
    <n v="665.5"/>
    <n v="12"/>
    <s v="2011-12-31"/>
    <n v="0"/>
    <n v="646"/>
    <n v="1.0300260000000001"/>
    <n v="3"/>
    <x v="0"/>
    <n v="665.5"/>
    <n v="532.4"/>
    <n v="0"/>
    <m/>
    <m/>
    <n v="665.5"/>
    <n v="0"/>
    <n v="76342"/>
  </r>
  <r>
    <x v="3"/>
    <m/>
    <s v="Hareskov Børnehus, Skovmose 55"/>
    <n v="9957"/>
    <m/>
    <s v="Hareskov Børnehus"/>
    <x v="33"/>
    <x v="0"/>
    <x v="3"/>
    <n v="424.55"/>
    <n v="7"/>
    <s v="2011-12-31"/>
    <n v="0"/>
    <n v="646"/>
    <n v="0.65709600000000001"/>
    <n v="3"/>
    <x v="0"/>
    <n v="424.55"/>
    <n v="339.63"/>
    <n v="0"/>
    <m/>
    <m/>
    <n v="424.52940000000001"/>
    <n v="0"/>
    <n v="76342"/>
  </r>
  <r>
    <x v="3"/>
    <m/>
    <s v="Hareskov Børnehus, Skovmose 55"/>
    <n v="9957"/>
    <m/>
    <s v="Hareskov Børnehus"/>
    <x v="33"/>
    <x v="0"/>
    <x v="4"/>
    <n v="409.78"/>
    <n v="3"/>
    <s v="2011-12-31"/>
    <n v="0"/>
    <n v="646"/>
    <n v="0.63423600000000002"/>
    <n v="3"/>
    <x v="0"/>
    <n v="409.78"/>
    <n v="327.85"/>
    <n v="0"/>
    <m/>
    <m/>
    <n v="409.79201999999998"/>
    <n v="0"/>
    <n v="76342"/>
  </r>
  <r>
    <x v="3"/>
    <m/>
    <s v="Hareskov Børnehus, Skovmose 55"/>
    <n v="9957"/>
    <m/>
    <s v="Hareskov Børnehus"/>
    <x v="33"/>
    <x v="0"/>
    <x v="5"/>
    <n v="355.94"/>
    <n v="4"/>
    <s v="2011-12-31"/>
    <n v="0"/>
    <n v="646"/>
    <n v="0.55090499999999998"/>
    <n v="3"/>
    <x v="0"/>
    <n v="355.94"/>
    <n v="284.77999999999997"/>
    <n v="0"/>
    <m/>
    <m/>
    <n v="355.95445000000001"/>
    <n v="0"/>
    <n v="76342"/>
  </r>
  <r>
    <x v="3"/>
    <m/>
    <s v="Hareskov Børnehus, Skovmose 55"/>
    <n v="9957"/>
    <m/>
    <s v="Hareskov Børnehus"/>
    <x v="33"/>
    <x v="0"/>
    <x v="6"/>
    <n v="322.83"/>
    <n v="5"/>
    <s v="2011-12-31"/>
    <n v="0"/>
    <n v="646"/>
    <n v="0.49965900000000002"/>
    <n v="3"/>
    <x v="0"/>
    <n v="322.83"/>
    <n v="258.24"/>
    <n v="0"/>
    <m/>
    <m/>
    <n v="322.82515000000001"/>
    <n v="0"/>
    <n v="76342"/>
  </r>
  <r>
    <x v="3"/>
    <s v="01215-7"/>
    <s v="Kildehuset, Hoved 41"/>
    <n v="5269"/>
    <m/>
    <s v="Kildehuset"/>
    <x v="34"/>
    <x v="0"/>
    <x v="0"/>
    <n v="306"/>
    <n v="5"/>
    <s v="2005-06-01"/>
    <n v="0"/>
    <n v="607"/>
    <n v="0.20874599999999999"/>
    <n v="3"/>
    <x v="0"/>
    <n v="126.73"/>
    <n v="101.39"/>
    <n v="0"/>
    <s v="BK 500368"/>
    <m/>
    <n v="126.736"/>
    <n v="0"/>
    <n v="56820"/>
  </r>
  <r>
    <x v="3"/>
    <s v="01215-7"/>
    <s v="Kildehuset, Hoved 41"/>
    <n v="5269"/>
    <m/>
    <s v="Kildehuset"/>
    <x v="34"/>
    <x v="0"/>
    <x v="1"/>
    <n v="376.5"/>
    <n v="12"/>
    <s v="2005-06-01"/>
    <n v="0"/>
    <n v="607"/>
    <n v="0.62016099999999996"/>
    <n v="3"/>
    <x v="0"/>
    <n v="376.5"/>
    <n v="301.18"/>
    <n v="0"/>
    <s v="BK 500368"/>
    <m/>
    <n v="376.49599999999998"/>
    <n v="0"/>
    <n v="56820"/>
  </r>
  <r>
    <x v="3"/>
    <s v="01215-7"/>
    <s v="Kildehuset, Hoved 41"/>
    <n v="5269"/>
    <m/>
    <s v="Kildehuset"/>
    <x v="34"/>
    <x v="0"/>
    <x v="2"/>
    <n v="278.05"/>
    <n v="12"/>
    <s v="2005-06-01"/>
    <n v="0"/>
    <n v="607"/>
    <n v="0.45799699999999999"/>
    <n v="3"/>
    <x v="0"/>
    <n v="278.05"/>
    <n v="222.45"/>
    <n v="0"/>
    <s v="BK 500368"/>
    <m/>
    <n v="278.06200000000001"/>
    <n v="0"/>
    <n v="56820"/>
  </r>
  <r>
    <x v="3"/>
    <s v="01215-7"/>
    <s v="Kildehuset, Hoved 41"/>
    <n v="5269"/>
    <m/>
    <s v="Kildehuset"/>
    <x v="34"/>
    <x v="0"/>
    <x v="3"/>
    <n v="325.45999999999998"/>
    <n v="12"/>
    <s v="2005-06-01"/>
    <n v="0"/>
    <n v="607"/>
    <n v="0.53608900000000004"/>
    <n v="3"/>
    <x v="0"/>
    <n v="325.45999999999998"/>
    <n v="260.37"/>
    <n v="0"/>
    <s v="BK 500368"/>
    <m/>
    <n v="325.46199999999999"/>
    <n v="0"/>
    <n v="56820"/>
  </r>
  <r>
    <x v="3"/>
    <s v="01215-7"/>
    <s v="Kildehuset, Hoved 41"/>
    <n v="5269"/>
    <m/>
    <s v="Kildehuset"/>
    <x v="34"/>
    <x v="0"/>
    <x v="4"/>
    <n v="272.95999999999998"/>
    <n v="12"/>
    <s v="2005-06-01"/>
    <n v="0"/>
    <n v="607"/>
    <n v="0.44961200000000001"/>
    <n v="3"/>
    <x v="0"/>
    <n v="272.95999999999998"/>
    <n v="218.36"/>
    <n v="0"/>
    <s v="BK 500368"/>
    <m/>
    <n v="272.96048999999999"/>
    <n v="0"/>
    <n v="56820"/>
  </r>
  <r>
    <x v="3"/>
    <s v="01215-7"/>
    <s v="Kildehuset, Hoved 41"/>
    <n v="5269"/>
    <m/>
    <s v="Kildehuset"/>
    <x v="34"/>
    <x v="0"/>
    <x v="5"/>
    <n v="294.47000000000003"/>
    <n v="12"/>
    <s v="2005-06-01"/>
    <n v="0"/>
    <n v="607"/>
    <n v="0.485043"/>
    <n v="3"/>
    <x v="0"/>
    <n v="294.47000000000003"/>
    <n v="235.59"/>
    <n v="0"/>
    <s v="BK 500368"/>
    <m/>
    <n v="294.47751"/>
    <n v="0"/>
    <n v="56820"/>
  </r>
  <r>
    <x v="3"/>
    <s v="01215-7"/>
    <s v="Kildehuset, Hoved 41"/>
    <n v="5269"/>
    <m/>
    <s v="Kildehuset"/>
    <x v="34"/>
    <x v="0"/>
    <x v="6"/>
    <n v="363.23"/>
    <n v="12"/>
    <s v="2005-06-01"/>
    <n v="0"/>
    <n v="607"/>
    <n v="0.59830300000000003"/>
    <n v="3"/>
    <x v="0"/>
    <n v="363.23"/>
    <n v="290.58"/>
    <n v="0"/>
    <s v="BK 500368"/>
    <m/>
    <n v="363.23700000000002"/>
    <n v="0"/>
    <n v="56820"/>
  </r>
  <r>
    <x v="3"/>
    <m/>
    <s v="Kirke Værløse Børnehus, BY27"/>
    <n v="10017"/>
    <m/>
    <s v="Kirke Værløse Børnehus"/>
    <x v="35"/>
    <x v="0"/>
    <x v="0"/>
    <n v="606"/>
    <n v="5"/>
    <s v="2010-10-31"/>
    <n v="0"/>
    <n v="602"/>
    <n v="0.349111"/>
    <n v="3"/>
    <x v="0"/>
    <n v="210.2"/>
    <n v="168.16"/>
    <n v="0"/>
    <m/>
    <m/>
    <n v="210.2"/>
    <n v="0"/>
    <n v="76520"/>
  </r>
  <r>
    <x v="3"/>
    <m/>
    <s v="Kirke Værløse Børnehus, BY27"/>
    <n v="10017"/>
    <m/>
    <s v="Kirke Værløse Børnehus"/>
    <x v="35"/>
    <x v="0"/>
    <x v="1"/>
    <n v="393.2"/>
    <n v="12"/>
    <s v="2010-10-31"/>
    <n v="0"/>
    <n v="602"/>
    <n v="0.65304700000000004"/>
    <n v="3"/>
    <x v="0"/>
    <n v="393.2"/>
    <n v="314.56"/>
    <n v="0"/>
    <m/>
    <m/>
    <n v="393.2"/>
    <n v="0"/>
    <n v="76520"/>
  </r>
  <r>
    <x v="3"/>
    <m/>
    <s v="Kirke Værløse Børnehus, BY27"/>
    <n v="10017"/>
    <m/>
    <s v="Kirke Værløse Børnehus"/>
    <x v="35"/>
    <x v="0"/>
    <x v="2"/>
    <n v="558.6"/>
    <n v="12"/>
    <s v="2010-10-31"/>
    <n v="0"/>
    <n v="602"/>
    <n v="0.92775200000000002"/>
    <n v="3"/>
    <x v="0"/>
    <n v="558.6"/>
    <n v="446.88"/>
    <n v="0"/>
    <m/>
    <m/>
    <n v="558.6"/>
    <n v="0"/>
    <n v="76520"/>
  </r>
  <r>
    <x v="3"/>
    <m/>
    <s v="Kirke Værløse Børnehus, BY27"/>
    <n v="10017"/>
    <m/>
    <s v="Kirke Værløse Børnehus"/>
    <x v="35"/>
    <x v="0"/>
    <x v="3"/>
    <n v="467.5"/>
    <n v="12"/>
    <s v="2010-10-31"/>
    <n v="0"/>
    <n v="602"/>
    <n v="0.77644899999999994"/>
    <n v="3"/>
    <x v="0"/>
    <n v="467.5"/>
    <n v="374"/>
    <n v="0"/>
    <m/>
    <m/>
    <n v="467.5"/>
    <n v="0"/>
    <n v="76520"/>
  </r>
  <r>
    <x v="3"/>
    <m/>
    <s v="Kirke Værløse Børnehus, BY27"/>
    <n v="10017"/>
    <m/>
    <s v="Kirke Værløse Børnehus"/>
    <x v="35"/>
    <x v="0"/>
    <x v="4"/>
    <n v="464.81"/>
    <n v="9"/>
    <s v="2010-10-31"/>
    <n v="0"/>
    <n v="602"/>
    <n v="0.77198100000000003"/>
    <n v="3"/>
    <x v="0"/>
    <n v="464.81"/>
    <n v="371.86"/>
    <n v="0"/>
    <m/>
    <m/>
    <n v="464.81333999999998"/>
    <n v="0"/>
    <n v="76520"/>
  </r>
  <r>
    <x v="3"/>
    <m/>
    <s v="Kirke Værløse Børnehus, BY27"/>
    <n v="10017"/>
    <m/>
    <s v="Kirke Værløse Børnehus"/>
    <x v="35"/>
    <x v="0"/>
    <x v="5"/>
    <n v="511.83"/>
    <n v="11"/>
    <s v="2010-10-31"/>
    <n v="0"/>
    <n v="602"/>
    <n v="0.850074"/>
    <n v="3"/>
    <x v="0"/>
    <n v="511.83"/>
    <n v="409.47"/>
    <n v="0"/>
    <m/>
    <m/>
    <n v="511.82979"/>
    <n v="0"/>
    <n v="76520"/>
  </r>
  <r>
    <x v="3"/>
    <m/>
    <s v="Kirke Værløse Børnehus, BY27"/>
    <n v="10017"/>
    <m/>
    <s v="Kirke Værløse Børnehus"/>
    <x v="35"/>
    <x v="0"/>
    <x v="6"/>
    <n v="511.58"/>
    <n v="9"/>
    <s v="2010-10-31"/>
    <n v="0"/>
    <n v="602"/>
    <n v="0.84965900000000005"/>
    <n v="3"/>
    <x v="0"/>
    <n v="511.58"/>
    <n v="409.28"/>
    <n v="0"/>
    <m/>
    <m/>
    <n v="511.58373"/>
    <n v="0"/>
    <n v="76520"/>
  </r>
  <r>
    <x v="3"/>
    <m/>
    <s v="Kollekolle Børnehave"/>
    <n v="10164"/>
    <m/>
    <s v="Kollekolle Børnehave"/>
    <x v="36"/>
    <x v="0"/>
    <x v="0"/>
    <n v="164"/>
    <n v="5"/>
    <s v="2010-10-31"/>
    <n v="0"/>
    <n v="219"/>
    <n v="0.30807800000000002"/>
    <n v="3"/>
    <x v="0"/>
    <n v="67.5"/>
    <n v="54"/>
    <n v="0"/>
    <m/>
    <m/>
    <n v="67.5"/>
    <n v="0"/>
    <n v="77154"/>
  </r>
  <r>
    <x v="3"/>
    <m/>
    <s v="Birkedal Børnehus, Kollekolle 75"/>
    <n v="9980"/>
    <m/>
    <s v="Birkedal Børnehus"/>
    <x v="14"/>
    <x v="0"/>
    <x v="7"/>
    <n v="521.9"/>
    <n v="12"/>
    <s v="2010-10-31"/>
    <n v="0"/>
    <n v="961"/>
    <n v="0.54302300000000003"/>
    <n v="3"/>
    <x v="0"/>
    <n v="521.9"/>
    <n v="417.52"/>
    <n v="0"/>
    <s v="41223"/>
    <m/>
    <n v="521.9"/>
    <n v="0"/>
    <n v="76421"/>
  </r>
  <r>
    <x v="3"/>
    <m/>
    <s v="Kollekolle Børnehave"/>
    <n v="10164"/>
    <m/>
    <s v="Kollekolle Børnehave"/>
    <x v="36"/>
    <x v="0"/>
    <x v="1"/>
    <n v="174.6"/>
    <n v="12"/>
    <s v="2010-10-31"/>
    <n v="0"/>
    <n v="219"/>
    <n v="0.79689600000000005"/>
    <n v="3"/>
    <x v="0"/>
    <n v="174.6"/>
    <n v="139.68"/>
    <n v="0"/>
    <m/>
    <m/>
    <n v="174.6"/>
    <n v="0"/>
    <n v="77154"/>
  </r>
  <r>
    <x v="3"/>
    <m/>
    <s v="Kollekolle Børnehave"/>
    <n v="10164"/>
    <m/>
    <s v="Kollekolle Børnehave"/>
    <x v="36"/>
    <x v="0"/>
    <x v="2"/>
    <n v="170"/>
    <n v="12"/>
    <s v="2010-10-31"/>
    <n v="0"/>
    <n v="219"/>
    <n v="0.77590099999999995"/>
    <n v="3"/>
    <x v="0"/>
    <n v="170"/>
    <n v="136"/>
    <n v="0"/>
    <m/>
    <m/>
    <n v="170"/>
    <n v="0"/>
    <n v="77154"/>
  </r>
  <r>
    <x v="3"/>
    <m/>
    <s v="Kollekolle Børnehave"/>
    <n v="10164"/>
    <m/>
    <s v="Kollekolle Børnehave"/>
    <x v="36"/>
    <x v="0"/>
    <x v="3"/>
    <n v="152.9"/>
    <n v="12"/>
    <s v="2010-10-31"/>
    <n v="0"/>
    <n v="219"/>
    <n v="0.69785399999999997"/>
    <n v="3"/>
    <x v="0"/>
    <n v="152.9"/>
    <n v="122.32"/>
    <n v="0"/>
    <m/>
    <m/>
    <n v="152.9"/>
    <n v="0"/>
    <n v="77154"/>
  </r>
  <r>
    <x v="3"/>
    <m/>
    <s v="Kollekolle Børnehave"/>
    <n v="10164"/>
    <m/>
    <s v="Kollekolle Børnehave"/>
    <x v="36"/>
    <x v="0"/>
    <x v="4"/>
    <n v="195.51"/>
    <n v="12"/>
    <s v="2010-10-31"/>
    <n v="0"/>
    <n v="219"/>
    <n v="0.89233200000000001"/>
    <n v="3"/>
    <x v="0"/>
    <n v="195.51"/>
    <n v="156.41999999999999"/>
    <n v="0"/>
    <m/>
    <m/>
    <n v="195.51669000000001"/>
    <n v="0"/>
    <n v="77154"/>
  </r>
  <r>
    <x v="3"/>
    <m/>
    <s v="Kollekolle Børnehave"/>
    <n v="10164"/>
    <m/>
    <s v="Kollekolle Børnehave"/>
    <x v="36"/>
    <x v="0"/>
    <x v="5"/>
    <n v="221.33"/>
    <n v="11"/>
    <s v="2010-10-31"/>
    <n v="0"/>
    <n v="219"/>
    <n v="1.010178"/>
    <n v="3"/>
    <x v="0"/>
    <n v="221.33"/>
    <n v="177.09"/>
    <n v="0"/>
    <m/>
    <m/>
    <n v="221.35167000000001"/>
    <n v="0"/>
    <n v="77154"/>
  </r>
  <r>
    <x v="3"/>
    <m/>
    <s v="Kollekolle Børnehave"/>
    <n v="10164"/>
    <m/>
    <s v="Kollekolle Børnehave"/>
    <x v="36"/>
    <x v="0"/>
    <x v="6"/>
    <n v="199.3"/>
    <n v="3"/>
    <s v="2010-10-31"/>
    <n v="0"/>
    <n v="219"/>
    <n v="0.90963000000000005"/>
    <n v="3"/>
    <x v="0"/>
    <n v="199.3"/>
    <n v="159.41999999999999"/>
    <n v="0"/>
    <m/>
    <m/>
    <n v="199.28515999999999"/>
    <n v="0"/>
    <n v="77154"/>
  </r>
  <r>
    <x v="3"/>
    <m/>
    <s v="Krudthuset Børnehus, Bringe 26"/>
    <n v="10169"/>
    <m/>
    <s v="Krudthuset Børnehus"/>
    <x v="37"/>
    <x v="0"/>
    <x v="0"/>
    <n v="416"/>
    <n v="5"/>
    <s v="2010-10-31"/>
    <n v="0"/>
    <n v="721"/>
    <n v="0.23297699999999999"/>
    <n v="3"/>
    <x v="0"/>
    <n v="168"/>
    <n v="134.4"/>
    <n v="0"/>
    <s v="00PC500627"/>
    <m/>
    <n v="168"/>
    <n v="0"/>
    <n v="77181"/>
  </r>
  <r>
    <x v="3"/>
    <m/>
    <s v="Birkedal Børnehus, Kollekolle 75"/>
    <n v="9980"/>
    <m/>
    <s v="Birkedal Børnehus"/>
    <x v="14"/>
    <x v="0"/>
    <x v="7"/>
    <n v="117494.5"/>
    <n v="12"/>
    <m/>
    <n v="0"/>
    <n v="961"/>
    <n v="122.25002600000001"/>
    <n v="1"/>
    <x v="1"/>
    <n v="140747.71"/>
    <n v="9007.86"/>
    <n v="0"/>
    <m/>
    <m/>
    <n v="117494.5"/>
    <n v="0"/>
    <n v="93381"/>
  </r>
  <r>
    <x v="3"/>
    <m/>
    <s v="Krudthuset Børnehus, Bringe 26"/>
    <n v="10169"/>
    <m/>
    <s v="Krudthuset Børnehus"/>
    <x v="37"/>
    <x v="0"/>
    <x v="1"/>
    <n v="522.4"/>
    <n v="12"/>
    <s v="2010-10-31"/>
    <n v="0"/>
    <n v="721"/>
    <n v="0.72444799999999998"/>
    <n v="3"/>
    <x v="0"/>
    <n v="522.4"/>
    <n v="417.92"/>
    <n v="0"/>
    <s v="00PC500627"/>
    <m/>
    <n v="522.4"/>
    <n v="0"/>
    <n v="77181"/>
  </r>
  <r>
    <x v="3"/>
    <m/>
    <s v="Krudthuset Børnehus, Bringe 26"/>
    <n v="10169"/>
    <m/>
    <s v="Krudthuset Børnehus"/>
    <x v="37"/>
    <x v="0"/>
    <x v="2"/>
    <n v="534.79999999999995"/>
    <n v="12"/>
    <s v="2010-10-31"/>
    <n v="0"/>
    <n v="721"/>
    <n v="0.74164399999999997"/>
    <n v="3"/>
    <x v="0"/>
    <n v="534.79999999999995"/>
    <n v="427.84"/>
    <n v="0"/>
    <s v="00PC500627"/>
    <m/>
    <n v="534.79999999999995"/>
    <n v="0"/>
    <n v="77181"/>
  </r>
  <r>
    <x v="3"/>
    <m/>
    <s v="Krudthuset Børnehus, Bringe 26"/>
    <n v="10169"/>
    <m/>
    <s v="Krudthuset Børnehus"/>
    <x v="37"/>
    <x v="0"/>
    <x v="3"/>
    <n v="567.9"/>
    <n v="12"/>
    <s v="2010-10-31"/>
    <n v="0"/>
    <n v="721"/>
    <n v="0.78754599999999997"/>
    <n v="3"/>
    <x v="0"/>
    <n v="567.9"/>
    <n v="454.32"/>
    <n v="0"/>
    <s v="00PC500627"/>
    <m/>
    <n v="567.9"/>
    <n v="0"/>
    <n v="77181"/>
  </r>
  <r>
    <x v="3"/>
    <m/>
    <s v="Krudthuset Børnehus, Bringe 26"/>
    <n v="10169"/>
    <m/>
    <s v="Krudthuset Børnehus"/>
    <x v="37"/>
    <x v="0"/>
    <x v="4"/>
    <n v="594.91999999999996"/>
    <n v="6"/>
    <s v="2010-10-31"/>
    <n v="0"/>
    <n v="721"/>
    <n v="0.825017"/>
    <n v="3"/>
    <x v="0"/>
    <n v="594.91999999999996"/>
    <n v="475.93"/>
    <n v="0"/>
    <s v="00PC500627"/>
    <m/>
    <n v="594.92643999999996"/>
    <n v="0"/>
    <n v="77181"/>
  </r>
  <r>
    <x v="3"/>
    <m/>
    <s v="Krudthuset Børnehus, Bringe 26"/>
    <n v="10169"/>
    <m/>
    <s v="Krudthuset Børnehus"/>
    <x v="37"/>
    <x v="0"/>
    <x v="5"/>
    <n v="420.49"/>
    <n v="4"/>
    <s v="2010-10-31"/>
    <n v="0"/>
    <n v="721"/>
    <n v="0.58312299999999995"/>
    <n v="3"/>
    <x v="0"/>
    <n v="420.49"/>
    <n v="336.39"/>
    <n v="0"/>
    <s v="00PC500627"/>
    <m/>
    <n v="420.51819999999998"/>
    <n v="0"/>
    <n v="77181"/>
  </r>
  <r>
    <x v="3"/>
    <m/>
    <s v="Krudthuset Børnehus, Bringe 26"/>
    <n v="10169"/>
    <m/>
    <s v="Krudthuset Børnehus"/>
    <x v="37"/>
    <x v="0"/>
    <x v="6"/>
    <n v="360.81"/>
    <n v="6"/>
    <s v="2010-10-31"/>
    <n v="0"/>
    <n v="721"/>
    <n v="0.50036000000000003"/>
    <n v="3"/>
    <x v="0"/>
    <n v="360.81"/>
    <n v="288.64999999999998"/>
    <n v="0"/>
    <s v="00PC500627"/>
    <m/>
    <n v="360.80219"/>
    <n v="0"/>
    <n v="77181"/>
  </r>
  <r>
    <x v="3"/>
    <s v="04730-9"/>
    <s v="Mælkebøtten, Hvilebækgårdsvej 15"/>
    <n v="5447"/>
    <m/>
    <s v="Mælkebøtten"/>
    <x v="38"/>
    <x v="0"/>
    <x v="0"/>
    <n v="263"/>
    <n v="5"/>
    <s v="2005-04-01"/>
    <n v="0"/>
    <n v="480"/>
    <n v="0.23088900000000001"/>
    <n v="3"/>
    <x v="0"/>
    <n v="110.85"/>
    <n v="88.68"/>
    <n v="0"/>
    <m/>
    <m/>
    <n v="110.84699999999999"/>
    <n v="0"/>
    <n v="57507"/>
  </r>
  <r>
    <x v="3"/>
    <m/>
    <s v="Birkedal Børnehus, Kollekolle 75"/>
    <n v="9980"/>
    <m/>
    <s v="Birkedal Børnehus"/>
    <x v="14"/>
    <x v="0"/>
    <x v="7"/>
    <n v="23984.880000000001"/>
    <n v="12"/>
    <s v="2011-11-30"/>
    <n v="0"/>
    <n v="961"/>
    <n v="24.955653999999999"/>
    <n v="2"/>
    <x v="2"/>
    <n v="23984.880000000001"/>
    <n v="7195.46"/>
    <n v="0"/>
    <s v="36312"/>
    <s v="74110497862"/>
    <n v="23984.864000000001"/>
    <n v="0"/>
    <n v="76420"/>
  </r>
  <r>
    <x v="3"/>
    <s v="04730-9"/>
    <s v="Mælkebøtten, Hvilebækgårdsvej 15"/>
    <n v="5447"/>
    <m/>
    <s v="Mælkebøtten"/>
    <x v="38"/>
    <x v="0"/>
    <x v="1"/>
    <n v="357.4"/>
    <n v="12"/>
    <s v="2005-04-01"/>
    <n v="0"/>
    <n v="480"/>
    <n v="0.74442799999999998"/>
    <n v="3"/>
    <x v="0"/>
    <n v="357.4"/>
    <n v="285.93"/>
    <n v="0"/>
    <m/>
    <m/>
    <n v="357.41699999999997"/>
    <n v="0"/>
    <n v="57507"/>
  </r>
  <r>
    <x v="3"/>
    <s v="04730-9"/>
    <s v="Mælkebøtten, Hvilebækgårdsvej 15"/>
    <n v="5447"/>
    <m/>
    <s v="Mælkebøtten"/>
    <x v="38"/>
    <x v="0"/>
    <x v="2"/>
    <n v="439.8"/>
    <n v="12"/>
    <s v="2005-04-01"/>
    <n v="0"/>
    <n v="480"/>
    <n v="0.91605899999999996"/>
    <n v="3"/>
    <x v="0"/>
    <n v="439.8"/>
    <n v="351.82"/>
    <n v="0"/>
    <m/>
    <m/>
    <n v="439.803"/>
    <n v="0"/>
    <n v="57507"/>
  </r>
  <r>
    <x v="3"/>
    <s v="04730-9"/>
    <s v="Mælkebøtten, Hvilebækgårdsvej 15"/>
    <n v="5447"/>
    <m/>
    <s v="Mælkebøtten"/>
    <x v="38"/>
    <x v="0"/>
    <x v="3"/>
    <n v="522.75"/>
    <n v="12"/>
    <s v="2005-04-01"/>
    <n v="0"/>
    <n v="480"/>
    <n v="1.088835"/>
    <n v="3"/>
    <x v="0"/>
    <n v="522.75"/>
    <n v="418.19"/>
    <n v="0"/>
    <m/>
    <m/>
    <n v="522.74800000000005"/>
    <n v="0"/>
    <n v="57507"/>
  </r>
  <r>
    <x v="3"/>
    <s v="04730-9"/>
    <s v="Mælkebøtten, Hvilebækgårdsvej 15"/>
    <n v="5447"/>
    <m/>
    <s v="Mælkebøtten"/>
    <x v="38"/>
    <x v="0"/>
    <x v="4"/>
    <n v="449.95"/>
    <n v="12"/>
    <s v="2005-04-01"/>
    <n v="0"/>
    <n v="480"/>
    <n v="0.93720000000000003"/>
    <n v="3"/>
    <x v="0"/>
    <n v="449.95"/>
    <n v="359.96"/>
    <n v="0"/>
    <m/>
    <m/>
    <n v="449.94600000000003"/>
    <n v="0"/>
    <n v="57507"/>
  </r>
  <r>
    <x v="3"/>
    <s v="04730-9"/>
    <s v="Mælkebøtten, Hvilebækgårdsvej 15"/>
    <n v="5447"/>
    <m/>
    <s v="Mælkebøtten"/>
    <x v="38"/>
    <x v="0"/>
    <x v="5"/>
    <n v="458.01"/>
    <n v="12"/>
    <s v="2005-04-01"/>
    <n v="0"/>
    <n v="480"/>
    <n v="0.95398799999999995"/>
    <n v="3"/>
    <x v="0"/>
    <n v="458.01"/>
    <n v="366.38"/>
    <n v="0"/>
    <m/>
    <m/>
    <n v="457.99400000000003"/>
    <n v="0"/>
    <n v="57507"/>
  </r>
  <r>
    <x v="3"/>
    <s v="04730-9"/>
    <s v="Mælkebøtten, Hvilebækgårdsvej 15"/>
    <n v="5447"/>
    <m/>
    <s v="Mælkebøtten"/>
    <x v="38"/>
    <x v="0"/>
    <x v="6"/>
    <n v="419.66"/>
    <n v="12"/>
    <s v="2005-04-01"/>
    <n v="0"/>
    <n v="480"/>
    <n v="0.87410900000000002"/>
    <n v="3"/>
    <x v="0"/>
    <n v="419.66"/>
    <n v="335.73"/>
    <n v="0"/>
    <m/>
    <m/>
    <n v="419.66199999999998"/>
    <n v="0"/>
    <n v="57507"/>
  </r>
  <r>
    <x v="3"/>
    <s v="04196-6"/>
    <s v="Nordvænget Ryttergårdsvej 48"/>
    <n v="5272"/>
    <m/>
    <s v="Nordvænget"/>
    <x v="39"/>
    <x v="0"/>
    <x v="0"/>
    <n v="230"/>
    <n v="5"/>
    <s v="2005-02-01"/>
    <n v="0"/>
    <n v="541"/>
    <n v="0.17688000000000001"/>
    <n v="3"/>
    <x v="0"/>
    <n v="95.71"/>
    <n v="76.569999999999993"/>
    <n v="0"/>
    <s v="BK 04016458"/>
    <m/>
    <n v="95.713999999999999"/>
    <n v="0"/>
    <n v="56838"/>
  </r>
  <r>
    <x v="6"/>
    <m/>
    <s v="Syvstjerneskolen, Skov 1"/>
    <n v="9223"/>
    <m/>
    <s v="Syvstjerneskolen"/>
    <x v="40"/>
    <x v="0"/>
    <x v="7"/>
    <n v="7996.21"/>
    <n v="24"/>
    <s v="2010-11-29"/>
    <n v="0"/>
    <n v="7936"/>
    <n v="1.007574"/>
    <n v="1"/>
    <x v="4"/>
    <n v="9493.36"/>
    <n v="2007.67"/>
    <n v="0"/>
    <s v="AFMELDT"/>
    <s v="98001315369"/>
    <n v="740.39"/>
    <n v="0"/>
    <n v="77843"/>
  </r>
  <r>
    <x v="3"/>
    <s v="04196-6"/>
    <s v="Nordvænget Ryttergårdsvej 48"/>
    <n v="5272"/>
    <m/>
    <s v="Nordvænget"/>
    <x v="39"/>
    <x v="0"/>
    <x v="1"/>
    <n v="284.36"/>
    <n v="12"/>
    <s v="2005-02-01"/>
    <n v="0"/>
    <n v="541"/>
    <n v="0.52552200000000004"/>
    <n v="3"/>
    <x v="0"/>
    <n v="284.36"/>
    <n v="227.48"/>
    <n v="0"/>
    <s v="BK 04016458"/>
    <m/>
    <n v="284.34399999999999"/>
    <n v="0"/>
    <n v="56838"/>
  </r>
  <r>
    <x v="3"/>
    <s v="04196-6"/>
    <s v="Nordvænget Ryttergårdsvej 48"/>
    <n v="5272"/>
    <m/>
    <s v="Nordvænget"/>
    <x v="39"/>
    <x v="0"/>
    <x v="2"/>
    <n v="287.02"/>
    <n v="12"/>
    <s v="2005-02-01"/>
    <n v="0"/>
    <n v="541"/>
    <n v="0.53043700000000005"/>
    <n v="3"/>
    <x v="0"/>
    <n v="287.02"/>
    <n v="229.61"/>
    <n v="0"/>
    <s v="BK 04016458"/>
    <m/>
    <n v="287.02499999999998"/>
    <n v="0"/>
    <n v="56838"/>
  </r>
  <r>
    <x v="3"/>
    <s v="04196-6"/>
    <s v="Nordvænget Ryttergårdsvej 48"/>
    <n v="5272"/>
    <m/>
    <s v="Nordvænget"/>
    <x v="39"/>
    <x v="0"/>
    <x v="3"/>
    <n v="334.25"/>
    <n v="12"/>
    <s v="2005-02-01"/>
    <n v="0"/>
    <n v="541"/>
    <n v="0.61772300000000002"/>
    <n v="3"/>
    <x v="0"/>
    <n v="334.25"/>
    <n v="267.39"/>
    <n v="0"/>
    <s v="BK 04016458"/>
    <m/>
    <n v="334.24900000000002"/>
    <n v="0"/>
    <n v="56838"/>
  </r>
  <r>
    <x v="3"/>
    <s v="04196-6"/>
    <s v="Nordvænget Ryttergårdsvej 48"/>
    <n v="5272"/>
    <m/>
    <s v="Nordvænget"/>
    <x v="39"/>
    <x v="0"/>
    <x v="4"/>
    <n v="415.36"/>
    <n v="12"/>
    <s v="2005-02-01"/>
    <n v="0"/>
    <n v="541"/>
    <n v="0.767621"/>
    <n v="3"/>
    <x v="0"/>
    <n v="415.36"/>
    <n v="332.3"/>
    <n v="0"/>
    <s v="BK 04016458"/>
    <m/>
    <n v="415.35399999999998"/>
    <n v="0"/>
    <n v="56838"/>
  </r>
  <r>
    <x v="3"/>
    <s v="04196-6"/>
    <s v="Nordvænget Ryttergårdsvej 48"/>
    <n v="5272"/>
    <m/>
    <s v="Nordvænget"/>
    <x v="39"/>
    <x v="0"/>
    <x v="5"/>
    <n v="382.23"/>
    <n v="12"/>
    <s v="2005-02-01"/>
    <n v="0"/>
    <n v="541"/>
    <n v="0.70639399999999997"/>
    <n v="3"/>
    <x v="0"/>
    <n v="382.23"/>
    <n v="305.8"/>
    <n v="0"/>
    <s v="BK 04016458"/>
    <m/>
    <n v="382.23700000000002"/>
    <n v="0"/>
    <n v="56838"/>
  </r>
  <r>
    <x v="3"/>
    <s v="04196-6"/>
    <s v="Nordvænget Ryttergårdsvej 48"/>
    <n v="5272"/>
    <m/>
    <s v="Nordvænget"/>
    <x v="41"/>
    <x v="0"/>
    <x v="6"/>
    <n v="411.25"/>
    <n v="12"/>
    <s v="2005-02-01"/>
    <n v="0"/>
    <n v="541"/>
    <n v="0.76002499999999995"/>
    <n v="3"/>
    <x v="0"/>
    <n v="411.25"/>
    <n v="328.97"/>
    <n v="0"/>
    <s v="BK 04016458"/>
    <m/>
    <n v="411.22800000000001"/>
    <n v="0"/>
    <n v="56838"/>
  </r>
  <r>
    <x v="3"/>
    <m/>
    <s v="Nørreskoven, Højloft Vænge 46"/>
    <n v="9952"/>
    <m/>
    <s v="Nørreskoven"/>
    <x v="42"/>
    <x v="0"/>
    <x v="0"/>
    <n v="303"/>
    <n v="5"/>
    <s v="2010-10-31"/>
    <n v="0"/>
    <n v="473"/>
    <n v="0.23969499999999999"/>
    <n v="3"/>
    <x v="0"/>
    <n v="113.4"/>
    <n v="90.72"/>
    <n v="0"/>
    <s v="44083"/>
    <m/>
    <n v="113.4"/>
    <n v="0"/>
    <n v="76305"/>
  </r>
  <r>
    <x v="3"/>
    <s v="???"/>
    <s v="Birkhøj (Valmuen)"/>
    <n v="5278"/>
    <m/>
    <s v="Birkhøj (Valmuen)"/>
    <x v="19"/>
    <x v="0"/>
    <x v="7"/>
    <n v="392.62"/>
    <n v="12"/>
    <s v="2005-05-01"/>
    <n v="0"/>
    <n v="760"/>
    <n v="0.51653700000000002"/>
    <n v="3"/>
    <x v="0"/>
    <n v="392.62"/>
    <n v="314.10000000000002"/>
    <n v="0"/>
    <s v="BK 4093455"/>
    <m/>
    <n v="392.62900000000002"/>
    <n v="0"/>
    <n v="56875"/>
  </r>
  <r>
    <x v="3"/>
    <m/>
    <s v="Nørreskoven, Højloft Vænge 46"/>
    <n v="9952"/>
    <m/>
    <s v="Nørreskoven"/>
    <x v="42"/>
    <x v="0"/>
    <x v="1"/>
    <n v="269"/>
    <n v="12"/>
    <s v="2010-10-31"/>
    <n v="0"/>
    <n v="473"/>
    <n v="0.56859000000000004"/>
    <n v="3"/>
    <x v="0"/>
    <n v="269"/>
    <n v="215.2"/>
    <n v="0"/>
    <s v="44083"/>
    <m/>
    <n v="269"/>
    <n v="0"/>
    <n v="76305"/>
  </r>
  <r>
    <x v="3"/>
    <m/>
    <s v="Nørreskoven, Højloft Vænge 46"/>
    <n v="9952"/>
    <m/>
    <s v="Nørreskoven"/>
    <x v="42"/>
    <x v="0"/>
    <x v="2"/>
    <n v="287.60000000000002"/>
    <n v="12"/>
    <s v="2010-10-31"/>
    <n v="0"/>
    <n v="473"/>
    <n v="0.60790500000000003"/>
    <n v="3"/>
    <x v="0"/>
    <n v="287.60000000000002"/>
    <n v="230.08"/>
    <n v="0"/>
    <s v="44083"/>
    <m/>
    <n v="287.60000000000002"/>
    <n v="0"/>
    <n v="76305"/>
  </r>
  <r>
    <x v="3"/>
    <m/>
    <s v="Nørreskoven, Højloft Vænge 46"/>
    <n v="9952"/>
    <m/>
    <s v="Nørreskoven"/>
    <x v="42"/>
    <x v="0"/>
    <x v="3"/>
    <n v="304.10000000000002"/>
    <n v="12"/>
    <s v="2010-10-31"/>
    <n v="0"/>
    <n v="473"/>
    <n v="0.64278100000000005"/>
    <n v="3"/>
    <x v="0"/>
    <n v="304.10000000000002"/>
    <n v="243.28"/>
    <n v="0"/>
    <s v="44083"/>
    <m/>
    <n v="304.10000000000002"/>
    <n v="0"/>
    <n v="76305"/>
  </r>
  <r>
    <x v="3"/>
    <m/>
    <s v="Nørreskoven, Højloft Vænge 46"/>
    <n v="9952"/>
    <m/>
    <s v="Nørreskoven"/>
    <x v="42"/>
    <x v="0"/>
    <x v="4"/>
    <n v="372"/>
    <n v="7"/>
    <s v="2010-10-31"/>
    <n v="0"/>
    <n v="473"/>
    <n v="0.78630299999999997"/>
    <n v="3"/>
    <x v="0"/>
    <n v="372"/>
    <n v="297.58999999999997"/>
    <n v="0"/>
    <s v="44083"/>
    <m/>
    <n v="372.00000999999997"/>
    <n v="0"/>
    <n v="76305"/>
  </r>
  <r>
    <x v="3"/>
    <m/>
    <s v="Nørreskoven, Højloft Vænge 46"/>
    <n v="9952"/>
    <m/>
    <s v="Nørreskoven"/>
    <x v="42"/>
    <x v="0"/>
    <x v="5"/>
    <n v="288.06"/>
    <n v="8"/>
    <s v="2010-10-31"/>
    <n v="0"/>
    <n v="473"/>
    <n v="0.608877"/>
    <n v="3"/>
    <x v="0"/>
    <n v="288.06"/>
    <n v="230.43"/>
    <n v="0"/>
    <s v="44083"/>
    <m/>
    <n v="288.05441999999999"/>
    <n v="0"/>
    <n v="76305"/>
  </r>
  <r>
    <x v="3"/>
    <m/>
    <s v="Nørreskoven, Højloft Vænge 46"/>
    <n v="9952"/>
    <m/>
    <s v="Nørreskoven"/>
    <x v="42"/>
    <x v="0"/>
    <x v="6"/>
    <n v="311.19"/>
    <n v="3"/>
    <s v="2010-10-31"/>
    <n v="0"/>
    <n v="473"/>
    <n v="0.65776699999999999"/>
    <n v="3"/>
    <x v="0"/>
    <n v="311.19"/>
    <n v="248.94"/>
    <n v="0"/>
    <s v="44083"/>
    <m/>
    <n v="311.15983999999997"/>
    <n v="0"/>
    <n v="76305"/>
  </r>
  <r>
    <x v="3"/>
    <s v="02587-9"/>
    <s v="Paletten, tidl. Vallhalla Ryttergårdsvej 106"/>
    <n v="5277"/>
    <m/>
    <s v="Paletten, tidl. Vallhalla"/>
    <x v="43"/>
    <x v="0"/>
    <x v="0"/>
    <n v="455"/>
    <n v="5"/>
    <s v="2005-05-01"/>
    <n v="0"/>
    <n v="585"/>
    <n v="0.30792999999999998"/>
    <n v="3"/>
    <x v="0"/>
    <n v="180.17"/>
    <n v="144.13999999999999"/>
    <n v="0"/>
    <s v="BK 4093466"/>
    <m/>
    <n v="180.166"/>
    <n v="0"/>
    <n v="56869"/>
  </r>
  <r>
    <x v="3"/>
    <s v="???"/>
    <s v="Birkhøj (Valmuen)"/>
    <n v="5278"/>
    <m/>
    <s v="Birkhøj (Valmuen)"/>
    <x v="19"/>
    <x v="0"/>
    <x v="7"/>
    <n v="55019"/>
    <n v="12"/>
    <s v="2005-09-30"/>
    <n v="0"/>
    <n v="760"/>
    <n v="72.383895999999993"/>
    <n v="1"/>
    <x v="1"/>
    <n v="65457.01"/>
    <n v="5097789.57"/>
    <n v="0"/>
    <s v="4813498"/>
    <m/>
    <n v="55019"/>
    <n v="0"/>
    <n v="56874"/>
  </r>
  <r>
    <x v="3"/>
    <s v="02587-9"/>
    <s v="Paletten, tidl. Vallhalla Ryttergårdsvej 106"/>
    <n v="5277"/>
    <m/>
    <s v="Paletten, tidl. Vallhalla"/>
    <x v="43"/>
    <x v="0"/>
    <x v="1"/>
    <n v="516.65"/>
    <n v="12"/>
    <s v="2005-05-01"/>
    <n v="0"/>
    <n v="585"/>
    <n v="0.88301099999999999"/>
    <n v="3"/>
    <x v="0"/>
    <n v="516.65"/>
    <n v="413.32"/>
    <n v="0"/>
    <s v="BK 4093466"/>
    <m/>
    <n v="516.66300000000001"/>
    <n v="0"/>
    <n v="56869"/>
  </r>
  <r>
    <x v="3"/>
    <s v="02587-9"/>
    <s v="Paletten, tidl. Vallhalla Ryttergårdsvej 106"/>
    <n v="5277"/>
    <m/>
    <s v="Paletten, tidl. Vallhalla"/>
    <x v="43"/>
    <x v="0"/>
    <x v="2"/>
    <n v="258.8"/>
    <n v="12"/>
    <s v="2005-05-01"/>
    <n v="0"/>
    <n v="585"/>
    <n v="0.44231700000000002"/>
    <n v="3"/>
    <x v="0"/>
    <n v="258.8"/>
    <n v="207.04"/>
    <n v="0"/>
    <s v="BK 4093466"/>
    <m/>
    <n v="258.80700000000002"/>
    <n v="0"/>
    <n v="56869"/>
  </r>
  <r>
    <x v="3"/>
    <s v="02587-9"/>
    <s v="Paletten, tidl. Vallhalla Ryttergårdsvej 106"/>
    <n v="5277"/>
    <m/>
    <s v="Paletten, tidl. Vallhalla"/>
    <x v="43"/>
    <x v="0"/>
    <x v="3"/>
    <n v="300.38"/>
    <n v="12"/>
    <s v="2005-05-01"/>
    <n v="0"/>
    <n v="585"/>
    <n v="0.51338200000000001"/>
    <n v="3"/>
    <x v="0"/>
    <n v="300.38"/>
    <n v="240.31"/>
    <n v="0"/>
    <s v="BK 4093466"/>
    <m/>
    <n v="300.38499000000002"/>
    <n v="0"/>
    <n v="56869"/>
  </r>
  <r>
    <x v="3"/>
    <s v="02587-9"/>
    <s v="Paletten, tidl. Vallhalla Ryttergårdsvej 106"/>
    <n v="5277"/>
    <m/>
    <s v="Paletten, tidl. Vallhalla"/>
    <x v="43"/>
    <x v="0"/>
    <x v="4"/>
    <n v="326.88"/>
    <n v="12"/>
    <s v="2005-05-01"/>
    <n v="0"/>
    <n v="585"/>
    <n v="0.55867299999999998"/>
    <n v="3"/>
    <x v="0"/>
    <n v="326.88"/>
    <n v="261.48"/>
    <n v="0"/>
    <s v="BK 4093466"/>
    <m/>
    <n v="326.85500000000002"/>
    <n v="0"/>
    <n v="56869"/>
  </r>
  <r>
    <x v="3"/>
    <s v="02587-9"/>
    <s v="Paletten, tidl. Vallhalla Ryttergårdsvej 106"/>
    <n v="5277"/>
    <m/>
    <s v="Paletten, tidl. Vallhalla"/>
    <x v="43"/>
    <x v="0"/>
    <x v="5"/>
    <n v="286.17"/>
    <n v="12"/>
    <s v="2005-05-01"/>
    <n v="0"/>
    <n v="585"/>
    <n v="0.489095"/>
    <n v="3"/>
    <x v="0"/>
    <n v="286.17"/>
    <n v="228.93"/>
    <n v="0"/>
    <s v="BK 4093466"/>
    <m/>
    <n v="286.17399999999998"/>
    <n v="0"/>
    <n v="56869"/>
  </r>
  <r>
    <x v="3"/>
    <s v="02587-9"/>
    <s v="Paletten, tidl. Vallhalla Ryttergårdsvej 106"/>
    <n v="5277"/>
    <m/>
    <s v="Paletten, tidl. Vallhalla"/>
    <x v="43"/>
    <x v="0"/>
    <x v="6"/>
    <n v="254.09"/>
    <n v="12"/>
    <s v="2005-05-01"/>
    <n v="0"/>
    <n v="585"/>
    <n v="0.43426700000000001"/>
    <n v="3"/>
    <x v="0"/>
    <n v="254.09"/>
    <n v="203.26"/>
    <n v="0"/>
    <s v="BK 4093466"/>
    <m/>
    <n v="254.083"/>
    <n v="0"/>
    <n v="56869"/>
  </r>
  <r>
    <x v="3"/>
    <s v="???"/>
    <s v="Birkhøj (Valmuen)"/>
    <n v="5278"/>
    <m/>
    <s v="Birkhøj (Valmuen)"/>
    <x v="19"/>
    <x v="0"/>
    <x v="7"/>
    <n v="26981.13"/>
    <n v="12"/>
    <s v="2005-05-01"/>
    <n v="0"/>
    <n v="760"/>
    <n v="35.496816000000003"/>
    <n v="2"/>
    <x v="2"/>
    <n v="26981.13"/>
    <n v="10792.45"/>
    <n v="0"/>
    <s v="783388"/>
    <s v="74114297154"/>
    <n v="26981.129000000001"/>
    <n v="0"/>
    <n v="56873"/>
  </r>
  <r>
    <x v="3"/>
    <s v="01789-2"/>
    <s v="Røde Sol, Lindegårdsvej 2"/>
    <n v="5247"/>
    <m/>
    <s v="Røde Sol"/>
    <x v="44"/>
    <x v="0"/>
    <x v="0"/>
    <n v="258"/>
    <n v="5"/>
    <s v="2005-05-01"/>
    <n v="0"/>
    <n v="284"/>
    <n v="0.38201299999999999"/>
    <n v="3"/>
    <x v="0"/>
    <n v="108.53"/>
    <n v="86.84"/>
    <n v="0"/>
    <s v="BK 98400170"/>
    <m/>
    <n v="108.53700000000001"/>
    <n v="0"/>
    <n v="56638"/>
  </r>
  <r>
    <x v="3"/>
    <s v="???"/>
    <s v="Birkhøj (Valmuen)"/>
    <n v="5278"/>
    <m/>
    <s v="Birkhøj (Valmuen)"/>
    <x v="19"/>
    <x v="1"/>
    <x v="7"/>
    <n v="106995.09"/>
    <n v="12"/>
    <s v="2005-09-30"/>
    <n v="0"/>
    <n v="760"/>
    <n v="140.76449099999999"/>
    <n v="1"/>
    <x v="3"/>
    <n v="128998.22"/>
    <n v="255909.48"/>
    <n v="1"/>
    <s v="4813498"/>
    <m/>
    <n v="3066.64"/>
    <n v="0"/>
    <n v="56994"/>
  </r>
  <r>
    <x v="3"/>
    <s v="01789-2"/>
    <s v="Røde Sol, Lindegårdsvej 2"/>
    <n v="5247"/>
    <m/>
    <s v="Røde Sol"/>
    <x v="44"/>
    <x v="0"/>
    <x v="1"/>
    <n v="193.47"/>
    <n v="12"/>
    <s v="2005-05-01"/>
    <n v="0"/>
    <n v="284"/>
    <n v="0.68099200000000004"/>
    <n v="3"/>
    <x v="0"/>
    <n v="193.47"/>
    <n v="154.77000000000001"/>
    <n v="0"/>
    <s v="BK 98400170"/>
    <m/>
    <n v="193.477"/>
    <n v="0"/>
    <n v="56638"/>
  </r>
  <r>
    <x v="3"/>
    <s v="01789-2"/>
    <s v="Røde Sol, Lindegårdsvej 2"/>
    <n v="5247"/>
    <m/>
    <s v="Røde Sol"/>
    <x v="44"/>
    <x v="0"/>
    <x v="2"/>
    <n v="162.84"/>
    <n v="12"/>
    <s v="2005-05-01"/>
    <n v="0"/>
    <n v="284"/>
    <n v="0.57317799999999997"/>
    <n v="3"/>
    <x v="0"/>
    <n v="162.84"/>
    <n v="130.28"/>
    <n v="0"/>
    <s v="BK 98400170"/>
    <m/>
    <n v="162.83199999999999"/>
    <n v="0"/>
    <n v="56638"/>
  </r>
  <r>
    <x v="3"/>
    <s v="01789-2"/>
    <s v="Røde Sol, Lindegårdsvej 2"/>
    <n v="5247"/>
    <m/>
    <s v="Røde Sol"/>
    <x v="44"/>
    <x v="0"/>
    <x v="3"/>
    <n v="188.05"/>
    <n v="12"/>
    <s v="2005-05-01"/>
    <n v="0"/>
    <n v="284"/>
    <n v="0.661914"/>
    <n v="3"/>
    <x v="0"/>
    <n v="188.05"/>
    <n v="150.46"/>
    <n v="0"/>
    <s v="BK 98400170"/>
    <m/>
    <n v="188.06"/>
    <n v="0"/>
    <n v="56638"/>
  </r>
  <r>
    <x v="3"/>
    <s v="01789-2"/>
    <s v="Røde Sol, Lindegårdsvej 2"/>
    <n v="5247"/>
    <m/>
    <s v="Røde Sol"/>
    <x v="44"/>
    <x v="0"/>
    <x v="4"/>
    <n v="187.86"/>
    <n v="12"/>
    <s v="2005-05-01"/>
    <n v="0"/>
    <n v="284"/>
    <n v="0.661246"/>
    <n v="3"/>
    <x v="0"/>
    <n v="187.86"/>
    <n v="150.27000000000001"/>
    <n v="0"/>
    <s v="BK 98400170"/>
    <m/>
    <n v="187.84759"/>
    <n v="0"/>
    <n v="56638"/>
  </r>
  <r>
    <x v="3"/>
    <s v="01789-2"/>
    <s v="Røde Sol, Lindegårdsvej 2"/>
    <n v="5247"/>
    <m/>
    <s v="Røde Sol"/>
    <x v="44"/>
    <x v="0"/>
    <x v="5"/>
    <n v="226.07"/>
    <n v="12"/>
    <s v="2005-05-01"/>
    <n v="0"/>
    <n v="284"/>
    <n v="0.79574"/>
    <n v="3"/>
    <x v="0"/>
    <n v="226.07"/>
    <n v="180.85"/>
    <n v="0"/>
    <s v="BK 98400170"/>
    <m/>
    <n v="226.04942"/>
    <n v="0"/>
    <n v="56638"/>
  </r>
  <r>
    <x v="3"/>
    <s v="01789-2"/>
    <s v="Røde Sol, Lindegårdsvej 2"/>
    <n v="5247"/>
    <m/>
    <s v="Røde Sol"/>
    <x v="44"/>
    <x v="0"/>
    <x v="6"/>
    <n v="255.95"/>
    <n v="12"/>
    <s v="2005-05-01"/>
    <n v="0"/>
    <n v="284"/>
    <n v="0.90091500000000002"/>
    <n v="3"/>
    <x v="0"/>
    <n v="255.95"/>
    <n v="204.75"/>
    <n v="0"/>
    <s v="BK 98400170"/>
    <m/>
    <n v="255.946"/>
    <n v="0"/>
    <n v="56638"/>
  </r>
  <r>
    <x v="3"/>
    <m/>
    <s v="Skovstjernen Børnehus, Skovlinien 23"/>
    <n v="10019"/>
    <m/>
    <s v="Skovstjernen Børnehus"/>
    <x v="45"/>
    <x v="0"/>
    <x v="0"/>
    <n v="586"/>
    <n v="5"/>
    <s v="2010-10-31"/>
    <n v="0"/>
    <n v="598"/>
    <n v="0.342584"/>
    <n v="3"/>
    <x v="0"/>
    <n v="204.9"/>
    <n v="163.92"/>
    <n v="0"/>
    <s v="44340"/>
    <m/>
    <n v="204.9"/>
    <n v="0"/>
    <n v="76532"/>
  </r>
  <r>
    <x v="3"/>
    <m/>
    <s v="Skovstjernen Børnehus, Skovlinien 23"/>
    <n v="10019"/>
    <m/>
    <s v="Skovstjernen Børnehus"/>
    <x v="45"/>
    <x v="0"/>
    <x v="1"/>
    <n v="545.70000000000005"/>
    <n v="12"/>
    <s v="2010-10-31"/>
    <n v="0"/>
    <n v="598"/>
    <n v="0.91238900000000001"/>
    <n v="3"/>
    <x v="0"/>
    <n v="545.70000000000005"/>
    <n v="436.56"/>
    <n v="0"/>
    <s v="44340"/>
    <m/>
    <n v="545.70000000000005"/>
    <n v="0"/>
    <n v="76532"/>
  </r>
  <r>
    <x v="3"/>
    <m/>
    <s v="Skovstjernen Børnehus, Skovlinien 23"/>
    <n v="10019"/>
    <m/>
    <s v="Skovstjernen Børnehus"/>
    <x v="45"/>
    <x v="0"/>
    <x v="2"/>
    <n v="489.7"/>
    <n v="12"/>
    <s v="2010-10-31"/>
    <n v="0"/>
    <n v="598"/>
    <n v="0.81875900000000001"/>
    <n v="3"/>
    <x v="0"/>
    <n v="489.7"/>
    <n v="391.76"/>
    <n v="0"/>
    <s v="44340"/>
    <m/>
    <n v="489.7"/>
    <n v="0"/>
    <n v="76532"/>
  </r>
  <r>
    <x v="3"/>
    <m/>
    <s v="Skovstjernen Børnehus, Skovlinien 23"/>
    <n v="10019"/>
    <m/>
    <s v="Skovstjernen Børnehus"/>
    <x v="45"/>
    <x v="0"/>
    <x v="3"/>
    <n v="527.20000000000005"/>
    <n v="12"/>
    <s v="2010-10-31"/>
    <n v="0"/>
    <n v="598"/>
    <n v="0.88145700000000005"/>
    <n v="3"/>
    <x v="0"/>
    <n v="527.20000000000005"/>
    <n v="421.76"/>
    <n v="0"/>
    <s v="44340"/>
    <m/>
    <n v="527.20000000000005"/>
    <n v="0"/>
    <n v="76532"/>
  </r>
  <r>
    <x v="3"/>
    <m/>
    <s v="Skovstjernen Børnehus, Skovlinien 23"/>
    <n v="10019"/>
    <m/>
    <s v="Skovstjernen Børnehus"/>
    <x v="45"/>
    <x v="0"/>
    <x v="4"/>
    <n v="520.30999999999995"/>
    <n v="5"/>
    <s v="2010-10-31"/>
    <n v="0"/>
    <n v="598"/>
    <n v="0.86993799999999999"/>
    <n v="3"/>
    <x v="0"/>
    <n v="520.30999999999995"/>
    <n v="416.25"/>
    <n v="0"/>
    <s v="44340"/>
    <m/>
    <n v="520.32155999999998"/>
    <n v="0"/>
    <n v="76532"/>
  </r>
  <r>
    <x v="3"/>
    <m/>
    <s v="Skovstjernen Børnehus, Skovlinien 23"/>
    <n v="10019"/>
    <m/>
    <s v="Skovstjernen Børnehus"/>
    <x v="45"/>
    <x v="0"/>
    <x v="5"/>
    <n v="562.08000000000004"/>
    <n v="6"/>
    <s v="2010-10-31"/>
    <n v="0"/>
    <n v="598"/>
    <n v="0.93977500000000003"/>
    <n v="3"/>
    <x v="0"/>
    <n v="562.08000000000004"/>
    <n v="449.66"/>
    <n v="0"/>
    <s v="44340"/>
    <m/>
    <n v="562.07844999999998"/>
    <n v="0"/>
    <n v="76532"/>
  </r>
  <r>
    <x v="3"/>
    <m/>
    <s v="Skovstjernen Børnehus, Skovlinien 23"/>
    <n v="10019"/>
    <m/>
    <s v="Skovstjernen Børnehus"/>
    <x v="45"/>
    <x v="0"/>
    <x v="6"/>
    <n v="732.83"/>
    <n v="5"/>
    <s v="2010-10-31"/>
    <n v="0"/>
    <n v="598"/>
    <n v="1.225263"/>
    <n v="3"/>
    <x v="0"/>
    <n v="732.83"/>
    <n v="586.27"/>
    <n v="0"/>
    <s v="44340"/>
    <m/>
    <n v="732.82378000000006"/>
    <n v="0"/>
    <n v="76532"/>
  </r>
  <r>
    <x v="3"/>
    <m/>
    <s v="Solbjerg Børnehus"/>
    <n v="10056"/>
    <m/>
    <s v="Solbjerg Børnehus"/>
    <x v="46"/>
    <x v="0"/>
    <x v="1"/>
    <n v="497.15"/>
    <n v="5"/>
    <s v="2014-12-10"/>
    <n v="0"/>
    <n v="836"/>
    <n v="0.59460500000000005"/>
    <n v="3"/>
    <x v="0"/>
    <n v="497.15"/>
    <n v="397.7"/>
    <n v="0"/>
    <s v="0219"/>
    <m/>
    <n v="497.13540999999998"/>
    <n v="0"/>
    <n v="83881"/>
  </r>
  <r>
    <x v="3"/>
    <m/>
    <s v="Solbjerg Børnehus"/>
    <n v="10056"/>
    <m/>
    <s v="Solbjerg Børnehus"/>
    <x v="46"/>
    <x v="0"/>
    <x v="2"/>
    <n v="553.05999999999995"/>
    <n v="3"/>
    <s v="2014-12-10"/>
    <n v="0"/>
    <n v="836"/>
    <n v="0.66147500000000004"/>
    <n v="3"/>
    <x v="0"/>
    <n v="553.05999999999995"/>
    <n v="442.47"/>
    <n v="0"/>
    <s v="0219"/>
    <m/>
    <n v="553.07282999999995"/>
    <n v="0"/>
    <n v="83881"/>
  </r>
  <r>
    <x v="3"/>
    <m/>
    <s v="Solbjerg Børnehus"/>
    <n v="10056"/>
    <m/>
    <s v="Solbjerg Børnehus"/>
    <x v="46"/>
    <x v="0"/>
    <x v="3"/>
    <n v="520.21"/>
    <n v="1"/>
    <s v="2014-12-10"/>
    <n v="0"/>
    <n v="836"/>
    <n v="0.62218600000000002"/>
    <n v="3"/>
    <x v="0"/>
    <n v="520.21"/>
    <n v="416.18"/>
    <n v="0"/>
    <s v="0219"/>
    <m/>
    <n v="520.19826"/>
    <n v="0"/>
    <n v="83881"/>
  </r>
  <r>
    <x v="3"/>
    <m/>
    <s v="Solbjerg Børnehus"/>
    <n v="10056"/>
    <m/>
    <s v="Solbjerg Børnehus"/>
    <x v="46"/>
    <x v="0"/>
    <x v="4"/>
    <n v="541.41999999999996"/>
    <n v="8"/>
    <s v="2014-12-10"/>
    <n v="0"/>
    <n v="836"/>
    <n v="0.64755399999999996"/>
    <n v="3"/>
    <x v="0"/>
    <n v="541.41999999999996"/>
    <n v="433.14"/>
    <n v="0"/>
    <s v="0219"/>
    <m/>
    <n v="541.43832999999995"/>
    <n v="0"/>
    <n v="83881"/>
  </r>
  <r>
    <x v="3"/>
    <m/>
    <s v="Solbjerg Børnehus"/>
    <n v="10056"/>
    <m/>
    <s v="Solbjerg Børnehus"/>
    <x v="46"/>
    <x v="0"/>
    <x v="5"/>
    <n v="591.52"/>
    <n v="6"/>
    <s v="2009-11-25"/>
    <n v="0"/>
    <n v="836"/>
    <n v="0.70747499999999997"/>
    <n v="3"/>
    <x v="0"/>
    <n v="591.52"/>
    <n v="473.2"/>
    <n v="0"/>
    <m/>
    <m/>
    <n v="591.52630999999997"/>
    <n v="0"/>
    <n v="76677"/>
  </r>
  <r>
    <x v="3"/>
    <m/>
    <s v="Solbjerg Børnehus"/>
    <n v="10056"/>
    <m/>
    <s v="Solbjerg Børnehus"/>
    <x v="46"/>
    <x v="0"/>
    <x v="5"/>
    <n v="58.01"/>
    <n v="2"/>
    <s v="2014-12-10"/>
    <n v="0"/>
    <n v="836"/>
    <n v="6.9380999999999998E-2"/>
    <n v="3"/>
    <x v="0"/>
    <n v="58.01"/>
    <n v="46.42"/>
    <n v="0"/>
    <s v="0219"/>
    <m/>
    <n v="58.0137"/>
    <n v="0"/>
    <n v="83881"/>
  </r>
  <r>
    <x v="3"/>
    <m/>
    <s v="Solbjerg Børnehus"/>
    <n v="10056"/>
    <m/>
    <s v="Solbjerg Børnehus"/>
    <x v="46"/>
    <x v="0"/>
    <x v="6"/>
    <n v="552.99"/>
    <n v="5"/>
    <s v="2009-11-25"/>
    <n v="0"/>
    <n v="836"/>
    <n v="0.66139199999999998"/>
    <n v="3"/>
    <x v="0"/>
    <n v="552.99"/>
    <n v="442.41"/>
    <n v="0"/>
    <m/>
    <m/>
    <n v="553.00702000000001"/>
    <n v="0"/>
    <n v="76677"/>
  </r>
  <r>
    <x v="3"/>
    <m/>
    <s v="Solsikken"/>
    <n v="5950"/>
    <m/>
    <s v="Solsikken"/>
    <x v="47"/>
    <x v="0"/>
    <x v="0"/>
    <n v="391"/>
    <n v="5"/>
    <m/>
    <n v="0"/>
    <n v="500"/>
    <n v="0.325434"/>
    <n v="3"/>
    <x v="0"/>
    <n v="162.75"/>
    <n v="130.19999999999999"/>
    <n v="0"/>
    <s v="??"/>
    <m/>
    <n v="162.74798999999999"/>
    <n v="0"/>
    <n v="90554"/>
  </r>
  <r>
    <x v="3"/>
    <m/>
    <s v="Solsikken"/>
    <n v="5950"/>
    <m/>
    <s v="Solsikken"/>
    <x v="47"/>
    <x v="0"/>
    <x v="1"/>
    <n v="420.04"/>
    <n v="12"/>
    <m/>
    <n v="0"/>
    <n v="500"/>
    <n v="0.83991199999999999"/>
    <n v="3"/>
    <x v="0"/>
    <n v="420.04"/>
    <n v="336.02"/>
    <n v="0"/>
    <s v="??"/>
    <m/>
    <n v="420.03399999999999"/>
    <n v="0"/>
    <n v="90554"/>
  </r>
  <r>
    <x v="3"/>
    <m/>
    <s v="Solsikken"/>
    <n v="5950"/>
    <m/>
    <s v="Solsikken"/>
    <x v="47"/>
    <x v="0"/>
    <x v="2"/>
    <n v="457.23"/>
    <n v="12"/>
    <m/>
    <n v="0"/>
    <n v="500"/>
    <n v="0.91427700000000001"/>
    <n v="3"/>
    <x v="0"/>
    <n v="457.23"/>
    <n v="365.79"/>
    <n v="0"/>
    <s v="??"/>
    <m/>
    <n v="457.23200000000003"/>
    <n v="0"/>
    <n v="90554"/>
  </r>
  <r>
    <x v="3"/>
    <m/>
    <s v="Solsikken"/>
    <n v="5950"/>
    <m/>
    <s v="Solsikken"/>
    <x v="47"/>
    <x v="0"/>
    <x v="3"/>
    <n v="17.72"/>
    <n v="1"/>
    <m/>
    <n v="0"/>
    <n v="500"/>
    <n v="3.5431999999999998E-2"/>
    <n v="3"/>
    <x v="0"/>
    <n v="17.72"/>
    <n v="14.17"/>
    <n v="0"/>
    <s v="??"/>
    <m/>
    <n v="17.716999999999999"/>
    <n v="0"/>
    <n v="90554"/>
  </r>
  <r>
    <x v="3"/>
    <s v="03322-7"/>
    <s v="Brudedalen Legestue, Brudedalen 54-58"/>
    <n v="5276"/>
    <m/>
    <s v="Legestuen"/>
    <x v="20"/>
    <x v="0"/>
    <x v="7"/>
    <n v="99.1"/>
    <n v="12"/>
    <s v="2005-10-03"/>
    <n v="0"/>
    <n v="284"/>
    <n v="0.34882000000000002"/>
    <n v="3"/>
    <x v="0"/>
    <n v="99.1"/>
    <n v="79.27"/>
    <n v="0"/>
    <s v="BK 99105981"/>
    <m/>
    <n v="99.099980000000002"/>
    <n v="0"/>
    <n v="56863"/>
  </r>
  <r>
    <x v="3"/>
    <s v="039955-1"/>
    <s v="Stavnsholt Børnehus, STA45"/>
    <n v="5279"/>
    <m/>
    <s v="Majtræet/Sommerfuglen/Tusindben/Guldsmeden"/>
    <x v="48"/>
    <x v="0"/>
    <x v="0"/>
    <n v="806"/>
    <n v="5"/>
    <s v="2005-05-01"/>
    <n v="0"/>
    <n v="1603"/>
    <n v="0.19413"/>
    <n v="3"/>
    <x v="0"/>
    <n v="311.20999999999998"/>
    <n v="248.97"/>
    <n v="0"/>
    <s v="BK 99600178"/>
    <m/>
    <n v="311.21899999999999"/>
    <n v="0"/>
    <n v="56883"/>
  </r>
  <r>
    <x v="3"/>
    <s v="03322-7"/>
    <s v="Brudedalen Legestue, Brudedalen 54-58"/>
    <n v="5276"/>
    <m/>
    <s v="Legestuen"/>
    <x v="20"/>
    <x v="0"/>
    <x v="7"/>
    <n v="6766.92"/>
    <n v="12"/>
    <s v="2005-10-03"/>
    <n v="0"/>
    <n v="284"/>
    <n v="23.818795999999999"/>
    <n v="2"/>
    <x v="2"/>
    <n v="6766.92"/>
    <n v="2706.76"/>
    <n v="0"/>
    <s v="1015049"/>
    <m/>
    <n v="6766.92"/>
    <n v="0"/>
    <n v="56861"/>
  </r>
  <r>
    <x v="3"/>
    <s v="039955-1"/>
    <s v="Stavnsholt Børnehus, STA45"/>
    <n v="5279"/>
    <m/>
    <s v="Majtræet/Sommerfuglen/Tusindben/Guldsmeden"/>
    <x v="48"/>
    <x v="0"/>
    <x v="1"/>
    <n v="880.43"/>
    <n v="12"/>
    <s v="2005-05-01"/>
    <n v="0"/>
    <n v="1603"/>
    <n v="0.54920400000000003"/>
    <n v="3"/>
    <x v="0"/>
    <n v="880.43"/>
    <n v="704.33"/>
    <n v="0"/>
    <s v="BK 99600178"/>
    <m/>
    <n v="880.41800000000001"/>
    <n v="0"/>
    <n v="56883"/>
  </r>
  <r>
    <x v="3"/>
    <s v="039955-1"/>
    <s v="Stavnsholt Børnehus, STA45"/>
    <n v="5279"/>
    <m/>
    <s v="Majtræet/Sommerfuglen/Tusindben/Guldsmeden"/>
    <x v="48"/>
    <x v="0"/>
    <x v="2"/>
    <n v="958.24"/>
    <n v="12"/>
    <s v="2005-05-01"/>
    <n v="0"/>
    <n v="1603"/>
    <n v="0.59774099999999997"/>
    <n v="3"/>
    <x v="0"/>
    <n v="958.24"/>
    <n v="766.58"/>
    <n v="0"/>
    <s v="BK 99600178"/>
    <m/>
    <n v="958.23400000000004"/>
    <n v="0"/>
    <n v="56883"/>
  </r>
  <r>
    <x v="3"/>
    <s v="039955-1"/>
    <s v="Stavnsholt Børnehus, STA45"/>
    <n v="5279"/>
    <m/>
    <s v="Majtræet/Sommerfuglen/Tusindben/Guldsmeden"/>
    <x v="48"/>
    <x v="0"/>
    <x v="3"/>
    <n v="1049.8"/>
    <n v="12"/>
    <s v="2005-05-01"/>
    <n v="0"/>
    <n v="1603"/>
    <n v="0.65485599999999999"/>
    <n v="3"/>
    <x v="0"/>
    <n v="1049.8"/>
    <n v="839.85"/>
    <n v="0"/>
    <s v="BK 99600178"/>
    <m/>
    <n v="1049.799"/>
    <n v="0"/>
    <n v="56883"/>
  </r>
  <r>
    <x v="3"/>
    <s v="039955-1"/>
    <s v="Stavnsholt Børnehus, STA45"/>
    <n v="5279"/>
    <m/>
    <s v="Majtræet/Sommerfuglen/Tusindben/Guldsmeden"/>
    <x v="48"/>
    <x v="0"/>
    <x v="4"/>
    <n v="1111.04"/>
    <n v="12"/>
    <s v="2005-05-01"/>
    <n v="0"/>
    <n v="1603"/>
    <n v="0.69305700000000003"/>
    <n v="3"/>
    <x v="0"/>
    <n v="1111.04"/>
    <n v="888.83"/>
    <n v="0"/>
    <s v="BK 99600178"/>
    <m/>
    <n v="1111.038"/>
    <n v="0"/>
    <n v="56883"/>
  </r>
  <r>
    <x v="3"/>
    <s v="039955-1"/>
    <s v="Stavnsholt Børnehus, STA45"/>
    <n v="5279"/>
    <m/>
    <s v="Majtræet/Sommerfuglen/Tusindben/Guldsmeden"/>
    <x v="48"/>
    <x v="0"/>
    <x v="5"/>
    <n v="1185.8399999999999"/>
    <n v="12"/>
    <s v="2005-05-01"/>
    <n v="0"/>
    <n v="1603"/>
    <n v="0.73971600000000004"/>
    <n v="3"/>
    <x v="0"/>
    <n v="1185.8399999999999"/>
    <n v="948.65"/>
    <n v="0"/>
    <s v="BK 99600178"/>
    <m/>
    <n v="1185.836"/>
    <n v="0"/>
    <n v="56883"/>
  </r>
  <r>
    <x v="3"/>
    <s v="039955-1"/>
    <s v="Stavnsholt Børnehus, STA45"/>
    <n v="5279"/>
    <m/>
    <s v="Majtræet/Sommerfuglen/Tusindben/Guldsmeden"/>
    <x v="48"/>
    <x v="0"/>
    <x v="6"/>
    <n v="1319.73"/>
    <n v="12"/>
    <s v="2005-05-01"/>
    <n v="0"/>
    <n v="1603"/>
    <n v="0.82323599999999997"/>
    <n v="3"/>
    <x v="0"/>
    <n v="1319.73"/>
    <n v="1055.79"/>
    <n v="0"/>
    <s v="BK 99600178"/>
    <m/>
    <n v="1319.731"/>
    <n v="0"/>
    <n v="56883"/>
  </r>
  <r>
    <x v="3"/>
    <m/>
    <s v="Søndersø Børnehus"/>
    <n v="10209"/>
    <m/>
    <s v="Søndersø Børnehus"/>
    <x v="49"/>
    <x v="0"/>
    <x v="0"/>
    <n v="1321"/>
    <n v="5"/>
    <s v="2010-07-31"/>
    <n v="0"/>
    <n v="1839"/>
    <n v="0.26616200000000001"/>
    <n v="3"/>
    <x v="0"/>
    <n v="489.5"/>
    <n v="391.6"/>
    <n v="0"/>
    <s v="00PC502503"/>
    <m/>
    <n v="489.5"/>
    <n v="0"/>
    <n v="77417"/>
  </r>
  <r>
    <x v="7"/>
    <m/>
    <s v="Spejderhus, Sandet 2"/>
    <n v="10202"/>
    <m/>
    <s v="Spejderhus, Sandet 2"/>
    <x v="50"/>
    <x v="0"/>
    <x v="7"/>
    <n v="8995.9699999999993"/>
    <n v="12"/>
    <s v="2013-05-07"/>
    <n v="0"/>
    <n v="123"/>
    <n v="73.078553999999997"/>
    <n v="1"/>
    <x v="4"/>
    <n v="10651.85"/>
    <n v="2252.66"/>
    <n v="0"/>
    <s v="02186"/>
    <s v="98003449000"/>
    <n v="832.96"/>
    <n v="0"/>
    <n v="77352"/>
  </r>
  <r>
    <x v="3"/>
    <m/>
    <s v="Søndersø Børnehus"/>
    <n v="10209"/>
    <m/>
    <s v="Søndersø Børnehus"/>
    <x v="49"/>
    <x v="0"/>
    <x v="1"/>
    <n v="1336.7"/>
    <n v="12"/>
    <s v="2010-07-31"/>
    <n v="0"/>
    <n v="1839"/>
    <n v="0.72682199999999997"/>
    <n v="3"/>
    <x v="0"/>
    <n v="1336.7"/>
    <n v="1069.3599999999999"/>
    <n v="0"/>
    <s v="00PC502503"/>
    <m/>
    <n v="1336.7"/>
    <n v="0"/>
    <n v="77417"/>
  </r>
  <r>
    <x v="3"/>
    <m/>
    <s v="Søndersø Børnehus"/>
    <n v="10209"/>
    <m/>
    <s v="Søndersø Børnehus"/>
    <x v="49"/>
    <x v="0"/>
    <x v="2"/>
    <n v="1373.9"/>
    <n v="12"/>
    <s v="2010-07-31"/>
    <n v="0"/>
    <n v="1839"/>
    <n v="0.74704999999999999"/>
    <n v="3"/>
    <x v="0"/>
    <n v="1373.9"/>
    <n v="1099.1199999999999"/>
    <n v="0"/>
    <s v="00PC502503"/>
    <m/>
    <n v="1373.9"/>
    <n v="0"/>
    <n v="77417"/>
  </r>
  <r>
    <x v="3"/>
    <m/>
    <s v="Søndersø Børnehus"/>
    <n v="10209"/>
    <m/>
    <s v="Søndersø Børnehus"/>
    <x v="49"/>
    <x v="0"/>
    <x v="3"/>
    <n v="1071.2"/>
    <n v="12"/>
    <s v="2010-07-31"/>
    <n v="0"/>
    <n v="1839"/>
    <n v="0.58245800000000003"/>
    <n v="3"/>
    <x v="0"/>
    <n v="1071.2"/>
    <n v="856.96"/>
    <n v="0"/>
    <s v="00PC502503"/>
    <m/>
    <n v="1071.2"/>
    <n v="0"/>
    <n v="77417"/>
  </r>
  <r>
    <x v="3"/>
    <m/>
    <s v="Søndersø Børnehus"/>
    <n v="10209"/>
    <m/>
    <s v="Søndersø Børnehus"/>
    <x v="49"/>
    <x v="0"/>
    <x v="4"/>
    <n v="1324.05"/>
    <n v="9"/>
    <s v="2010-07-31"/>
    <n v="0"/>
    <n v="1839"/>
    <n v="0.71994400000000003"/>
    <n v="3"/>
    <x v="0"/>
    <n v="1324.05"/>
    <n v="1059.25"/>
    <n v="0"/>
    <s v="00PC502503"/>
    <m/>
    <n v="1324.0461499999999"/>
    <n v="0"/>
    <n v="77417"/>
  </r>
  <r>
    <x v="3"/>
    <m/>
    <s v="Søndersø Børnehus"/>
    <n v="10209"/>
    <m/>
    <s v="Søndersø Børnehus"/>
    <x v="49"/>
    <x v="0"/>
    <x v="4"/>
    <n v="126.53"/>
    <n v="1"/>
    <s v="2010-07-12"/>
    <n v="0"/>
    <n v="1839"/>
    <n v="6.8798999999999999E-2"/>
    <n v="3"/>
    <x v="0"/>
    <n v="126.53"/>
    <n v="0"/>
    <n v="1"/>
    <s v="Varmt vand."/>
    <m/>
    <n v="126.54546999999999"/>
    <n v="0"/>
    <n v="77423"/>
  </r>
  <r>
    <x v="3"/>
    <m/>
    <s v="Søndersø Børnehus"/>
    <n v="10209"/>
    <m/>
    <s v="Søndersø Børnehus"/>
    <x v="49"/>
    <x v="0"/>
    <x v="5"/>
    <n v="857.04"/>
    <n v="3"/>
    <s v="2010-07-31"/>
    <n v="0"/>
    <n v="1839"/>
    <n v="0.46600999999999998"/>
    <n v="3"/>
    <x v="0"/>
    <n v="857.04"/>
    <n v="685.64"/>
    <n v="0"/>
    <s v="00PC502503"/>
    <m/>
    <n v="857.02049999999997"/>
    <n v="0"/>
    <n v="77417"/>
  </r>
  <r>
    <x v="3"/>
    <m/>
    <s v="Søndersø Børnehus"/>
    <n v="10209"/>
    <m/>
    <s v="Søndersø Børnehus"/>
    <x v="49"/>
    <x v="0"/>
    <x v="5"/>
    <n v="232.12"/>
    <n v="3"/>
    <s v="2010-07-12"/>
    <n v="0"/>
    <n v="1839"/>
    <n v="0.12621299999999999"/>
    <n v="3"/>
    <x v="0"/>
    <n v="232.12"/>
    <n v="0"/>
    <n v="1"/>
    <s v="Varmt vand."/>
    <m/>
    <n v="232.14420999999999"/>
    <n v="0"/>
    <n v="77423"/>
  </r>
  <r>
    <x v="3"/>
    <m/>
    <s v="Søndersø Børnehus"/>
    <n v="10209"/>
    <m/>
    <s v="Søndersø Børnehus"/>
    <x v="49"/>
    <x v="0"/>
    <x v="6"/>
    <n v="682.43"/>
    <n v="8"/>
    <s v="2010-07-31"/>
    <n v="0"/>
    <n v="1839"/>
    <n v="0.37106699999999998"/>
    <n v="3"/>
    <x v="0"/>
    <n v="682.43"/>
    <n v="545.94000000000005"/>
    <n v="0"/>
    <s v="00PC502503"/>
    <m/>
    <n v="682.43334000000004"/>
    <n v="0"/>
    <n v="77417"/>
  </r>
  <r>
    <x v="3"/>
    <m/>
    <s v="Søndersø Børnehus"/>
    <n v="10209"/>
    <m/>
    <s v="Søndersø Børnehus"/>
    <x v="49"/>
    <x v="0"/>
    <x v="6"/>
    <n v="150.4"/>
    <n v="4"/>
    <s v="2010-07-12"/>
    <n v="0"/>
    <n v="1839"/>
    <n v="8.1779000000000004E-2"/>
    <n v="3"/>
    <x v="0"/>
    <n v="150.4"/>
    <n v="0"/>
    <n v="1"/>
    <s v="Varmt vand."/>
    <m/>
    <n v="150.43535"/>
    <n v="0"/>
    <n v="77423"/>
  </r>
  <r>
    <x v="3"/>
    <m/>
    <s v="Bøgely Ravnehusvej 20"/>
    <n v="9970"/>
    <m/>
    <s v="Bøgely"/>
    <x v="21"/>
    <x v="0"/>
    <x v="7"/>
    <n v="716.3"/>
    <n v="12"/>
    <s v="2009-12-31"/>
    <n v="0"/>
    <n v="864"/>
    <n v="0.82895399999999997"/>
    <n v="3"/>
    <x v="0"/>
    <n v="716.3"/>
    <n v="573.04"/>
    <n v="0"/>
    <m/>
    <m/>
    <n v="716.3"/>
    <n v="0"/>
    <n v="76388"/>
  </r>
  <r>
    <x v="3"/>
    <m/>
    <s v="Bøgely Ravnehusvej 20"/>
    <n v="9970"/>
    <m/>
    <s v="Bøgely"/>
    <x v="21"/>
    <x v="0"/>
    <x v="7"/>
    <n v="35686.629999999997"/>
    <n v="12"/>
    <m/>
    <n v="0"/>
    <n v="864"/>
    <n v="41.299188999999998"/>
    <n v="2"/>
    <x v="2"/>
    <n v="35686.629999999997"/>
    <n v="10705.98"/>
    <n v="0"/>
    <s v="86458"/>
    <m/>
    <n v="35686.629000000001"/>
    <n v="0"/>
    <n v="90986"/>
  </r>
  <r>
    <x v="8"/>
    <m/>
    <s v="Palægården Poppel Alle 19"/>
    <n v="10237"/>
    <m/>
    <s v="Børnehaven"/>
    <x v="51"/>
    <x v="0"/>
    <x v="7"/>
    <n v="13907.27"/>
    <n v="12"/>
    <s v="2010-11-09"/>
    <n v="0"/>
    <n v="0"/>
    <n v="139072.70000000001"/>
    <n v="1"/>
    <x v="4"/>
    <n v="16509.560000000001"/>
    <n v="3491.47"/>
    <n v="0"/>
    <s v="175906/96"/>
    <s v="98004884565"/>
    <n v="1287.71"/>
    <n v="0"/>
    <n v="77527"/>
  </r>
  <r>
    <x v="3"/>
    <s v="02558-5"/>
    <s v="Børnehusene Ryttergårdsvej 100 - 102"/>
    <n v="5252"/>
    <m/>
    <s v="Børnehusene Ryttergårdsvej 100 - 102"/>
    <x v="22"/>
    <x v="0"/>
    <x v="7"/>
    <n v="480.62"/>
    <n v="12"/>
    <s v="2005-05-01"/>
    <n v="0"/>
    <n v="752"/>
    <n v="0.63903699999999997"/>
    <n v="3"/>
    <x v="0"/>
    <n v="480.62"/>
    <n v="384.49"/>
    <n v="0"/>
    <s v="BK 99100253"/>
    <m/>
    <n v="480.61700000000002"/>
    <n v="0"/>
    <n v="56689"/>
  </r>
  <r>
    <x v="3"/>
    <s v="02558-5"/>
    <s v="Børnehusene Ryttergårdsvej 100 - 102"/>
    <n v="5252"/>
    <m/>
    <s v="Børnehusene Ryttergårdsvej 100 - 102"/>
    <x v="22"/>
    <x v="0"/>
    <x v="7"/>
    <n v="78918.67"/>
    <n v="12"/>
    <s v="2005-09-01"/>
    <n v="0"/>
    <n v="752"/>
    <n v="104.93108599999999"/>
    <n v="1"/>
    <x v="1"/>
    <n v="94387.36"/>
    <n v="6680258.6500000004"/>
    <n v="0"/>
    <s v="4824612"/>
    <m/>
    <n v="78918.667000000001"/>
    <n v="0"/>
    <n v="56688"/>
  </r>
  <r>
    <x v="3"/>
    <s v="02558-5"/>
    <s v="Børnehusene Ryttergårdsvej 100 - 102"/>
    <n v="5252"/>
    <m/>
    <s v="Børnehusene Ryttergårdsvej 100 - 102"/>
    <x v="22"/>
    <x v="0"/>
    <x v="7"/>
    <n v="16562.599999999999"/>
    <n v="12"/>
    <s v="2005-05-01"/>
    <n v="0"/>
    <n v="752"/>
    <n v="22.021805000000001"/>
    <n v="2"/>
    <x v="2"/>
    <n v="16562.599999999999"/>
    <n v="6625.03"/>
    <n v="0"/>
    <s v="1019276"/>
    <s v="74111624557"/>
    <n v="16562.594000000001"/>
    <n v="0"/>
    <n v="56687"/>
  </r>
  <r>
    <x v="3"/>
    <s v="02558-5"/>
    <s v="Børnehusene Ryttergårdsvej 100 - 102"/>
    <n v="5252"/>
    <m/>
    <s v="Børnehusene Ryttergårdsvej 100 - 102"/>
    <x v="22"/>
    <x v="1"/>
    <x v="7"/>
    <n v="64264.34"/>
    <n v="12"/>
    <s v="2005-09-01"/>
    <n v="0"/>
    <n v="752"/>
    <n v="85.446535999999995"/>
    <n v="1"/>
    <x v="3"/>
    <n v="76417.59"/>
    <n v="158624.79"/>
    <n v="1"/>
    <s v="4824612"/>
    <m/>
    <n v="1841.9132999999999"/>
    <n v="0"/>
    <n v="56995"/>
  </r>
  <r>
    <x v="3"/>
    <m/>
    <s v="Børnehuset Åkanden / Skovbo Skovbovænget 75"/>
    <n v="9977"/>
    <m/>
    <s v="Åkanden/Skovbo"/>
    <x v="23"/>
    <x v="0"/>
    <x v="7"/>
    <n v="418.9"/>
    <n v="12"/>
    <s v="2010-10-31"/>
    <n v="0"/>
    <n v="487"/>
    <n v="0.85998699999999995"/>
    <n v="3"/>
    <x v="0"/>
    <n v="418.9"/>
    <n v="335.12"/>
    <n v="0"/>
    <m/>
    <m/>
    <n v="418.9"/>
    <n v="0"/>
    <n v="76403"/>
  </r>
  <r>
    <x v="3"/>
    <m/>
    <s v="Børnehuset Åkanden / Skovbo Skovbovænget 75"/>
    <n v="9977"/>
    <m/>
    <s v="Åkanden/Skovbo"/>
    <x v="23"/>
    <x v="0"/>
    <x v="7"/>
    <n v="17402.560000000001"/>
    <n v="12"/>
    <s v="2010-06-30"/>
    <n v="0"/>
    <n v="487"/>
    <n v="35.726872999999998"/>
    <n v="2"/>
    <x v="2"/>
    <n v="17402.560000000001"/>
    <n v="5220.7700000000004"/>
    <n v="0"/>
    <m/>
    <s v="74112335858"/>
    <n v="17402.569"/>
    <n v="0"/>
    <n v="76402"/>
  </r>
  <r>
    <x v="6"/>
    <s v="02576-3"/>
    <s v="Solvangskolen Pedelbolig, Nord 60"/>
    <n v="6369"/>
    <m/>
    <s v="Solvangskolen Pedelbolig"/>
    <x v="52"/>
    <x v="0"/>
    <x v="7"/>
    <n v="14289.14"/>
    <n v="12"/>
    <s v="2013-05-07"/>
    <n v="0"/>
    <n v="110"/>
    <n v="129.783287"/>
    <n v="1"/>
    <x v="4"/>
    <n v="16994.47"/>
    <n v="3594"/>
    <n v="0"/>
    <s v="1129273"/>
    <s v="98001998845"/>
    <n v="1323.07"/>
    <n v="0"/>
    <n v="62719"/>
  </r>
  <r>
    <x v="3"/>
    <m/>
    <s v="Dalgården, Dalsø 107-109"/>
    <n v="10018"/>
    <m/>
    <s v="Dalgården"/>
    <x v="24"/>
    <x v="0"/>
    <x v="7"/>
    <n v="433"/>
    <n v="12"/>
    <s v="2010-01-31"/>
    <n v="0"/>
    <n v="838"/>
    <n v="0.51664399999999999"/>
    <n v="3"/>
    <x v="0"/>
    <n v="433"/>
    <n v="346.4"/>
    <n v="0"/>
    <s v="02pc5012--"/>
    <m/>
    <n v="433"/>
    <n v="0"/>
    <n v="76529"/>
  </r>
  <r>
    <x v="3"/>
    <m/>
    <s v="Dalgården, Dalsø 107-109"/>
    <n v="10018"/>
    <m/>
    <s v="Dalgården"/>
    <x v="24"/>
    <x v="0"/>
    <x v="7"/>
    <n v="21867.759999999998"/>
    <n v="12"/>
    <m/>
    <n v="0"/>
    <n v="838"/>
    <n v="26.092065000000002"/>
    <n v="2"/>
    <x v="2"/>
    <n v="21867.759999999998"/>
    <n v="6560.33"/>
    <n v="0"/>
    <s v="49491"/>
    <s v="74110486026"/>
    <n v="21867.766"/>
    <n v="0"/>
    <n v="90991"/>
  </r>
  <r>
    <x v="9"/>
    <s v="06157-9"/>
    <s v="Furesøbad"/>
    <n v="6031"/>
    <m/>
    <s v="Manuel aflæsning"/>
    <x v="53"/>
    <x v="0"/>
    <x v="7"/>
    <n v="14533.84"/>
    <n v="5"/>
    <s v="2015-05-05"/>
    <n v="0"/>
    <n v="0"/>
    <n v="145338.4"/>
    <n v="1"/>
    <x v="4"/>
    <n v="16495.810000000001"/>
    <n v="3488.55"/>
    <n v="1"/>
    <s v="-1528401"/>
    <m/>
    <n v="1345.72666"/>
    <n v="0"/>
    <n v="60685"/>
  </r>
  <r>
    <x v="3"/>
    <s v="04730-9"/>
    <s v="Drivhuset Hvilebæksgårdsvej 17"/>
    <n v="5486"/>
    <m/>
    <s v="Drivhuset"/>
    <x v="25"/>
    <x v="0"/>
    <x v="7"/>
    <n v="-4.8099999999999996"/>
    <n v="12"/>
    <s v="2005-05-01"/>
    <n v="0"/>
    <n v="417"/>
    <n v="-1.1532000000000001E-2"/>
    <n v="3"/>
    <x v="0"/>
    <n v="-4.8099999999999996"/>
    <n v="-3.89"/>
    <n v="0"/>
    <s v="3090080"/>
    <m/>
    <n v="-4.8490000000000002"/>
    <n v="0"/>
    <n v="57985"/>
  </r>
  <r>
    <x v="3"/>
    <s v="04730-9"/>
    <s v="Drivhuset Hvilebæksgårdsvej 17"/>
    <n v="5486"/>
    <m/>
    <s v="Drivhuset"/>
    <x v="25"/>
    <x v="0"/>
    <x v="7"/>
    <n v="313.75"/>
    <n v="12"/>
    <s v="2005-05-01"/>
    <n v="0"/>
    <n v="417"/>
    <n v="0.75221700000000002"/>
    <n v="3"/>
    <x v="0"/>
    <n v="313.75"/>
    <n v="250.99"/>
    <n v="0"/>
    <s v="03485049"/>
    <m/>
    <n v="313.74700000000001"/>
    <n v="0"/>
    <n v="60151"/>
  </r>
  <r>
    <x v="3"/>
    <s v="04730-9"/>
    <s v="Drivhuset Hvilebæksgårdsvej 17"/>
    <n v="5486"/>
    <m/>
    <s v="Drivhuset"/>
    <x v="25"/>
    <x v="0"/>
    <x v="7"/>
    <n v="33659"/>
    <n v="12"/>
    <s v="2005-05-01"/>
    <n v="0"/>
    <n v="417"/>
    <n v="80.697674000000006"/>
    <n v="1"/>
    <x v="1"/>
    <n v="39974.5"/>
    <n v="2824541.41"/>
    <n v="0"/>
    <s v="4824615"/>
    <m/>
    <n v="33659"/>
    <n v="0"/>
    <n v="57986"/>
  </r>
  <r>
    <x v="3"/>
    <s v="04730-9"/>
    <s v="Drivhuset Hvilebæksgårdsvej 17"/>
    <n v="5486"/>
    <m/>
    <s v="Drivhuset"/>
    <x v="25"/>
    <x v="0"/>
    <x v="7"/>
    <n v="11429.03"/>
    <n v="12"/>
    <s v="2005-05-01"/>
    <n v="0"/>
    <n v="417"/>
    <n v="27.401174000000001"/>
    <n v="2"/>
    <x v="2"/>
    <n v="11429.03"/>
    <n v="4571.62"/>
    <n v="0"/>
    <s v="72002"/>
    <s v="74111841077"/>
    <n v="11429.038200000001"/>
    <n v="0"/>
    <n v="57981"/>
  </r>
  <r>
    <x v="3"/>
    <s v="04730-9"/>
    <s v="Drivhuset Hvilebæksgårdsvej 17"/>
    <n v="5486"/>
    <m/>
    <s v="Drivhuset"/>
    <x v="25"/>
    <x v="1"/>
    <x v="7"/>
    <n v="26308.45"/>
    <n v="12"/>
    <m/>
    <n v="0"/>
    <n v="417"/>
    <n v="63.074682000000003"/>
    <n v="1"/>
    <x v="3"/>
    <n v="31181.97"/>
    <n v="63372.480000000003"/>
    <n v="1"/>
    <s v="4824615"/>
    <m/>
    <n v="754.04"/>
    <n v="0"/>
    <n v="57988"/>
  </r>
  <r>
    <x v="3"/>
    <m/>
    <s v="Espebo Børnecenter"/>
    <n v="10058"/>
    <m/>
    <s v="Espebo Børnecenter"/>
    <x v="26"/>
    <x v="0"/>
    <x v="7"/>
    <n v="911.7"/>
    <n v="12"/>
    <s v="2010-08-30"/>
    <n v="0"/>
    <n v="692"/>
    <n v="1.3172950000000001"/>
    <n v="3"/>
    <x v="0"/>
    <n v="911.7"/>
    <n v="729.36"/>
    <n v="0"/>
    <m/>
    <m/>
    <n v="911.69997999999998"/>
    <n v="0"/>
    <n v="76685"/>
  </r>
  <r>
    <x v="3"/>
    <m/>
    <s v="Espebo Børnecenter"/>
    <n v="10058"/>
    <m/>
    <s v="Espebo Børnecenter"/>
    <x v="26"/>
    <x v="0"/>
    <x v="7"/>
    <n v="55763"/>
    <n v="12"/>
    <s v="2012-08-01"/>
    <n v="0"/>
    <n v="692"/>
    <n v="80.570725999999993"/>
    <n v="1"/>
    <x v="1"/>
    <n v="65902.320000000007"/>
    <n v="4217.76"/>
    <n v="0"/>
    <s v="7260018"/>
    <m/>
    <n v="55762.999900000003"/>
    <n v="0"/>
    <n v="76686"/>
  </r>
  <r>
    <x v="3"/>
    <m/>
    <s v="Espebo Børnecenter"/>
    <n v="10058"/>
    <m/>
    <s v="Espebo Børnecenter"/>
    <x v="26"/>
    <x v="0"/>
    <x v="7"/>
    <n v="17555.98"/>
    <n v="12"/>
    <s v="2010-10-31"/>
    <n v="0"/>
    <n v="692"/>
    <n v="25.366247000000001"/>
    <n v="2"/>
    <x v="2"/>
    <n v="17555.98"/>
    <n v="5266.79"/>
    <n v="0"/>
    <m/>
    <s v="74111889819"/>
    <n v="17555.982"/>
    <n v="0"/>
    <n v="76684"/>
  </r>
  <r>
    <x v="3"/>
    <s v="04859-3"/>
    <s v="Bakkehuset, Hvilebækgårdsvej 5"/>
    <n v="5244"/>
    <m/>
    <s v="Bakkehuset"/>
    <x v="16"/>
    <x v="0"/>
    <x v="0"/>
    <n v="30353"/>
    <n v="5"/>
    <s v="2005-09-20"/>
    <n v="0"/>
    <n v="560"/>
    <n v="30.976610999999998"/>
    <n v="1"/>
    <x v="1"/>
    <n v="35282"/>
    <n v="3637736.4"/>
    <n v="0"/>
    <s v="4813499"/>
    <m/>
    <n v="17350"/>
    <n v="0"/>
    <n v="56614"/>
  </r>
  <r>
    <x v="3"/>
    <s v="04859-3"/>
    <s v="Bakkehuset, Hvilebækgårdsvej 5"/>
    <n v="5244"/>
    <m/>
    <s v="Bakkehuset"/>
    <x v="16"/>
    <x v="1"/>
    <x v="0"/>
    <n v="14736.84"/>
    <n v="5"/>
    <s v="2005-09-20"/>
    <n v="0"/>
    <n v="560"/>
    <n v="26.311087000000001"/>
    <n v="1"/>
    <x v="3"/>
    <n v="16579.490000000002"/>
    <n v="87910.74"/>
    <n v="1"/>
    <s v="4813499"/>
    <m/>
    <n v="422.38"/>
    <n v="0"/>
    <n v="56993"/>
  </r>
  <r>
    <x v="3"/>
    <s v="04859-3"/>
    <s v="Bakkehuset, Hvilebækgårdsvej 5"/>
    <n v="5244"/>
    <m/>
    <s v="Bakkehuset"/>
    <x v="16"/>
    <x v="0"/>
    <x v="1"/>
    <n v="41148"/>
    <n v="12"/>
    <s v="2005-09-20"/>
    <n v="0"/>
    <n v="560"/>
    <n v="73.465451999999999"/>
    <n v="1"/>
    <x v="1"/>
    <n v="42755.66"/>
    <n v="7909.79"/>
    <n v="0"/>
    <s v="4813499"/>
    <m/>
    <n v="41148"/>
    <n v="0"/>
    <n v="56614"/>
  </r>
  <r>
    <x v="3"/>
    <s v="04859-3"/>
    <s v="Bakkehuset, Hvilebækgårdsvej 5"/>
    <n v="5244"/>
    <m/>
    <s v="Bakkehuset"/>
    <x v="16"/>
    <x v="1"/>
    <x v="1"/>
    <n v="38466.04"/>
    <n v="12"/>
    <s v="2005-09-20"/>
    <n v="0"/>
    <n v="560"/>
    <n v="68.677092999999999"/>
    <n v="1"/>
    <x v="3"/>
    <n v="40112.53"/>
    <n v="212.69"/>
    <n v="1"/>
    <s v="4813499"/>
    <m/>
    <n v="1102.4949999999999"/>
    <n v="0"/>
    <n v="56993"/>
  </r>
  <r>
    <x v="3"/>
    <s v="04859-3"/>
    <s v="Bakkehuset, Hvilebækgårdsvej 5"/>
    <n v="5244"/>
    <m/>
    <s v="Bakkehuset"/>
    <x v="16"/>
    <x v="0"/>
    <x v="2"/>
    <n v="41133"/>
    <n v="12"/>
    <s v="2005-09-20"/>
    <n v="0"/>
    <n v="560"/>
    <n v="73.438670999999999"/>
    <n v="1"/>
    <x v="1"/>
    <n v="43088.33"/>
    <n v="7971.36"/>
    <n v="0"/>
    <s v="4813499"/>
    <m/>
    <n v="41133"/>
    <n v="0"/>
    <n v="56614"/>
  </r>
  <r>
    <x v="3"/>
    <s v="04859-3"/>
    <s v="Bakkehuset, Hvilebækgårdsvej 5"/>
    <n v="5244"/>
    <m/>
    <s v="Bakkehuset"/>
    <x v="16"/>
    <x v="1"/>
    <x v="2"/>
    <n v="40856.71"/>
    <n v="12"/>
    <s v="2005-09-20"/>
    <n v="0"/>
    <n v="560"/>
    <n v="72.945384000000004"/>
    <n v="1"/>
    <x v="3"/>
    <n v="42838.54"/>
    <n v="227.17"/>
    <n v="1"/>
    <s v="4813499"/>
    <m/>
    <n v="1171.0150000000001"/>
    <n v="0"/>
    <n v="56993"/>
  </r>
  <r>
    <x v="3"/>
    <s v="04859-3"/>
    <s v="Bakkehuset, Hvilebækgårdsvej 5"/>
    <n v="5244"/>
    <m/>
    <s v="Bakkehuset"/>
    <x v="16"/>
    <x v="0"/>
    <x v="3"/>
    <n v="37893"/>
    <n v="12"/>
    <s v="2005-09-20"/>
    <n v="0"/>
    <n v="560"/>
    <n v="67.653989999999993"/>
    <n v="1"/>
    <x v="1"/>
    <n v="41110.04"/>
    <n v="7605.35"/>
    <n v="0"/>
    <s v="4813499"/>
    <m/>
    <n v="37893"/>
    <n v="0"/>
    <n v="56614"/>
  </r>
  <r>
    <x v="3"/>
    <s v="04859-3"/>
    <s v="Bakkehuset, Hvilebækgårdsvej 5"/>
    <n v="5244"/>
    <m/>
    <s v="Bakkehuset"/>
    <x v="16"/>
    <x v="1"/>
    <x v="3"/>
    <n v="38109.99"/>
    <n v="12"/>
    <s v="2005-09-20"/>
    <n v="0"/>
    <n v="560"/>
    <n v="68.041403000000003"/>
    <n v="1"/>
    <x v="3"/>
    <n v="41629.67"/>
    <n v="220.74"/>
    <n v="1"/>
    <s v="4813499"/>
    <m/>
    <n v="1092.29"/>
    <n v="0"/>
    <n v="56993"/>
  </r>
  <r>
    <x v="3"/>
    <s v="04859-3"/>
    <s v="Bakkehuset, Hvilebækgårdsvej 5"/>
    <n v="5244"/>
    <m/>
    <s v="Bakkehuset"/>
    <x v="16"/>
    <x v="0"/>
    <x v="4"/>
    <n v="50296"/>
    <n v="12"/>
    <s v="2005-09-20"/>
    <n v="0"/>
    <n v="560"/>
    <n v="89.798249999999996"/>
    <n v="1"/>
    <x v="1"/>
    <n v="45916.34"/>
    <n v="8494.52"/>
    <n v="0"/>
    <s v="4813499"/>
    <m/>
    <n v="50296"/>
    <n v="0"/>
    <n v="56614"/>
  </r>
  <r>
    <x v="3"/>
    <s v="04859-3"/>
    <s v="Bakkehuset, Hvilebækgårdsvej 5"/>
    <n v="5244"/>
    <m/>
    <s v="Bakkehuset"/>
    <x v="16"/>
    <x v="1"/>
    <x v="4"/>
    <n v="51497.29"/>
    <n v="12"/>
    <s v="2005-09-20"/>
    <n v="0"/>
    <n v="560"/>
    <n v="91.943027999999998"/>
    <n v="1"/>
    <x v="3"/>
    <n v="47250.37"/>
    <n v="250.55"/>
    <n v="1"/>
    <s v="4813499"/>
    <m/>
    <n v="1475.99"/>
    <n v="0"/>
    <n v="56993"/>
  </r>
  <r>
    <x v="3"/>
    <s v="04859-3"/>
    <s v="Bakkehuset, Hvilebækgårdsvej 5"/>
    <n v="5244"/>
    <m/>
    <s v="Bakkehuset"/>
    <x v="16"/>
    <x v="0"/>
    <x v="5"/>
    <n v="42437"/>
    <n v="12"/>
    <s v="2005-09-20"/>
    <n v="0"/>
    <n v="560"/>
    <n v="75.766827000000006"/>
    <n v="1"/>
    <x v="1"/>
    <n v="44465.760000000002"/>
    <n v="8226.18"/>
    <n v="0"/>
    <s v="4813499"/>
    <m/>
    <n v="42437"/>
    <n v="0"/>
    <n v="56614"/>
  </r>
  <r>
    <x v="3"/>
    <s v="04859-3"/>
    <s v="Bakkehuset, Hvilebækgårdsvej 5"/>
    <n v="5244"/>
    <m/>
    <s v="Bakkehuset"/>
    <x v="16"/>
    <x v="1"/>
    <x v="5"/>
    <n v="44488.59"/>
    <n v="12"/>
    <s v="2005-09-20"/>
    <n v="0"/>
    <n v="560"/>
    <n v="79.429726000000002"/>
    <n v="1"/>
    <x v="3"/>
    <n v="48056.92"/>
    <n v="254.82"/>
    <n v="1"/>
    <s v="4813499"/>
    <m/>
    <n v="1275.1099999999999"/>
    <n v="0"/>
    <n v="56993"/>
  </r>
  <r>
    <x v="3"/>
    <s v="04859-3"/>
    <s v="Bakkehuset, Hvilebækgårdsvej 5"/>
    <n v="5244"/>
    <m/>
    <s v="Bakkehuset"/>
    <x v="16"/>
    <x v="0"/>
    <x v="6"/>
    <n v="39623"/>
    <n v="12"/>
    <s v="2005-09-20"/>
    <n v="0"/>
    <n v="560"/>
    <n v="70.742723999999995"/>
    <n v="1"/>
    <x v="1"/>
    <n v="45206.34"/>
    <n v="8363.17"/>
    <n v="0"/>
    <s v="4813499"/>
    <m/>
    <n v="39623"/>
    <n v="0"/>
    <n v="56614"/>
  </r>
  <r>
    <x v="3"/>
    <s v="04859-3"/>
    <s v="Bakkehuset, Hvilebækgårdsvej 5"/>
    <n v="5244"/>
    <m/>
    <s v="Bakkehuset"/>
    <x v="16"/>
    <x v="1"/>
    <x v="6"/>
    <n v="39489.919999999998"/>
    <n v="12"/>
    <s v="2005-09-20"/>
    <n v="0"/>
    <n v="560"/>
    <n v="70.505123999999995"/>
    <n v="1"/>
    <x v="3"/>
    <n v="44827.18"/>
    <n v="237.68"/>
    <n v="1"/>
    <s v="4813499"/>
    <m/>
    <n v="1131.8399999999999"/>
    <n v="0"/>
    <n v="56993"/>
  </r>
  <r>
    <x v="3"/>
    <m/>
    <s v="Bavnebo"/>
    <n v="9965"/>
    <m/>
    <s v="Bavnebo"/>
    <x v="17"/>
    <x v="0"/>
    <x v="0"/>
    <n v="55520"/>
    <n v="5"/>
    <s v="2010-10-31"/>
    <n v="0"/>
    <n v="715"/>
    <n v="44.091735"/>
    <n v="1"/>
    <x v="5"/>
    <n v="62951"/>
    <n v="2277.6999999999998"/>
    <n v="0"/>
    <m/>
    <m/>
    <n v="31.53"/>
    <n v="0"/>
    <n v="76374"/>
  </r>
  <r>
    <x v="3"/>
    <m/>
    <s v="Bavnebo"/>
    <n v="9965"/>
    <m/>
    <s v="Bavnebo"/>
    <x v="17"/>
    <x v="0"/>
    <x v="1"/>
    <n v="63760"/>
    <n v="12"/>
    <s v="2010-10-31"/>
    <n v="0"/>
    <n v="715"/>
    <n v="89.162353999999993"/>
    <n v="1"/>
    <x v="5"/>
    <n v="66574.94"/>
    <n v="4260.79"/>
    <n v="0"/>
    <m/>
    <m/>
    <n v="63.76"/>
    <n v="0"/>
    <n v="76374"/>
  </r>
  <r>
    <x v="3"/>
    <m/>
    <s v="Bavnebo"/>
    <n v="9965"/>
    <m/>
    <s v="Bavnebo"/>
    <x v="17"/>
    <x v="0"/>
    <x v="2"/>
    <n v="61850"/>
    <n v="12"/>
    <s v="2010-10-31"/>
    <n v="0"/>
    <n v="715"/>
    <n v="86.491399000000001"/>
    <n v="1"/>
    <x v="5"/>
    <n v="64952.71"/>
    <n v="12016.26"/>
    <n v="0"/>
    <m/>
    <m/>
    <n v="61.85"/>
    <n v="0"/>
    <n v="76374"/>
  </r>
  <r>
    <x v="3"/>
    <m/>
    <s v="Bavnebo"/>
    <n v="9965"/>
    <m/>
    <s v="Bavnebo"/>
    <x v="17"/>
    <x v="0"/>
    <x v="3"/>
    <n v="75940"/>
    <n v="12"/>
    <s v="2010-10-31"/>
    <n v="0"/>
    <n v="715"/>
    <n v="106.194937"/>
    <n v="1"/>
    <x v="5"/>
    <n v="83300.929999999993"/>
    <n v="15410.68"/>
    <n v="0"/>
    <m/>
    <m/>
    <n v="75.94"/>
    <n v="0"/>
    <n v="76374"/>
  </r>
  <r>
    <x v="3"/>
    <m/>
    <s v="Bavnebo"/>
    <n v="9965"/>
    <m/>
    <s v="Bavnebo"/>
    <x v="17"/>
    <x v="0"/>
    <x v="4"/>
    <n v="94808.36"/>
    <n v="5"/>
    <s v="2010-10-31"/>
    <n v="0"/>
    <n v="715"/>
    <n v="132.58056199999999"/>
    <n v="1"/>
    <x v="5"/>
    <n v="120166.53"/>
    <n v="22230.81"/>
    <n v="0"/>
    <m/>
    <m/>
    <n v="94.808359999999993"/>
    <n v="0"/>
    <n v="76374"/>
  </r>
  <r>
    <x v="3"/>
    <m/>
    <s v="Bavnebo"/>
    <n v="9965"/>
    <m/>
    <s v="Bavnebo"/>
    <x v="17"/>
    <x v="0"/>
    <x v="5"/>
    <n v="91735.94"/>
    <n v="5"/>
    <s v="2010-10-31"/>
    <n v="0"/>
    <n v="715"/>
    <n v="128.28407200000001"/>
    <n v="1"/>
    <x v="5"/>
    <n v="123942.38"/>
    <n v="22929.34"/>
    <n v="0"/>
    <m/>
    <m/>
    <n v="91.735939999999999"/>
    <n v="0"/>
    <n v="76374"/>
  </r>
  <r>
    <x v="3"/>
    <m/>
    <s v="Bavnebo"/>
    <n v="9965"/>
    <m/>
    <s v="Bavnebo"/>
    <x v="17"/>
    <x v="0"/>
    <x v="6"/>
    <n v="70326.37"/>
    <n v="5"/>
    <s v="2010-10-31"/>
    <n v="0"/>
    <n v="715"/>
    <n v="98.344803999999996"/>
    <n v="1"/>
    <x v="5"/>
    <n v="83087.899999999994"/>
    <n v="15371.26"/>
    <n v="0"/>
    <m/>
    <m/>
    <n v="70.326369999999997"/>
    <n v="0"/>
    <n v="76374"/>
  </r>
  <r>
    <x v="3"/>
    <s v="004757-0"/>
    <s v="Bifrost Nordtoftevej 56c"/>
    <n v="5251"/>
    <m/>
    <s v="Bifrost"/>
    <x v="18"/>
    <x v="0"/>
    <x v="0"/>
    <n v="48962"/>
    <n v="5"/>
    <s v="2014-04-30"/>
    <n v="0"/>
    <n v="375"/>
    <n v="64.633857000000006"/>
    <n v="1"/>
    <x v="4"/>
    <n v="57450"/>
    <n v="5674.72"/>
    <n v="0"/>
    <s v="1203721"/>
    <s v="98004825483"/>
    <n v="2244.83"/>
    <n v="0"/>
    <n v="56681"/>
  </r>
  <r>
    <x v="3"/>
    <s v="03971-3"/>
    <s v="Farum Vejgård, Stavnsholtvej 170"/>
    <n v="5428"/>
    <m/>
    <s v="Farum Vejgård"/>
    <x v="27"/>
    <x v="0"/>
    <x v="7"/>
    <n v="438.16"/>
    <n v="12"/>
    <s v="2013-05-07"/>
    <n v="0"/>
    <n v="679"/>
    <n v="0.64520599999999995"/>
    <n v="3"/>
    <x v="0"/>
    <n v="438.16"/>
    <n v="350.55"/>
    <n v="0"/>
    <s v="4093459"/>
    <m/>
    <n v="438.18"/>
    <n v="0"/>
    <n v="57404"/>
  </r>
  <r>
    <x v="3"/>
    <s v="03971-3"/>
    <s v="Farum Vejgård, Stavnsholtvej 170"/>
    <n v="5428"/>
    <m/>
    <s v="Farum Vejgård"/>
    <x v="28"/>
    <x v="0"/>
    <x v="7"/>
    <n v="2014.13"/>
    <n v="12"/>
    <s v="2005-05-01"/>
    <n v="0"/>
    <n v="679"/>
    <n v="2.965881"/>
    <n v="2"/>
    <x v="2"/>
    <n v="2014.13"/>
    <n v="805.67"/>
    <n v="0"/>
    <s v="1011580 (2)"/>
    <m/>
    <n v="2014.13"/>
    <n v="0"/>
    <n v="57564"/>
  </r>
  <r>
    <x v="3"/>
    <s v="004757-0"/>
    <s v="Bifrost Nordtoftevej 56c"/>
    <n v="5251"/>
    <m/>
    <s v="Bifrost"/>
    <x v="18"/>
    <x v="0"/>
    <x v="1"/>
    <n v="111889.04"/>
    <n v="3"/>
    <s v="2014-04-30"/>
    <n v="0"/>
    <n v="375"/>
    <n v="298.29122899999999"/>
    <n v="1"/>
    <x v="4"/>
    <n v="142602.53"/>
    <n v="30157.79"/>
    <n v="0"/>
    <s v="1203721"/>
    <s v="98004825483"/>
    <n v="10360.09504"/>
    <n v="0"/>
    <n v="56681"/>
  </r>
  <r>
    <x v="3"/>
    <s v="004757-0"/>
    <s v="Bifrost Nordtoftevej 56c"/>
    <n v="5251"/>
    <m/>
    <s v="Bifrost"/>
    <x v="18"/>
    <x v="0"/>
    <x v="1"/>
    <n v="85364.91"/>
    <n v="5"/>
    <s v="2014-05-19"/>
    <n v="0"/>
    <n v="375"/>
    <n v="227.579072"/>
    <n v="1"/>
    <x v="4"/>
    <n v="120575.91"/>
    <n v="25499.57"/>
    <n v="1"/>
    <s v="Kontrol"/>
    <m/>
    <n v="7904.1583600000004"/>
    <n v="0"/>
    <n v="94892"/>
  </r>
  <r>
    <x v="3"/>
    <s v="004757-0"/>
    <s v="Bifrost Nordtoftevej 56c"/>
    <n v="5251"/>
    <m/>
    <s v="Bifrost"/>
    <x v="18"/>
    <x v="0"/>
    <x v="2"/>
    <n v="121531.83"/>
    <n v="3"/>
    <s v="2014-04-30"/>
    <n v="0"/>
    <n v="375"/>
    <n v="323.99847999999997"/>
    <n v="1"/>
    <x v="4"/>
    <n v="138576"/>
    <n v="29306.240000000002"/>
    <n v="0"/>
    <s v="1203721"/>
    <s v="98004825483"/>
    <n v="11252.945739999999"/>
    <n v="0"/>
    <n v="56681"/>
  </r>
  <r>
    <x v="3"/>
    <s v="004757-0"/>
    <s v="Bifrost Nordtoftevej 56c"/>
    <n v="5251"/>
    <m/>
    <s v="Bifrost"/>
    <x v="18"/>
    <x v="0"/>
    <x v="2"/>
    <n v="102134.57"/>
    <n v="0"/>
    <s v="2014-05-19"/>
    <n v="0"/>
    <n v="375"/>
    <n v="272.28624300000001"/>
    <n v="1"/>
    <x v="4"/>
    <n v="113372.44"/>
    <n v="23976.18"/>
    <n v="1"/>
    <s v="Kontrol"/>
    <m/>
    <n v="9456.9036500000002"/>
    <n v="0"/>
    <n v="94892"/>
  </r>
  <r>
    <x v="3"/>
    <s v="004757-0"/>
    <s v="Bifrost Nordtoftevej 56c"/>
    <n v="5251"/>
    <m/>
    <s v="Bifrost"/>
    <x v="18"/>
    <x v="0"/>
    <x v="3"/>
    <n v="49130.55"/>
    <n v="3"/>
    <s v="2014-04-30"/>
    <n v="0"/>
    <n v="375"/>
    <n v="130.979872"/>
    <n v="1"/>
    <x v="4"/>
    <n v="56448.46"/>
    <n v="11937.81"/>
    <n v="0"/>
    <s v="1203721"/>
    <s v="98004825483"/>
    <n v="4549.1273499999998"/>
    <n v="0"/>
    <n v="56681"/>
  </r>
  <r>
    <x v="3"/>
    <s v="004757-0"/>
    <s v="Bifrost Nordtoftevej 56c"/>
    <n v="5251"/>
    <m/>
    <s v="Bifrost"/>
    <x v="18"/>
    <x v="0"/>
    <x v="3"/>
    <n v="95262.75"/>
    <n v="1"/>
    <s v="2014-05-19"/>
    <n v="0"/>
    <n v="375"/>
    <n v="253.966275"/>
    <n v="1"/>
    <x v="4"/>
    <n v="111653.7"/>
    <n v="23612.7"/>
    <n v="1"/>
    <s v="Kontrol"/>
    <m/>
    <n v="8820.6249499999994"/>
    <n v="0"/>
    <n v="94892"/>
  </r>
  <r>
    <x v="3"/>
    <s v="004757-0"/>
    <s v="Bifrost Nordtoftevej 56c"/>
    <n v="5251"/>
    <m/>
    <s v="Bifrost"/>
    <x v="18"/>
    <x v="0"/>
    <x v="4"/>
    <n v="79859.55"/>
    <n v="1"/>
    <s v="2014-04-30"/>
    <n v="0"/>
    <n v="375"/>
    <n v="212.90202600000001"/>
    <n v="1"/>
    <x v="4"/>
    <n v="105172.58"/>
    <n v="22242.04"/>
    <n v="0"/>
    <s v="1203721"/>
    <s v="98004825483"/>
    <n v="7394.4022000000004"/>
    <n v="0"/>
    <n v="56681"/>
  </r>
  <r>
    <x v="3"/>
    <s v="004757-0"/>
    <s v="Bifrost Nordtoftevej 56c"/>
    <n v="5251"/>
    <m/>
    <s v="Bifrost"/>
    <x v="18"/>
    <x v="0"/>
    <x v="4"/>
    <n v="79899.67"/>
    <n v="1"/>
    <s v="2014-05-19"/>
    <n v="0"/>
    <n v="375"/>
    <n v="213.008984"/>
    <n v="1"/>
    <x v="4"/>
    <n v="105446.46"/>
    <n v="22299.97"/>
    <n v="1"/>
    <s v="Kontrol"/>
    <m/>
    <n v="7398.12086"/>
    <n v="0"/>
    <n v="94892"/>
  </r>
  <r>
    <x v="3"/>
    <s v="004757-0"/>
    <s v="Bifrost Nordtoftevej 56c"/>
    <n v="5251"/>
    <m/>
    <s v="Bifrost"/>
    <x v="18"/>
    <x v="0"/>
    <x v="5"/>
    <n v="78080.23"/>
    <n v="1"/>
    <s v="2014-04-30"/>
    <n v="0"/>
    <n v="375"/>
    <n v="208.15843699999999"/>
    <n v="1"/>
    <x v="4"/>
    <n v="112439.13"/>
    <n v="23778.799999999999"/>
    <n v="0"/>
    <s v="1203721"/>
    <s v="98004825483"/>
    <n v="7229.6479399999998"/>
    <n v="0"/>
    <n v="56681"/>
  </r>
  <r>
    <x v="3"/>
    <s v="004757-0"/>
    <s v="Bifrost Nordtoftevej 56c"/>
    <n v="5251"/>
    <m/>
    <s v="Bifrost"/>
    <x v="18"/>
    <x v="0"/>
    <x v="5"/>
    <n v="77666.149999999994"/>
    <n v="1"/>
    <s v="2014-05-19"/>
    <n v="0"/>
    <n v="375"/>
    <n v="207.054518"/>
    <n v="1"/>
    <x v="4"/>
    <n v="111769.44"/>
    <n v="23637.16"/>
    <n v="1"/>
    <s v="Kontrol"/>
    <m/>
    <n v="7191.3100899999999"/>
    <n v="0"/>
    <n v="94892"/>
  </r>
  <r>
    <x v="3"/>
    <s v="004757-0"/>
    <s v="Bifrost Nordtoftevej 56c"/>
    <n v="5251"/>
    <m/>
    <s v="Bifrost"/>
    <x v="18"/>
    <x v="0"/>
    <x v="6"/>
    <n v="89296.03"/>
    <n v="1"/>
    <s v="2014-04-30"/>
    <n v="0"/>
    <n v="375"/>
    <n v="238.05926400000001"/>
    <n v="1"/>
    <x v="4"/>
    <n v="111833.93"/>
    <n v="23650.799999999999"/>
    <n v="0"/>
    <s v="1203721"/>
    <s v="98004825483"/>
    <n v="8268.1485799999991"/>
    <n v="0"/>
    <n v="56681"/>
  </r>
  <r>
    <x v="3"/>
    <s v="004757-0"/>
    <s v="Bifrost Nordtoftevej 56c"/>
    <n v="5251"/>
    <m/>
    <s v="Bifrost"/>
    <x v="18"/>
    <x v="0"/>
    <x v="6"/>
    <n v="82206.98"/>
    <n v="1"/>
    <s v="2014-05-19"/>
    <n v="0"/>
    <n v="375"/>
    <n v="219.16016999999999"/>
    <n v="1"/>
    <x v="4"/>
    <n v="103625.34"/>
    <n v="21914.83"/>
    <n v="1"/>
    <s v="Kontrol"/>
    <m/>
    <n v="7611.75533"/>
    <n v="0"/>
    <n v="94892"/>
  </r>
  <r>
    <x v="3"/>
    <m/>
    <s v="Birkedal Børnehus, Kollekolle 75"/>
    <n v="9980"/>
    <m/>
    <s v="Birkedal Børnehus"/>
    <x v="14"/>
    <x v="0"/>
    <x v="0"/>
    <n v="128392"/>
    <n v="5"/>
    <m/>
    <n v="0"/>
    <n v="961"/>
    <n v="71.384871000000004"/>
    <n v="1"/>
    <x v="1"/>
    <n v="145495"/>
    <n v="4915.2700000000004"/>
    <n v="0"/>
    <m/>
    <m/>
    <n v="68608.001000000004"/>
    <n v="0"/>
    <n v="93381"/>
  </r>
  <r>
    <x v="3"/>
    <m/>
    <s v="Birkedal Børnehus, Kollekolle 75"/>
    <n v="9980"/>
    <m/>
    <s v="Birkedal Børnehus"/>
    <x v="14"/>
    <x v="0"/>
    <x v="0"/>
    <n v="0"/>
    <n v="5"/>
    <s v="2010-10-31"/>
    <n v="0"/>
    <n v="961"/>
    <n v="0"/>
    <n v="1"/>
    <x v="4"/>
    <n v="0"/>
    <n v="0"/>
    <n v="0"/>
    <s v="NEDTAGET 3100633"/>
    <s v="98001314126"/>
    <n v="0"/>
    <n v="0"/>
    <n v="76422"/>
  </r>
  <r>
    <x v="3"/>
    <s v="03971-3"/>
    <s v="Farum Vejgård, Stavnsholtvej 170"/>
    <n v="5428"/>
    <m/>
    <s v="Farum Vejgård"/>
    <x v="28"/>
    <x v="0"/>
    <x v="7"/>
    <n v="17615.77"/>
    <n v="12"/>
    <s v="2005-05-01"/>
    <n v="0"/>
    <n v="679"/>
    <n v="25.939876000000002"/>
    <n v="2"/>
    <x v="2"/>
    <n v="17615.77"/>
    <n v="7046.3"/>
    <n v="0"/>
    <s v="1019188"/>
    <m/>
    <n v="17615.766"/>
    <n v="0"/>
    <n v="57402"/>
  </r>
  <r>
    <x v="3"/>
    <s v="03971-3"/>
    <s v="Farum Vejgård, Stavnsholtvej 170"/>
    <n v="5428"/>
    <m/>
    <s v="Farum Vejgård"/>
    <x v="28"/>
    <x v="0"/>
    <x v="7"/>
    <n v="6295.43"/>
    <n v="12"/>
    <s v="2005-05-01"/>
    <n v="0"/>
    <n v="679"/>
    <n v="9.2702539999999996"/>
    <n v="2"/>
    <x v="2"/>
    <n v="6295.43"/>
    <n v="2518.1799999999998"/>
    <n v="0"/>
    <s v="1004350 (1)"/>
    <m/>
    <n v="6295.43"/>
    <n v="0"/>
    <n v="57563"/>
  </r>
  <r>
    <x v="3"/>
    <m/>
    <s v="Birkedal Børnehus, Kollekolle 75"/>
    <n v="9980"/>
    <m/>
    <s v="Birkedal Børnehus"/>
    <x v="14"/>
    <x v="0"/>
    <x v="1"/>
    <n v="143436.5"/>
    <n v="12"/>
    <m/>
    <n v="0"/>
    <n v="961"/>
    <n v="149.24201400000001"/>
    <n v="1"/>
    <x v="1"/>
    <n v="150590.19"/>
    <n v="9637.77"/>
    <n v="0"/>
    <m/>
    <m/>
    <n v="143436.5"/>
    <n v="0"/>
    <n v="93381"/>
  </r>
  <r>
    <x v="3"/>
    <m/>
    <s v="Birkedal Børnehus, Kollekolle 75"/>
    <n v="9980"/>
    <m/>
    <s v="Birkedal Børnehus"/>
    <x v="14"/>
    <x v="0"/>
    <x v="1"/>
    <n v="0"/>
    <n v="12"/>
    <s v="2010-10-31"/>
    <n v="0"/>
    <n v="961"/>
    <n v="0"/>
    <n v="1"/>
    <x v="4"/>
    <n v="0"/>
    <n v="0"/>
    <n v="0"/>
    <s v="NEDTAGET 3100633"/>
    <s v="98001314126"/>
    <n v="0"/>
    <n v="0"/>
    <n v="76422"/>
  </r>
  <r>
    <x v="3"/>
    <m/>
    <s v="Birkedal Børnehus, Kollekolle 75"/>
    <n v="9980"/>
    <m/>
    <s v="Birkedal Børnehus"/>
    <x v="14"/>
    <x v="0"/>
    <x v="2"/>
    <n v="122020.77"/>
    <n v="12"/>
    <s v="2010-10-31"/>
    <n v="0"/>
    <n v="961"/>
    <n v="126.95949400000001"/>
    <n v="1"/>
    <x v="4"/>
    <n v="134388.18"/>
    <n v="28420.61"/>
    <n v="0"/>
    <s v="NEDTAGET 3100633"/>
    <s v="98001314126"/>
    <n v="11298.22"/>
    <n v="0"/>
    <n v="76422"/>
  </r>
  <r>
    <x v="3"/>
    <m/>
    <s v="Birkedal Børnehus, Kollekolle 75"/>
    <n v="9980"/>
    <m/>
    <s v="Birkedal Børnehus"/>
    <x v="14"/>
    <x v="0"/>
    <x v="2"/>
    <n v="32242"/>
    <n v="2"/>
    <m/>
    <n v="0"/>
    <n v="961"/>
    <n v="33.546976999999998"/>
    <n v="1"/>
    <x v="1"/>
    <n v="31591.919999999998"/>
    <n v="2021.88"/>
    <n v="0"/>
    <m/>
    <m/>
    <n v="32242"/>
    <n v="0"/>
    <n v="93381"/>
  </r>
  <r>
    <x v="3"/>
    <m/>
    <s v="Birkedal Børnehus, Kollekolle 75"/>
    <n v="9980"/>
    <m/>
    <s v="Birkedal Børnehus"/>
    <x v="14"/>
    <x v="0"/>
    <x v="3"/>
    <n v="170714.29"/>
    <n v="12"/>
    <s v="2010-10-31"/>
    <n v="0"/>
    <n v="961"/>
    <n v="177.62385800000001"/>
    <n v="1"/>
    <x v="4"/>
    <n v="187943.47"/>
    <n v="39746.57"/>
    <n v="0"/>
    <s v="NEDTAGET 3100633"/>
    <s v="98001314126"/>
    <n v="15806.88"/>
    <n v="0"/>
    <n v="76422"/>
  </r>
  <r>
    <x v="3"/>
    <m/>
    <s v="Birkedal Børnehus, Kollekolle 75"/>
    <n v="9980"/>
    <m/>
    <s v="Birkedal Børnehus"/>
    <x v="14"/>
    <x v="0"/>
    <x v="4"/>
    <n v="211147.95"/>
    <n v="6"/>
    <s v="2010-10-31"/>
    <n v="0"/>
    <n v="961"/>
    <n v="219.69404800000001"/>
    <n v="1"/>
    <x v="4"/>
    <n v="222818.75"/>
    <n v="47122.04"/>
    <n v="0"/>
    <s v="NEDTAGET 3100633"/>
    <s v="98001314126"/>
    <n v="19550.736440000001"/>
    <n v="0"/>
    <n v="76422"/>
  </r>
  <r>
    <x v="3"/>
    <m/>
    <s v="Birkedal Børnehus, Kollekolle 75"/>
    <n v="9980"/>
    <m/>
    <s v="Birkedal Børnehus"/>
    <x v="14"/>
    <x v="0"/>
    <x v="5"/>
    <n v="149074.48000000001"/>
    <n v="7"/>
    <s v="2010-10-31"/>
    <n v="0"/>
    <n v="961"/>
    <n v="155.10818800000001"/>
    <n v="1"/>
    <x v="4"/>
    <n v="171452.15"/>
    <n v="36258.949999999997"/>
    <n v="0"/>
    <s v="NEDTAGET 3100633"/>
    <s v="98001314126"/>
    <n v="13803.19356"/>
    <n v="0"/>
    <n v="76422"/>
  </r>
  <r>
    <x v="3"/>
    <m/>
    <s v="Birkedal Børnehus, Kollekolle 75"/>
    <n v="9980"/>
    <m/>
    <s v="Birkedal Børnehus"/>
    <x v="14"/>
    <x v="0"/>
    <x v="6"/>
    <n v="183372.55"/>
    <n v="5"/>
    <s v="2010-10-31"/>
    <n v="0"/>
    <n v="961"/>
    <n v="190.794454"/>
    <n v="1"/>
    <x v="4"/>
    <n v="218050.95"/>
    <n v="46113.73"/>
    <n v="0"/>
    <s v="NEDTAGET 3100633"/>
    <s v="98001314126"/>
    <n v="16978.9375"/>
    <n v="0"/>
    <n v="76422"/>
  </r>
  <r>
    <x v="3"/>
    <s v="???"/>
    <s v="Birkhøj (Valmuen)"/>
    <n v="5278"/>
    <m/>
    <s v="Birkhøj (Valmuen)"/>
    <x v="19"/>
    <x v="0"/>
    <x v="0"/>
    <n v="54169"/>
    <n v="5"/>
    <s v="2005-09-30"/>
    <n v="0"/>
    <n v="760"/>
    <n v="40.122351999999999"/>
    <n v="1"/>
    <x v="1"/>
    <n v="62398"/>
    <n v="6343015.4500000002"/>
    <n v="0"/>
    <s v="4813498"/>
    <m/>
    <n v="30497"/>
    <n v="0"/>
    <n v="56874"/>
  </r>
  <r>
    <x v="3"/>
    <s v="???"/>
    <s v="Birkhøj (Valmuen)"/>
    <n v="5278"/>
    <m/>
    <s v="Birkhøj (Valmuen)"/>
    <x v="19"/>
    <x v="1"/>
    <x v="0"/>
    <n v="64058.75"/>
    <n v="5"/>
    <s v="2005-09-30"/>
    <n v="0"/>
    <n v="760"/>
    <n v="84.276739000000006"/>
    <n v="1"/>
    <x v="3"/>
    <n v="70414.75"/>
    <n v="373365.69"/>
    <n v="1"/>
    <s v="4813498"/>
    <m/>
    <n v="1836.02"/>
    <n v="0"/>
    <n v="56994"/>
  </r>
  <r>
    <x v="8"/>
    <m/>
    <s v="Palægården Poppel Alle 19"/>
    <n v="10238"/>
    <m/>
    <s v="Miniklub"/>
    <x v="51"/>
    <x v="0"/>
    <x v="7"/>
    <n v="15340.32"/>
    <n v="12"/>
    <s v="2010-10-31"/>
    <n v="0"/>
    <n v="0"/>
    <n v="153403.20000000001"/>
    <n v="1"/>
    <x v="4"/>
    <n v="18221.689999999999"/>
    <n v="355.99"/>
    <n v="0"/>
    <s v="176901/96"/>
    <s v="98004884589"/>
    <n v="1420.4"/>
    <n v="0"/>
    <n v="77528"/>
  </r>
  <r>
    <x v="3"/>
    <s v="???"/>
    <s v="Birkhøj (Valmuen)"/>
    <n v="5278"/>
    <m/>
    <s v="Birkhøj (Valmuen)"/>
    <x v="19"/>
    <x v="0"/>
    <x v="1"/>
    <n v="61179"/>
    <n v="12"/>
    <s v="2005-09-30"/>
    <n v="0"/>
    <n v="760"/>
    <n v="80.488093000000006"/>
    <n v="1"/>
    <x v="1"/>
    <n v="65139.77"/>
    <n v="12050.86"/>
    <n v="0"/>
    <s v="4813498"/>
    <m/>
    <n v="61179"/>
    <n v="0"/>
    <n v="56874"/>
  </r>
  <r>
    <x v="3"/>
    <s v="???"/>
    <s v="Birkhøj (Valmuen)"/>
    <n v="5278"/>
    <m/>
    <s v="Birkhøj (Valmuen)"/>
    <x v="19"/>
    <x v="1"/>
    <x v="1"/>
    <n v="149574.10999999999"/>
    <n v="12"/>
    <s v="2005-09-30"/>
    <n v="0"/>
    <n v="760"/>
    <n v="196.78214700000001"/>
    <n v="1"/>
    <x v="3"/>
    <n v="167996.17"/>
    <n v="890.79"/>
    <n v="1"/>
    <s v="4813498"/>
    <m/>
    <n v="4287.0200000000004"/>
    <n v="0"/>
    <n v="56994"/>
  </r>
  <r>
    <x v="3"/>
    <s v="???"/>
    <s v="Birkhøj (Valmuen)"/>
    <n v="5278"/>
    <m/>
    <s v="Birkhøj (Valmuen)"/>
    <x v="19"/>
    <x v="0"/>
    <x v="2"/>
    <n v="58697"/>
    <n v="12"/>
    <s v="2005-09-30"/>
    <n v="0"/>
    <n v="760"/>
    <n v="77.222733000000005"/>
    <n v="1"/>
    <x v="1"/>
    <n v="60922.75"/>
    <n v="11270.73"/>
    <n v="0"/>
    <s v="4813498"/>
    <m/>
    <n v="58697"/>
    <n v="0"/>
    <n v="56874"/>
  </r>
  <r>
    <x v="3"/>
    <s v="???"/>
    <s v="Birkhøj (Valmuen)"/>
    <n v="5278"/>
    <m/>
    <s v="Birkhøj (Valmuen)"/>
    <x v="19"/>
    <x v="1"/>
    <x v="2"/>
    <n v="122467.39"/>
    <n v="12"/>
    <s v="2005-09-30"/>
    <n v="0"/>
    <n v="760"/>
    <n v="161.120102"/>
    <n v="1"/>
    <x v="3"/>
    <n v="128926.54"/>
    <n v="683.62"/>
    <n v="1"/>
    <s v="4813498"/>
    <m/>
    <n v="3510.1"/>
    <n v="0"/>
    <n v="56994"/>
  </r>
  <r>
    <x v="3"/>
    <s v="???"/>
    <s v="Birkhøj (Valmuen)"/>
    <n v="5278"/>
    <m/>
    <s v="Birkhøj (Valmuen)"/>
    <x v="19"/>
    <x v="0"/>
    <x v="3"/>
    <n v="54662"/>
    <n v="12"/>
    <s v="2005-09-30"/>
    <n v="0"/>
    <n v="760"/>
    <n v="71.914220999999998"/>
    <n v="1"/>
    <x v="1"/>
    <n v="58853.81"/>
    <n v="10887.94"/>
    <n v="0"/>
    <s v="4813498"/>
    <m/>
    <n v="54662"/>
    <n v="0"/>
    <n v="56874"/>
  </r>
  <r>
    <x v="3"/>
    <s v="???"/>
    <s v="Birkhøj (Valmuen)"/>
    <n v="5278"/>
    <m/>
    <s v="Birkhøj (Valmuen)"/>
    <x v="19"/>
    <x v="1"/>
    <x v="3"/>
    <n v="146237.6"/>
    <n v="12"/>
    <s v="2005-09-30"/>
    <n v="0"/>
    <n v="760"/>
    <n v="192.39257900000001"/>
    <n v="1"/>
    <x v="3"/>
    <n v="156998.01999999999"/>
    <n v="832.48"/>
    <n v="1"/>
    <s v="4813498"/>
    <m/>
    <n v="4191.3900000000003"/>
    <n v="0"/>
    <n v="56994"/>
  </r>
  <r>
    <x v="3"/>
    <s v="???"/>
    <s v="Birkhøj (Valmuen)"/>
    <n v="5278"/>
    <m/>
    <s v="Birkhøj (Valmuen)"/>
    <x v="19"/>
    <x v="0"/>
    <x v="4"/>
    <n v="68160"/>
    <n v="12"/>
    <s v="2005-09-30"/>
    <n v="0"/>
    <n v="760"/>
    <n v="89.672410999999997"/>
    <n v="1"/>
    <x v="1"/>
    <n v="61956.54"/>
    <n v="11461.95"/>
    <n v="0"/>
    <s v="4813498"/>
    <m/>
    <n v="68160"/>
    <n v="0"/>
    <n v="56874"/>
  </r>
  <r>
    <x v="3"/>
    <s v="???"/>
    <s v="Birkhøj (Valmuen)"/>
    <n v="5278"/>
    <m/>
    <s v="Birkhøj (Valmuen)"/>
    <x v="19"/>
    <x v="1"/>
    <x v="4"/>
    <n v="128615.71"/>
    <n v="12"/>
    <s v="2005-09-30"/>
    <n v="0"/>
    <n v="760"/>
    <n v="169.208933"/>
    <n v="1"/>
    <x v="3"/>
    <n v="118463.89"/>
    <n v="628.14"/>
    <n v="1"/>
    <s v="4813498"/>
    <m/>
    <n v="3686.32"/>
    <n v="0"/>
    <n v="56994"/>
  </r>
  <r>
    <x v="3"/>
    <s v="???"/>
    <s v="Birkhøj (Valmuen)"/>
    <n v="5278"/>
    <m/>
    <s v="Birkhøj (Valmuen)"/>
    <x v="19"/>
    <x v="0"/>
    <x v="5"/>
    <n v="54494"/>
    <n v="12"/>
    <s v="2005-09-30"/>
    <n v="0"/>
    <n v="760"/>
    <n v="71.693197999999995"/>
    <n v="1"/>
    <x v="1"/>
    <n v="57005.77"/>
    <n v="10546.07"/>
    <n v="0"/>
    <s v="4813498"/>
    <m/>
    <n v="54494"/>
    <n v="0"/>
    <n v="56874"/>
  </r>
  <r>
    <x v="3"/>
    <s v="???"/>
    <s v="Birkhøj (Valmuen)"/>
    <n v="5278"/>
    <m/>
    <s v="Birkhøj (Valmuen)"/>
    <x v="19"/>
    <x v="1"/>
    <x v="5"/>
    <n v="91812.69"/>
    <n v="12"/>
    <s v="2005-09-30"/>
    <n v="0"/>
    <n v="760"/>
    <n v="120.790277"/>
    <n v="1"/>
    <x v="3"/>
    <n v="100085.13"/>
    <n v="530.69000000000005"/>
    <n v="1"/>
    <s v="4813498"/>
    <m/>
    <n v="2631.49"/>
    <n v="0"/>
    <n v="56994"/>
  </r>
  <r>
    <x v="3"/>
    <s v="???"/>
    <s v="Birkhøj (Valmuen)"/>
    <n v="5278"/>
    <m/>
    <s v="Birkhøj (Valmuen)"/>
    <x v="19"/>
    <x v="0"/>
    <x v="6"/>
    <n v="42005"/>
    <n v="12"/>
    <s v="2005-09-30"/>
    <n v="0"/>
    <n v="760"/>
    <n v="55.262464999999999"/>
    <n v="1"/>
    <x v="1"/>
    <n v="47526.96"/>
    <n v="8792.49"/>
    <n v="0"/>
    <s v="4813498"/>
    <m/>
    <n v="42005"/>
    <n v="0"/>
    <n v="56874"/>
  </r>
  <r>
    <x v="3"/>
    <s v="???"/>
    <s v="Birkhøj (Valmuen)"/>
    <n v="5278"/>
    <m/>
    <s v="Birkhøj (Valmuen)"/>
    <x v="19"/>
    <x v="1"/>
    <x v="6"/>
    <n v="68805.52"/>
    <n v="12"/>
    <s v="2005-09-30"/>
    <n v="0"/>
    <n v="760"/>
    <n v="90.521668000000005"/>
    <n v="1"/>
    <x v="3"/>
    <n v="81353.119999999995"/>
    <n v="431.36"/>
    <n v="1"/>
    <s v="4813498"/>
    <m/>
    <n v="1972.07"/>
    <n v="0"/>
    <n v="56994"/>
  </r>
  <r>
    <x v="3"/>
    <s v="03322-7"/>
    <s v="Brudedalen Legestue, Brudedalen 54-58"/>
    <n v="5276"/>
    <m/>
    <s v="Legestuen"/>
    <x v="20"/>
    <x v="0"/>
    <x v="0"/>
    <n v="42909"/>
    <n v="5"/>
    <s v="2005-10-03"/>
    <n v="0"/>
    <n v="284"/>
    <n v="81.901336999999998"/>
    <n v="1"/>
    <x v="4"/>
    <n v="49165"/>
    <n v="5522.17"/>
    <n v="0"/>
    <s v="1153166"/>
    <m/>
    <n v="2154.46"/>
    <n v="0"/>
    <n v="56862"/>
  </r>
  <r>
    <x v="3"/>
    <s v="03322-7"/>
    <s v="Brudedalen Legestue, Brudedalen 54-58"/>
    <n v="5276"/>
    <m/>
    <s v="Legestuen"/>
    <x v="20"/>
    <x v="0"/>
    <x v="1"/>
    <n v="45184.29"/>
    <n v="12"/>
    <s v="2005-10-03"/>
    <n v="0"/>
    <n v="284"/>
    <n v="159.043611"/>
    <n v="1"/>
    <x v="4"/>
    <n v="47406.400000000001"/>
    <n v="10025.58"/>
    <n v="0"/>
    <s v="1153166"/>
    <m/>
    <n v="4183.7299999999996"/>
    <n v="0"/>
    <n v="56862"/>
  </r>
  <r>
    <x v="3"/>
    <s v="03322-7"/>
    <s v="Brudedalen Legestue, Brudedalen 54-58"/>
    <n v="5276"/>
    <m/>
    <s v="Legestuen"/>
    <x v="20"/>
    <x v="0"/>
    <x v="2"/>
    <n v="49078.78"/>
    <n v="12"/>
    <s v="2005-10-03"/>
    <n v="0"/>
    <n v="284"/>
    <n v="172.751777"/>
    <n v="1"/>
    <x v="4"/>
    <n v="51739.43"/>
    <n v="10941.94"/>
    <n v="0"/>
    <s v="1153166"/>
    <m/>
    <n v="4544.33"/>
    <n v="0"/>
    <n v="56862"/>
  </r>
  <r>
    <x v="3"/>
    <s v="03322-7"/>
    <s v="Brudedalen Legestue, Brudedalen 54-58"/>
    <n v="5276"/>
    <m/>
    <s v="Legestuen"/>
    <x v="20"/>
    <x v="0"/>
    <x v="3"/>
    <n v="47592.45"/>
    <n v="12"/>
    <s v="2005-10-03"/>
    <n v="0"/>
    <n v="284"/>
    <n v="167.52006299999999"/>
    <n v="1"/>
    <x v="4"/>
    <n v="52113.93"/>
    <n v="11021.14"/>
    <n v="0"/>
    <s v="1153166"/>
    <m/>
    <n v="4406.71"/>
    <n v="0"/>
    <n v="56862"/>
  </r>
  <r>
    <x v="3"/>
    <s v="03322-7"/>
    <s v="Brudedalen Legestue, Brudedalen 54-58"/>
    <n v="5276"/>
    <m/>
    <s v="Legestuen"/>
    <x v="20"/>
    <x v="0"/>
    <x v="4"/>
    <n v="51607.81"/>
    <n v="12"/>
    <s v="2005-10-03"/>
    <n v="0"/>
    <n v="284"/>
    <n v="181.65367800000001"/>
    <n v="1"/>
    <x v="4"/>
    <n v="46846.06"/>
    <n v="9907.07"/>
    <n v="0"/>
    <s v="1153166"/>
    <m/>
    <n v="4778.5"/>
    <n v="0"/>
    <n v="56862"/>
  </r>
  <r>
    <x v="3"/>
    <s v="03322-7"/>
    <s v="Brudedalen Legestue, Brudedalen 54-58"/>
    <n v="5276"/>
    <m/>
    <s v="Legestuen"/>
    <x v="20"/>
    <x v="0"/>
    <x v="5"/>
    <n v="47704.14"/>
    <n v="12"/>
    <s v="2005-10-03"/>
    <n v="0"/>
    <n v="284"/>
    <n v="167.91319899999999"/>
    <n v="1"/>
    <x v="4"/>
    <n v="50778.82"/>
    <n v="10738.8"/>
    <n v="0"/>
    <s v="1153166"/>
    <m/>
    <n v="4417.05"/>
    <n v="0"/>
    <n v="56862"/>
  </r>
  <r>
    <x v="3"/>
    <s v="03322-7"/>
    <s v="Brudedalen Legestue, Brudedalen 54-58"/>
    <n v="5276"/>
    <m/>
    <s v="Legestuen"/>
    <x v="20"/>
    <x v="0"/>
    <x v="6"/>
    <n v="48384.33"/>
    <n v="12"/>
    <s v="2005-10-03"/>
    <n v="0"/>
    <n v="284"/>
    <n v="170.307391"/>
    <n v="1"/>
    <x v="4"/>
    <n v="55057.48"/>
    <n v="11643.63"/>
    <n v="0"/>
    <s v="1153166"/>
    <m/>
    <n v="4480.03"/>
    <n v="0"/>
    <n v="56862"/>
  </r>
  <r>
    <x v="3"/>
    <m/>
    <s v="Bøgely Ravnehusvej 20"/>
    <n v="9970"/>
    <m/>
    <s v="Bøgely"/>
    <x v="21"/>
    <x v="0"/>
    <x v="0"/>
    <n v="85341"/>
    <n v="5"/>
    <s v="2010-10-31"/>
    <n v="0"/>
    <n v="864"/>
    <n v="56.520401999999997"/>
    <n v="1"/>
    <x v="6"/>
    <n v="96664"/>
    <n v="11166.12"/>
    <n v="0"/>
    <s v="1503037"/>
    <s v="98003479854"/>
    <n v="4360.6499999999996"/>
    <n v="0"/>
    <n v="76389"/>
  </r>
  <r>
    <x v="3"/>
    <s v="00005-1"/>
    <s v="Farumsødal"/>
    <n v="5262"/>
    <m/>
    <s v="Farumsødal"/>
    <x v="29"/>
    <x v="0"/>
    <x v="7"/>
    <n v="550.15"/>
    <n v="12"/>
    <s v="2012-01-25"/>
    <n v="0"/>
    <n v="874"/>
    <n v="0.62939000000000001"/>
    <n v="3"/>
    <x v="0"/>
    <n v="550.15"/>
    <n v="440.11"/>
    <n v="0"/>
    <s v="06202446"/>
    <m/>
    <n v="550.13699999999994"/>
    <n v="0"/>
    <n v="56739"/>
  </r>
  <r>
    <x v="3"/>
    <m/>
    <s v="Bøgely Ravnehusvej 20"/>
    <n v="9970"/>
    <m/>
    <s v="Bøgely"/>
    <x v="21"/>
    <x v="0"/>
    <x v="1"/>
    <n v="88422.77"/>
    <n v="12"/>
    <s v="2010-10-31"/>
    <n v="0"/>
    <n v="864"/>
    <n v="102.329325"/>
    <n v="1"/>
    <x v="6"/>
    <n v="93010.7"/>
    <n v="18967.55"/>
    <n v="0"/>
    <s v="1503037"/>
    <s v="98003479854"/>
    <n v="7894.89"/>
    <n v="0"/>
    <n v="76389"/>
  </r>
  <r>
    <x v="3"/>
    <m/>
    <s v="Bøgely Ravnehusvej 20"/>
    <n v="9970"/>
    <m/>
    <s v="Bøgely"/>
    <x v="21"/>
    <x v="0"/>
    <x v="2"/>
    <n v="96278.02"/>
    <n v="12"/>
    <s v="2010-10-31"/>
    <n v="0"/>
    <n v="796"/>
    <n v="120.937093"/>
    <n v="1"/>
    <x v="6"/>
    <n v="101297.12"/>
    <n v="20657.39"/>
    <n v="0"/>
    <s v="1503037"/>
    <s v="98003479854"/>
    <n v="8596.25"/>
    <n v="0"/>
    <n v="76389"/>
  </r>
  <r>
    <x v="3"/>
    <m/>
    <s v="Bøgely Ravnehusvej 20"/>
    <n v="9970"/>
    <m/>
    <s v="Bøgely"/>
    <x v="21"/>
    <x v="0"/>
    <x v="3"/>
    <n v="93820.71"/>
    <n v="12"/>
    <s v="2010-10-31"/>
    <n v="0"/>
    <n v="774"/>
    <n v="121.19972799999999"/>
    <n v="1"/>
    <x v="6"/>
    <n v="102849.96"/>
    <n v="20974.04"/>
    <n v="0"/>
    <s v="1503037"/>
    <s v="98003479854"/>
    <n v="8376.85"/>
    <n v="0"/>
    <n v="76389"/>
  </r>
  <r>
    <x v="3"/>
    <m/>
    <s v="Bøgely Ravnehusvej 20"/>
    <n v="9970"/>
    <m/>
    <s v="Bøgely"/>
    <x v="21"/>
    <x v="0"/>
    <x v="4"/>
    <n v="112439.13"/>
    <n v="10"/>
    <s v="2010-10-31"/>
    <n v="0"/>
    <n v="774"/>
    <n v="145.25142700000001"/>
    <n v="1"/>
    <x v="6"/>
    <n v="104048.16"/>
    <n v="21218.38"/>
    <n v="0"/>
    <s v="1503037"/>
    <s v="98003479854"/>
    <n v="10039.207119999999"/>
    <n v="0"/>
    <n v="76389"/>
  </r>
  <r>
    <x v="3"/>
    <m/>
    <s v="Bøgely Ravnehusvej 20"/>
    <n v="9970"/>
    <m/>
    <s v="Bøgely"/>
    <x v="21"/>
    <x v="0"/>
    <x v="5"/>
    <n v="111555.51"/>
    <n v="10"/>
    <s v="2010-10-31"/>
    <n v="0"/>
    <n v="774"/>
    <n v="144.10994700000001"/>
    <n v="1"/>
    <x v="6"/>
    <n v="127590.21"/>
    <n v="26019.33"/>
    <n v="0"/>
    <s v="1503037"/>
    <s v="98003479854"/>
    <n v="9960.3131400000002"/>
    <n v="0"/>
    <n v="76389"/>
  </r>
  <r>
    <x v="3"/>
    <m/>
    <s v="Bøgely Ravnehusvej 20"/>
    <n v="9970"/>
    <m/>
    <s v="Bøgely"/>
    <x v="21"/>
    <x v="0"/>
    <x v="6"/>
    <n v="89635.83"/>
    <n v="7"/>
    <s v="2010-10-31"/>
    <n v="0"/>
    <n v="774"/>
    <n v="115.793605"/>
    <n v="1"/>
    <x v="6"/>
    <n v="101612.13"/>
    <n v="20721.62"/>
    <n v="0"/>
    <s v="1503037"/>
    <s v="98003479854"/>
    <n v="8003.20046"/>
    <n v="0"/>
    <n v="76389"/>
  </r>
  <r>
    <x v="3"/>
    <s v="02558-5"/>
    <s v="Børnehusene Ryttergårdsvej 100 - 102"/>
    <n v="5252"/>
    <m/>
    <s v="Børnehusene Ryttergårdsvej 100 - 102"/>
    <x v="22"/>
    <x v="0"/>
    <x v="0"/>
    <n v="75411"/>
    <n v="5"/>
    <s v="2005-09-01"/>
    <n v="0"/>
    <n v="752"/>
    <n v="58.800691"/>
    <n v="1"/>
    <x v="1"/>
    <n v="87408"/>
    <n v="9223162.0500000007"/>
    <n v="0"/>
    <s v="4824612"/>
    <m/>
    <n v="44224"/>
    <n v="0"/>
    <n v="56688"/>
  </r>
  <r>
    <x v="3"/>
    <s v="02558-5"/>
    <s v="Børnehusene Ryttergårdsvej 100 - 102"/>
    <n v="5252"/>
    <m/>
    <s v="Børnehusene Ryttergårdsvej 100 - 102"/>
    <x v="22"/>
    <x v="1"/>
    <x v="0"/>
    <n v="36214.080000000002"/>
    <n v="5"/>
    <s v="2005-09-01"/>
    <n v="0"/>
    <n v="752"/>
    <n v="48.150618000000001"/>
    <n v="1"/>
    <x v="3"/>
    <n v="40920.699999999997"/>
    <n v="216977.07"/>
    <n v="1"/>
    <s v="4824612"/>
    <m/>
    <n v="1037.95"/>
    <n v="0"/>
    <n v="56995"/>
  </r>
  <r>
    <x v="3"/>
    <s v="00005-1"/>
    <s v="Farumsødal"/>
    <n v="5262"/>
    <m/>
    <s v="Farumsødal"/>
    <x v="29"/>
    <x v="0"/>
    <x v="7"/>
    <n v="84000"/>
    <n v="12"/>
    <m/>
    <n v="0"/>
    <n v="874"/>
    <n v="72.074133000000003"/>
    <n v="1"/>
    <x v="1"/>
    <n v="98514.1"/>
    <n v="2935067.66"/>
    <n v="0"/>
    <s v="Nr. ???"/>
    <m/>
    <n v="63000"/>
    <n v="0"/>
    <n v="56738"/>
  </r>
  <r>
    <x v="3"/>
    <s v="00005-1"/>
    <s v="Farumsødal"/>
    <n v="5262"/>
    <m/>
    <s v="Farumsødal"/>
    <x v="29"/>
    <x v="0"/>
    <x v="7"/>
    <n v="7224.8"/>
    <n v="12"/>
    <s v="2012-01-22"/>
    <n v="0"/>
    <n v="874"/>
    <n v="8.2654150000000008"/>
    <n v="2"/>
    <x v="2"/>
    <n v="7224.8"/>
    <n v="2889.93"/>
    <n v="0"/>
    <s v="1019281 nr. 2"/>
    <s v="74112646756"/>
    <n v="7224.8119999999999"/>
    <n v="0"/>
    <n v="56759"/>
  </r>
  <r>
    <x v="3"/>
    <s v="02558-5"/>
    <s v="Børnehusene Ryttergårdsvej 100 - 102"/>
    <n v="5252"/>
    <m/>
    <s v="Børnehusene Ryttergårdsvej 100 - 102"/>
    <x v="22"/>
    <x v="0"/>
    <x v="1"/>
    <n v="89896"/>
    <n v="12"/>
    <s v="2005-09-01"/>
    <n v="0"/>
    <n v="752"/>
    <n v="119.526658"/>
    <n v="1"/>
    <x v="1"/>
    <n v="93961.78"/>
    <n v="17382.919999999998"/>
    <n v="0"/>
    <s v="4824612"/>
    <m/>
    <n v="89896"/>
    <n v="0"/>
    <n v="56688"/>
  </r>
  <r>
    <x v="3"/>
    <s v="02558-5"/>
    <s v="Børnehusene Ryttergårdsvej 100 - 102"/>
    <n v="5252"/>
    <m/>
    <s v="Børnehusene Ryttergårdsvej 100 - 102"/>
    <x v="22"/>
    <x v="1"/>
    <x v="1"/>
    <n v="115503.35"/>
    <n v="12"/>
    <s v="2005-09-01"/>
    <n v="0"/>
    <n v="752"/>
    <n v="153.57445799999999"/>
    <n v="1"/>
    <x v="3"/>
    <n v="140448.54999999999"/>
    <n v="744.72"/>
    <n v="1"/>
    <s v="4824612"/>
    <m/>
    <n v="3310.5"/>
    <n v="0"/>
    <n v="56995"/>
  </r>
  <r>
    <x v="3"/>
    <s v="02558-5"/>
    <s v="Børnehusene Ryttergårdsvej 100 - 102"/>
    <n v="5252"/>
    <m/>
    <s v="Børnehusene Ryttergårdsvej 100 - 102"/>
    <x v="22"/>
    <x v="0"/>
    <x v="2"/>
    <n v="82264"/>
    <n v="12"/>
    <s v="2005-09-01"/>
    <n v="0"/>
    <n v="752"/>
    <n v="109.379071"/>
    <n v="1"/>
    <x v="1"/>
    <n v="86403.9"/>
    <n v="15984.73"/>
    <n v="0"/>
    <s v="4824612"/>
    <m/>
    <n v="82264"/>
    <n v="0"/>
    <n v="56688"/>
  </r>
  <r>
    <x v="3"/>
    <s v="02558-5"/>
    <s v="Børnehusene Ryttergårdsvej 100 - 102"/>
    <n v="5252"/>
    <m/>
    <s v="Børnehusene Ryttergårdsvej 100 - 102"/>
    <x v="22"/>
    <x v="1"/>
    <x v="2"/>
    <n v="67110.91"/>
    <n v="12"/>
    <s v="2005-09-01"/>
    <n v="0"/>
    <n v="752"/>
    <n v="89.231364999999997"/>
    <n v="1"/>
    <x v="3"/>
    <n v="69736.13"/>
    <n v="369.76"/>
    <n v="1"/>
    <s v="4824612"/>
    <m/>
    <n v="1923.5000299999999"/>
    <n v="0"/>
    <n v="56995"/>
  </r>
  <r>
    <x v="3"/>
    <s v="02558-5"/>
    <s v="Børnehusene Ryttergårdsvej 100 - 102"/>
    <n v="5252"/>
    <m/>
    <s v="Børnehusene Ryttergårdsvej 100 - 102"/>
    <x v="22"/>
    <x v="0"/>
    <x v="3"/>
    <n v="81811.5"/>
    <n v="12"/>
    <s v="2005-09-01"/>
    <n v="0"/>
    <n v="752"/>
    <n v="108.777423"/>
    <n v="1"/>
    <x v="1"/>
    <n v="88908.4"/>
    <n v="16448.05"/>
    <n v="0"/>
    <s v="4824612"/>
    <m/>
    <n v="81811.5"/>
    <n v="0"/>
    <n v="56688"/>
  </r>
  <r>
    <x v="3"/>
    <s v="02558-5"/>
    <s v="Børnehusene Ryttergårdsvej 100 - 102"/>
    <n v="5252"/>
    <m/>
    <s v="Børnehusene Ryttergårdsvej 100 - 102"/>
    <x v="22"/>
    <x v="1"/>
    <x v="3"/>
    <n v="80148.97"/>
    <n v="12"/>
    <s v="2005-09-01"/>
    <n v="0"/>
    <n v="752"/>
    <n v="106.56690500000001"/>
    <n v="1"/>
    <x v="3"/>
    <n v="85031.679999999993"/>
    <n v="450.87"/>
    <n v="1"/>
    <s v="4824612"/>
    <m/>
    <n v="2297.19"/>
    <n v="0"/>
    <n v="56995"/>
  </r>
  <r>
    <x v="3"/>
    <s v="02558-5"/>
    <s v="Børnehusene Ryttergårdsvej 100 - 102"/>
    <n v="5252"/>
    <m/>
    <s v="Børnehusene Ryttergårdsvej 100 - 102"/>
    <x v="22"/>
    <x v="0"/>
    <x v="4"/>
    <n v="102172.5"/>
    <n v="12"/>
    <s v="2005-09-01"/>
    <n v="0"/>
    <n v="752"/>
    <n v="135.84962100000001"/>
    <n v="1"/>
    <x v="1"/>
    <n v="93292.4"/>
    <n v="17259.09"/>
    <n v="0"/>
    <s v="4824612"/>
    <m/>
    <n v="102172.5"/>
    <n v="0"/>
    <n v="56688"/>
  </r>
  <r>
    <x v="3"/>
    <s v="02558-5"/>
    <s v="Børnehusene Ryttergårdsvej 100 - 102"/>
    <n v="5252"/>
    <m/>
    <s v="Børnehusene Ryttergårdsvej 100 - 102"/>
    <x v="22"/>
    <x v="1"/>
    <x v="4"/>
    <n v="88428.71"/>
    <n v="12"/>
    <s v="2005-09-01"/>
    <n v="0"/>
    <n v="752"/>
    <n v="117.575734"/>
    <n v="1"/>
    <x v="3"/>
    <n v="80623.740000000005"/>
    <n v="427.49"/>
    <n v="1"/>
    <s v="4824612"/>
    <m/>
    <n v="2534.5"/>
    <n v="0"/>
    <n v="56995"/>
  </r>
  <r>
    <x v="3"/>
    <s v="02558-5"/>
    <s v="Børnehusene Ryttergårdsvej 100 - 102"/>
    <n v="5252"/>
    <m/>
    <s v="Børnehusene Ryttergårdsvej 100 - 102"/>
    <x v="22"/>
    <x v="0"/>
    <x v="5"/>
    <n v="89614"/>
    <n v="12"/>
    <s v="2005-09-01"/>
    <n v="0"/>
    <n v="752"/>
    <n v="119.151708"/>
    <n v="1"/>
    <x v="1"/>
    <n v="95768"/>
    <n v="17717.07"/>
    <n v="0"/>
    <s v="4824612"/>
    <m/>
    <n v="89614"/>
    <n v="0"/>
    <n v="56688"/>
  </r>
  <r>
    <x v="3"/>
    <s v="02558-5"/>
    <s v="Børnehusene Ryttergårdsvej 100 - 102"/>
    <n v="5252"/>
    <m/>
    <s v="Børnehusene Ryttergårdsvej 100 - 102"/>
    <x v="22"/>
    <x v="1"/>
    <x v="5"/>
    <n v="76805.45"/>
    <n v="12"/>
    <s v="2005-09-01"/>
    <n v="0"/>
    <n v="752"/>
    <n v="102.121326"/>
    <n v="1"/>
    <x v="3"/>
    <n v="81659.63"/>
    <n v="432.99"/>
    <n v="1"/>
    <s v="4824612"/>
    <m/>
    <n v="2201.36"/>
    <n v="0"/>
    <n v="56995"/>
  </r>
  <r>
    <x v="3"/>
    <s v="02558-5"/>
    <s v="Børnehusene Ryttergårdsvej 100 - 102"/>
    <n v="5252"/>
    <m/>
    <s v="Børnehusene Ryttergårdsvej 100 - 102"/>
    <x v="22"/>
    <x v="0"/>
    <x v="6"/>
    <n v="81558"/>
    <n v="12"/>
    <s v="2005-09-01"/>
    <n v="0"/>
    <n v="752"/>
    <n v="108.440366"/>
    <n v="1"/>
    <x v="1"/>
    <n v="92767.25"/>
    <n v="17161.91"/>
    <n v="0"/>
    <s v="4824612"/>
    <m/>
    <n v="81558"/>
    <n v="0"/>
    <n v="56688"/>
  </r>
  <r>
    <x v="3"/>
    <s v="02558-5"/>
    <s v="Børnehusene Ryttergårdsvej 100 - 102"/>
    <n v="5252"/>
    <m/>
    <s v="Børnehusene Ryttergårdsvej 100 - 102"/>
    <x v="22"/>
    <x v="1"/>
    <x v="6"/>
    <n v="68228.789999999994"/>
    <n v="12"/>
    <s v="2005-09-01"/>
    <n v="0"/>
    <n v="752"/>
    <n v="90.717709999999997"/>
    <n v="1"/>
    <x v="3"/>
    <n v="77195.710000000006"/>
    <n v="409.33"/>
    <n v="1"/>
    <s v="4824612"/>
    <m/>
    <n v="1955.54"/>
    <n v="0"/>
    <n v="56995"/>
  </r>
  <r>
    <x v="3"/>
    <m/>
    <s v="Børnehuset Åkanden / Skovbo Skovbovænget 75"/>
    <n v="9977"/>
    <m/>
    <s v="Åkanden/Skovbo"/>
    <x v="23"/>
    <x v="0"/>
    <x v="0"/>
    <n v="48244"/>
    <n v="5"/>
    <s v="2010-09-30"/>
    <n v="0"/>
    <n v="487"/>
    <n v="54.552576000000002"/>
    <n v="1"/>
    <x v="6"/>
    <n v="55726"/>
    <n v="6116.31"/>
    <n v="0"/>
    <s v="1170668"/>
    <s v="98004724939"/>
    <n v="2372.5500000000002"/>
    <n v="0"/>
    <n v="76406"/>
  </r>
  <r>
    <x v="3"/>
    <s v="00005-1"/>
    <s v="Farumsødal"/>
    <n v="5262"/>
    <m/>
    <s v="Farumsødal"/>
    <x v="29"/>
    <x v="0"/>
    <x v="7"/>
    <n v="11185"/>
    <n v="12"/>
    <s v="2005-04-30"/>
    <n v="0"/>
    <n v="874"/>
    <n v="12.796018"/>
    <n v="2"/>
    <x v="2"/>
    <n v="11185"/>
    <n v="4474.0200000000004"/>
    <n v="0"/>
    <s v="072049 nr 1"/>
    <s v="74112646763"/>
    <n v="11185.0041"/>
    <n v="0"/>
    <n v="56737"/>
  </r>
  <r>
    <x v="3"/>
    <m/>
    <s v="Børnehuset Åkanden / Skovbo Skovbovænget 75"/>
    <n v="9977"/>
    <m/>
    <s v="Åkanden/Skovbo"/>
    <x v="23"/>
    <x v="0"/>
    <x v="1"/>
    <n v="58476.97"/>
    <n v="12"/>
    <s v="2010-09-30"/>
    <n v="0"/>
    <n v="487"/>
    <n v="120.05126199999999"/>
    <n v="1"/>
    <x v="6"/>
    <n v="62391.14"/>
    <n v="12723.33"/>
    <n v="0"/>
    <s v="1170668"/>
    <s v="98004724939"/>
    <n v="5221.16"/>
    <n v="0"/>
    <n v="76406"/>
  </r>
  <r>
    <x v="3"/>
    <m/>
    <s v="Børnehuset Åkanden / Skovbo Skovbovænget 75"/>
    <n v="9977"/>
    <m/>
    <s v="Åkanden/Skovbo"/>
    <x v="23"/>
    <x v="0"/>
    <x v="2"/>
    <n v="54554.52"/>
    <n v="12"/>
    <s v="2010-09-30"/>
    <n v="0"/>
    <n v="487"/>
    <n v="111.998603"/>
    <n v="1"/>
    <x v="6"/>
    <n v="57145.9"/>
    <n v="11653.69"/>
    <n v="0"/>
    <s v="1170668"/>
    <s v="98004724939"/>
    <n v="4870.9399999999996"/>
    <n v="0"/>
    <n v="76406"/>
  </r>
  <r>
    <x v="3"/>
    <m/>
    <s v="Børnehuset Åkanden / Skovbo Skovbovænget 75"/>
    <n v="9977"/>
    <m/>
    <s v="Åkanden/Skovbo"/>
    <x v="23"/>
    <x v="0"/>
    <x v="3"/>
    <n v="57742.62"/>
    <n v="12"/>
    <s v="2010-09-30"/>
    <n v="0"/>
    <n v="487"/>
    <n v="118.543666"/>
    <n v="1"/>
    <x v="6"/>
    <n v="63046.03"/>
    <n v="12856.89"/>
    <n v="0"/>
    <s v="1170668"/>
    <s v="98004724939"/>
    <n v="5155.59"/>
    <n v="0"/>
    <n v="76406"/>
  </r>
  <r>
    <x v="3"/>
    <m/>
    <s v="Børnehuset Åkanden / Skovbo Skovbovænget 75"/>
    <n v="9977"/>
    <m/>
    <s v="Åkanden/Skovbo"/>
    <x v="23"/>
    <x v="0"/>
    <x v="4"/>
    <n v="58016.56"/>
    <n v="6"/>
    <s v="2010-09-30"/>
    <n v="0"/>
    <n v="487"/>
    <n v="119.106056"/>
    <n v="1"/>
    <x v="6"/>
    <n v="56885.38"/>
    <n v="11600.55"/>
    <n v="0"/>
    <s v="1170668"/>
    <s v="98004724939"/>
    <n v="5180.05026"/>
    <n v="0"/>
    <n v="76406"/>
  </r>
  <r>
    <x v="3"/>
    <m/>
    <s v="Børnehuset Åkanden / Skovbo Skovbovænget 75"/>
    <n v="9977"/>
    <m/>
    <s v="Åkanden/Skovbo"/>
    <x v="23"/>
    <x v="0"/>
    <x v="5"/>
    <n v="65161.13"/>
    <n v="5"/>
    <s v="2010-09-30"/>
    <n v="0"/>
    <n v="487"/>
    <n v="133.773619"/>
    <n v="1"/>
    <x v="6"/>
    <n v="88826.78"/>
    <n v="18114.32"/>
    <n v="0"/>
    <s v="1170668"/>
    <s v="98004724939"/>
    <n v="5817.9585800000004"/>
    <n v="0"/>
    <n v="76406"/>
  </r>
  <r>
    <x v="3"/>
    <m/>
    <s v="Børnehuset Åkanden / Skovbo Skovbovænget 75"/>
    <n v="9977"/>
    <m/>
    <s v="Åkanden/Skovbo"/>
    <x v="23"/>
    <x v="0"/>
    <x v="6"/>
    <n v="69646.789999999994"/>
    <n v="9"/>
    <s v="2010-09-30"/>
    <n v="0"/>
    <n v="487"/>
    <n v="142.982529"/>
    <n v="1"/>
    <x v="6"/>
    <n v="79234.98"/>
    <n v="16158.28"/>
    <n v="0"/>
    <s v="1170668"/>
    <s v="98004724939"/>
    <n v="6218.4643400000004"/>
    <n v="0"/>
    <n v="76406"/>
  </r>
  <r>
    <x v="3"/>
    <m/>
    <s v="Dalgården, Dalsø 107-109"/>
    <n v="10018"/>
    <m/>
    <s v="Dalgården"/>
    <x v="24"/>
    <x v="0"/>
    <x v="0"/>
    <n v="95813"/>
    <n v="5"/>
    <s v="2014-02-28"/>
    <n v="0"/>
    <n v="838"/>
    <n v="70.209401999999997"/>
    <n v="1"/>
    <x v="4"/>
    <n v="111878"/>
    <n v="14087.91"/>
    <n v="0"/>
    <m/>
    <s v="98003447822"/>
    <n v="5448.38"/>
    <n v="0"/>
    <n v="76530"/>
  </r>
  <r>
    <x v="3"/>
    <s v="00005-1"/>
    <s v="Farumsødal"/>
    <n v="5262"/>
    <m/>
    <s v="Farumsødal"/>
    <x v="29"/>
    <x v="1"/>
    <x v="7"/>
    <n v="200369.78"/>
    <n v="12"/>
    <m/>
    <n v="0"/>
    <n v="874"/>
    <n v="229.22981300000001"/>
    <n v="1"/>
    <x v="3"/>
    <n v="247729.83"/>
    <n v="286065.23"/>
    <n v="1"/>
    <s v="Nr. ???"/>
    <m/>
    <n v="5742.9"/>
    <n v="0"/>
    <n v="56997"/>
  </r>
  <r>
    <x v="3"/>
    <m/>
    <s v="Dalgården, Dalsø 107-109"/>
    <n v="10018"/>
    <m/>
    <s v="Dalgården"/>
    <x v="24"/>
    <x v="0"/>
    <x v="1"/>
    <n v="121317.87"/>
    <n v="3"/>
    <s v="2014-02-28"/>
    <n v="0"/>
    <n v="838"/>
    <n v="144.753454"/>
    <n v="1"/>
    <x v="4"/>
    <n v="173695.14"/>
    <n v="36733.31"/>
    <n v="0"/>
    <m/>
    <s v="98003447822"/>
    <n v="11233.134330000001"/>
    <n v="0"/>
    <n v="76530"/>
  </r>
  <r>
    <x v="3"/>
    <m/>
    <s v="Dalgården, Dalsø 107-109"/>
    <n v="10018"/>
    <m/>
    <s v="Dalgården"/>
    <x v="24"/>
    <x v="0"/>
    <x v="2"/>
    <n v="111918.94"/>
    <n v="2"/>
    <s v="2014-02-28"/>
    <n v="0"/>
    <n v="838"/>
    <n v="133.53888499999999"/>
    <n v="1"/>
    <x v="4"/>
    <n v="124227.2"/>
    <n v="26271.74"/>
    <n v="0"/>
    <m/>
    <s v="98003447822"/>
    <n v="10362.865680000001"/>
    <n v="0"/>
    <n v="76530"/>
  </r>
  <r>
    <x v="3"/>
    <m/>
    <s v="Dalgården, Dalsø 107-109"/>
    <n v="10018"/>
    <m/>
    <s v="Dalgården"/>
    <x v="24"/>
    <x v="0"/>
    <x v="3"/>
    <n v="117013.17"/>
    <n v="1"/>
    <s v="2014-02-28"/>
    <n v="0"/>
    <n v="838"/>
    <n v="139.61719299999999"/>
    <n v="1"/>
    <x v="4"/>
    <n v="136743.57999999999"/>
    <n v="28918.75"/>
    <n v="0"/>
    <m/>
    <s v="98003447822"/>
    <n v="10834.553980000001"/>
    <n v="0"/>
    <n v="76530"/>
  </r>
  <r>
    <x v="3"/>
    <m/>
    <s v="Dalgården, Dalsø 107-109"/>
    <n v="10018"/>
    <m/>
    <s v="Dalgården"/>
    <x v="24"/>
    <x v="0"/>
    <x v="4"/>
    <n v="107652.92"/>
    <n v="4"/>
    <s v="2014-02-28"/>
    <n v="0"/>
    <n v="838"/>
    <n v="128.44877600000001"/>
    <n v="1"/>
    <x v="4"/>
    <n v="108197.8"/>
    <n v="22881.82"/>
    <n v="0"/>
    <m/>
    <s v="98003447822"/>
    <n v="9967.8613800000003"/>
    <n v="0"/>
    <n v="76530"/>
  </r>
  <r>
    <x v="3"/>
    <m/>
    <s v="Dalgården, Dalsø 107-109"/>
    <n v="10018"/>
    <m/>
    <s v="Dalgården"/>
    <x v="24"/>
    <x v="0"/>
    <x v="5"/>
    <n v="126630.93"/>
    <n v="3"/>
    <s v="2014-02-28"/>
    <n v="0"/>
    <n v="838"/>
    <n v="151.09286399999999"/>
    <n v="1"/>
    <x v="4"/>
    <n v="174921.46"/>
    <n v="36992.660000000003"/>
    <n v="0"/>
    <m/>
    <s v="98003447822"/>
    <n v="11725.084639999999"/>
    <n v="0"/>
    <n v="76530"/>
  </r>
  <r>
    <x v="3"/>
    <m/>
    <s v="Dalgården, Dalsø 107-109"/>
    <n v="10018"/>
    <m/>
    <s v="Dalgården"/>
    <x v="24"/>
    <x v="0"/>
    <x v="6"/>
    <n v="123695.84"/>
    <n v="5"/>
    <s v="2014-02-28"/>
    <n v="0"/>
    <n v="838"/>
    <n v="147.590788"/>
    <n v="1"/>
    <x v="4"/>
    <n v="144339.81"/>
    <n v="30525.200000000001"/>
    <n v="0"/>
    <m/>
    <s v="98003447822"/>
    <n v="11453.320009999999"/>
    <n v="0"/>
    <n v="76530"/>
  </r>
  <r>
    <x v="3"/>
    <s v="04730-9"/>
    <s v="Drivhuset Hvilebæksgårdsvej 17"/>
    <n v="5486"/>
    <m/>
    <s v="Drivhuset"/>
    <x v="25"/>
    <x v="0"/>
    <x v="0"/>
    <n v="37453"/>
    <n v="5"/>
    <s v="2005-05-01"/>
    <n v="0"/>
    <n v="417"/>
    <n v="52.093023000000002"/>
    <n v="1"/>
    <x v="1"/>
    <n v="42700"/>
    <n v="4512481.1500000004"/>
    <n v="0"/>
    <s v="4824615"/>
    <m/>
    <n v="21728"/>
    <n v="0"/>
    <n v="57986"/>
  </r>
  <r>
    <x v="3"/>
    <s v="04730-9"/>
    <s v="Drivhuset Hvilebæksgårdsvej 17"/>
    <n v="5486"/>
    <m/>
    <s v="Drivhuset"/>
    <x v="25"/>
    <x v="1"/>
    <x v="0"/>
    <n v="17340.34"/>
    <n v="5"/>
    <m/>
    <n v="0"/>
    <n v="417"/>
    <n v="41.573579000000002"/>
    <n v="1"/>
    <x v="3"/>
    <n v="19429.490000000002"/>
    <n v="103022.52"/>
    <n v="1"/>
    <s v="4824615"/>
    <m/>
    <n v="497"/>
    <n v="0"/>
    <n v="57988"/>
  </r>
  <r>
    <x v="3"/>
    <s v="04730-9"/>
    <s v="Drivhuset Hvilebæksgårdsvej 17"/>
    <n v="5486"/>
    <m/>
    <s v="Drivhuset"/>
    <x v="25"/>
    <x v="1"/>
    <x v="1"/>
    <n v="28671.21"/>
    <n v="12"/>
    <m/>
    <n v="0"/>
    <n v="417"/>
    <n v="68.739414999999994"/>
    <n v="1"/>
    <x v="3"/>
    <n v="29915.82"/>
    <n v="158.63999999999999"/>
    <n v="1"/>
    <s v="4824615"/>
    <m/>
    <n v="821.76"/>
    <n v="0"/>
    <n v="57988"/>
  </r>
  <r>
    <x v="3"/>
    <s v="04730-9"/>
    <s v="Drivhuset Hvilebæksgårdsvej 17"/>
    <n v="5486"/>
    <m/>
    <s v="Drivhuset"/>
    <x v="25"/>
    <x v="0"/>
    <x v="1"/>
    <n v="38396"/>
    <n v="12"/>
    <s v="2005-05-01"/>
    <n v="0"/>
    <n v="417"/>
    <n v="92.054663000000005"/>
    <n v="1"/>
    <x v="1"/>
    <n v="40059.440000000002"/>
    <n v="7410.98"/>
    <n v="0"/>
    <s v="4824615"/>
    <m/>
    <n v="38396"/>
    <n v="0"/>
    <n v="57986"/>
  </r>
  <r>
    <x v="3"/>
    <s v="04730-9"/>
    <s v="Drivhuset Hvilebæksgårdsvej 17"/>
    <n v="5486"/>
    <m/>
    <s v="Drivhuset"/>
    <x v="25"/>
    <x v="0"/>
    <x v="2"/>
    <n v="40280"/>
    <n v="12"/>
    <s v="2005-05-01"/>
    <n v="0"/>
    <n v="417"/>
    <n v="96.571565000000007"/>
    <n v="1"/>
    <x v="1"/>
    <n v="42269.42"/>
    <n v="7819.85"/>
    <n v="0"/>
    <s v="4824615"/>
    <m/>
    <n v="40280"/>
    <n v="0"/>
    <n v="57986"/>
  </r>
  <r>
    <x v="3"/>
    <s v="04730-9"/>
    <s v="Drivhuset Hvilebæksgårdsvej 17"/>
    <n v="5486"/>
    <m/>
    <s v="Drivhuset"/>
    <x v="25"/>
    <x v="1"/>
    <x v="2"/>
    <n v="34332.46"/>
    <n v="12"/>
    <m/>
    <n v="0"/>
    <n v="417"/>
    <n v="82.312298999999996"/>
    <n v="1"/>
    <x v="3"/>
    <n v="35923.519999999997"/>
    <n v="190.48"/>
    <n v="1"/>
    <s v="4824615"/>
    <m/>
    <n v="984.01999000000001"/>
    <n v="0"/>
    <n v="57988"/>
  </r>
  <r>
    <x v="3"/>
    <s v="04730-9"/>
    <s v="Drivhuset Hvilebæksgårdsvej 17"/>
    <n v="5486"/>
    <m/>
    <s v="Drivhuset"/>
    <x v="25"/>
    <x v="0"/>
    <x v="3"/>
    <n v="38159"/>
    <n v="12"/>
    <s v="2005-05-01"/>
    <n v="0"/>
    <n v="417"/>
    <n v="91.486453999999995"/>
    <n v="1"/>
    <x v="1"/>
    <n v="41397.81"/>
    <n v="7658.58"/>
    <n v="0"/>
    <s v="4824615"/>
    <m/>
    <n v="38159"/>
    <n v="0"/>
    <n v="57986"/>
  </r>
  <r>
    <x v="3"/>
    <s v="04730-9"/>
    <s v="Drivhuset Hvilebæksgårdsvej 17"/>
    <n v="5486"/>
    <m/>
    <s v="Drivhuset"/>
    <x v="25"/>
    <x v="1"/>
    <x v="3"/>
    <n v="31893.98"/>
    <n v="12"/>
    <m/>
    <n v="0"/>
    <n v="417"/>
    <n v="76.466026999999997"/>
    <n v="1"/>
    <x v="3"/>
    <n v="34483.71"/>
    <n v="182.84"/>
    <n v="1"/>
    <s v="4824615"/>
    <m/>
    <n v="914.13"/>
    <n v="0"/>
    <n v="57988"/>
  </r>
  <r>
    <x v="3"/>
    <s v="04730-9"/>
    <s v="Drivhuset Hvilebæksgårdsvej 17"/>
    <n v="5486"/>
    <m/>
    <s v="Drivhuset"/>
    <x v="25"/>
    <x v="0"/>
    <x v="4"/>
    <n v="45976"/>
    <n v="12"/>
    <s v="2005-05-01"/>
    <n v="0"/>
    <n v="417"/>
    <n v="110.227763"/>
    <n v="1"/>
    <x v="1"/>
    <n v="42054.83"/>
    <n v="7780.13"/>
    <n v="0"/>
    <s v="4824615"/>
    <m/>
    <n v="45976"/>
    <n v="0"/>
    <n v="57986"/>
  </r>
  <r>
    <x v="3"/>
    <s v="04730-9"/>
    <s v="Drivhuset Hvilebæksgårdsvej 17"/>
    <n v="5486"/>
    <m/>
    <s v="Drivhuset"/>
    <x v="25"/>
    <x v="1"/>
    <x v="4"/>
    <n v="37869.599999999999"/>
    <n v="12"/>
    <m/>
    <n v="0"/>
    <n v="417"/>
    <n v="90.792614999999998"/>
    <n v="1"/>
    <x v="3"/>
    <n v="34466.07"/>
    <n v="182.75"/>
    <n v="1"/>
    <s v="4824615"/>
    <m/>
    <n v="1085.4000000000001"/>
    <n v="0"/>
    <n v="57988"/>
  </r>
  <r>
    <x v="3"/>
    <s v="04730-9"/>
    <s v="Drivhuset Hvilebæksgårdsvej 17"/>
    <n v="5486"/>
    <m/>
    <s v="Drivhuset"/>
    <x v="25"/>
    <x v="1"/>
    <x v="5"/>
    <n v="33123.51"/>
    <n v="12"/>
    <m/>
    <n v="0"/>
    <n v="417"/>
    <n v="79.413832999999997"/>
    <n v="1"/>
    <x v="3"/>
    <n v="35151.78"/>
    <n v="186.39"/>
    <n v="1"/>
    <s v="4824615"/>
    <m/>
    <n v="949.37"/>
    <n v="0"/>
    <n v="57988"/>
  </r>
  <r>
    <x v="3"/>
    <s v="04730-9"/>
    <s v="Drivhuset Hvilebæksgårdsvej 17"/>
    <n v="5486"/>
    <m/>
    <s v="Drivhuset"/>
    <x v="25"/>
    <x v="0"/>
    <x v="5"/>
    <n v="38847"/>
    <n v="12"/>
    <s v="2005-05-01"/>
    <n v="0"/>
    <n v="417"/>
    <n v="93.135937999999996"/>
    <n v="1"/>
    <x v="1"/>
    <n v="41306.71"/>
    <n v="7641.74"/>
    <n v="0"/>
    <s v="4824615"/>
    <m/>
    <n v="38847"/>
    <n v="0"/>
    <n v="57986"/>
  </r>
  <r>
    <x v="3"/>
    <s v="04730-9"/>
    <s v="Drivhuset Hvilebæksgårdsvej 17"/>
    <n v="5486"/>
    <m/>
    <s v="Drivhuset"/>
    <x v="25"/>
    <x v="0"/>
    <x v="6"/>
    <n v="37473"/>
    <n v="12"/>
    <s v="2005-05-01"/>
    <n v="0"/>
    <n v="417"/>
    <n v="89.841763999999998"/>
    <n v="1"/>
    <x v="1"/>
    <n v="42533.29"/>
    <n v="7868.66"/>
    <n v="0"/>
    <s v="4824615"/>
    <m/>
    <n v="37473"/>
    <n v="0"/>
    <n v="57986"/>
  </r>
  <r>
    <x v="3"/>
    <s v="04730-9"/>
    <s v="Drivhuset Hvilebæksgårdsvej 17"/>
    <n v="5486"/>
    <m/>
    <s v="Drivhuset"/>
    <x v="25"/>
    <x v="1"/>
    <x v="6"/>
    <n v="31264.58"/>
    <n v="12"/>
    <m/>
    <n v="0"/>
    <n v="417"/>
    <n v="74.957036000000002"/>
    <n v="1"/>
    <x v="3"/>
    <n v="35395.769999999997"/>
    <n v="187.68"/>
    <n v="1"/>
    <s v="4824615"/>
    <m/>
    <n v="896.09"/>
    <n v="0"/>
    <n v="57988"/>
  </r>
  <r>
    <x v="3"/>
    <m/>
    <s v="Espebo Børnecenter"/>
    <n v="10058"/>
    <m/>
    <s v="Espebo Børnecenter"/>
    <x v="26"/>
    <x v="0"/>
    <x v="0"/>
    <n v="57355"/>
    <n v="5"/>
    <s v="2012-08-01"/>
    <n v="0"/>
    <n v="692"/>
    <n v="50.411790000000003"/>
    <n v="1"/>
    <x v="1"/>
    <n v="66431"/>
    <n v="2523.31"/>
    <n v="0"/>
    <s v="7260018"/>
    <m/>
    <n v="34890"/>
    <n v="0"/>
    <n v="76686"/>
  </r>
  <r>
    <x v="3"/>
    <m/>
    <s v="Espebo Børnecenter"/>
    <n v="10058"/>
    <m/>
    <s v="Espebo Børnecenter"/>
    <x v="26"/>
    <x v="0"/>
    <x v="1"/>
    <n v="66610"/>
    <n v="12"/>
    <s v="2012-08-01"/>
    <n v="0"/>
    <n v="692"/>
    <n v="96.243317000000005"/>
    <n v="1"/>
    <x v="1"/>
    <n v="69516.69"/>
    <n v="4449.04"/>
    <n v="0"/>
    <s v="7260018"/>
    <m/>
    <n v="66610"/>
    <n v="0"/>
    <n v="76686"/>
  </r>
  <r>
    <x v="3"/>
    <m/>
    <s v="Espebo Børnecenter"/>
    <n v="10058"/>
    <m/>
    <s v="Espebo Børnecenter"/>
    <x v="26"/>
    <x v="0"/>
    <x v="2"/>
    <n v="85356.76"/>
    <n v="7"/>
    <s v="2012-08-01"/>
    <n v="0"/>
    <n v="692"/>
    <n v="123.330096"/>
    <n v="1"/>
    <x v="1"/>
    <n v="88499.55"/>
    <n v="16372.43"/>
    <n v="0"/>
    <s v="7260018"/>
    <m/>
    <n v="85356.769539999994"/>
    <n v="0"/>
    <n v="76686"/>
  </r>
  <r>
    <x v="3"/>
    <m/>
    <s v="Espebo Børnecenter"/>
    <n v="10058"/>
    <m/>
    <s v="Espebo Børnecenter"/>
    <x v="26"/>
    <x v="0"/>
    <x v="3"/>
    <n v="66438.23"/>
    <n v="12"/>
    <s v="2012-08-01"/>
    <n v="0"/>
    <n v="692"/>
    <n v="95.995130000000003"/>
    <n v="1"/>
    <x v="1"/>
    <n v="72058.75"/>
    <n v="13330.86"/>
    <n v="0"/>
    <s v="7260018"/>
    <m/>
    <n v="66438.230450000003"/>
    <n v="0"/>
    <n v="76686"/>
  </r>
  <r>
    <x v="3"/>
    <m/>
    <s v="Espebo Børnecenter"/>
    <n v="10058"/>
    <m/>
    <s v="Espebo Børnecenter"/>
    <x v="26"/>
    <x v="0"/>
    <x v="4"/>
    <n v="71531.58"/>
    <n v="5"/>
    <s v="2012-08-01"/>
    <n v="0"/>
    <n v="692"/>
    <n v="103.354399"/>
    <n v="1"/>
    <x v="1"/>
    <n v="65217.29"/>
    <n v="12065.2"/>
    <n v="0"/>
    <s v="7260018"/>
    <m/>
    <n v="71531.577529999995"/>
    <n v="0"/>
    <n v="76686"/>
  </r>
  <r>
    <x v="3"/>
    <m/>
    <s v="Espebo Børnecenter"/>
    <n v="10058"/>
    <m/>
    <s v="Espebo Børnecenter"/>
    <x v="26"/>
    <x v="0"/>
    <x v="5"/>
    <n v="73294.289999999994"/>
    <n v="4"/>
    <s v="2012-08-01"/>
    <n v="0"/>
    <n v="692"/>
    <n v="105.90130000000001"/>
    <n v="1"/>
    <x v="1"/>
    <n v="92307.92"/>
    <n v="17076.97"/>
    <n v="0"/>
    <s v="7260018"/>
    <m/>
    <n v="73294.286540000001"/>
    <n v="0"/>
    <n v="76686"/>
  </r>
  <r>
    <x v="3"/>
    <m/>
    <s v="Espebo Børnecenter"/>
    <n v="10058"/>
    <m/>
    <s v="Espebo Børnecenter"/>
    <x v="26"/>
    <x v="0"/>
    <x v="6"/>
    <n v="64822"/>
    <n v="4"/>
    <s v="2012-08-01"/>
    <n v="0"/>
    <n v="692"/>
    <n v="93.659875"/>
    <n v="1"/>
    <x v="1"/>
    <n v="75128.73"/>
    <n v="13898.82"/>
    <n v="0"/>
    <s v="7260018"/>
    <m/>
    <n v="64821.995929999997"/>
    <n v="0"/>
    <n v="76686"/>
  </r>
  <r>
    <x v="3"/>
    <s v="03971-3"/>
    <s v="Farum Vejgård, Stavnsholtvej 170"/>
    <n v="5428"/>
    <m/>
    <s v="Farum Vejgård"/>
    <x v="28"/>
    <x v="0"/>
    <x v="0"/>
    <n v="107438"/>
    <n v="5"/>
    <s v="2006-03-15"/>
    <n v="0"/>
    <n v="679"/>
    <n v="91.926432000000005"/>
    <n v="1"/>
    <x v="4"/>
    <n v="122873"/>
    <n v="14866.72"/>
    <n v="0"/>
    <s v="1204444"/>
    <s v="98001985524"/>
    <n v="5780.3"/>
    <n v="0"/>
    <n v="57403"/>
  </r>
  <r>
    <x v="3"/>
    <s v="03971-3"/>
    <s v="Farum Vejgård, Stavnsholtvej 170"/>
    <n v="5428"/>
    <m/>
    <s v="Farum Vejgård"/>
    <x v="28"/>
    <x v="0"/>
    <x v="1"/>
    <n v="136911.82"/>
    <n v="12"/>
    <s v="2006-03-15"/>
    <n v="0"/>
    <n v="679"/>
    <n v="201.60774499999999"/>
    <n v="1"/>
    <x v="4"/>
    <n v="142993.72"/>
    <n v="30240.52"/>
    <n v="0"/>
    <s v="1204444"/>
    <s v="98001985524"/>
    <n v="12677.02"/>
    <n v="0"/>
    <n v="57403"/>
  </r>
  <r>
    <x v="3"/>
    <s v="03971-3"/>
    <s v="Farum Vejgård, Stavnsholtvej 170"/>
    <n v="5428"/>
    <m/>
    <s v="Farum Vejgård"/>
    <x v="28"/>
    <x v="0"/>
    <x v="2"/>
    <n v="145074.03"/>
    <n v="12"/>
    <s v="2006-03-15"/>
    <n v="0"/>
    <n v="679"/>
    <n v="213.626903"/>
    <n v="1"/>
    <x v="4"/>
    <n v="152633.87"/>
    <n v="32279.23"/>
    <n v="0"/>
    <s v="1204444"/>
    <s v="98001985524"/>
    <n v="13432.78"/>
    <n v="0"/>
    <n v="57403"/>
  </r>
  <r>
    <x v="3"/>
    <s v="03971-3"/>
    <s v="Farum Vejgård, Stavnsholtvej 170"/>
    <n v="5428"/>
    <m/>
    <s v="Farum Vejgård"/>
    <x v="28"/>
    <x v="0"/>
    <x v="3"/>
    <n v="142132.87"/>
    <n v="12"/>
    <s v="2006-03-15"/>
    <n v="0"/>
    <n v="679"/>
    <n v="209.29593499999999"/>
    <n v="1"/>
    <x v="4"/>
    <n v="156279.5"/>
    <n v="33050.230000000003"/>
    <n v="0"/>
    <s v="1204444"/>
    <s v="98001985524"/>
    <n v="13160.45"/>
    <n v="0"/>
    <n v="57403"/>
  </r>
  <r>
    <x v="3"/>
    <s v="03971-3"/>
    <s v="Farum Vejgård, Stavnsholtvej 170"/>
    <n v="5428"/>
    <m/>
    <s v="Farum Vejgård"/>
    <x v="28"/>
    <x v="0"/>
    <x v="4"/>
    <n v="164258.17000000001"/>
    <n v="12"/>
    <s v="2006-03-15"/>
    <n v="0"/>
    <n v="679"/>
    <n v="241.876262"/>
    <n v="1"/>
    <x v="4"/>
    <n v="150428.35999999999"/>
    <n v="31812.799999999999"/>
    <n v="0"/>
    <s v="1204444"/>
    <s v="98001985524"/>
    <n v="15209.09"/>
    <n v="0"/>
    <n v="57403"/>
  </r>
  <r>
    <x v="3"/>
    <s v="03971-3"/>
    <s v="Farum Vejgård, Stavnsholtvej 170"/>
    <n v="5428"/>
    <m/>
    <s v="Farum Vejgård"/>
    <x v="28"/>
    <x v="0"/>
    <x v="5"/>
    <n v="138080.16"/>
    <n v="12"/>
    <s v="2006-03-15"/>
    <n v="0"/>
    <n v="679"/>
    <n v="203.328169"/>
    <n v="1"/>
    <x v="4"/>
    <n v="150219.49"/>
    <n v="31768.62"/>
    <n v="0"/>
    <s v="1204444"/>
    <s v="98001985524"/>
    <n v="12785.2"/>
    <n v="0"/>
    <n v="57403"/>
  </r>
  <r>
    <x v="3"/>
    <s v="03971-3"/>
    <s v="Farum Vejgård, Stavnsholtvej 170"/>
    <n v="5428"/>
    <m/>
    <s v="Farum Vejgård"/>
    <x v="28"/>
    <x v="0"/>
    <x v="6"/>
    <n v="132190.35999999999"/>
    <n v="12"/>
    <s v="2006-03-15"/>
    <n v="0"/>
    <n v="679"/>
    <n v="194.65522000000001"/>
    <n v="1"/>
    <x v="4"/>
    <n v="151792.07999999999"/>
    <n v="32101.22"/>
    <n v="0"/>
    <s v="1204444"/>
    <s v="98001985524"/>
    <n v="12239.85"/>
    <n v="0"/>
    <n v="57403"/>
  </r>
  <r>
    <x v="3"/>
    <s v="00005-1"/>
    <s v="Farumsødal"/>
    <n v="5262"/>
    <m/>
    <s v="Farumsødal"/>
    <x v="29"/>
    <x v="0"/>
    <x v="0"/>
    <n v="103594"/>
    <n v="5"/>
    <m/>
    <n v="0"/>
    <n v="874"/>
    <n v="0"/>
    <n v="1"/>
    <x v="1"/>
    <n v="142387"/>
    <n v="0"/>
    <n v="0"/>
    <s v="Nr. ???"/>
    <m/>
    <n v="0"/>
    <n v="0"/>
    <n v="56738"/>
  </r>
  <r>
    <x v="3"/>
    <s v="00005-1"/>
    <s v="Farumsødal"/>
    <n v="5262"/>
    <m/>
    <s v="Farumsødal"/>
    <x v="29"/>
    <x v="1"/>
    <x v="0"/>
    <n v="0"/>
    <n v="5"/>
    <m/>
    <n v="0"/>
    <n v="874"/>
    <n v="0"/>
    <n v="1"/>
    <x v="3"/>
    <n v="0"/>
    <n v="0"/>
    <n v="1"/>
    <s v="Nr. ???"/>
    <m/>
    <n v="0"/>
    <n v="0"/>
    <n v="56997"/>
  </r>
  <r>
    <x v="3"/>
    <s v="00005-1"/>
    <s v="Farumsødal"/>
    <n v="5262"/>
    <m/>
    <s v="Farumsødal"/>
    <x v="29"/>
    <x v="1"/>
    <x v="1"/>
    <n v="240451.42"/>
    <n v="12"/>
    <m/>
    <n v="0"/>
    <n v="874"/>
    <n v="275.084566"/>
    <n v="1"/>
    <x v="3"/>
    <n v="253996.49"/>
    <n v="1346.8"/>
    <n v="1"/>
    <s v="Nr. ???"/>
    <m/>
    <n v="6891.7"/>
    <n v="0"/>
    <n v="56997"/>
  </r>
  <r>
    <x v="3"/>
    <s v="00005-1"/>
    <s v="Farumsødal"/>
    <n v="5262"/>
    <m/>
    <s v="Farumsødal"/>
    <x v="29"/>
    <x v="0"/>
    <x v="1"/>
    <n v="97180"/>
    <n v="12"/>
    <m/>
    <n v="0"/>
    <n v="874"/>
    <n v="111.17721"/>
    <n v="1"/>
    <x v="1"/>
    <n v="100974.14"/>
    <n v="18680.22"/>
    <n v="0"/>
    <s v="Nr. ???"/>
    <m/>
    <n v="97180"/>
    <n v="0"/>
    <n v="56738"/>
  </r>
  <r>
    <x v="3"/>
    <s v="00005-1"/>
    <s v="Farumsødal"/>
    <n v="5262"/>
    <m/>
    <s v="Farumsødal"/>
    <x v="29"/>
    <x v="0"/>
    <x v="2"/>
    <n v="97550"/>
    <n v="12"/>
    <m/>
    <n v="0"/>
    <n v="874"/>
    <n v="111.600503"/>
    <n v="1"/>
    <x v="1"/>
    <n v="102997.77"/>
    <n v="19054.599999999999"/>
    <n v="0"/>
    <s v="Nr. ???"/>
    <m/>
    <n v="97550"/>
    <n v="0"/>
    <n v="56738"/>
  </r>
  <r>
    <x v="3"/>
    <s v="00005-1"/>
    <s v="Farumsødal"/>
    <n v="5262"/>
    <m/>
    <s v="Farumsødal"/>
    <x v="29"/>
    <x v="1"/>
    <x v="2"/>
    <n v="247530.59"/>
    <n v="12"/>
    <m/>
    <n v="0"/>
    <n v="874"/>
    <n v="283.18337700000001"/>
    <n v="1"/>
    <x v="3"/>
    <n v="261156.92"/>
    <n v="1384.75"/>
    <n v="1"/>
    <s v="Nr. ???"/>
    <m/>
    <n v="7094.6"/>
    <n v="0"/>
    <n v="56997"/>
  </r>
  <r>
    <x v="3"/>
    <s v="00005-1"/>
    <s v="Farumsødal"/>
    <n v="5262"/>
    <m/>
    <s v="Farumsødal"/>
    <x v="29"/>
    <x v="0"/>
    <x v="3"/>
    <n v="94420"/>
    <n v="12"/>
    <m/>
    <n v="0"/>
    <n v="874"/>
    <n v="108.019677"/>
    <n v="1"/>
    <x v="1"/>
    <n v="102587.96"/>
    <n v="18978.77"/>
    <n v="0"/>
    <s v="Nr. ???"/>
    <m/>
    <n v="94420"/>
    <n v="0"/>
    <n v="56738"/>
  </r>
  <r>
    <x v="3"/>
    <s v="00005-1"/>
    <s v="Farumsødal"/>
    <n v="5262"/>
    <m/>
    <s v="Farumsødal"/>
    <x v="29"/>
    <x v="1"/>
    <x v="3"/>
    <n v="245018.52"/>
    <n v="12"/>
    <m/>
    <n v="0"/>
    <n v="874"/>
    <n v="280.309484"/>
    <n v="1"/>
    <x v="3"/>
    <n v="268911.63"/>
    <n v="1425.87"/>
    <n v="1"/>
    <s v="Nr. ???"/>
    <m/>
    <n v="7022.6"/>
    <n v="0"/>
    <n v="56997"/>
  </r>
  <r>
    <x v="3"/>
    <s v="00005-1"/>
    <s v="Farumsødal"/>
    <n v="5262"/>
    <m/>
    <s v="Farumsødal"/>
    <x v="29"/>
    <x v="0"/>
    <x v="4"/>
    <n v="110630"/>
    <n v="12"/>
    <m/>
    <n v="0"/>
    <n v="874"/>
    <n v="126.564466"/>
    <n v="1"/>
    <x v="1"/>
    <n v="100546.72"/>
    <n v="18601.14"/>
    <n v="0"/>
    <s v="Nr. ???"/>
    <m/>
    <n v="110630"/>
    <n v="0"/>
    <n v="56738"/>
  </r>
  <r>
    <x v="3"/>
    <s v="00005-1"/>
    <s v="Farumsødal"/>
    <n v="5262"/>
    <m/>
    <s v="Farumsødal"/>
    <x v="29"/>
    <x v="1"/>
    <x v="4"/>
    <n v="223561.15"/>
    <n v="12"/>
    <m/>
    <n v="0"/>
    <n v="874"/>
    <n v="255.761526"/>
    <n v="1"/>
    <x v="3"/>
    <n v="203339.42"/>
    <n v="1078.17"/>
    <n v="1"/>
    <s v="Nr. ???"/>
    <m/>
    <n v="6407.6"/>
    <n v="0"/>
    <n v="56997"/>
  </r>
  <r>
    <x v="3"/>
    <s v="00005-1"/>
    <s v="Farumsødal"/>
    <n v="5262"/>
    <m/>
    <s v="Farumsødal"/>
    <x v="29"/>
    <x v="1"/>
    <x v="5"/>
    <n v="182279.32"/>
    <n v="12"/>
    <m/>
    <n v="0"/>
    <n v="874"/>
    <n v="208.533714"/>
    <n v="1"/>
    <x v="3"/>
    <n v="193376.44"/>
    <n v="1025.3499999999999"/>
    <n v="1"/>
    <s v="Nr. ???"/>
    <m/>
    <n v="5224.3999999999996"/>
    <n v="0"/>
    <n v="56997"/>
  </r>
  <r>
    <x v="3"/>
    <s v="00005-1"/>
    <s v="Farumsødal"/>
    <n v="5262"/>
    <m/>
    <s v="Farumsødal"/>
    <x v="29"/>
    <x v="0"/>
    <x v="5"/>
    <n v="92790"/>
    <n v="12"/>
    <m/>
    <n v="0"/>
    <n v="874"/>
    <n v="106.15490200000001"/>
    <n v="1"/>
    <x v="1"/>
    <n v="98139.36"/>
    <n v="18155.78"/>
    <n v="0"/>
    <s v="Nr. ???"/>
    <m/>
    <n v="92790"/>
    <n v="0"/>
    <n v="56738"/>
  </r>
  <r>
    <x v="3"/>
    <s v="00005-1"/>
    <s v="Farumsødal"/>
    <n v="5262"/>
    <m/>
    <s v="Farumsødal"/>
    <x v="29"/>
    <x v="0"/>
    <x v="6"/>
    <n v="89680"/>
    <n v="12"/>
    <m/>
    <n v="0"/>
    <n v="874"/>
    <n v="102.59695600000001"/>
    <n v="1"/>
    <x v="1"/>
    <n v="103198.08"/>
    <n v="19091.650000000001"/>
    <n v="0"/>
    <s v="Nr. ???"/>
    <m/>
    <n v="89680"/>
    <n v="0"/>
    <n v="56738"/>
  </r>
  <r>
    <x v="3"/>
    <s v="00005-1"/>
    <s v="Farumsødal"/>
    <n v="5262"/>
    <m/>
    <s v="Farumsødal"/>
    <x v="29"/>
    <x v="1"/>
    <x v="6"/>
    <n v="179313.67"/>
    <n v="12"/>
    <m/>
    <n v="0"/>
    <n v="874"/>
    <n v="205.14090999999999"/>
    <n v="1"/>
    <x v="3"/>
    <n v="204695.99"/>
    <n v="1085.3699999999999"/>
    <n v="1"/>
    <s v="Nr. ???"/>
    <m/>
    <n v="5139.3999999999996"/>
    <n v="0"/>
    <n v="56997"/>
  </r>
  <r>
    <x v="3"/>
    <s v="00731-5"/>
    <s v="Græshoppen"/>
    <n v="5264"/>
    <m/>
    <s v="Græshoppen"/>
    <x v="31"/>
    <x v="0"/>
    <x v="0"/>
    <n v="50995"/>
    <n v="5"/>
    <s v="2005-07-01"/>
    <n v="0"/>
    <n v="333"/>
    <n v="85.827078"/>
    <n v="1"/>
    <x v="1"/>
    <n v="58156"/>
    <n v="5910711.1500000004"/>
    <n v="0"/>
    <s v="4107805"/>
    <m/>
    <n v="28589"/>
    <n v="0"/>
    <n v="56768"/>
  </r>
  <r>
    <x v="3"/>
    <s v="00731-5"/>
    <s v="Græshoppen"/>
    <n v="5264"/>
    <m/>
    <s v="Græshoppen"/>
    <x v="31"/>
    <x v="1"/>
    <x v="0"/>
    <n v="20271.099999999999"/>
    <n v="5"/>
    <s v="2005-07-01"/>
    <n v="0"/>
    <n v="333"/>
    <n v="60.855899000000001"/>
    <n v="1"/>
    <x v="3"/>
    <n v="22695.64"/>
    <n v="120340.88"/>
    <n v="1"/>
    <s v="4107805"/>
    <m/>
    <n v="581"/>
    <n v="0"/>
    <n v="56998"/>
  </r>
  <r>
    <x v="3"/>
    <s v="00731-5"/>
    <s v="Græshoppen"/>
    <n v="5264"/>
    <m/>
    <s v="Græshoppen"/>
    <x v="31"/>
    <x v="0"/>
    <x v="1"/>
    <n v="53955"/>
    <n v="12"/>
    <s v="2005-07-01"/>
    <n v="0"/>
    <n v="333"/>
    <n v="161.97838400000001"/>
    <n v="1"/>
    <x v="1"/>
    <n v="55991.35"/>
    <n v="10358.4"/>
    <n v="0"/>
    <s v="4107805"/>
    <m/>
    <n v="53955"/>
    <n v="0"/>
    <n v="56768"/>
  </r>
  <r>
    <x v="3"/>
    <s v="00731-5"/>
    <s v="Græshoppen"/>
    <n v="5264"/>
    <m/>
    <s v="Græshoppen"/>
    <x v="31"/>
    <x v="1"/>
    <x v="1"/>
    <n v="36479.08"/>
    <n v="12"/>
    <s v="2005-07-01"/>
    <n v="0"/>
    <n v="333"/>
    <n v="109.51389899999999"/>
    <n v="1"/>
    <x v="3"/>
    <n v="37709.81"/>
    <n v="199.93"/>
    <n v="1"/>
    <s v="4107805"/>
    <m/>
    <n v="1045.5450000000001"/>
    <n v="0"/>
    <n v="56998"/>
  </r>
  <r>
    <x v="3"/>
    <s v="00731-5"/>
    <s v="Græshoppen"/>
    <n v="5264"/>
    <m/>
    <s v="Græshoppen"/>
    <x v="31"/>
    <x v="0"/>
    <x v="2"/>
    <n v="55626"/>
    <n v="12"/>
    <s v="2005-07-01"/>
    <n v="0"/>
    <n v="333"/>
    <n v="166.99489600000001"/>
    <n v="1"/>
    <x v="1"/>
    <n v="58348.58"/>
    <n v="10794.5"/>
    <n v="0"/>
    <s v="4107805"/>
    <m/>
    <n v="55626"/>
    <n v="0"/>
    <n v="56768"/>
  </r>
  <r>
    <x v="3"/>
    <s v="00731-5"/>
    <s v="Græshoppen"/>
    <n v="5264"/>
    <m/>
    <s v="Græshoppen"/>
    <x v="31"/>
    <x v="1"/>
    <x v="2"/>
    <n v="39378.43"/>
    <n v="12"/>
    <s v="2005-07-01"/>
    <n v="0"/>
    <n v="333"/>
    <n v="118.218042"/>
    <n v="1"/>
    <x v="3"/>
    <n v="41212.800000000003"/>
    <n v="218.52"/>
    <n v="1"/>
    <s v="4107805"/>
    <m/>
    <n v="1128.645"/>
    <n v="0"/>
    <n v="56998"/>
  </r>
  <r>
    <x v="3"/>
    <s v="00731-5"/>
    <s v="Græshoppen"/>
    <n v="5264"/>
    <m/>
    <s v="Græshoppen"/>
    <x v="31"/>
    <x v="0"/>
    <x v="3"/>
    <n v="48171"/>
    <n v="12"/>
    <s v="2005-07-01"/>
    <n v="0"/>
    <n v="333"/>
    <n v="144.61422899999999"/>
    <n v="1"/>
    <x v="1"/>
    <n v="52871.37"/>
    <n v="9781.2099999999991"/>
    <n v="0"/>
    <s v="4107805"/>
    <m/>
    <n v="48171"/>
    <n v="0"/>
    <n v="56768"/>
  </r>
  <r>
    <x v="3"/>
    <s v="00731-5"/>
    <s v="Græshoppen"/>
    <n v="5264"/>
    <m/>
    <s v="Græshoppen"/>
    <x v="31"/>
    <x v="1"/>
    <x v="3"/>
    <n v="34934.67"/>
    <n v="12"/>
    <s v="2005-07-01"/>
    <n v="0"/>
    <n v="333"/>
    <n v="104.877424"/>
    <n v="1"/>
    <x v="3"/>
    <n v="38122.01"/>
    <n v="202.14"/>
    <n v="1"/>
    <s v="4107805"/>
    <m/>
    <n v="1001.28"/>
    <n v="0"/>
    <n v="56998"/>
  </r>
  <r>
    <x v="3"/>
    <s v="00731-5"/>
    <s v="Græshoppen"/>
    <n v="5264"/>
    <m/>
    <s v="Græshoppen"/>
    <x v="31"/>
    <x v="0"/>
    <x v="4"/>
    <n v="47197"/>
    <n v="12"/>
    <s v="2005-07-01"/>
    <n v="0"/>
    <n v="333"/>
    <n v="141.69018299999999"/>
    <n v="1"/>
    <x v="1"/>
    <n v="43369.24"/>
    <n v="8023.31"/>
    <n v="0"/>
    <s v="4107805"/>
    <m/>
    <n v="47197"/>
    <n v="0"/>
    <n v="56768"/>
  </r>
  <r>
    <x v="3"/>
    <s v="00731-5"/>
    <s v="Græshoppen"/>
    <n v="5264"/>
    <m/>
    <s v="Græshoppen"/>
    <x v="31"/>
    <x v="1"/>
    <x v="4"/>
    <n v="40825.14"/>
    <n v="12"/>
    <s v="2005-07-01"/>
    <n v="0"/>
    <n v="333"/>
    <n v="122.561212"/>
    <n v="1"/>
    <x v="3"/>
    <n v="37362.76"/>
    <n v="198.13"/>
    <n v="1"/>
    <s v="4107805"/>
    <m/>
    <n v="1170.1099999999999"/>
    <n v="0"/>
    <n v="56998"/>
  </r>
  <r>
    <x v="3"/>
    <s v="00731-5"/>
    <s v="Græshoppen"/>
    <n v="5264"/>
    <m/>
    <s v="Græshoppen"/>
    <x v="31"/>
    <x v="0"/>
    <x v="5"/>
    <n v="44027"/>
    <n v="12"/>
    <s v="2005-07-01"/>
    <n v="0"/>
    <n v="333"/>
    <n v="132.17352099999999"/>
    <n v="1"/>
    <x v="1"/>
    <n v="47184.01"/>
    <n v="8729.0300000000007"/>
    <n v="0"/>
    <s v="4107805"/>
    <m/>
    <n v="44027"/>
    <n v="0"/>
    <n v="56768"/>
  </r>
  <r>
    <x v="3"/>
    <s v="00731-5"/>
    <s v="Græshoppen"/>
    <n v="5264"/>
    <m/>
    <s v="Græshoppen"/>
    <x v="31"/>
    <x v="1"/>
    <x v="5"/>
    <n v="34763.03"/>
    <n v="12"/>
    <s v="2005-07-01"/>
    <n v="0"/>
    <n v="333"/>
    <n v="104.362143"/>
    <n v="1"/>
    <x v="3"/>
    <n v="37123.49"/>
    <n v="196.85"/>
    <n v="1"/>
    <s v="4107805"/>
    <m/>
    <n v="996.36"/>
    <n v="0"/>
    <n v="56998"/>
  </r>
  <r>
    <x v="3"/>
    <s v="00731-5"/>
    <s v="Græshoppen"/>
    <n v="5264"/>
    <m/>
    <s v="Græshoppen"/>
    <x v="31"/>
    <x v="0"/>
    <x v="6"/>
    <n v="41864"/>
    <n v="12"/>
    <s v="2005-07-01"/>
    <n v="0"/>
    <n v="333"/>
    <n v="125.679975"/>
    <n v="1"/>
    <x v="1"/>
    <n v="47579.3"/>
    <n v="8802.16"/>
    <n v="0"/>
    <s v="4107805"/>
    <m/>
    <n v="41864"/>
    <n v="0"/>
    <n v="56768"/>
  </r>
  <r>
    <x v="3"/>
    <s v="00731-5"/>
    <s v="Græshoppen"/>
    <n v="5264"/>
    <m/>
    <s v="Græshoppen"/>
    <x v="31"/>
    <x v="1"/>
    <x v="6"/>
    <n v="31220.28"/>
    <n v="12"/>
    <s v="2005-07-01"/>
    <n v="0"/>
    <n v="333"/>
    <n v="93.726448000000005"/>
    <n v="1"/>
    <x v="3"/>
    <n v="35312.01"/>
    <n v="187.23"/>
    <n v="1"/>
    <s v="4107805"/>
    <m/>
    <n v="894.82"/>
    <n v="0"/>
    <n v="56998"/>
  </r>
  <r>
    <x v="3"/>
    <m/>
    <s v="Hareskov Børnehus, Skovmose 55"/>
    <n v="9957"/>
    <m/>
    <s v="Hareskov Børnehus"/>
    <x v="33"/>
    <x v="0"/>
    <x v="0"/>
    <n v="66285"/>
    <n v="5"/>
    <s v="2011-12-31"/>
    <n v="0"/>
    <n v="646"/>
    <n v="56.442160000000001"/>
    <n v="1"/>
    <x v="4"/>
    <n v="74284"/>
    <n v="8653.7000000000007"/>
    <n v="0"/>
    <s v="HNG16.04.677"/>
    <s v="98004052711"/>
    <n v="3376.6"/>
    <n v="0"/>
    <n v="76350"/>
  </r>
  <r>
    <x v="3"/>
    <m/>
    <s v="Hareskov Børnehus, Skovmose 55"/>
    <n v="9957"/>
    <m/>
    <s v="Hareskov Børnehus"/>
    <x v="33"/>
    <x v="0"/>
    <x v="1"/>
    <n v="66663.87"/>
    <n v="12"/>
    <s v="2011-12-31"/>
    <n v="0"/>
    <n v="646"/>
    <n v="103.178873"/>
    <n v="1"/>
    <x v="4"/>
    <n v="75166.62"/>
    <n v="15896.36"/>
    <n v="0"/>
    <s v="HNG16.04.677"/>
    <s v="98004052711"/>
    <n v="6172.58"/>
    <n v="0"/>
    <n v="76350"/>
  </r>
  <r>
    <x v="3"/>
    <m/>
    <s v="Hareskov Børnehus, Skovmose 55"/>
    <n v="9957"/>
    <m/>
    <s v="Hareskov Børnehus"/>
    <x v="33"/>
    <x v="0"/>
    <x v="2"/>
    <n v="74521.929999999993"/>
    <n v="12"/>
    <s v="2011-12-31"/>
    <n v="0"/>
    <n v="646"/>
    <n v="115.34117000000001"/>
    <n v="1"/>
    <x v="4"/>
    <n v="78813.600000000006"/>
    <n v="16667.61"/>
    <n v="0"/>
    <s v="HNG16.04.677"/>
    <s v="98004052711"/>
    <n v="6900.18"/>
    <n v="0"/>
    <n v="76350"/>
  </r>
  <r>
    <x v="3"/>
    <m/>
    <s v="Hareskov Børnehus, Skovmose 55"/>
    <n v="9957"/>
    <m/>
    <s v="Hareskov Børnehus"/>
    <x v="33"/>
    <x v="0"/>
    <x v="3"/>
    <n v="66764.800000000003"/>
    <n v="6"/>
    <s v="2011-12-31"/>
    <n v="0"/>
    <n v="646"/>
    <n v="103.335087"/>
    <n v="1"/>
    <x v="4"/>
    <n v="79340.34"/>
    <n v="16779.009999999998"/>
    <n v="0"/>
    <s v="HNG16.04.677"/>
    <s v="98004052711"/>
    <n v="6181.9270699999997"/>
    <n v="0"/>
    <n v="76350"/>
  </r>
  <r>
    <x v="3"/>
    <m/>
    <s v="Hareskov Børnehus, Skovmose 55"/>
    <n v="9957"/>
    <m/>
    <s v="Hareskov Børnehus"/>
    <x v="33"/>
    <x v="0"/>
    <x v="4"/>
    <n v="57378.37"/>
    <n v="3"/>
    <s v="2011-12-31"/>
    <n v="0"/>
    <n v="646"/>
    <n v="88.807258000000004"/>
    <n v="1"/>
    <x v="4"/>
    <n v="67478.44"/>
    <n v="14270.43"/>
    <n v="0"/>
    <s v="HNG16.04.677"/>
    <s v="98004052711"/>
    <n v="5312.8092800000004"/>
    <n v="0"/>
    <n v="76350"/>
  </r>
  <r>
    <x v="3"/>
    <m/>
    <s v="Hareskov Børnehus, Skovmose 55"/>
    <n v="9957"/>
    <m/>
    <s v="Hareskov Børnehus"/>
    <x v="33"/>
    <x v="0"/>
    <x v="5"/>
    <n v="56713.21"/>
    <n v="4"/>
    <s v="2011-12-31"/>
    <n v="0"/>
    <n v="646"/>
    <n v="87.777758000000006"/>
    <n v="1"/>
    <x v="4"/>
    <n v="79639.03"/>
    <n v="16842.169999999998"/>
    <n v="0"/>
    <s v="HNG16.04.677"/>
    <s v="98004052711"/>
    <n v="5251.2221200000004"/>
    <n v="0"/>
    <n v="76350"/>
  </r>
  <r>
    <x v="3"/>
    <m/>
    <s v="Hareskov Børnehus, Skovmose 55"/>
    <n v="9957"/>
    <m/>
    <s v="Hareskov Børnehus"/>
    <x v="33"/>
    <x v="0"/>
    <x v="6"/>
    <n v="53618.29"/>
    <n v="7"/>
    <s v="2011-12-31"/>
    <n v="0"/>
    <n v="646"/>
    <n v="82.987601999999995"/>
    <n v="1"/>
    <x v="4"/>
    <n v="62191.97"/>
    <n v="13152.44"/>
    <n v="0"/>
    <s v="HNG16.04.677"/>
    <s v="98004052711"/>
    <n v="4964.6577100000004"/>
    <n v="0"/>
    <n v="76350"/>
  </r>
  <r>
    <x v="3"/>
    <s v="01215-7"/>
    <s v="Kildehuset, Hoved 41"/>
    <n v="5269"/>
    <m/>
    <s v="Kildehuset"/>
    <x v="34"/>
    <x v="1"/>
    <x v="0"/>
    <n v="23523.18"/>
    <n v="5"/>
    <s v="2005-06-01"/>
    <n v="0"/>
    <n v="607"/>
    <n v="38.746796000000003"/>
    <n v="1"/>
    <x v="3"/>
    <n v="26522.959999999999"/>
    <n v="140634.79"/>
    <n v="1"/>
    <s v="4824618"/>
    <m/>
    <n v="674.21"/>
    <n v="0"/>
    <n v="57001"/>
  </r>
  <r>
    <x v="3"/>
    <s v="01215-7"/>
    <s v="Kildehuset, Hoved 41"/>
    <n v="5269"/>
    <m/>
    <s v="Kildehuset"/>
    <x v="34"/>
    <x v="0"/>
    <x v="0"/>
    <n v="54740"/>
    <n v="5"/>
    <s v="2005-06-01"/>
    <n v="0"/>
    <n v="607"/>
    <n v="51.986493000000003"/>
    <n v="1"/>
    <x v="1"/>
    <n v="62934"/>
    <n v="6601351.2999999998"/>
    <n v="0"/>
    <s v="4824618"/>
    <m/>
    <n v="31561"/>
    <n v="0"/>
    <n v="56816"/>
  </r>
  <r>
    <x v="3"/>
    <s v="01215-7"/>
    <s v="Kildehuset, Hoved 41"/>
    <n v="5269"/>
    <m/>
    <s v="Kildehuset"/>
    <x v="34"/>
    <x v="0"/>
    <x v="1"/>
    <n v="72341"/>
    <n v="12"/>
    <s v="2005-06-01"/>
    <n v="0"/>
    <n v="607"/>
    <n v="119.158293"/>
    <n v="1"/>
    <x v="1"/>
    <n v="75990.58"/>
    <n v="14058.25"/>
    <n v="0"/>
    <s v="4824618"/>
    <m/>
    <n v="72341"/>
    <n v="0"/>
    <n v="56816"/>
  </r>
  <r>
    <x v="3"/>
    <s v="01215-7"/>
    <s v="Kildehuset, Hoved 41"/>
    <n v="5269"/>
    <m/>
    <s v="Kildehuset"/>
    <x v="34"/>
    <x v="1"/>
    <x v="1"/>
    <n v="54975.82"/>
    <n v="12"/>
    <s v="2005-06-01"/>
    <n v="0"/>
    <n v="607"/>
    <n v="90.554800999999998"/>
    <n v="1"/>
    <x v="3"/>
    <n v="57477.74"/>
    <n v="304.77999999999997"/>
    <n v="1"/>
    <s v="4824618"/>
    <m/>
    <n v="1575.69"/>
    <n v="0"/>
    <n v="57001"/>
  </r>
  <r>
    <x v="3"/>
    <s v="01215-7"/>
    <s v="Kildehuset, Hoved 41"/>
    <n v="5269"/>
    <m/>
    <s v="Kildehuset"/>
    <x v="34"/>
    <x v="0"/>
    <x v="2"/>
    <n v="79779"/>
    <n v="12"/>
    <s v="2005-06-01"/>
    <n v="0"/>
    <n v="607"/>
    <n v="131.40998099999999"/>
    <n v="1"/>
    <x v="1"/>
    <n v="84245.01"/>
    <n v="15585.33"/>
    <n v="0"/>
    <s v="4824618"/>
    <m/>
    <n v="79779"/>
    <n v="0"/>
    <n v="56816"/>
  </r>
  <r>
    <x v="3"/>
    <s v="01215-7"/>
    <s v="Kildehuset, Hoved 41"/>
    <n v="5269"/>
    <m/>
    <s v="Kildehuset"/>
    <x v="34"/>
    <x v="1"/>
    <x v="2"/>
    <n v="63907.67"/>
    <n v="12"/>
    <s v="2005-06-01"/>
    <n v="0"/>
    <n v="607"/>
    <n v="105.267122"/>
    <n v="1"/>
    <x v="3"/>
    <n v="68420.429999999993"/>
    <n v="362.8"/>
    <n v="1"/>
    <s v="4824618"/>
    <m/>
    <n v="1831.69"/>
    <n v="0"/>
    <n v="57001"/>
  </r>
  <r>
    <x v="3"/>
    <s v="01215-7"/>
    <s v="Kildehuset, Hoved 41"/>
    <n v="5269"/>
    <m/>
    <s v="Kildehuset"/>
    <x v="34"/>
    <x v="0"/>
    <x v="3"/>
    <n v="71199"/>
    <n v="12"/>
    <s v="2005-06-01"/>
    <n v="0"/>
    <n v="607"/>
    <n v="117.277219"/>
    <n v="1"/>
    <x v="1"/>
    <n v="77754.740000000005"/>
    <n v="14384.64"/>
    <n v="0"/>
    <s v="4824618"/>
    <m/>
    <n v="71199"/>
    <n v="0"/>
    <n v="56816"/>
  </r>
  <r>
    <x v="3"/>
    <s v="01215-7"/>
    <s v="Kildehuset, Hoved 41"/>
    <n v="5269"/>
    <m/>
    <s v="Kildehuset"/>
    <x v="34"/>
    <x v="1"/>
    <x v="3"/>
    <n v="54244.89"/>
    <n v="12"/>
    <s v="2005-06-01"/>
    <n v="0"/>
    <n v="607"/>
    <n v="89.350830999999999"/>
    <n v="1"/>
    <x v="3"/>
    <n v="59121.01"/>
    <n v="313.49"/>
    <n v="1"/>
    <s v="4824618"/>
    <m/>
    <n v="1554.74"/>
    <n v="0"/>
    <n v="57001"/>
  </r>
  <r>
    <x v="3"/>
    <s v="01215-7"/>
    <s v="Kildehuset, Hoved 41"/>
    <n v="5269"/>
    <m/>
    <s v="Kildehuset"/>
    <x v="34"/>
    <x v="0"/>
    <x v="4"/>
    <n v="86983.99"/>
    <n v="12"/>
    <s v="2005-06-01"/>
    <n v="0"/>
    <n v="607"/>
    <n v="143.277861"/>
    <n v="1"/>
    <x v="1"/>
    <n v="79535.649999999994"/>
    <n v="14714.08"/>
    <n v="0"/>
    <s v="4824618"/>
    <m/>
    <n v="86983.994999999995"/>
    <n v="0"/>
    <n v="56816"/>
  </r>
  <r>
    <x v="3"/>
    <s v="01215-7"/>
    <s v="Kildehuset, Hoved 41"/>
    <n v="5269"/>
    <m/>
    <s v="Kildehuset"/>
    <x v="34"/>
    <x v="1"/>
    <x v="4"/>
    <n v="72277.789999999994"/>
    <n v="12"/>
    <s v="2005-06-01"/>
    <n v="0"/>
    <n v="607"/>
    <n v="119.054175"/>
    <n v="1"/>
    <x v="3"/>
    <n v="66207.12"/>
    <n v="351.06"/>
    <n v="1"/>
    <s v="4824618"/>
    <m/>
    <n v="2071.59"/>
    <n v="0"/>
    <n v="57001"/>
  </r>
  <r>
    <x v="3"/>
    <s v="01215-7"/>
    <s v="Kildehuset, Hoved 41"/>
    <n v="5269"/>
    <m/>
    <s v="Kildehuset"/>
    <x v="34"/>
    <x v="0"/>
    <x v="5"/>
    <n v="86158"/>
    <n v="12"/>
    <s v="2005-06-01"/>
    <n v="0"/>
    <n v="607"/>
    <n v="141.91731100000001"/>
    <n v="1"/>
    <x v="1"/>
    <n v="91973.99"/>
    <n v="17015.21"/>
    <n v="0"/>
    <s v="4824618"/>
    <m/>
    <n v="86158"/>
    <n v="0"/>
    <n v="56816"/>
  </r>
  <r>
    <x v="3"/>
    <s v="01215-7"/>
    <s v="Kildehuset, Hoved 41"/>
    <n v="5269"/>
    <m/>
    <s v="Kildehuset"/>
    <x v="34"/>
    <x v="1"/>
    <x v="5"/>
    <n v="128916.12"/>
    <n v="12"/>
    <s v="2005-06-01"/>
    <n v="0"/>
    <n v="607"/>
    <n v="212.34742199999999"/>
    <n v="1"/>
    <x v="3"/>
    <n v="137332.56"/>
    <n v="728.19"/>
    <n v="1"/>
    <s v="4824618"/>
    <m/>
    <n v="3694.93"/>
    <n v="0"/>
    <n v="57001"/>
  </r>
  <r>
    <x v="3"/>
    <s v="01215-7"/>
    <s v="Kildehuset, Hoved 41"/>
    <n v="5269"/>
    <m/>
    <s v="Kildehuset"/>
    <x v="34"/>
    <x v="0"/>
    <x v="6"/>
    <n v="80843"/>
    <n v="12"/>
    <s v="2005-06-01"/>
    <n v="0"/>
    <n v="607"/>
    <n v="133.162576"/>
    <n v="1"/>
    <x v="1"/>
    <n v="91921.87"/>
    <n v="17005.54"/>
    <n v="0"/>
    <s v="4824618"/>
    <m/>
    <n v="80843"/>
    <n v="0"/>
    <n v="56816"/>
  </r>
  <r>
    <x v="3"/>
    <s v="01215-7"/>
    <s v="Kildehuset, Hoved 41"/>
    <n v="5269"/>
    <m/>
    <s v="Kildehuset"/>
    <x v="34"/>
    <x v="1"/>
    <x v="6"/>
    <n v="99257.87"/>
    <n v="12"/>
    <s v="2005-06-01"/>
    <n v="0"/>
    <n v="607"/>
    <n v="163.495091"/>
    <n v="1"/>
    <x v="3"/>
    <n v="110433.52"/>
    <n v="585.54999999999995"/>
    <n v="1"/>
    <s v="4824618"/>
    <m/>
    <n v="2844.88"/>
    <n v="0"/>
    <n v="57001"/>
  </r>
  <r>
    <x v="3"/>
    <m/>
    <s v="Kirke Værløse Børnehus, BY27"/>
    <n v="10017"/>
    <m/>
    <s v="Kirke Værløse Børnehus"/>
    <x v="35"/>
    <x v="0"/>
    <x v="0"/>
    <n v="71078"/>
    <n v="5"/>
    <s v="2010-10-31"/>
    <n v="0"/>
    <n v="602"/>
    <n v="64.603752999999998"/>
    <n v="1"/>
    <x v="4"/>
    <n v="80409"/>
    <n v="9222.4699999999993"/>
    <n v="0"/>
    <m/>
    <s v="98003838729"/>
    <n v="3601.66"/>
    <n v="0"/>
    <n v="76521"/>
  </r>
  <r>
    <x v="3"/>
    <m/>
    <s v="Kirke Værløse Børnehus, BY27"/>
    <n v="10017"/>
    <m/>
    <s v="Kirke Værløse Børnehus"/>
    <x v="35"/>
    <x v="0"/>
    <x v="1"/>
    <n v="69490.12"/>
    <n v="12"/>
    <s v="2010-10-31"/>
    <n v="0"/>
    <n v="602"/>
    <n v="115.412921"/>
    <n v="1"/>
    <x v="4"/>
    <n v="73102.44"/>
    <n v="15459.79"/>
    <n v="0"/>
    <m/>
    <s v="98003838729"/>
    <n v="6434.27"/>
    <n v="0"/>
    <n v="76521"/>
  </r>
  <r>
    <x v="3"/>
    <m/>
    <s v="Kirke Værløse Børnehus, BY27"/>
    <n v="10017"/>
    <m/>
    <s v="Kirke Værløse Børnehus"/>
    <x v="35"/>
    <x v="0"/>
    <x v="2"/>
    <n v="76214.53"/>
    <n v="12"/>
    <s v="2010-10-31"/>
    <n v="0"/>
    <n v="602"/>
    <n v="126.581182"/>
    <n v="1"/>
    <x v="4"/>
    <n v="80100.34"/>
    <n v="16939.740000000002"/>
    <n v="0"/>
    <m/>
    <s v="98003838729"/>
    <n v="7056.9"/>
    <n v="0"/>
    <n v="76521"/>
  </r>
  <r>
    <x v="3"/>
    <m/>
    <s v="Kirke Værløse Børnehus, BY27"/>
    <n v="10017"/>
    <m/>
    <s v="Kirke Værløse Børnehus"/>
    <x v="35"/>
    <x v="0"/>
    <x v="3"/>
    <n v="73262.66"/>
    <n v="12"/>
    <s v="2010-10-31"/>
    <n v="0"/>
    <n v="602"/>
    <n v="121.678558"/>
    <n v="1"/>
    <x v="4"/>
    <n v="80819.399999999994"/>
    <n v="17091.82"/>
    <n v="0"/>
    <m/>
    <s v="98003838729"/>
    <n v="6783.58"/>
    <n v="0"/>
    <n v="76521"/>
  </r>
  <r>
    <x v="3"/>
    <m/>
    <s v="Kirke Værløse Børnehus, BY27"/>
    <n v="10017"/>
    <m/>
    <s v="Kirke Værløse Børnehus"/>
    <x v="35"/>
    <x v="0"/>
    <x v="4"/>
    <n v="80934.39"/>
    <n v="14"/>
    <s v="2010-10-31"/>
    <n v="0"/>
    <n v="602"/>
    <n v="134.42017899999999"/>
    <n v="1"/>
    <x v="4"/>
    <n v="74170.28"/>
    <n v="15685.64"/>
    <n v="0"/>
    <m/>
    <s v="98003838729"/>
    <n v="7493.92479"/>
    <n v="0"/>
    <n v="76521"/>
  </r>
  <r>
    <x v="3"/>
    <m/>
    <s v="Kirke Værløse Børnehus, BY27"/>
    <n v="10017"/>
    <m/>
    <s v="Kirke Værløse Børnehus"/>
    <x v="35"/>
    <x v="0"/>
    <x v="5"/>
    <n v="73894.62"/>
    <n v="12"/>
    <s v="2010-10-31"/>
    <n v="0"/>
    <n v="602"/>
    <n v="122.728151"/>
    <n v="1"/>
    <x v="4"/>
    <n v="79111.77"/>
    <n v="16730.669999999998"/>
    <n v="0"/>
    <m/>
    <s v="98003838729"/>
    <n v="6842.0951999999997"/>
    <n v="0"/>
    <n v="76521"/>
  </r>
  <r>
    <x v="3"/>
    <m/>
    <s v="Kirke Værløse Børnehus, BY27"/>
    <n v="10017"/>
    <m/>
    <s v="Kirke Værløse Børnehus"/>
    <x v="35"/>
    <x v="0"/>
    <x v="6"/>
    <n v="64529.24"/>
    <n v="9"/>
    <s v="2010-10-31"/>
    <n v="0"/>
    <n v="602"/>
    <n v="107.173625"/>
    <n v="1"/>
    <x v="4"/>
    <n v="73508.98"/>
    <n v="15545.78"/>
    <n v="0"/>
    <m/>
    <s v="98003838729"/>
    <n v="5974.9293100000004"/>
    <n v="0"/>
    <n v="76521"/>
  </r>
  <r>
    <x v="3"/>
    <m/>
    <s v="Krudthuset Børnehus, Bringe 26"/>
    <n v="10169"/>
    <m/>
    <s v="Krudthuset Børnehus"/>
    <x v="37"/>
    <x v="0"/>
    <x v="0"/>
    <n v="77418"/>
    <n v="5"/>
    <s v="2012-06-30"/>
    <n v="0"/>
    <n v="721"/>
    <n v="62.369295999999999"/>
    <n v="1"/>
    <x v="6"/>
    <n v="88163"/>
    <n v="10340.39"/>
    <n v="0"/>
    <s v="16.30.409"/>
    <s v="98003449017"/>
    <n v="4015.58"/>
    <n v="0"/>
    <n v="77182"/>
  </r>
  <r>
    <x v="3"/>
    <m/>
    <s v="Krudthuset Børnehus, Bringe 26"/>
    <n v="10169"/>
    <m/>
    <s v="Krudthuset Børnehus"/>
    <x v="37"/>
    <x v="0"/>
    <x v="1"/>
    <n v="83193.279999999999"/>
    <n v="4"/>
    <s v="2014-11-24"/>
    <n v="0"/>
    <n v="721"/>
    <n v="115.369962"/>
    <n v="1"/>
    <x v="4"/>
    <n v="105409.81"/>
    <n v="22292.22"/>
    <n v="1"/>
    <s v="Kontrol"/>
    <m/>
    <n v="7703.0826399999996"/>
    <n v="0"/>
    <n v="94891"/>
  </r>
  <r>
    <x v="3"/>
    <m/>
    <s v="Krudthuset Børnehus, Bringe 26"/>
    <n v="10169"/>
    <m/>
    <s v="Krudthuset Børnehus"/>
    <x v="37"/>
    <x v="0"/>
    <x v="1"/>
    <n v="44036.73"/>
    <n v="12"/>
    <s v="2012-06-30"/>
    <n v="0"/>
    <n v="721"/>
    <n v="61.068824999999997"/>
    <n v="1"/>
    <x v="6"/>
    <n v="50485"/>
    <n v="10295.34"/>
    <n v="0"/>
    <s v="16.30.409"/>
    <s v="98003449017"/>
    <n v="3931.85"/>
    <n v="0"/>
    <n v="77182"/>
  </r>
  <r>
    <x v="3"/>
    <m/>
    <s v="Krudthuset Børnehus, Bringe 26"/>
    <n v="10169"/>
    <m/>
    <s v="Krudthuset Børnehus"/>
    <x v="37"/>
    <x v="0"/>
    <x v="2"/>
    <n v="281.95"/>
    <n v="1"/>
    <s v="2014-11-24"/>
    <n v="0"/>
    <n v="721"/>
    <n v="0.39099899999999999"/>
    <n v="1"/>
    <x v="4"/>
    <n v="267.25"/>
    <n v="56.52"/>
    <n v="1"/>
    <s v="Kontrol"/>
    <m/>
    <n v="26.106059999999999"/>
    <n v="0"/>
    <n v="94891"/>
  </r>
  <r>
    <x v="3"/>
    <m/>
    <s v="Krudthuset Børnehus, Bringe 26"/>
    <n v="10169"/>
    <m/>
    <s v="Krudthuset Børnehus"/>
    <x v="37"/>
    <x v="0"/>
    <x v="2"/>
    <n v="87377.01"/>
    <n v="10"/>
    <s v="2012-06-30"/>
    <n v="0"/>
    <n v="721"/>
    <n v="121.171834"/>
    <n v="1"/>
    <x v="6"/>
    <n v="93490.57"/>
    <n v="19065.400000000001"/>
    <n v="0"/>
    <s v="16.30.409"/>
    <s v="98003449017"/>
    <n v="7801.5181000000002"/>
    <n v="0"/>
    <n v="77182"/>
  </r>
  <r>
    <x v="3"/>
    <m/>
    <s v="Krudthuset Børnehus, Bringe 26"/>
    <n v="10169"/>
    <m/>
    <s v="Krudthuset Børnehus"/>
    <x v="37"/>
    <x v="0"/>
    <x v="3"/>
    <n v="99458.21"/>
    <n v="7"/>
    <s v="2012-06-30"/>
    <n v="0"/>
    <n v="721"/>
    <n v="137.92568199999999"/>
    <n v="1"/>
    <x v="6"/>
    <n v="115842.87"/>
    <n v="23623.66"/>
    <n v="0"/>
    <s v="16.30.409"/>
    <s v="98003449017"/>
    <n v="8880.1985700000005"/>
    <n v="0"/>
    <n v="77182"/>
  </r>
  <r>
    <x v="3"/>
    <m/>
    <s v="Krudthuset Børnehus, Bringe 26"/>
    <n v="10169"/>
    <m/>
    <s v="Krudthuset Børnehus"/>
    <x v="37"/>
    <x v="0"/>
    <x v="4"/>
    <n v="95307.23"/>
    <n v="3"/>
    <s v="2012-06-30"/>
    <n v="0"/>
    <n v="721"/>
    <n v="132.16922700000001"/>
    <n v="1"/>
    <x v="6"/>
    <n v="97556.68"/>
    <n v="19894.62"/>
    <n v="0"/>
    <s v="16.30.409"/>
    <s v="98003449017"/>
    <n v="8509.5734300000004"/>
    <n v="0"/>
    <n v="77182"/>
  </r>
  <r>
    <x v="3"/>
    <m/>
    <s v="Krudthuset Børnehus, Bringe 26"/>
    <n v="10169"/>
    <m/>
    <s v="Krudthuset Børnehus"/>
    <x v="37"/>
    <x v="0"/>
    <x v="5"/>
    <n v="104141.8"/>
    <n v="4"/>
    <s v="2012-06-30"/>
    <n v="0"/>
    <n v="721"/>
    <n v="144.42074600000001"/>
    <n v="1"/>
    <x v="6"/>
    <n v="145016.93"/>
    <n v="29573.09"/>
    <n v="0"/>
    <s v="16.30.409"/>
    <s v="98003449017"/>
    <n v="9298.3752899999999"/>
    <n v="0"/>
    <n v="77182"/>
  </r>
  <r>
    <x v="3"/>
    <m/>
    <s v="Krudthuset Børnehus, Bringe 26"/>
    <n v="10169"/>
    <m/>
    <s v="Krudthuset Børnehus"/>
    <x v="37"/>
    <x v="0"/>
    <x v="6"/>
    <n v="90836.91"/>
    <n v="6"/>
    <s v="2012-06-30"/>
    <n v="0"/>
    <n v="721"/>
    <n v="125.96992"/>
    <n v="1"/>
    <x v="6"/>
    <n v="108381.79"/>
    <n v="22102.15"/>
    <n v="0"/>
    <s v="16.30.409"/>
    <s v="98003449017"/>
    <n v="8110.4395500000001"/>
    <n v="0"/>
    <n v="77182"/>
  </r>
  <r>
    <x v="3"/>
    <s v="04730-9"/>
    <s v="Mælkebøtten, Hvilebækgårdsvej 15"/>
    <n v="5447"/>
    <m/>
    <s v="Mælkebøtten"/>
    <x v="38"/>
    <x v="0"/>
    <x v="0"/>
    <n v="40371"/>
    <n v="5"/>
    <s v="2005-07-27"/>
    <n v="0"/>
    <n v="480"/>
    <n v="43.851280000000003"/>
    <n v="1"/>
    <x v="1"/>
    <n v="46544"/>
    <n v="4320068.2"/>
    <n v="0"/>
    <s v="4824616"/>
    <m/>
    <n v="21053"/>
    <n v="0"/>
    <n v="57508"/>
  </r>
  <r>
    <x v="3"/>
    <s v="04730-9"/>
    <s v="Mælkebøtten, Hvilebækgårdsvej 15"/>
    <n v="5447"/>
    <m/>
    <s v="Mælkebøtten"/>
    <x v="38"/>
    <x v="1"/>
    <x v="0"/>
    <n v="22733.97"/>
    <n v="5"/>
    <s v="2005-07-27"/>
    <n v="0"/>
    <n v="480"/>
    <n v="47.352572000000002"/>
    <n v="1"/>
    <x v="3"/>
    <n v="24976.639999999999"/>
    <n v="132435.60999999999"/>
    <n v="1"/>
    <s v="4824616"/>
    <m/>
    <n v="651.59"/>
    <n v="0"/>
    <n v="57509"/>
  </r>
  <r>
    <x v="3"/>
    <s v="04730-9"/>
    <s v="Mælkebøtten, Hvilebækgårdsvej 15"/>
    <n v="5447"/>
    <m/>
    <s v="Mælkebøtten"/>
    <x v="38"/>
    <x v="1"/>
    <x v="1"/>
    <n v="61754.6"/>
    <n v="12"/>
    <s v="2005-07-27"/>
    <n v="0"/>
    <n v="480"/>
    <n v="128.62861899999999"/>
    <n v="1"/>
    <x v="3"/>
    <n v="72468.649999999994"/>
    <n v="384.26"/>
    <n v="1"/>
    <s v="4824616"/>
    <m/>
    <n v="1769.98"/>
    <n v="0"/>
    <n v="57509"/>
  </r>
  <r>
    <x v="3"/>
    <s v="04730-9"/>
    <s v="Mælkebøtten, Hvilebækgårdsvej 15"/>
    <n v="5447"/>
    <m/>
    <s v="Mælkebøtten"/>
    <x v="38"/>
    <x v="0"/>
    <x v="1"/>
    <n v="49588.13"/>
    <n v="12"/>
    <s v="2005-07-27"/>
    <n v="0"/>
    <n v="480"/>
    <n v="103.287086"/>
    <n v="1"/>
    <x v="1"/>
    <n v="52648.22"/>
    <n v="9739.9"/>
    <n v="0"/>
    <s v="4824616"/>
    <m/>
    <n v="49588.13"/>
    <n v="0"/>
    <n v="57508"/>
  </r>
  <r>
    <x v="3"/>
    <s v="04730-9"/>
    <s v="Mælkebøtten, Hvilebækgårdsvej 15"/>
    <n v="5447"/>
    <m/>
    <s v="Mælkebøtten"/>
    <x v="38"/>
    <x v="1"/>
    <x v="2"/>
    <n v="85748.79"/>
    <n v="12"/>
    <s v="2005-07-27"/>
    <n v="0"/>
    <n v="480"/>
    <n v="178.60610199999999"/>
    <n v="1"/>
    <x v="3"/>
    <n v="90711.54"/>
    <n v="480.99"/>
    <n v="1"/>
    <s v="4824616"/>
    <m/>
    <n v="2457.69"/>
    <n v="0"/>
    <n v="57509"/>
  </r>
  <r>
    <x v="3"/>
    <s v="04730-9"/>
    <s v="Mælkebøtten, Hvilebækgårdsvej 15"/>
    <n v="5447"/>
    <m/>
    <s v="Mælkebøtten"/>
    <x v="38"/>
    <x v="0"/>
    <x v="2"/>
    <n v="67154.5"/>
    <n v="12"/>
    <s v="2005-07-27"/>
    <n v="0"/>
    <n v="480"/>
    <n v="139.87606700000001"/>
    <n v="1"/>
    <x v="1"/>
    <n v="70676.649999999994"/>
    <n v="13075.18"/>
    <n v="0"/>
    <s v="4824616"/>
    <m/>
    <n v="67154.5"/>
    <n v="0"/>
    <n v="57508"/>
  </r>
  <r>
    <x v="3"/>
    <s v="04730-9"/>
    <s v="Mælkebøtten, Hvilebækgårdsvej 15"/>
    <n v="5447"/>
    <m/>
    <s v="Mælkebøtten"/>
    <x v="38"/>
    <x v="0"/>
    <x v="3"/>
    <n v="68779.3"/>
    <n v="12"/>
    <s v="2005-07-27"/>
    <n v="0"/>
    <n v="480"/>
    <n v="143.26036199999999"/>
    <n v="1"/>
    <x v="1"/>
    <n v="75698"/>
    <n v="14004.13"/>
    <n v="0"/>
    <s v="4824616"/>
    <m/>
    <n v="68779.3"/>
    <n v="0"/>
    <n v="57508"/>
  </r>
  <r>
    <x v="3"/>
    <s v="04730-9"/>
    <s v="Mælkebøtten, Hvilebækgårdsvej 15"/>
    <n v="5447"/>
    <m/>
    <s v="Mælkebøtten"/>
    <x v="38"/>
    <x v="1"/>
    <x v="3"/>
    <n v="132768.65"/>
    <n v="12"/>
    <s v="2005-07-27"/>
    <n v="0"/>
    <n v="480"/>
    <n v="276.54374000000001"/>
    <n v="1"/>
    <x v="3"/>
    <n v="149251.75"/>
    <n v="791.39"/>
    <n v="1"/>
    <s v="4824616"/>
    <m/>
    <n v="3805.35"/>
    <n v="0"/>
    <n v="57509"/>
  </r>
  <r>
    <x v="3"/>
    <s v="04730-9"/>
    <s v="Mælkebøtten, Hvilebækgårdsvej 15"/>
    <n v="5447"/>
    <m/>
    <s v="Mælkebøtten"/>
    <x v="38"/>
    <x v="0"/>
    <x v="4"/>
    <n v="63711.199999999997"/>
    <n v="12"/>
    <s v="2005-07-27"/>
    <n v="0"/>
    <n v="480"/>
    <n v="132.70401899999999"/>
    <n v="1"/>
    <x v="1"/>
    <n v="58285.63"/>
    <n v="10782.85"/>
    <n v="0"/>
    <s v="4824616"/>
    <m/>
    <n v="63711.197"/>
    <n v="0"/>
    <n v="57508"/>
  </r>
  <r>
    <x v="3"/>
    <s v="04730-9"/>
    <s v="Mælkebøtten, Hvilebækgårdsvej 15"/>
    <n v="5447"/>
    <m/>
    <s v="Mælkebøtten"/>
    <x v="38"/>
    <x v="1"/>
    <x v="4"/>
    <n v="115538.94"/>
    <n v="12"/>
    <s v="2005-07-27"/>
    <n v="0"/>
    <n v="480"/>
    <n v="240.65598800000001"/>
    <n v="1"/>
    <x v="3"/>
    <n v="140997.62"/>
    <n v="747.62"/>
    <n v="1"/>
    <s v="4824616"/>
    <m/>
    <n v="3311.52"/>
    <n v="0"/>
    <n v="57509"/>
  </r>
  <r>
    <x v="3"/>
    <s v="04730-9"/>
    <s v="Mælkebøtten, Hvilebækgårdsvej 15"/>
    <n v="5447"/>
    <m/>
    <s v="Mælkebøtten"/>
    <x v="38"/>
    <x v="0"/>
    <x v="5"/>
    <n v="51270"/>
    <n v="12"/>
    <s v="2005-07-27"/>
    <n v="0"/>
    <n v="480"/>
    <n v="106.790252"/>
    <n v="1"/>
    <x v="1"/>
    <n v="54463.07"/>
    <n v="10075.68"/>
    <n v="0"/>
    <s v="4824616"/>
    <m/>
    <n v="51270"/>
    <n v="0"/>
    <n v="57508"/>
  </r>
  <r>
    <x v="3"/>
    <s v="04730-9"/>
    <s v="Mælkebøtten, Hvilebækgårdsvej 15"/>
    <n v="5447"/>
    <m/>
    <s v="Mælkebøtten"/>
    <x v="38"/>
    <x v="1"/>
    <x v="5"/>
    <n v="104041.28"/>
    <n v="12"/>
    <s v="2005-07-27"/>
    <n v="0"/>
    <n v="480"/>
    <n v="216.70751899999999"/>
    <n v="1"/>
    <x v="3"/>
    <n v="142718.74"/>
    <n v="756.76"/>
    <n v="1"/>
    <s v="4824616"/>
    <m/>
    <n v="2981.98"/>
    <n v="0"/>
    <n v="57509"/>
  </r>
  <r>
    <x v="3"/>
    <s v="04730-9"/>
    <s v="Mælkebøtten, Hvilebækgårdsvej 15"/>
    <n v="5447"/>
    <m/>
    <s v="Mælkebøtten"/>
    <x v="38"/>
    <x v="1"/>
    <x v="6"/>
    <n v="90750.29"/>
    <n v="12"/>
    <s v="2005-07-27"/>
    <n v="0"/>
    <n v="480"/>
    <n v="189.02372399999999"/>
    <n v="1"/>
    <x v="3"/>
    <n v="111910.81"/>
    <n v="593.39"/>
    <n v="1"/>
    <s v="4824616"/>
    <m/>
    <n v="2601.04"/>
    <n v="0"/>
    <n v="57509"/>
  </r>
  <r>
    <x v="3"/>
    <s v="04730-9"/>
    <s v="Mælkebøtten, Hvilebækgårdsvej 15"/>
    <n v="5447"/>
    <m/>
    <s v="Mælkebøtten"/>
    <x v="38"/>
    <x v="0"/>
    <x v="6"/>
    <n v="48162"/>
    <n v="12"/>
    <s v="2005-07-27"/>
    <n v="0"/>
    <n v="480"/>
    <n v="100.31659999999999"/>
    <n v="1"/>
    <x v="1"/>
    <n v="55004.88"/>
    <n v="10175.9"/>
    <n v="0"/>
    <s v="4824616"/>
    <m/>
    <n v="48162"/>
    <n v="0"/>
    <n v="57508"/>
  </r>
  <r>
    <x v="3"/>
    <s v="04196-6"/>
    <s v="Nordvænget Ryttergårdsvej 48"/>
    <n v="5272"/>
    <m/>
    <s v="Nordvænget"/>
    <x v="41"/>
    <x v="1"/>
    <x v="0"/>
    <n v="42302.03"/>
    <n v="5"/>
    <s v="2005-08-01"/>
    <n v="0"/>
    <n v="541"/>
    <n v="78.177841000000001"/>
    <n v="1"/>
    <x v="3"/>
    <n v="46963.7"/>
    <n v="249019.33"/>
    <n v="1"/>
    <s v="4824619"/>
    <m/>
    <n v="1212.4399000000001"/>
    <n v="0"/>
    <n v="57003"/>
  </r>
  <r>
    <x v="3"/>
    <s v="04196-6"/>
    <s v="Nordvænget Ryttergårdsvej 48"/>
    <n v="5272"/>
    <m/>
    <s v="Nordvænget"/>
    <x v="41"/>
    <x v="0"/>
    <x v="0"/>
    <n v="84219"/>
    <n v="5"/>
    <s v="2005-08-01"/>
    <n v="0"/>
    <n v="541"/>
    <n v="86.684549000000004"/>
    <n v="1"/>
    <x v="1"/>
    <n v="94730"/>
    <n v="9649200.4000000004"/>
    <n v="0"/>
    <s v="4824619"/>
    <m/>
    <n v="46905.004000000001"/>
    <n v="0"/>
    <n v="56837"/>
  </r>
  <r>
    <x v="3"/>
    <s v="04196-6"/>
    <s v="Nordvænget Ryttergårdsvej 48"/>
    <n v="5272"/>
    <m/>
    <s v="Nordvænget"/>
    <x v="41"/>
    <x v="1"/>
    <x v="1"/>
    <n v="110109.34"/>
    <n v="12"/>
    <s v="2005-08-01"/>
    <n v="0"/>
    <n v="541"/>
    <n v="203.49166500000001"/>
    <n v="1"/>
    <x v="3"/>
    <n v="117004.46"/>
    <n v="620.38"/>
    <n v="1"/>
    <s v="4824619"/>
    <m/>
    <n v="3155.8999800000001"/>
    <n v="0"/>
    <n v="57003"/>
  </r>
  <r>
    <x v="3"/>
    <s v="04196-6"/>
    <s v="Nordvænget Ryttergårdsvej 48"/>
    <n v="5272"/>
    <m/>
    <s v="Nordvænget"/>
    <x v="41"/>
    <x v="0"/>
    <x v="1"/>
    <n v="91957"/>
    <n v="12"/>
    <s v="2005-08-01"/>
    <n v="0"/>
    <n v="541"/>
    <n v="169.944557"/>
    <n v="1"/>
    <x v="1"/>
    <n v="95565.3"/>
    <n v="17679.580000000002"/>
    <n v="0"/>
    <s v="4824619"/>
    <m/>
    <n v="91956.999819999997"/>
    <n v="0"/>
    <n v="56837"/>
  </r>
  <r>
    <x v="3"/>
    <s v="04196-6"/>
    <s v="Nordvænget Ryttergårdsvej 48"/>
    <n v="5272"/>
    <m/>
    <s v="Nordvænget"/>
    <x v="41"/>
    <x v="0"/>
    <x v="2"/>
    <n v="93801"/>
    <n v="12"/>
    <s v="2005-08-01"/>
    <n v="0"/>
    <n v="541"/>
    <n v="173.35243"/>
    <n v="1"/>
    <x v="1"/>
    <n v="98043.87"/>
    <n v="18138.099999999999"/>
    <n v="0"/>
    <s v="4824619"/>
    <m/>
    <n v="93801"/>
    <n v="0"/>
    <n v="56837"/>
  </r>
  <r>
    <x v="3"/>
    <s v="04196-6"/>
    <s v="Nordvænget Ryttergårdsvej 48"/>
    <n v="5272"/>
    <m/>
    <s v="Nordvænget"/>
    <x v="41"/>
    <x v="1"/>
    <x v="2"/>
    <n v="113767.9"/>
    <n v="12"/>
    <s v="2005-08-01"/>
    <n v="0"/>
    <n v="541"/>
    <n v="210.25300300000001"/>
    <n v="1"/>
    <x v="3"/>
    <n v="120903.84"/>
    <n v="641.07000000000005"/>
    <n v="1"/>
    <s v="4824619"/>
    <m/>
    <n v="3260.76"/>
    <n v="0"/>
    <n v="57003"/>
  </r>
  <r>
    <x v="3"/>
    <s v="04196-6"/>
    <s v="Nordvænget Ryttergårdsvej 48"/>
    <n v="5272"/>
    <m/>
    <s v="Nordvænget"/>
    <x v="41"/>
    <x v="0"/>
    <x v="3"/>
    <n v="91077.01"/>
    <n v="12"/>
    <s v="2005-08-01"/>
    <n v="0"/>
    <n v="541"/>
    <n v="168.31825900000001"/>
    <n v="1"/>
    <x v="1"/>
    <n v="99421.62"/>
    <n v="18392.990000000002"/>
    <n v="0"/>
    <s v="4824619"/>
    <m/>
    <n v="91077.004000000001"/>
    <n v="0"/>
    <n v="56837"/>
  </r>
  <r>
    <x v="3"/>
    <s v="04196-6"/>
    <s v="Nordvænget Ryttergårdsvej 48"/>
    <n v="5272"/>
    <m/>
    <s v="Nordvænget"/>
    <x v="41"/>
    <x v="1"/>
    <x v="3"/>
    <n v="97512.67"/>
    <n v="12"/>
    <s v="2005-08-01"/>
    <n v="0"/>
    <n v="541"/>
    <n v="180.21191999999999"/>
    <n v="1"/>
    <x v="3"/>
    <n v="107318.55"/>
    <n v="569.03"/>
    <n v="1"/>
    <s v="4824619"/>
    <m/>
    <n v="2794.8599899999999"/>
    <n v="0"/>
    <n v="57003"/>
  </r>
  <r>
    <x v="3"/>
    <s v="04196-6"/>
    <s v="Nordvænget Ryttergårdsvej 48"/>
    <n v="5272"/>
    <m/>
    <s v="Nordvænget"/>
    <x v="41"/>
    <x v="0"/>
    <x v="4"/>
    <n v="113056"/>
    <n v="12"/>
    <s v="2005-08-01"/>
    <n v="0"/>
    <n v="541"/>
    <n v="208.93734900000001"/>
    <n v="1"/>
    <x v="1"/>
    <n v="103526.73"/>
    <n v="19152.439999999999"/>
    <n v="0"/>
    <s v="4824619"/>
    <m/>
    <n v="113056"/>
    <n v="0"/>
    <n v="56837"/>
  </r>
  <r>
    <x v="3"/>
    <s v="04196-6"/>
    <s v="Nordvænget Ryttergårdsvej 48"/>
    <n v="5272"/>
    <m/>
    <s v="Nordvænget"/>
    <x v="41"/>
    <x v="1"/>
    <x v="4"/>
    <n v="121793.67"/>
    <n v="12"/>
    <s v="2005-08-01"/>
    <n v="0"/>
    <n v="541"/>
    <n v="225.08532600000001"/>
    <n v="1"/>
    <x v="3"/>
    <n v="113781.34"/>
    <n v="603.32000000000005"/>
    <n v="1"/>
    <s v="4824619"/>
    <m/>
    <n v="3490.79"/>
    <n v="0"/>
    <n v="57003"/>
  </r>
  <r>
    <x v="3"/>
    <s v="04196-6"/>
    <s v="Nordvænget Ryttergårdsvej 48"/>
    <n v="5272"/>
    <m/>
    <s v="Nordvænget"/>
    <x v="41"/>
    <x v="0"/>
    <x v="5"/>
    <n v="105672"/>
    <n v="12"/>
    <s v="2005-08-01"/>
    <n v="0"/>
    <n v="541"/>
    <n v="195.29107300000001"/>
    <n v="1"/>
    <x v="1"/>
    <n v="112504.87"/>
    <n v="20813.400000000001"/>
    <n v="0"/>
    <s v="4824619"/>
    <m/>
    <n v="105672"/>
    <n v="0"/>
    <n v="56837"/>
  </r>
  <r>
    <x v="3"/>
    <s v="04196-6"/>
    <s v="Nordvænget Ryttergårdsvej 48"/>
    <n v="5272"/>
    <m/>
    <s v="Nordvænget"/>
    <x v="41"/>
    <x v="1"/>
    <x v="5"/>
    <n v="113498.22"/>
    <n v="12"/>
    <s v="2005-08-01"/>
    <n v="0"/>
    <n v="541"/>
    <n v="209.75461000000001"/>
    <n v="1"/>
    <x v="3"/>
    <n v="131592.32000000001"/>
    <n v="697.78"/>
    <n v="1"/>
    <s v="4824619"/>
    <m/>
    <n v="3253.03"/>
    <n v="0"/>
    <n v="57003"/>
  </r>
  <r>
    <x v="3"/>
    <s v="04196-6"/>
    <s v="Nordvænget Ryttergårdsvej 48"/>
    <n v="5272"/>
    <m/>
    <s v="Nordvænget"/>
    <x v="41"/>
    <x v="0"/>
    <x v="6"/>
    <n v="85597"/>
    <n v="12"/>
    <s v="2005-08-01"/>
    <n v="0"/>
    <n v="541"/>
    <n v="158.19072199999999"/>
    <n v="1"/>
    <x v="1"/>
    <n v="96841.81"/>
    <n v="17915.740000000002"/>
    <n v="0"/>
    <s v="4824619"/>
    <m/>
    <n v="85597"/>
    <n v="0"/>
    <n v="56837"/>
  </r>
  <r>
    <x v="3"/>
    <s v="04196-6"/>
    <s v="Nordvænget Ryttergårdsvej 48"/>
    <n v="5272"/>
    <m/>
    <s v="Nordvænget"/>
    <x v="41"/>
    <x v="1"/>
    <x v="6"/>
    <n v="95901.79"/>
    <n v="12"/>
    <s v="2005-08-01"/>
    <n v="0"/>
    <n v="541"/>
    <n v="177.23487299999999"/>
    <n v="1"/>
    <x v="3"/>
    <n v="111928.26"/>
    <n v="593.48"/>
    <n v="1"/>
    <s v="4824619"/>
    <m/>
    <n v="2748.69"/>
    <n v="0"/>
    <n v="57003"/>
  </r>
  <r>
    <x v="3"/>
    <m/>
    <s v="Nørreskoven, Højloft Vænge 46"/>
    <n v="9952"/>
    <m/>
    <s v="Nørreskoven"/>
    <x v="42"/>
    <x v="0"/>
    <x v="0"/>
    <n v="39925"/>
    <n v="5"/>
    <s v="2010-10-31"/>
    <n v="0"/>
    <n v="473"/>
    <n v="47.009087999999998"/>
    <n v="1"/>
    <x v="1"/>
    <n v="45084"/>
    <n v="1595.3"/>
    <n v="0"/>
    <s v="772082/1998"/>
    <m/>
    <n v="22240"/>
    <n v="0"/>
    <n v="76307"/>
  </r>
  <r>
    <x v="3"/>
    <m/>
    <s v="Nørreskoven, Højloft Vænge 46"/>
    <n v="9952"/>
    <m/>
    <s v="Nørreskoven"/>
    <x v="42"/>
    <x v="0"/>
    <x v="1"/>
    <n v="40177"/>
    <n v="12"/>
    <s v="2010-10-31"/>
    <n v="0"/>
    <n v="473"/>
    <n v="84.922848999999999"/>
    <n v="1"/>
    <x v="1"/>
    <n v="42025.16"/>
    <n v="2689.62"/>
    <n v="0"/>
    <s v="772082/1998"/>
    <m/>
    <n v="40177"/>
    <n v="0"/>
    <n v="76307"/>
  </r>
  <r>
    <x v="3"/>
    <m/>
    <s v="Nørreskoven, Højloft Vænge 46"/>
    <n v="9952"/>
    <m/>
    <s v="Nørreskoven"/>
    <x v="42"/>
    <x v="0"/>
    <x v="2"/>
    <n v="45143"/>
    <n v="12"/>
    <s v="2010-10-31"/>
    <n v="0"/>
    <n v="473"/>
    <n v="95.419573"/>
    <n v="1"/>
    <x v="1"/>
    <n v="47372.57"/>
    <n v="8763.91"/>
    <n v="0"/>
    <s v="772082/1998"/>
    <m/>
    <n v="45143"/>
    <n v="0"/>
    <n v="76307"/>
  </r>
  <r>
    <x v="3"/>
    <m/>
    <s v="Nørreskoven, Højloft Vænge 46"/>
    <n v="9952"/>
    <m/>
    <s v="Nørreskoven"/>
    <x v="42"/>
    <x v="0"/>
    <x v="3"/>
    <n v="44240"/>
    <n v="12"/>
    <s v="2010-10-31"/>
    <n v="0"/>
    <n v="473"/>
    <n v="93.510885000000002"/>
    <n v="1"/>
    <x v="1"/>
    <n v="48805.84"/>
    <n v="9029.07"/>
    <n v="0"/>
    <s v="772082/1998"/>
    <m/>
    <n v="44240"/>
    <n v="0"/>
    <n v="76307"/>
  </r>
  <r>
    <x v="3"/>
    <m/>
    <s v="Nørreskoven, Højloft Vænge 46"/>
    <n v="9952"/>
    <m/>
    <s v="Nørreskoven"/>
    <x v="42"/>
    <x v="0"/>
    <x v="4"/>
    <n v="43234.41"/>
    <n v="5"/>
    <s v="2010-10-31"/>
    <n v="0"/>
    <n v="473"/>
    <n v="91.385351"/>
    <n v="1"/>
    <x v="1"/>
    <n v="41089.1"/>
    <n v="7601.49"/>
    <n v="0"/>
    <s v="772082/1998"/>
    <m/>
    <n v="43234.400009999998"/>
    <n v="0"/>
    <n v="76307"/>
  </r>
  <r>
    <x v="3"/>
    <m/>
    <s v="Nørreskoven, Højloft Vænge 46"/>
    <n v="9952"/>
    <m/>
    <s v="Nørreskoven"/>
    <x v="42"/>
    <x v="0"/>
    <x v="5"/>
    <n v="43714.48"/>
    <n v="8"/>
    <s v="2010-10-31"/>
    <n v="0"/>
    <n v="473"/>
    <n v="92.400084000000007"/>
    <n v="1"/>
    <x v="1"/>
    <n v="47490.02"/>
    <n v="8785.66"/>
    <n v="0"/>
    <s v="772082/1998"/>
    <m/>
    <n v="43714.474150000002"/>
    <n v="0"/>
    <n v="76307"/>
  </r>
  <r>
    <x v="3"/>
    <m/>
    <s v="Nørreskoven, Højloft Vænge 46"/>
    <n v="9952"/>
    <m/>
    <s v="Nørreskoven"/>
    <x v="42"/>
    <x v="0"/>
    <x v="6"/>
    <n v="38484.33"/>
    <n v="3"/>
    <s v="2010-10-31"/>
    <n v="0"/>
    <n v="473"/>
    <n v="81.345022"/>
    <n v="1"/>
    <x v="1"/>
    <n v="45307.07"/>
    <n v="8381.7800000000007"/>
    <n v="0"/>
    <s v="772082/1998"/>
    <m/>
    <n v="38484.329940000003"/>
    <n v="0"/>
    <n v="76307"/>
  </r>
  <r>
    <x v="3"/>
    <s v="02587-9"/>
    <s v="Paletten, tidl. Vallhalla Ryttergårdsvej 106"/>
    <n v="5277"/>
    <m/>
    <s v="Paletten, tidl. Vallhalla"/>
    <x v="43"/>
    <x v="0"/>
    <x v="0"/>
    <n v="46882"/>
    <n v="5"/>
    <s v="2005-09-01"/>
    <n v="0"/>
    <n v="585"/>
    <n v="43.648947999999997"/>
    <n v="1"/>
    <x v="1"/>
    <n v="53465"/>
    <n v="5300612.5999999996"/>
    <n v="0"/>
    <s v="4824608"/>
    <m/>
    <n v="25539"/>
    <n v="0"/>
    <n v="56868"/>
  </r>
  <r>
    <x v="3"/>
    <s v="02587-9"/>
    <s v="Paletten, tidl. Vallhalla Ryttergårdsvej 106"/>
    <n v="5277"/>
    <m/>
    <s v="Paletten, tidl. Vallhalla"/>
    <x v="43"/>
    <x v="1"/>
    <x v="0"/>
    <n v="17031.2"/>
    <n v="5"/>
    <s v="2005-09-01"/>
    <n v="0"/>
    <n v="585"/>
    <n v="29.108186"/>
    <n v="1"/>
    <x v="3"/>
    <n v="19107.28"/>
    <n v="101314.04"/>
    <n v="1"/>
    <s v="4824608"/>
    <m/>
    <n v="488.14"/>
    <n v="0"/>
    <n v="57007"/>
  </r>
  <r>
    <x v="3"/>
    <s v="02587-9"/>
    <s v="Paletten, tidl. Vallhalla Ryttergårdsvej 106"/>
    <n v="5277"/>
    <m/>
    <s v="Paletten, tidl. Vallhalla"/>
    <x v="43"/>
    <x v="1"/>
    <x v="1"/>
    <n v="34699.5"/>
    <n v="12"/>
    <s v="2005-09-01"/>
    <n v="0"/>
    <n v="585"/>
    <n v="59.305245999999997"/>
    <n v="1"/>
    <x v="3"/>
    <n v="35724.53"/>
    <n v="189.42"/>
    <n v="1"/>
    <s v="4824608"/>
    <m/>
    <n v="994.54"/>
    <n v="0"/>
    <n v="57007"/>
  </r>
  <r>
    <x v="3"/>
    <s v="02587-9"/>
    <s v="Paletten, tidl. Vallhalla Ryttergårdsvej 106"/>
    <n v="5277"/>
    <m/>
    <s v="Paletten, tidl. Vallhalla"/>
    <x v="43"/>
    <x v="0"/>
    <x v="1"/>
    <n v="47770"/>
    <n v="12"/>
    <s v="2005-09-01"/>
    <n v="0"/>
    <n v="585"/>
    <n v="81.644163000000006"/>
    <n v="1"/>
    <x v="1"/>
    <n v="49439.76"/>
    <n v="9146.36"/>
    <n v="0"/>
    <s v="4824608"/>
    <m/>
    <n v="47770"/>
    <n v="0"/>
    <n v="56868"/>
  </r>
  <r>
    <x v="3"/>
    <s v="02587-9"/>
    <s v="Paletten, tidl. Vallhalla Ryttergårdsvej 106"/>
    <n v="5277"/>
    <m/>
    <s v="Paletten, tidl. Vallhalla"/>
    <x v="43"/>
    <x v="1"/>
    <x v="2"/>
    <n v="32575.74"/>
    <n v="12"/>
    <s v="2005-09-01"/>
    <n v="0"/>
    <n v="585"/>
    <n v="55.675508000000001"/>
    <n v="1"/>
    <x v="3"/>
    <n v="34059.440000000002"/>
    <n v="180.59"/>
    <n v="1"/>
    <s v="4824608"/>
    <m/>
    <n v="933.67"/>
    <n v="0"/>
    <n v="57007"/>
  </r>
  <r>
    <x v="3"/>
    <s v="02587-9"/>
    <s v="Paletten, tidl. Vallhalla Ryttergårdsvej 106"/>
    <n v="5277"/>
    <m/>
    <s v="Paletten, tidl. Vallhalla"/>
    <x v="43"/>
    <x v="0"/>
    <x v="2"/>
    <n v="45883"/>
    <n v="12"/>
    <s v="2005-09-01"/>
    <n v="0"/>
    <n v="585"/>
    <n v="78.419072999999997"/>
    <n v="1"/>
    <x v="1"/>
    <n v="48119.89"/>
    <n v="8902.18"/>
    <n v="0"/>
    <s v="4824608"/>
    <m/>
    <n v="45883"/>
    <n v="0"/>
    <n v="56868"/>
  </r>
  <r>
    <x v="3"/>
    <s v="02587-9"/>
    <s v="Paletten, tidl. Vallhalla Ryttergårdsvej 106"/>
    <n v="5277"/>
    <m/>
    <s v="Paletten, tidl. Vallhalla"/>
    <x v="43"/>
    <x v="1"/>
    <x v="3"/>
    <n v="31558.71"/>
    <n v="12"/>
    <s v="2005-09-01"/>
    <n v="0"/>
    <n v="585"/>
    <n v="53.937291999999999"/>
    <n v="1"/>
    <x v="3"/>
    <n v="34294.269999999997"/>
    <n v="181.86"/>
    <n v="1"/>
    <s v="4824608"/>
    <m/>
    <n v="904.51999000000001"/>
    <n v="0"/>
    <n v="57007"/>
  </r>
  <r>
    <x v="3"/>
    <s v="02587-9"/>
    <s v="Paletten, tidl. Vallhalla Ryttergårdsvej 106"/>
    <n v="5277"/>
    <m/>
    <s v="Paletten, tidl. Vallhalla"/>
    <x v="43"/>
    <x v="0"/>
    <x v="3"/>
    <n v="44808"/>
    <n v="12"/>
    <s v="2005-09-01"/>
    <n v="0"/>
    <n v="585"/>
    <n v="76.581779999999995"/>
    <n v="1"/>
    <x v="1"/>
    <n v="48856.05"/>
    <n v="9038.3700000000008"/>
    <n v="0"/>
    <s v="4824608"/>
    <m/>
    <n v="44808.000399999997"/>
    <n v="0"/>
    <n v="56868"/>
  </r>
  <r>
    <x v="3"/>
    <s v="02587-9"/>
    <s v="Paletten, tidl. Vallhalla Ryttergårdsvej 106"/>
    <n v="5277"/>
    <m/>
    <s v="Paletten, tidl. Vallhalla"/>
    <x v="43"/>
    <x v="0"/>
    <x v="4"/>
    <n v="56100"/>
    <n v="12"/>
    <s v="2005-09-01"/>
    <n v="0"/>
    <n v="585"/>
    <n v="95.881045"/>
    <n v="1"/>
    <x v="1"/>
    <n v="50861.69"/>
    <n v="9409.42"/>
    <n v="0"/>
    <s v="4824608"/>
    <m/>
    <n v="56100"/>
    <n v="0"/>
    <n v="56868"/>
  </r>
  <r>
    <x v="3"/>
    <s v="02587-9"/>
    <s v="Paletten, tidl. Vallhalla Ryttergårdsvej 106"/>
    <n v="5277"/>
    <m/>
    <s v="Paletten, tidl. Vallhalla"/>
    <x v="43"/>
    <x v="1"/>
    <x v="4"/>
    <n v="41762.980000000003"/>
    <n v="12"/>
    <s v="2005-09-01"/>
    <n v="0"/>
    <n v="585"/>
    <n v="71.377508000000006"/>
    <n v="1"/>
    <x v="3"/>
    <n v="37809.57"/>
    <n v="200.48"/>
    <n v="1"/>
    <s v="4824608"/>
    <m/>
    <n v="1196.99"/>
    <n v="0"/>
    <n v="57007"/>
  </r>
  <r>
    <x v="3"/>
    <s v="02587-9"/>
    <s v="Paletten, tidl. Vallhalla Ryttergårdsvej 106"/>
    <n v="5277"/>
    <m/>
    <s v="Paletten, tidl. Vallhalla"/>
    <x v="43"/>
    <x v="1"/>
    <x v="5"/>
    <n v="31136.880000000001"/>
    <n v="12"/>
    <s v="2005-09-01"/>
    <n v="0"/>
    <n v="585"/>
    <n v="53.216338999999998"/>
    <n v="1"/>
    <x v="3"/>
    <n v="32686.48"/>
    <n v="173.31"/>
    <n v="1"/>
    <s v="4824608"/>
    <m/>
    <n v="892.43"/>
    <n v="0"/>
    <n v="57007"/>
  </r>
  <r>
    <x v="3"/>
    <s v="02587-9"/>
    <s v="Paletten, tidl. Vallhalla Ryttergårdsvej 106"/>
    <n v="5277"/>
    <m/>
    <s v="Paletten, tidl. Vallhalla"/>
    <x v="43"/>
    <x v="0"/>
    <x v="5"/>
    <n v="41688"/>
    <n v="12"/>
    <s v="2005-09-01"/>
    <n v="0"/>
    <n v="585"/>
    <n v="71.249358999999998"/>
    <n v="1"/>
    <x v="1"/>
    <n v="43921.54"/>
    <n v="8125.49"/>
    <n v="0"/>
    <s v="4824608"/>
    <m/>
    <n v="41688"/>
    <n v="0"/>
    <n v="56868"/>
  </r>
  <r>
    <x v="3"/>
    <s v="02587-9"/>
    <s v="Paletten, tidl. Vallhalla Ryttergårdsvej 106"/>
    <n v="5277"/>
    <m/>
    <s v="Paletten, tidl. Vallhalla"/>
    <x v="43"/>
    <x v="1"/>
    <x v="6"/>
    <n v="28142.61"/>
    <n v="12"/>
    <s v="2005-09-01"/>
    <n v="0"/>
    <n v="585"/>
    <n v="48.098802999999997"/>
    <n v="1"/>
    <x v="3"/>
    <n v="32010"/>
    <n v="169.74"/>
    <n v="1"/>
    <s v="4824608"/>
    <m/>
    <n v="806.61"/>
    <n v="0"/>
    <n v="57007"/>
  </r>
  <r>
    <x v="3"/>
    <s v="02587-9"/>
    <s v="Paletten, tidl. Vallhalla Ryttergårdsvej 106"/>
    <n v="5277"/>
    <m/>
    <s v="Paletten, tidl. Vallhalla"/>
    <x v="43"/>
    <x v="0"/>
    <x v="6"/>
    <n v="39186"/>
    <n v="12"/>
    <s v="2005-09-01"/>
    <n v="0"/>
    <n v="585"/>
    <n v="66.973166000000006"/>
    <n v="1"/>
    <x v="1"/>
    <n v="44866.44"/>
    <n v="8300.2800000000007"/>
    <n v="0"/>
    <s v="4824608"/>
    <m/>
    <n v="39185.9997"/>
    <n v="0"/>
    <n v="56868"/>
  </r>
  <r>
    <x v="3"/>
    <s v="04927-1"/>
    <s v="Regnbuen, Birkhøj 1"/>
    <n v="5274"/>
    <m/>
    <s v="Regnbuen"/>
    <x v="54"/>
    <x v="1"/>
    <x v="0"/>
    <n v="65645.53"/>
    <n v="5"/>
    <s v="2005-08-01"/>
    <n v="0"/>
    <n v="586"/>
    <n v="112.003975"/>
    <n v="1"/>
    <x v="3"/>
    <n v="73062.7"/>
    <n v="387406.12"/>
    <n v="1"/>
    <s v="4824613"/>
    <m/>
    <n v="1881.5"/>
    <n v="0"/>
    <n v="57005"/>
  </r>
  <r>
    <x v="3"/>
    <s v="04927-1"/>
    <s v="Regnbuen, Birkhøj 1"/>
    <n v="5274"/>
    <m/>
    <s v="Regnbuen"/>
    <x v="54"/>
    <x v="1"/>
    <x v="1"/>
    <n v="177369.76"/>
    <n v="12"/>
    <s v="2005-08-01"/>
    <n v="0"/>
    <n v="586"/>
    <n v="302.62712800000003"/>
    <n v="1"/>
    <x v="3"/>
    <n v="201661.29"/>
    <n v="1069.3"/>
    <n v="1"/>
    <s v="4824613"/>
    <m/>
    <n v="5083.6850000000004"/>
    <n v="0"/>
    <n v="57005"/>
  </r>
  <r>
    <x v="3"/>
    <s v="04927-1"/>
    <s v="Regnbuen, Birkhøj 1"/>
    <n v="5274"/>
    <m/>
    <s v="Regnbuen"/>
    <x v="54"/>
    <x v="1"/>
    <x v="2"/>
    <n v="219355.53"/>
    <n v="12"/>
    <s v="2005-08-01"/>
    <n v="0"/>
    <n v="586"/>
    <n v="374.26297499999998"/>
    <n v="1"/>
    <x v="3"/>
    <n v="235678.68"/>
    <n v="1249.6600000000001"/>
    <n v="1"/>
    <s v="4824613"/>
    <m/>
    <n v="6287.06"/>
    <n v="0"/>
    <n v="57005"/>
  </r>
  <r>
    <x v="3"/>
    <s v="04927-1"/>
    <s v="Regnbuen, Birkhøj 1"/>
    <n v="5274"/>
    <m/>
    <s v="Regnbuen"/>
    <x v="54"/>
    <x v="1"/>
    <x v="3"/>
    <n v="238300.1"/>
    <n v="12"/>
    <s v="2005-08-01"/>
    <n v="0"/>
    <n v="586"/>
    <n v="406.58607699999999"/>
    <n v="1"/>
    <x v="3"/>
    <n v="272596.89"/>
    <n v="1445.41"/>
    <n v="1"/>
    <s v="4824613"/>
    <m/>
    <n v="6830.04"/>
    <n v="0"/>
    <n v="57005"/>
  </r>
  <r>
    <x v="3"/>
    <s v="04927-1"/>
    <s v="Regnbuen, Birkhøj 1"/>
    <n v="5274"/>
    <m/>
    <s v="Regnbuen"/>
    <x v="54"/>
    <x v="1"/>
    <x v="4"/>
    <n v="208973.31"/>
    <n v="12"/>
    <s v="2005-08-01"/>
    <n v="0"/>
    <n v="586"/>
    <n v="356.54889900000001"/>
    <n v="1"/>
    <x v="3"/>
    <n v="202516.86"/>
    <n v="1073.83"/>
    <n v="1"/>
    <s v="4824613"/>
    <m/>
    <n v="5989.49"/>
    <n v="0"/>
    <n v="57005"/>
  </r>
  <r>
    <x v="3"/>
    <s v="04927-1"/>
    <s v="Regnbuen, Birkhøj 1"/>
    <n v="5274"/>
    <m/>
    <s v="Regnbuen"/>
    <x v="54"/>
    <x v="1"/>
    <x v="5"/>
    <n v="188129.66"/>
    <n v="12"/>
    <s v="2005-08-01"/>
    <n v="0"/>
    <n v="586"/>
    <n v="320.98559899999998"/>
    <n v="1"/>
    <x v="3"/>
    <n v="216123.25"/>
    <n v="1145.96"/>
    <n v="1"/>
    <s v="4824613"/>
    <m/>
    <n v="5392.08"/>
    <n v="0"/>
    <n v="57005"/>
  </r>
  <r>
    <x v="3"/>
    <s v="04927-1"/>
    <s v="Regnbuen, Birkhøj 1"/>
    <n v="5274"/>
    <m/>
    <s v="Regnbuen"/>
    <x v="54"/>
    <x v="1"/>
    <x v="6"/>
    <n v="108680.95"/>
    <n v="12"/>
    <s v="2005-08-01"/>
    <n v="0"/>
    <n v="586"/>
    <n v="185.43072799999999"/>
    <n v="1"/>
    <x v="3"/>
    <n v="131874.85999999999"/>
    <n v="699.26"/>
    <n v="1"/>
    <s v="4824613"/>
    <m/>
    <n v="3114.96"/>
    <n v="0"/>
    <n v="57005"/>
  </r>
  <r>
    <x v="3"/>
    <s v="01789-2"/>
    <s v="Røde Sol, Lindegårdsvej 2"/>
    <n v="5247"/>
    <m/>
    <s v="Røde Sol"/>
    <x v="44"/>
    <x v="0"/>
    <x v="0"/>
    <n v="35871"/>
    <n v="5"/>
    <s v="2005-05-01"/>
    <n v="0"/>
    <n v="284"/>
    <n v="78.752234999999999"/>
    <n v="1"/>
    <x v="4"/>
    <n v="41656"/>
    <n v="5351.9"/>
    <n v="0"/>
    <s v="1120526/1620060"/>
    <s v="98000130314"/>
    <n v="2071.62"/>
    <n v="0"/>
    <n v="56639"/>
  </r>
  <r>
    <x v="3"/>
    <s v="01789-2"/>
    <s v="Røde Sol, Lindegårdsvej 2"/>
    <n v="5247"/>
    <m/>
    <s v="Røde Sol"/>
    <x v="44"/>
    <x v="0"/>
    <x v="1"/>
    <n v="54033.47"/>
    <n v="12"/>
    <s v="2005-05-01"/>
    <n v="0"/>
    <n v="284"/>
    <n v="190.19172800000001"/>
    <n v="1"/>
    <x v="4"/>
    <n v="55929.96"/>
    <n v="11828.14"/>
    <n v="0"/>
    <s v="1120526/1620060"/>
    <s v="98000130314"/>
    <n v="5003.1000000000004"/>
    <n v="0"/>
    <n v="56639"/>
  </r>
  <r>
    <x v="3"/>
    <s v="01789-2"/>
    <s v="Røde Sol, Lindegårdsvej 2"/>
    <n v="5247"/>
    <m/>
    <s v="Røde Sol"/>
    <x v="44"/>
    <x v="0"/>
    <x v="2"/>
    <n v="60019.39"/>
    <n v="12"/>
    <s v="2005-05-01"/>
    <n v="0"/>
    <n v="284"/>
    <n v="211.261492"/>
    <n v="1"/>
    <x v="4"/>
    <n v="62862.17"/>
    <n v="13294.19"/>
    <n v="0"/>
    <s v="1120526/1620060"/>
    <s v="98000130314"/>
    <n v="5557.35"/>
    <n v="0"/>
    <n v="56639"/>
  </r>
  <r>
    <x v="3"/>
    <s v="01789-2"/>
    <s v="Røde Sol, Lindegårdsvej 2"/>
    <n v="5247"/>
    <m/>
    <s v="Røde Sol"/>
    <x v="44"/>
    <x v="0"/>
    <x v="3"/>
    <n v="52613.7"/>
    <n v="12"/>
    <s v="2005-05-01"/>
    <n v="0"/>
    <n v="284"/>
    <n v="185.19429700000001"/>
    <n v="1"/>
    <x v="4"/>
    <n v="56393.27"/>
    <n v="11926.13"/>
    <n v="0"/>
    <s v="1120526/1620060"/>
    <s v="98000130314"/>
    <n v="4871.6400000000003"/>
    <n v="0"/>
    <n v="56639"/>
  </r>
  <r>
    <x v="3"/>
    <s v="01789-2"/>
    <s v="Røde Sol, Lindegårdsvej 2"/>
    <n v="5247"/>
    <m/>
    <s v="Røde Sol"/>
    <x v="44"/>
    <x v="0"/>
    <x v="4"/>
    <n v="72210.100000000006"/>
    <n v="12"/>
    <s v="2005-05-01"/>
    <n v="0"/>
    <n v="284"/>
    <n v="254.17141799999999"/>
    <n v="1"/>
    <x v="4"/>
    <n v="92601.38"/>
    <n v="19583.48"/>
    <n v="0"/>
    <s v="1120526/1620060"/>
    <s v="98000130314"/>
    <n v="6686.1216999999997"/>
    <n v="0"/>
    <n v="56639"/>
  </r>
  <r>
    <x v="3"/>
    <s v="01789-2"/>
    <s v="Røde Sol, Lindegårdsvej 2"/>
    <n v="5247"/>
    <m/>
    <s v="Røde Sol"/>
    <x v="44"/>
    <x v="0"/>
    <x v="5"/>
    <n v="61125.06"/>
    <n v="12"/>
    <s v="2005-05-01"/>
    <n v="0"/>
    <n v="284"/>
    <n v="215.15332599999999"/>
    <n v="1"/>
    <x v="4"/>
    <n v="65571.48"/>
    <n v="13867.16"/>
    <n v="0"/>
    <s v="1120526/1620060"/>
    <s v="98000130314"/>
    <n v="5659.7278999999999"/>
    <n v="0"/>
    <n v="56639"/>
  </r>
  <r>
    <x v="3"/>
    <s v="01789-2"/>
    <s v="Røde Sol, Lindegårdsvej 2"/>
    <n v="5247"/>
    <m/>
    <s v="Røde Sol"/>
    <x v="44"/>
    <x v="0"/>
    <x v="6"/>
    <n v="67430.990000000005"/>
    <n v="12"/>
    <s v="2005-05-01"/>
    <n v="0"/>
    <n v="284"/>
    <n v="237.34948900000001"/>
    <n v="1"/>
    <x v="4"/>
    <n v="76422.44"/>
    <n v="16161.92"/>
    <n v="0"/>
    <s v="1120526/1620060"/>
    <s v="98000130314"/>
    <n v="6243.61"/>
    <n v="0"/>
    <n v="56639"/>
  </r>
  <r>
    <x v="3"/>
    <m/>
    <s v="Skovstjernen Børnehus, Skovlinien 23"/>
    <n v="10019"/>
    <m/>
    <s v="Skovstjernen Børnehus"/>
    <x v="45"/>
    <x v="0"/>
    <x v="0"/>
    <n v="69785"/>
    <n v="5"/>
    <s v="2011-10-31"/>
    <n v="0"/>
    <n v="598"/>
    <n v="76.921600999999995"/>
    <n v="1"/>
    <x v="4"/>
    <n v="80398"/>
    <n v="11040.26"/>
    <n v="0"/>
    <s v="176870"/>
    <s v="98004882257"/>
    <n v="4259.8900000000003"/>
    <n v="0"/>
    <n v="76533"/>
  </r>
  <r>
    <x v="3"/>
    <m/>
    <s v="Skovstjernen Børnehus, Skovlinien 23"/>
    <n v="10019"/>
    <m/>
    <s v="Skovstjernen Børnehus"/>
    <x v="45"/>
    <x v="0"/>
    <x v="1"/>
    <n v="89611.48"/>
    <n v="12"/>
    <s v="2011-10-31"/>
    <n v="0"/>
    <n v="598"/>
    <n v="149.82691800000001"/>
    <n v="1"/>
    <x v="4"/>
    <n v="93561.62"/>
    <n v="19786.55"/>
    <n v="0"/>
    <s v="176870"/>
    <s v="98004882257"/>
    <n v="8297.36"/>
    <n v="0"/>
    <n v="76533"/>
  </r>
  <r>
    <x v="3"/>
    <m/>
    <s v="Skovstjernen Børnehus, Skovlinien 23"/>
    <n v="10019"/>
    <m/>
    <s v="Skovstjernen Børnehus"/>
    <x v="45"/>
    <x v="0"/>
    <x v="2"/>
    <n v="113960.31"/>
    <n v="12"/>
    <s v="2011-10-31"/>
    <n v="0"/>
    <n v="598"/>
    <n v="190.537217"/>
    <n v="1"/>
    <x v="4"/>
    <n v="119933.27"/>
    <n v="25363.67"/>
    <n v="0"/>
    <s v="176870"/>
    <s v="98004882257"/>
    <n v="10551.88"/>
    <n v="0"/>
    <n v="76533"/>
  </r>
  <r>
    <x v="3"/>
    <m/>
    <s v="Skovstjernen Børnehus, Skovlinien 23"/>
    <n v="10019"/>
    <m/>
    <s v="Skovstjernen Børnehus"/>
    <x v="45"/>
    <x v="0"/>
    <x v="3"/>
    <n v="109904.3"/>
    <n v="9"/>
    <s v="2011-10-31"/>
    <n v="0"/>
    <n v="598"/>
    <n v="183.75572600000001"/>
    <n v="1"/>
    <x v="4"/>
    <n v="130424.97"/>
    <n v="27582.47"/>
    <n v="0"/>
    <s v="176870"/>
    <s v="98004882257"/>
    <n v="10176.32476"/>
    <n v="0"/>
    <n v="76533"/>
  </r>
  <r>
    <x v="3"/>
    <m/>
    <s v="Skovstjernen Børnehus, Skovlinien 23"/>
    <n v="10019"/>
    <m/>
    <s v="Skovstjernen Børnehus"/>
    <x v="45"/>
    <x v="0"/>
    <x v="4"/>
    <n v="107738.8"/>
    <n v="3"/>
    <s v="2011-10-31"/>
    <n v="0"/>
    <n v="598"/>
    <n v="180.13509400000001"/>
    <n v="1"/>
    <x v="4"/>
    <n v="134840.21"/>
    <n v="28516.21"/>
    <n v="0"/>
    <s v="176870"/>
    <s v="98004882257"/>
    <n v="9975.8158399999993"/>
    <n v="0"/>
    <n v="76533"/>
  </r>
  <r>
    <x v="3"/>
    <m/>
    <s v="Skovstjernen Børnehus, Skovlinien 23"/>
    <n v="10019"/>
    <m/>
    <s v="Skovstjernen Børnehus"/>
    <x v="45"/>
    <x v="0"/>
    <x v="5"/>
    <n v="115091.24"/>
    <n v="6"/>
    <s v="2011-10-31"/>
    <n v="0"/>
    <n v="598"/>
    <n v="192.428088"/>
    <n v="1"/>
    <x v="4"/>
    <n v="127039.37"/>
    <n v="26866.47"/>
    <n v="0"/>
    <s v="176870"/>
    <s v="98004882257"/>
    <n v="10656.595369999999"/>
    <n v="0"/>
    <n v="76533"/>
  </r>
  <r>
    <x v="3"/>
    <m/>
    <s v="Skovstjernen Børnehus, Skovlinien 23"/>
    <n v="10019"/>
    <m/>
    <s v="Skovstjernen Børnehus"/>
    <x v="45"/>
    <x v="0"/>
    <x v="6"/>
    <n v="100047.19"/>
    <n v="5"/>
    <s v="2011-10-31"/>
    <n v="0"/>
    <n v="598"/>
    <n v="167.27502000000001"/>
    <n v="1"/>
    <x v="4"/>
    <n v="113698"/>
    <n v="24045.040000000001"/>
    <n v="0"/>
    <s v="176870"/>
    <s v="98004882257"/>
    <n v="9263.6292799999992"/>
    <n v="0"/>
    <n v="76533"/>
  </r>
  <r>
    <x v="3"/>
    <m/>
    <s v="Solbjerg Børnehus"/>
    <n v="10056"/>
    <m/>
    <s v="Solbjerg Børnehus"/>
    <x v="46"/>
    <x v="0"/>
    <x v="0"/>
    <n v="53509"/>
    <n v="5"/>
    <s v="2011-11-30"/>
    <n v="0"/>
    <n v="836"/>
    <n v="37.208466999999999"/>
    <n v="1"/>
    <x v="5"/>
    <n v="61402"/>
    <n v="2.2599999999999998"/>
    <n v="0"/>
    <s v="601132"/>
    <m/>
    <n v="31.11"/>
    <n v="0"/>
    <n v="89456"/>
  </r>
  <r>
    <x v="3"/>
    <m/>
    <s v="Solbjerg Børnehus"/>
    <n v="10056"/>
    <m/>
    <s v="Solbjerg Børnehus"/>
    <x v="46"/>
    <x v="0"/>
    <x v="1"/>
    <n v="76155"/>
    <n v="12"/>
    <s v="2011-11-30"/>
    <n v="0"/>
    <n v="836"/>
    <n v="91.083601999999999"/>
    <n v="1"/>
    <x v="5"/>
    <n v="79244.94"/>
    <n v="5.0599999999999996"/>
    <n v="0"/>
    <s v="601132"/>
    <m/>
    <n v="76.155000000000001"/>
    <n v="0"/>
    <n v="89456"/>
  </r>
  <r>
    <x v="3"/>
    <m/>
    <s v="Solbjerg Børnehus"/>
    <n v="10056"/>
    <m/>
    <s v="Solbjerg Børnehus"/>
    <x v="46"/>
    <x v="0"/>
    <x v="2"/>
    <n v="80880"/>
    <n v="12"/>
    <s v="2011-11-30"/>
    <n v="0"/>
    <n v="836"/>
    <n v="96.734840000000005"/>
    <n v="1"/>
    <x v="5"/>
    <n v="84785.72"/>
    <n v="15.7"/>
    <n v="0"/>
    <s v="601132"/>
    <m/>
    <n v="80.88"/>
    <n v="0"/>
    <n v="89456"/>
  </r>
  <r>
    <x v="3"/>
    <m/>
    <s v="Solbjerg Børnehus"/>
    <n v="10056"/>
    <m/>
    <s v="Solbjerg Børnehus"/>
    <x v="46"/>
    <x v="0"/>
    <x v="3"/>
    <n v="30880"/>
    <n v="6"/>
    <s v="2011-11-30"/>
    <n v="0"/>
    <n v="836"/>
    <n v="36.933380999999997"/>
    <n v="1"/>
    <x v="5"/>
    <n v="34367.32"/>
    <n v="6.35"/>
    <n v="0"/>
    <s v="601132"/>
    <m/>
    <n v="30.88"/>
    <n v="0"/>
    <n v="89456"/>
  </r>
  <r>
    <x v="3"/>
    <m/>
    <s v="Solbjerg Børnehus"/>
    <n v="10056"/>
    <m/>
    <s v="Solbjerg Børnehus"/>
    <x v="46"/>
    <x v="0"/>
    <x v="3"/>
    <n v="38730.75"/>
    <n v="6"/>
    <s v="2011-06-06"/>
    <n v="0"/>
    <n v="836"/>
    <n v="46.323107"/>
    <n v="1"/>
    <x v="7"/>
    <n v="41698.269999999997"/>
    <n v="27.75"/>
    <n v="0"/>
    <s v="NEDLAGT"/>
    <m/>
    <n v="139.31926999999999"/>
    <n v="0"/>
    <n v="76679"/>
  </r>
  <r>
    <x v="3"/>
    <m/>
    <s v="Solbjerg Børnehus"/>
    <n v="10056"/>
    <m/>
    <s v="Solbjerg Børnehus"/>
    <x v="46"/>
    <x v="0"/>
    <x v="4"/>
    <n v="80900.25"/>
    <n v="8"/>
    <s v="2011-06-06"/>
    <n v="0"/>
    <n v="836"/>
    <n v="96.759058999999993"/>
    <n v="1"/>
    <x v="7"/>
    <n v="74228.289999999994"/>
    <n v="49.41"/>
    <n v="0"/>
    <s v="NEDLAGT"/>
    <m/>
    <n v="291.00812000000002"/>
    <n v="0"/>
    <n v="76679"/>
  </r>
  <r>
    <x v="3"/>
    <m/>
    <s v="Solbjerg Børnehus"/>
    <n v="10056"/>
    <m/>
    <s v="Solbjerg Børnehus"/>
    <x v="46"/>
    <x v="0"/>
    <x v="5"/>
    <n v="62001"/>
    <n v="6"/>
    <s v="2011-06-06"/>
    <n v="0"/>
    <n v="836"/>
    <n v="74.155005000000003"/>
    <n v="1"/>
    <x v="7"/>
    <n v="66197.88"/>
    <n v="44.06"/>
    <n v="0"/>
    <s v="NEDLAGT"/>
    <m/>
    <n v="223.02524"/>
    <n v="0"/>
    <n v="76679"/>
  </r>
  <r>
    <x v="3"/>
    <m/>
    <s v="Solbjerg Børnehus"/>
    <n v="10056"/>
    <m/>
    <s v="Solbjerg Børnehus"/>
    <x v="46"/>
    <x v="0"/>
    <x v="6"/>
    <n v="45349.67"/>
    <n v="3"/>
    <s v="2011-06-06"/>
    <n v="0"/>
    <n v="836"/>
    <n v="54.239528"/>
    <n v="1"/>
    <x v="7"/>
    <n v="53610.49"/>
    <n v="35.68"/>
    <n v="0"/>
    <s v="NEDLAGT"/>
    <m/>
    <n v="163.12832"/>
    <n v="0"/>
    <n v="76679"/>
  </r>
  <r>
    <x v="3"/>
    <s v="039955-1"/>
    <s v="Stavnsholt Børnehus, STA45"/>
    <n v="5279"/>
    <m/>
    <s v="Majtræet/Sommerfuglen/Tusindben/Guldsmeden"/>
    <x v="48"/>
    <x v="1"/>
    <x v="0"/>
    <n v="70384.83"/>
    <n v="5"/>
    <s v="2010-02-09"/>
    <n v="0"/>
    <n v="1603"/>
    <n v="43.905450999999999"/>
    <n v="1"/>
    <x v="3"/>
    <n v="70384.83"/>
    <n v="373207.03"/>
    <n v="1"/>
    <s v="4824617"/>
    <m/>
    <n v="2017.335"/>
    <n v="0"/>
    <n v="57002"/>
  </r>
  <r>
    <x v="3"/>
    <s v="039955-1"/>
    <s v="Stavnsholt Børnehus, STA45"/>
    <n v="5279"/>
    <m/>
    <s v="Majtræet/Sommerfuglen/Tusindben/Guldsmeden"/>
    <x v="48"/>
    <x v="0"/>
    <x v="0"/>
    <n v="132145"/>
    <n v="5"/>
    <s v="2010-02-09"/>
    <n v="0"/>
    <n v="1603"/>
    <n v="42.837314999999997"/>
    <n v="1"/>
    <x v="1"/>
    <n v="151946"/>
    <n v="14156351.699999999"/>
    <n v="0"/>
    <s v="4824617"/>
    <m/>
    <n v="68672.5"/>
    <n v="0"/>
    <n v="56882"/>
  </r>
  <r>
    <x v="3"/>
    <s v="039955-1"/>
    <s v="Stavnsholt Børnehus, STA45"/>
    <n v="5279"/>
    <m/>
    <s v="Majtræet/Sommerfuglen/Tusindben/Guldsmeden"/>
    <x v="48"/>
    <x v="0"/>
    <x v="1"/>
    <n v="144947"/>
    <n v="12"/>
    <s v="2010-02-09"/>
    <n v="0"/>
    <n v="1603"/>
    <n v="90.416691999999998"/>
    <n v="1"/>
    <x v="1"/>
    <n v="152805.20000000001"/>
    <n v="28268.95"/>
    <n v="0"/>
    <s v="4824617"/>
    <m/>
    <n v="144947.003"/>
    <n v="0"/>
    <n v="56882"/>
  </r>
  <r>
    <x v="3"/>
    <s v="039955-1"/>
    <s v="Stavnsholt Børnehus, STA45"/>
    <n v="5279"/>
    <m/>
    <s v="Majtræet/Sommerfuglen/Tusindben/Guldsmeden"/>
    <x v="48"/>
    <x v="1"/>
    <x v="1"/>
    <n v="155388.9"/>
    <n v="12"/>
    <s v="2010-02-09"/>
    <n v="0"/>
    <n v="1603"/>
    <n v="96.930260000000004"/>
    <n v="1"/>
    <x v="3"/>
    <n v="155388.9"/>
    <n v="823.94"/>
    <n v="1"/>
    <s v="4824617"/>
    <m/>
    <n v="4453.68"/>
    <n v="0"/>
    <n v="57002"/>
  </r>
  <r>
    <x v="3"/>
    <s v="039955-1"/>
    <s v="Stavnsholt Børnehus, STA45"/>
    <n v="5279"/>
    <m/>
    <s v="Majtræet/Sommerfuglen/Tusindben/Guldsmeden"/>
    <x v="48"/>
    <x v="1"/>
    <x v="2"/>
    <n v="175865.5"/>
    <n v="12"/>
    <s v="2010-02-09"/>
    <n v="0"/>
    <n v="1603"/>
    <n v="109.70338700000001"/>
    <n v="1"/>
    <x v="3"/>
    <n v="175865.5"/>
    <n v="932.5"/>
    <n v="1"/>
    <s v="4824617"/>
    <m/>
    <n v="5040.57"/>
    <n v="0"/>
    <n v="57002"/>
  </r>
  <r>
    <x v="3"/>
    <s v="039955-1"/>
    <s v="Stavnsholt Børnehus, STA45"/>
    <n v="5279"/>
    <m/>
    <s v="Majtræet/Sommerfuglen/Tusindben/Guldsmeden"/>
    <x v="48"/>
    <x v="0"/>
    <x v="2"/>
    <n v="148180"/>
    <n v="12"/>
    <s v="2010-02-09"/>
    <n v="0"/>
    <n v="1603"/>
    <n v="92.433409999999995"/>
    <n v="1"/>
    <x v="1"/>
    <n v="155533.66"/>
    <n v="28773.72"/>
    <n v="0"/>
    <s v="4824617"/>
    <m/>
    <n v="148180"/>
    <n v="0"/>
    <n v="56882"/>
  </r>
  <r>
    <x v="3"/>
    <s v="039955-1"/>
    <s v="Stavnsholt Børnehus, STA45"/>
    <n v="5279"/>
    <m/>
    <s v="Majtræet/Sommerfuglen/Tusindben/Guldsmeden"/>
    <x v="48"/>
    <x v="1"/>
    <x v="3"/>
    <n v="323256.90999999997"/>
    <n v="12"/>
    <s v="2010-02-09"/>
    <n v="0"/>
    <n v="1603"/>
    <n v="201.644881"/>
    <n v="1"/>
    <x v="3"/>
    <n v="323256.90999999997"/>
    <n v="1714.03"/>
    <n v="1"/>
    <s v="4824617"/>
    <m/>
    <n v="9265.0300000000007"/>
    <n v="0"/>
    <n v="57002"/>
  </r>
  <r>
    <x v="3"/>
    <s v="039955-1"/>
    <s v="Stavnsholt Børnehus, STA45"/>
    <n v="5279"/>
    <m/>
    <s v="Majtræet/Sommerfuglen/Tusindben/Guldsmeden"/>
    <x v="48"/>
    <x v="0"/>
    <x v="3"/>
    <n v="162692"/>
    <n v="12"/>
    <s v="2010-02-09"/>
    <n v="0"/>
    <n v="1603"/>
    <n v="101.485871"/>
    <n v="1"/>
    <x v="1"/>
    <n v="181796.37"/>
    <n v="33632.33"/>
    <n v="0"/>
    <s v="4824617"/>
    <m/>
    <n v="162692"/>
    <n v="0"/>
    <n v="56882"/>
  </r>
  <r>
    <x v="3"/>
    <s v="039955-1"/>
    <s v="Stavnsholt Børnehus, STA45"/>
    <n v="5279"/>
    <m/>
    <s v="Majtræet/Sommerfuglen/Tusindben/Guldsmeden"/>
    <x v="48"/>
    <x v="0"/>
    <x v="4"/>
    <n v="189734.58"/>
    <n v="13"/>
    <s v="2010-02-09"/>
    <n v="0"/>
    <n v="1603"/>
    <n v="118.3548"/>
    <n v="1"/>
    <x v="1"/>
    <n v="180538.64"/>
    <n v="33399.65"/>
    <n v="0"/>
    <s v="4824617"/>
    <m/>
    <n v="189734.57274999999"/>
    <n v="0"/>
    <n v="56882"/>
  </r>
  <r>
    <x v="3"/>
    <s v="039955-1"/>
    <s v="Stavnsholt Børnehus, STA45"/>
    <n v="5279"/>
    <m/>
    <s v="Majtræet/Sommerfuglen/Tusindben/Guldsmeden"/>
    <x v="48"/>
    <x v="1"/>
    <x v="4"/>
    <n v="323710.83"/>
    <n v="13"/>
    <s v="2010-02-09"/>
    <n v="0"/>
    <n v="1603"/>
    <n v="201.928033"/>
    <n v="1"/>
    <x v="3"/>
    <n v="323710.83"/>
    <n v="1716.44"/>
    <n v="1"/>
    <s v="4824617"/>
    <m/>
    <n v="9278.0400000000009"/>
    <n v="0"/>
    <n v="57002"/>
  </r>
  <r>
    <x v="3"/>
    <s v="039955-1"/>
    <s v="Stavnsholt Børnehus, STA45"/>
    <n v="5279"/>
    <m/>
    <s v="Majtræet/Sommerfuglen/Tusindben/Guldsmeden"/>
    <x v="48"/>
    <x v="0"/>
    <x v="5"/>
    <n v="249210.12"/>
    <n v="12"/>
    <s v="2010-02-09"/>
    <n v="0"/>
    <n v="1603"/>
    <n v="155.45513"/>
    <n v="1"/>
    <x v="1"/>
    <n v="313019.90999999997"/>
    <n v="57908.67"/>
    <n v="0"/>
    <s v="4824617"/>
    <m/>
    <n v="249210.07832999999"/>
    <n v="0"/>
    <n v="56882"/>
  </r>
  <r>
    <x v="3"/>
    <s v="039955-1"/>
    <s v="Stavnsholt Børnehus, STA45"/>
    <n v="5279"/>
    <m/>
    <s v="Majtræet/Sommerfuglen/Tusindben/Guldsmeden"/>
    <x v="48"/>
    <x v="1"/>
    <x v="5"/>
    <n v="128235.39"/>
    <n v="12"/>
    <s v="2010-02-09"/>
    <n v="0"/>
    <n v="1603"/>
    <n v="79.992132999999995"/>
    <n v="1"/>
    <x v="3"/>
    <n v="128235.39"/>
    <n v="679.94"/>
    <n v="1"/>
    <s v="4824617"/>
    <m/>
    <n v="3675.42"/>
    <n v="0"/>
    <n v="57002"/>
  </r>
  <r>
    <x v="3"/>
    <s v="039955-1"/>
    <s v="Stavnsholt Børnehus, STA45"/>
    <n v="5279"/>
    <m/>
    <s v="Majtræet/Sommerfuglen/Tusindben/Guldsmeden"/>
    <x v="48"/>
    <x v="1"/>
    <x v="6"/>
    <n v="133447.95000000001"/>
    <n v="12"/>
    <s v="2010-02-09"/>
    <n v="0"/>
    <n v="1603"/>
    <n v="83.243684000000002"/>
    <n v="1"/>
    <x v="3"/>
    <n v="133447.95000000001"/>
    <n v="707.59"/>
    <n v="1"/>
    <s v="4824617"/>
    <m/>
    <n v="3824.82"/>
    <n v="0"/>
    <n v="57002"/>
  </r>
  <r>
    <x v="3"/>
    <s v="039955-1"/>
    <s v="Stavnsholt Børnehus, STA45"/>
    <n v="5279"/>
    <m/>
    <s v="Majtræet/Sommerfuglen/Tusindben/Guldsmeden"/>
    <x v="48"/>
    <x v="0"/>
    <x v="6"/>
    <n v="249604.18"/>
    <n v="12"/>
    <s v="2010-02-09"/>
    <n v="0"/>
    <n v="1603"/>
    <n v="155.700941"/>
    <n v="1"/>
    <x v="1"/>
    <n v="301288.67"/>
    <n v="55738.400000000001"/>
    <n v="0"/>
    <s v="4824617"/>
    <m/>
    <n v="249604.14430000001"/>
    <n v="0"/>
    <n v="56882"/>
  </r>
  <r>
    <x v="3"/>
    <m/>
    <s v="Søndersø Børnehus"/>
    <n v="10209"/>
    <m/>
    <s v="Søndersø Børnehus"/>
    <x v="49"/>
    <x v="0"/>
    <x v="0"/>
    <n v="175597"/>
    <n v="5"/>
    <s v="2011-11-30"/>
    <n v="0"/>
    <n v="1839"/>
    <n v="59.915174999999998"/>
    <n v="1"/>
    <x v="5"/>
    <n v="200546"/>
    <n v="7974.39"/>
    <n v="0"/>
    <s v="6657409"/>
    <m/>
    <n v="110.19"/>
    <n v="0"/>
    <n v="89457"/>
  </r>
  <r>
    <x v="3"/>
    <m/>
    <s v="Søndersø Børnehus"/>
    <n v="10209"/>
    <m/>
    <s v="Søndersø Børnehus"/>
    <x v="49"/>
    <x v="0"/>
    <x v="1"/>
    <n v="161930"/>
    <n v="12"/>
    <s v="2011-11-30"/>
    <n v="0"/>
    <n v="1839"/>
    <n v="88.048501000000002"/>
    <n v="1"/>
    <x v="5"/>
    <n v="168485.84"/>
    <n v="10783.09"/>
    <n v="0"/>
    <s v="6657409"/>
    <m/>
    <n v="161.93"/>
    <n v="0"/>
    <n v="89457"/>
  </r>
  <r>
    <x v="3"/>
    <m/>
    <s v="Søndersø Børnehus"/>
    <n v="10209"/>
    <m/>
    <s v="Søndersø Børnehus"/>
    <x v="49"/>
    <x v="0"/>
    <x v="2"/>
    <n v="181980"/>
    <n v="12"/>
    <s v="2011-11-30"/>
    <n v="0"/>
    <n v="1839"/>
    <n v="98.950573000000006"/>
    <n v="1"/>
    <x v="5"/>
    <n v="190548.8"/>
    <n v="35251.53"/>
    <n v="0"/>
    <s v="6657409"/>
    <m/>
    <n v="181.98"/>
    <n v="0"/>
    <n v="89457"/>
  </r>
  <r>
    <x v="3"/>
    <m/>
    <s v="Søndersø Børnehus"/>
    <n v="10209"/>
    <m/>
    <s v="Søndersø Børnehus"/>
    <x v="49"/>
    <x v="0"/>
    <x v="3"/>
    <n v="127660.29"/>
    <n v="6"/>
    <s v="2011-05-31"/>
    <n v="0"/>
    <n v="1839"/>
    <n v="69.414545000000004"/>
    <n v="1"/>
    <x v="7"/>
    <n v="140668.29"/>
    <n v="17710.05"/>
    <n v="0"/>
    <s v="NEDLAGT"/>
    <m/>
    <n v="459.20963"/>
    <n v="0"/>
    <n v="77422"/>
  </r>
  <r>
    <x v="3"/>
    <m/>
    <s v="Søndersø Børnehus"/>
    <n v="10209"/>
    <m/>
    <s v="Søndersø Børnehus"/>
    <x v="49"/>
    <x v="0"/>
    <x v="3"/>
    <n v="80810.009999999995"/>
    <n v="6"/>
    <s v="2011-11-30"/>
    <n v="0"/>
    <n v="1839"/>
    <n v="43.939976000000001"/>
    <n v="1"/>
    <x v="5"/>
    <n v="91594.53"/>
    <n v="16944.990000000002"/>
    <n v="0"/>
    <s v="6657409"/>
    <m/>
    <n v="80.810010000000005"/>
    <n v="0"/>
    <n v="89457"/>
  </r>
  <r>
    <x v="3"/>
    <m/>
    <s v="Søndersø Børnehus"/>
    <n v="10209"/>
    <m/>
    <s v="Søndersø Børnehus"/>
    <x v="49"/>
    <x v="0"/>
    <x v="4"/>
    <n v="215347.6"/>
    <n v="3"/>
    <s v="2011-05-31"/>
    <n v="0"/>
    <n v="1839"/>
    <n v="117.094013"/>
    <n v="1"/>
    <x v="7"/>
    <n v="226106.9"/>
    <n v="28466.69"/>
    <n v="0"/>
    <s v="NEDLAGT"/>
    <m/>
    <n v="774.63163999999995"/>
    <n v="0"/>
    <n v="77422"/>
  </r>
  <r>
    <x v="3"/>
    <m/>
    <s v="Søndersø Børnehus"/>
    <n v="10209"/>
    <m/>
    <s v="Søndersø Børnehus"/>
    <x v="49"/>
    <x v="0"/>
    <x v="5"/>
    <n v="224651.84"/>
    <n v="3"/>
    <s v="2011-05-31"/>
    <n v="0"/>
    <n v="1839"/>
    <n v="122.15313999999999"/>
    <n v="1"/>
    <x v="7"/>
    <n v="304370.65999999997"/>
    <n v="38320.050000000003"/>
    <n v="0"/>
    <s v="NEDLAGT"/>
    <m/>
    <n v="808.1001"/>
    <n v="0"/>
    <n v="77422"/>
  </r>
  <r>
    <x v="3"/>
    <m/>
    <s v="Søndersø Børnehus"/>
    <n v="10209"/>
    <m/>
    <s v="Søndersø Børnehus"/>
    <x v="49"/>
    <x v="0"/>
    <x v="6"/>
    <n v="155031.79"/>
    <n v="8"/>
    <s v="2011-05-31"/>
    <n v="0"/>
    <n v="1839"/>
    <n v="84.297640000000001"/>
    <n v="1"/>
    <x v="7"/>
    <n v="177440.8"/>
    <n v="22339.67"/>
    <n v="0"/>
    <s v="NEDLAGT"/>
    <m/>
    <n v="557.66831000000002"/>
    <n v="0"/>
    <n v="77422"/>
  </r>
  <r>
    <x v="3"/>
    <s v="00731-5"/>
    <s v="Græshoppen"/>
    <n v="5264"/>
    <m/>
    <s v="Græshoppen"/>
    <x v="31"/>
    <x v="0"/>
    <x v="7"/>
    <n v="270.54000000000002"/>
    <n v="12"/>
    <s v="2005-07-01"/>
    <n v="0"/>
    <n v="333"/>
    <n v="0.81218800000000002"/>
    <n v="3"/>
    <x v="0"/>
    <n v="270.54000000000002"/>
    <n v="216.43"/>
    <n v="0"/>
    <s v="BK 4016436"/>
    <m/>
    <n v="270.54399999999998"/>
    <n v="0"/>
    <n v="56769"/>
  </r>
  <r>
    <x v="3"/>
    <s v="00731-5"/>
    <s v="Græshoppen"/>
    <n v="5264"/>
    <m/>
    <s v="Græshoppen"/>
    <x v="31"/>
    <x v="0"/>
    <x v="7"/>
    <n v="49544"/>
    <n v="12"/>
    <s v="2005-07-01"/>
    <n v="0"/>
    <n v="333"/>
    <n v="148.73611500000001"/>
    <n v="1"/>
    <x v="1"/>
    <n v="59249.89"/>
    <n v="4338618.8499999996"/>
    <n v="0"/>
    <s v="4107805"/>
    <m/>
    <n v="49544"/>
    <n v="0"/>
    <n v="56768"/>
  </r>
  <r>
    <x v="3"/>
    <s v="00731-5"/>
    <s v="Græshoppen"/>
    <n v="5264"/>
    <m/>
    <s v="Græshoppen"/>
    <x v="31"/>
    <x v="0"/>
    <x v="7"/>
    <n v="10719.77"/>
    <n v="12"/>
    <s v="2005-07-01"/>
    <n v="0"/>
    <n v="333"/>
    <n v="32.181837000000002"/>
    <n v="2"/>
    <x v="2"/>
    <n v="10719.77"/>
    <n v="4287.8999999999996"/>
    <n v="0"/>
    <s v="1011237"/>
    <s v="74111463248"/>
    <n v="10719.773999999999"/>
    <n v="0"/>
    <n v="60150"/>
  </r>
  <r>
    <x v="3"/>
    <s v="00731-5"/>
    <s v="Græshoppen"/>
    <n v="5264"/>
    <m/>
    <s v="Græshoppen"/>
    <x v="31"/>
    <x v="1"/>
    <x v="7"/>
    <n v="35422.06"/>
    <n v="12"/>
    <s v="2005-07-01"/>
    <n v="0"/>
    <n v="333"/>
    <n v="106.34061800000001"/>
    <n v="1"/>
    <x v="3"/>
    <n v="42096.15"/>
    <n v="90690.03"/>
    <n v="1"/>
    <s v="4107805"/>
    <m/>
    <n v="1015.25"/>
    <n v="0"/>
    <n v="56998"/>
  </r>
  <r>
    <x v="3"/>
    <s v="004757-0"/>
    <s v="Bifrost Nordtoftevej 56c"/>
    <n v="5251"/>
    <m/>
    <s v="Bifrost"/>
    <x v="18"/>
    <x v="0"/>
    <x v="7"/>
    <n v="26364.34"/>
    <n v="2"/>
    <s v="2014-05-19"/>
    <n v="0"/>
    <n v="375"/>
    <n v="70.286163000000002"/>
    <n v="1"/>
    <x v="4"/>
    <n v="31128.28"/>
    <n v="6583.05"/>
    <n v="1"/>
    <s v="Kontrol"/>
    <m/>
    <n v="2441.1428599999999"/>
    <n v="0"/>
    <n v="94892"/>
  </r>
  <r>
    <x v="3"/>
    <m/>
    <s v="Hareskov Børnehus, Skovmose 55"/>
    <n v="9957"/>
    <m/>
    <s v="Hareskov Børnehus"/>
    <x v="33"/>
    <x v="0"/>
    <x v="7"/>
    <n v="406.2"/>
    <n v="12"/>
    <s v="2011-12-31"/>
    <n v="0"/>
    <n v="646"/>
    <n v="0.628695"/>
    <n v="3"/>
    <x v="0"/>
    <n v="406.2"/>
    <n v="324.95999999999998"/>
    <n v="0"/>
    <m/>
    <m/>
    <n v="406.2"/>
    <n v="0"/>
    <n v="76342"/>
  </r>
  <r>
    <x v="3"/>
    <m/>
    <s v="Hareskov Børnehus, Skovmose 55"/>
    <n v="9957"/>
    <m/>
    <s v="Hareskov Børnehus"/>
    <x v="33"/>
    <x v="0"/>
    <x v="7"/>
    <n v="20145.169999999998"/>
    <n v="12"/>
    <s v="2011-12-31"/>
    <n v="0"/>
    <n v="646"/>
    <n v="31.179646999999999"/>
    <n v="2"/>
    <x v="2"/>
    <n v="20145.169999999998"/>
    <n v="6043.54"/>
    <n v="0"/>
    <s v="4129902"/>
    <s v="74110485937"/>
    <n v="20145.173999999999"/>
    <n v="0"/>
    <n v="76341"/>
  </r>
  <r>
    <x v="3"/>
    <s v="01215-7"/>
    <s v="Kildehuset, Hoved 41"/>
    <n v="5269"/>
    <m/>
    <s v="Kildehuset"/>
    <x v="34"/>
    <x v="1"/>
    <x v="7"/>
    <n v="43570.3"/>
    <n v="12"/>
    <s v="2005-06-01"/>
    <n v="0"/>
    <n v="607"/>
    <n v="71.767912999999993"/>
    <n v="1"/>
    <x v="3"/>
    <n v="51346.45"/>
    <n v="101376.3"/>
    <n v="1"/>
    <s v="4824618"/>
    <m/>
    <n v="1248.79"/>
    <n v="0"/>
    <n v="57001"/>
  </r>
  <r>
    <x v="3"/>
    <s v="01215-7"/>
    <s v="Kildehuset, Hoved 41"/>
    <n v="5269"/>
    <m/>
    <s v="Kildehuset"/>
    <x v="34"/>
    <x v="0"/>
    <x v="7"/>
    <n v="322.22000000000003"/>
    <n v="12"/>
    <s v="2005-06-01"/>
    <n v="0"/>
    <n v="607"/>
    <n v="0.530752"/>
    <n v="3"/>
    <x v="0"/>
    <n v="322.22000000000003"/>
    <n v="257.79000000000002"/>
    <n v="0"/>
    <s v="BK 500368"/>
    <m/>
    <n v="322.22800000000001"/>
    <n v="0"/>
    <n v="56820"/>
  </r>
  <r>
    <x v="3"/>
    <s v="01215-7"/>
    <s v="Kildehuset, Hoved 41"/>
    <n v="5269"/>
    <m/>
    <s v="Kildehuset"/>
    <x v="34"/>
    <x v="0"/>
    <x v="7"/>
    <n v="56577"/>
    <n v="12"/>
    <s v="2005-06-01"/>
    <n v="0"/>
    <n v="607"/>
    <n v="93.192224999999993"/>
    <n v="1"/>
    <x v="1"/>
    <n v="67100.22"/>
    <n v="4388782.84"/>
    <n v="0"/>
    <s v="4824618"/>
    <m/>
    <n v="56577"/>
    <n v="0"/>
    <n v="56816"/>
  </r>
  <r>
    <x v="3"/>
    <s v="01215-7"/>
    <s v="Kildehuset, Hoved 41"/>
    <n v="5269"/>
    <m/>
    <s v="Kildehuset"/>
    <x v="34"/>
    <x v="0"/>
    <x v="7"/>
    <n v="26746.46"/>
    <n v="12"/>
    <s v="2011-09-30"/>
    <n v="0"/>
    <n v="607"/>
    <n v="44.056102000000003"/>
    <n v="2"/>
    <x v="2"/>
    <n v="26746.46"/>
    <n v="10698.6"/>
    <n v="0"/>
    <s v="23542"/>
    <s v="74111471656"/>
    <n v="26746.46"/>
    <n v="0"/>
    <n v="56815"/>
  </r>
  <r>
    <x v="9"/>
    <s v="6408"/>
    <s v="Skallepanden V M Amdrupvej 17"/>
    <n v="13664"/>
    <s v="0"/>
    <s v="Skallepanden"/>
    <x v="55"/>
    <x v="0"/>
    <x v="7"/>
    <n v="26814.15"/>
    <n v="12"/>
    <s v="2013-11-30"/>
    <n v="0"/>
    <n v="138"/>
    <n v="194.16473500000001"/>
    <n v="1"/>
    <x v="6"/>
    <n v="32284.05"/>
    <n v="6583.66"/>
    <n v="0"/>
    <s v="1549931"/>
    <s v="98001986118"/>
    <n v="2394.1200199999998"/>
    <n v="0"/>
    <n v="92671"/>
  </r>
  <r>
    <x v="3"/>
    <m/>
    <s v="Kirke Værløse Børnehus, BY27"/>
    <n v="10017"/>
    <m/>
    <s v="Kirke Værløse Børnehus"/>
    <x v="35"/>
    <x v="0"/>
    <x v="7"/>
    <n v="487.5"/>
    <n v="12"/>
    <s v="2010-10-31"/>
    <n v="0"/>
    <n v="602"/>
    <n v="0.809666"/>
    <n v="3"/>
    <x v="0"/>
    <n v="487.5"/>
    <n v="390"/>
    <n v="0"/>
    <m/>
    <m/>
    <n v="487.5"/>
    <n v="0"/>
    <n v="76520"/>
  </r>
  <r>
    <x v="3"/>
    <m/>
    <s v="Kirke Værløse Børnehus, BY27"/>
    <n v="10017"/>
    <m/>
    <s v="Kirke Værløse Børnehus"/>
    <x v="35"/>
    <x v="0"/>
    <x v="7"/>
    <n v="11747.22"/>
    <n v="12"/>
    <m/>
    <n v="0"/>
    <n v="602"/>
    <n v="19.510413"/>
    <n v="2"/>
    <x v="2"/>
    <n v="11747.22"/>
    <n v="3524.17"/>
    <n v="0"/>
    <s v="110573"/>
    <s v="74110485906"/>
    <n v="11747.22"/>
    <n v="0"/>
    <n v="90612"/>
  </r>
  <r>
    <x v="3"/>
    <m/>
    <s v="Kollekolle Børnehave"/>
    <n v="10164"/>
    <m/>
    <s v="Kollekolle Børnehave"/>
    <x v="36"/>
    <x v="0"/>
    <x v="7"/>
    <n v="171.5"/>
    <n v="12"/>
    <s v="2010-10-31"/>
    <n v="0"/>
    <n v="219"/>
    <n v="0.78274699999999997"/>
    <n v="3"/>
    <x v="0"/>
    <n v="171.5"/>
    <n v="137.19999999999999"/>
    <n v="0"/>
    <m/>
    <m/>
    <n v="171.5"/>
    <n v="0"/>
    <n v="77154"/>
  </r>
  <r>
    <x v="3"/>
    <m/>
    <s v="Kollekolle Børnehave"/>
    <n v="10164"/>
    <m/>
    <s v="Kollekolle Børnehave"/>
    <x v="36"/>
    <x v="0"/>
    <x v="7"/>
    <n v="30715.41"/>
    <n v="11"/>
    <s v="2009-11-30"/>
    <n v="0"/>
    <n v="219"/>
    <n v="134.25563600000001"/>
    <n v="2"/>
    <x v="2"/>
    <n v="30715.41"/>
    <n v="8824.6200000000008"/>
    <n v="0"/>
    <s v="89932-36312"/>
    <s v="74111856651"/>
    <n v="29415.413"/>
    <n v="0"/>
    <n v="77153"/>
  </r>
  <r>
    <x v="4"/>
    <s v="1737"/>
    <s v="Musikskolen KV36"/>
    <n v="14495"/>
    <s v="0"/>
    <s v="Værestedet"/>
    <x v="56"/>
    <x v="0"/>
    <x v="7"/>
    <n v="29030"/>
    <n v="2"/>
    <s v="2014-03-19"/>
    <n v="0"/>
    <n v="878"/>
    <n v="33.060015"/>
    <n v="1"/>
    <x v="4"/>
    <n v="34334.26"/>
    <n v="7261.06"/>
    <n v="0"/>
    <s v="3100641 afmeldt"/>
    <m/>
    <n v="2687.9629500000001"/>
    <n v="0"/>
    <n v="94939"/>
  </r>
  <r>
    <x v="4"/>
    <s v="03975-6"/>
    <s v="Familiehuset Ellegården Stavnsholtvej 168"/>
    <n v="5261"/>
    <m/>
    <s v="Familiehuset"/>
    <x v="57"/>
    <x v="0"/>
    <x v="7"/>
    <n v="34795.86"/>
    <n v="12"/>
    <s v="2005-07-01"/>
    <n v="0"/>
    <n v="309"/>
    <n v="112.57153"/>
    <n v="1"/>
    <x v="4"/>
    <n v="40475.97"/>
    <n v="8559.92"/>
    <n v="0"/>
    <s v="1114438"/>
    <s v="98001985531"/>
    <n v="3221.84"/>
    <n v="0"/>
    <n v="56735"/>
  </r>
  <r>
    <x v="3"/>
    <m/>
    <s v="Krudthuset Børnehus, Bringe 26"/>
    <n v="10169"/>
    <m/>
    <s v="Krudthuset Børnehus"/>
    <x v="37"/>
    <x v="0"/>
    <x v="7"/>
    <n v="384.4"/>
    <n v="12"/>
    <s v="2010-10-31"/>
    <n v="0"/>
    <n v="721"/>
    <n v="0.53307400000000005"/>
    <n v="3"/>
    <x v="0"/>
    <n v="384.4"/>
    <n v="307.52"/>
    <n v="0"/>
    <s v="00PC500627"/>
    <m/>
    <n v="384.4"/>
    <n v="0"/>
    <n v="77181"/>
  </r>
  <r>
    <x v="3"/>
    <m/>
    <s v="Krudthuset Børnehus, Bringe 26"/>
    <n v="10169"/>
    <m/>
    <s v="Krudthuset Børnehus"/>
    <x v="37"/>
    <x v="0"/>
    <x v="7"/>
    <n v="13310.79"/>
    <n v="12"/>
    <s v="2010-01-31"/>
    <n v="0"/>
    <n v="721"/>
    <n v="18.459007"/>
    <n v="2"/>
    <x v="2"/>
    <n v="13310.79"/>
    <n v="3993.25"/>
    <n v="0"/>
    <s v="024091"/>
    <s v="74110486040"/>
    <n v="13310.796"/>
    <n v="0"/>
    <n v="77180"/>
  </r>
  <r>
    <x v="3"/>
    <m/>
    <s v="Kærnehuset, Paltholmterrasserne 6A"/>
    <n v="5949"/>
    <m/>
    <s v="Kærnehuset"/>
    <x v="58"/>
    <x v="0"/>
    <x v="7"/>
    <n v="31587.33"/>
    <n v="12"/>
    <m/>
    <n v="0"/>
    <n v="687"/>
    <n v="45.971953999999997"/>
    <n v="2"/>
    <x v="2"/>
    <n v="31587.33"/>
    <n v="9476.2000000000007"/>
    <n v="0"/>
    <s v="3105510"/>
    <s v="74111745771"/>
    <n v="31587.337"/>
    <n v="0"/>
    <n v="91922"/>
  </r>
  <r>
    <x v="3"/>
    <s v="04730-9"/>
    <s v="Mælkebøtten, Hvilebækgårdsvej 15"/>
    <n v="5447"/>
    <m/>
    <s v="Mælkebøtten"/>
    <x v="38"/>
    <x v="1"/>
    <x v="7"/>
    <n v="65634.38"/>
    <n v="12"/>
    <s v="2005-07-27"/>
    <n v="0"/>
    <n v="480"/>
    <n v="136.70981"/>
    <n v="1"/>
    <x v="3"/>
    <n v="77998.61"/>
    <n v="167466.57999999999"/>
    <n v="1"/>
    <s v="4824616"/>
    <m/>
    <n v="1881.18"/>
    <n v="0"/>
    <n v="57509"/>
  </r>
  <r>
    <x v="3"/>
    <s v="04730-9"/>
    <s v="Mælkebøtten, Hvilebækgårdsvej 15"/>
    <n v="5447"/>
    <m/>
    <s v="Mælkebøtten"/>
    <x v="38"/>
    <x v="0"/>
    <x v="7"/>
    <n v="336.7"/>
    <n v="12"/>
    <s v="2005-04-01"/>
    <n v="0"/>
    <n v="480"/>
    <n v="0.70131200000000005"/>
    <n v="3"/>
    <x v="0"/>
    <n v="336.7"/>
    <n v="269.39999999999998"/>
    <n v="0"/>
    <m/>
    <m/>
    <n v="336.721"/>
    <n v="0"/>
    <n v="57507"/>
  </r>
  <r>
    <x v="3"/>
    <s v="04730-9"/>
    <s v="Mælkebøtten, Hvilebækgårdsvej 15"/>
    <n v="5447"/>
    <m/>
    <s v="Mælkebøtten"/>
    <x v="38"/>
    <x v="0"/>
    <x v="7"/>
    <n v="44656"/>
    <n v="12"/>
    <s v="2005-07-27"/>
    <n v="0"/>
    <n v="480"/>
    <n v="93.013954999999996"/>
    <n v="1"/>
    <x v="1"/>
    <n v="53256.36"/>
    <n v="3786223.52"/>
    <n v="0"/>
    <s v="4824616"/>
    <m/>
    <n v="44656"/>
    <n v="0"/>
    <n v="57508"/>
  </r>
  <r>
    <x v="3"/>
    <s v="04730-9"/>
    <s v="Mælkebøtten, Hvilebækgårdsvej 15"/>
    <n v="5447"/>
    <m/>
    <s v="Mælkebøtten"/>
    <x v="38"/>
    <x v="0"/>
    <x v="7"/>
    <n v="23936.21"/>
    <n v="12"/>
    <s v="2005-05-01"/>
    <n v="0"/>
    <n v="480"/>
    <n v="49.856717000000003"/>
    <n v="2"/>
    <x v="2"/>
    <n v="23936.21"/>
    <n v="9574.48"/>
    <n v="0"/>
    <s v="77664"/>
    <s v="74112066509"/>
    <n v="23936.205999999998"/>
    <n v="0"/>
    <n v="57505"/>
  </r>
  <r>
    <x v="3"/>
    <s v="04196-6"/>
    <s v="Nordvænget Ryttergårdsvej 48"/>
    <n v="5272"/>
    <m/>
    <s v="Nordvænget"/>
    <x v="39"/>
    <x v="0"/>
    <x v="7"/>
    <n v="284.10000000000002"/>
    <n v="12"/>
    <s v="2005-02-01"/>
    <n v="0"/>
    <n v="541"/>
    <n v="0.52504099999999998"/>
    <n v="3"/>
    <x v="0"/>
    <n v="284.10000000000002"/>
    <n v="227.28"/>
    <n v="0"/>
    <s v="BK 04016458"/>
    <m/>
    <n v="284.11200000000002"/>
    <n v="0"/>
    <n v="56838"/>
  </r>
  <r>
    <x v="3"/>
    <s v="04196-6"/>
    <s v="Nordvænget Ryttergårdsvej 48"/>
    <n v="5272"/>
    <m/>
    <s v="Nordvænget"/>
    <x v="41"/>
    <x v="1"/>
    <x v="7"/>
    <n v="83581.440000000002"/>
    <n v="12"/>
    <s v="2005-08-01"/>
    <n v="0"/>
    <n v="541"/>
    <n v="154.465791"/>
    <n v="1"/>
    <x v="3"/>
    <n v="98992.67"/>
    <n v="231544.76"/>
    <n v="1"/>
    <s v="4824619"/>
    <m/>
    <n v="2395.5700000000002"/>
    <n v="0"/>
    <n v="57003"/>
  </r>
  <r>
    <x v="3"/>
    <s v="04196-6"/>
    <s v="Nordvænget Ryttergårdsvej 48"/>
    <n v="5272"/>
    <m/>
    <s v="Nordvænget"/>
    <x v="41"/>
    <x v="0"/>
    <x v="7"/>
    <n v="88417"/>
    <n v="12"/>
    <s v="2005-08-01"/>
    <n v="0"/>
    <n v="541"/>
    <n v="163.40232800000001"/>
    <n v="1"/>
    <x v="1"/>
    <n v="105831.62"/>
    <n v="8330779.6299999999"/>
    <n v="0"/>
    <s v="4824619"/>
    <m/>
    <n v="88417"/>
    <n v="0"/>
    <n v="56837"/>
  </r>
  <r>
    <x v="3"/>
    <s v="04196-6"/>
    <s v="Nordvænget Ryttergårdsvej 48"/>
    <n v="5272"/>
    <m/>
    <s v="Nordvænget"/>
    <x v="41"/>
    <x v="0"/>
    <x v="7"/>
    <n v="29972.89"/>
    <n v="12"/>
    <s v="2005-02-01"/>
    <n v="0"/>
    <n v="541"/>
    <n v="55.392515000000003"/>
    <n v="2"/>
    <x v="2"/>
    <n v="29972.89"/>
    <n v="11989.17"/>
    <n v="0"/>
    <s v="48169"/>
    <s v="74111788310"/>
    <n v="29972.904999999999"/>
    <n v="0"/>
    <n v="56836"/>
  </r>
  <r>
    <x v="3"/>
    <m/>
    <s v="Nørreskoven, Højloft Vænge 46"/>
    <n v="9952"/>
    <m/>
    <s v="Nørreskoven"/>
    <x v="42"/>
    <x v="0"/>
    <x v="7"/>
    <n v="265.7"/>
    <n v="12"/>
    <s v="2010-10-31"/>
    <n v="0"/>
    <n v="473"/>
    <n v="0.56161399999999995"/>
    <n v="3"/>
    <x v="0"/>
    <n v="265.7"/>
    <n v="212.56"/>
    <n v="0"/>
    <s v="44083"/>
    <m/>
    <n v="265.7"/>
    <n v="0"/>
    <n v="76305"/>
  </r>
  <r>
    <x v="3"/>
    <m/>
    <s v="Nørreskoven, Højloft Vænge 46"/>
    <n v="9952"/>
    <m/>
    <s v="Nørreskoven"/>
    <x v="42"/>
    <x v="0"/>
    <x v="7"/>
    <n v="32550"/>
    <n v="12"/>
    <s v="2010-10-31"/>
    <n v="0"/>
    <n v="473"/>
    <n v="68.801520999999994"/>
    <n v="1"/>
    <x v="1"/>
    <n v="38840.92"/>
    <n v="2485.81"/>
    <n v="0"/>
    <s v="772082/1998"/>
    <m/>
    <n v="32550"/>
    <n v="0"/>
    <n v="76307"/>
  </r>
  <r>
    <x v="3"/>
    <m/>
    <s v="Nørreskoven, Højloft Vænge 46"/>
    <n v="9952"/>
    <m/>
    <s v="Nørreskoven"/>
    <x v="42"/>
    <x v="0"/>
    <x v="7"/>
    <n v="11158.5"/>
    <n v="12"/>
    <s v="2010-10-31"/>
    <n v="0"/>
    <n v="473"/>
    <n v="23.585922"/>
    <n v="2"/>
    <x v="2"/>
    <n v="11158.5"/>
    <n v="3347.55"/>
    <n v="0"/>
    <s v="707681"/>
    <s v="74111637991"/>
    <n v="11158.5002"/>
    <n v="0"/>
    <n v="76304"/>
  </r>
  <r>
    <x v="3"/>
    <s v="02587-9"/>
    <s v="Paletten, tidl. Vallhalla Ryttergårdsvej 106"/>
    <n v="5277"/>
    <m/>
    <s v="Paletten, tidl. Vallhalla"/>
    <x v="43"/>
    <x v="1"/>
    <x v="7"/>
    <n v="26253.66"/>
    <n v="12"/>
    <s v="2005-09-01"/>
    <n v="0"/>
    <n v="585"/>
    <n v="44.870381000000002"/>
    <n v="1"/>
    <x v="3"/>
    <n v="31088.12"/>
    <n v="60542.31"/>
    <n v="1"/>
    <s v="4824608"/>
    <m/>
    <n v="752.47"/>
    <n v="0"/>
    <n v="57007"/>
  </r>
  <r>
    <x v="3"/>
    <s v="02587-9"/>
    <s v="Paletten, tidl. Vallhalla Ryttergårdsvej 106"/>
    <n v="5277"/>
    <m/>
    <s v="Paletten, tidl. Vallhalla"/>
    <x v="43"/>
    <x v="0"/>
    <x v="7"/>
    <n v="419.53"/>
    <n v="12"/>
    <s v="2005-05-01"/>
    <n v="0"/>
    <n v="585"/>
    <n v="0.71702200000000005"/>
    <n v="3"/>
    <x v="0"/>
    <n v="419.53"/>
    <n v="335.59"/>
    <n v="0"/>
    <s v="BK 4093466"/>
    <m/>
    <n v="419.51"/>
    <n v="0"/>
    <n v="56869"/>
  </r>
  <r>
    <x v="3"/>
    <s v="02587-9"/>
    <s v="Paletten, tidl. Vallhalla Ryttergårdsvej 106"/>
    <n v="5277"/>
    <m/>
    <s v="Paletten, tidl. Vallhalla"/>
    <x v="43"/>
    <x v="0"/>
    <x v="7"/>
    <n v="36325"/>
    <n v="12"/>
    <s v="2005-09-01"/>
    <n v="0"/>
    <n v="585"/>
    <n v="62.083404000000002"/>
    <n v="1"/>
    <x v="1"/>
    <n v="43183.82"/>
    <n v="2953727.57"/>
    <n v="0"/>
    <s v="4824608"/>
    <m/>
    <n v="36325"/>
    <n v="0"/>
    <n v="56868"/>
  </r>
  <r>
    <x v="3"/>
    <s v="02587-9"/>
    <s v="Paletten, tidl. Vallhalla Ryttergårdsvej 106"/>
    <n v="5277"/>
    <m/>
    <s v="Paletten, tidl. Vallhalla"/>
    <x v="43"/>
    <x v="0"/>
    <x v="7"/>
    <n v="29563.03"/>
    <n v="12"/>
    <s v="2005-05-01"/>
    <n v="0"/>
    <n v="585"/>
    <n v="50.526457000000001"/>
    <n v="2"/>
    <x v="2"/>
    <n v="29563.03"/>
    <n v="11825.21"/>
    <n v="0"/>
    <s v="88167"/>
    <s v="74113391723"/>
    <n v="29563.024000000001"/>
    <n v="0"/>
    <n v="56867"/>
  </r>
  <r>
    <x v="3"/>
    <s v="04927-1"/>
    <s v="Regnbuen, Birkhøj 1"/>
    <n v="5274"/>
    <m/>
    <s v="Regnbuen"/>
    <x v="54"/>
    <x v="1"/>
    <x v="7"/>
    <n v="133403.5"/>
    <n v="12"/>
    <s v="2005-08-01"/>
    <n v="0"/>
    <n v="586"/>
    <n v="227.61218199999999"/>
    <n v="1"/>
    <x v="3"/>
    <n v="159442.38"/>
    <n v="377540.7"/>
    <n v="1"/>
    <s v="4824613"/>
    <m/>
    <n v="3823.5450000000001"/>
    <n v="0"/>
    <n v="57005"/>
  </r>
  <r>
    <x v="3"/>
    <s v="01789-2"/>
    <s v="Røde Sol, Lindegårdsvej 2"/>
    <n v="5247"/>
    <m/>
    <s v="Røde Sol"/>
    <x v="44"/>
    <x v="0"/>
    <x v="7"/>
    <n v="41051.99"/>
    <n v="12"/>
    <s v="2005-05-01"/>
    <n v="0"/>
    <n v="284"/>
    <n v="144.49838"/>
    <n v="1"/>
    <x v="4"/>
    <n v="48734.9"/>
    <n v="10306.540000000001"/>
    <n v="0"/>
    <s v="1120526/1620060"/>
    <s v="98000130314"/>
    <n v="3801.11"/>
    <n v="0"/>
    <n v="56639"/>
  </r>
  <r>
    <x v="3"/>
    <s v="01789-2"/>
    <s v="Røde Sol, Lindegårdsvej 2"/>
    <n v="5247"/>
    <m/>
    <s v="Røde Sol"/>
    <x v="44"/>
    <x v="0"/>
    <x v="7"/>
    <n v="208.99"/>
    <n v="12"/>
    <s v="2005-05-01"/>
    <n v="0"/>
    <n v="284"/>
    <n v="0.73562099999999997"/>
    <n v="3"/>
    <x v="0"/>
    <n v="208.99"/>
    <n v="167.19"/>
    <n v="0"/>
    <s v="BK 98400170"/>
    <m/>
    <n v="208.99100000000001"/>
    <n v="0"/>
    <n v="56638"/>
  </r>
  <r>
    <x v="3"/>
    <s v="01789-2"/>
    <s v="Røde Sol, Lindegårdsvej 2"/>
    <n v="5247"/>
    <m/>
    <s v="Røde Sol"/>
    <x v="44"/>
    <x v="0"/>
    <x v="7"/>
    <n v="9406.6299999999992"/>
    <n v="12"/>
    <s v="2005-05-01"/>
    <n v="0"/>
    <n v="284"/>
    <n v="33.110278000000001"/>
    <n v="2"/>
    <x v="2"/>
    <n v="9406.6299999999992"/>
    <n v="3762.65"/>
    <n v="0"/>
    <s v="1016383"/>
    <s v="74111662405"/>
    <n v="9406.6219999999994"/>
    <n v="0"/>
    <n v="56636"/>
  </r>
  <r>
    <x v="3"/>
    <s v="04859-3"/>
    <s v="Bakkehuset, Hvilebækgårdsvej 5"/>
    <n v="5244"/>
    <m/>
    <s v="Bakkehuset"/>
    <x v="16"/>
    <x v="0"/>
    <x v="0"/>
    <n v="22978"/>
    <n v="5"/>
    <s v="2005-07-01"/>
    <n v="0"/>
    <n v="560"/>
    <n v="11.115872"/>
    <n v="2"/>
    <x v="2"/>
    <n v="6226"/>
    <n v="2490.4"/>
    <n v="0"/>
    <s v="BM"/>
    <m/>
    <n v="6226"/>
    <n v="0"/>
    <n v="57569"/>
  </r>
  <r>
    <x v="3"/>
    <s v="04859-3"/>
    <s v="Bakkehuset, Hvilebækgårdsvej 5"/>
    <n v="5244"/>
    <m/>
    <s v="Bakkehuset"/>
    <x v="16"/>
    <x v="0"/>
    <x v="1"/>
    <n v="21085"/>
    <n v="12"/>
    <s v="2005-07-01"/>
    <n v="0"/>
    <n v="560"/>
    <n v="37.645063"/>
    <n v="2"/>
    <x v="2"/>
    <n v="21085"/>
    <n v="8434"/>
    <n v="0"/>
    <s v="BM"/>
    <m/>
    <n v="21085"/>
    <n v="0"/>
    <n v="57569"/>
  </r>
  <r>
    <x v="3"/>
    <s v="04859-3"/>
    <s v="Bakkehuset, Hvilebækgårdsvej 5"/>
    <n v="5244"/>
    <m/>
    <s v="Bakkehuset"/>
    <x v="16"/>
    <x v="0"/>
    <x v="2"/>
    <n v="18219"/>
    <n v="12"/>
    <s v="2005-07-01"/>
    <n v="0"/>
    <n v="560"/>
    <n v="32.528118999999997"/>
    <n v="2"/>
    <x v="2"/>
    <n v="18219"/>
    <n v="7287.6"/>
    <n v="0"/>
    <s v="BM"/>
    <m/>
    <n v="18219"/>
    <n v="0"/>
    <n v="57569"/>
  </r>
  <r>
    <x v="3"/>
    <s v="04859-3"/>
    <s v="Bakkehuset, Hvilebækgårdsvej 5"/>
    <n v="5244"/>
    <m/>
    <s v="Bakkehuset"/>
    <x v="16"/>
    <x v="0"/>
    <x v="3"/>
    <n v="22354"/>
    <n v="12"/>
    <s v="2005-07-01"/>
    <n v="0"/>
    <n v="560"/>
    <n v="39.910730000000001"/>
    <n v="2"/>
    <x v="2"/>
    <n v="22354"/>
    <n v="10484.02"/>
    <n v="0"/>
    <s v="BM"/>
    <m/>
    <n v="22354"/>
    <n v="0"/>
    <n v="57569"/>
  </r>
  <r>
    <x v="3"/>
    <s v="04859-3"/>
    <s v="Bakkehuset, Hvilebækgårdsvej 5"/>
    <n v="5244"/>
    <m/>
    <s v="Bakkehuset"/>
    <x v="16"/>
    <x v="0"/>
    <x v="4"/>
    <n v="22052"/>
    <n v="12"/>
    <s v="2005-07-01"/>
    <n v="0"/>
    <n v="560"/>
    <n v="39.371540000000003"/>
    <n v="2"/>
    <x v="2"/>
    <n v="22052"/>
    <n v="10342.39"/>
    <n v="0"/>
    <s v="BM"/>
    <m/>
    <n v="22052"/>
    <n v="0"/>
    <n v="57569"/>
  </r>
  <r>
    <x v="3"/>
    <s v="04859-3"/>
    <s v="Bakkehuset, Hvilebækgårdsvej 5"/>
    <n v="5244"/>
    <m/>
    <s v="Bakkehuset"/>
    <x v="16"/>
    <x v="0"/>
    <x v="5"/>
    <n v="26278"/>
    <n v="12"/>
    <s v="2005-07-01"/>
    <n v="0"/>
    <n v="560"/>
    <n v="46.916621999999997"/>
    <n v="2"/>
    <x v="2"/>
    <n v="26278"/>
    <n v="12324.38"/>
    <n v="0"/>
    <s v="BM"/>
    <m/>
    <n v="26278"/>
    <n v="0"/>
    <n v="57569"/>
  </r>
  <r>
    <x v="3"/>
    <s v="04859-3"/>
    <s v="Bakkehuset, Hvilebækgårdsvej 5"/>
    <n v="5244"/>
    <m/>
    <s v="Bakkehuset"/>
    <x v="16"/>
    <x v="0"/>
    <x v="6"/>
    <n v="22906"/>
    <n v="12"/>
    <s v="2005-07-01"/>
    <n v="0"/>
    <n v="560"/>
    <n v="40.896267999999999"/>
    <n v="2"/>
    <x v="2"/>
    <n v="22906"/>
    <n v="10742.91"/>
    <n v="0"/>
    <s v="BM"/>
    <m/>
    <n v="22906"/>
    <n v="0"/>
    <n v="57569"/>
  </r>
  <r>
    <x v="3"/>
    <m/>
    <s v="Bavnebo"/>
    <n v="9965"/>
    <m/>
    <s v="Bavnebo"/>
    <x v="17"/>
    <x v="0"/>
    <x v="0"/>
    <n v="18291"/>
    <n v="5"/>
    <s v="2010-01-31"/>
    <n v="0"/>
    <n v="715"/>
    <n v="10.423772"/>
    <n v="2"/>
    <x v="2"/>
    <n v="7454.04"/>
    <n v="2236.21"/>
    <n v="0"/>
    <m/>
    <s v="74110485999"/>
    <n v="7454.0309999999999"/>
    <n v="0"/>
    <n v="76372"/>
  </r>
  <r>
    <x v="3"/>
    <m/>
    <s v="Bavnebo"/>
    <n v="9965"/>
    <m/>
    <s v="Bavnebo"/>
    <x v="17"/>
    <x v="0"/>
    <x v="1"/>
    <n v="19393.689999999999"/>
    <n v="12"/>
    <s v="2010-01-31"/>
    <n v="0"/>
    <n v="715"/>
    <n v="27.120248"/>
    <n v="2"/>
    <x v="2"/>
    <n v="19393.689999999999"/>
    <n v="5818.11"/>
    <n v="0"/>
    <m/>
    <s v="74110485999"/>
    <n v="19393.687000000002"/>
    <n v="0"/>
    <n v="76372"/>
  </r>
  <r>
    <x v="3"/>
    <m/>
    <s v="Bavnebo"/>
    <n v="9965"/>
    <m/>
    <s v="Bavnebo"/>
    <x v="17"/>
    <x v="0"/>
    <x v="2"/>
    <n v="18246.97"/>
    <n v="12"/>
    <s v="2010-01-31"/>
    <n v="0"/>
    <n v="715"/>
    <n v="25.516667999999999"/>
    <n v="2"/>
    <x v="2"/>
    <n v="18246.97"/>
    <n v="7298.79"/>
    <n v="0"/>
    <m/>
    <s v="74110485999"/>
    <n v="18246.97"/>
    <n v="0"/>
    <n v="76372"/>
  </r>
  <r>
    <x v="3"/>
    <m/>
    <s v="Bavnebo"/>
    <n v="9965"/>
    <m/>
    <s v="Bavnebo"/>
    <x v="17"/>
    <x v="0"/>
    <x v="3"/>
    <n v="19300.71"/>
    <n v="12"/>
    <s v="2010-01-31"/>
    <n v="0"/>
    <n v="715"/>
    <n v="26.990224999999999"/>
    <n v="2"/>
    <x v="2"/>
    <n v="19300.71"/>
    <n v="9052.07"/>
    <n v="0"/>
    <m/>
    <s v="74110485999"/>
    <n v="19300.716"/>
    <n v="0"/>
    <n v="76372"/>
  </r>
  <r>
    <x v="3"/>
    <m/>
    <s v="Bavnebo"/>
    <n v="9965"/>
    <m/>
    <s v="Bavnebo"/>
    <x v="17"/>
    <x v="0"/>
    <x v="4"/>
    <n v="22489.42"/>
    <n v="12"/>
    <s v="2010-01-31"/>
    <n v="0"/>
    <n v="715"/>
    <n v="31.449335000000001"/>
    <n v="2"/>
    <x v="2"/>
    <n v="22489.42"/>
    <n v="10547.54"/>
    <n v="0"/>
    <m/>
    <s v="74110485999"/>
    <n v="22489.41113"/>
    <n v="0"/>
    <n v="76372"/>
  </r>
  <r>
    <x v="3"/>
    <m/>
    <s v="Bavnebo"/>
    <n v="9965"/>
    <m/>
    <s v="Bavnebo"/>
    <x v="17"/>
    <x v="0"/>
    <x v="5"/>
    <n v="25297.08"/>
    <n v="5"/>
    <s v="2010-01-31"/>
    <n v="0"/>
    <n v="715"/>
    <n v="35.375582999999999"/>
    <n v="2"/>
    <x v="2"/>
    <n v="25297.08"/>
    <n v="11864.33"/>
    <n v="0"/>
    <m/>
    <s v="74110485999"/>
    <n v="25297.088199999998"/>
    <n v="0"/>
    <n v="76372"/>
  </r>
  <r>
    <x v="3"/>
    <m/>
    <s v="Bavnebo"/>
    <n v="9965"/>
    <m/>
    <s v="Bavnebo"/>
    <x v="17"/>
    <x v="0"/>
    <x v="6"/>
    <n v="25049.98"/>
    <n v="5"/>
    <s v="2010-01-31"/>
    <n v="0"/>
    <n v="715"/>
    <n v="35.030037"/>
    <n v="2"/>
    <x v="2"/>
    <n v="25049.98"/>
    <n v="11748.43"/>
    <n v="0"/>
    <m/>
    <s v="74110485999"/>
    <n v="25049.98531"/>
    <n v="0"/>
    <n v="76372"/>
  </r>
  <r>
    <x v="3"/>
    <s v="004757-0"/>
    <s v="Bifrost Nordtoftevej 56c"/>
    <n v="5251"/>
    <m/>
    <s v="Bifrost"/>
    <x v="18"/>
    <x v="0"/>
    <x v="0"/>
    <n v="5824"/>
    <n v="5"/>
    <s v="2005-05-01"/>
    <n v="0"/>
    <n v="375"/>
    <n v="6.5073840000000001"/>
    <n v="2"/>
    <x v="2"/>
    <n v="2440.92"/>
    <n v="976.37"/>
    <n v="0"/>
    <s v="670761"/>
    <s v="74112842813"/>
    <n v="2440.9250999999999"/>
    <n v="0"/>
    <n v="56680"/>
  </r>
  <r>
    <x v="3"/>
    <s v="004757-0"/>
    <s v="Bifrost Nordtoftevej 56c"/>
    <n v="5251"/>
    <m/>
    <s v="Bifrost"/>
    <x v="18"/>
    <x v="0"/>
    <x v="1"/>
    <n v="20665.3"/>
    <n v="12"/>
    <s v="2005-05-01"/>
    <n v="0"/>
    <n v="375"/>
    <n v="55.092775000000003"/>
    <n v="2"/>
    <x v="2"/>
    <n v="20665.3"/>
    <n v="8266.1"/>
    <n v="0"/>
    <s v="670761"/>
    <s v="74112842813"/>
    <n v="20665.312699999999"/>
    <n v="0"/>
    <n v="56680"/>
  </r>
  <r>
    <x v="3"/>
    <s v="004757-0"/>
    <s v="Bifrost Nordtoftevej 56c"/>
    <n v="5251"/>
    <m/>
    <s v="Bifrost"/>
    <x v="18"/>
    <x v="0"/>
    <x v="2"/>
    <n v="16231.31"/>
    <n v="12"/>
    <s v="2005-05-01"/>
    <n v="0"/>
    <n v="375"/>
    <n v="43.271954000000001"/>
    <n v="2"/>
    <x v="2"/>
    <n v="16231.31"/>
    <n v="6492.52"/>
    <n v="0"/>
    <s v="670761"/>
    <s v="74112842813"/>
    <n v="16231.303900000001"/>
    <n v="0"/>
    <n v="56680"/>
  </r>
  <r>
    <x v="3"/>
    <s v="004757-0"/>
    <s v="Bifrost Nordtoftevej 56c"/>
    <n v="5251"/>
    <m/>
    <s v="Bifrost"/>
    <x v="18"/>
    <x v="0"/>
    <x v="3"/>
    <n v="12715.22"/>
    <n v="12"/>
    <s v="2005-05-01"/>
    <n v="0"/>
    <n v="375"/>
    <n v="33.898212999999998"/>
    <n v="2"/>
    <x v="2"/>
    <n v="12715.22"/>
    <n v="5963.43"/>
    <n v="0"/>
    <s v="670761"/>
    <s v="74112842813"/>
    <n v="12715.221100000001"/>
    <n v="0"/>
    <n v="56680"/>
  </r>
  <r>
    <x v="3"/>
    <s v="004757-0"/>
    <s v="Bifrost Nordtoftevej 56c"/>
    <n v="5251"/>
    <m/>
    <s v="Bifrost"/>
    <x v="18"/>
    <x v="0"/>
    <x v="4"/>
    <n v="15744.48"/>
    <n v="12"/>
    <s v="2005-05-01"/>
    <n v="0"/>
    <n v="375"/>
    <n v="41.974086"/>
    <n v="2"/>
    <x v="2"/>
    <n v="15744.48"/>
    <n v="7384.17"/>
    <n v="0"/>
    <s v="670761"/>
    <s v="74112842813"/>
    <n v="15744.4815"/>
    <n v="0"/>
    <n v="56680"/>
  </r>
  <r>
    <x v="3"/>
    <s v="004757-0"/>
    <s v="Bifrost Nordtoftevej 56c"/>
    <n v="5251"/>
    <m/>
    <s v="Bifrost"/>
    <x v="18"/>
    <x v="0"/>
    <x v="5"/>
    <n v="17057.41"/>
    <n v="12"/>
    <s v="2005-05-01"/>
    <n v="0"/>
    <n v="375"/>
    <n v="45.474299999999999"/>
    <n v="2"/>
    <x v="2"/>
    <n v="17057.41"/>
    <n v="7999.93"/>
    <n v="0"/>
    <s v="670761"/>
    <s v="74112842813"/>
    <n v="17057.398000000001"/>
    <n v="0"/>
    <n v="56680"/>
  </r>
  <r>
    <x v="3"/>
    <s v="004757-0"/>
    <s v="Bifrost Nordtoftevej 56c"/>
    <n v="5251"/>
    <m/>
    <s v="Bifrost"/>
    <x v="18"/>
    <x v="0"/>
    <x v="6"/>
    <n v="19899.34"/>
    <n v="12"/>
    <s v="2005-05-01"/>
    <n v="0"/>
    <n v="375"/>
    <n v="53.050758999999999"/>
    <n v="2"/>
    <x v="2"/>
    <n v="19899.34"/>
    <n v="9332.7999999999993"/>
    <n v="0"/>
    <s v="670761"/>
    <s v="74112842813"/>
    <n v="19899.350299999998"/>
    <n v="0"/>
    <n v="56680"/>
  </r>
  <r>
    <x v="3"/>
    <m/>
    <s v="Birkedal Børnehus, Kollekolle 75"/>
    <n v="9980"/>
    <m/>
    <s v="Birkedal Børnehus"/>
    <x v="14"/>
    <x v="0"/>
    <x v="0"/>
    <n v="23554"/>
    <n v="5"/>
    <s v="2011-11-30"/>
    <n v="0"/>
    <n v="961"/>
    <n v="9.3108620000000002"/>
    <n v="2"/>
    <x v="2"/>
    <n v="8948.67"/>
    <n v="2684.59"/>
    <n v="0"/>
    <s v="36312"/>
    <s v="74110497862"/>
    <n v="8948.66"/>
    <n v="0"/>
    <n v="76420"/>
  </r>
  <r>
    <x v="3"/>
    <m/>
    <s v="Birkedal Børnehus, Kollekolle 75"/>
    <n v="9980"/>
    <m/>
    <s v="Birkedal Børnehus"/>
    <x v="14"/>
    <x v="0"/>
    <x v="1"/>
    <n v="25179.13"/>
    <n v="12"/>
    <s v="2011-11-30"/>
    <n v="0"/>
    <n v="961"/>
    <n v="26.198240999999999"/>
    <n v="2"/>
    <x v="2"/>
    <n v="25179.13"/>
    <n v="7553.73"/>
    <n v="0"/>
    <s v="36312"/>
    <s v="74110497862"/>
    <n v="25179.124"/>
    <n v="0"/>
    <n v="76420"/>
  </r>
  <r>
    <x v="3"/>
    <m/>
    <s v="Birkedal Børnehus, Kollekolle 75"/>
    <n v="9980"/>
    <m/>
    <s v="Birkedal Børnehus"/>
    <x v="14"/>
    <x v="0"/>
    <x v="2"/>
    <n v="30812.3"/>
    <n v="12"/>
    <s v="2011-11-30"/>
    <n v="0"/>
    <n v="961"/>
    <n v="32.059410999999997"/>
    <n v="2"/>
    <x v="2"/>
    <n v="30812.3"/>
    <n v="12324.92"/>
    <n v="0"/>
    <s v="36312"/>
    <s v="74110497862"/>
    <n v="30812.291000000001"/>
    <n v="0"/>
    <n v="76420"/>
  </r>
  <r>
    <x v="3"/>
    <m/>
    <s v="Birkedal Børnehus, Kollekolle 75"/>
    <n v="9980"/>
    <m/>
    <s v="Birkedal Børnehus"/>
    <x v="14"/>
    <x v="0"/>
    <x v="3"/>
    <n v="43239.81"/>
    <n v="3"/>
    <s v="2011-11-30"/>
    <n v="0"/>
    <n v="961"/>
    <n v="44.989916999999998"/>
    <n v="2"/>
    <x v="2"/>
    <n v="43239.81"/>
    <n v="20279.46"/>
    <n v="0"/>
    <s v="36312"/>
    <s v="74110497862"/>
    <n v="43239.833610000001"/>
    <n v="0"/>
    <n v="76420"/>
  </r>
  <r>
    <x v="3"/>
    <m/>
    <s v="Birkedal Børnehus, Kollekolle 75"/>
    <n v="9980"/>
    <m/>
    <s v="Birkedal Børnehus"/>
    <x v="14"/>
    <x v="0"/>
    <x v="4"/>
    <n v="63828.35"/>
    <n v="4"/>
    <s v="2011-11-30"/>
    <n v="0"/>
    <n v="961"/>
    <n v="66.411766999999998"/>
    <n v="2"/>
    <x v="2"/>
    <n v="63828.35"/>
    <n v="29935.47"/>
    <n v="0"/>
    <s v="36312"/>
    <s v="74110497862"/>
    <n v="63828.349399999999"/>
    <n v="0"/>
    <n v="76420"/>
  </r>
  <r>
    <x v="3"/>
    <m/>
    <s v="Birkedal Børnehus, Kollekolle 75"/>
    <n v="9980"/>
    <m/>
    <s v="Birkedal Børnehus"/>
    <x v="14"/>
    <x v="0"/>
    <x v="5"/>
    <n v="51140.61"/>
    <n v="9"/>
    <s v="2011-11-30"/>
    <n v="0"/>
    <n v="961"/>
    <n v="53.210498000000001"/>
    <n v="2"/>
    <x v="2"/>
    <n v="51140.61"/>
    <n v="23984.92"/>
    <n v="0"/>
    <s v="36312"/>
    <s v="74110497862"/>
    <n v="51140.588219999998"/>
    <n v="0"/>
    <n v="76420"/>
  </r>
  <r>
    <x v="3"/>
    <m/>
    <s v="Birkedal Børnehus, Kollekolle 75"/>
    <n v="9980"/>
    <m/>
    <s v="Birkedal Børnehus"/>
    <x v="14"/>
    <x v="0"/>
    <x v="6"/>
    <n v="40861.050000000003"/>
    <n v="5"/>
    <s v="2011-11-30"/>
    <n v="0"/>
    <n v="961"/>
    <n v="42.514878000000003"/>
    <n v="2"/>
    <x v="2"/>
    <n v="40861.050000000003"/>
    <n v="19163.830000000002"/>
    <n v="0"/>
    <s v="36312"/>
    <s v="74110497862"/>
    <n v="40861.057589999997"/>
    <n v="0"/>
    <n v="76420"/>
  </r>
  <r>
    <x v="3"/>
    <s v="???"/>
    <s v="Birkhøj (Valmuen)"/>
    <n v="5278"/>
    <m/>
    <s v="Birkhøj (Valmuen)"/>
    <x v="19"/>
    <x v="0"/>
    <x v="0"/>
    <n v="28825"/>
    <n v="5"/>
    <s v="2005-05-01"/>
    <n v="0"/>
    <n v="760"/>
    <n v="14.902552"/>
    <n v="2"/>
    <x v="2"/>
    <n v="11327.43"/>
    <n v="4530.96"/>
    <n v="0"/>
    <s v="783388"/>
    <s v="74114297154"/>
    <n v="11327.433000000001"/>
    <n v="0"/>
    <n v="56873"/>
  </r>
  <r>
    <x v="3"/>
    <s v="???"/>
    <s v="Birkhøj (Valmuen)"/>
    <n v="5278"/>
    <m/>
    <s v="Birkhøj (Valmuen)"/>
    <x v="19"/>
    <x v="0"/>
    <x v="1"/>
    <n v="23875.84"/>
    <n v="12"/>
    <s v="2005-05-01"/>
    <n v="0"/>
    <n v="760"/>
    <n v="31.411445000000001"/>
    <n v="2"/>
    <x v="2"/>
    <n v="23875.84"/>
    <n v="9550.34"/>
    <n v="0"/>
    <s v="783388"/>
    <s v="74114297154"/>
    <n v="23875.848000000002"/>
    <n v="0"/>
    <n v="56873"/>
  </r>
  <r>
    <x v="3"/>
    <s v="???"/>
    <s v="Birkhøj (Valmuen)"/>
    <n v="5278"/>
    <m/>
    <s v="Birkhøj (Valmuen)"/>
    <x v="19"/>
    <x v="0"/>
    <x v="2"/>
    <n v="27210.83"/>
    <n v="12"/>
    <s v="2005-05-01"/>
    <n v="0"/>
    <n v="760"/>
    <n v="35.799013000000002"/>
    <n v="2"/>
    <x v="2"/>
    <n v="27210.83"/>
    <n v="10884.33"/>
    <n v="0"/>
    <s v="783388"/>
    <s v="74114297154"/>
    <n v="27210.821"/>
    <n v="0"/>
    <n v="56873"/>
  </r>
  <r>
    <x v="3"/>
    <s v="???"/>
    <s v="Birkhøj (Valmuen)"/>
    <n v="5278"/>
    <m/>
    <s v="Birkhøj (Valmuen)"/>
    <x v="19"/>
    <x v="0"/>
    <x v="3"/>
    <n v="28255.39"/>
    <n v="12"/>
    <s v="2005-05-01"/>
    <n v="0"/>
    <n v="760"/>
    <n v="37.173253000000003"/>
    <n v="2"/>
    <x v="2"/>
    <n v="28255.39"/>
    <n v="13251.78"/>
    <n v="0"/>
    <s v="783388"/>
    <s v="74114297154"/>
    <n v="28255.401000000002"/>
    <n v="0"/>
    <n v="56873"/>
  </r>
  <r>
    <x v="3"/>
    <s v="???"/>
    <s v="Birkhøj (Valmuen)"/>
    <n v="5278"/>
    <m/>
    <s v="Birkhøj (Valmuen)"/>
    <x v="19"/>
    <x v="0"/>
    <x v="4"/>
    <n v="25014.77"/>
    <n v="12"/>
    <s v="2005-05-01"/>
    <n v="0"/>
    <n v="760"/>
    <n v="32.909840000000003"/>
    <n v="2"/>
    <x v="2"/>
    <n v="25014.77"/>
    <n v="11731.89"/>
    <n v="0"/>
    <s v="783388"/>
    <s v="74114297154"/>
    <n v="25014.75"/>
    <n v="0"/>
    <n v="56873"/>
  </r>
  <r>
    <x v="3"/>
    <s v="???"/>
    <s v="Birkhøj (Valmuen)"/>
    <n v="5278"/>
    <m/>
    <s v="Birkhøj (Valmuen)"/>
    <x v="19"/>
    <x v="0"/>
    <x v="5"/>
    <n v="20142.21"/>
    <n v="12"/>
    <s v="2005-05-01"/>
    <n v="0"/>
    <n v="760"/>
    <n v="26.499421000000002"/>
    <n v="2"/>
    <x v="2"/>
    <n v="20142.21"/>
    <n v="9446.69"/>
    <n v="0"/>
    <s v="783388"/>
    <s v="74114297154"/>
    <n v="20142.21"/>
    <n v="0"/>
    <n v="56873"/>
  </r>
  <r>
    <x v="3"/>
    <s v="???"/>
    <s v="Birkhøj (Valmuen)"/>
    <n v="5278"/>
    <m/>
    <s v="Birkhøj (Valmuen)"/>
    <x v="19"/>
    <x v="0"/>
    <x v="6"/>
    <n v="18979.419999999998"/>
    <n v="12"/>
    <s v="2005-05-01"/>
    <n v="0"/>
    <n v="760"/>
    <n v="24.969635"/>
    <n v="2"/>
    <x v="2"/>
    <n v="18979.419999999998"/>
    <n v="8901.34"/>
    <n v="0"/>
    <s v="783388"/>
    <s v="74114297154"/>
    <n v="18979.422999999999"/>
    <n v="0"/>
    <n v="56873"/>
  </r>
  <r>
    <x v="3"/>
    <s v="03322-7"/>
    <s v="Brudedalen Legestue, Brudedalen 54-58"/>
    <n v="5276"/>
    <m/>
    <s v="Legestuen"/>
    <x v="20"/>
    <x v="0"/>
    <x v="0"/>
    <n v="7293"/>
    <n v="5"/>
    <s v="2005-10-03"/>
    <n v="0"/>
    <n v="284"/>
    <n v="9.4336850000000005"/>
    <n v="2"/>
    <x v="2"/>
    <n v="2680.11"/>
    <n v="1072.04"/>
    <n v="0"/>
    <s v="1015049"/>
    <m/>
    <n v="2680.11"/>
    <n v="0"/>
    <n v="56861"/>
  </r>
  <r>
    <x v="3"/>
    <s v="03322-7"/>
    <s v="Brudedalen Legestue, Brudedalen 54-58"/>
    <n v="5276"/>
    <m/>
    <s v="Legestuen"/>
    <x v="20"/>
    <x v="0"/>
    <x v="1"/>
    <n v="7350.73"/>
    <n v="12"/>
    <s v="2005-10-03"/>
    <n v="0"/>
    <n v="284"/>
    <n v="25.873740999999999"/>
    <n v="2"/>
    <x v="2"/>
    <n v="7350.73"/>
    <n v="2940.29"/>
    <n v="0"/>
    <s v="1015049"/>
    <m/>
    <n v="7350.74"/>
    <n v="0"/>
    <n v="56861"/>
  </r>
  <r>
    <x v="3"/>
    <s v="03322-7"/>
    <s v="Brudedalen Legestue, Brudedalen 54-58"/>
    <n v="5276"/>
    <m/>
    <s v="Legestuen"/>
    <x v="20"/>
    <x v="0"/>
    <x v="2"/>
    <n v="8131.45"/>
    <n v="12"/>
    <s v="2005-10-03"/>
    <n v="0"/>
    <n v="284"/>
    <n v="28.621787999999999"/>
    <n v="2"/>
    <x v="2"/>
    <n v="8131.45"/>
    <n v="3252.57"/>
    <n v="0"/>
    <s v="1015049"/>
    <m/>
    <n v="8131.4520000000002"/>
    <n v="0"/>
    <n v="56861"/>
  </r>
  <r>
    <x v="3"/>
    <s v="03322-7"/>
    <s v="Brudedalen Legestue, Brudedalen 54-58"/>
    <n v="5276"/>
    <m/>
    <s v="Legestuen"/>
    <x v="20"/>
    <x v="0"/>
    <x v="3"/>
    <n v="10308.030000000001"/>
    <n v="12"/>
    <s v="2005-10-03"/>
    <n v="0"/>
    <n v="284"/>
    <n v="36.283104000000002"/>
    <n v="2"/>
    <x v="2"/>
    <n v="10308.030000000001"/>
    <n v="4834.47"/>
    <n v="0"/>
    <s v="1015049"/>
    <m/>
    <n v="10308.01"/>
    <n v="0"/>
    <n v="56861"/>
  </r>
  <r>
    <x v="3"/>
    <s v="03322-7"/>
    <s v="Brudedalen Legestue, Brudedalen 54-58"/>
    <n v="5276"/>
    <m/>
    <s v="Legestuen"/>
    <x v="20"/>
    <x v="0"/>
    <x v="4"/>
    <n v="8925.51"/>
    <n v="12"/>
    <s v="2005-10-03"/>
    <n v="0"/>
    <n v="284"/>
    <n v="31.416789000000001"/>
    <n v="2"/>
    <x v="2"/>
    <n v="8925.51"/>
    <n v="4186.08"/>
    <n v="0"/>
    <s v="1015049"/>
    <m/>
    <n v="8925.5120000000006"/>
    <n v="0"/>
    <n v="56861"/>
  </r>
  <r>
    <x v="3"/>
    <s v="03322-7"/>
    <s v="Brudedalen Legestue, Brudedalen 54-58"/>
    <n v="5276"/>
    <m/>
    <s v="Legestuen"/>
    <x v="20"/>
    <x v="0"/>
    <x v="5"/>
    <n v="8814.2000000000007"/>
    <n v="12"/>
    <s v="2005-10-03"/>
    <n v="0"/>
    <n v="284"/>
    <n v="31.024991"/>
    <n v="2"/>
    <x v="2"/>
    <n v="8814.2000000000007"/>
    <n v="4133.8500000000004"/>
    <n v="0"/>
    <s v="1015049"/>
    <m/>
    <n v="8814.1980000000003"/>
    <n v="0"/>
    <n v="56861"/>
  </r>
  <r>
    <x v="3"/>
    <s v="03322-7"/>
    <s v="Brudedalen Legestue, Brudedalen 54-58"/>
    <n v="5276"/>
    <m/>
    <s v="Legestuen"/>
    <x v="20"/>
    <x v="0"/>
    <x v="6"/>
    <n v="9043.98"/>
    <n v="12"/>
    <s v="2005-10-03"/>
    <n v="0"/>
    <n v="284"/>
    <n v="31.83379"/>
    <n v="2"/>
    <x v="2"/>
    <n v="9043.98"/>
    <n v="4241.6099999999997"/>
    <n v="0"/>
    <s v="1015049"/>
    <m/>
    <n v="9043.9599999999991"/>
    <n v="0"/>
    <n v="56861"/>
  </r>
  <r>
    <x v="3"/>
    <m/>
    <s v="Bøgely Ravnehusvej 20"/>
    <n v="9970"/>
    <m/>
    <s v="Bøgely"/>
    <x v="21"/>
    <x v="0"/>
    <x v="0"/>
    <n v="38709"/>
    <n v="5"/>
    <m/>
    <n v="0"/>
    <n v="864"/>
    <n v="20.411328999999999"/>
    <n v="2"/>
    <x v="2"/>
    <n v="17637.43"/>
    <n v="5291.24"/>
    <n v="0"/>
    <s v="86458"/>
    <m/>
    <n v="17637.444"/>
    <n v="0"/>
    <n v="90986"/>
  </r>
  <r>
    <x v="3"/>
    <m/>
    <s v="Bøgely Ravnehusvej 20"/>
    <n v="9970"/>
    <m/>
    <s v="Bøgely"/>
    <x v="21"/>
    <x v="0"/>
    <x v="1"/>
    <n v="36069.589999999997"/>
    <n v="12"/>
    <m/>
    <n v="0"/>
    <n v="864"/>
    <n v="41.742379"/>
    <n v="2"/>
    <x v="2"/>
    <n v="36069.589999999997"/>
    <n v="10820.9"/>
    <n v="0"/>
    <s v="86458"/>
    <m/>
    <n v="36069.593999999997"/>
    <n v="0"/>
    <n v="90986"/>
  </r>
  <r>
    <x v="3"/>
    <m/>
    <s v="Bøgely Ravnehusvej 20"/>
    <n v="9970"/>
    <m/>
    <s v="Bøgely"/>
    <x v="21"/>
    <x v="0"/>
    <x v="2"/>
    <n v="28976.639999999999"/>
    <n v="12"/>
    <m/>
    <n v="0"/>
    <n v="796"/>
    <n v="36.398240999999999"/>
    <n v="2"/>
    <x v="2"/>
    <n v="28976.639999999999"/>
    <n v="11590.64"/>
    <n v="0"/>
    <s v="86458"/>
    <m/>
    <n v="28976.639999999999"/>
    <n v="0"/>
    <n v="90986"/>
  </r>
  <r>
    <x v="3"/>
    <m/>
    <s v="Bøgely Ravnehusvej 20"/>
    <n v="9970"/>
    <m/>
    <s v="Bøgely"/>
    <x v="21"/>
    <x v="0"/>
    <x v="3"/>
    <n v="23841.72"/>
    <n v="12"/>
    <m/>
    <n v="0"/>
    <n v="774"/>
    <n v="30.799275999999999"/>
    <n v="2"/>
    <x v="2"/>
    <n v="23841.72"/>
    <n v="11181.76"/>
    <n v="0"/>
    <s v="86458"/>
    <m/>
    <n v="23841.707999999999"/>
    <n v="0"/>
    <n v="90986"/>
  </r>
  <r>
    <x v="3"/>
    <m/>
    <s v="Bøgely Ravnehusvej 20"/>
    <n v="9970"/>
    <m/>
    <s v="Bøgely"/>
    <x v="21"/>
    <x v="0"/>
    <x v="4"/>
    <n v="26984.74"/>
    <n v="12"/>
    <m/>
    <n v="0"/>
    <n v="774"/>
    <n v="34.859501000000002"/>
    <n v="2"/>
    <x v="2"/>
    <n v="26984.74"/>
    <n v="12655.84"/>
    <n v="0"/>
    <s v="86458"/>
    <m/>
    <n v="26984.726999999999"/>
    <n v="0"/>
    <n v="90986"/>
  </r>
  <r>
    <x v="3"/>
    <m/>
    <s v="Bøgely Ravnehusvej 20"/>
    <n v="9970"/>
    <m/>
    <s v="Bøgely"/>
    <x v="21"/>
    <x v="0"/>
    <x v="5"/>
    <n v="27666.23"/>
    <n v="11"/>
    <s v="2009-12-31"/>
    <n v="0"/>
    <n v="774"/>
    <n v="35.739865000000002"/>
    <n v="2"/>
    <x v="2"/>
    <n v="27666.23"/>
    <n v="12975.47"/>
    <n v="0"/>
    <s v="86458 afmeldt"/>
    <s v="74112213484"/>
    <n v="27666.235720000001"/>
    <n v="0"/>
    <n v="76387"/>
  </r>
  <r>
    <x v="3"/>
    <m/>
    <s v="Bøgely Ravnehusvej 20"/>
    <n v="9970"/>
    <m/>
    <s v="Bøgely"/>
    <x v="21"/>
    <x v="0"/>
    <x v="6"/>
    <n v="26956.06"/>
    <n v="6"/>
    <s v="2009-12-31"/>
    <n v="0"/>
    <n v="774"/>
    <n v="34.822451000000001"/>
    <n v="2"/>
    <x v="2"/>
    <n v="26956.06"/>
    <n v="12642.39"/>
    <n v="0"/>
    <s v="86458 afmeldt"/>
    <s v="74112213484"/>
    <n v="26956.052029999999"/>
    <n v="0"/>
    <n v="76387"/>
  </r>
  <r>
    <x v="3"/>
    <s v="02558-5"/>
    <s v="Børnehusene Ryttergårdsvej 100 - 102"/>
    <n v="5252"/>
    <m/>
    <s v="Børnehusene Ryttergårdsvej 100 - 102"/>
    <x v="22"/>
    <x v="0"/>
    <x v="0"/>
    <n v="17065"/>
    <n v="5"/>
    <s v="2005-05-01"/>
    <n v="0"/>
    <n v="752"/>
    <n v="9.3474930000000001"/>
    <n v="2"/>
    <x v="2"/>
    <n v="7030.25"/>
    <n v="2812.1"/>
    <n v="0"/>
    <s v="1019276"/>
    <s v="74111624557"/>
    <n v="7030.2579999999998"/>
    <n v="0"/>
    <n v="56687"/>
  </r>
  <r>
    <x v="3"/>
    <s v="02558-5"/>
    <s v="Børnehusene Ryttergårdsvej 100 - 102"/>
    <n v="5252"/>
    <m/>
    <s v="Børnehusene Ryttergårdsvej 100 - 102"/>
    <x v="22"/>
    <x v="0"/>
    <x v="1"/>
    <n v="17614.95"/>
    <n v="12"/>
    <s v="2005-05-01"/>
    <n v="0"/>
    <n v="752"/>
    <n v="23.421021"/>
    <n v="2"/>
    <x v="2"/>
    <n v="17614.95"/>
    <n v="7045.97"/>
    <n v="0"/>
    <s v="1019276"/>
    <s v="74111624557"/>
    <n v="17614.952000000001"/>
    <n v="0"/>
    <n v="56687"/>
  </r>
  <r>
    <x v="3"/>
    <s v="02558-5"/>
    <s v="Børnehusene Ryttergårdsvej 100 - 102"/>
    <n v="5252"/>
    <m/>
    <s v="Børnehusene Ryttergårdsvej 100 - 102"/>
    <x v="22"/>
    <x v="0"/>
    <x v="2"/>
    <n v="18524.63"/>
    <n v="12"/>
    <s v="2005-05-01"/>
    <n v="0"/>
    <n v="752"/>
    <n v="24.630541000000001"/>
    <n v="2"/>
    <x v="2"/>
    <n v="18524.63"/>
    <n v="7409.85"/>
    <n v="0"/>
    <s v="1019276"/>
    <s v="74111624557"/>
    <n v="18524.637999999999"/>
    <n v="0"/>
    <n v="56687"/>
  </r>
  <r>
    <x v="3"/>
    <s v="02558-5"/>
    <s v="Børnehusene Ryttergårdsvej 100 - 102"/>
    <n v="5252"/>
    <m/>
    <s v="Børnehusene Ryttergårdsvej 100 - 102"/>
    <x v="22"/>
    <x v="0"/>
    <x v="3"/>
    <n v="19365.59"/>
    <n v="12"/>
    <s v="2005-05-01"/>
    <n v="0"/>
    <n v="752"/>
    <n v="25.74869"/>
    <n v="2"/>
    <x v="2"/>
    <n v="19365.59"/>
    <n v="9082.4699999999993"/>
    <n v="0"/>
    <s v="1019276"/>
    <s v="74111624557"/>
    <n v="19365.59"/>
    <n v="0"/>
    <n v="56687"/>
  </r>
  <r>
    <x v="3"/>
    <s v="02558-5"/>
    <s v="Børnehusene Ryttergårdsvej 100 - 102"/>
    <n v="5252"/>
    <m/>
    <s v="Børnehusene Ryttergårdsvej 100 - 102"/>
    <x v="22"/>
    <x v="0"/>
    <x v="4"/>
    <n v="20125.650000000001"/>
    <n v="12"/>
    <s v="2005-05-01"/>
    <n v="0"/>
    <n v="752"/>
    <n v="26.759274000000001"/>
    <n v="2"/>
    <x v="2"/>
    <n v="20125.650000000001"/>
    <n v="9438.93"/>
    <n v="0"/>
    <s v="1019276"/>
    <s v="74111624557"/>
    <n v="20125.644"/>
    <n v="0"/>
    <n v="56687"/>
  </r>
  <r>
    <x v="3"/>
    <s v="02558-5"/>
    <s v="Børnehusene Ryttergårdsvej 100 - 102"/>
    <n v="5252"/>
    <m/>
    <s v="Børnehusene Ryttergårdsvej 100 - 102"/>
    <x v="22"/>
    <x v="0"/>
    <x v="5"/>
    <n v="18499.88"/>
    <n v="12"/>
    <s v="2005-05-01"/>
    <n v="0"/>
    <n v="752"/>
    <n v="24.597632999999998"/>
    <n v="2"/>
    <x v="2"/>
    <n v="18499.88"/>
    <n v="8676.4500000000007"/>
    <n v="0"/>
    <s v="1019276"/>
    <s v="74111624557"/>
    <n v="18499.900000000001"/>
    <n v="0"/>
    <n v="56687"/>
  </r>
  <r>
    <x v="3"/>
    <s v="02558-5"/>
    <s v="Børnehusene Ryttergårdsvej 100 - 102"/>
    <n v="5252"/>
    <m/>
    <s v="Børnehusene Ryttergårdsvej 100 - 102"/>
    <x v="22"/>
    <x v="0"/>
    <x v="6"/>
    <n v="19422.48"/>
    <n v="12"/>
    <s v="2005-05-01"/>
    <n v="0"/>
    <n v="752"/>
    <n v="25.824331000000001"/>
    <n v="2"/>
    <x v="2"/>
    <n v="19422.48"/>
    <n v="9109.15"/>
    <n v="0"/>
    <s v="1019276"/>
    <s v="74111624557"/>
    <n v="19422.490000000002"/>
    <n v="0"/>
    <n v="56687"/>
  </r>
  <r>
    <x v="3"/>
    <m/>
    <s v="Børnehuset Åkanden / Skovbo Skovbovænget 75"/>
    <n v="9977"/>
    <m/>
    <s v="Åkanden/Skovbo"/>
    <x v="23"/>
    <x v="0"/>
    <x v="0"/>
    <n v="18300"/>
    <n v="5"/>
    <s v="2010-06-30"/>
    <n v="0"/>
    <n v="487"/>
    <n v="14.345143999999999"/>
    <n v="2"/>
    <x v="2"/>
    <n v="6987.52"/>
    <n v="2096.2600000000002"/>
    <n v="0"/>
    <m/>
    <s v="74112335858"/>
    <n v="6987.5290000000005"/>
    <n v="0"/>
    <n v="76402"/>
  </r>
  <r>
    <x v="3"/>
    <m/>
    <s v="Børnehuset Åkanden / Skovbo Skovbovænget 75"/>
    <n v="9977"/>
    <m/>
    <s v="Åkanden/Skovbo"/>
    <x v="23"/>
    <x v="0"/>
    <x v="1"/>
    <n v="21659.93"/>
    <n v="12"/>
    <s v="2010-06-30"/>
    <n v="0"/>
    <n v="487"/>
    <n v="44.467111000000003"/>
    <n v="2"/>
    <x v="2"/>
    <n v="21659.93"/>
    <n v="6497.97"/>
    <n v="0"/>
    <m/>
    <s v="74112335858"/>
    <n v="21659.922999999999"/>
    <n v="0"/>
    <n v="76402"/>
  </r>
  <r>
    <x v="3"/>
    <m/>
    <s v="Børnehuset Åkanden / Skovbo Skovbovænget 75"/>
    <n v="9977"/>
    <m/>
    <s v="Åkanden/Skovbo"/>
    <x v="23"/>
    <x v="0"/>
    <x v="2"/>
    <n v="16582.62"/>
    <n v="12"/>
    <s v="2010-06-30"/>
    <n v="0"/>
    <n v="487"/>
    <n v="34.043562999999999"/>
    <n v="2"/>
    <x v="2"/>
    <n v="16582.62"/>
    <n v="6633.06"/>
    <n v="0"/>
    <m/>
    <s v="74112335858"/>
    <n v="16582.616999999998"/>
    <n v="0"/>
    <n v="76402"/>
  </r>
  <r>
    <x v="3"/>
    <m/>
    <s v="Børnehuset Åkanden / Skovbo Skovbovænget 75"/>
    <n v="9977"/>
    <m/>
    <s v="Åkanden/Skovbo"/>
    <x v="23"/>
    <x v="0"/>
    <x v="3"/>
    <n v="17003.560000000001"/>
    <n v="12"/>
    <s v="2010-06-30"/>
    <n v="0"/>
    <n v="487"/>
    <n v="34.907738999999999"/>
    <n v="2"/>
    <x v="2"/>
    <n v="17003.560000000001"/>
    <n v="7974.66"/>
    <n v="0"/>
    <m/>
    <s v="74112335858"/>
    <n v="17003.550999999999"/>
    <n v="0"/>
    <n v="76402"/>
  </r>
  <r>
    <x v="3"/>
    <m/>
    <s v="Børnehuset Åkanden / Skovbo Skovbovænget 75"/>
    <n v="9977"/>
    <m/>
    <s v="Åkanden/Skovbo"/>
    <x v="23"/>
    <x v="0"/>
    <x v="4"/>
    <n v="16946.39"/>
    <n v="8"/>
    <s v="2010-06-30"/>
    <n v="0"/>
    <n v="487"/>
    <n v="34.790371"/>
    <n v="2"/>
    <x v="2"/>
    <n v="16946.39"/>
    <n v="7947.88"/>
    <n v="0"/>
    <m/>
    <s v="74112335858"/>
    <n v="16946.397850000001"/>
    <n v="0"/>
    <n v="76402"/>
  </r>
  <r>
    <x v="3"/>
    <m/>
    <s v="Børnehuset Åkanden / Skovbo Skovbovænget 75"/>
    <n v="9977"/>
    <m/>
    <s v="Åkanden/Skovbo"/>
    <x v="23"/>
    <x v="0"/>
    <x v="5"/>
    <n v="20296.59"/>
    <n v="6"/>
    <s v="2010-06-30"/>
    <n v="0"/>
    <n v="487"/>
    <n v="41.668219999999998"/>
    <n v="2"/>
    <x v="2"/>
    <n v="20296.59"/>
    <n v="9519.1200000000008"/>
    <n v="0"/>
    <m/>
    <s v="74112335858"/>
    <n v="20296.592509999999"/>
    <n v="0"/>
    <n v="76402"/>
  </r>
  <r>
    <x v="3"/>
    <m/>
    <s v="Børnehuset Åkanden / Skovbo Skovbovænget 75"/>
    <n v="9977"/>
    <m/>
    <s v="Åkanden/Skovbo"/>
    <x v="23"/>
    <x v="0"/>
    <x v="6"/>
    <n v="23406.3"/>
    <n v="9"/>
    <s v="2010-06-30"/>
    <n v="0"/>
    <n v="487"/>
    <n v="48.052349999999997"/>
    <n v="2"/>
    <x v="2"/>
    <n v="23406.3"/>
    <n v="10977.55"/>
    <n v="0"/>
    <m/>
    <s v="74112335858"/>
    <n v="23406.309089999999"/>
    <n v="0"/>
    <n v="76402"/>
  </r>
  <r>
    <x v="3"/>
    <m/>
    <s v="Dalgården, Dalsø 107-109"/>
    <n v="10018"/>
    <m/>
    <s v="Dalgården"/>
    <x v="24"/>
    <x v="0"/>
    <x v="0"/>
    <n v="23732"/>
    <n v="5"/>
    <m/>
    <n v="0"/>
    <n v="838"/>
    <n v="6.7477739999999997"/>
    <n v="2"/>
    <x v="2"/>
    <n v="5655.31"/>
    <n v="1696.59"/>
    <n v="0"/>
    <s v="49491"/>
    <s v="74110486026"/>
    <n v="5655.3010000000004"/>
    <n v="0"/>
    <n v="90991"/>
  </r>
  <r>
    <x v="3"/>
    <m/>
    <s v="Dalgården, Dalsø 107-109"/>
    <n v="10018"/>
    <m/>
    <s v="Dalgården"/>
    <x v="24"/>
    <x v="0"/>
    <x v="1"/>
    <n v="20987"/>
    <n v="12"/>
    <m/>
    <n v="0"/>
    <n v="838"/>
    <n v="25.041163999999998"/>
    <n v="2"/>
    <x v="2"/>
    <n v="20987"/>
    <n v="6296.1"/>
    <n v="0"/>
    <s v="49491"/>
    <s v="74110486026"/>
    <n v="20987"/>
    <n v="0"/>
    <n v="90991"/>
  </r>
  <r>
    <x v="3"/>
    <m/>
    <s v="Dalgården, Dalsø 107-109"/>
    <n v="10018"/>
    <m/>
    <s v="Dalgården"/>
    <x v="24"/>
    <x v="0"/>
    <x v="2"/>
    <n v="19878.73"/>
    <n v="12"/>
    <m/>
    <n v="0"/>
    <n v="838"/>
    <n v="23.718803999999999"/>
    <n v="2"/>
    <x v="2"/>
    <n v="19878.73"/>
    <n v="7951.49"/>
    <n v="0"/>
    <s v="49491"/>
    <s v="74110486026"/>
    <n v="19878.733"/>
    <n v="0"/>
    <n v="90991"/>
  </r>
  <r>
    <x v="3"/>
    <m/>
    <s v="Dalgården, Dalsø 107-109"/>
    <n v="10018"/>
    <m/>
    <s v="Dalgården"/>
    <x v="24"/>
    <x v="0"/>
    <x v="3"/>
    <n v="15676.4"/>
    <n v="1"/>
    <s v="2011-09-21"/>
    <n v="0"/>
    <n v="838"/>
    <n v="18.704688999999998"/>
    <n v="2"/>
    <x v="2"/>
    <n v="15676.4"/>
    <n v="7352.23"/>
    <n v="0"/>
    <s v="7363179---49491 afmeldt"/>
    <m/>
    <n v="15676.4162"/>
    <n v="0"/>
    <n v="76528"/>
  </r>
  <r>
    <x v="3"/>
    <m/>
    <s v="Dalgården, Dalsø 107-109"/>
    <n v="10018"/>
    <m/>
    <s v="Dalgården"/>
    <x v="24"/>
    <x v="0"/>
    <x v="3"/>
    <n v="5267.14"/>
    <n v="3"/>
    <m/>
    <n v="0"/>
    <n v="838"/>
    <n v="6.2846190000000002"/>
    <n v="2"/>
    <x v="2"/>
    <n v="5267.14"/>
    <n v="2470.29"/>
    <n v="0"/>
    <s v="49491"/>
    <s v="74110486026"/>
    <n v="5267.134"/>
    <n v="0"/>
    <n v="90991"/>
  </r>
  <r>
    <x v="3"/>
    <m/>
    <s v="Dalgården, Dalsø 107-109"/>
    <n v="10018"/>
    <m/>
    <s v="Dalgården"/>
    <x v="24"/>
    <x v="0"/>
    <x v="4"/>
    <n v="21863.7"/>
    <n v="3"/>
    <s v="2011-09-21"/>
    <n v="0"/>
    <n v="838"/>
    <n v="26.087221"/>
    <n v="2"/>
    <x v="2"/>
    <n v="21863.7"/>
    <n v="10254.06"/>
    <n v="0"/>
    <s v="7363179---49491 afmeldt"/>
    <m/>
    <n v="21863.678670000001"/>
    <n v="0"/>
    <n v="76528"/>
  </r>
  <r>
    <x v="3"/>
    <m/>
    <s v="Dalgården, Dalsø 107-109"/>
    <n v="10018"/>
    <m/>
    <s v="Dalgården"/>
    <x v="24"/>
    <x v="0"/>
    <x v="5"/>
    <n v="24376.89"/>
    <n v="2"/>
    <s v="2011-09-21"/>
    <n v="0"/>
    <n v="838"/>
    <n v="29.085896000000002"/>
    <n v="2"/>
    <x v="2"/>
    <n v="24376.89"/>
    <n v="11432.78"/>
    <n v="0"/>
    <s v="7363179---49491 afmeldt"/>
    <m/>
    <n v="24376.905119999999"/>
    <n v="0"/>
    <n v="76528"/>
  </r>
  <r>
    <x v="3"/>
    <m/>
    <s v="Dalgården, Dalsø 107-109"/>
    <n v="10018"/>
    <m/>
    <s v="Dalgården"/>
    <x v="24"/>
    <x v="0"/>
    <x v="6"/>
    <n v="25730.91"/>
    <n v="5"/>
    <s v="2011-09-21"/>
    <n v="0"/>
    <n v="838"/>
    <n v="30.701478999999999"/>
    <n v="2"/>
    <x v="2"/>
    <n v="25730.91"/>
    <n v="12067.78"/>
    <n v="0"/>
    <s v="7363179---49491 afmeldt"/>
    <m/>
    <n v="25730.91001"/>
    <n v="0"/>
    <n v="76528"/>
  </r>
  <r>
    <x v="3"/>
    <s v="04730-9"/>
    <s v="Drivhuset Hvilebæksgårdsvej 17"/>
    <n v="5486"/>
    <m/>
    <s v="Drivhuset"/>
    <x v="25"/>
    <x v="0"/>
    <x v="0"/>
    <n v="12244"/>
    <n v="5"/>
    <s v="2005-05-01"/>
    <n v="0"/>
    <n v="417"/>
    <n v="12.198848999999999"/>
    <n v="2"/>
    <x v="2"/>
    <n v="5088.1400000000003"/>
    <n v="2035.25"/>
    <n v="0"/>
    <s v="72002"/>
    <s v="74111841077"/>
    <n v="5088.1274000000003"/>
    <n v="0"/>
    <n v="57981"/>
  </r>
  <r>
    <x v="3"/>
    <s v="04730-9"/>
    <s v="Drivhuset Hvilebæksgårdsvej 17"/>
    <n v="5486"/>
    <m/>
    <s v="Drivhuset"/>
    <x v="25"/>
    <x v="0"/>
    <x v="1"/>
    <n v="12096.39"/>
    <n v="12"/>
    <s v="2005-05-01"/>
    <n v="0"/>
    <n v="417"/>
    <n v="29.001173999999999"/>
    <n v="2"/>
    <x v="2"/>
    <n v="12096.39"/>
    <n v="4838.57"/>
    <n v="0"/>
    <s v="72002"/>
    <s v="74111841077"/>
    <n v="12096.3907"/>
    <n v="0"/>
    <n v="57981"/>
  </r>
  <r>
    <x v="3"/>
    <s v="04730-9"/>
    <s v="Drivhuset Hvilebæksgårdsvej 17"/>
    <n v="5486"/>
    <m/>
    <s v="Drivhuset"/>
    <x v="25"/>
    <x v="0"/>
    <x v="2"/>
    <n v="15383.12"/>
    <n v="12"/>
    <s v="2005-05-01"/>
    <n v="0"/>
    <n v="417"/>
    <n v="36.881131000000003"/>
    <n v="2"/>
    <x v="2"/>
    <n v="15383.12"/>
    <n v="6153.25"/>
    <n v="0"/>
    <s v="72002"/>
    <s v="74111841077"/>
    <n v="15383.117"/>
    <n v="0"/>
    <n v="57981"/>
  </r>
  <r>
    <x v="3"/>
    <s v="04730-9"/>
    <s v="Drivhuset Hvilebæksgårdsvej 17"/>
    <n v="5486"/>
    <m/>
    <s v="Drivhuset"/>
    <x v="25"/>
    <x v="0"/>
    <x v="3"/>
    <n v="17141.59"/>
    <n v="12"/>
    <s v="2005-05-01"/>
    <n v="0"/>
    <n v="417"/>
    <n v="41.097074999999997"/>
    <n v="2"/>
    <x v="2"/>
    <n v="17141.59"/>
    <n v="8039.42"/>
    <n v="0"/>
    <s v="72002"/>
    <s v="74111841077"/>
    <n v="17141.598000000002"/>
    <n v="0"/>
    <n v="57981"/>
  </r>
  <r>
    <x v="3"/>
    <s v="04730-9"/>
    <s v="Drivhuset Hvilebæksgårdsvej 17"/>
    <n v="5486"/>
    <m/>
    <s v="Drivhuset"/>
    <x v="25"/>
    <x v="0"/>
    <x v="4"/>
    <n v="16777.88"/>
    <n v="12"/>
    <s v="2005-05-01"/>
    <n v="0"/>
    <n v="417"/>
    <n v="40.225076999999999"/>
    <n v="2"/>
    <x v="2"/>
    <n v="16777.88"/>
    <n v="7868.83"/>
    <n v="0"/>
    <s v="72002"/>
    <s v="74111841077"/>
    <n v="16777.882000000001"/>
    <n v="0"/>
    <n v="57981"/>
  </r>
  <r>
    <x v="3"/>
    <s v="04730-9"/>
    <s v="Drivhuset Hvilebæksgårdsvej 17"/>
    <n v="5486"/>
    <m/>
    <s v="Drivhuset"/>
    <x v="25"/>
    <x v="0"/>
    <x v="5"/>
    <n v="16581.240000000002"/>
    <n v="12"/>
    <s v="2005-05-01"/>
    <n v="0"/>
    <n v="417"/>
    <n v="39.753632000000003"/>
    <n v="2"/>
    <x v="2"/>
    <n v="16581.240000000002"/>
    <n v="7776.6"/>
    <n v="0"/>
    <s v="72002"/>
    <s v="74111841077"/>
    <n v="16581.235000000001"/>
    <n v="0"/>
    <n v="57981"/>
  </r>
  <r>
    <x v="3"/>
    <s v="04730-9"/>
    <s v="Drivhuset Hvilebæksgårdsvej 17"/>
    <n v="5486"/>
    <m/>
    <s v="Drivhuset"/>
    <x v="25"/>
    <x v="0"/>
    <x v="6"/>
    <n v="17098.05"/>
    <n v="12"/>
    <s v="2005-05-01"/>
    <n v="0"/>
    <n v="417"/>
    <n v="40.992686999999997"/>
    <n v="2"/>
    <x v="2"/>
    <n v="17098.05"/>
    <n v="8018.98"/>
    <n v="0"/>
    <s v="72002"/>
    <s v="74111841077"/>
    <n v="17098.044999999998"/>
    <n v="0"/>
    <n v="57981"/>
  </r>
  <r>
    <x v="3"/>
    <m/>
    <s v="Espebo Børnecenter"/>
    <n v="10058"/>
    <m/>
    <s v="Espebo Børnecenter"/>
    <x v="26"/>
    <x v="0"/>
    <x v="0"/>
    <n v="17382"/>
    <n v="5"/>
    <s v="2010-10-31"/>
    <n v="0"/>
    <n v="692"/>
    <n v="10.457981999999999"/>
    <n v="2"/>
    <x v="2"/>
    <n v="7237.97"/>
    <n v="2171.39"/>
    <n v="0"/>
    <m/>
    <s v="74111889819"/>
    <n v="7237.9669999999996"/>
    <n v="0"/>
    <n v="76684"/>
  </r>
  <r>
    <x v="3"/>
    <m/>
    <s v="Espebo Børnecenter"/>
    <n v="10058"/>
    <m/>
    <s v="Espebo Børnecenter"/>
    <x v="26"/>
    <x v="0"/>
    <x v="1"/>
    <n v="18965.349999999999"/>
    <n v="12"/>
    <s v="2010-10-31"/>
    <n v="0"/>
    <n v="692"/>
    <n v="27.402615000000001"/>
    <n v="2"/>
    <x v="2"/>
    <n v="18965.349999999999"/>
    <n v="5689.61"/>
    <n v="0"/>
    <m/>
    <s v="74111889819"/>
    <n v="18965.341"/>
    <n v="0"/>
    <n v="76684"/>
  </r>
  <r>
    <x v="3"/>
    <m/>
    <s v="Espebo Børnecenter"/>
    <n v="10058"/>
    <m/>
    <s v="Espebo Børnecenter"/>
    <x v="26"/>
    <x v="0"/>
    <x v="2"/>
    <n v="18135.84"/>
    <n v="12"/>
    <s v="2010-10-31"/>
    <n v="0"/>
    <n v="692"/>
    <n v="26.204073999999999"/>
    <n v="2"/>
    <x v="2"/>
    <n v="18135.84"/>
    <n v="7254.33"/>
    <n v="0"/>
    <m/>
    <s v="74111889819"/>
    <n v="18135.843000000001"/>
    <n v="0"/>
    <n v="76684"/>
  </r>
  <r>
    <x v="3"/>
    <m/>
    <s v="Espebo Børnecenter"/>
    <n v="10058"/>
    <m/>
    <s v="Espebo Børnecenter"/>
    <x v="26"/>
    <x v="0"/>
    <x v="3"/>
    <n v="18099.32"/>
    <n v="12"/>
    <s v="2010-10-31"/>
    <n v="0"/>
    <n v="692"/>
    <n v="26.151306999999999"/>
    <n v="2"/>
    <x v="2"/>
    <n v="18099.32"/>
    <n v="8488.57"/>
    <n v="0"/>
    <m/>
    <s v="74111889819"/>
    <n v="18099.311000000002"/>
    <n v="0"/>
    <n v="76684"/>
  </r>
  <r>
    <x v="3"/>
    <m/>
    <s v="Espebo Børnecenter"/>
    <n v="10058"/>
    <m/>
    <s v="Espebo Børnecenter"/>
    <x v="26"/>
    <x v="0"/>
    <x v="4"/>
    <n v="17306.2"/>
    <n v="6"/>
    <s v="2010-10-31"/>
    <n v="0"/>
    <n v="692"/>
    <n v="25.005345999999999"/>
    <n v="2"/>
    <x v="2"/>
    <n v="17306.2"/>
    <n v="8116.62"/>
    <n v="0"/>
    <m/>
    <s v="74111889819"/>
    <n v="17306.206480000001"/>
    <n v="0"/>
    <n v="76684"/>
  </r>
  <r>
    <x v="3"/>
    <m/>
    <s v="Espebo Børnecenter"/>
    <n v="10058"/>
    <m/>
    <s v="Espebo Børnecenter"/>
    <x v="26"/>
    <x v="0"/>
    <x v="5"/>
    <n v="19062.84"/>
    <n v="4"/>
    <s v="2010-10-31"/>
    <n v="0"/>
    <n v="692"/>
    <n v="27.543475999999998"/>
    <n v="2"/>
    <x v="2"/>
    <n v="19062.84"/>
    <n v="8940.4599999999991"/>
    <n v="0"/>
    <m/>
    <s v="74111889819"/>
    <n v="19062.849450000002"/>
    <n v="0"/>
    <n v="76684"/>
  </r>
  <r>
    <x v="3"/>
    <m/>
    <s v="Espebo Børnecenter"/>
    <n v="10058"/>
    <m/>
    <s v="Espebo Børnecenter"/>
    <x v="26"/>
    <x v="0"/>
    <x v="6"/>
    <n v="17530.96"/>
    <n v="4"/>
    <s v="2010-10-31"/>
    <n v="0"/>
    <n v="692"/>
    <n v="25.330096000000001"/>
    <n v="2"/>
    <x v="2"/>
    <n v="17530.96"/>
    <n v="8222.0300000000007"/>
    <n v="0"/>
    <m/>
    <s v="74111889819"/>
    <n v="17530.967089999998"/>
    <n v="0"/>
    <n v="76684"/>
  </r>
  <r>
    <x v="3"/>
    <s v="03971-3"/>
    <s v="Farum Vejgård, Stavnsholtvej 170"/>
    <n v="5428"/>
    <m/>
    <s v="Farum Vejgård"/>
    <x v="28"/>
    <x v="0"/>
    <x v="0"/>
    <n v="28802"/>
    <n v="5"/>
    <s v="2005-05-01"/>
    <n v="0"/>
    <n v="679"/>
    <n v="12.485127"/>
    <n v="2"/>
    <x v="2"/>
    <n v="8478.65"/>
    <n v="3391.47"/>
    <n v="0"/>
    <s v="1019188"/>
    <m/>
    <n v="8478.652"/>
    <n v="0"/>
    <n v="57402"/>
  </r>
  <r>
    <x v="3"/>
    <s v="03971-3"/>
    <s v="Farum Vejgård, Stavnsholtvej 170"/>
    <n v="5428"/>
    <m/>
    <s v="Farum Vejgård"/>
    <x v="28"/>
    <x v="0"/>
    <x v="0"/>
    <n v="0"/>
    <n v="5"/>
    <s v="2005-05-01"/>
    <n v="0"/>
    <n v="679"/>
    <n v="4.103637"/>
    <n v="2"/>
    <x v="2"/>
    <n v="2786.78"/>
    <n v="1114.71"/>
    <n v="0"/>
    <s v="1004350 (1)"/>
    <m/>
    <n v="2786.7779999999998"/>
    <n v="0"/>
    <n v="57563"/>
  </r>
  <r>
    <x v="3"/>
    <s v="03971-3"/>
    <s v="Farum Vejgård, Stavnsholtvej 170"/>
    <n v="5428"/>
    <m/>
    <s v="Farum Vejgård"/>
    <x v="28"/>
    <x v="0"/>
    <x v="0"/>
    <n v="0"/>
    <n v="5"/>
    <s v="2005-05-01"/>
    <n v="0"/>
    <n v="679"/>
    <n v="1.1060220000000001"/>
    <n v="2"/>
    <x v="2"/>
    <n v="751.1"/>
    <n v="300.44"/>
    <n v="0"/>
    <s v="1011580 (2)"/>
    <m/>
    <n v="751.10799999999995"/>
    <n v="0"/>
    <n v="57564"/>
  </r>
  <r>
    <x v="3"/>
    <s v="03971-3"/>
    <s v="Farum Vejgård, Stavnsholtvej 170"/>
    <n v="5428"/>
    <m/>
    <s v="Farum Vejgård"/>
    <x v="28"/>
    <x v="0"/>
    <x v="1"/>
    <n v="15079.56"/>
    <n v="12"/>
    <s v="2005-05-01"/>
    <n v="0"/>
    <n v="679"/>
    <n v="22.205212"/>
    <n v="2"/>
    <x v="2"/>
    <n v="15079.56"/>
    <n v="6031.83"/>
    <n v="0"/>
    <s v="1019188"/>
    <m/>
    <n v="15079.556"/>
    <n v="0"/>
    <n v="57402"/>
  </r>
  <r>
    <x v="3"/>
    <s v="03971-3"/>
    <s v="Farum Vejgård, Stavnsholtvej 170"/>
    <n v="5428"/>
    <m/>
    <s v="Farum Vejgård"/>
    <x v="28"/>
    <x v="0"/>
    <x v="1"/>
    <n v="1680"/>
    <n v="12"/>
    <s v="2005-05-01"/>
    <n v="0"/>
    <n v="679"/>
    <n v="2.473862"/>
    <n v="2"/>
    <x v="2"/>
    <n v="1680"/>
    <n v="672"/>
    <n v="0"/>
    <s v="1011580 (2)"/>
    <m/>
    <n v="1679.99"/>
    <n v="0"/>
    <n v="57564"/>
  </r>
  <r>
    <x v="3"/>
    <s v="03971-3"/>
    <s v="Farum Vejgård, Stavnsholtvej 170"/>
    <n v="5428"/>
    <m/>
    <s v="Farum Vejgård"/>
    <x v="28"/>
    <x v="0"/>
    <x v="1"/>
    <n v="8065.16"/>
    <n v="12"/>
    <s v="2005-05-01"/>
    <n v="0"/>
    <n v="679"/>
    <n v="11.876246999999999"/>
    <n v="2"/>
    <x v="2"/>
    <n v="8065.16"/>
    <n v="3226.07"/>
    <n v="0"/>
    <s v="1004350 (1)"/>
    <m/>
    <n v="8065.1779999999999"/>
    <n v="0"/>
    <n v="57563"/>
  </r>
  <r>
    <x v="3"/>
    <s v="03971-3"/>
    <s v="Farum Vejgård, Stavnsholtvej 170"/>
    <n v="5428"/>
    <m/>
    <s v="Farum Vejgård"/>
    <x v="28"/>
    <x v="0"/>
    <x v="2"/>
    <n v="14018.63"/>
    <n v="12"/>
    <s v="2005-05-01"/>
    <n v="0"/>
    <n v="679"/>
    <n v="20.642952999999999"/>
    <n v="2"/>
    <x v="2"/>
    <n v="14018.63"/>
    <n v="5607.45"/>
    <n v="0"/>
    <s v="1019188"/>
    <m/>
    <n v="14018.644"/>
    <n v="0"/>
    <n v="57402"/>
  </r>
  <r>
    <x v="3"/>
    <s v="03971-3"/>
    <s v="Farum Vejgård, Stavnsholtvej 170"/>
    <n v="5428"/>
    <m/>
    <s v="Farum Vejgård"/>
    <x v="28"/>
    <x v="0"/>
    <x v="2"/>
    <n v="1534.67"/>
    <n v="12"/>
    <s v="2005-05-01"/>
    <n v="0"/>
    <n v="679"/>
    <n v="2.2598579999999999"/>
    <n v="2"/>
    <x v="2"/>
    <n v="1534.67"/>
    <n v="613.85"/>
    <n v="0"/>
    <s v="1011580 (2)"/>
    <m/>
    <n v="1534.65"/>
    <n v="0"/>
    <n v="57564"/>
  </r>
  <r>
    <x v="3"/>
    <s v="03971-3"/>
    <s v="Farum Vejgård, Stavnsholtvej 170"/>
    <n v="5428"/>
    <m/>
    <s v="Farum Vejgård"/>
    <x v="28"/>
    <x v="0"/>
    <x v="2"/>
    <n v="11463.35"/>
    <n v="12"/>
    <s v="2005-05-01"/>
    <n v="0"/>
    <n v="679"/>
    <n v="16.880209000000001"/>
    <n v="2"/>
    <x v="2"/>
    <n v="11463.35"/>
    <n v="4585.3500000000004"/>
    <n v="0"/>
    <s v="1004350 (1)"/>
    <m/>
    <n v="11463.35"/>
    <n v="0"/>
    <n v="57563"/>
  </r>
  <r>
    <x v="3"/>
    <s v="03971-3"/>
    <s v="Farum Vejgård, Stavnsholtvej 170"/>
    <n v="5428"/>
    <m/>
    <s v="Farum Vejgård"/>
    <x v="28"/>
    <x v="0"/>
    <x v="3"/>
    <n v="15090.33"/>
    <n v="12"/>
    <s v="2005-05-01"/>
    <n v="0"/>
    <n v="679"/>
    <n v="22.221071999999999"/>
    <n v="2"/>
    <x v="2"/>
    <n v="15090.33"/>
    <n v="7077.37"/>
    <n v="0"/>
    <s v="1019188"/>
    <m/>
    <n v="15090.334000000001"/>
    <n v="0"/>
    <n v="57402"/>
  </r>
  <r>
    <x v="3"/>
    <s v="03971-3"/>
    <s v="Farum Vejgård, Stavnsholtvej 170"/>
    <n v="5428"/>
    <m/>
    <s v="Farum Vejgård"/>
    <x v="28"/>
    <x v="0"/>
    <x v="3"/>
    <n v="10016.83"/>
    <n v="12"/>
    <s v="2005-05-01"/>
    <n v="0"/>
    <n v="679"/>
    <n v="14.750154"/>
    <n v="2"/>
    <x v="2"/>
    <n v="10016.83"/>
    <n v="4697.8900000000003"/>
    <n v="0"/>
    <s v="1004350 (1)"/>
    <m/>
    <n v="10016.828"/>
    <n v="0"/>
    <n v="57563"/>
  </r>
  <r>
    <x v="3"/>
    <s v="03971-3"/>
    <s v="Farum Vejgård, Stavnsholtvej 170"/>
    <n v="5428"/>
    <m/>
    <s v="Farum Vejgård"/>
    <x v="28"/>
    <x v="0"/>
    <x v="3"/>
    <n v="1844.06"/>
    <n v="12"/>
    <s v="2005-05-01"/>
    <n v="0"/>
    <n v="679"/>
    <n v="2.715446"/>
    <n v="2"/>
    <x v="2"/>
    <n v="1844.06"/>
    <n v="864.87"/>
    <n v="0"/>
    <s v="1011580 (2)"/>
    <m/>
    <n v="1844.056"/>
    <n v="0"/>
    <n v="57564"/>
  </r>
  <r>
    <x v="3"/>
    <s v="03971-3"/>
    <s v="Farum Vejgård, Stavnsholtvej 170"/>
    <n v="5428"/>
    <m/>
    <s v="Farum Vejgård"/>
    <x v="28"/>
    <x v="0"/>
    <x v="4"/>
    <n v="1639.49"/>
    <n v="12"/>
    <s v="2005-05-01"/>
    <n v="0"/>
    <n v="679"/>
    <n v="2.414209"/>
    <n v="2"/>
    <x v="2"/>
    <n v="1639.49"/>
    <n v="768.91"/>
    <n v="0"/>
    <s v="1011580 (2)"/>
    <m/>
    <n v="1639.4780000000001"/>
    <n v="0"/>
    <n v="57564"/>
  </r>
  <r>
    <x v="3"/>
    <s v="03971-3"/>
    <s v="Farum Vejgård, Stavnsholtvej 170"/>
    <n v="5428"/>
    <m/>
    <s v="Farum Vejgård"/>
    <x v="28"/>
    <x v="0"/>
    <x v="4"/>
    <n v="13843.63"/>
    <n v="12"/>
    <s v="2005-05-01"/>
    <n v="0"/>
    <n v="679"/>
    <n v="20.385259000000001"/>
    <n v="2"/>
    <x v="2"/>
    <n v="13843.63"/>
    <n v="6492.67"/>
    <n v="0"/>
    <s v="1019188"/>
    <m/>
    <n v="13843.636"/>
    <n v="0"/>
    <n v="57402"/>
  </r>
  <r>
    <x v="3"/>
    <s v="03971-3"/>
    <s v="Farum Vejgård, Stavnsholtvej 170"/>
    <n v="5428"/>
    <m/>
    <s v="Farum Vejgård"/>
    <x v="28"/>
    <x v="0"/>
    <x v="4"/>
    <n v="13211.14"/>
    <n v="12"/>
    <s v="2005-05-01"/>
    <n v="0"/>
    <n v="679"/>
    <n v="19.453893999999998"/>
    <n v="2"/>
    <x v="2"/>
    <n v="13211.14"/>
    <n v="6196.02"/>
    <n v="0"/>
    <s v="1004350 (1)"/>
    <m/>
    <n v="13211.128000000001"/>
    <n v="0"/>
    <n v="57563"/>
  </r>
  <r>
    <x v="3"/>
    <s v="03971-3"/>
    <s v="Farum Vejgård, Stavnsholtvej 170"/>
    <n v="5428"/>
    <m/>
    <s v="Farum Vejgård"/>
    <x v="28"/>
    <x v="0"/>
    <x v="5"/>
    <n v="13483.75"/>
    <n v="12"/>
    <s v="2005-05-01"/>
    <n v="0"/>
    <n v="679"/>
    <n v="19.855322999999999"/>
    <n v="2"/>
    <x v="2"/>
    <n v="13483.75"/>
    <n v="6323.89"/>
    <n v="0"/>
    <s v="1019188"/>
    <m/>
    <n v="13483.75"/>
    <n v="0"/>
    <n v="57402"/>
  </r>
  <r>
    <x v="3"/>
    <s v="03971-3"/>
    <s v="Farum Vejgård, Stavnsholtvej 170"/>
    <n v="5428"/>
    <m/>
    <s v="Farum Vejgård"/>
    <x v="28"/>
    <x v="0"/>
    <x v="5"/>
    <n v="1415.92"/>
    <n v="12"/>
    <s v="2005-05-01"/>
    <n v="0"/>
    <n v="679"/>
    <n v="2.084994"/>
    <n v="2"/>
    <x v="2"/>
    <n v="1415.92"/>
    <n v="664.07"/>
    <n v="0"/>
    <s v="1011580 (2)"/>
    <m/>
    <n v="1415.932"/>
    <n v="0"/>
    <n v="57564"/>
  </r>
  <r>
    <x v="3"/>
    <s v="03971-3"/>
    <s v="Farum Vejgård, Stavnsholtvej 170"/>
    <n v="5428"/>
    <m/>
    <s v="Farum Vejgård"/>
    <x v="28"/>
    <x v="0"/>
    <x v="5"/>
    <n v="12173.12"/>
    <n v="12"/>
    <s v="2005-05-01"/>
    <n v="0"/>
    <n v="679"/>
    <n v="17.925370999999998"/>
    <n v="2"/>
    <x v="2"/>
    <n v="12173.12"/>
    <n v="5709.18"/>
    <n v="0"/>
    <s v="1004350 (1)"/>
    <m/>
    <n v="12173.116"/>
    <n v="0"/>
    <n v="57563"/>
  </r>
  <r>
    <x v="3"/>
    <s v="03971-3"/>
    <s v="Farum Vejgård, Stavnsholtvej 170"/>
    <n v="5428"/>
    <m/>
    <s v="Farum Vejgård"/>
    <x v="28"/>
    <x v="0"/>
    <x v="6"/>
    <n v="12524.95"/>
    <n v="12"/>
    <s v="2005-05-01"/>
    <n v="0"/>
    <n v="679"/>
    <n v="18.443453999999999"/>
    <n v="2"/>
    <x v="2"/>
    <n v="12524.95"/>
    <n v="5874.2"/>
    <n v="0"/>
    <s v="1019188"/>
    <m/>
    <n v="12524.94"/>
    <n v="0"/>
    <n v="57402"/>
  </r>
  <r>
    <x v="3"/>
    <s v="03971-3"/>
    <s v="Farum Vejgård, Stavnsholtvej 170"/>
    <n v="5428"/>
    <m/>
    <s v="Farum Vejgård"/>
    <x v="28"/>
    <x v="0"/>
    <x v="6"/>
    <n v="1988.29"/>
    <n v="12"/>
    <s v="2005-05-01"/>
    <n v="0"/>
    <n v="679"/>
    <n v="2.9278300000000002"/>
    <n v="2"/>
    <x v="2"/>
    <n v="1988.29"/>
    <n v="932.5"/>
    <n v="0"/>
    <s v="1011580 (2)"/>
    <m/>
    <n v="1988.3019999999999"/>
    <n v="0"/>
    <n v="57564"/>
  </r>
  <r>
    <x v="3"/>
    <s v="03971-3"/>
    <s v="Farum Vejgård, Stavnsholtvej 170"/>
    <n v="5428"/>
    <m/>
    <s v="Farum Vejgård"/>
    <x v="28"/>
    <x v="0"/>
    <x v="6"/>
    <n v="14503.17"/>
    <n v="12"/>
    <s v="2005-05-01"/>
    <n v="0"/>
    <n v="679"/>
    <n v="21.356456999999999"/>
    <n v="2"/>
    <x v="2"/>
    <n v="14503.17"/>
    <n v="6801.99"/>
    <n v="0"/>
    <s v="1004350 (1)"/>
    <m/>
    <n v="14503.146000000001"/>
    <n v="0"/>
    <n v="57563"/>
  </r>
  <r>
    <x v="3"/>
    <s v="00005-1"/>
    <s v="Farumsødal"/>
    <n v="5262"/>
    <m/>
    <s v="Farumsødal"/>
    <x v="29"/>
    <x v="0"/>
    <x v="0"/>
    <n v="19685"/>
    <n v="5"/>
    <s v="2005-04-30"/>
    <n v="0"/>
    <n v="874"/>
    <n v="6.2423289999999998"/>
    <n v="2"/>
    <x v="2"/>
    <n v="5456.42"/>
    <n v="2182.58"/>
    <n v="0"/>
    <s v="072049 nr 1"/>
    <s v="74112646763"/>
    <n v="5456.4278999999997"/>
    <n v="0"/>
    <n v="56737"/>
  </r>
  <r>
    <x v="3"/>
    <s v="00005-1"/>
    <s v="Farumsødal"/>
    <n v="5262"/>
    <m/>
    <s v="Farumsødal"/>
    <x v="29"/>
    <x v="0"/>
    <x v="0"/>
    <n v="0"/>
    <n v="5"/>
    <s v="2012-01-22"/>
    <n v="0"/>
    <n v="874"/>
    <n v="3.3611819999999999"/>
    <n v="2"/>
    <x v="2"/>
    <n v="2938.01"/>
    <n v="1175.2"/>
    <n v="0"/>
    <s v="1019281 nr. 2"/>
    <s v="74112646756"/>
    <n v="2938.0079999999998"/>
    <n v="0"/>
    <n v="56759"/>
  </r>
  <r>
    <x v="3"/>
    <s v="00005-1"/>
    <s v="Farumsødal"/>
    <n v="5262"/>
    <m/>
    <s v="Farumsødal"/>
    <x v="29"/>
    <x v="0"/>
    <x v="1"/>
    <n v="7478.9"/>
    <n v="12"/>
    <s v="2012-01-22"/>
    <n v="0"/>
    <n v="874"/>
    <n v="8.5561140000000009"/>
    <n v="2"/>
    <x v="2"/>
    <n v="7478.9"/>
    <n v="2991.54"/>
    <n v="0"/>
    <s v="1019281 nr. 2"/>
    <s v="74112646756"/>
    <n v="7478.8919999999998"/>
    <n v="0"/>
    <n v="56759"/>
  </r>
  <r>
    <x v="3"/>
    <s v="00005-1"/>
    <s v="Farumsødal"/>
    <n v="5262"/>
    <m/>
    <s v="Farumsødal"/>
    <x v="29"/>
    <x v="0"/>
    <x v="1"/>
    <n v="12378.82"/>
    <n v="12"/>
    <s v="2005-04-30"/>
    <n v="0"/>
    <n v="874"/>
    <n v="14.161789000000001"/>
    <n v="2"/>
    <x v="2"/>
    <n v="12378.82"/>
    <n v="4951.51"/>
    <n v="0"/>
    <s v="072049 nr 1"/>
    <s v="74112646763"/>
    <n v="12378.806500000001"/>
    <n v="0"/>
    <n v="56737"/>
  </r>
  <r>
    <x v="3"/>
    <s v="00005-1"/>
    <s v="Farumsødal"/>
    <n v="5262"/>
    <m/>
    <s v="Farumsødal"/>
    <x v="29"/>
    <x v="0"/>
    <x v="2"/>
    <n v="14887.3"/>
    <n v="12"/>
    <s v="2005-04-30"/>
    <n v="0"/>
    <n v="874"/>
    <n v="17.031575"/>
    <n v="2"/>
    <x v="2"/>
    <n v="14887.3"/>
    <n v="5954.91"/>
    <n v="0"/>
    <s v="072049 nr 1"/>
    <s v="74112646763"/>
    <n v="14887.2953"/>
    <n v="0"/>
    <n v="56737"/>
  </r>
  <r>
    <x v="3"/>
    <s v="00005-1"/>
    <s v="Farumsødal"/>
    <n v="5262"/>
    <m/>
    <s v="Farumsødal"/>
    <x v="29"/>
    <x v="0"/>
    <x v="2"/>
    <n v="10139.19"/>
    <n v="12"/>
    <s v="2012-01-22"/>
    <n v="0"/>
    <n v="874"/>
    <n v="11.599576000000001"/>
    <n v="2"/>
    <x v="2"/>
    <n v="10139.19"/>
    <n v="4055.68"/>
    <n v="0"/>
    <s v="1019281 nr. 2"/>
    <s v="74112646756"/>
    <n v="10139.18073"/>
    <n v="0"/>
    <n v="56759"/>
  </r>
  <r>
    <x v="3"/>
    <s v="00005-1"/>
    <s v="Farumsødal"/>
    <n v="5262"/>
    <m/>
    <s v="Farumsødal"/>
    <x v="29"/>
    <x v="0"/>
    <x v="3"/>
    <n v="15332.08"/>
    <n v="12"/>
    <s v="2005-04-30"/>
    <n v="0"/>
    <n v="874"/>
    <n v="17.540417999999999"/>
    <n v="2"/>
    <x v="2"/>
    <n v="15332.08"/>
    <n v="7190.76"/>
    <n v="0"/>
    <s v="072049 nr 1"/>
    <s v="74112646763"/>
    <n v="15332.093999999999"/>
    <n v="0"/>
    <n v="56737"/>
  </r>
  <r>
    <x v="3"/>
    <s v="00005-1"/>
    <s v="Farumsødal"/>
    <n v="5262"/>
    <m/>
    <s v="Farumsødal"/>
    <x v="29"/>
    <x v="0"/>
    <x v="3"/>
    <n v="12025.53"/>
    <n v="2"/>
    <s v="2012-01-22"/>
    <n v="0"/>
    <n v="874"/>
    <n v="13.757612999999999"/>
    <n v="2"/>
    <x v="2"/>
    <n v="12025.53"/>
    <n v="5639.99"/>
    <n v="0"/>
    <s v="1019281 nr. 2"/>
    <s v="74112646756"/>
    <n v="12025.51298"/>
    <n v="0"/>
    <n v="56759"/>
  </r>
  <r>
    <x v="3"/>
    <s v="00005-1"/>
    <s v="Farumsødal"/>
    <n v="5262"/>
    <m/>
    <s v="Farumsødal"/>
    <x v="29"/>
    <x v="0"/>
    <x v="4"/>
    <n v="13283.65"/>
    <n v="1"/>
    <s v="2012-01-22"/>
    <n v="0"/>
    <n v="874"/>
    <n v="15.196944999999999"/>
    <n v="2"/>
    <x v="2"/>
    <n v="13283.65"/>
    <n v="6230.05"/>
    <n v="0"/>
    <s v="1019281 nr. 2"/>
    <s v="74112646756"/>
    <n v="13283.65336"/>
    <n v="0"/>
    <n v="56759"/>
  </r>
  <r>
    <x v="3"/>
    <s v="00005-1"/>
    <s v="Farumsødal"/>
    <n v="5262"/>
    <m/>
    <s v="Farumsødal"/>
    <x v="29"/>
    <x v="0"/>
    <x v="4"/>
    <n v="15591.93"/>
    <n v="12"/>
    <s v="2005-04-30"/>
    <n v="0"/>
    <n v="874"/>
    <n v="17.837695"/>
    <n v="2"/>
    <x v="2"/>
    <n v="15591.93"/>
    <n v="7312.63"/>
    <n v="0"/>
    <s v="072049 nr 1"/>
    <s v="74112646763"/>
    <n v="15591.938"/>
    <n v="0"/>
    <n v="56737"/>
  </r>
  <r>
    <x v="3"/>
    <s v="00005-1"/>
    <s v="Farumsødal"/>
    <n v="5262"/>
    <m/>
    <s v="Farumsødal"/>
    <x v="29"/>
    <x v="0"/>
    <x v="5"/>
    <n v="11277.91"/>
    <n v="1"/>
    <s v="2012-01-22"/>
    <n v="0"/>
    <n v="874"/>
    <n v="12.90231"/>
    <n v="2"/>
    <x v="2"/>
    <n v="11277.91"/>
    <n v="5289.32"/>
    <n v="0"/>
    <s v="1019281 nr. 2"/>
    <s v="74112646756"/>
    <n v="11277.903469999999"/>
    <n v="0"/>
    <n v="56759"/>
  </r>
  <r>
    <x v="3"/>
    <s v="00005-1"/>
    <s v="Farumsødal"/>
    <n v="5262"/>
    <m/>
    <s v="Farumsødal"/>
    <x v="29"/>
    <x v="0"/>
    <x v="5"/>
    <n v="14686.82"/>
    <n v="12"/>
    <s v="2005-04-30"/>
    <n v="0"/>
    <n v="874"/>
    <n v="16.802219000000001"/>
    <n v="2"/>
    <x v="2"/>
    <n v="14686.82"/>
    <n v="6888.14"/>
    <n v="0"/>
    <s v="072049 nr 1"/>
    <s v="74112646763"/>
    <n v="14686.815000000001"/>
    <n v="0"/>
    <n v="56737"/>
  </r>
  <r>
    <x v="3"/>
    <s v="00005-1"/>
    <s v="Farumsødal"/>
    <n v="5262"/>
    <m/>
    <s v="Farumsødal"/>
    <x v="29"/>
    <x v="0"/>
    <x v="6"/>
    <n v="14514.92"/>
    <n v="12"/>
    <s v="2005-04-30"/>
    <n v="0"/>
    <n v="874"/>
    <n v="16.605560000000001"/>
    <n v="2"/>
    <x v="2"/>
    <n v="14514.92"/>
    <n v="6807.49"/>
    <n v="0"/>
    <s v="072049 nr 1"/>
    <s v="74112646763"/>
    <n v="14514.921"/>
    <n v="0"/>
    <n v="56737"/>
  </r>
  <r>
    <x v="3"/>
    <s v="00005-1"/>
    <s v="Farumsødal"/>
    <n v="5262"/>
    <m/>
    <s v="Farumsødal"/>
    <x v="29"/>
    <x v="0"/>
    <x v="6"/>
    <n v="11229.53"/>
    <n v="1"/>
    <s v="2012-01-22"/>
    <n v="0"/>
    <n v="874"/>
    <n v="12.846962"/>
    <n v="2"/>
    <x v="2"/>
    <n v="11229.53"/>
    <n v="5266.64"/>
    <n v="0"/>
    <s v="1019281 nr. 2"/>
    <s v="74112646756"/>
    <n v="11229.50798"/>
    <n v="0"/>
    <n v="56759"/>
  </r>
  <r>
    <x v="3"/>
    <s v="00731-5"/>
    <s v="Græshoppen"/>
    <n v="5264"/>
    <m/>
    <s v="Græshoppen"/>
    <x v="31"/>
    <x v="0"/>
    <x v="0"/>
    <n v="10626"/>
    <n v="5"/>
    <s v="2005-07-01"/>
    <n v="0"/>
    <n v="333"/>
    <n v="13.093995"/>
    <n v="2"/>
    <x v="2"/>
    <n v="4361.6099999999997"/>
    <n v="1744.64"/>
    <n v="0"/>
    <s v="1011237"/>
    <s v="74111463248"/>
    <n v="4361.6059999999998"/>
    <n v="0"/>
    <n v="60150"/>
  </r>
  <r>
    <x v="10"/>
    <m/>
    <s v="Skovhuset Ballerupvej 60"/>
    <n v="10190"/>
    <m/>
    <s v="Skovhuset"/>
    <x v="59"/>
    <x v="0"/>
    <x v="7"/>
    <n v="42736.35"/>
    <n v="12"/>
    <s v="2011-12-31"/>
    <n v="0"/>
    <n v="475"/>
    <n v="89.952325000000002"/>
    <n v="1"/>
    <x v="4"/>
    <n v="49397.73"/>
    <n v="10446.700000000001"/>
    <n v="0"/>
    <m/>
    <s v="98004051172"/>
    <n v="3957.07"/>
    <n v="0"/>
    <n v="77253"/>
  </r>
  <r>
    <x v="3"/>
    <s v="00731-5"/>
    <s v="Græshoppen"/>
    <n v="5264"/>
    <m/>
    <s v="Græshoppen"/>
    <x v="31"/>
    <x v="0"/>
    <x v="1"/>
    <n v="10641.25"/>
    <n v="12"/>
    <s v="2005-07-01"/>
    <n v="0"/>
    <n v="333"/>
    <n v="31.946111999999999"/>
    <n v="2"/>
    <x v="2"/>
    <n v="10641.25"/>
    <n v="4256.4799999999996"/>
    <n v="0"/>
    <s v="1011237"/>
    <s v="74111463248"/>
    <n v="10641.244000000001"/>
    <n v="0"/>
    <n v="60150"/>
  </r>
  <r>
    <x v="3"/>
    <s v="00731-5"/>
    <s v="Græshoppen"/>
    <n v="5264"/>
    <m/>
    <s v="Græshoppen"/>
    <x v="31"/>
    <x v="0"/>
    <x v="2"/>
    <n v="10942.42"/>
    <n v="12"/>
    <s v="2005-07-01"/>
    <n v="0"/>
    <n v="333"/>
    <n v="32.850254999999997"/>
    <n v="2"/>
    <x v="2"/>
    <n v="10942.42"/>
    <n v="4376.96"/>
    <n v="0"/>
    <s v="1011237"/>
    <s v="74111463248"/>
    <n v="10942.402"/>
    <n v="0"/>
    <n v="60150"/>
  </r>
  <r>
    <x v="3"/>
    <s v="00731-5"/>
    <s v="Græshoppen"/>
    <n v="5264"/>
    <m/>
    <s v="Græshoppen"/>
    <x v="31"/>
    <x v="0"/>
    <x v="3"/>
    <n v="12106.04"/>
    <n v="12"/>
    <s v="2005-07-01"/>
    <n v="0"/>
    <n v="333"/>
    <n v="36.343559999999997"/>
    <n v="2"/>
    <x v="2"/>
    <n v="12106.04"/>
    <n v="5677.73"/>
    <n v="0"/>
    <s v="1011237"/>
    <s v="74111463248"/>
    <n v="12106.0275"/>
    <n v="0"/>
    <n v="60150"/>
  </r>
  <r>
    <x v="3"/>
    <s v="00731-5"/>
    <s v="Græshoppen"/>
    <n v="5264"/>
    <m/>
    <s v="Græshoppen"/>
    <x v="31"/>
    <x v="0"/>
    <x v="4"/>
    <n v="11263.68"/>
    <n v="12"/>
    <s v="2005-07-01"/>
    <n v="0"/>
    <n v="333"/>
    <n v="33.814709999999998"/>
    <n v="2"/>
    <x v="2"/>
    <n v="11263.68"/>
    <n v="5282.67"/>
    <n v="0"/>
    <s v="1011237"/>
    <s v="74111463248"/>
    <n v="11263.683999999999"/>
    <n v="0"/>
    <n v="60150"/>
  </r>
  <r>
    <x v="3"/>
    <s v="00731-5"/>
    <s v="Græshoppen"/>
    <n v="5264"/>
    <m/>
    <s v="Græshoppen"/>
    <x v="31"/>
    <x v="0"/>
    <x v="5"/>
    <n v="11132.55"/>
    <n v="12"/>
    <s v="2005-07-01"/>
    <n v="0"/>
    <n v="333"/>
    <n v="33.421044000000002"/>
    <n v="2"/>
    <x v="2"/>
    <n v="11132.55"/>
    <n v="5221.17"/>
    <n v="0"/>
    <s v="1011237"/>
    <s v="74111463248"/>
    <n v="11132.558000000001"/>
    <n v="0"/>
    <n v="60150"/>
  </r>
  <r>
    <x v="3"/>
    <s v="00731-5"/>
    <s v="Græshoppen"/>
    <n v="5264"/>
    <m/>
    <s v="Græshoppen"/>
    <x v="31"/>
    <x v="0"/>
    <x v="6"/>
    <n v="11183.22"/>
    <n v="12"/>
    <s v="2005-07-01"/>
    <n v="0"/>
    <n v="333"/>
    <n v="33.573160999999999"/>
    <n v="2"/>
    <x v="2"/>
    <n v="11183.22"/>
    <n v="5244.93"/>
    <n v="0"/>
    <s v="1011237"/>
    <s v="74111463248"/>
    <n v="11183.214"/>
    <n v="0"/>
    <n v="60150"/>
  </r>
  <r>
    <x v="3"/>
    <m/>
    <s v="Hareskov Børnehus, Skovmose 55"/>
    <n v="9957"/>
    <m/>
    <s v="Hareskov Børnehus"/>
    <x v="33"/>
    <x v="0"/>
    <x v="0"/>
    <n v="19616"/>
    <n v="5"/>
    <s v="2011-12-31"/>
    <n v="0"/>
    <n v="646"/>
    <n v="14.905556000000001"/>
    <n v="2"/>
    <x v="2"/>
    <n v="9630.48"/>
    <n v="2889.14"/>
    <n v="0"/>
    <s v="4129902"/>
    <s v="74110485937"/>
    <n v="9630.4920000000002"/>
    <n v="0"/>
    <n v="76341"/>
  </r>
  <r>
    <x v="3"/>
    <m/>
    <s v="Hareskov Børnehus, Skovmose 55"/>
    <n v="9957"/>
    <m/>
    <s v="Hareskov Børnehus"/>
    <x v="33"/>
    <x v="0"/>
    <x v="1"/>
    <n v="22189.57"/>
    <n v="12"/>
    <s v="2011-12-31"/>
    <n v="0"/>
    <n v="646"/>
    <n v="34.343862999999999"/>
    <n v="2"/>
    <x v="2"/>
    <n v="22189.57"/>
    <n v="6656.88"/>
    <n v="0"/>
    <s v="4129902"/>
    <s v="74110485937"/>
    <n v="22189.580999999998"/>
    <n v="0"/>
    <n v="76341"/>
  </r>
  <r>
    <x v="3"/>
    <m/>
    <s v="Hareskov Børnehus, Skovmose 55"/>
    <n v="9957"/>
    <m/>
    <s v="Hareskov Børnehus"/>
    <x v="33"/>
    <x v="0"/>
    <x v="2"/>
    <n v="23472.01"/>
    <n v="12"/>
    <s v="2011-12-31"/>
    <n v="0"/>
    <n v="646"/>
    <n v="36.328757000000003"/>
    <n v="2"/>
    <x v="2"/>
    <n v="23472.01"/>
    <n v="9388.7999999999993"/>
    <n v="0"/>
    <s v="4129902"/>
    <s v="74110485937"/>
    <n v="23472.005000000001"/>
    <n v="0"/>
    <n v="76341"/>
  </r>
  <r>
    <x v="3"/>
    <m/>
    <s v="Hareskov Børnehus, Skovmose 55"/>
    <n v="9957"/>
    <m/>
    <s v="Hareskov Børnehus"/>
    <x v="33"/>
    <x v="0"/>
    <x v="3"/>
    <n v="25990.66"/>
    <n v="8"/>
    <s v="2011-12-31"/>
    <n v="0"/>
    <n v="646"/>
    <n v="40.226992000000003"/>
    <n v="2"/>
    <x v="2"/>
    <n v="25990.66"/>
    <n v="12189.6"/>
    <n v="0"/>
    <s v="4129902"/>
    <s v="74110485937"/>
    <n v="25990.647059999999"/>
    <n v="0"/>
    <n v="76341"/>
  </r>
  <r>
    <x v="3"/>
    <m/>
    <s v="Hareskov Børnehus, Skovmose 55"/>
    <n v="9957"/>
    <m/>
    <s v="Hareskov Børnehus"/>
    <x v="33"/>
    <x v="0"/>
    <x v="4"/>
    <n v="30344.27"/>
    <n v="3"/>
    <s v="2011-12-31"/>
    <n v="0"/>
    <n v="646"/>
    <n v="46.965283999999997"/>
    <n v="2"/>
    <x v="2"/>
    <n v="30344.27"/>
    <n v="14231.47"/>
    <n v="0"/>
    <s v="4129902"/>
    <s v="74110485937"/>
    <n v="30344.272570000001"/>
    <n v="0"/>
    <n v="76341"/>
  </r>
  <r>
    <x v="3"/>
    <m/>
    <s v="Hareskov Børnehus, Skovmose 55"/>
    <n v="9957"/>
    <m/>
    <s v="Hareskov Børnehus"/>
    <x v="33"/>
    <x v="0"/>
    <x v="5"/>
    <n v="29250.16"/>
    <n v="4"/>
    <s v="2011-12-31"/>
    <n v="0"/>
    <n v="646"/>
    <n v="45.271877000000003"/>
    <n v="2"/>
    <x v="2"/>
    <n v="29250.16"/>
    <n v="13718.32"/>
    <n v="0"/>
    <s v="4129902"/>
    <s v="74110485937"/>
    <n v="29250.183799999999"/>
    <n v="0"/>
    <n v="76341"/>
  </r>
  <r>
    <x v="3"/>
    <m/>
    <s v="Hareskov Børnehus, Skovmose 55"/>
    <n v="9957"/>
    <m/>
    <s v="Hareskov Børnehus"/>
    <x v="33"/>
    <x v="0"/>
    <x v="6"/>
    <n v="25123.45"/>
    <n v="5"/>
    <s v="2011-12-31"/>
    <n v="0"/>
    <n v="646"/>
    <n v="38.884770000000003"/>
    <n v="2"/>
    <x v="2"/>
    <n v="25123.45"/>
    <n v="11782.9"/>
    <n v="0"/>
    <s v="4129902"/>
    <s v="74110485937"/>
    <n v="25123.442019999999"/>
    <n v="0"/>
    <n v="76341"/>
  </r>
  <r>
    <x v="3"/>
    <s v="01215-7"/>
    <s v="Kildehuset, Hoved 41"/>
    <n v="5269"/>
    <m/>
    <s v="Kildehuset"/>
    <x v="34"/>
    <x v="0"/>
    <x v="0"/>
    <n v="26831"/>
    <n v="5"/>
    <s v="2011-09-30"/>
    <n v="0"/>
    <n v="607"/>
    <n v="17.031756999999999"/>
    <n v="2"/>
    <x v="2"/>
    <n v="10339.98"/>
    <n v="4135.99"/>
    <n v="0"/>
    <s v="23542"/>
    <s v="74111471656"/>
    <n v="10339.98"/>
    <n v="0"/>
    <n v="56815"/>
  </r>
  <r>
    <x v="3"/>
    <m/>
    <s v="Skovstjernen Børnehus, Skovlinien 23"/>
    <n v="10019"/>
    <m/>
    <s v="Skovstjernen Børnehus"/>
    <x v="45"/>
    <x v="0"/>
    <x v="7"/>
    <n v="479.7"/>
    <n v="12"/>
    <s v="2010-10-31"/>
    <n v="0"/>
    <n v="598"/>
    <n v="0.80203899999999995"/>
    <n v="3"/>
    <x v="0"/>
    <n v="479.7"/>
    <n v="383.76"/>
    <n v="0"/>
    <s v="44340"/>
    <m/>
    <n v="479.70001000000002"/>
    <n v="0"/>
    <n v="76532"/>
  </r>
  <r>
    <x v="3"/>
    <s v="01215-7"/>
    <s v="Kildehuset, Hoved 41"/>
    <n v="5269"/>
    <m/>
    <s v="Kildehuset"/>
    <x v="34"/>
    <x v="0"/>
    <x v="1"/>
    <n v="33772.78"/>
    <n v="12"/>
    <s v="2011-09-30"/>
    <n v="0"/>
    <n v="607"/>
    <n v="55.629682000000003"/>
    <n v="2"/>
    <x v="2"/>
    <n v="33772.78"/>
    <n v="13509.12"/>
    <n v="0"/>
    <s v="23542"/>
    <s v="74111471656"/>
    <n v="33772.78"/>
    <n v="0"/>
    <n v="56815"/>
  </r>
  <r>
    <x v="3"/>
    <s v="01215-7"/>
    <s v="Kildehuset, Hoved 41"/>
    <n v="5269"/>
    <m/>
    <s v="Kildehuset"/>
    <x v="34"/>
    <x v="0"/>
    <x v="2"/>
    <n v="32840.6"/>
    <n v="12"/>
    <s v="2011-09-30"/>
    <n v="0"/>
    <n v="607"/>
    <n v="54.094217999999998"/>
    <n v="2"/>
    <x v="2"/>
    <n v="32840.6"/>
    <n v="13136.26"/>
    <n v="0"/>
    <s v="23542"/>
    <s v="74111471656"/>
    <n v="32840.6"/>
    <n v="0"/>
    <n v="56815"/>
  </r>
  <r>
    <x v="3"/>
    <s v="01215-7"/>
    <s v="Kildehuset, Hoved 41"/>
    <n v="5269"/>
    <m/>
    <s v="Kildehuset"/>
    <x v="34"/>
    <x v="0"/>
    <x v="3"/>
    <n v="33024.47"/>
    <n v="5"/>
    <s v="2011-09-30"/>
    <n v="0"/>
    <n v="607"/>
    <n v="54.397084"/>
    <n v="2"/>
    <x v="2"/>
    <n v="33024.47"/>
    <n v="15488.48"/>
    <n v="0"/>
    <s v="23542"/>
    <s v="74111471656"/>
    <n v="33024.474179999997"/>
    <n v="0"/>
    <n v="56815"/>
  </r>
  <r>
    <x v="3"/>
    <s v="01215-7"/>
    <s v="Kildehuset, Hoved 41"/>
    <n v="5269"/>
    <m/>
    <s v="Kildehuset"/>
    <x v="34"/>
    <x v="0"/>
    <x v="4"/>
    <n v="30342.21"/>
    <n v="0"/>
    <s v="2011-09-30"/>
    <n v="0"/>
    <n v="607"/>
    <n v="49.978932"/>
    <n v="2"/>
    <x v="2"/>
    <n v="30342.21"/>
    <n v="14230.51"/>
    <n v="0"/>
    <s v="23542"/>
    <s v="74111471656"/>
    <n v="30342.211439999999"/>
    <n v="0"/>
    <n v="56815"/>
  </r>
  <r>
    <x v="3"/>
    <s v="01215-7"/>
    <s v="Kildehuset, Hoved 41"/>
    <n v="5269"/>
    <m/>
    <s v="Kildehuset"/>
    <x v="34"/>
    <x v="0"/>
    <x v="5"/>
    <n v="24048.1"/>
    <n v="2"/>
    <s v="2011-09-30"/>
    <n v="0"/>
    <n v="607"/>
    <n v="39.611431000000003"/>
    <n v="2"/>
    <x v="2"/>
    <n v="24048.1"/>
    <n v="11278.54"/>
    <n v="0"/>
    <s v="23542"/>
    <s v="74111471656"/>
    <n v="24048.094400000002"/>
    <n v="0"/>
    <n v="56815"/>
  </r>
  <r>
    <x v="3"/>
    <s v="01215-7"/>
    <s v="Kildehuset, Hoved 41"/>
    <n v="5269"/>
    <m/>
    <s v="Kildehuset"/>
    <x v="34"/>
    <x v="0"/>
    <x v="6"/>
    <n v="24467.63"/>
    <n v="3"/>
    <s v="2011-09-30"/>
    <n v="0"/>
    <n v="607"/>
    <n v="40.30247"/>
    <n v="2"/>
    <x v="2"/>
    <n v="24467.63"/>
    <n v="11475.32"/>
    <n v="0"/>
    <s v="23542"/>
    <s v="74111471656"/>
    <n v="24467.626769999999"/>
    <n v="0"/>
    <n v="56815"/>
  </r>
  <r>
    <x v="3"/>
    <m/>
    <s v="Kirke Værløse Børnehus, BY27"/>
    <n v="10017"/>
    <m/>
    <s v="Kirke Værløse Børnehus"/>
    <x v="35"/>
    <x v="0"/>
    <x v="0"/>
    <n v="13471"/>
    <n v="5"/>
    <m/>
    <n v="0"/>
    <n v="602"/>
    <n v="9.1622979999999998"/>
    <n v="2"/>
    <x v="2"/>
    <n v="5516.62"/>
    <n v="1654.99"/>
    <n v="0"/>
    <s v="110573"/>
    <s v="74110485906"/>
    <n v="5516.6279999999997"/>
    <n v="0"/>
    <n v="90612"/>
  </r>
  <r>
    <x v="3"/>
    <m/>
    <s v="Skovstjernen Børnehus, Skovlinien 23"/>
    <n v="10019"/>
    <m/>
    <s v="Skovstjernen Børnehus"/>
    <x v="45"/>
    <x v="0"/>
    <x v="7"/>
    <n v="26480.69"/>
    <n v="12"/>
    <s v="2010-01-31"/>
    <n v="0"/>
    <n v="598"/>
    <n v="44.274686000000003"/>
    <n v="2"/>
    <x v="2"/>
    <n v="26480.69"/>
    <n v="7944.21"/>
    <n v="0"/>
    <s v="696462-36312"/>
    <s v="74113316368"/>
    <n v="26480.686000000002"/>
    <n v="0"/>
    <n v="76531"/>
  </r>
  <r>
    <x v="3"/>
    <m/>
    <s v="Kirke Værløse Børnehus, BY27"/>
    <n v="10017"/>
    <m/>
    <s v="Kirke Værløse Børnehus"/>
    <x v="35"/>
    <x v="0"/>
    <x v="1"/>
    <n v="11211.51"/>
    <n v="12"/>
    <m/>
    <n v="0"/>
    <n v="602"/>
    <n v="18.620677000000001"/>
    <n v="2"/>
    <x v="2"/>
    <n v="11211.51"/>
    <n v="3363.44"/>
    <n v="0"/>
    <s v="110573"/>
    <s v="74110485906"/>
    <n v="11211.516"/>
    <n v="0"/>
    <n v="90612"/>
  </r>
  <r>
    <x v="3"/>
    <m/>
    <s v="Kirke Værløse Børnehus, BY27"/>
    <n v="10017"/>
    <m/>
    <s v="Kirke Værløse Børnehus"/>
    <x v="35"/>
    <x v="0"/>
    <x v="2"/>
    <n v="12190.41"/>
    <n v="12"/>
    <m/>
    <n v="0"/>
    <n v="602"/>
    <n v="20.246486999999998"/>
    <n v="2"/>
    <x v="2"/>
    <n v="12190.41"/>
    <n v="4876.16"/>
    <n v="0"/>
    <s v="110573"/>
    <s v="74110485906"/>
    <n v="12190.415999999999"/>
    <n v="0"/>
    <n v="90612"/>
  </r>
  <r>
    <x v="3"/>
    <m/>
    <s v="Kirke Værløse Børnehus, BY27"/>
    <n v="10017"/>
    <m/>
    <s v="Kirke Værløse Børnehus"/>
    <x v="35"/>
    <x v="0"/>
    <x v="3"/>
    <n v="12807.59"/>
    <n v="12"/>
    <m/>
    <n v="0"/>
    <n v="602"/>
    <n v="21.271532000000001"/>
    <n v="2"/>
    <x v="2"/>
    <n v="12807.59"/>
    <n v="6006.76"/>
    <n v="0"/>
    <s v="110573"/>
    <s v="74110485906"/>
    <n v="12807.588"/>
    <n v="0"/>
    <n v="90612"/>
  </r>
  <r>
    <x v="3"/>
    <m/>
    <s v="Kirke Værløse Børnehus, BY27"/>
    <n v="10017"/>
    <m/>
    <s v="Kirke Værløse Børnehus"/>
    <x v="35"/>
    <x v="0"/>
    <x v="4"/>
    <n v="10692.38"/>
    <n v="13"/>
    <s v="2010-10-31"/>
    <n v="0"/>
    <n v="602"/>
    <n v="17.758478"/>
    <n v="2"/>
    <x v="2"/>
    <n v="10692.38"/>
    <n v="5014.74"/>
    <n v="0"/>
    <s v="AFMELDT 1100573"/>
    <s v="74110485906"/>
    <n v="10692.380279999999"/>
    <n v="0"/>
    <n v="76519"/>
  </r>
  <r>
    <x v="3"/>
    <m/>
    <s v="Kirke Værløse Børnehus, BY27"/>
    <n v="10017"/>
    <m/>
    <s v="Kirke Værløse Børnehus"/>
    <x v="35"/>
    <x v="0"/>
    <x v="4"/>
    <n v="2481.4899999999998"/>
    <n v="2"/>
    <m/>
    <n v="0"/>
    <n v="602"/>
    <n v="4.121391"/>
    <n v="2"/>
    <x v="2"/>
    <n v="2481.4899999999998"/>
    <n v="1163.82"/>
    <n v="0"/>
    <s v="110573"/>
    <s v="74110485906"/>
    <n v="2481.4920000000002"/>
    <n v="0"/>
    <n v="90612"/>
  </r>
  <r>
    <x v="3"/>
    <m/>
    <s v="Kirke Værløse Børnehus, BY27"/>
    <n v="10017"/>
    <m/>
    <s v="Kirke Værløse Børnehus"/>
    <x v="35"/>
    <x v="0"/>
    <x v="5"/>
    <n v="13756.1"/>
    <n v="11"/>
    <s v="2010-10-31"/>
    <n v="0"/>
    <n v="602"/>
    <n v="22.846869000000002"/>
    <n v="2"/>
    <x v="2"/>
    <n v="13756.1"/>
    <n v="6451.62"/>
    <n v="0"/>
    <s v="AFMELDT 1100573"/>
    <s v="74110485906"/>
    <n v="13756.119710000001"/>
    <n v="0"/>
    <n v="76519"/>
  </r>
  <r>
    <x v="3"/>
    <m/>
    <s v="Kirke Værløse Børnehus, BY27"/>
    <n v="10017"/>
    <m/>
    <s v="Kirke Værløse Børnehus"/>
    <x v="35"/>
    <x v="0"/>
    <x v="6"/>
    <n v="14550.12"/>
    <n v="9"/>
    <s v="2010-10-31"/>
    <n v="0"/>
    <n v="602"/>
    <n v="24.165620000000001"/>
    <n v="2"/>
    <x v="2"/>
    <n v="14550.12"/>
    <n v="6823.98"/>
    <n v="0"/>
    <s v="AFMELDT 1100573"/>
    <s v="74110485906"/>
    <n v="14550.10606"/>
    <n v="0"/>
    <n v="76519"/>
  </r>
  <r>
    <x v="3"/>
    <m/>
    <s v="Kollekolle Børnehave"/>
    <n v="10164"/>
    <m/>
    <s v="Kollekolle Børnehave"/>
    <x v="36"/>
    <x v="0"/>
    <x v="0"/>
    <n v="28946"/>
    <n v="5"/>
    <s v="2009-11-30"/>
    <n v="0"/>
    <n v="219"/>
    <n v="72.795207000000005"/>
    <n v="2"/>
    <x v="2"/>
    <n v="15949.43"/>
    <n v="4784.83"/>
    <n v="0"/>
    <s v="89932-36312"/>
    <s v="74111856651"/>
    <n v="15949.433000000001"/>
    <n v="0"/>
    <n v="77153"/>
  </r>
  <r>
    <x v="3"/>
    <m/>
    <s v="Kollekolle Børnehave"/>
    <n v="10164"/>
    <m/>
    <s v="Kollekolle Børnehave"/>
    <x v="36"/>
    <x v="0"/>
    <x v="1"/>
    <n v="28610.93"/>
    <n v="12"/>
    <s v="2009-11-30"/>
    <n v="0"/>
    <n v="219"/>
    <n v="130.583888"/>
    <n v="2"/>
    <x v="2"/>
    <n v="28610.93"/>
    <n v="8583.2900000000009"/>
    <n v="0"/>
    <s v="89932-36312"/>
    <s v="74111856651"/>
    <n v="28610.914700000001"/>
    <n v="0"/>
    <n v="77153"/>
  </r>
  <r>
    <x v="3"/>
    <m/>
    <s v="Kollekolle Børnehave"/>
    <n v="10164"/>
    <m/>
    <s v="Kollekolle Børnehave"/>
    <x v="36"/>
    <x v="0"/>
    <x v="2"/>
    <n v="27144.05"/>
    <n v="12"/>
    <s v="2009-11-30"/>
    <n v="0"/>
    <n v="219"/>
    <n v="123.888863"/>
    <n v="2"/>
    <x v="2"/>
    <n v="27144.05"/>
    <n v="10857.63"/>
    <n v="0"/>
    <s v="89932-36312"/>
    <s v="74111856651"/>
    <n v="27144.049200000001"/>
    <n v="0"/>
    <n v="77153"/>
  </r>
  <r>
    <x v="3"/>
    <m/>
    <s v="Kollekolle Børnehave"/>
    <n v="10164"/>
    <m/>
    <s v="Kollekolle Børnehave"/>
    <x v="36"/>
    <x v="0"/>
    <x v="3"/>
    <n v="29574.99"/>
    <n v="12"/>
    <s v="2009-11-30"/>
    <n v="0"/>
    <n v="219"/>
    <n v="134.98397900000001"/>
    <n v="2"/>
    <x v="2"/>
    <n v="29574.99"/>
    <n v="13870.66"/>
    <n v="0"/>
    <s v="89932-36312"/>
    <s v="74111856651"/>
    <n v="29574.984"/>
    <n v="0"/>
    <n v="77153"/>
  </r>
  <r>
    <x v="3"/>
    <m/>
    <s v="Kollekolle Børnehave"/>
    <n v="10164"/>
    <m/>
    <s v="Kollekolle Børnehave"/>
    <x v="36"/>
    <x v="0"/>
    <x v="4"/>
    <n v="38538.370000000003"/>
    <n v="12"/>
    <s v="2009-11-30"/>
    <n v="0"/>
    <n v="219"/>
    <n v="175.89397500000001"/>
    <n v="2"/>
    <x v="2"/>
    <n v="38538.370000000003"/>
    <n v="18074.52"/>
    <n v="0"/>
    <s v="89932-36312"/>
    <s v="74111856651"/>
    <n v="38538.3874"/>
    <n v="0"/>
    <n v="77153"/>
  </r>
  <r>
    <x v="3"/>
    <m/>
    <s v="Kollekolle Børnehave"/>
    <n v="10164"/>
    <m/>
    <s v="Kollekolle Børnehave"/>
    <x v="36"/>
    <x v="0"/>
    <x v="5"/>
    <n v="34533.25"/>
    <n v="12"/>
    <s v="2009-11-30"/>
    <n v="0"/>
    <n v="219"/>
    <n v="157.614103"/>
    <n v="2"/>
    <x v="2"/>
    <n v="34533.25"/>
    <n v="16196.09"/>
    <n v="0"/>
    <s v="89932-36312"/>
    <s v="74111856651"/>
    <n v="34533.248890000003"/>
    <n v="0"/>
    <n v="77153"/>
  </r>
  <r>
    <x v="3"/>
    <m/>
    <s v="Kollekolle Børnehave"/>
    <n v="10164"/>
    <m/>
    <s v="Kollekolle Børnehave"/>
    <x v="36"/>
    <x v="0"/>
    <x v="6"/>
    <n v="30841.75"/>
    <n v="4"/>
    <s v="2009-11-30"/>
    <n v="0"/>
    <n v="219"/>
    <n v="140.76563200000001"/>
    <n v="2"/>
    <x v="2"/>
    <n v="30841.75"/>
    <n v="14464.78"/>
    <n v="0"/>
    <s v="89932-36312"/>
    <s v="74111856651"/>
    <n v="30841.749"/>
    <n v="0"/>
    <n v="77153"/>
  </r>
  <r>
    <x v="3"/>
    <m/>
    <s v="Krudthuset Børnehus, Bringe 26"/>
    <n v="10169"/>
    <m/>
    <s v="Krudthuset Børnehus"/>
    <x v="37"/>
    <x v="0"/>
    <x v="0"/>
    <n v="14154"/>
    <n v="5"/>
    <s v="2010-01-31"/>
    <n v="0"/>
    <n v="721"/>
    <n v="8.1318809999999999"/>
    <n v="2"/>
    <x v="2"/>
    <n v="5863.9"/>
    <n v="1759.17"/>
    <n v="0"/>
    <s v="024091"/>
    <s v="74110486040"/>
    <n v="5863.8959999999997"/>
    <n v="0"/>
    <n v="77180"/>
  </r>
  <r>
    <x v="3"/>
    <m/>
    <s v="Krudthuset Børnehus, Bringe 26"/>
    <n v="10169"/>
    <m/>
    <s v="Krudthuset Børnehus"/>
    <x v="37"/>
    <x v="0"/>
    <x v="1"/>
    <n v="11531.39"/>
    <n v="12"/>
    <s v="2010-01-31"/>
    <n v="0"/>
    <n v="721"/>
    <n v="15.991388000000001"/>
    <n v="2"/>
    <x v="2"/>
    <n v="11531.39"/>
    <n v="3459.41"/>
    <n v="0"/>
    <s v="024091"/>
    <s v="74110486040"/>
    <n v="11531.388000000001"/>
    <n v="0"/>
    <n v="77180"/>
  </r>
  <r>
    <x v="3"/>
    <m/>
    <s v="Krudthuset Børnehus, Bringe 26"/>
    <n v="10169"/>
    <m/>
    <s v="Krudthuset Børnehus"/>
    <x v="37"/>
    <x v="0"/>
    <x v="2"/>
    <n v="12713.38"/>
    <n v="12"/>
    <s v="2010-01-31"/>
    <n v="0"/>
    <n v="721"/>
    <n v="17.630535999999999"/>
    <n v="2"/>
    <x v="2"/>
    <n v="12713.38"/>
    <n v="5085.3599999999997"/>
    <n v="0"/>
    <s v="024091"/>
    <s v="74110486040"/>
    <n v="12713.394"/>
    <n v="0"/>
    <n v="77180"/>
  </r>
  <r>
    <x v="3"/>
    <m/>
    <s v="Krudthuset Børnehus, Bringe 26"/>
    <n v="10169"/>
    <m/>
    <s v="Krudthuset Børnehus"/>
    <x v="37"/>
    <x v="0"/>
    <x v="3"/>
    <n v="14083.03"/>
    <n v="12"/>
    <s v="2010-01-31"/>
    <n v="0"/>
    <n v="721"/>
    <n v="19.529926"/>
    <n v="2"/>
    <x v="2"/>
    <n v="14083.03"/>
    <n v="6604.93"/>
    <n v="0"/>
    <s v="024091"/>
    <s v="74110486040"/>
    <n v="14083.018"/>
    <n v="0"/>
    <n v="77180"/>
  </r>
  <r>
    <x v="3"/>
    <m/>
    <s v="Krudthuset Børnehus, Bringe 26"/>
    <n v="10169"/>
    <m/>
    <s v="Krudthuset Børnehus"/>
    <x v="37"/>
    <x v="0"/>
    <x v="4"/>
    <n v="14720.11"/>
    <n v="12"/>
    <s v="2010-01-31"/>
    <n v="0"/>
    <n v="721"/>
    <n v="20.413409999999999"/>
    <n v="2"/>
    <x v="2"/>
    <n v="14720.11"/>
    <n v="6903.75"/>
    <n v="0"/>
    <s v="024091"/>
    <s v="74110486040"/>
    <n v="14720.108920000001"/>
    <n v="0"/>
    <n v="77180"/>
  </r>
  <r>
    <x v="3"/>
    <m/>
    <s v="Krudthuset Børnehus, Bringe 26"/>
    <n v="10169"/>
    <m/>
    <s v="Krudthuset Børnehus"/>
    <x v="37"/>
    <x v="0"/>
    <x v="5"/>
    <n v="14437.23"/>
    <n v="4"/>
    <s v="2010-01-31"/>
    <n v="0"/>
    <n v="721"/>
    <n v="20.02112"/>
    <n v="2"/>
    <x v="2"/>
    <n v="14437.23"/>
    <n v="6771.08"/>
    <n v="0"/>
    <s v="024091"/>
    <s v="74110486040"/>
    <n v="14437.25361"/>
    <n v="0"/>
    <n v="77180"/>
  </r>
  <r>
    <x v="3"/>
    <m/>
    <s v="Krudthuset Børnehus, Bringe 26"/>
    <n v="10169"/>
    <m/>
    <s v="Krudthuset Børnehus"/>
    <x v="37"/>
    <x v="0"/>
    <x v="6"/>
    <n v="12727.53"/>
    <n v="6"/>
    <s v="2010-01-31"/>
    <n v="0"/>
    <n v="721"/>
    <n v="17.650158999999999"/>
    <n v="2"/>
    <x v="2"/>
    <n v="12727.53"/>
    <n v="5969.21"/>
    <n v="0"/>
    <s v="024091"/>
    <s v="74110486040"/>
    <n v="12727.54578"/>
    <n v="0"/>
    <n v="77180"/>
  </r>
  <r>
    <x v="3"/>
    <m/>
    <s v="Kærnehuset, Paltholmterrasserne 6A"/>
    <n v="5949"/>
    <m/>
    <s v="Kærnehuset"/>
    <x v="58"/>
    <x v="0"/>
    <x v="0"/>
    <n v="34855"/>
    <n v="5"/>
    <m/>
    <n v="0"/>
    <n v="687"/>
    <n v="22.353645"/>
    <n v="2"/>
    <x v="2"/>
    <n v="15359.19"/>
    <n v="4607.75"/>
    <n v="0"/>
    <s v="3105510"/>
    <s v="74111745771"/>
    <n v="15359.183000000001"/>
    <n v="0"/>
    <n v="91922"/>
  </r>
  <r>
    <x v="3"/>
    <m/>
    <s v="Kærnehuset, Paltholmterrasserne 6A"/>
    <n v="5949"/>
    <m/>
    <s v="Kærnehuset"/>
    <x v="58"/>
    <x v="0"/>
    <x v="1"/>
    <n v="32002.53"/>
    <n v="12"/>
    <m/>
    <n v="0"/>
    <n v="687"/>
    <n v="46.576233000000002"/>
    <n v="2"/>
    <x v="2"/>
    <n v="32002.53"/>
    <n v="9600.74"/>
    <n v="0"/>
    <s v="3105510"/>
    <s v="74111745771"/>
    <n v="32002.527999999998"/>
    <n v="0"/>
    <n v="91922"/>
  </r>
  <r>
    <x v="3"/>
    <m/>
    <s v="Kærnehuset, Paltholmterrasserne 6A"/>
    <n v="5949"/>
    <m/>
    <s v="Kærnehuset"/>
    <x v="58"/>
    <x v="0"/>
    <x v="2"/>
    <n v="7065.66"/>
    <n v="3"/>
    <s v="2012-02-29"/>
    <n v="0"/>
    <n v="687"/>
    <n v="10.283306"/>
    <n v="2"/>
    <x v="2"/>
    <n v="7065.66"/>
    <n v="2826.27"/>
    <n v="0"/>
    <s v="3105510"/>
    <s v="74111745771"/>
    <n v="7065.6637199999996"/>
    <n v="0"/>
    <n v="77230"/>
  </r>
  <r>
    <x v="3"/>
    <m/>
    <s v="Kærnehuset, Paltholmterrasserne 6A"/>
    <n v="5949"/>
    <m/>
    <s v="Kærnehuset"/>
    <x v="58"/>
    <x v="0"/>
    <x v="2"/>
    <n v="25335.62"/>
    <n v="10"/>
    <m/>
    <n v="0"/>
    <n v="687"/>
    <n v="36.873263999999999"/>
    <n v="2"/>
    <x v="2"/>
    <n v="25335.62"/>
    <n v="10134.25"/>
    <n v="0"/>
    <s v="3105510"/>
    <s v="74111745771"/>
    <n v="25335.62"/>
    <n v="0"/>
    <n v="91922"/>
  </r>
  <r>
    <x v="3"/>
    <m/>
    <s v="Kærnehuset, Paltholmterrasserne 6A"/>
    <n v="5949"/>
    <m/>
    <s v="Kærnehuset"/>
    <x v="58"/>
    <x v="0"/>
    <x v="3"/>
    <n v="33510.11"/>
    <n v="5"/>
    <s v="2012-02-29"/>
    <n v="0"/>
    <n v="687"/>
    <n v="48.770353"/>
    <n v="2"/>
    <x v="2"/>
    <n v="33510.11"/>
    <n v="15716.27"/>
    <n v="0"/>
    <s v="3105510"/>
    <s v="74111745771"/>
    <n v="33510.125749999999"/>
    <n v="0"/>
    <n v="77230"/>
  </r>
  <r>
    <x v="3"/>
    <m/>
    <s v="Kærnehuset, Paltholmterrasserne 6A"/>
    <n v="5949"/>
    <m/>
    <s v="Kærnehuset"/>
    <x v="58"/>
    <x v="0"/>
    <x v="4"/>
    <n v="36074.47"/>
    <n v="7"/>
    <s v="2012-02-29"/>
    <n v="0"/>
    <n v="687"/>
    <n v="52.502502999999997"/>
    <n v="2"/>
    <x v="2"/>
    <n v="36074.47"/>
    <n v="16918.93"/>
    <n v="0"/>
    <s v="3105510"/>
    <s v="74111745771"/>
    <n v="36074.462639999998"/>
    <n v="0"/>
    <n v="77230"/>
  </r>
  <r>
    <x v="3"/>
    <m/>
    <s v="Kærnehuset, Paltholmterrasserne 6A"/>
    <n v="5949"/>
    <m/>
    <s v="Kærnehuset"/>
    <x v="58"/>
    <x v="0"/>
    <x v="5"/>
    <n v="36044.35"/>
    <n v="2"/>
    <s v="2012-02-29"/>
    <n v="0"/>
    <n v="687"/>
    <n v="52.458666000000001"/>
    <n v="2"/>
    <x v="2"/>
    <n v="36044.35"/>
    <n v="16904.82"/>
    <n v="0"/>
    <s v="3105510"/>
    <s v="74111745771"/>
    <n v="36044.333550000003"/>
    <n v="0"/>
    <n v="77230"/>
  </r>
  <r>
    <x v="3"/>
    <m/>
    <s v="Kærnehuset, Paltholmterrasserne 6A"/>
    <n v="5949"/>
    <m/>
    <s v="Kærnehuset"/>
    <x v="58"/>
    <x v="0"/>
    <x v="6"/>
    <n v="27045.41"/>
    <n v="3"/>
    <s v="2012-02-29"/>
    <n v="0"/>
    <n v="687"/>
    <n v="39.361679000000002"/>
    <n v="2"/>
    <x v="2"/>
    <n v="27045.41"/>
    <n v="12684.31"/>
    <n v="0"/>
    <s v="3105510"/>
    <s v="74111745771"/>
    <n v="27045.414369999999"/>
    <n v="0"/>
    <n v="77230"/>
  </r>
  <r>
    <x v="3"/>
    <m/>
    <s v="Kærnehuset, Paltholmterrasserne 6A"/>
    <n v="5949"/>
    <m/>
    <s v="Kærnehuset"/>
    <x v="58"/>
    <x v="0"/>
    <x v="6"/>
    <n v="9701.6299999999992"/>
    <n v="3"/>
    <s v="2008-03-12"/>
    <n v="0"/>
    <n v="687"/>
    <n v="14.119676"/>
    <n v="2"/>
    <x v="2"/>
    <n v="9701.6299999999992"/>
    <n v="4550.0600000000004"/>
    <n v="0"/>
    <s v="023561"/>
    <m/>
    <n v="9701.6279099999992"/>
    <n v="0"/>
    <n v="59965"/>
  </r>
  <r>
    <x v="3"/>
    <s v="04730-9"/>
    <s v="Mælkebøtten, Hvilebækgårdsvej 15"/>
    <n v="5447"/>
    <m/>
    <s v="Mælkebøtten"/>
    <x v="38"/>
    <x v="0"/>
    <x v="0"/>
    <n v="20402"/>
    <n v="5"/>
    <s v="2005-05-01"/>
    <n v="0"/>
    <n v="480"/>
    <n v="18.615663000000001"/>
    <n v="2"/>
    <x v="2"/>
    <n v="8937.3799999999992"/>
    <n v="3574.96"/>
    <n v="0"/>
    <s v="77664"/>
    <s v="74112066509"/>
    <n v="8937.3880000000008"/>
    <n v="0"/>
    <n v="57505"/>
  </r>
  <r>
    <x v="3"/>
    <m/>
    <s v="Solbjerg Børnehus"/>
    <n v="10056"/>
    <m/>
    <s v="Solbjerg Børnehus"/>
    <x v="46"/>
    <x v="0"/>
    <x v="7"/>
    <n v="65675"/>
    <n v="12"/>
    <s v="2011-11-30"/>
    <n v="0"/>
    <n v="836"/>
    <n v="78.549216000000001"/>
    <n v="1"/>
    <x v="5"/>
    <n v="77726.320000000007"/>
    <n v="4.9800000000000004"/>
    <n v="0"/>
    <s v="601132"/>
    <m/>
    <n v="65.674999999999997"/>
    <n v="0"/>
    <n v="89456"/>
  </r>
  <r>
    <x v="3"/>
    <s v="04730-9"/>
    <s v="Mælkebøtten, Hvilebækgårdsvej 15"/>
    <n v="5447"/>
    <m/>
    <s v="Mælkebøtten"/>
    <x v="38"/>
    <x v="0"/>
    <x v="1"/>
    <n v="22894.16"/>
    <n v="12"/>
    <s v="2005-05-01"/>
    <n v="0"/>
    <n v="480"/>
    <n v="47.686231999999997"/>
    <n v="2"/>
    <x v="2"/>
    <n v="22894.16"/>
    <n v="9157.67"/>
    <n v="0"/>
    <s v="77664"/>
    <s v="74112066509"/>
    <n v="22894.141"/>
    <n v="0"/>
    <n v="57505"/>
  </r>
  <r>
    <x v="3"/>
    <s v="04730-9"/>
    <s v="Mælkebøtten, Hvilebækgårdsvej 15"/>
    <n v="5447"/>
    <m/>
    <s v="Mælkebøtten"/>
    <x v="38"/>
    <x v="0"/>
    <x v="2"/>
    <n v="26278.82"/>
    <n v="12"/>
    <s v="2005-05-01"/>
    <n v="0"/>
    <n v="480"/>
    <n v="54.736137999999997"/>
    <n v="2"/>
    <x v="2"/>
    <n v="26278.82"/>
    <n v="10511.53"/>
    <n v="0"/>
    <s v="77664"/>
    <s v="74112066509"/>
    <n v="26278.821"/>
    <n v="0"/>
    <n v="57505"/>
  </r>
  <r>
    <x v="3"/>
    <s v="04730-9"/>
    <s v="Mælkebøtten, Hvilebækgårdsvej 15"/>
    <n v="5447"/>
    <m/>
    <s v="Mælkebøtten"/>
    <x v="38"/>
    <x v="0"/>
    <x v="3"/>
    <n v="24208.6"/>
    <n v="12"/>
    <s v="2005-05-01"/>
    <n v="0"/>
    <n v="480"/>
    <n v="50.424078000000002"/>
    <n v="2"/>
    <x v="2"/>
    <n v="24208.6"/>
    <n v="11353.82"/>
    <n v="0"/>
    <s v="77664"/>
    <s v="74112066509"/>
    <n v="24208.607"/>
    <n v="0"/>
    <n v="57505"/>
  </r>
  <r>
    <x v="3"/>
    <s v="04730-9"/>
    <s v="Mælkebøtten, Hvilebækgårdsvej 15"/>
    <n v="5447"/>
    <m/>
    <s v="Mælkebøtten"/>
    <x v="38"/>
    <x v="0"/>
    <x v="4"/>
    <n v="23328.880000000001"/>
    <n v="12"/>
    <s v="2005-05-01"/>
    <n v="0"/>
    <n v="480"/>
    <n v="48.591709999999999"/>
    <n v="2"/>
    <x v="2"/>
    <n v="23328.880000000001"/>
    <n v="10941.24"/>
    <n v="0"/>
    <s v="77664"/>
    <s v="74112066509"/>
    <n v="23328.89"/>
    <n v="0"/>
    <n v="57505"/>
  </r>
  <r>
    <x v="3"/>
    <s v="04730-9"/>
    <s v="Mælkebøtten, Hvilebækgårdsvej 15"/>
    <n v="5447"/>
    <m/>
    <s v="Mælkebøtten"/>
    <x v="38"/>
    <x v="0"/>
    <x v="5"/>
    <n v="22078.639999999999"/>
    <n v="12"/>
    <s v="2005-05-01"/>
    <n v="0"/>
    <n v="480"/>
    <n v="45.987585000000003"/>
    <n v="2"/>
    <x v="2"/>
    <n v="22078.639999999999"/>
    <n v="10354.879999999999"/>
    <n v="0"/>
    <s v="77664"/>
    <s v="74112066509"/>
    <n v="22078.634999999998"/>
    <n v="0"/>
    <n v="57505"/>
  </r>
  <r>
    <x v="3"/>
    <s v="04730-9"/>
    <s v="Mælkebøtten, Hvilebækgårdsvej 15"/>
    <n v="5447"/>
    <m/>
    <s v="Mælkebøtten"/>
    <x v="38"/>
    <x v="0"/>
    <x v="6"/>
    <n v="22232.46"/>
    <n v="12"/>
    <s v="2005-05-01"/>
    <n v="0"/>
    <n v="480"/>
    <n v="46.307977000000001"/>
    <n v="2"/>
    <x v="2"/>
    <n v="22232.46"/>
    <n v="10427.030000000001"/>
    <n v="0"/>
    <s v="77664"/>
    <s v="74112066509"/>
    <n v="22232.455999999998"/>
    <n v="0"/>
    <n v="57505"/>
  </r>
  <r>
    <x v="3"/>
    <s v="04196-6"/>
    <s v="Nordvænget Ryttergårdsvej 48"/>
    <n v="5272"/>
    <m/>
    <s v="Nordvænget"/>
    <x v="41"/>
    <x v="0"/>
    <x v="0"/>
    <n v="24497"/>
    <n v="5"/>
    <s v="2005-02-01"/>
    <n v="0"/>
    <n v="541"/>
    <n v="18.599131"/>
    <n v="2"/>
    <x v="2"/>
    <n v="10063.99"/>
    <n v="4025.6"/>
    <n v="0"/>
    <s v="48169"/>
    <s v="74111788310"/>
    <n v="10063.995999999999"/>
    <n v="0"/>
    <n v="56836"/>
  </r>
  <r>
    <x v="3"/>
    <m/>
    <s v="Solbjerg Børnehus"/>
    <n v="10056"/>
    <m/>
    <s v="Solbjerg Børnehus"/>
    <x v="46"/>
    <x v="0"/>
    <x v="0"/>
    <n v="1693.5"/>
    <n v="5"/>
    <m/>
    <n v="0"/>
    <n v="836"/>
    <m/>
    <n v="3"/>
    <x v="0"/>
    <m/>
    <m/>
    <n v="0"/>
    <s v="0219"/>
    <m/>
    <m/>
    <n v="0"/>
    <n v="83881"/>
  </r>
  <r>
    <x v="3"/>
    <m/>
    <s v="Solbjerg Børnehus"/>
    <n v="10056"/>
    <m/>
    <s v="Solbjerg Børnehus"/>
    <x v="46"/>
    <x v="0"/>
    <x v="7"/>
    <n v="452.15"/>
    <n v="5"/>
    <s v="2014-12-10"/>
    <n v="0"/>
    <n v="836"/>
    <n v="0.54078400000000004"/>
    <n v="3"/>
    <x v="0"/>
    <n v="452.15"/>
    <n v="361.72"/>
    <n v="0"/>
    <s v="0219"/>
    <m/>
    <n v="452.14150000000001"/>
    <n v="0"/>
    <n v="83881"/>
  </r>
  <r>
    <x v="3"/>
    <s v="04196-6"/>
    <s v="Nordvænget Ryttergårdsvej 48"/>
    <n v="5272"/>
    <m/>
    <s v="Nordvænget"/>
    <x v="41"/>
    <x v="0"/>
    <x v="1"/>
    <n v="25050.89"/>
    <n v="12"/>
    <s v="2005-02-01"/>
    <n v="0"/>
    <n v="541"/>
    <n v="46.296228999999997"/>
    <n v="2"/>
    <x v="2"/>
    <n v="25050.89"/>
    <n v="10020.35"/>
    <n v="0"/>
    <s v="48169"/>
    <s v="74111788310"/>
    <n v="25050.886999999999"/>
    <n v="0"/>
    <n v="56836"/>
  </r>
  <r>
    <x v="3"/>
    <s v="04196-6"/>
    <s v="Nordvænget Ryttergårdsvej 48"/>
    <n v="5272"/>
    <m/>
    <s v="Nordvænget"/>
    <x v="41"/>
    <x v="0"/>
    <x v="2"/>
    <n v="25248.49"/>
    <n v="12"/>
    <s v="2005-02-01"/>
    <n v="0"/>
    <n v="541"/>
    <n v="46.661411000000001"/>
    <n v="2"/>
    <x v="2"/>
    <n v="25248.49"/>
    <n v="10099.41"/>
    <n v="0"/>
    <s v="48169"/>
    <s v="74111788310"/>
    <n v="25248.502"/>
    <n v="0"/>
    <n v="56836"/>
  </r>
  <r>
    <x v="3"/>
    <s v="04196-6"/>
    <s v="Nordvænget Ryttergårdsvej 48"/>
    <n v="5272"/>
    <m/>
    <s v="Nordvænget"/>
    <x v="41"/>
    <x v="0"/>
    <x v="3"/>
    <n v="26910.55"/>
    <n v="12"/>
    <s v="2005-02-01"/>
    <n v="0"/>
    <n v="541"/>
    <n v="49.733043000000002"/>
    <n v="2"/>
    <x v="2"/>
    <n v="26910.55"/>
    <n v="12621.04"/>
    <n v="0"/>
    <s v="48169"/>
    <s v="74111788310"/>
    <n v="26910.531999999999"/>
    <n v="0"/>
    <n v="56836"/>
  </r>
  <r>
    <x v="3"/>
    <s v="04196-6"/>
    <s v="Nordvænget Ryttergårdsvej 48"/>
    <n v="5272"/>
    <m/>
    <s v="Nordvænget"/>
    <x v="41"/>
    <x v="0"/>
    <x v="4"/>
    <n v="28415.11"/>
    <n v="12"/>
    <s v="2005-02-01"/>
    <n v="0"/>
    <n v="541"/>
    <n v="52.513601000000001"/>
    <n v="2"/>
    <x v="2"/>
    <n v="28415.11"/>
    <n v="13326.67"/>
    <n v="0"/>
    <s v="48169"/>
    <s v="74111788310"/>
    <n v="28415.095000000001"/>
    <n v="0"/>
    <n v="56836"/>
  </r>
  <r>
    <x v="3"/>
    <s v="04196-6"/>
    <s v="Nordvænget Ryttergårdsvej 48"/>
    <n v="5272"/>
    <m/>
    <s v="Nordvænget"/>
    <x v="41"/>
    <x v="0"/>
    <x v="5"/>
    <n v="29909.25"/>
    <n v="12"/>
    <s v="2005-02-01"/>
    <n v="0"/>
    <n v="541"/>
    <n v="55.274901999999997"/>
    <n v="2"/>
    <x v="2"/>
    <n v="29909.25"/>
    <n v="14027.46"/>
    <n v="0"/>
    <s v="48169"/>
    <s v="74111788310"/>
    <n v="29909.274000000001"/>
    <n v="0"/>
    <n v="56836"/>
  </r>
  <r>
    <x v="3"/>
    <s v="04196-6"/>
    <s v="Nordvænget Ryttergårdsvej 48"/>
    <n v="5272"/>
    <m/>
    <s v="Nordvænget"/>
    <x v="41"/>
    <x v="0"/>
    <x v="6"/>
    <n v="29314.07"/>
    <n v="12"/>
    <s v="2005-02-01"/>
    <n v="0"/>
    <n v="541"/>
    <n v="54.174957999999997"/>
    <n v="2"/>
    <x v="2"/>
    <n v="29314.07"/>
    <n v="13748.29"/>
    <n v="0"/>
    <s v="48169"/>
    <s v="74111788310"/>
    <n v="29314.066999999999"/>
    <n v="0"/>
    <n v="56836"/>
  </r>
  <r>
    <x v="3"/>
    <m/>
    <s v="Nørreskoven, Højloft Vænge 46"/>
    <n v="9952"/>
    <m/>
    <s v="Nørreskoven"/>
    <x v="42"/>
    <x v="0"/>
    <x v="0"/>
    <n v="11484"/>
    <n v="5"/>
    <s v="2010-10-31"/>
    <n v="0"/>
    <n v="473"/>
    <n v="9.4862179999999992"/>
    <n v="2"/>
    <x v="2"/>
    <n v="4487.93"/>
    <n v="1346.38"/>
    <n v="0"/>
    <s v="707681"/>
    <s v="74111637991"/>
    <n v="4487.9219999999996"/>
    <n v="0"/>
    <n v="76304"/>
  </r>
  <r>
    <x v="3"/>
    <m/>
    <s v="Solbjerg Børnehus"/>
    <n v="10056"/>
    <m/>
    <s v="Solbjerg Børnehus"/>
    <x v="46"/>
    <x v="0"/>
    <x v="7"/>
    <n v="29030.31"/>
    <n v="12"/>
    <m/>
    <n v="0"/>
    <n v="836"/>
    <n v="34.721097"/>
    <n v="2"/>
    <x v="2"/>
    <n v="29030.31"/>
    <n v="8709.09"/>
    <n v="0"/>
    <s v="52569"/>
    <s v="74113803486"/>
    <n v="29030.326000000001"/>
    <n v="0"/>
    <n v="90613"/>
  </r>
  <r>
    <x v="3"/>
    <m/>
    <s v="Nørreskoven, Højloft Vænge 46"/>
    <n v="9952"/>
    <m/>
    <s v="Nørreskoven"/>
    <x v="42"/>
    <x v="0"/>
    <x v="1"/>
    <n v="10375.9"/>
    <n v="12"/>
    <s v="2010-10-31"/>
    <n v="0"/>
    <n v="473"/>
    <n v="21.931726000000001"/>
    <n v="2"/>
    <x v="2"/>
    <n v="10375.9"/>
    <n v="3112.76"/>
    <n v="0"/>
    <s v="707681"/>
    <s v="74111637991"/>
    <n v="10375.894"/>
    <n v="0"/>
    <n v="76304"/>
  </r>
  <r>
    <x v="3"/>
    <m/>
    <s v="Nørreskoven, Højloft Vænge 46"/>
    <n v="9952"/>
    <m/>
    <s v="Nørreskoven"/>
    <x v="42"/>
    <x v="0"/>
    <x v="2"/>
    <n v="10323.9"/>
    <n v="12"/>
    <s v="2010-10-31"/>
    <n v="0"/>
    <n v="473"/>
    <n v="21.821812999999999"/>
    <n v="2"/>
    <x v="2"/>
    <n v="10323.9"/>
    <n v="4129.54"/>
    <n v="0"/>
    <s v="707681"/>
    <s v="74111637991"/>
    <n v="10323.885"/>
    <n v="0"/>
    <n v="76304"/>
  </r>
  <r>
    <x v="3"/>
    <m/>
    <s v="Nørreskoven, Højloft Vænge 46"/>
    <n v="9952"/>
    <m/>
    <s v="Nørreskoven"/>
    <x v="42"/>
    <x v="0"/>
    <x v="3"/>
    <n v="10788.5"/>
    <n v="12"/>
    <s v="2010-10-31"/>
    <n v="0"/>
    <n v="473"/>
    <n v="22.803846"/>
    <n v="2"/>
    <x v="2"/>
    <n v="10788.5"/>
    <n v="5059.8100000000004"/>
    <n v="0"/>
    <s v="707681"/>
    <s v="74111637991"/>
    <n v="10788.512000000001"/>
    <n v="0"/>
    <n v="76304"/>
  </r>
  <r>
    <x v="3"/>
    <m/>
    <s v="Nørreskoven, Højloft Vænge 46"/>
    <n v="9952"/>
    <m/>
    <s v="Nørreskoven"/>
    <x v="42"/>
    <x v="0"/>
    <x v="4"/>
    <n v="12031.31"/>
    <n v="5"/>
    <s v="2010-10-31"/>
    <n v="0"/>
    <n v="473"/>
    <n v="25.430796000000001"/>
    <n v="2"/>
    <x v="2"/>
    <n v="12031.31"/>
    <n v="5642.68"/>
    <n v="0"/>
    <s v="707681"/>
    <s v="74111637991"/>
    <n v="12031.316339999999"/>
    <n v="0"/>
    <n v="76304"/>
  </r>
  <r>
    <x v="3"/>
    <m/>
    <s v="Nørreskoven, Højloft Vænge 46"/>
    <n v="9952"/>
    <m/>
    <s v="Nørreskoven"/>
    <x v="42"/>
    <x v="0"/>
    <x v="5"/>
    <n v="12804.3"/>
    <n v="7"/>
    <s v="2010-10-31"/>
    <n v="0"/>
    <n v="473"/>
    <n v="27.064679000000002"/>
    <n v="2"/>
    <x v="2"/>
    <n v="12804.3"/>
    <n v="6005.2"/>
    <n v="0"/>
    <s v="707681"/>
    <s v="74111637991"/>
    <n v="12804.29473"/>
    <n v="0"/>
    <n v="76304"/>
  </r>
  <r>
    <x v="3"/>
    <m/>
    <s v="Nørreskoven, Højloft Vænge 46"/>
    <n v="9952"/>
    <m/>
    <s v="Nørreskoven"/>
    <x v="42"/>
    <x v="0"/>
    <x v="6"/>
    <n v="12969.62"/>
    <n v="3"/>
    <s v="2010-10-31"/>
    <n v="0"/>
    <n v="473"/>
    <n v="27.414118999999999"/>
    <n v="2"/>
    <x v="2"/>
    <n v="12969.62"/>
    <n v="6082.76"/>
    <n v="0"/>
    <s v="707681"/>
    <s v="74111637991"/>
    <n v="12969.6198"/>
    <n v="0"/>
    <n v="76304"/>
  </r>
  <r>
    <x v="3"/>
    <s v="02587-9"/>
    <s v="Paletten, tidl. Vallhalla Ryttergårdsvej 106"/>
    <n v="5277"/>
    <m/>
    <s v="Paletten, tidl. Vallhalla"/>
    <x v="43"/>
    <x v="0"/>
    <x v="0"/>
    <n v="21968"/>
    <n v="5"/>
    <s v="2005-05-01"/>
    <n v="0"/>
    <n v="585"/>
    <n v="15.088616999999999"/>
    <n v="2"/>
    <x v="2"/>
    <n v="8828.35"/>
    <n v="3531.34"/>
    <n v="0"/>
    <s v="88167"/>
    <s v="74113391723"/>
    <n v="8828.3529999999992"/>
    <n v="0"/>
    <n v="56867"/>
  </r>
  <r>
    <x v="3"/>
    <s v="02587-9"/>
    <s v="Paletten, tidl. Vallhalla Ryttergårdsvej 106"/>
    <n v="5277"/>
    <m/>
    <s v="Paletten, tidl. Vallhalla"/>
    <x v="43"/>
    <x v="0"/>
    <x v="1"/>
    <n v="31097.33"/>
    <n v="12"/>
    <s v="2005-05-01"/>
    <n v="0"/>
    <n v="585"/>
    <n v="53.148743000000003"/>
    <n v="2"/>
    <x v="2"/>
    <n v="31097.33"/>
    <n v="12438.93"/>
    <n v="0"/>
    <s v="88167"/>
    <s v="74113391723"/>
    <n v="31097.335999999999"/>
    <n v="0"/>
    <n v="56867"/>
  </r>
  <r>
    <x v="3"/>
    <s v="02587-9"/>
    <s v="Paletten, tidl. Vallhalla Ryttergårdsvej 106"/>
    <n v="5277"/>
    <m/>
    <s v="Paletten, tidl. Vallhalla"/>
    <x v="43"/>
    <x v="0"/>
    <x v="2"/>
    <n v="23652.01"/>
    <n v="12"/>
    <s v="2005-05-01"/>
    <n v="0"/>
    <n v="585"/>
    <n v="40.423876"/>
    <n v="2"/>
    <x v="2"/>
    <n v="23652.01"/>
    <n v="9460.7900000000009"/>
    <n v="0"/>
    <s v="88167"/>
    <s v="74113391723"/>
    <n v="23652.01"/>
    <n v="0"/>
    <n v="56867"/>
  </r>
  <r>
    <x v="3"/>
    <s v="02587-9"/>
    <s v="Paletten, tidl. Vallhalla Ryttergårdsvej 106"/>
    <n v="5277"/>
    <m/>
    <s v="Paletten, tidl. Vallhalla"/>
    <x v="43"/>
    <x v="0"/>
    <x v="3"/>
    <n v="25426.71"/>
    <n v="12"/>
    <s v="2005-05-01"/>
    <n v="0"/>
    <n v="585"/>
    <n v="43.457031999999998"/>
    <n v="2"/>
    <x v="2"/>
    <n v="25426.71"/>
    <n v="11925.09"/>
    <n v="0"/>
    <s v="88167"/>
    <s v="74113391723"/>
    <n v="25426.698"/>
    <n v="0"/>
    <n v="56867"/>
  </r>
  <r>
    <x v="3"/>
    <s v="02587-9"/>
    <s v="Paletten, tidl. Vallhalla Ryttergårdsvej 106"/>
    <n v="5277"/>
    <m/>
    <s v="Paletten, tidl. Vallhalla"/>
    <x v="43"/>
    <x v="0"/>
    <x v="4"/>
    <n v="31330.09"/>
    <n v="12"/>
    <s v="2005-05-01"/>
    <n v="0"/>
    <n v="585"/>
    <n v="53.546556000000002"/>
    <n v="2"/>
    <x v="2"/>
    <n v="31330.09"/>
    <n v="14693.82"/>
    <n v="0"/>
    <s v="88167"/>
    <s v="74113391723"/>
    <n v="31330.082999999999"/>
    <n v="0"/>
    <n v="56867"/>
  </r>
  <r>
    <x v="3"/>
    <s v="02587-9"/>
    <s v="Paletten, tidl. Vallhalla Ryttergårdsvej 106"/>
    <n v="5277"/>
    <m/>
    <s v="Paletten, tidl. Vallhalla"/>
    <x v="43"/>
    <x v="0"/>
    <x v="5"/>
    <n v="27805.31"/>
    <n v="12"/>
    <s v="2005-05-01"/>
    <n v="0"/>
    <n v="585"/>
    <n v="47.522320000000001"/>
    <n v="2"/>
    <x v="2"/>
    <n v="27805.31"/>
    <n v="13040.7"/>
    <n v="0"/>
    <s v="88167"/>
    <s v="74113391723"/>
    <n v="27805.31"/>
    <n v="0"/>
    <n v="56867"/>
  </r>
  <r>
    <x v="3"/>
    <s v="02587-9"/>
    <s v="Paletten, tidl. Vallhalla Ryttergårdsvej 106"/>
    <n v="5277"/>
    <m/>
    <s v="Paletten, tidl. Vallhalla"/>
    <x v="43"/>
    <x v="0"/>
    <x v="6"/>
    <n v="29113.47"/>
    <n v="12"/>
    <s v="2005-05-01"/>
    <n v="0"/>
    <n v="585"/>
    <n v="49.758108999999997"/>
    <n v="2"/>
    <x v="2"/>
    <n v="29113.47"/>
    <n v="13654.21"/>
    <n v="0"/>
    <s v="88167"/>
    <s v="74113391723"/>
    <n v="29113.467000000001"/>
    <n v="0"/>
    <n v="56867"/>
  </r>
  <r>
    <x v="3"/>
    <s v="01789-2"/>
    <s v="Røde Sol, Lindegårdsvej 2"/>
    <n v="5247"/>
    <m/>
    <s v="Røde Sol"/>
    <x v="44"/>
    <x v="0"/>
    <x v="0"/>
    <n v="9977"/>
    <n v="5"/>
    <s v="2005-05-01"/>
    <n v="0"/>
    <n v="284"/>
    <n v="13.734669999999999"/>
    <n v="2"/>
    <x v="2"/>
    <n v="3902.02"/>
    <n v="1560.81"/>
    <n v="0"/>
    <s v="1016383"/>
    <s v="74111662405"/>
    <n v="3902.0239999999999"/>
    <n v="0"/>
    <n v="56636"/>
  </r>
  <r>
    <x v="3"/>
    <s v="01789-2"/>
    <s v="Røde Sol, Lindegårdsvej 2"/>
    <n v="5247"/>
    <m/>
    <s v="Røde Sol"/>
    <x v="44"/>
    <x v="0"/>
    <x v="1"/>
    <n v="9511.19"/>
    <n v="12"/>
    <s v="2005-05-01"/>
    <n v="0"/>
    <n v="284"/>
    <n v="33.478316999999997"/>
    <n v="2"/>
    <x v="2"/>
    <n v="9511.19"/>
    <n v="3804.45"/>
    <n v="0"/>
    <s v="1016383"/>
    <s v="74111662405"/>
    <n v="9511.18"/>
    <n v="0"/>
    <n v="56636"/>
  </r>
  <r>
    <x v="3"/>
    <s v="01789-2"/>
    <s v="Røde Sol, Lindegårdsvej 2"/>
    <n v="5247"/>
    <m/>
    <s v="Røde Sol"/>
    <x v="44"/>
    <x v="0"/>
    <x v="2"/>
    <n v="10187.25"/>
    <n v="12"/>
    <s v="2005-05-01"/>
    <n v="0"/>
    <n v="284"/>
    <n v="35.857971999999997"/>
    <n v="2"/>
    <x v="2"/>
    <n v="10187.25"/>
    <n v="4074.89"/>
    <n v="0"/>
    <s v="1016383"/>
    <s v="74111662405"/>
    <n v="10187.248"/>
    <n v="0"/>
    <n v="56636"/>
  </r>
  <r>
    <x v="3"/>
    <s v="01789-2"/>
    <s v="Røde Sol, Lindegårdsvej 2"/>
    <n v="5247"/>
    <m/>
    <s v="Røde Sol"/>
    <x v="44"/>
    <x v="0"/>
    <x v="3"/>
    <n v="12867.66"/>
    <n v="12"/>
    <s v="2005-05-01"/>
    <n v="0"/>
    <n v="284"/>
    <n v="45.292712999999999"/>
    <n v="2"/>
    <x v="2"/>
    <n v="12867.66"/>
    <n v="6034.93"/>
    <n v="0"/>
    <s v="1016383"/>
    <s v="74111662405"/>
    <n v="12867.665999999999"/>
    <n v="0"/>
    <n v="56636"/>
  </r>
  <r>
    <x v="3"/>
    <s v="01789-2"/>
    <s v="Røde Sol, Lindegårdsvej 2"/>
    <n v="5247"/>
    <m/>
    <s v="Røde Sol"/>
    <x v="44"/>
    <x v="0"/>
    <x v="4"/>
    <n v="11690"/>
    <n v="12"/>
    <s v="2005-05-01"/>
    <n v="0"/>
    <n v="284"/>
    <n v="41.147483000000001"/>
    <n v="2"/>
    <x v="2"/>
    <n v="11690"/>
    <n v="5482.6"/>
    <n v="0"/>
    <s v="1016383"/>
    <s v="74111662405"/>
    <n v="11690.007799999999"/>
    <n v="0"/>
    <n v="56636"/>
  </r>
  <r>
    <x v="3"/>
    <s v="01789-2"/>
    <s v="Røde Sol, Lindegårdsvej 2"/>
    <n v="5247"/>
    <m/>
    <s v="Røde Sol"/>
    <x v="44"/>
    <x v="0"/>
    <x v="5"/>
    <n v="12166.63"/>
    <n v="12"/>
    <s v="2005-05-01"/>
    <n v="0"/>
    <n v="284"/>
    <n v="42.825167"/>
    <n v="2"/>
    <x v="2"/>
    <n v="12166.63"/>
    <n v="5706.14"/>
    <n v="0"/>
    <s v="1016383"/>
    <s v="74111662405"/>
    <n v="12166.6343"/>
    <n v="0"/>
    <n v="56636"/>
  </r>
  <r>
    <x v="3"/>
    <s v="01789-2"/>
    <s v="Røde Sol, Lindegårdsvej 2"/>
    <n v="5247"/>
    <m/>
    <s v="Røde Sol"/>
    <x v="44"/>
    <x v="0"/>
    <x v="6"/>
    <n v="11708.72"/>
    <n v="12"/>
    <s v="2005-05-01"/>
    <n v="0"/>
    <n v="284"/>
    <n v="41.213374999999999"/>
    <n v="2"/>
    <x v="2"/>
    <n v="11708.72"/>
    <n v="5491.39"/>
    <n v="0"/>
    <s v="1016383"/>
    <s v="74111662405"/>
    <n v="11708.727999999999"/>
    <n v="0"/>
    <n v="56636"/>
  </r>
  <r>
    <x v="3"/>
    <m/>
    <s v="Skovstjernen Børnehus, Skovlinien 23"/>
    <n v="10019"/>
    <m/>
    <s v="Skovstjernen Børnehus"/>
    <x v="45"/>
    <x v="0"/>
    <x v="0"/>
    <n v="23428"/>
    <n v="5"/>
    <s v="2010-01-31"/>
    <n v="0"/>
    <n v="598"/>
    <n v="18.110299000000001"/>
    <n v="2"/>
    <x v="2"/>
    <n v="10831.77"/>
    <n v="3249.53"/>
    <n v="0"/>
    <s v="696462-36312"/>
    <s v="74113316368"/>
    <n v="10831.77"/>
    <n v="0"/>
    <n v="76531"/>
  </r>
  <r>
    <x v="3"/>
    <m/>
    <s v="Skovstjernen Børnehus, Skovlinien 23"/>
    <n v="10019"/>
    <m/>
    <s v="Skovstjernen Børnehus"/>
    <x v="45"/>
    <x v="0"/>
    <x v="1"/>
    <n v="28552.16"/>
    <n v="12"/>
    <s v="2010-01-31"/>
    <n v="0"/>
    <n v="598"/>
    <n v="47.738103000000002"/>
    <n v="2"/>
    <x v="2"/>
    <n v="28552.16"/>
    <n v="8565.64"/>
    <n v="0"/>
    <s v="696462-36312"/>
    <s v="74113316368"/>
    <n v="28552.151000000002"/>
    <n v="0"/>
    <n v="76531"/>
  </r>
  <r>
    <x v="3"/>
    <m/>
    <s v="Skovstjernen Børnehus, Skovlinien 23"/>
    <n v="10019"/>
    <m/>
    <s v="Skovstjernen Børnehus"/>
    <x v="45"/>
    <x v="0"/>
    <x v="2"/>
    <n v="29762.29"/>
    <n v="12"/>
    <s v="2010-01-31"/>
    <n v="0"/>
    <n v="598"/>
    <n v="49.761394000000003"/>
    <n v="2"/>
    <x v="2"/>
    <n v="29762.29"/>
    <n v="11904.91"/>
    <n v="0"/>
    <s v="696462-36312"/>
    <s v="74113316368"/>
    <n v="29762.277999999998"/>
    <n v="0"/>
    <n v="76531"/>
  </r>
  <r>
    <x v="3"/>
    <m/>
    <s v="Skovstjernen Børnehus, Skovlinien 23"/>
    <n v="10019"/>
    <m/>
    <s v="Skovstjernen Børnehus"/>
    <x v="45"/>
    <x v="0"/>
    <x v="3"/>
    <n v="29981.06"/>
    <n v="12"/>
    <s v="2010-01-31"/>
    <n v="0"/>
    <n v="598"/>
    <n v="50.127169000000002"/>
    <n v="2"/>
    <x v="2"/>
    <n v="29981.06"/>
    <n v="14061.13"/>
    <n v="0"/>
    <s v="696462-36312"/>
    <s v="74113316368"/>
    <n v="29981.069"/>
    <n v="0"/>
    <n v="76531"/>
  </r>
  <r>
    <x v="3"/>
    <m/>
    <s v="Skovstjernen Børnehus, Skovlinien 23"/>
    <n v="10019"/>
    <m/>
    <s v="Skovstjernen Børnehus"/>
    <x v="45"/>
    <x v="0"/>
    <x v="4"/>
    <n v="28781.26"/>
    <n v="12"/>
    <s v="2010-01-31"/>
    <n v="0"/>
    <n v="598"/>
    <n v="48.12115"/>
    <n v="2"/>
    <x v="2"/>
    <n v="28781.26"/>
    <n v="13498.42"/>
    <n v="0"/>
    <s v="696462-36312"/>
    <s v="74113316368"/>
    <n v="28781.25116"/>
    <n v="0"/>
    <n v="76531"/>
  </r>
  <r>
    <x v="3"/>
    <m/>
    <s v="Skovstjernen Børnehus, Skovlinien 23"/>
    <n v="10019"/>
    <m/>
    <s v="Skovstjernen Børnehus"/>
    <x v="45"/>
    <x v="0"/>
    <x v="5"/>
    <n v="32927.99"/>
    <n v="6"/>
    <s v="2010-01-31"/>
    <n v="0"/>
    <n v="598"/>
    <n v="55.054321999999999"/>
    <n v="2"/>
    <x v="2"/>
    <n v="32927.99"/>
    <n v="15443.23"/>
    <n v="0"/>
    <s v="696462-36312"/>
    <s v="74113316368"/>
    <n v="32927.986830000002"/>
    <n v="0"/>
    <n v="76531"/>
  </r>
  <r>
    <x v="3"/>
    <m/>
    <s v="Skovstjernen Børnehus, Skovlinien 23"/>
    <n v="10019"/>
    <m/>
    <s v="Skovstjernen Børnehus"/>
    <x v="45"/>
    <x v="0"/>
    <x v="6"/>
    <n v="32153.61"/>
    <n v="5"/>
    <s v="2010-01-31"/>
    <n v="0"/>
    <n v="598"/>
    <n v="53.759588000000001"/>
    <n v="2"/>
    <x v="2"/>
    <n v="32153.61"/>
    <n v="15080.05"/>
    <n v="0"/>
    <s v="696462-36312"/>
    <s v="74113316368"/>
    <n v="32153.599999999999"/>
    <n v="0"/>
    <n v="76531"/>
  </r>
  <r>
    <x v="3"/>
    <m/>
    <s v="Solbjerg Børnehus"/>
    <n v="10056"/>
    <m/>
    <s v="Solbjerg Børnehus"/>
    <x v="46"/>
    <x v="0"/>
    <x v="0"/>
    <n v="28698"/>
    <n v="5"/>
    <m/>
    <n v="0"/>
    <n v="836"/>
    <n v="14.548654000000001"/>
    <n v="2"/>
    <x v="2"/>
    <n v="12164.13"/>
    <n v="3649.25"/>
    <n v="0"/>
    <s v="52569"/>
    <s v="74113803486"/>
    <n v="12164.135"/>
    <n v="0"/>
    <n v="90613"/>
  </r>
  <r>
    <x v="3"/>
    <m/>
    <s v="Solbjerg Børnehus"/>
    <n v="10056"/>
    <m/>
    <s v="Solbjerg Børnehus"/>
    <x v="46"/>
    <x v="0"/>
    <x v="1"/>
    <n v="29597.45"/>
    <n v="12"/>
    <m/>
    <n v="0"/>
    <n v="836"/>
    <n v="35.399413000000003"/>
    <n v="2"/>
    <x v="2"/>
    <n v="29597.45"/>
    <n v="8879.23"/>
    <n v="0"/>
    <s v="52569"/>
    <s v="74113803486"/>
    <n v="29597.43"/>
    <n v="0"/>
    <n v="90613"/>
  </r>
  <r>
    <x v="3"/>
    <m/>
    <s v="Solbjerg Børnehus"/>
    <n v="10056"/>
    <m/>
    <s v="Solbjerg Børnehus"/>
    <x v="46"/>
    <x v="0"/>
    <x v="2"/>
    <n v="32745.46"/>
    <n v="12"/>
    <m/>
    <n v="0"/>
    <n v="836"/>
    <n v="39.164524999999998"/>
    <n v="2"/>
    <x v="2"/>
    <n v="32745.46"/>
    <n v="13098.18"/>
    <n v="0"/>
    <s v="52569"/>
    <s v="74113803486"/>
    <n v="32745.45"/>
    <n v="0"/>
    <n v="90613"/>
  </r>
  <r>
    <x v="3"/>
    <m/>
    <s v="Solbjerg Børnehus"/>
    <n v="10056"/>
    <m/>
    <s v="Solbjerg Børnehus"/>
    <x v="46"/>
    <x v="0"/>
    <x v="3"/>
    <n v="33037.65"/>
    <n v="12"/>
    <m/>
    <n v="0"/>
    <n v="836"/>
    <n v="39.513992999999999"/>
    <n v="2"/>
    <x v="2"/>
    <n v="33037.65"/>
    <n v="15494.65"/>
    <n v="0"/>
    <s v="52569"/>
    <s v="74113803486"/>
    <n v="33037.665000000001"/>
    <n v="0"/>
    <n v="90613"/>
  </r>
  <r>
    <x v="3"/>
    <m/>
    <s v="Solbjerg Børnehus"/>
    <n v="10056"/>
    <m/>
    <s v="Solbjerg Børnehus"/>
    <x v="46"/>
    <x v="0"/>
    <x v="4"/>
    <n v="6479.08"/>
    <n v="2"/>
    <m/>
    <n v="0"/>
    <n v="836"/>
    <n v="7.7491680000000001"/>
    <n v="2"/>
    <x v="2"/>
    <n v="6479.08"/>
    <n v="3038.69"/>
    <n v="0"/>
    <s v="52569"/>
    <s v="74113803486"/>
    <n v="6479.085"/>
    <n v="0"/>
    <n v="90613"/>
  </r>
  <r>
    <x v="3"/>
    <m/>
    <s v="Solbjerg Børnehus"/>
    <n v="10056"/>
    <m/>
    <s v="Solbjerg Børnehus"/>
    <x v="46"/>
    <x v="0"/>
    <x v="4"/>
    <n v="25155.53"/>
    <n v="8"/>
    <s v="2010-10-31"/>
    <n v="0"/>
    <n v="836"/>
    <n v="30.086746999999999"/>
    <n v="2"/>
    <x v="2"/>
    <n v="25155.53"/>
    <n v="11797.96"/>
    <n v="0"/>
    <s v="AFMELDT"/>
    <m/>
    <n v="25155.534250000001"/>
    <n v="0"/>
    <n v="76676"/>
  </r>
  <r>
    <x v="3"/>
    <m/>
    <s v="Solbjerg Børnehus"/>
    <n v="10056"/>
    <m/>
    <s v="Solbjerg Børnehus"/>
    <x v="46"/>
    <x v="0"/>
    <x v="5"/>
    <n v="28972.52"/>
    <n v="6"/>
    <s v="2010-10-31"/>
    <n v="0"/>
    <n v="836"/>
    <n v="34.651978999999997"/>
    <n v="2"/>
    <x v="2"/>
    <n v="28972.52"/>
    <n v="13588.12"/>
    <n v="0"/>
    <s v="AFMELDT"/>
    <m/>
    <n v="28972.518390000001"/>
    <n v="0"/>
    <n v="76676"/>
  </r>
  <r>
    <x v="3"/>
    <m/>
    <s v="Solbjerg Børnehus"/>
    <n v="10056"/>
    <m/>
    <s v="Solbjerg Børnehus"/>
    <x v="46"/>
    <x v="0"/>
    <x v="6"/>
    <n v="25485.09"/>
    <n v="5"/>
    <s v="2010-10-31"/>
    <n v="0"/>
    <n v="836"/>
    <n v="30.480910999999999"/>
    <n v="2"/>
    <x v="2"/>
    <n v="25485.09"/>
    <n v="11952.52"/>
    <n v="0"/>
    <s v="AFMELDT"/>
    <m/>
    <n v="25485.090230000002"/>
    <n v="0"/>
    <n v="76676"/>
  </r>
  <r>
    <x v="3"/>
    <m/>
    <s v="Solsikken"/>
    <n v="5950"/>
    <m/>
    <s v="Solsikken"/>
    <x v="47"/>
    <x v="0"/>
    <x v="0"/>
    <n v="79733"/>
    <n v="5"/>
    <s v="2011-12-01"/>
    <n v="0"/>
    <n v="500"/>
    <n v="76.987222000000003"/>
    <n v="2"/>
    <x v="2"/>
    <n v="38501.31"/>
    <n v="15400.54"/>
    <n v="0"/>
    <s v="4110"/>
    <m/>
    <n v="38501.32"/>
    <n v="0"/>
    <n v="59968"/>
  </r>
  <r>
    <x v="3"/>
    <m/>
    <s v="Solsikken"/>
    <n v="5950"/>
    <m/>
    <s v="Solsikken"/>
    <x v="47"/>
    <x v="0"/>
    <x v="1"/>
    <n v="85541.8"/>
    <n v="12"/>
    <s v="2011-12-01"/>
    <n v="0"/>
    <n v="500"/>
    <n v="171.04938999999999"/>
    <n v="2"/>
    <x v="2"/>
    <n v="85541.8"/>
    <n v="34216.720000000001"/>
    <n v="0"/>
    <s v="4110"/>
    <m/>
    <n v="85541.8"/>
    <n v="0"/>
    <n v="59968"/>
  </r>
  <r>
    <x v="3"/>
    <m/>
    <s v="Solsikken"/>
    <n v="5950"/>
    <m/>
    <s v="Solsikken"/>
    <x v="47"/>
    <x v="0"/>
    <x v="2"/>
    <n v="92596"/>
    <n v="12"/>
    <s v="2011-12-01"/>
    <n v="0"/>
    <n v="500"/>
    <n v="185.15496899999999"/>
    <n v="2"/>
    <x v="2"/>
    <n v="92596"/>
    <n v="37038.400000000001"/>
    <n v="0"/>
    <s v="4110"/>
    <m/>
    <n v="92596"/>
    <n v="0"/>
    <n v="59968"/>
  </r>
  <r>
    <x v="3"/>
    <m/>
    <s v="Solsikken"/>
    <n v="5950"/>
    <m/>
    <s v="Solsikken"/>
    <x v="47"/>
    <x v="0"/>
    <x v="3"/>
    <n v="69031.789999999994"/>
    <n v="5"/>
    <s v="2011-12-01"/>
    <n v="0"/>
    <n v="500"/>
    <n v="138.03597199999999"/>
    <n v="2"/>
    <x v="2"/>
    <n v="69031.789999999994"/>
    <n v="32375.91"/>
    <n v="0"/>
    <s v="4110"/>
    <m/>
    <n v="69031.800019999995"/>
    <n v="0"/>
    <n v="59968"/>
  </r>
  <r>
    <x v="3"/>
    <m/>
    <s v="Solsikken"/>
    <n v="5950"/>
    <m/>
    <s v="Solsikken"/>
    <x v="47"/>
    <x v="0"/>
    <x v="4"/>
    <n v="54069.17"/>
    <n v="3"/>
    <s v="2011-12-01"/>
    <n v="0"/>
    <n v="500"/>
    <n v="108.116716"/>
    <n v="2"/>
    <x v="2"/>
    <n v="54069.17"/>
    <n v="25358.43"/>
    <n v="0"/>
    <s v="4110"/>
    <m/>
    <n v="54069.173909999998"/>
    <n v="0"/>
    <n v="59968"/>
  </r>
  <r>
    <x v="3"/>
    <m/>
    <s v="Solsikken"/>
    <n v="5950"/>
    <m/>
    <s v="Solsikken"/>
    <x v="47"/>
    <x v="0"/>
    <x v="5"/>
    <n v="64875.519999999997"/>
    <n v="6"/>
    <s v="2011-12-01"/>
    <n v="0"/>
    <n v="500"/>
    <n v="129.72509400000001"/>
    <n v="2"/>
    <x v="2"/>
    <n v="64875.519999999997"/>
    <n v="30426.61"/>
    <n v="0"/>
    <s v="4110"/>
    <m/>
    <n v="64875.540359999999"/>
    <n v="0"/>
    <n v="59968"/>
  </r>
  <r>
    <x v="3"/>
    <m/>
    <s v="Solsikken"/>
    <n v="5950"/>
    <m/>
    <s v="Solsikken"/>
    <x v="47"/>
    <x v="0"/>
    <x v="6"/>
    <n v="71773.2"/>
    <n v="12"/>
    <s v="2011-12-01"/>
    <n v="0"/>
    <n v="500"/>
    <n v="143.517696"/>
    <n v="2"/>
    <x v="2"/>
    <n v="71773.2"/>
    <n v="33661.629999999997"/>
    <n v="0"/>
    <s v="4110"/>
    <m/>
    <n v="71773.191959999996"/>
    <n v="0"/>
    <n v="59968"/>
  </r>
  <r>
    <x v="3"/>
    <s v="039955-1"/>
    <s v="Stavnsholt Børnehus, STA45"/>
    <n v="5279"/>
    <m/>
    <s v="Majtræet/Sommerfuglen/Tusindben/Guldsmeden"/>
    <x v="48"/>
    <x v="0"/>
    <x v="0"/>
    <n v="90878"/>
    <n v="5"/>
    <s v="2005-05-01"/>
    <n v="0"/>
    <n v="1603"/>
    <n v="32.093798999999997"/>
    <n v="2"/>
    <x v="2"/>
    <n v="51449.57"/>
    <n v="20579.830000000002"/>
    <n v="0"/>
    <s v="383686"/>
    <s v="74120010266"/>
    <n v="51449.57"/>
    <n v="0"/>
    <n v="56881"/>
  </r>
  <r>
    <x v="3"/>
    <s v="039955-1"/>
    <s v="Stavnsholt Børnehus, STA45"/>
    <n v="5279"/>
    <m/>
    <s v="Majtræet/Sommerfuglen/Tusindben/Guldsmeden"/>
    <x v="48"/>
    <x v="0"/>
    <x v="1"/>
    <n v="94328.45"/>
    <n v="12"/>
    <s v="2005-05-01"/>
    <n v="0"/>
    <n v="1603"/>
    <n v="58.841276000000001"/>
    <n v="2"/>
    <x v="2"/>
    <n v="94328.45"/>
    <n v="37731.370000000003"/>
    <n v="0"/>
    <s v="383686"/>
    <s v="74120010266"/>
    <n v="94328.452000000005"/>
    <n v="0"/>
    <n v="56881"/>
  </r>
  <r>
    <x v="3"/>
    <s v="039955-1"/>
    <s v="Stavnsholt Børnehus, STA45"/>
    <n v="5279"/>
    <m/>
    <s v="Majtræet/Sommerfuglen/Tusindben/Guldsmeden"/>
    <x v="48"/>
    <x v="0"/>
    <x v="2"/>
    <n v="109093.75999999999"/>
    <n v="12"/>
    <s v="2005-05-01"/>
    <n v="0"/>
    <n v="1603"/>
    <n v="68.051749000000001"/>
    <n v="2"/>
    <x v="2"/>
    <n v="109093.75999999999"/>
    <n v="43637.5"/>
    <n v="0"/>
    <s v="383686"/>
    <s v="74120010266"/>
    <n v="109093.745"/>
    <n v="0"/>
    <n v="56881"/>
  </r>
  <r>
    <x v="3"/>
    <s v="039955-1"/>
    <s v="Stavnsholt Børnehus, STA45"/>
    <n v="5279"/>
    <m/>
    <s v="Majtræet/Sommerfuglen/Tusindben/Guldsmeden"/>
    <x v="48"/>
    <x v="0"/>
    <x v="3"/>
    <n v="112098.68"/>
    <n v="12"/>
    <s v="2005-05-01"/>
    <n v="0"/>
    <n v="1603"/>
    <n v="69.926192999999998"/>
    <n v="2"/>
    <x v="2"/>
    <n v="112098.68"/>
    <n v="52574.26"/>
    <n v="0"/>
    <s v="383686"/>
    <s v="74120010266"/>
    <n v="112098.675"/>
    <n v="0"/>
    <n v="56881"/>
  </r>
  <r>
    <x v="3"/>
    <s v="039955-1"/>
    <s v="Stavnsholt Børnehus, STA45"/>
    <n v="5279"/>
    <m/>
    <s v="Majtræet/Sommerfuglen/Tusindben/Guldsmeden"/>
    <x v="48"/>
    <x v="0"/>
    <x v="4"/>
    <n v="130942.79"/>
    <n v="12"/>
    <s v="2005-05-01"/>
    <n v="0"/>
    <n v="1603"/>
    <n v="81.680986000000004"/>
    <n v="2"/>
    <x v="2"/>
    <n v="130942.79"/>
    <n v="61412.17"/>
    <n v="0"/>
    <s v="383686"/>
    <s v="74120010266"/>
    <n v="130942.78"/>
    <n v="0"/>
    <n v="56881"/>
  </r>
  <r>
    <x v="3"/>
    <s v="039955-1"/>
    <s v="Stavnsholt Børnehus, STA45"/>
    <n v="5279"/>
    <m/>
    <s v="Majtræet/Sommerfuglen/Tusindben/Guldsmeden"/>
    <x v="48"/>
    <x v="0"/>
    <x v="5"/>
    <n v="130679.94"/>
    <n v="12"/>
    <s v="2005-05-01"/>
    <n v="0"/>
    <n v="1603"/>
    <n v="81.517022999999995"/>
    <n v="2"/>
    <x v="2"/>
    <n v="130679.94"/>
    <n v="61288.91"/>
    <n v="0"/>
    <s v="383686"/>
    <s v="74120010266"/>
    <n v="130679.94"/>
    <n v="0"/>
    <n v="56881"/>
  </r>
  <r>
    <x v="3"/>
    <s v="039955-1"/>
    <s v="Stavnsholt Børnehus, STA45"/>
    <n v="5279"/>
    <m/>
    <s v="Majtræet/Sommerfuglen/Tusindben/Guldsmeden"/>
    <x v="48"/>
    <x v="0"/>
    <x v="6"/>
    <n v="152560.51"/>
    <n v="12"/>
    <s v="2005-05-01"/>
    <n v="0"/>
    <n v="1603"/>
    <n v="95.165933999999993"/>
    <n v="2"/>
    <x v="2"/>
    <n v="152560.51"/>
    <n v="71550.86"/>
    <n v="0"/>
    <s v="383686"/>
    <s v="74120010266"/>
    <n v="152560.505"/>
    <n v="0"/>
    <n v="56881"/>
  </r>
  <r>
    <x v="3"/>
    <m/>
    <s v="Søndersø Børnehus"/>
    <n v="10209"/>
    <m/>
    <s v="Søndersø Børnehus"/>
    <x v="49"/>
    <x v="0"/>
    <x v="0"/>
    <n v="53286"/>
    <n v="5"/>
    <m/>
    <n v="0"/>
    <n v="1839"/>
    <n v="15.024397"/>
    <n v="2"/>
    <x v="2"/>
    <n v="27631.37"/>
    <n v="8289.41"/>
    <n v="0"/>
    <s v="510950"/>
    <s v="74113411872"/>
    <n v="27631.366999999998"/>
    <n v="0"/>
    <n v="90611"/>
  </r>
  <r>
    <x v="3"/>
    <m/>
    <s v="Søndersø Børnehus"/>
    <n v="10209"/>
    <m/>
    <s v="Søndersø Børnehus"/>
    <x v="49"/>
    <x v="0"/>
    <x v="1"/>
    <n v="47998.04"/>
    <n v="12"/>
    <m/>
    <n v="0"/>
    <n v="1839"/>
    <n v="26.098655999999998"/>
    <n v="2"/>
    <x v="2"/>
    <n v="47998.04"/>
    <n v="14399.41"/>
    <n v="0"/>
    <s v="510950"/>
    <s v="74113411872"/>
    <n v="47998.034"/>
    <n v="0"/>
    <n v="90611"/>
  </r>
  <r>
    <x v="3"/>
    <m/>
    <s v="Søndersø Børnehus"/>
    <n v="10209"/>
    <m/>
    <s v="Søndersø Børnehus"/>
    <x v="49"/>
    <x v="0"/>
    <x v="2"/>
    <n v="54145.37"/>
    <n v="12"/>
    <m/>
    <n v="0"/>
    <n v="1839"/>
    <n v="29.441231999999999"/>
    <n v="2"/>
    <x v="2"/>
    <n v="54145.37"/>
    <n v="21658.15"/>
    <n v="0"/>
    <s v="510950"/>
    <s v="74113411872"/>
    <n v="54145.366999999998"/>
    <n v="0"/>
    <n v="90611"/>
  </r>
  <r>
    <x v="3"/>
    <m/>
    <s v="Søndersø Børnehus"/>
    <n v="10209"/>
    <m/>
    <s v="Søndersø Børnehus"/>
    <x v="49"/>
    <x v="0"/>
    <x v="3"/>
    <n v="58568.639999999999"/>
    <n v="12"/>
    <m/>
    <n v="0"/>
    <n v="1839"/>
    <n v="31.846359"/>
    <n v="2"/>
    <x v="2"/>
    <n v="58568.639999999999"/>
    <n v="27468.69"/>
    <n v="0"/>
    <s v="510950"/>
    <s v="74113411872"/>
    <n v="58568.633999999998"/>
    <n v="0"/>
    <n v="90611"/>
  </r>
  <r>
    <x v="3"/>
    <m/>
    <s v="Søndersø Børnehus"/>
    <n v="10209"/>
    <m/>
    <s v="Søndersø Børnehus"/>
    <x v="49"/>
    <x v="0"/>
    <x v="4"/>
    <n v="53852.54"/>
    <n v="4"/>
    <s v="2010-10-31"/>
    <n v="0"/>
    <n v="1839"/>
    <n v="29.282007"/>
    <n v="2"/>
    <x v="2"/>
    <n v="53852.54"/>
    <n v="25256.85"/>
    <n v="0"/>
    <s v="AFMELDT NOV 2010 510950"/>
    <s v="74113411872"/>
    <n v="53852.559439999997"/>
    <n v="0"/>
    <n v="77416"/>
  </r>
  <r>
    <x v="3"/>
    <m/>
    <s v="Søndersø Børnehus"/>
    <n v="10209"/>
    <m/>
    <s v="Søndersø Børnehus"/>
    <x v="49"/>
    <x v="0"/>
    <x v="4"/>
    <n v="10362.83"/>
    <n v="2"/>
    <m/>
    <n v="0"/>
    <n v="1839"/>
    <n v="5.634728"/>
    <n v="2"/>
    <x v="2"/>
    <n v="10362.83"/>
    <n v="4860.16"/>
    <n v="0"/>
    <s v="510950"/>
    <s v="74113411872"/>
    <n v="10362.833000000001"/>
    <n v="0"/>
    <n v="90611"/>
  </r>
  <r>
    <x v="3"/>
    <m/>
    <s v="Søndersø Børnehus"/>
    <n v="10209"/>
    <m/>
    <s v="Søndersø Børnehus"/>
    <x v="49"/>
    <x v="0"/>
    <x v="5"/>
    <n v="67972.899999999994"/>
    <n v="3"/>
    <s v="2010-10-31"/>
    <n v="0"/>
    <n v="1839"/>
    <n v="36.959871"/>
    <n v="2"/>
    <x v="2"/>
    <n v="67972.899999999994"/>
    <n v="31879.33"/>
    <n v="0"/>
    <s v="AFMELDT NOV 2010 510950"/>
    <s v="74113411872"/>
    <n v="67972.888819999993"/>
    <n v="0"/>
    <n v="77416"/>
  </r>
  <r>
    <x v="3"/>
    <m/>
    <s v="Søndersø Børnehus"/>
    <n v="10209"/>
    <m/>
    <s v="Søndersø Børnehus"/>
    <x v="49"/>
    <x v="0"/>
    <x v="6"/>
    <n v="44548.54"/>
    <n v="9"/>
    <s v="2010-10-31"/>
    <n v="0"/>
    <n v="1839"/>
    <n v="24.223011"/>
    <n v="2"/>
    <x v="2"/>
    <n v="44548.54"/>
    <n v="20893.27"/>
    <n v="0"/>
    <s v="AFMELDT NOV 2010 510950"/>
    <s v="74113411872"/>
    <n v="44548.551729999999"/>
    <n v="0"/>
    <n v="77416"/>
  </r>
  <r>
    <x v="3"/>
    <m/>
    <s v="Solsikken"/>
    <n v="5950"/>
    <m/>
    <s v="Solsikken"/>
    <x v="47"/>
    <x v="0"/>
    <x v="7"/>
    <n v="364.22"/>
    <n v="12"/>
    <m/>
    <n v="0"/>
    <n v="500"/>
    <n v="0.728294"/>
    <n v="3"/>
    <x v="0"/>
    <n v="364.22"/>
    <n v="291.39"/>
    <n v="0"/>
    <s v="??"/>
    <m/>
    <n v="364.23700000000002"/>
    <n v="0"/>
    <n v="90554"/>
  </r>
  <r>
    <x v="3"/>
    <m/>
    <s v="Solsikken"/>
    <n v="5950"/>
    <m/>
    <s v="Solsikken"/>
    <x v="47"/>
    <x v="0"/>
    <x v="7"/>
    <n v="80405.679999999993"/>
    <n v="12"/>
    <s v="2011-12-01"/>
    <n v="0"/>
    <n v="500"/>
    <n v="160.77920399999999"/>
    <n v="2"/>
    <x v="2"/>
    <n v="80405.679999999993"/>
    <n v="32162.28"/>
    <n v="0"/>
    <s v="4110"/>
    <m/>
    <n v="80405.682000000001"/>
    <n v="0"/>
    <n v="59968"/>
  </r>
  <r>
    <x v="3"/>
    <s v="039955-1"/>
    <s v="Stavnsholt Børnehus, STA45"/>
    <n v="5279"/>
    <m/>
    <s v="Majtræet/Sommerfuglen/Tusindben/Guldsmeden"/>
    <x v="48"/>
    <x v="1"/>
    <x v="7"/>
    <n v="131494.65"/>
    <n v="12"/>
    <s v="2010-02-09"/>
    <n v="0"/>
    <n v="1603"/>
    <n v="82.025232000000003"/>
    <n v="1"/>
    <x v="3"/>
    <n v="131494.65"/>
    <n v="320304.3"/>
    <n v="1"/>
    <s v="4824617"/>
    <m/>
    <n v="3768.835"/>
    <n v="0"/>
    <n v="57002"/>
  </r>
  <r>
    <x v="3"/>
    <s v="039955-1"/>
    <s v="Stavnsholt Børnehus, STA45"/>
    <n v="5279"/>
    <m/>
    <s v="Majtræet/Sommerfuglen/Tusindben/Guldsmeden"/>
    <x v="48"/>
    <x v="0"/>
    <x v="7"/>
    <n v="891.85"/>
    <n v="12"/>
    <s v="2005-05-01"/>
    <n v="0"/>
    <n v="1603"/>
    <n v="0.55632800000000004"/>
    <n v="3"/>
    <x v="0"/>
    <n v="891.85"/>
    <n v="713.44"/>
    <n v="0"/>
    <s v="BK 99600178"/>
    <m/>
    <n v="891.83100000000002"/>
    <n v="0"/>
    <n v="56883"/>
  </r>
  <r>
    <x v="3"/>
    <s v="039955-1"/>
    <s v="Stavnsholt Børnehus, STA45"/>
    <n v="5279"/>
    <m/>
    <s v="Majtræet/Sommerfuglen/Tusindben/Guldsmeden"/>
    <x v="48"/>
    <x v="0"/>
    <x v="7"/>
    <n v="121713.5"/>
    <n v="12"/>
    <s v="2010-02-09"/>
    <n v="0"/>
    <n v="1603"/>
    <n v="75.923834999999997"/>
    <n v="1"/>
    <x v="1"/>
    <n v="145047.82999999999"/>
    <n v="11480704.66"/>
    <n v="0"/>
    <s v="4824617"/>
    <m/>
    <n v="121713.5"/>
    <n v="0"/>
    <n v="56882"/>
  </r>
  <r>
    <x v="3"/>
    <s v="039955-1"/>
    <s v="Stavnsholt Børnehus, STA45"/>
    <n v="5279"/>
    <m/>
    <s v="Majtræet/Sommerfuglen/Tusindben/Guldsmeden"/>
    <x v="48"/>
    <x v="0"/>
    <x v="7"/>
    <n v="99227.41"/>
    <n v="12"/>
    <s v="2005-05-01"/>
    <n v="0"/>
    <n v="1603"/>
    <n v="61.897205"/>
    <n v="2"/>
    <x v="2"/>
    <n v="99227.41"/>
    <n v="39690.97"/>
    <n v="0"/>
    <s v="383686"/>
    <s v="74120010266"/>
    <n v="99227.43"/>
    <n v="0"/>
    <n v="56881"/>
  </r>
  <r>
    <x v="3"/>
    <s v="039955-1"/>
    <s v="Stavnsholt Børnehus, STA45"/>
    <n v="5279"/>
    <m/>
    <s v="Majtræet/Sommerfuglen/Tusindben/Guldsmeden"/>
    <x v="48"/>
    <x v="0"/>
    <x v="7"/>
    <n v="711.2"/>
    <n v="2"/>
    <s v="2014-06-24"/>
    <n v="0"/>
    <n v="1603"/>
    <n v="0.44363999999999998"/>
    <n v="2"/>
    <x v="2"/>
    <n v="711.2"/>
    <n v="213.36"/>
    <n v="1"/>
    <s v="BI Varmepumpe 1"/>
    <m/>
    <n v="711.2"/>
    <n v="0"/>
    <n v="96387"/>
  </r>
  <r>
    <x v="3"/>
    <s v="039955-1"/>
    <s v="Stavnsholt Børnehus, STA45"/>
    <n v="5279"/>
    <m/>
    <s v="Majtræet/Sommerfuglen/Tusindben/Guldsmeden"/>
    <x v="48"/>
    <x v="0"/>
    <x v="7"/>
    <n v="881.3"/>
    <n v="2"/>
    <s v="2014-06-24"/>
    <n v="0"/>
    <n v="1603"/>
    <n v="0.54974699999999999"/>
    <n v="2"/>
    <x v="2"/>
    <n v="881.3"/>
    <n v="264.39"/>
    <n v="1"/>
    <s v="BI Varmepumpe 2"/>
    <m/>
    <n v="881.3"/>
    <n v="0"/>
    <n v="96388"/>
  </r>
  <r>
    <x v="3"/>
    <m/>
    <s v="Søndersø Børnehus"/>
    <n v="10209"/>
    <m/>
    <s v="Søndersø Børnehus"/>
    <x v="49"/>
    <x v="0"/>
    <x v="7"/>
    <n v="155870.01"/>
    <n v="12"/>
    <s v="2011-11-30"/>
    <n v="0"/>
    <n v="1839"/>
    <n v="84.753416999999999"/>
    <n v="1"/>
    <x v="5"/>
    <n v="185502.3"/>
    <n v="11872.16"/>
    <n v="0"/>
    <s v="6657409"/>
    <m/>
    <n v="155.87001000000001"/>
    <n v="0"/>
    <n v="89457"/>
  </r>
  <r>
    <x v="3"/>
    <m/>
    <s v="Søndersø Børnehus"/>
    <n v="10209"/>
    <m/>
    <s v="Søndersø Børnehus"/>
    <x v="49"/>
    <x v="0"/>
    <x v="7"/>
    <n v="1071.4000000000001"/>
    <n v="12"/>
    <s v="2010-07-31"/>
    <n v="0"/>
    <n v="1839"/>
    <n v="0.58256699999999995"/>
    <n v="3"/>
    <x v="0"/>
    <n v="1071.4000000000001"/>
    <n v="857.12"/>
    <n v="0"/>
    <s v="00PC502503"/>
    <m/>
    <n v="1071.4000000000001"/>
    <n v="0"/>
    <n v="77417"/>
  </r>
  <r>
    <x v="3"/>
    <m/>
    <s v="Søndersø Børnehus"/>
    <n v="10209"/>
    <m/>
    <s v="Søndersø Børnehus"/>
    <x v="49"/>
    <x v="0"/>
    <x v="7"/>
    <n v="55196.98"/>
    <n v="11"/>
    <m/>
    <n v="0"/>
    <n v="1839"/>
    <n v="28.381806000000001"/>
    <n v="2"/>
    <x v="2"/>
    <n v="55196.98"/>
    <n v="15659.1"/>
    <n v="0"/>
    <s v="510950"/>
    <s v="74113411872"/>
    <n v="52196.998"/>
    <n v="0"/>
    <n v="90611"/>
  </r>
  <r>
    <x v="5"/>
    <m/>
    <s v="Flygtnigebolig, Syvstjerne Vænge 10"/>
    <n v="9979"/>
    <m/>
    <s v="Børnehaven Syvstjernen"/>
    <x v="60"/>
    <x v="0"/>
    <x v="0"/>
    <n v="225"/>
    <n v="1"/>
    <s v="2015-02-13"/>
    <n v="0"/>
    <n v="290"/>
    <n v="1.8269000000000001E-2"/>
    <n v="3"/>
    <x v="0"/>
    <n v="5.3"/>
    <n v="4.24"/>
    <n v="0"/>
    <m/>
    <m/>
    <n v="5.3028599999999999"/>
    <n v="0"/>
    <n v="76412"/>
  </r>
  <r>
    <x v="5"/>
    <m/>
    <s v="Flygtnigebolig, Syvstjerne Vænge 10"/>
    <n v="9979"/>
    <m/>
    <s v="Børnehaven Syvstjernen"/>
    <x v="60"/>
    <x v="0"/>
    <x v="1"/>
    <n v="44.99"/>
    <n v="0"/>
    <s v="2015-02-13"/>
    <n v="0"/>
    <n v="290"/>
    <n v="0.155084"/>
    <n v="3"/>
    <x v="0"/>
    <n v="44.99"/>
    <n v="36.020000000000003"/>
    <n v="0"/>
    <m/>
    <m/>
    <n v="45.012590000000003"/>
    <n v="0"/>
    <n v="76412"/>
  </r>
  <r>
    <x v="5"/>
    <m/>
    <s v="Flygtnigebolig, Syvstjerne Vænge 10"/>
    <n v="9979"/>
    <m/>
    <s v="Børnehaven Syvstjernen"/>
    <x v="60"/>
    <x v="0"/>
    <x v="2"/>
    <n v="45.12"/>
    <n v="0"/>
    <s v="2015-02-13"/>
    <n v="0"/>
    <n v="290"/>
    <n v="0.155532"/>
    <n v="3"/>
    <x v="0"/>
    <n v="45.12"/>
    <n v="36.119999999999997"/>
    <n v="0"/>
    <m/>
    <m/>
    <n v="45.135910000000003"/>
    <n v="0"/>
    <n v="76412"/>
  </r>
  <r>
    <x v="5"/>
    <m/>
    <s v="Flygtnigebolig, Syvstjerne Vænge 10"/>
    <n v="9979"/>
    <m/>
    <s v="Børnehaven Syvstjernen"/>
    <x v="60"/>
    <x v="0"/>
    <x v="3"/>
    <n v="217.54"/>
    <n v="3"/>
    <s v="2015-02-13"/>
    <n v="0"/>
    <n v="290"/>
    <n v="0.74987899999999996"/>
    <n v="3"/>
    <x v="0"/>
    <n v="217.54"/>
    <n v="174.03"/>
    <n v="0"/>
    <m/>
    <m/>
    <n v="217.53609"/>
    <n v="0"/>
    <n v="76412"/>
  </r>
  <r>
    <x v="5"/>
    <m/>
    <s v="Flygtnigebolig, Syvstjerne Vænge 10"/>
    <n v="9979"/>
    <m/>
    <s v="Børnehaven Syvstjernen"/>
    <x v="60"/>
    <x v="0"/>
    <x v="4"/>
    <n v="8.24"/>
    <n v="4"/>
    <s v="2015-02-13"/>
    <n v="0"/>
    <n v="290"/>
    <n v="2.8403000000000001E-2"/>
    <n v="3"/>
    <x v="0"/>
    <n v="8.24"/>
    <n v="6.59"/>
    <n v="0"/>
    <m/>
    <m/>
    <n v="8.2372800000000002"/>
    <n v="0"/>
    <n v="76412"/>
  </r>
  <r>
    <x v="5"/>
    <m/>
    <s v="Flygtnigebolig, Syvstjerne Vænge 10"/>
    <n v="9979"/>
    <m/>
    <s v="Børnehaven Syvstjernen"/>
    <x v="60"/>
    <x v="0"/>
    <x v="5"/>
    <n v="87.75"/>
    <n v="6"/>
    <s v="2015-02-13"/>
    <n v="0"/>
    <n v="290"/>
    <n v="0.302481"/>
    <n v="3"/>
    <x v="0"/>
    <n v="87.75"/>
    <n v="70.22"/>
    <n v="0"/>
    <m/>
    <m/>
    <n v="87.762730000000005"/>
    <n v="0"/>
    <n v="76412"/>
  </r>
  <r>
    <x v="5"/>
    <m/>
    <s v="Flygtnigebolig, Syvstjerne Vænge 10"/>
    <n v="9979"/>
    <m/>
    <s v="Børnehaven Syvstjernen"/>
    <x v="60"/>
    <x v="0"/>
    <x v="6"/>
    <n v="186.58"/>
    <n v="7"/>
    <s v="2015-02-13"/>
    <n v="0"/>
    <n v="290"/>
    <n v="0.64315699999999998"/>
    <n v="3"/>
    <x v="0"/>
    <n v="186.58"/>
    <n v="149.24"/>
    <n v="0"/>
    <m/>
    <m/>
    <n v="186.55208999999999"/>
    <n v="0"/>
    <n v="76412"/>
  </r>
  <r>
    <x v="5"/>
    <m/>
    <s v="Kollekollevej 27 TOM"/>
    <n v="10271"/>
    <m/>
    <s v="Kollekollevej 27"/>
    <x v="32"/>
    <x v="0"/>
    <x v="0"/>
    <n v="113"/>
    <n v="1"/>
    <s v="2015-02-12"/>
    <n v="0"/>
    <n v="123"/>
    <n v="1.0154E-2"/>
    <n v="3"/>
    <x v="0"/>
    <n v="1.25"/>
    <n v="1"/>
    <n v="0"/>
    <s v="4267"/>
    <m/>
    <n v="1.24752"/>
    <n v="0"/>
    <n v="77654"/>
  </r>
  <r>
    <x v="5"/>
    <m/>
    <s v="Kollekollevej 27 TOM"/>
    <n v="10271"/>
    <m/>
    <s v="Kollekollevej 27"/>
    <x v="32"/>
    <x v="0"/>
    <x v="1"/>
    <n v="11.38"/>
    <n v="7"/>
    <s v="2015-02-12"/>
    <n v="0"/>
    <n v="123"/>
    <n v="9.2444999999999999E-2"/>
    <n v="3"/>
    <x v="0"/>
    <n v="11.38"/>
    <n v="9.11"/>
    <n v="0"/>
    <s v="4267"/>
    <m/>
    <n v="11.382350000000001"/>
    <n v="0"/>
    <n v="77654"/>
  </r>
  <r>
    <x v="5"/>
    <m/>
    <s v="Kollekollevej 27 TOM"/>
    <n v="10271"/>
    <m/>
    <s v="Kollekollevej 27"/>
    <x v="32"/>
    <x v="0"/>
    <x v="2"/>
    <n v="77.66"/>
    <n v="3"/>
    <s v="2015-02-12"/>
    <n v="0"/>
    <n v="123"/>
    <n v="0.63086900000000001"/>
    <n v="3"/>
    <x v="0"/>
    <n v="77.66"/>
    <n v="62.13"/>
    <n v="0"/>
    <s v="4267"/>
    <m/>
    <n v="77.666430000000005"/>
    <n v="0"/>
    <n v="77654"/>
  </r>
  <r>
    <x v="5"/>
    <m/>
    <s v="Kollekollevej 27 TOM"/>
    <n v="10271"/>
    <m/>
    <s v="Kollekollevej 27"/>
    <x v="32"/>
    <x v="0"/>
    <x v="3"/>
    <n v="32.520000000000003"/>
    <n v="3"/>
    <s v="2015-02-12"/>
    <n v="0"/>
    <n v="123"/>
    <n v="0.26417499999999999"/>
    <n v="3"/>
    <x v="0"/>
    <n v="32.520000000000003"/>
    <n v="26.02"/>
    <n v="0"/>
    <s v="4267"/>
    <m/>
    <n v="32.506779999999999"/>
    <n v="0"/>
    <n v="77654"/>
  </r>
  <r>
    <x v="5"/>
    <m/>
    <s v="Kollekollevej 27 TOM"/>
    <n v="10271"/>
    <m/>
    <s v="Kollekollevej 27"/>
    <x v="32"/>
    <x v="0"/>
    <x v="4"/>
    <n v="180.56"/>
    <n v="4"/>
    <s v="2015-02-12"/>
    <n v="0"/>
    <n v="123"/>
    <n v="1.466774"/>
    <n v="3"/>
    <x v="0"/>
    <n v="180.56"/>
    <n v="144.44"/>
    <n v="0"/>
    <s v="4267"/>
    <m/>
    <n v="180.54544999999999"/>
    <n v="0"/>
    <n v="77654"/>
  </r>
  <r>
    <x v="5"/>
    <m/>
    <s v="Kollekollevej 27 TOM"/>
    <n v="10271"/>
    <m/>
    <s v="Kollekollevej 27"/>
    <x v="32"/>
    <x v="0"/>
    <x v="5"/>
    <n v="12.13"/>
    <n v="3"/>
    <s v="2015-02-12"/>
    <n v="0"/>
    <n v="123"/>
    <n v="9.8537E-2"/>
    <n v="3"/>
    <x v="0"/>
    <n v="12.13"/>
    <n v="9.73"/>
    <n v="0"/>
    <s v="4267"/>
    <m/>
    <n v="12.124779999999999"/>
    <n v="0"/>
    <n v="77654"/>
  </r>
  <r>
    <x v="5"/>
    <m/>
    <s v="Kollekollevej 27 TOM"/>
    <n v="10271"/>
    <m/>
    <s v="Kollekollevej 27"/>
    <x v="32"/>
    <x v="0"/>
    <x v="6"/>
    <n v="111.25"/>
    <n v="2"/>
    <s v="2015-02-12"/>
    <n v="0"/>
    <n v="123"/>
    <n v="0.90373599999999998"/>
    <n v="3"/>
    <x v="0"/>
    <n v="111.25"/>
    <n v="89.01"/>
    <n v="0"/>
    <s v="4267"/>
    <m/>
    <n v="111.25619"/>
    <n v="0"/>
    <n v="77654"/>
  </r>
  <r>
    <x v="5"/>
    <m/>
    <s v="Smedegade 19"/>
    <n v="13961"/>
    <s v="0"/>
    <s v="Smedegade 19"/>
    <x v="30"/>
    <x v="0"/>
    <x v="1"/>
    <n v="1.57"/>
    <n v="5"/>
    <s v="2014-12-10"/>
    <n v="0"/>
    <n v="214"/>
    <n v="7.3330000000000001E-3"/>
    <n v="3"/>
    <x v="0"/>
    <n v="1.57"/>
    <n v="1.25"/>
    <n v="0"/>
    <s v="46180"/>
    <m/>
    <n v="1.5628899999999999"/>
    <n v="0"/>
    <n v="92681"/>
  </r>
  <r>
    <x v="5"/>
    <m/>
    <s v="Smedegade 19"/>
    <n v="13961"/>
    <s v="0"/>
    <s v="Smedegade 19"/>
    <x v="30"/>
    <x v="0"/>
    <x v="2"/>
    <n v="0"/>
    <n v="1"/>
    <s v="2014-12-10"/>
    <n v="0"/>
    <n v="214"/>
    <n v="0"/>
    <n v="3"/>
    <x v="0"/>
    <n v="0"/>
    <n v="0"/>
    <n v="0"/>
    <s v="46180"/>
    <m/>
    <n v="0"/>
    <n v="0"/>
    <n v="92681"/>
  </r>
  <r>
    <x v="5"/>
    <m/>
    <s v="Flygtnigebolig, Syvstjerne Vænge 10"/>
    <n v="9979"/>
    <m/>
    <s v="Børnehaven Syvstjernen"/>
    <x v="60"/>
    <x v="0"/>
    <x v="7"/>
    <n v="44.99"/>
    <n v="0"/>
    <s v="2015-02-13"/>
    <n v="0"/>
    <n v="290"/>
    <n v="0.155084"/>
    <n v="3"/>
    <x v="0"/>
    <n v="44.99"/>
    <n v="36.020000000000003"/>
    <n v="0"/>
    <m/>
    <m/>
    <n v="45.012590000000003"/>
    <n v="0"/>
    <n v="76412"/>
  </r>
  <r>
    <x v="5"/>
    <m/>
    <s v="Flygtnigebolig, Syvstjerne Vænge 10"/>
    <n v="9979"/>
    <m/>
    <s v="Børnehaven Syvstjernen"/>
    <x v="60"/>
    <x v="0"/>
    <x v="7"/>
    <n v="7530.55"/>
    <n v="0"/>
    <s v="2015-02-13"/>
    <n v="0"/>
    <n v="290"/>
    <n v="25.958462000000001"/>
    <n v="2"/>
    <x v="2"/>
    <n v="7530.55"/>
    <n v="2259.16"/>
    <n v="0"/>
    <m/>
    <s v="74110493246"/>
    <n v="7530.5746300000001"/>
    <n v="0"/>
    <n v="76411"/>
  </r>
  <r>
    <x v="5"/>
    <m/>
    <s v="Flygtnigebolig, Syvstjerne Vænge 10"/>
    <n v="9979"/>
    <m/>
    <s v="Børnehaven Syvstjernen"/>
    <x v="60"/>
    <x v="0"/>
    <x v="7"/>
    <n v="61750.78"/>
    <n v="1"/>
    <s v="2015-02-13"/>
    <n v="0"/>
    <n v="290"/>
    <n v="212.86032399999999"/>
    <n v="1"/>
    <x v="5"/>
    <n v="73185.47"/>
    <n v="9221.36"/>
    <n v="0"/>
    <m/>
    <m/>
    <n v="61.750779999999999"/>
    <n v="0"/>
    <n v="97163"/>
  </r>
  <r>
    <x v="5"/>
    <m/>
    <s v="Flygtnigebolig, Syvstjerne Vænge 10"/>
    <n v="9979"/>
    <m/>
    <s v="Børnehaven Syvstjernen"/>
    <x v="60"/>
    <x v="0"/>
    <x v="0"/>
    <n v="54136"/>
    <n v="1"/>
    <s v="2015-02-13"/>
    <n v="0"/>
    <n v="290"/>
    <n v="28.425439000000001"/>
    <n v="1"/>
    <x v="5"/>
    <n v="76569"/>
    <n v="1200.96"/>
    <n v="0"/>
    <m/>
    <m/>
    <n v="8.2462199999999992"/>
    <n v="0"/>
    <n v="97163"/>
  </r>
  <r>
    <x v="5"/>
    <m/>
    <s v="Flygtnigebolig, Syvstjerne Vænge 10"/>
    <n v="9979"/>
    <m/>
    <s v="Børnehaven Syvstjernen"/>
    <x v="60"/>
    <x v="0"/>
    <x v="3"/>
    <n v="12264.96"/>
    <n v="3"/>
    <s v="2011-11-09"/>
    <n v="0"/>
    <n v="290"/>
    <n v="42.278385999999998"/>
    <n v="1"/>
    <x v="4"/>
    <n v="12809.04"/>
    <n v="2708.88"/>
    <n v="0"/>
    <m/>
    <s v="98003448980"/>
    <n v="1135.64517"/>
    <n v="0"/>
    <n v="76413"/>
  </r>
  <r>
    <x v="5"/>
    <m/>
    <s v="Flygtnigebolig, Syvstjerne Vænge 10"/>
    <n v="9979"/>
    <m/>
    <s v="Børnehaven Syvstjernen"/>
    <x v="60"/>
    <x v="0"/>
    <x v="4"/>
    <n v="48211.86"/>
    <n v="3"/>
    <s v="2011-11-09"/>
    <n v="0"/>
    <n v="290"/>
    <n v="166.19048599999999"/>
    <n v="1"/>
    <x v="4"/>
    <n v="59578.47"/>
    <n v="12599.74"/>
    <n v="0"/>
    <m/>
    <s v="98003448980"/>
    <n v="4464.0622599999997"/>
    <n v="0"/>
    <n v="76413"/>
  </r>
  <r>
    <x v="5"/>
    <m/>
    <s v="Flygtnigebolig, Syvstjerne Vænge 10"/>
    <n v="9979"/>
    <m/>
    <s v="Børnehaven Syvstjernen"/>
    <x v="60"/>
    <x v="0"/>
    <x v="5"/>
    <n v="23925.22"/>
    <n v="4"/>
    <s v="2011-11-09"/>
    <n v="0"/>
    <n v="290"/>
    <n v="82.472318999999999"/>
    <n v="1"/>
    <x v="4"/>
    <n v="26883.26"/>
    <n v="5685.31"/>
    <n v="0"/>
    <m/>
    <s v="98003448980"/>
    <n v="2215.2983300000001"/>
    <n v="0"/>
    <n v="76413"/>
  </r>
  <r>
    <x v="5"/>
    <m/>
    <s v="Flygtnigebolig, Syvstjerne Vænge 10"/>
    <n v="9979"/>
    <m/>
    <s v="Børnehaven Syvstjernen"/>
    <x v="60"/>
    <x v="0"/>
    <x v="6"/>
    <n v="40391.589999999997"/>
    <n v="7"/>
    <s v="2011-11-09"/>
    <n v="0"/>
    <n v="290"/>
    <n v="139.23333299999999"/>
    <n v="1"/>
    <x v="4"/>
    <n v="46856.22"/>
    <n v="9909.2199999999993"/>
    <n v="0"/>
    <m/>
    <s v="98003448980"/>
    <n v="3739.9630400000001"/>
    <n v="0"/>
    <n v="76413"/>
  </r>
  <r>
    <x v="5"/>
    <m/>
    <s v="Kollekollevej 27 TOM"/>
    <n v="10271"/>
    <m/>
    <s v="Kollekollevej 27"/>
    <x v="32"/>
    <x v="0"/>
    <x v="0"/>
    <n v="28331"/>
    <n v="1"/>
    <s v="2015-02-12"/>
    <n v="0"/>
    <n v="123"/>
    <n v="16.308042"/>
    <n v="1"/>
    <x v="4"/>
    <n v="41003"/>
    <n v="493.39"/>
    <n v="0"/>
    <s v="HNG16.03.587"/>
    <s v="98001314041"/>
    <n v="185.88119"/>
    <n v="0"/>
    <n v="77658"/>
  </r>
  <r>
    <x v="5"/>
    <m/>
    <s v="Kollekollevej 27 TOM"/>
    <n v="10271"/>
    <m/>
    <s v="Kollekollevej 27"/>
    <x v="32"/>
    <x v="0"/>
    <x v="1"/>
    <n v="14871.83"/>
    <n v="8"/>
    <s v="2015-02-12"/>
    <n v="0"/>
    <n v="123"/>
    <n v="120.81096599999999"/>
    <n v="1"/>
    <x v="4"/>
    <n v="15422.87"/>
    <n v="3261.65"/>
    <n v="0"/>
    <s v="HNG16.03.587"/>
    <s v="98001314041"/>
    <n v="1377.0208299999999"/>
    <n v="0"/>
    <n v="77658"/>
  </r>
  <r>
    <x v="5"/>
    <m/>
    <s v="Kollekollevej 27 TOM"/>
    <n v="10271"/>
    <m/>
    <s v="Kollekollevej 27"/>
    <x v="32"/>
    <x v="0"/>
    <x v="2"/>
    <n v="23764.32"/>
    <n v="2"/>
    <s v="2015-02-12"/>
    <n v="0"/>
    <n v="123"/>
    <n v="193.048903"/>
    <n v="1"/>
    <x v="4"/>
    <n v="25990.69"/>
    <n v="5496.55"/>
    <n v="0"/>
    <s v="HNG16.03.587"/>
    <s v="98001314041"/>
    <n v="2200.4007799999999"/>
    <n v="0"/>
    <n v="77658"/>
  </r>
  <r>
    <x v="5"/>
    <m/>
    <s v="Kollekollevej 27 TOM"/>
    <n v="10271"/>
    <m/>
    <s v="Kollekollevej 27"/>
    <x v="32"/>
    <x v="0"/>
    <x v="3"/>
    <n v="25405.279999999999"/>
    <n v="2"/>
    <s v="2015-02-12"/>
    <n v="0"/>
    <n v="123"/>
    <n v="206.37920299999999"/>
    <n v="1"/>
    <x v="4"/>
    <n v="29462.17"/>
    <n v="6230.7"/>
    <n v="0"/>
    <s v="HNG16.03.587"/>
    <s v="98001314041"/>
    <n v="2352.33997"/>
    <n v="0"/>
    <n v="77658"/>
  </r>
  <r>
    <x v="5"/>
    <m/>
    <s v="Kollekollevej 27 TOM"/>
    <n v="10271"/>
    <m/>
    <s v="Kollekollevej 27"/>
    <x v="32"/>
    <x v="0"/>
    <x v="4"/>
    <n v="23882.3"/>
    <n v="4"/>
    <s v="2015-02-12"/>
    <n v="0"/>
    <n v="123"/>
    <n v="194.00731099999999"/>
    <n v="1"/>
    <x v="4"/>
    <n v="27819.53"/>
    <n v="5883.32"/>
    <n v="0"/>
    <s v="HNG16.03.587"/>
    <s v="98001314041"/>
    <n v="2211.3231000000001"/>
    <n v="0"/>
    <n v="77658"/>
  </r>
  <r>
    <x v="5"/>
    <m/>
    <s v="Kollekollevej 27 TOM"/>
    <n v="10271"/>
    <m/>
    <s v="Kollekollevej 27"/>
    <x v="32"/>
    <x v="0"/>
    <x v="5"/>
    <n v="21850.18"/>
    <n v="2"/>
    <s v="2015-02-12"/>
    <n v="0"/>
    <n v="123"/>
    <n v="177.49943099999999"/>
    <n v="1"/>
    <x v="4"/>
    <n v="30659.68"/>
    <n v="6483.96"/>
    <n v="0"/>
    <s v="HNG16.03.587"/>
    <s v="98001314041"/>
    <n v="2023.16281"/>
    <n v="0"/>
    <n v="77658"/>
  </r>
  <r>
    <x v="5"/>
    <m/>
    <s v="Kollekollevej 27 TOM"/>
    <n v="10271"/>
    <m/>
    <s v="Kollekollevej 27"/>
    <x v="32"/>
    <x v="0"/>
    <x v="6"/>
    <n v="14380.14"/>
    <n v="3"/>
    <s v="2015-02-12"/>
    <n v="0"/>
    <n v="123"/>
    <n v="116.816734"/>
    <n v="1"/>
    <x v="4"/>
    <n v="16480.25"/>
    <n v="3485.25"/>
    <n v="0"/>
    <s v="HNG16.03.587"/>
    <s v="98001314041"/>
    <n v="1331.4932100000001"/>
    <n v="0"/>
    <n v="77658"/>
  </r>
  <r>
    <x v="5"/>
    <m/>
    <s v="Smedegade 19"/>
    <n v="13961"/>
    <s v="0"/>
    <s v="Smedegade 19"/>
    <x v="30"/>
    <x v="0"/>
    <x v="1"/>
    <n v="18038.3"/>
    <n v="8"/>
    <s v="2014-11-04"/>
    <n v="0"/>
    <n v="214"/>
    <n v="84.251750999999999"/>
    <n v="1"/>
    <x v="4"/>
    <n v="19690.490000000002"/>
    <n v="4164.18"/>
    <n v="0"/>
    <s v="1540873"/>
    <s v="5715151-980-0129757-3"/>
    <n v="1670.2144599999999"/>
    <n v="0"/>
    <n v="92684"/>
  </r>
  <r>
    <x v="5"/>
    <m/>
    <s v="Smedegade 19"/>
    <n v="13961"/>
    <s v="0"/>
    <s v="Smedegade 19"/>
    <x v="30"/>
    <x v="0"/>
    <x v="2"/>
    <n v="7910.84"/>
    <n v="1"/>
    <s v="2014-11-04"/>
    <n v="0"/>
    <n v="214"/>
    <n v="36.949275999999998"/>
    <n v="1"/>
    <x v="4"/>
    <n v="8917.9599999999991"/>
    <n v="1885.98"/>
    <n v="0"/>
    <s v="1540873"/>
    <s v="5715151-980-0129757-3"/>
    <n v="732.48554999999999"/>
    <n v="0"/>
    <n v="92684"/>
  </r>
  <r>
    <x v="9"/>
    <m/>
    <s v="Kirke Værløse Idrætanlæg, Lejr 21"/>
    <n v="10204"/>
    <m/>
    <s v="Kirke Værløse Idrætsanlæg"/>
    <x v="61"/>
    <x v="0"/>
    <x v="7"/>
    <n v="45767.38"/>
    <n v="12"/>
    <s v="2011-02-28"/>
    <n v="0"/>
    <n v="445"/>
    <n v="102.824938"/>
    <n v="1"/>
    <x v="4"/>
    <n v="54390.28"/>
    <n v="11502.54"/>
    <n v="0"/>
    <s v="3100528"/>
    <s v="98004377937"/>
    <n v="4237.72"/>
    <n v="0"/>
    <n v="77388"/>
  </r>
  <r>
    <x v="5"/>
    <m/>
    <s v="Kollekollevej 27 TOM"/>
    <n v="10271"/>
    <m/>
    <s v="Kollekollevej 27"/>
    <x v="32"/>
    <x v="0"/>
    <x v="7"/>
    <n v="2.75"/>
    <n v="4"/>
    <s v="2015-02-12"/>
    <n v="0"/>
    <n v="123"/>
    <n v="2.2339000000000001E-2"/>
    <n v="3"/>
    <x v="0"/>
    <n v="2.75"/>
    <n v="2.2000000000000002"/>
    <n v="0"/>
    <s v="4267"/>
    <m/>
    <n v="2.7524700000000002"/>
    <n v="0"/>
    <n v="77654"/>
  </r>
  <r>
    <x v="5"/>
    <m/>
    <s v="Kollekollevej 27 TOM"/>
    <n v="10271"/>
    <m/>
    <s v="Kollekollevej 27"/>
    <x v="32"/>
    <x v="0"/>
    <x v="7"/>
    <n v="411.77"/>
    <n v="4"/>
    <s v="2015-02-12"/>
    <n v="0"/>
    <n v="123"/>
    <n v="3.3450039999999999"/>
    <n v="2"/>
    <x v="2"/>
    <n v="411.77"/>
    <n v="123.52"/>
    <n v="0"/>
    <s v="735337"/>
    <s v="74110498128"/>
    <n v="411.77659999999997"/>
    <n v="0"/>
    <n v="77653"/>
  </r>
  <r>
    <x v="5"/>
    <m/>
    <s v="Smedegade 19"/>
    <n v="13961"/>
    <s v="0"/>
    <s v="Smedegade 19"/>
    <x v="30"/>
    <x v="0"/>
    <x v="0"/>
    <n v="66086"/>
    <n v="3"/>
    <s v="2014-11-04"/>
    <n v="0"/>
    <n v="214"/>
    <n v="19.014665999999998"/>
    <n v="1"/>
    <x v="4"/>
    <n v="91483"/>
    <n v="1021.86"/>
    <n v="0"/>
    <s v="1540873"/>
    <s v="5715151-980-0129757-3"/>
    <n v="376.94700999999998"/>
    <n v="0"/>
    <n v="92684"/>
  </r>
  <r>
    <x v="2"/>
    <m/>
    <s v="Driftsgården"/>
    <n v="10123"/>
    <m/>
    <s v="Bygning 3"/>
    <x v="11"/>
    <x v="0"/>
    <x v="7"/>
    <n v="46159.64"/>
    <n v="12"/>
    <s v="2010-11-30"/>
    <n v="0"/>
    <n v="1413"/>
    <n v="32.665514999999999"/>
    <n v="1"/>
    <x v="4"/>
    <n v="57138.86"/>
    <n v="12083.82"/>
    <n v="0"/>
    <s v="3101250"/>
    <s v="98004376794"/>
    <n v="4274.04"/>
    <n v="0"/>
    <n v="77798"/>
  </r>
  <r>
    <x v="5"/>
    <m/>
    <s v="Smedegade 19"/>
    <n v="13961"/>
    <s v="0"/>
    <s v="Smedegade 19"/>
    <x v="30"/>
    <x v="0"/>
    <x v="0"/>
    <n v="167"/>
    <m/>
    <m/>
    <m/>
    <n v="214"/>
    <m/>
    <n v="3"/>
    <x v="0"/>
    <m/>
    <m/>
    <n v="0"/>
    <s v="46180"/>
    <m/>
    <m/>
    <n v="0"/>
    <n v="92681"/>
  </r>
  <r>
    <x v="5"/>
    <m/>
    <s v="Smedegade 19"/>
    <n v="13961"/>
    <s v="0"/>
    <s v="Smedegade 19"/>
    <x v="30"/>
    <x v="0"/>
    <x v="7"/>
    <n v="0.13"/>
    <n v="4"/>
    <s v="2014-12-10"/>
    <n v="0"/>
    <n v="214"/>
    <n v="6.0700000000000001E-4"/>
    <n v="3"/>
    <x v="0"/>
    <n v="0.13"/>
    <n v="0.11"/>
    <n v="0"/>
    <s v="46180"/>
    <m/>
    <n v="0.13711999999999999"/>
    <n v="0"/>
    <n v="92681"/>
  </r>
  <r>
    <x v="5"/>
    <m/>
    <s v="Smedegade 19"/>
    <n v="13961"/>
    <s v="0"/>
    <s v="Smedegade 19"/>
    <x v="30"/>
    <x v="0"/>
    <x v="0"/>
    <n v="4979"/>
    <n v="3"/>
    <m/>
    <n v="0"/>
    <n v="214"/>
    <m/>
    <n v="2"/>
    <x v="2"/>
    <m/>
    <m/>
    <n v="0"/>
    <s v="789021"/>
    <s v="74114320562"/>
    <m/>
    <n v="0"/>
    <n v="92680"/>
  </r>
  <r>
    <x v="5"/>
    <m/>
    <s v="Smedegade 19"/>
    <n v="13961"/>
    <s v="0"/>
    <s v="Smedegade 19"/>
    <x v="30"/>
    <x v="0"/>
    <x v="7"/>
    <n v="122.53"/>
    <n v="3"/>
    <s v="2014-11-04"/>
    <n v="0"/>
    <n v="214"/>
    <n v="0.57230199999999998"/>
    <n v="2"/>
    <x v="2"/>
    <n v="122.53"/>
    <n v="36.75"/>
    <n v="0"/>
    <s v="789021"/>
    <s v="74114320562"/>
    <n v="122.53256"/>
    <n v="0"/>
    <n v="92680"/>
  </r>
  <r>
    <x v="5"/>
    <m/>
    <s v="Flygtnigebolig, Syvstjerne Vænge 10"/>
    <n v="9979"/>
    <m/>
    <s v="Børnehaven Syvstjernen"/>
    <x v="60"/>
    <x v="0"/>
    <x v="0"/>
    <n v="3515"/>
    <n v="1"/>
    <s v="2015-02-13"/>
    <n v="0"/>
    <n v="290"/>
    <n v="3.0581170000000002"/>
    <n v="2"/>
    <x v="2"/>
    <n v="887.16"/>
    <n v="266.14"/>
    <n v="0"/>
    <m/>
    <s v="74110493246"/>
    <n v="887.16359"/>
    <n v="0"/>
    <n v="76411"/>
  </r>
  <r>
    <x v="5"/>
    <m/>
    <s v="Flygtnigebolig, Syvstjerne Vænge 10"/>
    <n v="9979"/>
    <m/>
    <s v="Børnehaven Syvstjernen"/>
    <x v="60"/>
    <x v="0"/>
    <x v="1"/>
    <n v="7530.55"/>
    <n v="0"/>
    <s v="2015-02-13"/>
    <n v="0"/>
    <n v="290"/>
    <n v="25.958462000000001"/>
    <n v="2"/>
    <x v="2"/>
    <n v="7530.55"/>
    <n v="2259.16"/>
    <n v="0"/>
    <m/>
    <s v="74110493246"/>
    <n v="7530.5746300000001"/>
    <n v="0"/>
    <n v="76411"/>
  </r>
  <r>
    <x v="5"/>
    <m/>
    <s v="Flygtnigebolig, Syvstjerne Vænge 10"/>
    <n v="9979"/>
    <m/>
    <s v="Børnehaven Syvstjernen"/>
    <x v="60"/>
    <x v="0"/>
    <x v="2"/>
    <n v="7551.18"/>
    <n v="0"/>
    <s v="2015-02-13"/>
    <n v="0"/>
    <n v="290"/>
    <n v="26.029575999999999"/>
    <n v="2"/>
    <x v="2"/>
    <n v="7551.18"/>
    <n v="3020.46"/>
    <n v="0"/>
    <m/>
    <s v="74110493246"/>
    <n v="7551.2063399999997"/>
    <n v="0"/>
    <n v="76411"/>
  </r>
  <r>
    <x v="5"/>
    <m/>
    <s v="Flygtnigebolig, Syvstjerne Vænge 10"/>
    <n v="9979"/>
    <m/>
    <s v="Børnehaven Syvstjernen"/>
    <x v="60"/>
    <x v="0"/>
    <x v="3"/>
    <n v="13218.23"/>
    <n v="3"/>
    <s v="2015-02-13"/>
    <n v="0"/>
    <n v="290"/>
    <n v="45.564391000000001"/>
    <n v="2"/>
    <x v="2"/>
    <n v="13218.23"/>
    <n v="6199.34"/>
    <n v="0"/>
    <m/>
    <s v="74110493246"/>
    <n v="13218.22265"/>
    <n v="0"/>
    <n v="76411"/>
  </r>
  <r>
    <x v="5"/>
    <m/>
    <s v="Flygtnigebolig, Syvstjerne Vænge 10"/>
    <n v="9979"/>
    <m/>
    <s v="Børnehaven Syvstjernen"/>
    <x v="60"/>
    <x v="0"/>
    <x v="4"/>
    <n v="3510.71"/>
    <n v="3"/>
    <s v="2015-02-13"/>
    <n v="0"/>
    <n v="290"/>
    <n v="12.101723"/>
    <n v="2"/>
    <x v="2"/>
    <n v="3510.71"/>
    <n v="1646.51"/>
    <n v="0"/>
    <m/>
    <s v="74110493246"/>
    <n v="3510.71569"/>
    <n v="0"/>
    <n v="76411"/>
  </r>
  <r>
    <x v="5"/>
    <m/>
    <s v="Flygtnigebolig, Syvstjerne Vænge 10"/>
    <n v="9979"/>
    <m/>
    <s v="Børnehaven Syvstjernen"/>
    <x v="60"/>
    <x v="0"/>
    <x v="5"/>
    <n v="4290.55"/>
    <n v="5"/>
    <s v="2015-02-13"/>
    <n v="0"/>
    <n v="290"/>
    <n v="14.789899999999999"/>
    <n v="2"/>
    <x v="2"/>
    <n v="4290.55"/>
    <n v="2012.28"/>
    <n v="0"/>
    <m/>
    <s v="74110493246"/>
    <n v="4290.5423600000004"/>
    <n v="0"/>
    <n v="76411"/>
  </r>
  <r>
    <x v="5"/>
    <m/>
    <s v="Flygtnigebolig, Syvstjerne Vænge 10"/>
    <n v="9979"/>
    <m/>
    <s v="Børnehaven Syvstjernen"/>
    <x v="60"/>
    <x v="0"/>
    <x v="6"/>
    <n v="7001.98"/>
    <n v="7"/>
    <s v="2015-02-13"/>
    <n v="0"/>
    <n v="290"/>
    <n v="24.136434999999999"/>
    <n v="2"/>
    <x v="2"/>
    <n v="7001.98"/>
    <n v="3283.93"/>
    <n v="0"/>
    <m/>
    <s v="74110493246"/>
    <n v="7001.9791599999999"/>
    <n v="0"/>
    <n v="76411"/>
  </r>
  <r>
    <x v="5"/>
    <m/>
    <s v="Kollekollevej 27 TOM"/>
    <n v="10271"/>
    <m/>
    <s v="Kollekollevej 27"/>
    <x v="32"/>
    <x v="0"/>
    <x v="0"/>
    <n v="1244"/>
    <n v="1"/>
    <s v="2015-02-12"/>
    <n v="0"/>
    <n v="123"/>
    <n v="1.3883829999999999"/>
    <n v="2"/>
    <x v="2"/>
    <n v="170.91"/>
    <n v="51.27"/>
    <n v="0"/>
    <s v="735337"/>
    <s v="74110498128"/>
    <n v="170.91088999999999"/>
    <n v="0"/>
    <n v="77653"/>
  </r>
  <r>
    <x v="5"/>
    <m/>
    <s v="Kollekollevej 27 TOM"/>
    <n v="10271"/>
    <m/>
    <s v="Kollekollevej 27"/>
    <x v="32"/>
    <x v="0"/>
    <x v="1"/>
    <n v="1058.8800000000001"/>
    <n v="7"/>
    <s v="2015-02-12"/>
    <n v="0"/>
    <n v="123"/>
    <n v="8.6017869999999998"/>
    <n v="2"/>
    <x v="2"/>
    <n v="1058.8800000000001"/>
    <n v="317.67"/>
    <n v="0"/>
    <s v="735337"/>
    <s v="74110498128"/>
    <n v="1058.89048"/>
    <n v="0"/>
    <n v="77653"/>
  </r>
  <r>
    <x v="5"/>
    <m/>
    <s v="Kollekollevej 27 TOM"/>
    <n v="10271"/>
    <m/>
    <s v="Kollekollevej 27"/>
    <x v="32"/>
    <x v="0"/>
    <x v="2"/>
    <n v="2236.41"/>
    <n v="3"/>
    <s v="2015-02-12"/>
    <n v="0"/>
    <n v="123"/>
    <n v="18.167424"/>
    <n v="2"/>
    <x v="2"/>
    <n v="2236.41"/>
    <n v="894.55"/>
    <n v="0"/>
    <s v="735337"/>
    <s v="74110498128"/>
    <n v="2236.42202"/>
    <n v="0"/>
    <n v="77653"/>
  </r>
  <r>
    <x v="5"/>
    <m/>
    <s v="Kollekollevej 27 TOM"/>
    <n v="10271"/>
    <m/>
    <s v="Kollekollevej 27"/>
    <x v="32"/>
    <x v="0"/>
    <x v="3"/>
    <n v="2701.55"/>
    <n v="2"/>
    <s v="2015-02-12"/>
    <n v="0"/>
    <n v="123"/>
    <n v="21.945978"/>
    <n v="2"/>
    <x v="2"/>
    <n v="2701.55"/>
    <n v="1267.02"/>
    <n v="0"/>
    <s v="735337"/>
    <s v="74110498128"/>
    <n v="2701.55557"/>
    <n v="0"/>
    <n v="77653"/>
  </r>
  <r>
    <x v="5"/>
    <m/>
    <s v="Kollekollevej 27 TOM"/>
    <n v="10271"/>
    <m/>
    <s v="Kollekollevej 27"/>
    <x v="32"/>
    <x v="0"/>
    <x v="4"/>
    <n v="3605.69"/>
    <n v="4"/>
    <s v="2015-02-12"/>
    <n v="0"/>
    <n v="123"/>
    <n v="29.290738999999999"/>
    <n v="2"/>
    <x v="2"/>
    <n v="3605.69"/>
    <n v="1691.09"/>
    <n v="0"/>
    <s v="735337"/>
    <s v="74110498128"/>
    <n v="3605.69976"/>
    <n v="0"/>
    <n v="77653"/>
  </r>
  <r>
    <x v="5"/>
    <m/>
    <s v="Kollekollevej 27 TOM"/>
    <n v="10271"/>
    <m/>
    <s v="Kollekollevej 27"/>
    <x v="32"/>
    <x v="0"/>
    <x v="5"/>
    <n v="1626.98"/>
    <n v="3"/>
    <s v="2015-02-12"/>
    <n v="0"/>
    <n v="123"/>
    <n v="13.216734000000001"/>
    <n v="2"/>
    <x v="2"/>
    <n v="1626.98"/>
    <n v="763.05"/>
    <n v="0"/>
    <s v="735337"/>
    <s v="74110498128"/>
    <n v="1626.9754600000001"/>
    <n v="0"/>
    <n v="77653"/>
  </r>
  <r>
    <x v="5"/>
    <m/>
    <s v="Kollekollevej 27 TOM"/>
    <n v="10271"/>
    <m/>
    <s v="Kollekollevej 27"/>
    <x v="32"/>
    <x v="0"/>
    <x v="6"/>
    <n v="4827.3900000000003"/>
    <n v="2"/>
    <s v="2015-02-12"/>
    <n v="0"/>
    <n v="123"/>
    <n v="39.21519"/>
    <n v="2"/>
    <x v="2"/>
    <n v="4827.3900000000003"/>
    <n v="2264.0500000000002"/>
    <n v="0"/>
    <s v="735337"/>
    <s v="74110498128"/>
    <n v="4827.3867099999998"/>
    <n v="0"/>
    <n v="77653"/>
  </r>
  <r>
    <x v="5"/>
    <m/>
    <s v="Smedegade 19"/>
    <n v="13961"/>
    <s v="0"/>
    <s v="Smedegade 19"/>
    <x v="30"/>
    <x v="0"/>
    <x v="1"/>
    <n v="1219.8800000000001"/>
    <n v="3"/>
    <s v="2014-11-04"/>
    <n v="0"/>
    <n v="214"/>
    <n v="5.697711"/>
    <n v="2"/>
    <x v="2"/>
    <n v="1219.8800000000001"/>
    <n v="365.96"/>
    <n v="0"/>
    <s v="789021"/>
    <s v="74114320562"/>
    <n v="1219.86402"/>
    <n v="0"/>
    <n v="92680"/>
  </r>
  <r>
    <x v="5"/>
    <m/>
    <s v="Smedegade 19"/>
    <n v="13961"/>
    <s v="0"/>
    <s v="Smedegade 19"/>
    <x v="30"/>
    <x v="0"/>
    <x v="2"/>
    <n v="354.61"/>
    <n v="2"/>
    <s v="2014-11-04"/>
    <n v="0"/>
    <n v="214"/>
    <n v="1.656282"/>
    <n v="2"/>
    <x v="2"/>
    <n v="354.61"/>
    <n v="141.84"/>
    <n v="0"/>
    <s v="789021"/>
    <s v="74114320562"/>
    <n v="354.60345000000001"/>
    <n v="0"/>
    <n v="92680"/>
  </r>
  <r>
    <x v="11"/>
    <m/>
    <s v="Annexgården"/>
    <n v="10256"/>
    <m/>
    <s v="Annexgården"/>
    <x v="62"/>
    <x v="0"/>
    <x v="7"/>
    <n v="83.83"/>
    <n v="10"/>
    <s v="2015-03-13"/>
    <n v="0"/>
    <n v="381"/>
    <n v="0.219968"/>
    <n v="3"/>
    <x v="0"/>
    <n v="83.83"/>
    <n v="67.05"/>
    <n v="0"/>
    <s v="41439"/>
    <m/>
    <n v="83.826750000000004"/>
    <n v="0"/>
    <n v="77569"/>
  </r>
  <r>
    <x v="11"/>
    <m/>
    <s v="Annexgården"/>
    <n v="10256"/>
    <m/>
    <s v="Annexgården"/>
    <x v="62"/>
    <x v="0"/>
    <x v="7"/>
    <n v="10032.15"/>
    <n v="10"/>
    <s v="2015-05-04"/>
    <n v="0"/>
    <n v="381"/>
    <n v="26.324193000000001"/>
    <n v="2"/>
    <x v="2"/>
    <n v="10032.15"/>
    <n v="3009.66"/>
    <n v="0"/>
    <s v="60648"/>
    <s v="74110490979"/>
    <n v="10032.15357"/>
    <n v="0"/>
    <n v="77568"/>
  </r>
  <r>
    <x v="11"/>
    <m/>
    <s v="Annexgården"/>
    <n v="10256"/>
    <m/>
    <s v="Annexgården"/>
    <x v="62"/>
    <x v="0"/>
    <x v="7"/>
    <n v="40969.050000000003"/>
    <n v="12"/>
    <s v="2013-08-31"/>
    <n v="0"/>
    <n v="381"/>
    <n v="107.502099"/>
    <n v="1"/>
    <x v="5"/>
    <n v="50069.58"/>
    <n v="3204.46"/>
    <n v="0"/>
    <s v="2762361/2006"/>
    <m/>
    <n v="40.969050000000003"/>
    <n v="0"/>
    <n v="77615"/>
  </r>
  <r>
    <x v="11"/>
    <m/>
    <s v="Annexgården"/>
    <n v="10256"/>
    <m/>
    <s v="Annexgården"/>
    <x v="62"/>
    <x v="0"/>
    <x v="0"/>
    <n v="83"/>
    <n v="2"/>
    <s v="2015-03-13"/>
    <n v="0"/>
    <n v="381"/>
    <n v="4.6549E-2"/>
    <n v="3"/>
    <x v="0"/>
    <n v="17.739999999999998"/>
    <n v="14.19"/>
    <n v="0"/>
    <s v="41439"/>
    <m/>
    <n v="17.744679999999999"/>
    <n v="0"/>
    <n v="77569"/>
  </r>
  <r>
    <x v="11"/>
    <m/>
    <s v="Annexgården"/>
    <n v="10256"/>
    <m/>
    <s v="Annexgården"/>
    <x v="62"/>
    <x v="0"/>
    <x v="0"/>
    <n v="0"/>
    <n v="3"/>
    <s v="2015-05-04"/>
    <n v="0"/>
    <n v="381"/>
    <n v="3.6762000000000003E-2"/>
    <n v="3"/>
    <x v="0"/>
    <n v="14.01"/>
    <n v="0"/>
    <n v="0"/>
    <s v="115JA043867"/>
    <m/>
    <n v="14"/>
    <n v="0"/>
    <n v="97285"/>
  </r>
  <r>
    <x v="11"/>
    <m/>
    <s v="Annexgården"/>
    <n v="10256"/>
    <m/>
    <s v="Annexgården"/>
    <x v="62"/>
    <x v="0"/>
    <x v="1"/>
    <n v="99.39"/>
    <n v="10"/>
    <s v="2015-03-13"/>
    <n v="0"/>
    <n v="381"/>
    <n v="0.260797"/>
    <n v="3"/>
    <x v="0"/>
    <n v="99.39"/>
    <n v="79.52"/>
    <n v="0"/>
    <s v="41439"/>
    <m/>
    <n v="99.396320000000003"/>
    <n v="0"/>
    <n v="77569"/>
  </r>
  <r>
    <x v="11"/>
    <m/>
    <s v="Annexgården"/>
    <n v="10256"/>
    <m/>
    <s v="Annexgården"/>
    <x v="62"/>
    <x v="0"/>
    <x v="2"/>
    <n v="86.21"/>
    <n v="11"/>
    <s v="2015-03-13"/>
    <n v="0"/>
    <n v="381"/>
    <n v="0.226213"/>
    <n v="3"/>
    <x v="0"/>
    <n v="86.21"/>
    <n v="68.97"/>
    <n v="0"/>
    <s v="41439"/>
    <m/>
    <n v="86.210830000000001"/>
    <n v="0"/>
    <n v="77569"/>
  </r>
  <r>
    <x v="11"/>
    <m/>
    <s v="Annexgården"/>
    <n v="10256"/>
    <m/>
    <s v="Annexgården"/>
    <x v="62"/>
    <x v="0"/>
    <x v="3"/>
    <n v="78"/>
    <n v="8"/>
    <s v="2015-03-13"/>
    <n v="0"/>
    <n v="381"/>
    <n v="0.20466999999999999"/>
    <n v="3"/>
    <x v="0"/>
    <n v="78"/>
    <n v="62.41"/>
    <n v="0"/>
    <s v="41439"/>
    <m/>
    <n v="78.003249999999994"/>
    <n v="0"/>
    <n v="77569"/>
  </r>
  <r>
    <x v="11"/>
    <m/>
    <s v="Annexgården"/>
    <n v="10256"/>
    <m/>
    <s v="Annexgården"/>
    <x v="62"/>
    <x v="0"/>
    <x v="4"/>
    <n v="37.08"/>
    <n v="12"/>
    <s v="2015-03-13"/>
    <n v="0"/>
    <n v="381"/>
    <n v="9.7296999999999995E-2"/>
    <n v="3"/>
    <x v="0"/>
    <n v="37.08"/>
    <n v="29.67"/>
    <n v="0"/>
    <s v="41439"/>
    <m/>
    <n v="37.075319999999998"/>
    <n v="0"/>
    <n v="77569"/>
  </r>
  <r>
    <x v="11"/>
    <m/>
    <s v="Annexgården"/>
    <n v="10256"/>
    <m/>
    <s v="Annexgården"/>
    <x v="62"/>
    <x v="0"/>
    <x v="5"/>
    <n v="59.6"/>
    <n v="9"/>
    <s v="2015-03-13"/>
    <n v="0"/>
    <n v="381"/>
    <n v="0.156389"/>
    <n v="3"/>
    <x v="0"/>
    <n v="59.6"/>
    <n v="47.67"/>
    <n v="0"/>
    <s v="41439"/>
    <m/>
    <n v="59.592309999999998"/>
    <n v="0"/>
    <n v="77569"/>
  </r>
  <r>
    <x v="11"/>
    <m/>
    <s v="Annexgården"/>
    <n v="10256"/>
    <m/>
    <s v="Annexgården"/>
    <x v="62"/>
    <x v="0"/>
    <x v="6"/>
    <n v="58.91"/>
    <n v="13"/>
    <s v="2015-03-13"/>
    <n v="0"/>
    <n v="381"/>
    <n v="0.15457799999999999"/>
    <n v="3"/>
    <x v="0"/>
    <n v="58.91"/>
    <n v="47.12"/>
    <n v="0"/>
    <s v="41439"/>
    <m/>
    <n v="58.892470000000003"/>
    <n v="0"/>
    <n v="77569"/>
  </r>
  <r>
    <x v="11"/>
    <m/>
    <s v="Ellegården, Ladebygning, Stavnsholtvej 168"/>
    <n v="11351"/>
    <s v="0"/>
    <s v="Ellegården, Ladebygninger"/>
    <x v="63"/>
    <x v="0"/>
    <x v="0"/>
    <n v="114"/>
    <n v="5"/>
    <s v="2011-12-31"/>
    <n v="0"/>
    <n v="867"/>
    <n v="4.7248999999999999E-2"/>
    <n v="3"/>
    <x v="0"/>
    <n v="40.97"/>
    <n v="32.770000000000003"/>
    <n v="0"/>
    <s v="99 aa 502451/10316346"/>
    <m/>
    <n v="40.966999999999999"/>
    <n v="0"/>
    <n v="80896"/>
  </r>
  <r>
    <x v="11"/>
    <m/>
    <s v="Ellegården, Ladebygning, Stavnsholtvej 168"/>
    <n v="11351"/>
    <s v="0"/>
    <s v="Ellegården, Ladebygninger"/>
    <x v="63"/>
    <x v="0"/>
    <x v="1"/>
    <n v="139.22999999999999"/>
    <n v="12"/>
    <s v="2011-12-31"/>
    <n v="0"/>
    <n v="867"/>
    <n v="0.16056899999999999"/>
    <n v="3"/>
    <x v="0"/>
    <n v="139.22999999999999"/>
    <n v="111.38"/>
    <n v="0"/>
    <s v="99 aa 502451/10316346"/>
    <m/>
    <n v="139.22200000000001"/>
    <n v="0"/>
    <n v="80896"/>
  </r>
  <r>
    <x v="11"/>
    <m/>
    <s v="Ellegården, Ladebygning, Stavnsholtvej 168"/>
    <n v="11351"/>
    <s v="0"/>
    <s v="Ellegården, Ladebygninger"/>
    <x v="63"/>
    <x v="0"/>
    <x v="2"/>
    <n v="120.15"/>
    <n v="12"/>
    <s v="2011-12-31"/>
    <n v="0"/>
    <n v="867"/>
    <n v="0.13856499999999999"/>
    <n v="3"/>
    <x v="0"/>
    <n v="120.15"/>
    <n v="96.14"/>
    <n v="0"/>
    <s v="99 aa 502451/10316346"/>
    <m/>
    <n v="120.15600000000001"/>
    <n v="0"/>
    <n v="80896"/>
  </r>
  <r>
    <x v="11"/>
    <m/>
    <s v="Ellegården, Ladebygning, Stavnsholtvej 168"/>
    <n v="11351"/>
    <s v="0"/>
    <s v="Ellegården, Ladebygninger"/>
    <x v="63"/>
    <x v="0"/>
    <x v="3"/>
    <n v="63.76"/>
    <n v="7"/>
    <s v="2011-12-31"/>
    <n v="0"/>
    <n v="867"/>
    <n v="7.3532E-2"/>
    <n v="3"/>
    <x v="0"/>
    <n v="63.76"/>
    <n v="50.98"/>
    <n v="0"/>
    <s v="99 aa 502451/10316346"/>
    <m/>
    <n v="63.749989999999997"/>
    <n v="0"/>
    <n v="80896"/>
  </r>
  <r>
    <x v="11"/>
    <m/>
    <s v="Ellegården, Ladebygning, Stavnsholtvej 168"/>
    <n v="11351"/>
    <s v="0"/>
    <s v="Ellegården, Ladebygninger"/>
    <x v="63"/>
    <x v="0"/>
    <x v="4"/>
    <n v="120.43"/>
    <n v="4"/>
    <s v="2011-12-31"/>
    <n v="0"/>
    <n v="867"/>
    <n v="0.13888800000000001"/>
    <n v="3"/>
    <x v="0"/>
    <n v="120.43"/>
    <n v="96.36"/>
    <n v="0"/>
    <s v="99 aa 502451/10316346"/>
    <m/>
    <n v="120.45"/>
    <n v="0"/>
    <n v="80896"/>
  </r>
  <r>
    <x v="11"/>
    <m/>
    <s v="Ellegården, Ladebygning, Stavnsholtvej 168"/>
    <n v="11351"/>
    <s v="0"/>
    <s v="Ellegården, Ladebygninger"/>
    <x v="63"/>
    <x v="0"/>
    <x v="5"/>
    <n v="143.84"/>
    <n v="4"/>
    <s v="2011-12-31"/>
    <n v="0"/>
    <n v="867"/>
    <n v="0.16588600000000001"/>
    <n v="3"/>
    <x v="0"/>
    <n v="143.84"/>
    <n v="115.09"/>
    <n v="0"/>
    <s v="99 aa 502451/10316346"/>
    <m/>
    <n v="143.85714999999999"/>
    <n v="0"/>
    <n v="80896"/>
  </r>
  <r>
    <x v="11"/>
    <m/>
    <s v="Ellegården, Ladebygning, Stavnsholtvej 168"/>
    <n v="11351"/>
    <s v="0"/>
    <s v="Ellegården, Ladebygninger"/>
    <x v="63"/>
    <x v="0"/>
    <x v="6"/>
    <n v="202.08"/>
    <n v="1"/>
    <s v="2011-12-31"/>
    <n v="0"/>
    <n v="867"/>
    <n v="0.23305200000000001"/>
    <n v="3"/>
    <x v="0"/>
    <n v="202.08"/>
    <n v="161.66"/>
    <n v="0"/>
    <s v="99 aa 502451/10316346"/>
    <m/>
    <n v="202.07489000000001"/>
    <n v="0"/>
    <n v="80896"/>
  </r>
  <r>
    <x v="11"/>
    <m/>
    <s v="Forsamlingshus, Smedegade 5"/>
    <n v="10205"/>
    <m/>
    <s v="Forsamlingshus, Smedegade 5"/>
    <x v="64"/>
    <x v="0"/>
    <x v="0"/>
    <n v="41"/>
    <n v="5"/>
    <s v="2013-11-30"/>
    <n v="0"/>
    <n v="314"/>
    <n v="4.6322000000000002E-2"/>
    <n v="3"/>
    <x v="0"/>
    <n v="14.55"/>
    <n v="11.63"/>
    <n v="0"/>
    <s v="07/595852"/>
    <m/>
    <n v="14.55"/>
    <n v="0"/>
    <n v="77391"/>
  </r>
  <r>
    <x v="11"/>
    <m/>
    <s v="Forsamlingshus, Smedegade 5"/>
    <n v="10205"/>
    <m/>
    <s v="Forsamlingshus, Smedegade 5"/>
    <x v="64"/>
    <x v="0"/>
    <x v="1"/>
    <n v="45.74"/>
    <n v="8"/>
    <s v="2013-11-30"/>
    <n v="0"/>
    <n v="314"/>
    <n v="0.145622"/>
    <n v="3"/>
    <x v="0"/>
    <n v="45.74"/>
    <n v="36.56"/>
    <n v="0"/>
    <s v="07/595852"/>
    <m/>
    <n v="45.735329999999998"/>
    <n v="0"/>
    <n v="77391"/>
  </r>
  <r>
    <x v="11"/>
    <m/>
    <s v="Forsamlingshus, Smedegade 5"/>
    <n v="10205"/>
    <m/>
    <s v="Forsamlingshus, Smedegade 5"/>
    <x v="64"/>
    <x v="0"/>
    <x v="2"/>
    <n v="44.12"/>
    <n v="8"/>
    <s v="2013-11-30"/>
    <n v="0"/>
    <n v="314"/>
    <n v="0.14046400000000001"/>
    <n v="3"/>
    <x v="0"/>
    <n v="44.12"/>
    <n v="35.299999999999997"/>
    <n v="0"/>
    <s v="07/595852"/>
    <m/>
    <n v="44.121200000000002"/>
    <n v="0"/>
    <n v="77391"/>
  </r>
  <r>
    <x v="11"/>
    <m/>
    <s v="Forsamlingshus, Smedegade 5"/>
    <n v="10205"/>
    <m/>
    <s v="Forsamlingshus, Smedegade 5"/>
    <x v="64"/>
    <x v="0"/>
    <x v="3"/>
    <n v="37.950000000000003"/>
    <n v="5"/>
    <s v="2013-11-30"/>
    <n v="0"/>
    <n v="314"/>
    <n v="0.120821"/>
    <n v="3"/>
    <x v="0"/>
    <n v="37.950000000000003"/>
    <n v="30.37"/>
    <n v="0"/>
    <s v="07/595852"/>
    <m/>
    <n v="37.954999999999998"/>
    <n v="0"/>
    <n v="77391"/>
  </r>
  <r>
    <x v="11"/>
    <m/>
    <s v="Forsamlingshus, Smedegade 5"/>
    <n v="10205"/>
    <m/>
    <s v="Forsamlingshus, Smedegade 5"/>
    <x v="64"/>
    <x v="0"/>
    <x v="4"/>
    <n v="44.05"/>
    <n v="2"/>
    <s v="2013-11-30"/>
    <n v="0"/>
    <n v="314"/>
    <n v="0.140241"/>
    <n v="3"/>
    <x v="0"/>
    <n v="44.05"/>
    <n v="35.200000000000003"/>
    <n v="0"/>
    <s v="07/595852"/>
    <m/>
    <n v="44.021529999999998"/>
    <n v="0"/>
    <n v="77391"/>
  </r>
  <r>
    <x v="11"/>
    <m/>
    <s v="Forsamlingshus, Smedegade 5"/>
    <n v="10205"/>
    <m/>
    <s v="Forsamlingshus, Smedegade 5"/>
    <x v="64"/>
    <x v="0"/>
    <x v="5"/>
    <n v="56.15"/>
    <n v="6"/>
    <s v="2013-11-30"/>
    <n v="0"/>
    <n v="314"/>
    <n v="0.17876400000000001"/>
    <n v="3"/>
    <x v="0"/>
    <n v="56.15"/>
    <n v="44.95"/>
    <n v="0"/>
    <s v="07/595852"/>
    <m/>
    <n v="56.167879999999997"/>
    <n v="0"/>
    <n v="77391"/>
  </r>
  <r>
    <x v="11"/>
    <m/>
    <s v="Forsamlingshus, Smedegade 5"/>
    <n v="10205"/>
    <m/>
    <s v="Forsamlingshus, Smedegade 5"/>
    <x v="64"/>
    <x v="0"/>
    <x v="6"/>
    <n v="60.75"/>
    <n v="4"/>
    <s v="2013-11-30"/>
    <n v="0"/>
    <n v="314"/>
    <n v="0.193409"/>
    <n v="3"/>
    <x v="0"/>
    <n v="60.75"/>
    <n v="48.57"/>
    <n v="0"/>
    <s v="07/595852"/>
    <m/>
    <n v="60.736249999999998"/>
    <n v="0"/>
    <n v="77391"/>
  </r>
  <r>
    <x v="11"/>
    <s v="11867"/>
    <s v="Hovedvagten Kasernebygning"/>
    <n v="13661"/>
    <s v="0"/>
    <s v="Hovedvagten Kasernebygning"/>
    <x v="65"/>
    <x v="0"/>
    <x v="0"/>
    <n v="6"/>
    <n v="5"/>
    <s v="2013-11-30"/>
    <n v="0"/>
    <n v="307"/>
    <n v="1.0485E-2"/>
    <n v="3"/>
    <x v="0"/>
    <n v="3.22"/>
    <n v="2.58"/>
    <n v="0"/>
    <m/>
    <m/>
    <n v="3.2210000000000001"/>
    <n v="0"/>
    <n v="91250"/>
  </r>
  <r>
    <x v="11"/>
    <s v="11867"/>
    <s v="Hovedvagten Kasernebygning"/>
    <n v="13661"/>
    <s v="0"/>
    <s v="Hovedvagten Kasernebygning"/>
    <x v="65"/>
    <x v="0"/>
    <x v="1"/>
    <n v="35.979999999999997"/>
    <n v="6"/>
    <s v="2013-11-30"/>
    <n v="0"/>
    <n v="307"/>
    <n v="0.11716"/>
    <n v="3"/>
    <x v="0"/>
    <n v="35.979999999999997"/>
    <n v="28.79"/>
    <n v="0"/>
    <m/>
    <m/>
    <n v="35.984439999999999"/>
    <n v="0"/>
    <n v="91250"/>
  </r>
  <r>
    <x v="11"/>
    <s v="11867"/>
    <s v="Hovedvagten Kasernebygning"/>
    <n v="13661"/>
    <s v="0"/>
    <s v="Hovedvagten Kasernebygning"/>
    <x v="65"/>
    <x v="0"/>
    <x v="2"/>
    <n v="0.41"/>
    <n v="1"/>
    <s v="2013-11-30"/>
    <n v="0"/>
    <n v="307"/>
    <n v="1.335E-3"/>
    <n v="3"/>
    <x v="0"/>
    <n v="0.41"/>
    <n v="0.33"/>
    <n v="0"/>
    <m/>
    <m/>
    <n v="0.40856999999999999"/>
    <n v="0"/>
    <n v="91250"/>
  </r>
  <r>
    <x v="11"/>
    <m/>
    <s v="Jonstruphus -Jonstrupvangvej 159"/>
    <n v="10206"/>
    <m/>
    <s v="Jonstruphus"/>
    <x v="66"/>
    <x v="0"/>
    <x v="0"/>
    <n v="1371"/>
    <n v="5"/>
    <s v="2011-09-30"/>
    <n v="0"/>
    <n v="439"/>
    <n v="9.9475999999999995E-2"/>
    <n v="3"/>
    <x v="0"/>
    <n v="43.68"/>
    <n v="34.94"/>
    <n v="0"/>
    <s v="00PC500647"/>
    <m/>
    <n v="43.676000000000002"/>
    <n v="0"/>
    <n v="77394"/>
  </r>
  <r>
    <x v="11"/>
    <m/>
    <s v="Jonstruphus -Jonstrupvangvej 159"/>
    <n v="10206"/>
    <m/>
    <s v="Jonstruphus"/>
    <x v="66"/>
    <x v="0"/>
    <x v="1"/>
    <n v="128.55000000000001"/>
    <n v="12"/>
    <s v="2011-09-30"/>
    <n v="0"/>
    <n v="439"/>
    <n v="0.29275699999999999"/>
    <n v="3"/>
    <x v="0"/>
    <n v="128.55000000000001"/>
    <n v="102.87"/>
    <n v="0"/>
    <s v="00PC500647"/>
    <m/>
    <n v="128.565"/>
    <n v="0"/>
    <n v="77394"/>
  </r>
  <r>
    <x v="11"/>
    <m/>
    <s v="Jonstruphus -Jonstrupvangvej 159"/>
    <n v="10206"/>
    <m/>
    <s v="Jonstruphus"/>
    <x v="66"/>
    <x v="0"/>
    <x v="1"/>
    <n v="37.26"/>
    <n v="3"/>
    <s v="2014-11-24"/>
    <n v="0"/>
    <n v="439"/>
    <n v="8.4855E-2"/>
    <n v="3"/>
    <x v="0"/>
    <n v="37.26"/>
    <n v="29.83"/>
    <n v="0"/>
    <s v="BI Varmt vand"/>
    <m/>
    <n v="37.273969999999998"/>
    <n v="0"/>
    <n v="93708"/>
  </r>
  <r>
    <x v="11"/>
    <m/>
    <s v="Jonstruphus -Jonstrupvangvej 159"/>
    <n v="10206"/>
    <m/>
    <s v="Jonstruphus"/>
    <x v="66"/>
    <x v="0"/>
    <x v="2"/>
    <n v="130.84"/>
    <n v="12"/>
    <s v="2011-09-30"/>
    <n v="0"/>
    <n v="439"/>
    <n v="0.29797299999999999"/>
    <n v="3"/>
    <x v="0"/>
    <n v="130.84"/>
    <n v="104.68"/>
    <n v="0"/>
    <s v="00PC500647"/>
    <m/>
    <n v="130.846"/>
    <n v="0"/>
    <n v="77394"/>
  </r>
  <r>
    <x v="11"/>
    <m/>
    <s v="Jonstruphus -Jonstrupvangvej 159"/>
    <n v="10206"/>
    <m/>
    <s v="Jonstruphus"/>
    <x v="66"/>
    <x v="0"/>
    <x v="3"/>
    <n v="181.05"/>
    <n v="9"/>
    <s v="2011-09-30"/>
    <n v="0"/>
    <n v="439"/>
    <n v="0.41232000000000002"/>
    <n v="3"/>
    <x v="0"/>
    <n v="181.05"/>
    <n v="144.85"/>
    <n v="0"/>
    <s v="00PC500647"/>
    <m/>
    <n v="181.05758"/>
    <n v="0"/>
    <n v="77394"/>
  </r>
  <r>
    <x v="11"/>
    <m/>
    <s v="Jonstruphus -Jonstrupvangvej 159"/>
    <n v="10206"/>
    <m/>
    <s v="Jonstruphus"/>
    <x v="66"/>
    <x v="0"/>
    <x v="4"/>
    <n v="152.75"/>
    <n v="2"/>
    <s v="2011-09-30"/>
    <n v="0"/>
    <n v="439"/>
    <n v="0.34787000000000001"/>
    <n v="3"/>
    <x v="0"/>
    <n v="152.75"/>
    <n v="122.22"/>
    <n v="0"/>
    <s v="00PC500647"/>
    <m/>
    <n v="152.76292000000001"/>
    <n v="0"/>
    <n v="77394"/>
  </r>
  <r>
    <x v="11"/>
    <m/>
    <s v="Jonstruphus -Jonstrupvangvej 159"/>
    <n v="10206"/>
    <m/>
    <s v="Jonstruphus"/>
    <x v="66"/>
    <x v="0"/>
    <x v="5"/>
    <n v="210.92"/>
    <n v="4"/>
    <s v="2011-09-30"/>
    <n v="0"/>
    <n v="439"/>
    <n v="0.480346"/>
    <n v="3"/>
    <x v="0"/>
    <n v="210.92"/>
    <n v="168.74"/>
    <n v="0"/>
    <s v="00PC500647"/>
    <m/>
    <n v="210.91839999999999"/>
    <n v="0"/>
    <n v="77394"/>
  </r>
  <r>
    <x v="11"/>
    <m/>
    <s v="Jonstruphus -Jonstrupvangvej 159"/>
    <n v="10206"/>
    <m/>
    <s v="Jonstruphus"/>
    <x v="66"/>
    <x v="0"/>
    <x v="6"/>
    <n v="233.09"/>
    <n v="4"/>
    <s v="2011-09-30"/>
    <n v="0"/>
    <n v="439"/>
    <n v="0.53083499999999995"/>
    <n v="3"/>
    <x v="0"/>
    <n v="233.09"/>
    <n v="186.48"/>
    <n v="0"/>
    <s v="00PC500647"/>
    <m/>
    <n v="233.10990000000001"/>
    <n v="0"/>
    <n v="77394"/>
  </r>
  <r>
    <x v="11"/>
    <m/>
    <s v="Rørmosen Haveforening, RØR 4"/>
    <n v="14003"/>
    <s v="0"/>
    <s v="Rørmosen Haveforening, Rørmose 4"/>
    <x v="67"/>
    <x v="0"/>
    <x v="0"/>
    <n v="87"/>
    <n v="1"/>
    <s v="2015-02-11"/>
    <n v="0"/>
    <n v="50"/>
    <n v="3.4131000000000002E-2"/>
    <n v="3"/>
    <x v="0"/>
    <n v="1.71"/>
    <n v="1.36"/>
    <n v="0"/>
    <s v="316302"/>
    <m/>
    <n v="1.70834"/>
    <n v="0"/>
    <n v="93000"/>
  </r>
  <r>
    <x v="11"/>
    <m/>
    <s v="Rørmosen Haveforening, RØR 4"/>
    <n v="14003"/>
    <s v="0"/>
    <s v="Rørmosen Haveforening, Rørmose 4"/>
    <x v="67"/>
    <x v="0"/>
    <x v="1"/>
    <n v="131"/>
    <n v="4"/>
    <s v="2015-02-11"/>
    <n v="0"/>
    <n v="50"/>
    <n v="2.61477"/>
    <n v="3"/>
    <x v="0"/>
    <n v="131"/>
    <n v="104.82"/>
    <n v="0"/>
    <s v="316302"/>
    <m/>
    <n v="131.02424999999999"/>
    <n v="0"/>
    <n v="93000"/>
  </r>
  <r>
    <x v="11"/>
    <m/>
    <s v="Ellegården, Ladebygning, Stavnsholtvej 168"/>
    <n v="11351"/>
    <s v="0"/>
    <s v="Ellegården, Ladebygninger"/>
    <x v="63"/>
    <x v="0"/>
    <x v="7"/>
    <n v="123.27"/>
    <n v="12"/>
    <s v="2011-12-31"/>
    <n v="0"/>
    <n v="867"/>
    <n v="0.14216300000000001"/>
    <n v="3"/>
    <x v="0"/>
    <n v="123.27"/>
    <n v="98.61"/>
    <n v="0"/>
    <s v="99 aa 502451/10316346"/>
    <m/>
    <n v="123.267"/>
    <n v="0"/>
    <n v="80896"/>
  </r>
  <r>
    <x v="11"/>
    <m/>
    <s v="Annexgården"/>
    <n v="10256"/>
    <m/>
    <s v="Annexgården"/>
    <x v="62"/>
    <x v="0"/>
    <x v="1"/>
    <n v="10227.129999999999"/>
    <n v="10"/>
    <s v="2015-05-04"/>
    <n v="0"/>
    <n v="381"/>
    <n v="26.835816999999999"/>
    <n v="2"/>
    <x v="2"/>
    <n v="10227.129999999999"/>
    <n v="3068.13"/>
    <n v="0"/>
    <s v="60648"/>
    <s v="74110490979"/>
    <n v="10227.105170000001"/>
    <n v="0"/>
    <n v="77568"/>
  </r>
  <r>
    <x v="11"/>
    <m/>
    <s v="Ellegården, Ladebygning, Stavnsholtvej 168"/>
    <n v="11351"/>
    <s v="0"/>
    <s v="Ellegården, Ladebygninger"/>
    <x v="63"/>
    <x v="0"/>
    <x v="7"/>
    <n v="17297.95"/>
    <n v="12"/>
    <s v="2011-12-31"/>
    <n v="0"/>
    <n v="867"/>
    <n v="19.949197999999999"/>
    <n v="2"/>
    <x v="2"/>
    <n v="17297.95"/>
    <n v="5189.37"/>
    <n v="0"/>
    <s v="72027-34017"/>
    <m/>
    <n v="17297.963"/>
    <n v="0"/>
    <n v="80895"/>
  </r>
  <r>
    <x v="3"/>
    <m/>
    <s v="Børnehuset Åkanden / Skovbo Skovbovænget 75"/>
    <n v="9977"/>
    <m/>
    <s v="Åkanden/Skovbo"/>
    <x v="23"/>
    <x v="0"/>
    <x v="7"/>
    <n v="48687.51"/>
    <n v="12"/>
    <s v="2010-09-30"/>
    <n v="0"/>
    <n v="487"/>
    <n v="99.953828000000001"/>
    <n v="1"/>
    <x v="6"/>
    <n v="57928.73"/>
    <n v="11813.34"/>
    <n v="0"/>
    <s v="1170668"/>
    <s v="98004724939"/>
    <n v="4347.09998"/>
    <n v="0"/>
    <n v="76406"/>
  </r>
  <r>
    <x v="11"/>
    <m/>
    <s v="Forsamlingshus, Smedegade 5"/>
    <n v="10205"/>
    <m/>
    <s v="Forsamlingshus, Smedegade 5"/>
    <x v="64"/>
    <x v="0"/>
    <x v="7"/>
    <n v="49.37"/>
    <n v="12"/>
    <s v="2013-11-30"/>
    <n v="0"/>
    <n v="314"/>
    <n v="0.15717900000000001"/>
    <n v="3"/>
    <x v="0"/>
    <n v="49.37"/>
    <n v="39.479999999999997"/>
    <n v="0"/>
    <s v="07/595852"/>
    <m/>
    <n v="49.36"/>
    <n v="0"/>
    <n v="77391"/>
  </r>
  <r>
    <x v="11"/>
    <m/>
    <s v="Ellegården, Ladebygning, Stavnsholtvej 168"/>
    <n v="11351"/>
    <s v="0"/>
    <s v="Ellegården, Ladebygninger"/>
    <x v="63"/>
    <x v="0"/>
    <x v="7"/>
    <n v="120.87"/>
    <n v="12"/>
    <s v="2011-12-31"/>
    <n v="0"/>
    <n v="867"/>
    <n v="0.13939499999999999"/>
    <n v="2"/>
    <x v="2"/>
    <n v="120.87"/>
    <n v="36.26"/>
    <n v="0"/>
    <s v="Køkken / 4120909"/>
    <s v="74112260112"/>
    <n v="120.867"/>
    <n v="0"/>
    <n v="80929"/>
  </r>
  <r>
    <x v="3"/>
    <s v="004757-0"/>
    <s v="Bifrost Nordtoftevej 56c"/>
    <n v="5251"/>
    <m/>
    <s v="Bifrost"/>
    <x v="18"/>
    <x v="0"/>
    <x v="7"/>
    <n v="48871.33"/>
    <n v="10"/>
    <s v="2014-04-30"/>
    <n v="0"/>
    <n v="375"/>
    <n v="130.288802"/>
    <n v="1"/>
    <x v="4"/>
    <n v="58165.45"/>
    <n v="12300.93"/>
    <n v="0"/>
    <s v="1203721"/>
    <s v="98004825483"/>
    <n v="4525.1225599999998"/>
    <n v="0"/>
    <n v="56681"/>
  </r>
  <r>
    <x v="11"/>
    <m/>
    <s v="Annexgården"/>
    <n v="10256"/>
    <m/>
    <s v="Annexgården"/>
    <x v="62"/>
    <x v="0"/>
    <x v="0"/>
    <n v="43448"/>
    <n v="5"/>
    <s v="2013-08-31"/>
    <n v="0"/>
    <n v="381"/>
    <n v="68.981893999999997"/>
    <n v="1"/>
    <x v="5"/>
    <n v="51121"/>
    <n v="1925.96"/>
    <n v="0"/>
    <s v="2762361/2006"/>
    <m/>
    <n v="26.289000000000001"/>
    <n v="0"/>
    <n v="77615"/>
  </r>
  <r>
    <x v="11"/>
    <m/>
    <s v="Annexgården"/>
    <n v="10256"/>
    <m/>
    <s v="Annexgården"/>
    <x v="62"/>
    <x v="0"/>
    <x v="1"/>
    <n v="52650.42"/>
    <n v="11"/>
    <s v="2013-08-31"/>
    <n v="0"/>
    <n v="381"/>
    <n v="138.153817"/>
    <n v="1"/>
    <x v="5"/>
    <n v="54567.67"/>
    <n v="3492.32"/>
    <n v="0"/>
    <s v="2762361/2006"/>
    <m/>
    <n v="52.650419999999997"/>
    <n v="0"/>
    <n v="77615"/>
  </r>
  <r>
    <x v="11"/>
    <m/>
    <s v="Annexgården"/>
    <n v="10256"/>
    <m/>
    <s v="Annexgården"/>
    <x v="62"/>
    <x v="0"/>
    <x v="2"/>
    <n v="54812.06"/>
    <n v="10"/>
    <s v="2013-08-31"/>
    <n v="0"/>
    <n v="381"/>
    <n v="143.82592399999999"/>
    <n v="1"/>
    <x v="5"/>
    <n v="58770.32"/>
    <n v="10872.52"/>
    <n v="0"/>
    <s v="2762361/2006"/>
    <m/>
    <n v="54.812060000000002"/>
    <n v="0"/>
    <n v="77615"/>
  </r>
  <r>
    <x v="11"/>
    <m/>
    <s v="Annexgården"/>
    <n v="10256"/>
    <m/>
    <s v="Annexgården"/>
    <x v="62"/>
    <x v="0"/>
    <x v="3"/>
    <n v="54706.74"/>
    <n v="8"/>
    <s v="2013-08-31"/>
    <n v="0"/>
    <n v="381"/>
    <n v="143.549567"/>
    <n v="1"/>
    <x v="5"/>
    <n v="65410.65"/>
    <n v="12100.95"/>
    <n v="0"/>
    <s v="2762361/2006"/>
    <m/>
    <n v="54.706740000000003"/>
    <n v="0"/>
    <n v="77615"/>
  </r>
  <r>
    <x v="11"/>
    <m/>
    <s v="Annexgården"/>
    <n v="10256"/>
    <m/>
    <s v="Annexgården"/>
    <x v="62"/>
    <x v="0"/>
    <x v="4"/>
    <n v="68009.72"/>
    <n v="12"/>
    <s v="2013-08-31"/>
    <n v="0"/>
    <n v="381"/>
    <n v="178.45636300000001"/>
    <n v="1"/>
    <x v="5"/>
    <n v="61328.65"/>
    <n v="11345.82"/>
    <n v="0"/>
    <s v="2762361/2006"/>
    <m/>
    <n v="68.009720000000002"/>
    <n v="0"/>
    <n v="77615"/>
  </r>
  <r>
    <x v="11"/>
    <m/>
    <s v="Annexgården"/>
    <n v="10256"/>
    <m/>
    <s v="Annexgården"/>
    <x v="62"/>
    <x v="0"/>
    <x v="5"/>
    <n v="55225.74"/>
    <n v="12"/>
    <s v="2013-08-31"/>
    <n v="0"/>
    <n v="381"/>
    <n v="144.91141400000001"/>
    <n v="1"/>
    <x v="5"/>
    <n v="59430.77"/>
    <n v="10994.7"/>
    <n v="0"/>
    <s v="2762361/2006"/>
    <m/>
    <n v="55.225740000000002"/>
    <n v="0"/>
    <n v="77615"/>
  </r>
  <r>
    <x v="11"/>
    <m/>
    <s v="Annexgården"/>
    <n v="10256"/>
    <m/>
    <s v="Annexgården"/>
    <x v="62"/>
    <x v="0"/>
    <x v="6"/>
    <n v="52664.46"/>
    <n v="13"/>
    <s v="2013-08-31"/>
    <n v="0"/>
    <n v="381"/>
    <n v="138.19065800000001"/>
    <n v="1"/>
    <x v="5"/>
    <n v="62461.18"/>
    <n v="11555.32"/>
    <n v="0"/>
    <s v="2762361/2006"/>
    <m/>
    <n v="52.664459999999998"/>
    <n v="0"/>
    <n v="77615"/>
  </r>
  <r>
    <x v="11"/>
    <m/>
    <s v="Ellegården, Ladebygning, Stavnsholtvej 168"/>
    <n v="11351"/>
    <s v="0"/>
    <s v="Ellegården, Ladebygninger"/>
    <x v="63"/>
    <x v="0"/>
    <x v="0"/>
    <n v="75733"/>
    <n v="5"/>
    <s v="2011-12-31"/>
    <n v="0"/>
    <n v="867"/>
    <n v="42.000069000000003"/>
    <n v="1"/>
    <x v="4"/>
    <n v="93537"/>
    <n v="8872.0499999999993"/>
    <n v="0"/>
    <s v="1203600"/>
    <s v="98004815958"/>
    <n v="3372.0605"/>
    <n v="0"/>
    <n v="80928"/>
  </r>
  <r>
    <x v="11"/>
    <m/>
    <s v="Ellegården, Ladebygning, Stavnsholtvej 168"/>
    <n v="11351"/>
    <s v="0"/>
    <s v="Ellegården, Ladebygninger"/>
    <x v="63"/>
    <x v="0"/>
    <x v="1"/>
    <n v="82409.09"/>
    <n v="12"/>
    <s v="2011-12-31"/>
    <n v="0"/>
    <n v="867"/>
    <n v="95.039890999999997"/>
    <n v="1"/>
    <x v="4"/>
    <n v="90943.56"/>
    <n v="19232.87"/>
    <n v="0"/>
    <s v="1203600"/>
    <s v="98004815958"/>
    <n v="7630.4704000000002"/>
    <n v="0"/>
    <n v="80928"/>
  </r>
  <r>
    <x v="11"/>
    <m/>
    <s v="Ellegården, Ladebygning, Stavnsholtvej 168"/>
    <n v="11351"/>
    <s v="0"/>
    <s v="Ellegården, Ladebygninger"/>
    <x v="63"/>
    <x v="0"/>
    <x v="2"/>
    <n v="84818.68"/>
    <n v="12"/>
    <s v="2011-12-31"/>
    <n v="0"/>
    <n v="867"/>
    <n v="97.818798000000001"/>
    <n v="1"/>
    <x v="4"/>
    <n v="90262.73"/>
    <n v="19088.900000000001"/>
    <n v="0"/>
    <s v="1203600"/>
    <s v="98004815958"/>
    <n v="7853.58"/>
    <n v="0"/>
    <n v="80928"/>
  </r>
  <r>
    <x v="11"/>
    <m/>
    <s v="Ellegården, Ladebygning, Stavnsholtvej 168"/>
    <n v="11351"/>
    <s v="0"/>
    <s v="Ellegården, Ladebygninger"/>
    <x v="63"/>
    <x v="0"/>
    <x v="3"/>
    <n v="81746.960000000006"/>
    <n v="5"/>
    <s v="2011-12-31"/>
    <n v="0"/>
    <n v="867"/>
    <n v="94.276276999999993"/>
    <n v="1"/>
    <x v="4"/>
    <n v="93953.49"/>
    <n v="19869.419999999998"/>
    <n v="0"/>
    <s v="1203600"/>
    <s v="98004815958"/>
    <n v="7569.1636500000004"/>
    <n v="0"/>
    <n v="80928"/>
  </r>
  <r>
    <x v="11"/>
    <m/>
    <s v="Ellegården, Ladebygning, Stavnsholtvej 168"/>
    <n v="11351"/>
    <s v="0"/>
    <s v="Ellegården, Ladebygninger"/>
    <x v="63"/>
    <x v="0"/>
    <x v="4"/>
    <n v="89029.14"/>
    <n v="4"/>
    <s v="2011-12-31"/>
    <n v="0"/>
    <n v="867"/>
    <n v="102.674593"/>
    <n v="1"/>
    <x v="4"/>
    <n v="113756.5"/>
    <n v="24057.39"/>
    <n v="0"/>
    <s v="1203600"/>
    <s v="98004815958"/>
    <n v="8243.4392399999997"/>
    <n v="0"/>
    <n v="80928"/>
  </r>
  <r>
    <x v="11"/>
    <m/>
    <s v="Ellegården, Ladebygning, Stavnsholtvej 168"/>
    <n v="11351"/>
    <s v="0"/>
    <s v="Ellegården, Ladebygninger"/>
    <x v="63"/>
    <x v="0"/>
    <x v="5"/>
    <n v="88598.07"/>
    <n v="4"/>
    <s v="2011-12-31"/>
    <n v="0"/>
    <n v="867"/>
    <n v="102.177453"/>
    <n v="1"/>
    <x v="4"/>
    <n v="131753.78"/>
    <n v="27863.48"/>
    <n v="0"/>
    <s v="1203600"/>
    <s v="98004815958"/>
    <n v="8203.5221099999999"/>
    <n v="0"/>
    <n v="80928"/>
  </r>
  <r>
    <x v="11"/>
    <m/>
    <s v="Ellegården, Ladebygning, Stavnsholtvej 168"/>
    <n v="11351"/>
    <s v="0"/>
    <s v="Ellegården, Ladebygninger"/>
    <x v="63"/>
    <x v="0"/>
    <x v="6"/>
    <n v="71589.52"/>
    <n v="1"/>
    <s v="2011-12-31"/>
    <n v="0"/>
    <n v="867"/>
    <n v="82.562010999999998"/>
    <n v="1"/>
    <x v="4"/>
    <n v="94381.13"/>
    <n v="19959.87"/>
    <n v="0"/>
    <s v="1203600"/>
    <s v="98004815958"/>
    <n v="6628.6584300000004"/>
    <n v="0"/>
    <n v="80928"/>
  </r>
  <r>
    <x v="11"/>
    <m/>
    <s v="Forsamlingshus, Smedegade 5"/>
    <n v="10205"/>
    <m/>
    <s v="Forsamlingshus, Smedegade 5"/>
    <x v="64"/>
    <x v="0"/>
    <x v="0"/>
    <n v="49234"/>
    <n v="5"/>
    <s v="2013-11-30"/>
    <n v="0"/>
    <n v="314"/>
    <n v="101.36497900000001"/>
    <n v="1"/>
    <x v="4"/>
    <n v="54683"/>
    <n v="7632.49"/>
    <n v="0"/>
    <s v="1604655"/>
    <s v="98001297474"/>
    <n v="2948.0317"/>
    <n v="0"/>
    <n v="77392"/>
  </r>
  <r>
    <x v="11"/>
    <m/>
    <s v="Forsamlingshus, Smedegade 5"/>
    <n v="10205"/>
    <m/>
    <s v="Forsamlingshus, Smedegade 5"/>
    <x v="64"/>
    <x v="0"/>
    <x v="1"/>
    <n v="51431.47"/>
    <n v="8"/>
    <s v="2013-11-30"/>
    <n v="0"/>
    <n v="314"/>
    <n v="163.74234300000001"/>
    <n v="1"/>
    <x v="4"/>
    <n v="54242.57"/>
    <n v="11471.3"/>
    <n v="0"/>
    <s v="1604655"/>
    <s v="98001297474"/>
    <n v="4762.1735399999998"/>
    <n v="0"/>
    <n v="77392"/>
  </r>
  <r>
    <x v="11"/>
    <m/>
    <s v="Forsamlingshus, Smedegade 5"/>
    <n v="10205"/>
    <m/>
    <s v="Forsamlingshus, Smedegade 5"/>
    <x v="64"/>
    <x v="0"/>
    <x v="2"/>
    <n v="55453.11"/>
    <n v="6"/>
    <s v="2013-11-30"/>
    <n v="0"/>
    <n v="314"/>
    <n v="176.54603599999999"/>
    <n v="1"/>
    <x v="4"/>
    <n v="57819.18"/>
    <n v="12227.69"/>
    <n v="0"/>
    <s v="1604655"/>
    <s v="98001297474"/>
    <n v="5134.5476699999999"/>
    <n v="0"/>
    <n v="77392"/>
  </r>
  <r>
    <x v="11"/>
    <m/>
    <s v="Forsamlingshus, Smedegade 5"/>
    <n v="10205"/>
    <m/>
    <s v="Forsamlingshus, Smedegade 5"/>
    <x v="64"/>
    <x v="0"/>
    <x v="3"/>
    <n v="50881.31"/>
    <n v="3"/>
    <s v="2013-11-30"/>
    <n v="0"/>
    <n v="314"/>
    <n v="161.99079900000001"/>
    <n v="1"/>
    <x v="4"/>
    <n v="60584.04"/>
    <n v="12812.39"/>
    <n v="0"/>
    <s v="1604655"/>
    <s v="98001297474"/>
    <n v="4711.2312300000003"/>
    <n v="0"/>
    <n v="77392"/>
  </r>
  <r>
    <x v="11"/>
    <m/>
    <s v="Forsamlingshus, Smedegade 5"/>
    <n v="10205"/>
    <m/>
    <s v="Forsamlingshus, Smedegade 5"/>
    <x v="64"/>
    <x v="0"/>
    <x v="4"/>
    <n v="61071.6"/>
    <n v="2"/>
    <s v="2013-11-30"/>
    <n v="0"/>
    <n v="314"/>
    <n v="194.43361899999999"/>
    <n v="1"/>
    <x v="4"/>
    <n v="77150.259999999995"/>
    <n v="16315.87"/>
    <n v="0"/>
    <s v="1604655"/>
    <s v="98001297474"/>
    <n v="5654.7781500000001"/>
    <n v="0"/>
    <n v="77392"/>
  </r>
  <r>
    <x v="11"/>
    <m/>
    <s v="Forsamlingshus, Smedegade 5"/>
    <n v="10205"/>
    <m/>
    <s v="Forsamlingshus, Smedegade 5"/>
    <x v="64"/>
    <x v="0"/>
    <x v="5"/>
    <n v="53703.72"/>
    <n v="6"/>
    <s v="2013-11-30"/>
    <n v="0"/>
    <n v="314"/>
    <n v="170.97650400000001"/>
    <n v="1"/>
    <x v="4"/>
    <n v="63813.21"/>
    <n v="13495.33"/>
    <n v="0"/>
    <s v="1604655"/>
    <s v="98001297474"/>
    <n v="4972.5663999999997"/>
    <n v="0"/>
    <n v="77392"/>
  </r>
  <r>
    <x v="11"/>
    <m/>
    <s v="Forsamlingshus, Smedegade 5"/>
    <n v="10205"/>
    <m/>
    <s v="Forsamlingshus, Smedegade 5"/>
    <x v="64"/>
    <x v="0"/>
    <x v="6"/>
    <n v="72169.41"/>
    <n v="6"/>
    <s v="2013-11-30"/>
    <n v="0"/>
    <n v="314"/>
    <n v="229.76571100000001"/>
    <n v="1"/>
    <x v="4"/>
    <n v="85211.16"/>
    <n v="18020.580000000002"/>
    <n v="0"/>
    <s v="1604655"/>
    <s v="98001297474"/>
    <n v="6682.35232"/>
    <n v="0"/>
    <n v="77392"/>
  </r>
  <r>
    <x v="11"/>
    <s v="11867"/>
    <s v="Hovedvagten Kasernebygning"/>
    <n v="13661"/>
    <s v="0"/>
    <s v="Hovedvagten Kasernebygning"/>
    <x v="65"/>
    <x v="0"/>
    <x v="0"/>
    <n v="37343"/>
    <n v="5"/>
    <s v="2013-11-30"/>
    <n v="0"/>
    <n v="307"/>
    <n v="77.544773000000006"/>
    <n v="1"/>
    <x v="1"/>
    <n v="43859"/>
    <n v="5041383.2"/>
    <n v="0"/>
    <s v="4771216"/>
    <m/>
    <n v="23814.001"/>
    <n v="0"/>
    <n v="92672"/>
  </r>
  <r>
    <x v="11"/>
    <s v="11867"/>
    <s v="Hovedvagten Kasernebygning"/>
    <n v="13661"/>
    <s v="0"/>
    <s v="Hovedvagten Kasernebygning"/>
    <x v="65"/>
    <x v="0"/>
    <x v="1"/>
    <n v="41581.360000000001"/>
    <n v="6"/>
    <s v="2013-11-30"/>
    <n v="0"/>
    <n v="307"/>
    <n v="135.40006500000001"/>
    <n v="1"/>
    <x v="1"/>
    <n v="45130.03"/>
    <n v="8349.06"/>
    <n v="0"/>
    <s v="4771216"/>
    <m/>
    <n v="41581.371570000003"/>
    <n v="0"/>
    <n v="92672"/>
  </r>
  <r>
    <x v="11"/>
    <s v="11867"/>
    <s v="Hovedvagten Kasernebygning"/>
    <n v="13661"/>
    <s v="0"/>
    <s v="Hovedvagten Kasernebygning"/>
    <x v="65"/>
    <x v="0"/>
    <x v="2"/>
    <n v="64573.02"/>
    <n v="3"/>
    <s v="2013-11-30"/>
    <n v="0"/>
    <n v="307"/>
    <n v="210.267079"/>
    <n v="1"/>
    <x v="1"/>
    <n v="72016.92"/>
    <n v="13323.14"/>
    <n v="0"/>
    <s v="4771216"/>
    <m/>
    <n v="64572.99134"/>
    <n v="0"/>
    <n v="92672"/>
  </r>
  <r>
    <x v="11"/>
    <s v="11867"/>
    <s v="Hovedvagten Kasernebygning"/>
    <n v="13661"/>
    <s v="0"/>
    <s v="Hovedvagten Kasernebygning"/>
    <x v="65"/>
    <x v="0"/>
    <x v="3"/>
    <n v="58616.27"/>
    <n v="2"/>
    <s v="2013-11-30"/>
    <n v="0"/>
    <n v="307"/>
    <n v="190.87030200000001"/>
    <n v="1"/>
    <x v="1"/>
    <n v="69207.149999999994"/>
    <n v="12803.31"/>
    <n v="0"/>
    <s v="4771216"/>
    <m/>
    <n v="58616.305890000003"/>
    <n v="0"/>
    <n v="92672"/>
  </r>
  <r>
    <x v="11"/>
    <s v="11867"/>
    <s v="Hovedvagten Kasernebygning"/>
    <n v="13661"/>
    <s v="0"/>
    <s v="Hovedvagten Kasernebygning"/>
    <x v="65"/>
    <x v="0"/>
    <x v="4"/>
    <n v="69108.960000000006"/>
    <n v="2"/>
    <s v="2013-11-30"/>
    <n v="0"/>
    <n v="307"/>
    <n v="225.037316"/>
    <n v="1"/>
    <x v="1"/>
    <n v="87977.59"/>
    <n v="16275.85"/>
    <n v="0"/>
    <s v="4771216"/>
    <m/>
    <n v="69108.95925"/>
    <n v="0"/>
    <n v="92672"/>
  </r>
  <r>
    <x v="11"/>
    <s v="11867"/>
    <s v="Hovedvagten Kasernebygning"/>
    <n v="13661"/>
    <s v="0"/>
    <s v="Hovedvagten Kasernebygning"/>
    <x v="65"/>
    <x v="0"/>
    <x v="5"/>
    <n v="72138.13"/>
    <n v="2"/>
    <s v="2013-11-30"/>
    <n v="0"/>
    <n v="307"/>
    <n v="234.901107"/>
    <n v="1"/>
    <x v="1"/>
    <n v="100768.21"/>
    <n v="18642.11"/>
    <n v="0"/>
    <s v="4771216"/>
    <m/>
    <n v="72138.122220000005"/>
    <n v="0"/>
    <n v="92672"/>
  </r>
  <r>
    <x v="11"/>
    <s v="11867"/>
    <s v="Hovedvagten Kasernebygning"/>
    <n v="13661"/>
    <s v="0"/>
    <s v="Hovedvagten Kasernebygning"/>
    <x v="65"/>
    <x v="0"/>
    <x v="6"/>
    <n v="74139.86"/>
    <n v="2"/>
    <s v="2013-11-30"/>
    <n v="0"/>
    <n v="307"/>
    <n v="241.41927699999999"/>
    <n v="1"/>
    <x v="1"/>
    <n v="94513.89"/>
    <n v="17485.060000000001"/>
    <n v="0"/>
    <s v="4771216"/>
    <m/>
    <n v="74139.856780000002"/>
    <n v="0"/>
    <n v="92672"/>
  </r>
  <r>
    <x v="11"/>
    <m/>
    <s v="Jonstruphus -Jonstrupvangvej 159"/>
    <n v="10206"/>
    <m/>
    <s v="Jonstruphus"/>
    <x v="66"/>
    <x v="0"/>
    <x v="0"/>
    <n v="61000"/>
    <n v="5"/>
    <s v="2011-12-31"/>
    <n v="0"/>
    <n v="439"/>
    <n v="78.915030000000002"/>
    <n v="1"/>
    <x v="4"/>
    <n v="69890"/>
    <n v="8246.77"/>
    <n v="0"/>
    <s v="1203787"/>
    <s v="98004818263"/>
    <n v="3208.48"/>
    <n v="0"/>
    <n v="77398"/>
  </r>
  <r>
    <x v="11"/>
    <m/>
    <s v="Jonstruphus -Jonstrupvangvej 159"/>
    <n v="10206"/>
    <m/>
    <s v="Jonstruphus"/>
    <x v="66"/>
    <x v="0"/>
    <x v="1"/>
    <n v="77204.56"/>
    <n v="12"/>
    <s v="2011-12-31"/>
    <n v="0"/>
    <n v="439"/>
    <n v="175.82454999999999"/>
    <n v="1"/>
    <x v="4"/>
    <n v="81978.86"/>
    <n v="17337.009999999998"/>
    <n v="0"/>
    <s v="1203787"/>
    <s v="98004818263"/>
    <n v="7148.57"/>
    <n v="0"/>
    <n v="77398"/>
  </r>
  <r>
    <x v="11"/>
    <m/>
    <s v="Jonstruphus -Jonstrupvangvej 159"/>
    <n v="10206"/>
    <m/>
    <s v="Jonstruphus"/>
    <x v="66"/>
    <x v="0"/>
    <x v="2"/>
    <n v="80447.460000000006"/>
    <n v="12"/>
    <s v="2011-12-31"/>
    <n v="0"/>
    <n v="439"/>
    <n v="183.20988299999999"/>
    <n v="1"/>
    <x v="4"/>
    <n v="84209.24"/>
    <n v="17808.7"/>
    <n v="0"/>
    <s v="1203787"/>
    <s v="98004818263"/>
    <n v="7448.84"/>
    <n v="0"/>
    <n v="77398"/>
  </r>
  <r>
    <x v="11"/>
    <m/>
    <s v="Jonstruphus -Jonstrupvangvej 159"/>
    <n v="10206"/>
    <m/>
    <s v="Jonstruphus"/>
    <x v="66"/>
    <x v="0"/>
    <x v="3"/>
    <n v="59393.2"/>
    <n v="7"/>
    <s v="2011-12-31"/>
    <n v="0"/>
    <n v="439"/>
    <n v="135.26121599999999"/>
    <n v="1"/>
    <x v="4"/>
    <n v="67610.149999999994"/>
    <n v="14298.3"/>
    <n v="0"/>
    <s v="1203787"/>
    <s v="98004818263"/>
    <n v="5499.3693400000002"/>
    <n v="0"/>
    <n v="77398"/>
  </r>
  <r>
    <x v="11"/>
    <m/>
    <s v="Jonstruphus -Jonstrupvangvej 159"/>
    <n v="10206"/>
    <m/>
    <s v="Jonstruphus"/>
    <x v="66"/>
    <x v="0"/>
    <x v="4"/>
    <n v="86211.97"/>
    <n v="3"/>
    <s v="2011-12-31"/>
    <n v="0"/>
    <n v="439"/>
    <n v="196.337895"/>
    <n v="1"/>
    <x v="4"/>
    <n v="111287.41"/>
    <n v="23535.21"/>
    <n v="0"/>
    <s v="1203787"/>
    <s v="98004818263"/>
    <n v="7982.5901000000003"/>
    <n v="0"/>
    <n v="77398"/>
  </r>
  <r>
    <x v="11"/>
    <m/>
    <s v="Jonstruphus -Jonstrupvangvej 159"/>
    <n v="10206"/>
    <m/>
    <s v="Jonstruphus"/>
    <x v="66"/>
    <x v="0"/>
    <x v="5"/>
    <n v="77180.44"/>
    <n v="4"/>
    <s v="2011-12-31"/>
    <n v="0"/>
    <n v="439"/>
    <n v="175.76961900000001"/>
    <n v="1"/>
    <x v="4"/>
    <n v="96053.1"/>
    <n v="20313.45"/>
    <n v="0"/>
    <s v="1203787"/>
    <s v="98004818263"/>
    <n v="7146.3372300000001"/>
    <n v="0"/>
    <n v="77398"/>
  </r>
  <r>
    <x v="11"/>
    <m/>
    <s v="Jonstruphus -Jonstrupvangvej 159"/>
    <n v="10206"/>
    <m/>
    <s v="Jonstruphus"/>
    <x v="66"/>
    <x v="0"/>
    <x v="6"/>
    <n v="73810.399999999994"/>
    <n v="4"/>
    <s v="2011-12-31"/>
    <n v="0"/>
    <n v="439"/>
    <n v="168.094739"/>
    <n v="1"/>
    <x v="4"/>
    <n v="86010.38"/>
    <n v="18189.59"/>
    <n v="0"/>
    <s v="1203787"/>
    <s v="98004818263"/>
    <n v="6834.2966900000001"/>
    <n v="0"/>
    <n v="77398"/>
  </r>
  <r>
    <x v="11"/>
    <s v="11867"/>
    <s v="Hovedvagten Kasernebygning"/>
    <n v="13661"/>
    <s v="0"/>
    <s v="Hovedvagten Kasernebygning"/>
    <x v="65"/>
    <x v="0"/>
    <x v="7"/>
    <n v="5.21"/>
    <n v="12"/>
    <s v="2013-11-30"/>
    <n v="0"/>
    <n v="307"/>
    <n v="1.6965000000000001E-2"/>
    <n v="3"/>
    <x v="0"/>
    <n v="5.21"/>
    <n v="4.16"/>
    <n v="0"/>
    <m/>
    <m/>
    <n v="5.2039999999999997"/>
    <n v="0"/>
    <n v="91250"/>
  </r>
  <r>
    <x v="11"/>
    <s v="11867"/>
    <s v="Hovedvagten Kasernebygning"/>
    <n v="13661"/>
    <s v="0"/>
    <s v="Hovedvagten Kasernebygning"/>
    <x v="65"/>
    <x v="0"/>
    <x v="7"/>
    <n v="32376.06"/>
    <n v="12"/>
    <s v="2013-11-30"/>
    <n v="0"/>
    <n v="307"/>
    <n v="105.425138"/>
    <n v="1"/>
    <x v="1"/>
    <n v="38775.54"/>
    <n v="2307384.66"/>
    <n v="0"/>
    <s v="4771216"/>
    <m/>
    <n v="32376.058000000001"/>
    <n v="0"/>
    <n v="92672"/>
  </r>
  <r>
    <x v="11"/>
    <m/>
    <s v="Ellegården, Ladebygning, Stavnsholtvej 168"/>
    <n v="11351"/>
    <s v="0"/>
    <s v="Ellegården, Ladebygninger"/>
    <x v="63"/>
    <x v="0"/>
    <x v="1"/>
    <n v="19167.32"/>
    <n v="12"/>
    <s v="2011-12-31"/>
    <n v="0"/>
    <n v="867"/>
    <n v="22.105084999999999"/>
    <n v="2"/>
    <x v="2"/>
    <n v="19167.32"/>
    <n v="5750.2"/>
    <n v="0"/>
    <s v="72027-34017"/>
    <m/>
    <n v="19167.310000000001"/>
    <n v="0"/>
    <n v="80895"/>
  </r>
  <r>
    <x v="11"/>
    <m/>
    <s v="Forsamlingshus, Smedegade 5"/>
    <n v="10205"/>
    <m/>
    <s v="Forsamlingshus, Smedegade 5"/>
    <x v="64"/>
    <x v="0"/>
    <x v="7"/>
    <n v="49753.98"/>
    <n v="12"/>
    <s v="2013-11-30"/>
    <n v="0"/>
    <n v="314"/>
    <n v="158.40171900000001"/>
    <n v="1"/>
    <x v="4"/>
    <n v="59526.17"/>
    <n v="12588.69"/>
    <n v="0"/>
    <s v="1604655"/>
    <s v="98001297474"/>
    <n v="4606.8490000000002"/>
    <n v="0"/>
    <n v="77392"/>
  </r>
  <r>
    <x v="11"/>
    <m/>
    <s v="Jonstruphus -Jonstrupvangvej 159"/>
    <n v="10206"/>
    <m/>
    <s v="Jonstruphus"/>
    <x v="66"/>
    <x v="0"/>
    <x v="7"/>
    <n v="99.72"/>
    <n v="12"/>
    <s v="2011-09-30"/>
    <n v="0"/>
    <n v="439"/>
    <n v="0.2271"/>
    <n v="3"/>
    <x v="0"/>
    <n v="99.72"/>
    <n v="79.77"/>
    <n v="0"/>
    <s v="00PC500647"/>
    <m/>
    <n v="99.710999999999999"/>
    <n v="0"/>
    <n v="77394"/>
  </r>
  <r>
    <x v="11"/>
    <m/>
    <s v="Jonstruphus -Jonstrupvangvej 159"/>
    <n v="10206"/>
    <m/>
    <s v="Jonstruphus"/>
    <x v="66"/>
    <x v="0"/>
    <x v="7"/>
    <n v="23.71"/>
    <n v="2"/>
    <s v="2014-11-24"/>
    <n v="0"/>
    <n v="439"/>
    <n v="5.3996000000000002E-2"/>
    <n v="3"/>
    <x v="0"/>
    <n v="23.71"/>
    <n v="18.98"/>
    <n v="0"/>
    <s v="BI Varmt vand"/>
    <m/>
    <n v="23.726030000000002"/>
    <n v="0"/>
    <n v="93708"/>
  </r>
  <r>
    <x v="11"/>
    <m/>
    <s v="Ellegården, Ladebygning, Stavnsholtvej 168"/>
    <n v="11351"/>
    <s v="0"/>
    <s v="Ellegården, Ladebygninger"/>
    <x v="63"/>
    <x v="0"/>
    <x v="1"/>
    <n v="165.53"/>
    <n v="12"/>
    <s v="2011-12-31"/>
    <n v="0"/>
    <n v="867"/>
    <n v="0.19089999999999999"/>
    <n v="2"/>
    <x v="2"/>
    <n v="165.53"/>
    <n v="49.66"/>
    <n v="0"/>
    <s v="Køkken / 4120909"/>
    <s v="74112260112"/>
    <n v="165.52699999999999"/>
    <n v="0"/>
    <n v="80929"/>
  </r>
  <r>
    <x v="11"/>
    <m/>
    <s v="Forsamlingshus, Smedegade 5"/>
    <n v="10205"/>
    <m/>
    <s v="Forsamlingshus, Smedegade 5"/>
    <x v="64"/>
    <x v="0"/>
    <x v="7"/>
    <n v="3360.33"/>
    <n v="12"/>
    <s v="2013-10-31"/>
    <n v="0"/>
    <n v="314"/>
    <n v="10.69828"/>
    <n v="2"/>
    <x v="2"/>
    <n v="3360.33"/>
    <n v="7674.98"/>
    <n v="0"/>
    <s v="4247281"/>
    <s v="74110515016"/>
    <n v="3360.3220000000001"/>
    <n v="0"/>
    <n v="77390"/>
  </r>
  <r>
    <x v="11"/>
    <m/>
    <s v="Rørmosen Haveforening, RØR 4"/>
    <n v="14003"/>
    <s v="0"/>
    <s v="Rørmosen Haveforening, Rørmose 4"/>
    <x v="67"/>
    <x v="0"/>
    <x v="7"/>
    <n v="144.37"/>
    <n v="4"/>
    <s v="2015-02-11"/>
    <n v="0"/>
    <n v="50"/>
    <n v="2.8816359999999999"/>
    <n v="3"/>
    <x v="0"/>
    <n v="144.37"/>
    <n v="115.49"/>
    <n v="0"/>
    <s v="316302"/>
    <m/>
    <n v="144.36741000000001"/>
    <n v="0"/>
    <n v="93000"/>
  </r>
  <r>
    <x v="11"/>
    <m/>
    <s v="Forsamlingshus, Smedegade 5"/>
    <n v="10205"/>
    <m/>
    <s v="Forsamlingshus, Smedegade 5"/>
    <x v="64"/>
    <x v="0"/>
    <x v="1"/>
    <n v="3892.39"/>
    <n v="10"/>
    <s v="2013-10-31"/>
    <n v="0"/>
    <n v="314"/>
    <n v="12.392199"/>
    <n v="2"/>
    <x v="2"/>
    <n v="3892.39"/>
    <n v="8890.2099999999991"/>
    <n v="0"/>
    <s v="4247281"/>
    <s v="74110515016"/>
    <n v="3892.3950399999999"/>
    <n v="0"/>
    <n v="77390"/>
  </r>
  <r>
    <x v="11"/>
    <m/>
    <s v="Annexgården"/>
    <n v="10256"/>
    <m/>
    <s v="Annexgården"/>
    <x v="62"/>
    <x v="0"/>
    <x v="0"/>
    <n v="7486"/>
    <n v="3"/>
    <s v="2015-05-04"/>
    <n v="0"/>
    <n v="381"/>
    <n v="7.7723950000000004"/>
    <n v="2"/>
    <x v="2"/>
    <n v="2962.06"/>
    <n v="888.61"/>
    <n v="0"/>
    <s v="60648"/>
    <s v="74110490979"/>
    <n v="2962.0638300000001"/>
    <n v="0"/>
    <n v="77568"/>
  </r>
  <r>
    <x v="11"/>
    <s v="11867"/>
    <s v="Hovedvagten Kasernebygning"/>
    <n v="13661"/>
    <s v="0"/>
    <s v="Hovedvagten Kasernebygning"/>
    <x v="65"/>
    <x v="0"/>
    <x v="7"/>
    <n v="1001.13"/>
    <n v="12"/>
    <s v="2013-10-31"/>
    <n v="0"/>
    <n v="307"/>
    <n v="3.2599469999999999"/>
    <n v="2"/>
    <x v="2"/>
    <n v="1001.13"/>
    <n v="300.33999999999997"/>
    <n v="0"/>
    <s v="4178970"/>
    <s v="74115574117"/>
    <n v="1001.11536"/>
    <n v="0"/>
    <n v="91249"/>
  </r>
  <r>
    <x v="11"/>
    <m/>
    <s v="Annexgården"/>
    <n v="10256"/>
    <m/>
    <s v="Annexgården"/>
    <x v="62"/>
    <x v="0"/>
    <x v="2"/>
    <n v="10335.81"/>
    <n v="12"/>
    <s v="2015-05-04"/>
    <n v="0"/>
    <n v="381"/>
    <n v="27.120991"/>
    <n v="2"/>
    <x v="2"/>
    <n v="10335.81"/>
    <n v="4134.3100000000004"/>
    <n v="0"/>
    <s v="60648"/>
    <s v="74110490979"/>
    <n v="10335.82026"/>
    <n v="0"/>
    <n v="77568"/>
  </r>
  <r>
    <x v="11"/>
    <m/>
    <s v="Annexgården"/>
    <n v="10256"/>
    <m/>
    <s v="Annexgården"/>
    <x v="62"/>
    <x v="0"/>
    <x v="3"/>
    <n v="9648.67"/>
    <n v="8"/>
    <s v="2015-05-04"/>
    <n v="0"/>
    <n v="381"/>
    <n v="25.317948000000001"/>
    <n v="2"/>
    <x v="2"/>
    <n v="9648.67"/>
    <n v="4525.2299999999996"/>
    <n v="0"/>
    <s v="60648"/>
    <s v="74110490979"/>
    <n v="9648.6753200000003"/>
    <n v="0"/>
    <n v="77568"/>
  </r>
  <r>
    <x v="11"/>
    <m/>
    <s v="Annexgården"/>
    <n v="10256"/>
    <m/>
    <s v="Annexgården"/>
    <x v="62"/>
    <x v="0"/>
    <x v="4"/>
    <n v="6776.58"/>
    <n v="12"/>
    <s v="2015-05-04"/>
    <n v="0"/>
    <n v="381"/>
    <n v="17.781631999999998"/>
    <n v="2"/>
    <x v="2"/>
    <n v="6776.58"/>
    <n v="3178.21"/>
    <n v="0"/>
    <s v="60648"/>
    <s v="74110490979"/>
    <n v="6776.5818200000003"/>
    <n v="0"/>
    <n v="77568"/>
  </r>
  <r>
    <x v="11"/>
    <m/>
    <s v="Annexgården"/>
    <n v="10256"/>
    <m/>
    <s v="Annexgården"/>
    <x v="62"/>
    <x v="0"/>
    <x v="5"/>
    <n v="6633.34"/>
    <n v="9"/>
    <s v="2015-05-04"/>
    <n v="0"/>
    <n v="381"/>
    <n v="17.405771999999999"/>
    <n v="2"/>
    <x v="2"/>
    <n v="6633.34"/>
    <n v="3111.03"/>
    <n v="0"/>
    <s v="60648"/>
    <s v="74110490979"/>
    <n v="6633.3311700000004"/>
    <n v="0"/>
    <n v="77568"/>
  </r>
  <r>
    <x v="11"/>
    <m/>
    <s v="Annexgården"/>
    <n v="10256"/>
    <m/>
    <s v="Annexgården"/>
    <x v="62"/>
    <x v="0"/>
    <x v="6"/>
    <n v="6756.6"/>
    <n v="13"/>
    <s v="2015-05-04"/>
    <n v="0"/>
    <n v="381"/>
    <n v="17.729203999999999"/>
    <n v="2"/>
    <x v="2"/>
    <n v="6756.6"/>
    <n v="3168.85"/>
    <n v="0"/>
    <s v="60648"/>
    <s v="74110490979"/>
    <n v="6756.5913899999996"/>
    <n v="0"/>
    <n v="77568"/>
  </r>
  <r>
    <x v="11"/>
    <m/>
    <s v="Ellegården, Ladebygning, Stavnsholtvej 168"/>
    <n v="11351"/>
    <s v="0"/>
    <s v="Ellegården, Ladebygninger"/>
    <x v="63"/>
    <x v="0"/>
    <x v="0"/>
    <n v="18313"/>
    <n v="5"/>
    <s v="2011-12-31"/>
    <n v="0"/>
    <n v="867"/>
    <n v="7.9591390000000004"/>
    <n v="2"/>
    <x v="2"/>
    <n v="6901.37"/>
    <n v="2070.42"/>
    <n v="0"/>
    <s v="72027-34017"/>
    <m/>
    <n v="6901.3756000000003"/>
    <n v="0"/>
    <n v="80895"/>
  </r>
  <r>
    <x v="11"/>
    <m/>
    <s v="Ellegården, Ladebygning, Stavnsholtvej 168"/>
    <n v="11351"/>
    <s v="0"/>
    <s v="Ellegården, Ladebygninger"/>
    <x v="63"/>
    <x v="0"/>
    <x v="0"/>
    <n v="0"/>
    <n v="5"/>
    <s v="2011-12-31"/>
    <n v="0"/>
    <n v="867"/>
    <n v="2.9153999999999999E-2"/>
    <n v="2"/>
    <x v="2"/>
    <n v="25.28"/>
    <n v="7.59"/>
    <n v="0"/>
    <s v="Køkken / 4120909"/>
    <s v="74112260112"/>
    <n v="25.279"/>
    <n v="0"/>
    <n v="80929"/>
  </r>
  <r>
    <x v="11"/>
    <s v="11867"/>
    <s v="Hovedvagten Kasernebygning"/>
    <n v="13661"/>
    <s v="0"/>
    <s v="Hovedvagten Kasernebygning"/>
    <x v="65"/>
    <x v="0"/>
    <x v="1"/>
    <n v="707.93"/>
    <n v="8"/>
    <s v="2013-10-31"/>
    <n v="0"/>
    <n v="307"/>
    <n v="2.3052100000000002"/>
    <n v="2"/>
    <x v="2"/>
    <n v="707.93"/>
    <n v="212.38"/>
    <n v="0"/>
    <s v="4178970"/>
    <s v="74115574117"/>
    <n v="707.93692999999996"/>
    <n v="0"/>
    <n v="91249"/>
  </r>
  <r>
    <x v="11"/>
    <m/>
    <s v="Jonstruphus -Jonstrupvangvej 159"/>
    <n v="10206"/>
    <m/>
    <s v="Jonstruphus"/>
    <x v="66"/>
    <x v="0"/>
    <x v="7"/>
    <n v="10435.459999999999"/>
    <n v="12"/>
    <s v="2010-07-31"/>
    <n v="0"/>
    <n v="439"/>
    <n v="23.765564999999999"/>
    <n v="2"/>
    <x v="2"/>
    <n v="10435.459999999999"/>
    <n v="3130.65"/>
    <n v="0"/>
    <s v="59656"/>
    <s v="74115145355"/>
    <n v="10435.47351"/>
    <n v="0"/>
    <n v="77393"/>
  </r>
  <r>
    <x v="11"/>
    <m/>
    <s v="Ellegården, Ladebygning, Stavnsholtvej 168"/>
    <n v="11351"/>
    <s v="0"/>
    <s v="Ellegården, Ladebygninger"/>
    <x v="63"/>
    <x v="0"/>
    <x v="2"/>
    <n v="17865.34"/>
    <n v="12"/>
    <s v="2011-12-31"/>
    <n v="0"/>
    <n v="867"/>
    <n v="20.603552000000001"/>
    <n v="2"/>
    <x v="2"/>
    <n v="17865.34"/>
    <n v="7146.14"/>
    <n v="0"/>
    <s v="72027-34017"/>
    <m/>
    <n v="17865.325000000001"/>
    <n v="0"/>
    <n v="80895"/>
  </r>
  <r>
    <x v="11"/>
    <m/>
    <s v="Ellegården, Ladebygning, Stavnsholtvej 168"/>
    <n v="11351"/>
    <s v="0"/>
    <s v="Ellegården, Ladebygninger"/>
    <x v="63"/>
    <x v="0"/>
    <x v="2"/>
    <n v="105.72"/>
    <n v="12"/>
    <s v="2011-12-31"/>
    <n v="0"/>
    <n v="867"/>
    <n v="0.121923"/>
    <n v="2"/>
    <x v="2"/>
    <n v="105.72"/>
    <n v="42.28"/>
    <n v="0"/>
    <s v="Køkken / 4120909"/>
    <s v="74112260112"/>
    <n v="105.715"/>
    <n v="0"/>
    <n v="80929"/>
  </r>
  <r>
    <x v="11"/>
    <m/>
    <s v="Ellegården, Ladebygning, Stavnsholtvej 168"/>
    <n v="11351"/>
    <s v="0"/>
    <s v="Ellegården, Ladebygninger"/>
    <x v="63"/>
    <x v="0"/>
    <x v="3"/>
    <n v="19552.25"/>
    <n v="6"/>
    <s v="2011-12-31"/>
    <n v="0"/>
    <n v="867"/>
    <n v="22.549012999999999"/>
    <n v="2"/>
    <x v="2"/>
    <n v="19552.25"/>
    <n v="9169.9699999999993"/>
    <n v="0"/>
    <s v="72027-34017"/>
    <m/>
    <n v="19552.23299"/>
    <n v="0"/>
    <n v="80895"/>
  </r>
  <r>
    <x v="11"/>
    <m/>
    <s v="Ellegården, Ladebygning, Stavnsholtvej 168"/>
    <n v="11351"/>
    <s v="0"/>
    <s v="Ellegården, Ladebygninger"/>
    <x v="63"/>
    <x v="0"/>
    <x v="3"/>
    <n v="193.71"/>
    <n v="9"/>
    <s v="2011-12-31"/>
    <n v="0"/>
    <n v="867"/>
    <n v="0.22339899999999999"/>
    <n v="2"/>
    <x v="2"/>
    <n v="193.71"/>
    <n v="90.84"/>
    <n v="0"/>
    <s v="Køkken / 4120909"/>
    <s v="74112260112"/>
    <n v="193.72450000000001"/>
    <n v="0"/>
    <n v="80929"/>
  </r>
  <r>
    <x v="11"/>
    <m/>
    <s v="Ellegården, Ladebygning, Stavnsholtvej 168"/>
    <n v="11351"/>
    <s v="0"/>
    <s v="Ellegården, Ladebygninger"/>
    <x v="63"/>
    <x v="0"/>
    <x v="4"/>
    <n v="21291.82"/>
    <n v="4"/>
    <s v="2011-12-31"/>
    <n v="0"/>
    <n v="867"/>
    <n v="24.555206999999999"/>
    <n v="2"/>
    <x v="2"/>
    <n v="21291.82"/>
    <n v="9985.85"/>
    <n v="0"/>
    <s v="72027-34017"/>
    <m/>
    <n v="21291.793880000001"/>
    <n v="0"/>
    <n v="80895"/>
  </r>
  <r>
    <x v="11"/>
    <m/>
    <s v="Ellegården, Ladebygning, Stavnsholtvej 168"/>
    <n v="11351"/>
    <s v="0"/>
    <s v="Ellegården, Ladebygninger"/>
    <x v="63"/>
    <x v="0"/>
    <x v="4"/>
    <n v="158.77000000000001"/>
    <n v="3"/>
    <s v="2011-12-31"/>
    <n v="0"/>
    <n v="867"/>
    <n v="0.18310399999999999"/>
    <n v="2"/>
    <x v="2"/>
    <n v="158.77000000000001"/>
    <n v="74.48"/>
    <n v="0"/>
    <s v="Køkken / 4120909"/>
    <s v="74112260112"/>
    <n v="158.77552"/>
    <n v="0"/>
    <n v="80929"/>
  </r>
  <r>
    <x v="11"/>
    <m/>
    <s v="Ellegården, Ladebygning, Stavnsholtvej 168"/>
    <n v="11351"/>
    <s v="0"/>
    <s v="Ellegården, Ladebygninger"/>
    <x v="63"/>
    <x v="0"/>
    <x v="5"/>
    <n v="19960.36"/>
    <n v="6"/>
    <s v="2011-12-31"/>
    <n v="0"/>
    <n v="867"/>
    <n v="23.019673999999998"/>
    <n v="2"/>
    <x v="2"/>
    <n v="19960.36"/>
    <n v="9361.41"/>
    <n v="0"/>
    <s v="72027-34017"/>
    <m/>
    <n v="19960.365280000002"/>
    <n v="0"/>
    <n v="80895"/>
  </r>
  <r>
    <x v="11"/>
    <m/>
    <s v="Ellegården, Ladebygning, Stavnsholtvej 168"/>
    <n v="11351"/>
    <s v="0"/>
    <s v="Ellegården, Ladebygninger"/>
    <x v="63"/>
    <x v="0"/>
    <x v="5"/>
    <n v="3470.4"/>
    <n v="6"/>
    <s v="2011-12-31"/>
    <n v="0"/>
    <n v="867"/>
    <n v="4.0023059999999999"/>
    <n v="2"/>
    <x v="2"/>
    <n v="3470.4"/>
    <n v="1627.61"/>
    <n v="0"/>
    <s v="Køkken / 4120909"/>
    <s v="74112260112"/>
    <n v="3470.4000099999998"/>
    <n v="0"/>
    <n v="80929"/>
  </r>
  <r>
    <x v="11"/>
    <m/>
    <s v="Ellegården, Ladebygning, Stavnsholtvej 168"/>
    <n v="11351"/>
    <s v="0"/>
    <s v="Ellegården, Ladebygninger"/>
    <x v="63"/>
    <x v="0"/>
    <x v="6"/>
    <n v="8897.26"/>
    <n v="2"/>
    <s v="2011-12-31"/>
    <n v="0"/>
    <n v="867"/>
    <n v="10.260937999999999"/>
    <n v="2"/>
    <x v="2"/>
    <n v="8897.26"/>
    <n v="4172.8"/>
    <n v="0"/>
    <s v="72027-34017"/>
    <m/>
    <n v="8897.2477199999994"/>
    <n v="0"/>
    <n v="80895"/>
  </r>
  <r>
    <x v="11"/>
    <m/>
    <s v="Ellegården, Ladebygning, Stavnsholtvej 168"/>
    <n v="11351"/>
    <s v="0"/>
    <s v="Ellegården, Ladebygninger"/>
    <x v="63"/>
    <x v="0"/>
    <x v="6"/>
    <n v="140.1"/>
    <n v="2"/>
    <s v="2011-12-31"/>
    <n v="0"/>
    <n v="867"/>
    <n v="0.16157299999999999"/>
    <n v="2"/>
    <x v="2"/>
    <n v="140.1"/>
    <n v="65.709999999999994"/>
    <n v="0"/>
    <s v="Køkken / 4120909"/>
    <s v="74112260112"/>
    <n v="140.1"/>
    <n v="0"/>
    <n v="80929"/>
  </r>
  <r>
    <x v="11"/>
    <m/>
    <s v="Forsamlingshus, Smedegade 5"/>
    <n v="10205"/>
    <m/>
    <s v="Forsamlingshus, Smedegade 5"/>
    <x v="64"/>
    <x v="0"/>
    <x v="0"/>
    <n v="3101"/>
    <n v="5"/>
    <s v="2013-10-31"/>
    <n v="0"/>
    <n v="314"/>
    <n v="3.7293530000000001"/>
    <n v="2"/>
    <x v="2"/>
    <n v="1171.3900000000001"/>
    <n v="2675.47"/>
    <n v="0"/>
    <s v="4247281"/>
    <s v="74110515016"/>
    <n v="1171.3952999999999"/>
    <n v="0"/>
    <n v="77390"/>
  </r>
  <r>
    <x v="11"/>
    <m/>
    <s v="Jonstruphus -Jonstrupvangvej 159"/>
    <n v="10206"/>
    <m/>
    <s v="Jonstruphus"/>
    <x v="66"/>
    <x v="0"/>
    <x v="7"/>
    <n v="407.73"/>
    <n v="2"/>
    <s v="2014-11-24"/>
    <n v="0"/>
    <n v="439"/>
    <n v="0.92855799999999999"/>
    <n v="2"/>
    <x v="2"/>
    <n v="407.73"/>
    <n v="191.23"/>
    <n v="0"/>
    <s v="Jonstrup Fodbold 87170"/>
    <m/>
    <n v="407.72998999999999"/>
    <n v="0"/>
    <n v="96485"/>
  </r>
  <r>
    <x v="11"/>
    <m/>
    <s v="Forsamlingshus, Smedegade 5"/>
    <n v="10205"/>
    <m/>
    <s v="Forsamlingshus, Smedegade 5"/>
    <x v="64"/>
    <x v="0"/>
    <x v="2"/>
    <n v="4594.16"/>
    <n v="8"/>
    <s v="2013-10-31"/>
    <n v="0"/>
    <n v="314"/>
    <n v="14.626424"/>
    <n v="2"/>
    <x v="2"/>
    <n v="4594.16"/>
    <n v="10493.07"/>
    <n v="0"/>
    <s v="4247281"/>
    <s v="74110515016"/>
    <n v="4594.1584599999996"/>
    <n v="0"/>
    <n v="77390"/>
  </r>
  <r>
    <x v="11"/>
    <m/>
    <s v="Forsamlingshus, Smedegade 5"/>
    <n v="10205"/>
    <m/>
    <s v="Forsamlingshus, Smedegade 5"/>
    <x v="64"/>
    <x v="0"/>
    <x v="3"/>
    <n v="5045.09"/>
    <n v="4"/>
    <s v="2013-10-31"/>
    <n v="0"/>
    <n v="314"/>
    <n v="16.062049999999999"/>
    <n v="2"/>
    <x v="2"/>
    <n v="5045.09"/>
    <n v="11522.97"/>
    <n v="0"/>
    <s v="4247281"/>
    <s v="74110515016"/>
    <n v="5045.0951599999999"/>
    <n v="0"/>
    <n v="77390"/>
  </r>
  <r>
    <x v="11"/>
    <m/>
    <s v="Forsamlingshus, Smedegade 5"/>
    <n v="10205"/>
    <m/>
    <s v="Forsamlingshus, Smedegade 5"/>
    <x v="64"/>
    <x v="0"/>
    <x v="4"/>
    <n v="4860.66"/>
    <n v="2"/>
    <s v="2013-10-31"/>
    <n v="0"/>
    <n v="314"/>
    <n v="15.474880000000001"/>
    <n v="2"/>
    <x v="2"/>
    <n v="4860.66"/>
    <n v="11101.74"/>
    <n v="0"/>
    <s v="4247281"/>
    <s v="74110515016"/>
    <n v="4860.6659"/>
    <n v="0"/>
    <n v="77390"/>
  </r>
  <r>
    <x v="11"/>
    <m/>
    <s v="Forsamlingshus, Smedegade 5"/>
    <n v="10205"/>
    <m/>
    <s v="Forsamlingshus, Smedegade 5"/>
    <x v="64"/>
    <x v="0"/>
    <x v="5"/>
    <n v="4187.03"/>
    <n v="6"/>
    <s v="2013-10-31"/>
    <n v="0"/>
    <n v="314"/>
    <n v="13.330245"/>
    <n v="2"/>
    <x v="2"/>
    <n v="4187.03"/>
    <n v="9563.19"/>
    <n v="0"/>
    <s v="4247281"/>
    <s v="74110515016"/>
    <n v="4187.0328399999999"/>
    <n v="0"/>
    <n v="77390"/>
  </r>
  <r>
    <x v="11"/>
    <m/>
    <s v="Forsamlingshus, Smedegade 5"/>
    <n v="10205"/>
    <m/>
    <s v="Forsamlingshus, Smedegade 5"/>
    <x v="64"/>
    <x v="0"/>
    <x v="6"/>
    <n v="4838.1899999999996"/>
    <n v="4"/>
    <s v="2013-10-31"/>
    <n v="0"/>
    <n v="314"/>
    <n v="15.403342"/>
    <n v="2"/>
    <x v="2"/>
    <n v="4838.1899999999996"/>
    <n v="11050.41"/>
    <n v="0"/>
    <s v="4247281"/>
    <s v="74110515016"/>
    <n v="4838.1868199999999"/>
    <n v="0"/>
    <n v="77390"/>
  </r>
  <r>
    <x v="11"/>
    <s v="11867"/>
    <s v="Hovedvagten Kasernebygning"/>
    <n v="13661"/>
    <s v="0"/>
    <s v="Hovedvagten Kasernebygning"/>
    <x v="65"/>
    <x v="0"/>
    <x v="0"/>
    <n v="1096"/>
    <n v="5"/>
    <s v="2013-10-31"/>
    <n v="0"/>
    <n v="307"/>
    <n v="2.3628130000000001"/>
    <n v="2"/>
    <x v="2"/>
    <n v="725.62"/>
    <n v="217.68"/>
    <n v="0"/>
    <s v="4178970"/>
    <s v="74115574117"/>
    <n v="725.60298999999998"/>
    <n v="0"/>
    <n v="91249"/>
  </r>
  <r>
    <x v="11"/>
    <m/>
    <s v="Jonstruphus -Jonstrupvangvej 159"/>
    <n v="10206"/>
    <m/>
    <s v="Jonstruphus"/>
    <x v="66"/>
    <x v="0"/>
    <x v="1"/>
    <n v="12881.32"/>
    <n v="12"/>
    <s v="2010-07-31"/>
    <n v="0"/>
    <n v="439"/>
    <n v="29.335732"/>
    <n v="2"/>
    <x v="2"/>
    <n v="12881.32"/>
    <n v="3864.39"/>
    <n v="0"/>
    <s v="59656"/>
    <s v="74115145355"/>
    <n v="12881.317499999999"/>
    <n v="0"/>
    <n v="77393"/>
  </r>
  <r>
    <x v="11"/>
    <s v="11867"/>
    <s v="Hovedvagten Kasernebygning"/>
    <n v="13661"/>
    <s v="0"/>
    <s v="Hovedvagten Kasernebygning"/>
    <x v="65"/>
    <x v="0"/>
    <x v="2"/>
    <n v="2457.59"/>
    <n v="3"/>
    <s v="2013-10-31"/>
    <n v="0"/>
    <n v="307"/>
    <n v="8.0025720000000007"/>
    <n v="2"/>
    <x v="2"/>
    <n v="2457.59"/>
    <n v="983.05"/>
    <n v="0"/>
    <s v="4178970"/>
    <s v="74115574117"/>
    <n v="2457.5971800000002"/>
    <n v="0"/>
    <n v="91249"/>
  </r>
  <r>
    <x v="11"/>
    <s v="11867"/>
    <s v="Hovedvagten Kasernebygning"/>
    <n v="13661"/>
    <s v="0"/>
    <s v="Hovedvagten Kasernebygning"/>
    <x v="65"/>
    <x v="0"/>
    <x v="3"/>
    <n v="1533.41"/>
    <n v="1"/>
    <s v="2013-10-31"/>
    <n v="0"/>
    <n v="307"/>
    <n v="4.9931939999999999"/>
    <n v="2"/>
    <x v="2"/>
    <n v="1533.41"/>
    <n v="719.15"/>
    <n v="0"/>
    <s v="4178970"/>
    <s v="74115574117"/>
    <n v="1533.4122600000001"/>
    <n v="0"/>
    <n v="91249"/>
  </r>
  <r>
    <x v="11"/>
    <s v="11867"/>
    <s v="Hovedvagten Kasernebygning"/>
    <n v="13661"/>
    <s v="0"/>
    <s v="Hovedvagten Kasernebygning"/>
    <x v="65"/>
    <x v="0"/>
    <x v="4"/>
    <n v="1876.26"/>
    <n v="1"/>
    <s v="2013-10-31"/>
    <n v="0"/>
    <n v="307"/>
    <n v="6.1096050000000002"/>
    <n v="2"/>
    <x v="2"/>
    <n v="1876.26"/>
    <n v="879.98"/>
    <n v="0"/>
    <s v="4178970"/>
    <s v="74115574117"/>
    <n v="1876.26253"/>
    <n v="0"/>
    <n v="91249"/>
  </r>
  <r>
    <x v="11"/>
    <s v="11867"/>
    <s v="Hovedvagten Kasernebygning"/>
    <n v="13661"/>
    <s v="0"/>
    <s v="Hovedvagten Kasernebygning"/>
    <x v="65"/>
    <x v="0"/>
    <x v="5"/>
    <n v="3191.03"/>
    <n v="1"/>
    <s v="2013-10-31"/>
    <n v="0"/>
    <n v="307"/>
    <n v="10.390848999999999"/>
    <n v="2"/>
    <x v="2"/>
    <n v="3191.03"/>
    <n v="1496.6"/>
    <n v="0"/>
    <s v="4178970"/>
    <s v="74115574117"/>
    <n v="3191.0430299999998"/>
    <n v="0"/>
    <n v="91249"/>
  </r>
  <r>
    <x v="11"/>
    <s v="11867"/>
    <s v="Hovedvagten Kasernebygning"/>
    <n v="13661"/>
    <s v="0"/>
    <s v="Hovedvagten Kasernebygning"/>
    <x v="65"/>
    <x v="0"/>
    <x v="6"/>
    <n v="3951.15"/>
    <n v="1"/>
    <s v="2013-10-31"/>
    <n v="0"/>
    <n v="307"/>
    <n v="12.866004"/>
    <n v="2"/>
    <x v="2"/>
    <n v="3951.15"/>
    <n v="1853.12"/>
    <n v="0"/>
    <s v="4178970"/>
    <s v="74115574117"/>
    <n v="3951.1728899999998"/>
    <n v="0"/>
    <n v="91249"/>
  </r>
  <r>
    <x v="11"/>
    <m/>
    <s v="Jonstruphus -Jonstrupvangvej 159"/>
    <n v="10206"/>
    <m/>
    <s v="Jonstruphus"/>
    <x v="66"/>
    <x v="0"/>
    <x v="0"/>
    <n v="12033"/>
    <n v="5"/>
    <s v="2010-07-31"/>
    <n v="0"/>
    <n v="439"/>
    <n v="12.217923000000001"/>
    <n v="2"/>
    <x v="2"/>
    <n v="5364.89"/>
    <n v="1609.46"/>
    <n v="0"/>
    <s v="59656"/>
    <s v="74115145355"/>
    <n v="5364.8837000000003"/>
    <n v="0"/>
    <n v="77393"/>
  </r>
  <r>
    <x v="11"/>
    <m/>
    <s v="Rørmosen Haveforening, RØR 4"/>
    <n v="14003"/>
    <s v="0"/>
    <s v="Rørmosen Haveforening, Rørmose 4"/>
    <x v="67"/>
    <x v="0"/>
    <x v="7"/>
    <n v="2281.39"/>
    <n v="5"/>
    <s v="2015-02-11"/>
    <n v="0"/>
    <n v="50"/>
    <n v="45.536726000000002"/>
    <n v="2"/>
    <x v="2"/>
    <n v="2281.39"/>
    <n v="684.41"/>
    <n v="0"/>
    <s v="4010975"/>
    <s v="74115862986"/>
    <n v="2281.3933999999999"/>
    <n v="0"/>
    <n v="92999"/>
  </r>
  <r>
    <x v="11"/>
    <m/>
    <s v="Jonstruphus -Jonstrupvangvej 159"/>
    <n v="10206"/>
    <m/>
    <s v="Jonstruphus"/>
    <x v="66"/>
    <x v="0"/>
    <x v="2"/>
    <n v="14595.95"/>
    <n v="12"/>
    <s v="2010-07-31"/>
    <n v="0"/>
    <n v="439"/>
    <n v="33.240605000000002"/>
    <n v="2"/>
    <x v="2"/>
    <n v="14595.95"/>
    <n v="5838.37"/>
    <n v="0"/>
    <s v="59656"/>
    <s v="74115145355"/>
    <n v="14595.95"/>
    <n v="0"/>
    <n v="77393"/>
  </r>
  <r>
    <x v="11"/>
    <m/>
    <s v="Jonstruphus -Jonstrupvangvej 159"/>
    <n v="10206"/>
    <m/>
    <s v="Jonstruphus"/>
    <x v="66"/>
    <x v="0"/>
    <x v="3"/>
    <n v="15834.53"/>
    <n v="12"/>
    <s v="2010-07-31"/>
    <n v="0"/>
    <n v="439"/>
    <n v="36.061329000000001"/>
    <n v="2"/>
    <x v="2"/>
    <n v="15834.53"/>
    <n v="7426.4"/>
    <n v="0"/>
    <s v="59656"/>
    <s v="74115145355"/>
    <n v="15834.5273"/>
    <n v="0"/>
    <n v="77393"/>
  </r>
  <r>
    <x v="11"/>
    <m/>
    <s v="Jonstruphus -Jonstrupvangvej 159"/>
    <n v="10206"/>
    <m/>
    <s v="Jonstruphus"/>
    <x v="66"/>
    <x v="0"/>
    <x v="4"/>
    <n v="18417"/>
    <n v="8"/>
    <s v="2010-07-31"/>
    <n v="0"/>
    <n v="439"/>
    <n v="41.942608999999997"/>
    <n v="2"/>
    <x v="2"/>
    <n v="18417"/>
    <n v="8637.6"/>
    <n v="0"/>
    <s v="59656"/>
    <s v="74115145355"/>
    <n v="18417.0147"/>
    <n v="0"/>
    <n v="77393"/>
  </r>
  <r>
    <x v="11"/>
    <m/>
    <s v="Jonstruphus -Jonstrupvangvej 159"/>
    <n v="10206"/>
    <m/>
    <s v="Jonstruphus"/>
    <x v="66"/>
    <x v="0"/>
    <x v="5"/>
    <n v="17934.22"/>
    <n v="5"/>
    <s v="2010-07-31"/>
    <n v="0"/>
    <n v="439"/>
    <n v="40.843133000000002"/>
    <n v="2"/>
    <x v="2"/>
    <n v="17934.22"/>
    <n v="8411.17"/>
    <n v="0"/>
    <s v="59656"/>
    <s v="74115145355"/>
    <n v="17934.226200000001"/>
    <n v="0"/>
    <n v="77393"/>
  </r>
  <r>
    <x v="11"/>
    <m/>
    <s v="Jonstruphus -Jonstrupvangvej 159"/>
    <n v="10206"/>
    <m/>
    <s v="Jonstruphus"/>
    <x v="66"/>
    <x v="0"/>
    <x v="6"/>
    <n v="19854.5"/>
    <n v="4"/>
    <s v="2010-07-31"/>
    <n v="0"/>
    <n v="439"/>
    <n v="45.216351000000003"/>
    <n v="2"/>
    <x v="2"/>
    <n v="19854.5"/>
    <n v="9311.76"/>
    <n v="0"/>
    <s v="59656"/>
    <s v="74115145355"/>
    <n v="19854.516500000002"/>
    <n v="0"/>
    <n v="77393"/>
  </r>
  <r>
    <x v="11"/>
    <m/>
    <s v="Rørmosen Haveforening, RØR 4"/>
    <n v="14003"/>
    <s v="0"/>
    <s v="Rørmosen Haveforening, Rørmose 4"/>
    <x v="67"/>
    <x v="0"/>
    <x v="0"/>
    <n v="2308"/>
    <n v="1"/>
    <s v="2015-02-11"/>
    <n v="0"/>
    <n v="50"/>
    <n v="8.2433130000000006"/>
    <n v="2"/>
    <x v="2"/>
    <n v="412.99"/>
    <n v="123.9"/>
    <n v="0"/>
    <s v="4010975"/>
    <s v="74115862986"/>
    <n v="412.98959000000002"/>
    <n v="0"/>
    <n v="92999"/>
  </r>
  <r>
    <x v="11"/>
    <m/>
    <s v="Rørmosen Haveforening, RØR 4"/>
    <n v="14003"/>
    <s v="0"/>
    <s v="Rørmosen Haveforening, Rørmose 4"/>
    <x v="67"/>
    <x v="0"/>
    <x v="1"/>
    <n v="2597.13"/>
    <n v="5"/>
    <s v="2015-02-11"/>
    <n v="0"/>
    <n v="50"/>
    <n v="51.838921999999997"/>
    <n v="2"/>
    <x v="2"/>
    <n v="2597.13"/>
    <n v="779.17"/>
    <n v="0"/>
    <s v="4010975"/>
    <s v="74115862986"/>
    <n v="2597.1433400000001"/>
    <n v="0"/>
    <n v="92999"/>
  </r>
  <r>
    <x v="11"/>
    <m/>
    <s v="Rørmosen Haveforening, RØR 4"/>
    <n v="14003"/>
    <s v="0"/>
    <s v="Rørmosen Haveforening, Rørmose 4"/>
    <x v="67"/>
    <x v="0"/>
    <x v="2"/>
    <n v="3216.47"/>
    <n v="3"/>
    <s v="2015-02-11"/>
    <n v="0"/>
    <n v="50"/>
    <n v="64.200997999999998"/>
    <n v="2"/>
    <x v="2"/>
    <n v="3216.47"/>
    <n v="1286.5899999999999"/>
    <n v="0"/>
    <s v="4010975"/>
    <s v="74115862986"/>
    <n v="3216.4736899999998"/>
    <n v="0"/>
    <n v="92999"/>
  </r>
  <r>
    <x v="8"/>
    <s v="04927-1"/>
    <s v="Regnbuen, Birkhøj 1"/>
    <n v="5274"/>
    <m/>
    <s v="Regnbuen"/>
    <x v="54"/>
    <x v="0"/>
    <x v="0"/>
    <n v="267"/>
    <n v="5"/>
    <s v="2005-07-01"/>
    <n v="0"/>
    <n v="586"/>
    <n v="0.18467800000000001"/>
    <n v="3"/>
    <x v="0"/>
    <n v="108.24"/>
    <n v="86.6"/>
    <n v="0"/>
    <s v="BK 3120046/11131839"/>
    <m/>
    <n v="108.24"/>
    <n v="0"/>
    <n v="56851"/>
  </r>
  <r>
    <x v="8"/>
    <s v="04927-1"/>
    <s v="Regnbuen, Birkhøj 1"/>
    <n v="5274"/>
    <m/>
    <s v="Regnbuen"/>
    <x v="54"/>
    <x v="0"/>
    <x v="1"/>
    <n v="248.67"/>
    <n v="12"/>
    <s v="2005-07-01"/>
    <n v="0"/>
    <n v="586"/>
    <n v="0.42427900000000002"/>
    <n v="3"/>
    <x v="0"/>
    <n v="248.67"/>
    <n v="198.95"/>
    <n v="0"/>
    <s v="BK 3120046/11131839"/>
    <m/>
    <n v="248.68100000000001"/>
    <n v="0"/>
    <n v="56851"/>
  </r>
  <r>
    <x v="8"/>
    <s v="04927-1"/>
    <s v="Regnbuen, Birkhøj 1"/>
    <n v="5274"/>
    <m/>
    <s v="Regnbuen"/>
    <x v="54"/>
    <x v="0"/>
    <x v="2"/>
    <n v="222.03"/>
    <n v="12"/>
    <s v="2005-07-01"/>
    <n v="0"/>
    <n v="586"/>
    <n v="0.378826"/>
    <n v="3"/>
    <x v="0"/>
    <n v="222.03"/>
    <n v="177.6"/>
    <n v="0"/>
    <s v="BK 3120046/11131839"/>
    <m/>
    <n v="222.01"/>
    <n v="0"/>
    <n v="56851"/>
  </r>
  <r>
    <x v="8"/>
    <s v="04927-1"/>
    <s v="Regnbuen, Birkhøj 1"/>
    <n v="5274"/>
    <m/>
    <s v="Regnbuen"/>
    <x v="54"/>
    <x v="0"/>
    <x v="3"/>
    <n v="229.52"/>
    <n v="12"/>
    <s v="2005-07-01"/>
    <n v="0"/>
    <n v="586"/>
    <n v="0.39160499999999998"/>
    <n v="3"/>
    <x v="0"/>
    <n v="229.52"/>
    <n v="183.6"/>
    <n v="0"/>
    <s v="BK 3120046/11131839"/>
    <m/>
    <n v="229.512"/>
    <n v="0"/>
    <n v="56851"/>
  </r>
  <r>
    <x v="8"/>
    <s v="04927-1"/>
    <s v="Regnbuen, Birkhøj 1"/>
    <n v="5274"/>
    <m/>
    <s v="Regnbuen"/>
    <x v="54"/>
    <x v="0"/>
    <x v="4"/>
    <n v="307.51"/>
    <n v="12"/>
    <s v="2005-07-01"/>
    <n v="0"/>
    <n v="586"/>
    <n v="0.524671"/>
    <n v="3"/>
    <x v="0"/>
    <n v="307.51"/>
    <n v="246"/>
    <n v="0"/>
    <s v="BK 3120046/11131839"/>
    <m/>
    <n v="307.50099999999998"/>
    <n v="0"/>
    <n v="56851"/>
  </r>
  <r>
    <x v="8"/>
    <s v="04927-1"/>
    <s v="Regnbuen, Birkhøj 1"/>
    <n v="5274"/>
    <m/>
    <s v="Regnbuen"/>
    <x v="54"/>
    <x v="0"/>
    <x v="5"/>
    <n v="331.1"/>
    <n v="12"/>
    <s v="2005-07-01"/>
    <n v="0"/>
    <n v="586"/>
    <n v="0.56491999999999998"/>
    <n v="3"/>
    <x v="0"/>
    <n v="331.1"/>
    <n v="264.86"/>
    <n v="0"/>
    <s v="BK 3120046/11131839"/>
    <m/>
    <n v="331.10500000000002"/>
    <n v="0"/>
    <n v="56851"/>
  </r>
  <r>
    <x v="8"/>
    <s v="04927-1"/>
    <s v="Regnbuen, Birkhøj 1"/>
    <n v="5274"/>
    <m/>
    <s v="Regnbuen"/>
    <x v="54"/>
    <x v="0"/>
    <x v="6"/>
    <n v="307.38"/>
    <n v="12"/>
    <s v="2005-07-01"/>
    <n v="0"/>
    <n v="586"/>
    <n v="0.52444900000000005"/>
    <n v="3"/>
    <x v="0"/>
    <n v="307.38"/>
    <n v="245.91"/>
    <n v="0"/>
    <s v="BK 3120046/11131839"/>
    <m/>
    <n v="307.37799999999999"/>
    <n v="0"/>
    <n v="56851"/>
  </r>
  <r>
    <x v="8"/>
    <s v="04757-0"/>
    <s v="Solvognen, Nordtoftevej 56B"/>
    <n v="5275"/>
    <m/>
    <s v="Solvognen"/>
    <x v="68"/>
    <x v="0"/>
    <x v="0"/>
    <n v="217"/>
    <n v="5"/>
    <s v="2005-07-01"/>
    <n v="0"/>
    <n v="675"/>
    <n v="0.15611"/>
    <n v="3"/>
    <x v="0"/>
    <n v="105.39"/>
    <n v="84.31"/>
    <n v="0"/>
    <s v="BK 98392294"/>
    <m/>
    <n v="105.381"/>
    <n v="0"/>
    <n v="56857"/>
  </r>
  <r>
    <x v="8"/>
    <s v="04757-0"/>
    <s v="Solvognen, Nordtoftevej 56B"/>
    <n v="5275"/>
    <m/>
    <s v="Solvognen"/>
    <x v="68"/>
    <x v="0"/>
    <x v="1"/>
    <n v="238.85"/>
    <n v="12"/>
    <s v="2005-07-01"/>
    <n v="0"/>
    <n v="675"/>
    <n v="0.35379899999999997"/>
    <n v="3"/>
    <x v="0"/>
    <n v="238.85"/>
    <n v="191.08"/>
    <n v="0"/>
    <s v="BK 98392294"/>
    <m/>
    <n v="238.852"/>
    <n v="0"/>
    <n v="56857"/>
  </r>
  <r>
    <x v="8"/>
    <s v="04757-0"/>
    <s v="Solvognen, Nordtoftevej 56B"/>
    <n v="5275"/>
    <m/>
    <s v="Solvognen"/>
    <x v="68"/>
    <x v="0"/>
    <x v="2"/>
    <n v="205.45"/>
    <n v="12"/>
    <s v="2005-07-01"/>
    <n v="0"/>
    <n v="675"/>
    <n v="0.30432500000000001"/>
    <n v="3"/>
    <x v="0"/>
    <n v="205.45"/>
    <n v="164.37"/>
    <n v="0"/>
    <s v="BK 98392294"/>
    <m/>
    <n v="205.46600000000001"/>
    <n v="0"/>
    <n v="56857"/>
  </r>
  <r>
    <x v="8"/>
    <s v="04757-0"/>
    <s v="Solvognen, Nordtoftevej 56B"/>
    <n v="5275"/>
    <m/>
    <s v="Solvognen"/>
    <x v="68"/>
    <x v="0"/>
    <x v="3"/>
    <n v="178.49"/>
    <n v="12"/>
    <s v="2005-07-01"/>
    <n v="0"/>
    <n v="675"/>
    <n v="0.26439000000000001"/>
    <n v="3"/>
    <x v="0"/>
    <n v="178.49"/>
    <n v="142.77000000000001"/>
    <n v="0"/>
    <s v="BK 98392294"/>
    <m/>
    <n v="178.48599999999999"/>
    <n v="0"/>
    <n v="56857"/>
  </r>
  <r>
    <x v="8"/>
    <s v="04757-0"/>
    <s v="Solvognen, Nordtoftevej 56B"/>
    <n v="5275"/>
    <m/>
    <s v="Solvognen"/>
    <x v="68"/>
    <x v="0"/>
    <x v="4"/>
    <n v="81.92"/>
    <n v="12"/>
    <s v="2005-07-01"/>
    <n v="0"/>
    <n v="675"/>
    <n v="0.12134399999999999"/>
    <n v="3"/>
    <x v="0"/>
    <n v="81.92"/>
    <n v="65.56"/>
    <n v="0"/>
    <s v="BK 98392294"/>
    <m/>
    <n v="81.932000000000002"/>
    <n v="0"/>
    <n v="56857"/>
  </r>
  <r>
    <x v="8"/>
    <s v="04757-0"/>
    <s v="Solvognen, Nordtoftevej 56B"/>
    <n v="5275"/>
    <m/>
    <s v="Solvognen"/>
    <x v="68"/>
    <x v="0"/>
    <x v="5"/>
    <n v="136.1"/>
    <n v="12"/>
    <s v="2005-07-01"/>
    <n v="0"/>
    <n v="675"/>
    <n v="0.201599"/>
    <n v="3"/>
    <x v="0"/>
    <n v="136.1"/>
    <n v="108.89"/>
    <n v="0"/>
    <s v="BK 98392294"/>
    <m/>
    <n v="136.10900000000001"/>
    <n v="0"/>
    <n v="56857"/>
  </r>
  <r>
    <x v="8"/>
    <s v="04757-0"/>
    <s v="Solvognen, Nordtoftevej 56B"/>
    <n v="5275"/>
    <m/>
    <s v="Solvognen"/>
    <x v="68"/>
    <x v="0"/>
    <x v="6"/>
    <n v="195.97"/>
    <n v="12"/>
    <s v="2005-07-01"/>
    <n v="0"/>
    <n v="675"/>
    <n v="0.29028199999999998"/>
    <n v="3"/>
    <x v="0"/>
    <n v="195.97"/>
    <n v="156.78"/>
    <n v="0"/>
    <s v="BK 98392294"/>
    <m/>
    <n v="195.965"/>
    <n v="0"/>
    <n v="56857"/>
  </r>
  <r>
    <x v="8"/>
    <m/>
    <s v="Gasværket, Birke 14A"/>
    <n v="10208"/>
    <m/>
    <s v="Gasværket"/>
    <x v="69"/>
    <x v="0"/>
    <x v="0"/>
    <n v="247"/>
    <n v="5"/>
    <s v="2011-11-30"/>
    <n v="0"/>
    <n v="741"/>
    <n v="0.195385"/>
    <n v="3"/>
    <x v="0"/>
    <n v="144.80000000000001"/>
    <n v="115.84"/>
    <n v="0"/>
    <s v="41342"/>
    <m/>
    <n v="144.80000000000001"/>
    <n v="0"/>
    <n v="77412"/>
  </r>
  <r>
    <x v="8"/>
    <m/>
    <s v="Gasværket, Birke 14A"/>
    <n v="10208"/>
    <m/>
    <s v="Gasværket"/>
    <x v="69"/>
    <x v="0"/>
    <x v="1"/>
    <n v="198.9"/>
    <n v="12"/>
    <s v="2011-11-30"/>
    <n v="0"/>
    <n v="741"/>
    <n v="0.26838400000000001"/>
    <n v="3"/>
    <x v="0"/>
    <n v="198.9"/>
    <n v="159.12"/>
    <n v="0"/>
    <s v="41342"/>
    <m/>
    <n v="198.9"/>
    <n v="0"/>
    <n v="77412"/>
  </r>
  <r>
    <x v="8"/>
    <m/>
    <s v="Gasværket, Birke 14A"/>
    <n v="10208"/>
    <m/>
    <s v="Gasværket"/>
    <x v="69"/>
    <x v="0"/>
    <x v="2"/>
    <n v="195.5"/>
    <n v="12"/>
    <s v="2011-11-30"/>
    <n v="0"/>
    <n v="741"/>
    <n v="0.263797"/>
    <n v="3"/>
    <x v="0"/>
    <n v="195.5"/>
    <n v="156.4"/>
    <n v="0"/>
    <s v="41342"/>
    <m/>
    <n v="195.5"/>
    <n v="0"/>
    <n v="77412"/>
  </r>
  <r>
    <x v="8"/>
    <m/>
    <s v="Gasværket, Birke 14A"/>
    <n v="10208"/>
    <m/>
    <s v="Gasværket"/>
    <x v="69"/>
    <x v="0"/>
    <x v="3"/>
    <n v="183.88"/>
    <n v="6"/>
    <s v="2011-11-30"/>
    <n v="0"/>
    <n v="741"/>
    <n v="0.248117"/>
    <n v="3"/>
    <x v="0"/>
    <n v="183.88"/>
    <n v="147.1"/>
    <n v="0"/>
    <s v="41342"/>
    <m/>
    <n v="183.87855999999999"/>
    <n v="0"/>
    <n v="77412"/>
  </r>
  <r>
    <x v="8"/>
    <m/>
    <s v="Gasværket, Birke 14A"/>
    <n v="10208"/>
    <m/>
    <s v="Gasværket"/>
    <x v="69"/>
    <x v="0"/>
    <x v="4"/>
    <n v="242.33"/>
    <n v="6"/>
    <s v="2011-11-30"/>
    <n v="0"/>
    <n v="741"/>
    <n v="0.326986"/>
    <n v="3"/>
    <x v="0"/>
    <n v="242.33"/>
    <n v="193.86"/>
    <n v="0"/>
    <s v="41342"/>
    <m/>
    <n v="242.31729999999999"/>
    <n v="0"/>
    <n v="77412"/>
  </r>
  <r>
    <x v="8"/>
    <m/>
    <s v="Gasværket, Birke 14A"/>
    <n v="10208"/>
    <m/>
    <s v="Gasværket"/>
    <x v="69"/>
    <x v="0"/>
    <x v="5"/>
    <n v="253.61"/>
    <n v="4"/>
    <s v="2011-11-30"/>
    <n v="0"/>
    <n v="741"/>
    <n v="0.34220699999999998"/>
    <n v="3"/>
    <x v="0"/>
    <n v="253.61"/>
    <n v="202.88"/>
    <n v="0"/>
    <s v="41342"/>
    <m/>
    <n v="253.61223000000001"/>
    <n v="0"/>
    <n v="77412"/>
  </r>
  <r>
    <x v="8"/>
    <m/>
    <s v="Gasværket, Birke 14A"/>
    <n v="10208"/>
    <m/>
    <s v="Gasværket"/>
    <x v="69"/>
    <x v="0"/>
    <x v="6"/>
    <n v="195.38"/>
    <n v="5"/>
    <s v="2011-11-30"/>
    <n v="0"/>
    <n v="741"/>
    <n v="0.26363500000000001"/>
    <n v="3"/>
    <x v="0"/>
    <n v="195.38"/>
    <n v="156.31"/>
    <n v="0"/>
    <s v="41342"/>
    <m/>
    <n v="195.36442"/>
    <n v="0"/>
    <n v="77412"/>
  </r>
  <r>
    <x v="8"/>
    <m/>
    <s v="Palægården Poppel Alle 19"/>
    <n v="10236"/>
    <m/>
    <s v="Fællesrum"/>
    <x v="51"/>
    <x v="0"/>
    <x v="0"/>
    <n v="588"/>
    <n v="2"/>
    <s v="2015-03-25"/>
    <n v="0"/>
    <n v="696"/>
    <n v="0.14630000000000001"/>
    <n v="3"/>
    <x v="0"/>
    <n v="101.84"/>
    <n v="81.459999999999994"/>
    <n v="0"/>
    <s v="42047"/>
    <m/>
    <n v="101.82980000000001"/>
    <n v="0"/>
    <n v="77525"/>
  </r>
  <r>
    <x v="8"/>
    <m/>
    <s v="Palægården Poppel Alle 19"/>
    <n v="10236"/>
    <m/>
    <s v="Fællesrum"/>
    <x v="51"/>
    <x v="0"/>
    <x v="1"/>
    <n v="630.66999999999996"/>
    <n v="7"/>
    <s v="2015-03-25"/>
    <n v="0"/>
    <n v="696"/>
    <n v="0.90600400000000003"/>
    <n v="3"/>
    <x v="0"/>
    <n v="630.66999999999996"/>
    <n v="504.54"/>
    <n v="0"/>
    <s v="42047"/>
    <m/>
    <n v="630.67461000000003"/>
    <n v="0"/>
    <n v="77525"/>
  </r>
  <r>
    <x v="8"/>
    <m/>
    <s v="Palægården Poppel Alle 19"/>
    <n v="10236"/>
    <m/>
    <s v="Fællesrum"/>
    <x v="51"/>
    <x v="0"/>
    <x v="2"/>
    <n v="324.33999999999997"/>
    <n v="4"/>
    <s v="2015-03-25"/>
    <n v="0"/>
    <n v="696"/>
    <n v="0.46593800000000002"/>
    <n v="3"/>
    <x v="0"/>
    <n v="324.33999999999997"/>
    <n v="259.45999999999998"/>
    <n v="0"/>
    <s v="42047"/>
    <m/>
    <n v="324.31648000000001"/>
    <n v="0"/>
    <n v="77525"/>
  </r>
  <r>
    <x v="8"/>
    <m/>
    <s v="Palægården Poppel Alle 19"/>
    <n v="10236"/>
    <m/>
    <s v="Fællesrum"/>
    <x v="51"/>
    <x v="0"/>
    <x v="3"/>
    <n v="327.19"/>
    <n v="11"/>
    <s v="2015-03-25"/>
    <n v="0"/>
    <n v="696"/>
    <n v="0.47003299999999998"/>
    <n v="3"/>
    <x v="0"/>
    <n v="327.19"/>
    <n v="261.73"/>
    <n v="0"/>
    <s v="42047"/>
    <m/>
    <n v="327.17084999999997"/>
    <n v="0"/>
    <n v="77525"/>
  </r>
  <r>
    <x v="8"/>
    <m/>
    <s v="Palægården Poppel Alle 19"/>
    <n v="10236"/>
    <m/>
    <s v="Fællesrum"/>
    <x v="51"/>
    <x v="0"/>
    <x v="4"/>
    <n v="247.09"/>
    <n v="12"/>
    <s v="2015-03-25"/>
    <n v="0"/>
    <n v="696"/>
    <n v="0.35496299999999997"/>
    <n v="3"/>
    <x v="0"/>
    <n v="247.09"/>
    <n v="197.69"/>
    <n v="0"/>
    <s v="42047"/>
    <m/>
    <n v="247.09523999999999"/>
    <n v="0"/>
    <n v="77525"/>
  </r>
  <r>
    <x v="8"/>
    <m/>
    <s v="Palægården Poppel Alle 19"/>
    <n v="10236"/>
    <m/>
    <s v="Fællesrum"/>
    <x v="51"/>
    <x v="0"/>
    <x v="5"/>
    <n v="252.53"/>
    <n v="11"/>
    <s v="2015-03-25"/>
    <n v="0"/>
    <n v="696"/>
    <n v="0.36277799999999999"/>
    <n v="3"/>
    <x v="0"/>
    <n v="252.53"/>
    <n v="202.03"/>
    <n v="0"/>
    <s v="42047"/>
    <m/>
    <n v="252.53208000000001"/>
    <n v="0"/>
    <n v="77525"/>
  </r>
  <r>
    <x v="8"/>
    <m/>
    <s v="Palægården Poppel Alle 19"/>
    <n v="10236"/>
    <m/>
    <s v="Fællesrum"/>
    <x v="51"/>
    <x v="0"/>
    <x v="6"/>
    <n v="257.83999999999997"/>
    <n v="10"/>
    <s v="2015-03-25"/>
    <n v="0"/>
    <n v="696"/>
    <n v="0.37040600000000001"/>
    <n v="3"/>
    <x v="0"/>
    <n v="257.83999999999997"/>
    <n v="206.27"/>
    <n v="0"/>
    <s v="42047"/>
    <m/>
    <n v="257.8329"/>
    <n v="0"/>
    <n v="77525"/>
  </r>
  <r>
    <x v="8"/>
    <s v="04877-1"/>
    <s v="Pilehuset, STA39"/>
    <n v="5273"/>
    <m/>
    <s v="Pilehuset"/>
    <x v="70"/>
    <x v="0"/>
    <x v="0"/>
    <n v="113"/>
    <n v="5"/>
    <s v="2005-06-01"/>
    <n v="0"/>
    <n v="457"/>
    <n v="9.5449000000000006E-2"/>
    <n v="3"/>
    <x v="0"/>
    <n v="43.63"/>
    <n v="34.909999999999997"/>
    <n v="0"/>
    <s v="BK 4064533"/>
    <m/>
    <n v="43.634"/>
    <n v="0"/>
    <n v="56845"/>
  </r>
  <r>
    <x v="8"/>
    <s v="04877-1"/>
    <s v="Pilehuset, STA39"/>
    <n v="5273"/>
    <m/>
    <s v="Pilehuset"/>
    <x v="70"/>
    <x v="0"/>
    <x v="0"/>
    <n v="0"/>
    <n v="5"/>
    <s v="2005-06-01"/>
    <n v="0"/>
    <n v="457"/>
    <n v="7.8700000000000005E-4"/>
    <n v="3"/>
    <x v="0"/>
    <n v="0.36"/>
    <n v="0.28000000000000003"/>
    <n v="0"/>
    <s v="BK 362032"/>
    <m/>
    <n v="0.36"/>
    <n v="0"/>
    <n v="57992"/>
  </r>
  <r>
    <x v="8"/>
    <s v="04877-1"/>
    <s v="Pilehuset, STA39"/>
    <n v="5273"/>
    <m/>
    <s v="Pilehuset"/>
    <x v="70"/>
    <x v="0"/>
    <x v="1"/>
    <n v="177.46"/>
    <n v="12"/>
    <s v="2005-06-01"/>
    <n v="0"/>
    <n v="457"/>
    <n v="0.38823000000000002"/>
    <n v="3"/>
    <x v="0"/>
    <n v="177.46"/>
    <n v="141.97999999999999"/>
    <n v="0"/>
    <s v="BK 4064533"/>
    <m/>
    <n v="177.465"/>
    <n v="0"/>
    <n v="56845"/>
  </r>
  <r>
    <x v="8"/>
    <s v="04877-1"/>
    <s v="Pilehuset, STA39"/>
    <n v="5273"/>
    <m/>
    <s v="Pilehuset"/>
    <x v="70"/>
    <x v="0"/>
    <x v="1"/>
    <n v="0.52"/>
    <n v="12"/>
    <s v="2005-06-01"/>
    <n v="0"/>
    <n v="457"/>
    <n v="1.137E-3"/>
    <n v="3"/>
    <x v="0"/>
    <n v="0.52"/>
    <n v="0.42"/>
    <n v="0"/>
    <s v="BK 362032"/>
    <m/>
    <n v="0.52"/>
    <n v="0"/>
    <n v="57992"/>
  </r>
  <r>
    <x v="8"/>
    <s v="04877-1"/>
    <s v="Pilehuset, STA39"/>
    <n v="5273"/>
    <m/>
    <s v="Pilehuset"/>
    <x v="70"/>
    <x v="0"/>
    <x v="2"/>
    <n v="216.27"/>
    <n v="12"/>
    <s v="2005-06-01"/>
    <n v="0"/>
    <n v="457"/>
    <n v="0.473134"/>
    <n v="3"/>
    <x v="0"/>
    <n v="216.27"/>
    <n v="173.02"/>
    <n v="0"/>
    <s v="BK 4064533"/>
    <m/>
    <n v="216.27600000000001"/>
    <n v="0"/>
    <n v="56845"/>
  </r>
  <r>
    <x v="8"/>
    <s v="04877-1"/>
    <s v="Pilehuset, STA39"/>
    <n v="5273"/>
    <m/>
    <s v="Pilehuset"/>
    <x v="70"/>
    <x v="0"/>
    <x v="2"/>
    <n v="23.41"/>
    <n v="12"/>
    <s v="2005-06-01"/>
    <n v="0"/>
    <n v="457"/>
    <n v="5.1214000000000003E-2"/>
    <n v="3"/>
    <x v="0"/>
    <n v="23.41"/>
    <n v="18.71"/>
    <n v="0"/>
    <s v="BK 362032"/>
    <m/>
    <n v="23.41"/>
    <n v="0"/>
    <n v="57992"/>
  </r>
  <r>
    <x v="8"/>
    <s v="04877-1"/>
    <s v="Pilehuset, STA39"/>
    <n v="5273"/>
    <m/>
    <s v="Pilehuset"/>
    <x v="70"/>
    <x v="0"/>
    <x v="3"/>
    <n v="225.32"/>
    <n v="12"/>
    <s v="2005-06-01"/>
    <n v="0"/>
    <n v="457"/>
    <n v="0.49293300000000001"/>
    <n v="3"/>
    <x v="0"/>
    <n v="225.32"/>
    <n v="180.24"/>
    <n v="0"/>
    <s v="BK 4064533"/>
    <m/>
    <n v="225.31100000000001"/>
    <n v="0"/>
    <n v="56845"/>
  </r>
  <r>
    <x v="8"/>
    <s v="04877-1"/>
    <s v="Pilehuset, STA39"/>
    <n v="5273"/>
    <m/>
    <s v="Pilehuset"/>
    <x v="70"/>
    <x v="0"/>
    <x v="3"/>
    <n v="0.57999999999999996"/>
    <n v="12"/>
    <s v="2005-06-01"/>
    <n v="0"/>
    <n v="457"/>
    <n v="1.268E-3"/>
    <n v="3"/>
    <x v="0"/>
    <n v="0.57999999999999996"/>
    <n v="0.48"/>
    <n v="0"/>
    <s v="BK 362032"/>
    <m/>
    <n v="0.57999999999999996"/>
    <n v="0"/>
    <n v="57992"/>
  </r>
  <r>
    <x v="8"/>
    <s v="04877-1"/>
    <s v="Pilehuset, STA39"/>
    <n v="5273"/>
    <m/>
    <s v="Pilehuset"/>
    <x v="70"/>
    <x v="0"/>
    <x v="4"/>
    <n v="198.57"/>
    <n v="12"/>
    <s v="2005-06-01"/>
    <n v="0"/>
    <n v="457"/>
    <n v="0.43441200000000002"/>
    <n v="3"/>
    <x v="0"/>
    <n v="198.57"/>
    <n v="158.86000000000001"/>
    <n v="0"/>
    <s v="BK 4064533"/>
    <m/>
    <n v="198.57499999999999"/>
    <n v="0"/>
    <n v="56845"/>
  </r>
  <r>
    <x v="8"/>
    <s v="04877-1"/>
    <s v="Pilehuset, STA39"/>
    <n v="5273"/>
    <m/>
    <s v="Pilehuset"/>
    <x v="70"/>
    <x v="0"/>
    <x v="4"/>
    <n v="44.33"/>
    <n v="12"/>
    <s v="2005-06-01"/>
    <n v="0"/>
    <n v="457"/>
    <n v="9.6979999999999997E-2"/>
    <n v="3"/>
    <x v="0"/>
    <n v="44.33"/>
    <n v="35.46"/>
    <n v="0"/>
    <s v="BK 362032"/>
    <m/>
    <n v="44.33"/>
    <n v="0"/>
    <n v="57992"/>
  </r>
  <r>
    <x v="8"/>
    <s v="04877-1"/>
    <s v="Pilehuset, STA39"/>
    <n v="5273"/>
    <m/>
    <s v="Pilehuset"/>
    <x v="70"/>
    <x v="0"/>
    <x v="5"/>
    <n v="215.33"/>
    <n v="12"/>
    <s v="2005-06-01"/>
    <n v="0"/>
    <n v="457"/>
    <n v="0.471078"/>
    <n v="3"/>
    <x v="0"/>
    <n v="215.33"/>
    <n v="172.26"/>
    <n v="0"/>
    <s v="BK 4064533"/>
    <m/>
    <n v="215.33699999999999"/>
    <n v="0"/>
    <n v="56845"/>
  </r>
  <r>
    <x v="8"/>
    <s v="04877-1"/>
    <s v="Pilehuset, STA39"/>
    <n v="5273"/>
    <m/>
    <s v="Pilehuset"/>
    <x v="70"/>
    <x v="0"/>
    <x v="5"/>
    <n v="152.37"/>
    <n v="12"/>
    <s v="2005-06-01"/>
    <n v="0"/>
    <n v="457"/>
    <n v="0.33334000000000003"/>
    <n v="3"/>
    <x v="0"/>
    <n v="152.37"/>
    <n v="121.91"/>
    <n v="0"/>
    <s v="BK 362032"/>
    <m/>
    <n v="152.37"/>
    <n v="0"/>
    <n v="57992"/>
  </r>
  <r>
    <x v="8"/>
    <s v="04877-1"/>
    <s v="Pilehuset, STA39"/>
    <n v="5273"/>
    <m/>
    <s v="Pilehuset"/>
    <x v="70"/>
    <x v="0"/>
    <x v="6"/>
    <n v="191.39"/>
    <n v="12"/>
    <s v="2005-06-01"/>
    <n v="0"/>
    <n v="457"/>
    <n v="0.41870400000000002"/>
    <n v="3"/>
    <x v="0"/>
    <n v="191.39"/>
    <n v="153.11000000000001"/>
    <n v="0"/>
    <s v="BK 4064533"/>
    <m/>
    <n v="191.38900000000001"/>
    <n v="0"/>
    <n v="56845"/>
  </r>
  <r>
    <x v="8"/>
    <s v="04877-1"/>
    <s v="Pilehuset, STA39"/>
    <n v="5273"/>
    <m/>
    <s v="Pilehuset"/>
    <x v="70"/>
    <x v="0"/>
    <x v="6"/>
    <n v="65.64"/>
    <n v="12"/>
    <s v="2005-06-01"/>
    <n v="0"/>
    <n v="457"/>
    <n v="0.14360000000000001"/>
    <n v="3"/>
    <x v="0"/>
    <n v="65.64"/>
    <n v="52.5"/>
    <n v="0"/>
    <s v="BK 362032"/>
    <m/>
    <n v="65.64"/>
    <n v="0"/>
    <n v="57992"/>
  </r>
  <r>
    <x v="8"/>
    <m/>
    <s v="Solbjerggård Fritidsklub"/>
    <n v="10211"/>
    <m/>
    <s v="Solbjerggård Fritidsklub"/>
    <x v="71"/>
    <x v="0"/>
    <x v="0"/>
    <n v="247"/>
    <n v="1"/>
    <s v="2015-03-05"/>
    <n v="0"/>
    <n v="1107"/>
    <n v="1.8200000000000001E-2"/>
    <n v="3"/>
    <x v="0"/>
    <n v="20.149999999999999"/>
    <n v="16.11"/>
    <n v="0"/>
    <s v="00389371"/>
    <m/>
    <n v="20.149799999999999"/>
    <n v="0"/>
    <n v="77438"/>
  </r>
  <r>
    <x v="8"/>
    <m/>
    <s v="Solbjerggård Fritidsklub"/>
    <n v="10211"/>
    <m/>
    <s v="Solbjerggård Fritidsklub"/>
    <x v="71"/>
    <x v="0"/>
    <x v="1"/>
    <n v="217.57"/>
    <n v="3"/>
    <s v="2015-03-05"/>
    <n v="0"/>
    <n v="1107"/>
    <n v="0.196522"/>
    <n v="3"/>
    <x v="0"/>
    <n v="217.57"/>
    <n v="174.04"/>
    <n v="0"/>
    <s v="00389371"/>
    <m/>
    <n v="217.55937"/>
    <n v="0"/>
    <n v="77438"/>
  </r>
  <r>
    <x v="8"/>
    <m/>
    <s v="Solbjerggård Fritidsklub"/>
    <n v="10211"/>
    <m/>
    <s v="Solbjerggård Fritidsklub"/>
    <x v="71"/>
    <x v="0"/>
    <x v="2"/>
    <n v="212.22"/>
    <n v="6"/>
    <s v="2015-03-05"/>
    <n v="0"/>
    <n v="1107"/>
    <n v="0.19169"/>
    <n v="3"/>
    <x v="0"/>
    <n v="212.22"/>
    <n v="169.75"/>
    <n v="0"/>
    <s v="00389371"/>
    <m/>
    <n v="212.19969"/>
    <n v="0"/>
    <n v="77438"/>
  </r>
  <r>
    <x v="8"/>
    <m/>
    <s v="Solbjerggård Fritidsklub"/>
    <n v="10211"/>
    <m/>
    <s v="Solbjerggård Fritidsklub"/>
    <x v="71"/>
    <x v="0"/>
    <x v="3"/>
    <n v="224.37"/>
    <n v="4"/>
    <s v="2015-03-05"/>
    <n v="0"/>
    <n v="1107"/>
    <n v="0.20266400000000001"/>
    <n v="3"/>
    <x v="0"/>
    <n v="224.37"/>
    <n v="179.5"/>
    <n v="0"/>
    <s v="00389371"/>
    <m/>
    <n v="224.37454"/>
    <n v="0"/>
    <n v="77438"/>
  </r>
  <r>
    <x v="8"/>
    <m/>
    <s v="Solbjerggård Fritidsklub"/>
    <n v="10211"/>
    <m/>
    <s v="Solbjerggård Fritidsklub"/>
    <x v="71"/>
    <x v="0"/>
    <x v="4"/>
    <n v="291.33999999999997"/>
    <n v="11"/>
    <s v="2015-03-05"/>
    <n v="0"/>
    <n v="1107"/>
    <n v="0.26315499999999997"/>
    <n v="3"/>
    <x v="0"/>
    <n v="291.33999999999997"/>
    <n v="233.08"/>
    <n v="0"/>
    <s v="00389371"/>
    <m/>
    <n v="291.33713999999998"/>
    <n v="0"/>
    <n v="77438"/>
  </r>
  <r>
    <x v="8"/>
    <m/>
    <s v="Solbjerggård Fritidsklub"/>
    <n v="10211"/>
    <m/>
    <s v="Solbjerggård Fritidsklub"/>
    <x v="71"/>
    <x v="0"/>
    <x v="5"/>
    <n v="316.04000000000002"/>
    <n v="13"/>
    <s v="2015-03-05"/>
    <n v="0"/>
    <n v="1107"/>
    <n v="0.285466"/>
    <n v="3"/>
    <x v="0"/>
    <n v="316.04000000000002"/>
    <n v="252.83"/>
    <n v="0"/>
    <s v="00389371"/>
    <m/>
    <n v="316.02856000000003"/>
    <n v="0"/>
    <n v="77438"/>
  </r>
  <r>
    <x v="8"/>
    <m/>
    <s v="Solbjerggård Fritidsklub"/>
    <n v="10211"/>
    <m/>
    <s v="Solbjerggård Fritidsklub"/>
    <x v="71"/>
    <x v="0"/>
    <x v="6"/>
    <n v="409.38"/>
    <n v="13"/>
    <s v="2015-03-05"/>
    <n v="0"/>
    <n v="1107"/>
    <n v="0.36977599999999999"/>
    <n v="3"/>
    <x v="0"/>
    <n v="409.38"/>
    <n v="327.52"/>
    <n v="0"/>
    <s v="00389371"/>
    <m/>
    <n v="409.39172000000002"/>
    <n v="0"/>
    <n v="77438"/>
  </r>
  <r>
    <x v="8"/>
    <s v="04730-9"/>
    <s v="Tivolihuset, Hvilebækgårdsvej 19"/>
    <n v="5250"/>
    <m/>
    <s v="Tivolihuset"/>
    <x v="72"/>
    <x v="0"/>
    <x v="0"/>
    <n v="127"/>
    <n v="5"/>
    <s v="2005-05-01"/>
    <n v="0"/>
    <n v="417"/>
    <n v="0.14279500000000001"/>
    <n v="3"/>
    <x v="0"/>
    <n v="59.56"/>
    <n v="47.64"/>
    <n v="0"/>
    <s v="BK 04016456"/>
    <m/>
    <n v="59.555"/>
    <n v="0"/>
    <n v="57497"/>
  </r>
  <r>
    <x v="8"/>
    <s v="04730-9"/>
    <s v="Tivolihuset, Hvilebækgårdsvej 19"/>
    <n v="5250"/>
    <m/>
    <s v="Tivolihuset"/>
    <x v="72"/>
    <x v="0"/>
    <x v="1"/>
    <n v="131.77000000000001"/>
    <n v="12"/>
    <s v="2005-05-01"/>
    <n v="0"/>
    <n v="417"/>
    <n v="0.31591900000000001"/>
    <n v="3"/>
    <x v="0"/>
    <n v="131.77000000000001"/>
    <n v="105.4"/>
    <n v="0"/>
    <s v="BK 04016456"/>
    <m/>
    <n v="131.78"/>
    <n v="0"/>
    <n v="57497"/>
  </r>
  <r>
    <x v="8"/>
    <s v="04730-9"/>
    <s v="Tivolihuset, Hvilebækgårdsvej 19"/>
    <n v="5250"/>
    <m/>
    <s v="Tivolihuset"/>
    <x v="72"/>
    <x v="0"/>
    <x v="2"/>
    <n v="212.16"/>
    <n v="12"/>
    <s v="2005-05-01"/>
    <n v="0"/>
    <n v="417"/>
    <n v="0.50865400000000005"/>
    <n v="3"/>
    <x v="0"/>
    <n v="212.16"/>
    <n v="169.73"/>
    <n v="0"/>
    <s v="BK 04016456"/>
    <m/>
    <n v="212.15799999999999"/>
    <n v="0"/>
    <n v="57497"/>
  </r>
  <r>
    <x v="8"/>
    <s v="04730-9"/>
    <s v="Tivolihuset, Hvilebækgårdsvej 19"/>
    <n v="5250"/>
    <m/>
    <s v="Tivolihuset"/>
    <x v="72"/>
    <x v="0"/>
    <x v="3"/>
    <n v="162.69"/>
    <n v="12"/>
    <s v="2005-05-01"/>
    <n v="0"/>
    <n v="417"/>
    <n v="0.39005000000000001"/>
    <n v="3"/>
    <x v="0"/>
    <n v="162.69"/>
    <n v="130.15"/>
    <n v="0"/>
    <s v="BK 04016456"/>
    <m/>
    <n v="162.69"/>
    <n v="0"/>
    <n v="57497"/>
  </r>
  <r>
    <x v="8"/>
    <s v="04730-9"/>
    <s v="Tivolihuset, Hvilebækgårdsvej 19"/>
    <n v="5250"/>
    <m/>
    <s v="Tivolihuset"/>
    <x v="72"/>
    <x v="0"/>
    <x v="4"/>
    <n v="232.89"/>
    <n v="12"/>
    <s v="2005-05-01"/>
    <n v="0"/>
    <n v="417"/>
    <n v="0.55835500000000005"/>
    <n v="3"/>
    <x v="0"/>
    <n v="232.89"/>
    <n v="186.3"/>
    <n v="0"/>
    <s v="BK 04016456"/>
    <m/>
    <n v="232.887"/>
    <n v="0"/>
    <n v="57497"/>
  </r>
  <r>
    <x v="8"/>
    <s v="04730-9"/>
    <s v="Tivolihuset, Hvilebækgårdsvej 19"/>
    <n v="5250"/>
    <m/>
    <s v="Tivolihuset"/>
    <x v="72"/>
    <x v="0"/>
    <x v="5"/>
    <n v="294.3"/>
    <n v="12"/>
    <s v="2005-05-01"/>
    <n v="0"/>
    <n v="417"/>
    <n v="0.70558600000000005"/>
    <n v="3"/>
    <x v="0"/>
    <n v="294.3"/>
    <n v="235.44"/>
    <n v="0"/>
    <s v="BK 04016456"/>
    <m/>
    <n v="294.29399999999998"/>
    <n v="0"/>
    <n v="57497"/>
  </r>
  <r>
    <x v="8"/>
    <s v="04730-9"/>
    <s v="Tivolihuset, Hvilebækgårdsvej 19"/>
    <n v="5250"/>
    <m/>
    <s v="Tivolihuset"/>
    <x v="72"/>
    <x v="0"/>
    <x v="6"/>
    <n v="335.42"/>
    <n v="12"/>
    <s v="2005-05-01"/>
    <n v="0"/>
    <n v="417"/>
    <n v="0.80417099999999997"/>
    <n v="3"/>
    <x v="0"/>
    <n v="335.42"/>
    <n v="268.33"/>
    <n v="0"/>
    <s v="BK 04016456"/>
    <m/>
    <n v="335.40800000000002"/>
    <n v="0"/>
    <n v="57497"/>
  </r>
  <r>
    <x v="8"/>
    <m/>
    <s v="Ungehuset, Klub Furesø"/>
    <n v="5941"/>
    <m/>
    <s v="Ungehuset, Klub Furesø"/>
    <x v="73"/>
    <x v="0"/>
    <x v="0"/>
    <n v="23"/>
    <n v="5"/>
    <s v="2012-01-25"/>
    <n v="0"/>
    <n v="550"/>
    <n v="3.6011000000000001E-2"/>
    <n v="3"/>
    <x v="0"/>
    <n v="19.809999999999999"/>
    <n v="15.85"/>
    <n v="0"/>
    <s v="03458115"/>
    <m/>
    <n v="19.806999999999999"/>
    <n v="0"/>
    <n v="59941"/>
  </r>
  <r>
    <x v="8"/>
    <m/>
    <s v="Ungehuset, Klub Furesø"/>
    <n v="5941"/>
    <m/>
    <s v="Ungehuset, Klub Furesø"/>
    <x v="73"/>
    <x v="0"/>
    <x v="1"/>
    <n v="56.4"/>
    <n v="12"/>
    <s v="2012-01-25"/>
    <n v="0"/>
    <n v="550"/>
    <n v="0.10252600000000001"/>
    <n v="3"/>
    <x v="0"/>
    <n v="56.4"/>
    <n v="45.11"/>
    <n v="0"/>
    <s v="03458115"/>
    <m/>
    <n v="56.390999999999998"/>
    <n v="0"/>
    <n v="59941"/>
  </r>
  <r>
    <x v="8"/>
    <m/>
    <s v="Ungehuset, Klub Furesø"/>
    <n v="5941"/>
    <m/>
    <s v="Ungehuset, Klub Furesø"/>
    <x v="73"/>
    <x v="0"/>
    <x v="2"/>
    <n v="52.96"/>
    <n v="12"/>
    <s v="2012-01-25"/>
    <n v="0"/>
    <n v="550"/>
    <n v="9.6272999999999997E-2"/>
    <n v="3"/>
    <x v="0"/>
    <n v="52.96"/>
    <n v="42.36"/>
    <n v="0"/>
    <s v="03458115"/>
    <m/>
    <n v="52.953510000000001"/>
    <n v="0"/>
    <n v="59941"/>
  </r>
  <r>
    <x v="8"/>
    <m/>
    <s v="Ungehuset, Klub Furesø"/>
    <n v="5941"/>
    <m/>
    <s v="Ungehuset, Klub Furesø"/>
    <x v="73"/>
    <x v="0"/>
    <x v="3"/>
    <n v="271.68"/>
    <n v="4"/>
    <s v="2012-01-25"/>
    <n v="0"/>
    <n v="550"/>
    <n v="0.49387300000000001"/>
    <n v="3"/>
    <x v="0"/>
    <n v="271.68"/>
    <n v="217.31"/>
    <n v="0"/>
    <s v="03458115"/>
    <m/>
    <n v="271.65505000000002"/>
    <n v="0"/>
    <n v="59941"/>
  </r>
  <r>
    <x v="8"/>
    <m/>
    <s v="Ungehuset, Klub Furesø"/>
    <n v="5941"/>
    <m/>
    <s v="Ungehuset, Klub Furesø"/>
    <x v="73"/>
    <x v="0"/>
    <x v="4"/>
    <n v="150.56"/>
    <n v="4"/>
    <s v="2012-01-25"/>
    <n v="0"/>
    <n v="550"/>
    <n v="0.27369500000000002"/>
    <n v="3"/>
    <x v="0"/>
    <n v="150.56"/>
    <n v="120.45"/>
    <n v="0"/>
    <s v="03458115"/>
    <m/>
    <n v="150.5718"/>
    <n v="0"/>
    <n v="59941"/>
  </r>
  <r>
    <x v="8"/>
    <m/>
    <s v="Ungehuset, Klub Furesø"/>
    <n v="5941"/>
    <m/>
    <s v="Ungehuset, Klub Furesø"/>
    <x v="73"/>
    <x v="0"/>
    <x v="5"/>
    <n v="128.74"/>
    <n v="2"/>
    <s v="2012-01-25"/>
    <n v="0"/>
    <n v="550"/>
    <n v="0.23402999999999999"/>
    <n v="3"/>
    <x v="0"/>
    <n v="128.74"/>
    <n v="102.99"/>
    <n v="0"/>
    <s v="03458115"/>
    <m/>
    <n v="128.7321"/>
    <n v="0"/>
    <n v="59941"/>
  </r>
  <r>
    <x v="8"/>
    <m/>
    <s v="Ungehuset, Klub Furesø"/>
    <n v="5941"/>
    <m/>
    <s v="Ungehuset, Klub Furesø"/>
    <x v="73"/>
    <x v="0"/>
    <x v="6"/>
    <n v="156.61000000000001"/>
    <n v="8"/>
    <s v="2012-01-25"/>
    <n v="0"/>
    <n v="550"/>
    <n v="0.28469299999999997"/>
    <n v="3"/>
    <x v="0"/>
    <n v="156.61000000000001"/>
    <n v="125.28"/>
    <n v="0"/>
    <s v="03458115"/>
    <m/>
    <n v="156.60677999999999"/>
    <n v="0"/>
    <n v="59941"/>
  </r>
  <r>
    <x v="8"/>
    <s v="04927-1"/>
    <s v="Regnbuen, Birkhøj 1"/>
    <n v="5274"/>
    <m/>
    <s v="Regnbuen"/>
    <x v="54"/>
    <x v="0"/>
    <x v="0"/>
    <n v="60112"/>
    <n v="5"/>
    <s v="2005-08-01"/>
    <n v="0"/>
    <n v="586"/>
    <n v="64.024910000000006"/>
    <n v="1"/>
    <x v="1"/>
    <n v="67250"/>
    <n v="7764474.0499999998"/>
    <n v="0"/>
    <s v="4824613"/>
    <m/>
    <n v="37525"/>
    <n v="0"/>
    <n v="56850"/>
  </r>
  <r>
    <x v="8"/>
    <s v="04927-1"/>
    <s v="Regnbuen, Birkhøj 1"/>
    <n v="5274"/>
    <m/>
    <s v="Regnbuen"/>
    <x v="54"/>
    <x v="0"/>
    <x v="1"/>
    <n v="78343"/>
    <n v="12"/>
    <s v="2005-08-01"/>
    <n v="0"/>
    <n v="586"/>
    <n v="133.66831500000001"/>
    <n v="1"/>
    <x v="1"/>
    <n v="83125.95"/>
    <n v="15378.3"/>
    <n v="0"/>
    <s v="4824613"/>
    <m/>
    <n v="78343"/>
    <n v="0"/>
    <n v="56850"/>
  </r>
  <r>
    <x v="8"/>
    <s v="04927-1"/>
    <s v="Regnbuen, Birkhøj 1"/>
    <n v="5274"/>
    <m/>
    <s v="Regnbuen"/>
    <x v="54"/>
    <x v="0"/>
    <x v="2"/>
    <n v="92554"/>
    <n v="12"/>
    <s v="2005-08-01"/>
    <n v="0"/>
    <n v="586"/>
    <n v="157.915031"/>
    <n v="1"/>
    <x v="1"/>
    <n v="98189.05"/>
    <n v="18164.98"/>
    <n v="0"/>
    <s v="4824613"/>
    <m/>
    <n v="92554"/>
    <n v="0"/>
    <n v="56850"/>
  </r>
  <r>
    <x v="8"/>
    <s v="04927-1"/>
    <s v="Regnbuen, Birkhøj 1"/>
    <n v="5274"/>
    <m/>
    <s v="Regnbuen"/>
    <x v="54"/>
    <x v="0"/>
    <x v="3"/>
    <n v="96553"/>
    <n v="12"/>
    <s v="2005-08-01"/>
    <n v="0"/>
    <n v="586"/>
    <n v="164.73809900000001"/>
    <n v="1"/>
    <x v="1"/>
    <n v="108536.8"/>
    <n v="20079.3"/>
    <n v="0"/>
    <s v="4824613"/>
    <m/>
    <n v="96553"/>
    <n v="0"/>
    <n v="56850"/>
  </r>
  <r>
    <x v="8"/>
    <s v="04927-1"/>
    <s v="Regnbuen, Birkhøj 1"/>
    <n v="5274"/>
    <m/>
    <s v="Regnbuen"/>
    <x v="54"/>
    <x v="0"/>
    <x v="4"/>
    <n v="97479"/>
    <n v="12"/>
    <s v="2005-08-01"/>
    <n v="0"/>
    <n v="586"/>
    <n v="166.31803400000001"/>
    <n v="1"/>
    <x v="1"/>
    <n v="88983.1"/>
    <n v="16461.88"/>
    <n v="0"/>
    <s v="4824613"/>
    <m/>
    <n v="97479"/>
    <n v="0"/>
    <n v="56850"/>
  </r>
  <r>
    <x v="8"/>
    <s v="04927-1"/>
    <s v="Regnbuen, Birkhøj 1"/>
    <n v="5274"/>
    <m/>
    <s v="Regnbuen"/>
    <x v="54"/>
    <x v="0"/>
    <x v="5"/>
    <n v="74798"/>
    <n v="12"/>
    <s v="2005-08-01"/>
    <n v="0"/>
    <n v="586"/>
    <n v="127.61986"/>
    <n v="1"/>
    <x v="1"/>
    <n v="79607.850000000006"/>
    <n v="14727.44"/>
    <n v="0"/>
    <s v="4824613"/>
    <m/>
    <n v="74798"/>
    <n v="0"/>
    <n v="56850"/>
  </r>
  <r>
    <x v="8"/>
    <s v="04927-1"/>
    <s v="Regnbuen, Birkhøj 1"/>
    <n v="5274"/>
    <m/>
    <s v="Regnbuen"/>
    <x v="54"/>
    <x v="0"/>
    <x v="6"/>
    <n v="50187"/>
    <n v="12"/>
    <s v="2005-08-01"/>
    <n v="0"/>
    <n v="586"/>
    <n v="85.628731999999999"/>
    <n v="1"/>
    <x v="1"/>
    <n v="56161.72"/>
    <n v="10389.93"/>
    <n v="0"/>
    <s v="4824613"/>
    <m/>
    <n v="50187"/>
    <n v="0"/>
    <n v="56850"/>
  </r>
  <r>
    <x v="8"/>
    <s v="04757-0"/>
    <s v="Solvognen, Nordtoftevej 56B"/>
    <n v="5275"/>
    <m/>
    <s v="Solvognen"/>
    <x v="68"/>
    <x v="0"/>
    <x v="0"/>
    <n v="97866"/>
    <n v="5"/>
    <s v="2005-05-01"/>
    <n v="0"/>
    <n v="675"/>
    <n v="72.606369000000001"/>
    <n v="1"/>
    <x v="4"/>
    <n v="114075"/>
    <n v="11501.21"/>
    <n v="0"/>
    <s v="1541448"/>
    <s v="98001998814"/>
    <n v="4538.57"/>
    <n v="0"/>
    <n v="56856"/>
  </r>
  <r>
    <x v="8"/>
    <s v="04757-0"/>
    <s v="Solvognen, Nordtoftevej 56B"/>
    <n v="5275"/>
    <m/>
    <s v="Solvognen"/>
    <x v="68"/>
    <x v="0"/>
    <x v="1"/>
    <n v="90976.07"/>
    <n v="12"/>
    <s v="2005-05-01"/>
    <n v="0"/>
    <n v="675"/>
    <n v="134.759398"/>
    <n v="1"/>
    <x v="4"/>
    <n v="95507.69"/>
    <n v="20198.12"/>
    <n v="0"/>
    <s v="1541448"/>
    <s v="98001998814"/>
    <n v="8423.7099999999991"/>
    <n v="0"/>
    <n v="56856"/>
  </r>
  <r>
    <x v="8"/>
    <s v="04757-0"/>
    <s v="Solvognen, Nordtoftevej 56B"/>
    <n v="5275"/>
    <m/>
    <s v="Solvognen"/>
    <x v="68"/>
    <x v="0"/>
    <x v="2"/>
    <n v="94790.96"/>
    <n v="12"/>
    <s v="2005-05-01"/>
    <n v="0"/>
    <n v="675"/>
    <n v="140.41024999999999"/>
    <n v="1"/>
    <x v="4"/>
    <n v="99687.51"/>
    <n v="21082.06"/>
    <n v="0"/>
    <s v="1541448"/>
    <s v="98001998814"/>
    <n v="8776.94"/>
    <n v="0"/>
    <n v="56856"/>
  </r>
  <r>
    <x v="8"/>
    <s v="04757-0"/>
    <s v="Solvognen, Nordtoftevej 56B"/>
    <n v="5275"/>
    <m/>
    <s v="Solvognen"/>
    <x v="68"/>
    <x v="0"/>
    <x v="3"/>
    <n v="110862.86"/>
    <n v="12"/>
    <s v="2005-05-01"/>
    <n v="0"/>
    <n v="675"/>
    <n v="164.21694500000001"/>
    <n v="1"/>
    <x v="4"/>
    <n v="123684.71"/>
    <n v="26157.02"/>
    <n v="0"/>
    <s v="1541448"/>
    <s v="98001998814"/>
    <n v="10265.08"/>
    <n v="0"/>
    <n v="56856"/>
  </r>
  <r>
    <x v="8"/>
    <s v="04757-0"/>
    <s v="Solvognen, Nordtoftevej 56B"/>
    <n v="5275"/>
    <m/>
    <s v="Solvognen"/>
    <x v="68"/>
    <x v="0"/>
    <x v="4"/>
    <n v="102379.78"/>
    <n v="12"/>
    <s v="2005-05-01"/>
    <n v="0"/>
    <n v="675"/>
    <n v="151.65128100000001"/>
    <n v="1"/>
    <x v="4"/>
    <n v="95454.86"/>
    <n v="20186.93"/>
    <n v="0"/>
    <s v="1541448"/>
    <s v="98001998814"/>
    <n v="9479.61"/>
    <n v="0"/>
    <n v="56856"/>
  </r>
  <r>
    <x v="8"/>
    <s v="04757-0"/>
    <s v="Solvognen, Nordtoftevej 56B"/>
    <n v="5275"/>
    <m/>
    <s v="Solvognen"/>
    <x v="68"/>
    <x v="0"/>
    <x v="5"/>
    <n v="87713.279999999999"/>
    <n v="12"/>
    <s v="2005-05-01"/>
    <n v="0"/>
    <n v="675"/>
    <n v="129.92635100000001"/>
    <n v="1"/>
    <x v="4"/>
    <n v="93415.52"/>
    <n v="19755.650000000001"/>
    <n v="0"/>
    <s v="1541448"/>
    <s v="98001998814"/>
    <n v="8121.6"/>
    <n v="0"/>
    <n v="56856"/>
  </r>
  <r>
    <x v="8"/>
    <s v="04757-0"/>
    <s v="Solvognen, Nordtoftevej 56B"/>
    <n v="5275"/>
    <m/>
    <s v="Solvognen"/>
    <x v="68"/>
    <x v="0"/>
    <x v="6"/>
    <n v="86892.58"/>
    <n v="12"/>
    <s v="2005-05-01"/>
    <n v="0"/>
    <n v="675"/>
    <n v="128.710679"/>
    <n v="1"/>
    <x v="4"/>
    <n v="101227.26"/>
    <n v="21407.67"/>
    <n v="0"/>
    <s v="1541448"/>
    <s v="98001998814"/>
    <n v="8045.61"/>
    <n v="0"/>
    <n v="56856"/>
  </r>
  <r>
    <x v="8"/>
    <m/>
    <s v="Gasværket, Birke 14A"/>
    <n v="10208"/>
    <m/>
    <s v="Gasværket"/>
    <x v="69"/>
    <x v="0"/>
    <x v="7"/>
    <n v="163.5"/>
    <n v="12"/>
    <s v="2011-11-30"/>
    <n v="0"/>
    <n v="741"/>
    <n v="0.22061800000000001"/>
    <n v="3"/>
    <x v="0"/>
    <n v="163.5"/>
    <n v="130.80000000000001"/>
    <n v="0"/>
    <s v="41342"/>
    <m/>
    <n v="163.5"/>
    <n v="0"/>
    <n v="77412"/>
  </r>
  <r>
    <x v="8"/>
    <s v="04927-1"/>
    <s v="Regnbuen, Birkhøj 1"/>
    <n v="5274"/>
    <m/>
    <s v="Regnbuen"/>
    <x v="54"/>
    <x v="0"/>
    <x v="1"/>
    <n v="34183.919999999998"/>
    <n v="12"/>
    <s v="2005-07-01"/>
    <n v="0"/>
    <n v="586"/>
    <n v="58.324381000000002"/>
    <n v="2"/>
    <x v="2"/>
    <n v="34183.919999999998"/>
    <n v="13673.55"/>
    <n v="0"/>
    <s v="3000373"/>
    <s v="74112164694"/>
    <n v="34183.911999999997"/>
    <n v="0"/>
    <n v="56849"/>
  </r>
  <r>
    <x v="3"/>
    <m/>
    <s v="Hareskov Børnehus, Skovmose 55"/>
    <n v="9957"/>
    <m/>
    <s v="Hareskov Børnehus"/>
    <x v="33"/>
    <x v="0"/>
    <x v="7"/>
    <n v="51428.98"/>
    <n v="12"/>
    <s v="2011-12-31"/>
    <n v="0"/>
    <n v="646"/>
    <n v="79.599102000000002"/>
    <n v="1"/>
    <x v="4"/>
    <n v="61650.5"/>
    <n v="13037.92"/>
    <n v="0"/>
    <s v="HNG16.04.677"/>
    <s v="98004052711"/>
    <n v="4761.9399999999996"/>
    <n v="0"/>
    <n v="76350"/>
  </r>
  <r>
    <x v="8"/>
    <m/>
    <s v="Gasværket, Birke 14A"/>
    <n v="10208"/>
    <m/>
    <s v="Gasværket"/>
    <x v="69"/>
    <x v="0"/>
    <x v="0"/>
    <n v="62764"/>
    <n v="5"/>
    <s v="2011-12-30"/>
    <n v="0"/>
    <n v="741"/>
    <n v="50.286371000000003"/>
    <n v="1"/>
    <x v="4"/>
    <n v="72229"/>
    <n v="8923.0300000000007"/>
    <n v="0"/>
    <s v="1569154"/>
    <s v="98003884306"/>
    <n v="3450.6700999999998"/>
    <n v="0"/>
    <n v="77414"/>
  </r>
  <r>
    <x v="8"/>
    <m/>
    <s v="Gasværket, Birke 14A"/>
    <n v="10208"/>
    <m/>
    <s v="Gasværket"/>
    <x v="69"/>
    <x v="0"/>
    <x v="1"/>
    <n v="69834.880000000005"/>
    <n v="12"/>
    <s v="2011-12-30"/>
    <n v="0"/>
    <n v="741"/>
    <n v="94.231385000000003"/>
    <n v="1"/>
    <x v="4"/>
    <n v="72519.429999999993"/>
    <n v="15336.51"/>
    <n v="0"/>
    <s v="1569154"/>
    <s v="98003884306"/>
    <n v="6466.1917000000003"/>
    <n v="0"/>
    <n v="77414"/>
  </r>
  <r>
    <x v="8"/>
    <m/>
    <s v="Gasværket, Birke 14A"/>
    <n v="10208"/>
    <m/>
    <s v="Gasværket"/>
    <x v="69"/>
    <x v="0"/>
    <x v="2"/>
    <n v="84071.62"/>
    <n v="12"/>
    <s v="2011-12-30"/>
    <n v="0"/>
    <n v="741"/>
    <n v="113.441667"/>
    <n v="1"/>
    <x v="4"/>
    <n v="88366.49"/>
    <n v="18687.88"/>
    <n v="0"/>
    <s v="1569154"/>
    <s v="98003884306"/>
    <n v="7784.4096"/>
    <n v="0"/>
    <n v="77414"/>
  </r>
  <r>
    <x v="8"/>
    <m/>
    <s v="Gasværket, Birke 14A"/>
    <n v="10208"/>
    <m/>
    <s v="Gasværket"/>
    <x v="69"/>
    <x v="0"/>
    <x v="3"/>
    <n v="66560.03"/>
    <n v="6"/>
    <s v="2011-12-30"/>
    <n v="0"/>
    <n v="741"/>
    <n v="89.812481000000005"/>
    <n v="1"/>
    <x v="4"/>
    <n v="78253.37"/>
    <n v="16549.13"/>
    <n v="0"/>
    <s v="1569154"/>
    <s v="98003884306"/>
    <n v="6162.9642899999999"/>
    <n v="0"/>
    <n v="77414"/>
  </r>
  <r>
    <x v="8"/>
    <m/>
    <s v="Gasværket, Birke 14A"/>
    <n v="10208"/>
    <m/>
    <s v="Gasværket"/>
    <x v="69"/>
    <x v="0"/>
    <x v="4"/>
    <n v="72241.19"/>
    <n v="6"/>
    <s v="2011-12-30"/>
    <n v="0"/>
    <n v="741"/>
    <n v="97.478329000000002"/>
    <n v="1"/>
    <x v="4"/>
    <n v="74366.27"/>
    <n v="15727.1"/>
    <n v="0"/>
    <s v="1569154"/>
    <s v="98003884306"/>
    <n v="6688.9985200000001"/>
    <n v="0"/>
    <n v="77414"/>
  </r>
  <r>
    <x v="8"/>
    <m/>
    <s v="Gasværket, Birke 14A"/>
    <n v="10208"/>
    <m/>
    <s v="Gasværket"/>
    <x v="69"/>
    <x v="0"/>
    <x v="5"/>
    <n v="78710.37"/>
    <n v="4"/>
    <s v="2011-12-30"/>
    <n v="0"/>
    <n v="741"/>
    <n v="106.207488"/>
    <n v="1"/>
    <x v="4"/>
    <n v="109454.33"/>
    <n v="23147.57"/>
    <n v="0"/>
    <s v="1569154"/>
    <s v="98003884306"/>
    <n v="7287.9966599999998"/>
    <n v="0"/>
    <n v="77414"/>
  </r>
  <r>
    <x v="8"/>
    <m/>
    <s v="Gasværket, Birke 14A"/>
    <n v="10208"/>
    <m/>
    <s v="Gasværket"/>
    <x v="69"/>
    <x v="0"/>
    <x v="6"/>
    <n v="66862.89"/>
    <n v="5"/>
    <s v="2011-12-30"/>
    <n v="0"/>
    <n v="741"/>
    <n v="90.221143999999995"/>
    <n v="1"/>
    <x v="4"/>
    <n v="75686.86"/>
    <n v="16006.36"/>
    <n v="0"/>
    <s v="1569154"/>
    <s v="98003884306"/>
    <n v="6191.00756"/>
    <n v="0"/>
    <n v="77414"/>
  </r>
  <r>
    <x v="8"/>
    <m/>
    <s v="Palægården Poppel Alle 19"/>
    <n v="10237"/>
    <m/>
    <s v="Børnehaven"/>
    <x v="51"/>
    <x v="0"/>
    <x v="0"/>
    <n v="16318"/>
    <n v="5"/>
    <s v="2010-11-09"/>
    <n v="0"/>
    <n v="0"/>
    <n v="89616.2"/>
    <n v="1"/>
    <x v="4"/>
    <n v="18514"/>
    <n v="2128.83"/>
    <n v="0"/>
    <s v="175906/96"/>
    <s v="98004884565"/>
    <n v="829.78"/>
    <n v="0"/>
    <n v="77527"/>
  </r>
  <r>
    <x v="8"/>
    <m/>
    <s v="Palægården Poppel Alle 19"/>
    <n v="10237"/>
    <m/>
    <s v="Børnehaven"/>
    <x v="51"/>
    <x v="0"/>
    <x v="1"/>
    <n v="20647.23"/>
    <n v="12"/>
    <s v="2010-11-09"/>
    <n v="0"/>
    <n v="0"/>
    <n v="206472.3"/>
    <n v="1"/>
    <x v="4"/>
    <n v="21633"/>
    <n v="4574.97"/>
    <n v="0"/>
    <s v="175906/96"/>
    <s v="98004884565"/>
    <n v="1911.78"/>
    <n v="0"/>
    <n v="77527"/>
  </r>
  <r>
    <x v="8"/>
    <m/>
    <s v="Palægården Poppel Alle 19"/>
    <n v="10237"/>
    <m/>
    <s v="Børnehaven"/>
    <x v="51"/>
    <x v="0"/>
    <x v="2"/>
    <n v="23197.75"/>
    <n v="12"/>
    <s v="2010-11-09"/>
    <n v="0"/>
    <n v="0"/>
    <n v="231977.5"/>
    <n v="1"/>
    <x v="4"/>
    <n v="24551.42"/>
    <n v="5192.17"/>
    <n v="0"/>
    <s v="175906/96"/>
    <s v="98004884565"/>
    <n v="2147.94"/>
    <n v="0"/>
    <n v="77527"/>
  </r>
  <r>
    <x v="8"/>
    <m/>
    <s v="Palægården Poppel Alle 19"/>
    <n v="10237"/>
    <m/>
    <s v="Børnehaven"/>
    <x v="51"/>
    <x v="0"/>
    <x v="3"/>
    <n v="21349.77"/>
    <n v="12"/>
    <s v="2010-11-09"/>
    <n v="0"/>
    <n v="0"/>
    <n v="213497.7"/>
    <n v="1"/>
    <x v="4"/>
    <n v="23513.85"/>
    <n v="4972.75"/>
    <n v="0"/>
    <s v="175906/96"/>
    <s v="98004884565"/>
    <n v="1976.83"/>
    <n v="0"/>
    <n v="77527"/>
  </r>
  <r>
    <x v="8"/>
    <m/>
    <s v="Palægården Poppel Alle 19"/>
    <n v="10237"/>
    <m/>
    <s v="Børnehaven"/>
    <x v="51"/>
    <x v="0"/>
    <x v="4"/>
    <n v="26037.91"/>
    <n v="13"/>
    <s v="2010-11-09"/>
    <n v="0"/>
    <n v="0"/>
    <n v="260379.1"/>
    <n v="1"/>
    <x v="4"/>
    <n v="23849.29"/>
    <n v="5043.68"/>
    <n v="0"/>
    <s v="175906/96"/>
    <s v="98004884565"/>
    <n v="2410.91743"/>
    <n v="0"/>
    <n v="77527"/>
  </r>
  <r>
    <x v="8"/>
    <m/>
    <s v="Palægården Poppel Alle 19"/>
    <n v="10237"/>
    <m/>
    <s v="Børnehaven"/>
    <x v="51"/>
    <x v="0"/>
    <x v="5"/>
    <n v="19178.86"/>
    <n v="11"/>
    <s v="2010-11-09"/>
    <n v="0"/>
    <n v="0"/>
    <n v="191788.6"/>
    <n v="1"/>
    <x v="4"/>
    <n v="20215.88"/>
    <n v="4275.29"/>
    <n v="0"/>
    <s v="175906/96"/>
    <s v="98004884565"/>
    <n v="1775.8204599999999"/>
    <n v="0"/>
    <n v="77527"/>
  </r>
  <r>
    <x v="8"/>
    <m/>
    <s v="Palægården Poppel Alle 19"/>
    <n v="10237"/>
    <m/>
    <s v="Børnehaven"/>
    <x v="51"/>
    <x v="0"/>
    <x v="6"/>
    <n v="17955.810000000001"/>
    <n v="10"/>
    <s v="2010-11-09"/>
    <n v="0"/>
    <n v="0"/>
    <n v="179558.1"/>
    <n v="1"/>
    <x v="4"/>
    <n v="20505.740000000002"/>
    <n v="4336.58"/>
    <n v="0"/>
    <s v="175906/96"/>
    <s v="98004884565"/>
    <n v="1662.5743600000001"/>
    <n v="0"/>
    <n v="77527"/>
  </r>
  <r>
    <x v="8"/>
    <m/>
    <s v="Palægården Poppel Alle 19"/>
    <n v="10236"/>
    <m/>
    <s v="Fællesrum"/>
    <x v="51"/>
    <x v="0"/>
    <x v="0"/>
    <n v="51560"/>
    <n v="5"/>
    <s v="2010-10-31"/>
    <n v="0"/>
    <n v="696"/>
    <n v="43.697715000000002"/>
    <n v="1"/>
    <x v="4"/>
    <n v="59650"/>
    <n v="7188.71"/>
    <n v="0"/>
    <s v="175910/96"/>
    <s v="98004884572"/>
    <n v="2816.48"/>
    <n v="0"/>
    <n v="77526"/>
  </r>
  <r>
    <x v="8"/>
    <m/>
    <s v="Palægården Poppel Alle 19"/>
    <n v="10236"/>
    <m/>
    <s v="Fællesrum"/>
    <x v="51"/>
    <x v="0"/>
    <x v="1"/>
    <n v="59161.22"/>
    <n v="12"/>
    <s v="2010-10-31"/>
    <n v="0"/>
    <n v="696"/>
    <n v="84.989541000000003"/>
    <n v="1"/>
    <x v="4"/>
    <n v="61941.19"/>
    <n v="13099.42"/>
    <n v="0"/>
    <s v="175910/96"/>
    <s v="98004884572"/>
    <n v="5477.89"/>
    <n v="0"/>
    <n v="77526"/>
  </r>
  <r>
    <x v="8"/>
    <m/>
    <s v="Palægården Poppel Alle 19"/>
    <n v="10236"/>
    <m/>
    <s v="Fællesrum"/>
    <x v="51"/>
    <x v="0"/>
    <x v="2"/>
    <n v="71245.119999999995"/>
    <n v="12"/>
    <s v="2010-10-31"/>
    <n v="0"/>
    <n v="696"/>
    <n v="102.348972"/>
    <n v="1"/>
    <x v="4"/>
    <n v="75359.59"/>
    <n v="15937.16"/>
    <n v="0"/>
    <s v="175910/96"/>
    <s v="98004884572"/>
    <n v="6596.77"/>
    <n v="0"/>
    <n v="77526"/>
  </r>
  <r>
    <x v="8"/>
    <m/>
    <s v="Palægården Poppel Alle 19"/>
    <n v="10236"/>
    <m/>
    <s v="Fællesrum"/>
    <x v="51"/>
    <x v="0"/>
    <x v="3"/>
    <n v="75888.789999999994"/>
    <n v="12"/>
    <s v="2010-10-31"/>
    <n v="0"/>
    <n v="696"/>
    <n v="109.019954"/>
    <n v="1"/>
    <x v="4"/>
    <n v="83191.94"/>
    <n v="17593.55"/>
    <n v="0"/>
    <s v="175910/96"/>
    <s v="98004884572"/>
    <n v="7026.74"/>
    <n v="0"/>
    <n v="77526"/>
  </r>
  <r>
    <x v="8"/>
    <m/>
    <s v="Palægården Poppel Alle 19"/>
    <n v="10236"/>
    <m/>
    <s v="Fællesrum"/>
    <x v="51"/>
    <x v="0"/>
    <x v="4"/>
    <n v="88406.94"/>
    <n v="13"/>
    <s v="2010-10-31"/>
    <n v="0"/>
    <n v="696"/>
    <n v="127.00321700000001"/>
    <n v="1"/>
    <x v="4"/>
    <n v="80914.75"/>
    <n v="17111.97"/>
    <n v="0"/>
    <s v="175910/96"/>
    <s v="98004884572"/>
    <n v="8185.82744"/>
    <n v="0"/>
    <n v="77526"/>
  </r>
  <r>
    <x v="8"/>
    <m/>
    <s v="Palægården Poppel Alle 19"/>
    <n v="10236"/>
    <m/>
    <s v="Fællesrum"/>
    <x v="51"/>
    <x v="0"/>
    <x v="5"/>
    <n v="72654.850000000006"/>
    <n v="11"/>
    <s v="2010-10-31"/>
    <n v="0"/>
    <n v="696"/>
    <n v="104.374156"/>
    <n v="1"/>
    <x v="4"/>
    <n v="77913.19"/>
    <n v="16477.2"/>
    <n v="0"/>
    <s v="175910/96"/>
    <s v="98004884572"/>
    <n v="6727.30116"/>
    <n v="0"/>
    <n v="77526"/>
  </r>
  <r>
    <x v="8"/>
    <m/>
    <s v="Palægården Poppel Alle 19"/>
    <n v="10236"/>
    <m/>
    <s v="Fællesrum"/>
    <x v="51"/>
    <x v="0"/>
    <x v="6"/>
    <n v="68876.44"/>
    <n v="10"/>
    <s v="2010-10-31"/>
    <n v="0"/>
    <n v="696"/>
    <n v="98.946185"/>
    <n v="1"/>
    <x v="4"/>
    <n v="78229.919999999998"/>
    <n v="16544.18"/>
    <n v="0"/>
    <s v="175910/96"/>
    <s v="98004884572"/>
    <n v="6377.4481699999997"/>
    <n v="0"/>
    <n v="77526"/>
  </r>
  <r>
    <x v="8"/>
    <m/>
    <s v="Palægården Poppel Alle 19"/>
    <n v="10238"/>
    <m/>
    <s v="Miniklub"/>
    <x v="51"/>
    <x v="0"/>
    <x v="0"/>
    <n v="15716"/>
    <n v="5"/>
    <s v="2010-10-31"/>
    <n v="0"/>
    <n v="0"/>
    <n v="88829"/>
    <n v="1"/>
    <x v="4"/>
    <n v="17760"/>
    <n v="194.51"/>
    <n v="0"/>
    <s v="176901/96"/>
    <s v="98004884589"/>
    <n v="822.49"/>
    <n v="0"/>
    <n v="77528"/>
  </r>
  <r>
    <x v="8"/>
    <m/>
    <s v="Palægården Poppel Alle 19"/>
    <n v="10238"/>
    <m/>
    <s v="Miniklub"/>
    <x v="51"/>
    <x v="0"/>
    <x v="1"/>
    <n v="22882.71"/>
    <n v="12"/>
    <s v="2010-10-31"/>
    <n v="0"/>
    <n v="0"/>
    <n v="228827.1"/>
    <n v="1"/>
    <x v="4"/>
    <n v="23734.7"/>
    <n v="463.69"/>
    <n v="0"/>
    <s v="176901/96"/>
    <s v="98004884589"/>
    <n v="2118.77"/>
    <n v="0"/>
    <n v="77528"/>
  </r>
  <r>
    <x v="8"/>
    <m/>
    <s v="Palægården Poppel Alle 19"/>
    <n v="10238"/>
    <m/>
    <s v="Miniklub"/>
    <x v="51"/>
    <x v="0"/>
    <x v="2"/>
    <n v="23549.49"/>
    <n v="12"/>
    <s v="2010-10-31"/>
    <n v="0"/>
    <n v="0"/>
    <n v="235494.9"/>
    <n v="1"/>
    <x v="4"/>
    <n v="24678.33"/>
    <n v="482.16"/>
    <n v="0"/>
    <s v="176901/96"/>
    <s v="98004884589"/>
    <n v="2180.5100000000002"/>
    <n v="0"/>
    <n v="77528"/>
  </r>
  <r>
    <x v="8"/>
    <m/>
    <s v="Palægården Poppel Alle 19"/>
    <n v="10238"/>
    <m/>
    <s v="Miniklub"/>
    <x v="51"/>
    <x v="0"/>
    <x v="3"/>
    <n v="22657.63"/>
    <n v="12"/>
    <s v="2010-10-31"/>
    <n v="0"/>
    <n v="0"/>
    <n v="226576.3"/>
    <n v="1"/>
    <x v="4"/>
    <n v="24763.22"/>
    <n v="483.81"/>
    <n v="0"/>
    <s v="176901/96"/>
    <s v="98004884589"/>
    <n v="2097.9299999999998"/>
    <n v="0"/>
    <n v="77528"/>
  </r>
  <r>
    <x v="8"/>
    <m/>
    <s v="Palægården Poppel Alle 19"/>
    <n v="10238"/>
    <m/>
    <s v="Miniklub"/>
    <x v="51"/>
    <x v="0"/>
    <x v="4"/>
    <n v="26093.65"/>
    <n v="11"/>
    <s v="2010-10-31"/>
    <n v="0"/>
    <n v="0"/>
    <n v="260936.5"/>
    <n v="1"/>
    <x v="4"/>
    <n v="23931.21"/>
    <n v="467.54"/>
    <n v="0"/>
    <s v="176901/96"/>
    <s v="98004884589"/>
    <n v="2416.0800100000001"/>
    <n v="0"/>
    <n v="77528"/>
  </r>
  <r>
    <x v="8"/>
    <m/>
    <s v="Palægården Poppel Alle 19"/>
    <n v="10238"/>
    <m/>
    <s v="Miniklub"/>
    <x v="51"/>
    <x v="0"/>
    <x v="5"/>
    <n v="22264.34"/>
    <n v="10"/>
    <s v="2010-10-31"/>
    <n v="0"/>
    <n v="0"/>
    <n v="222643.4"/>
    <n v="1"/>
    <x v="4"/>
    <n v="24541.9"/>
    <n v="479.49"/>
    <n v="0"/>
    <s v="176901/96"/>
    <s v="98004884589"/>
    <n v="2061.51361"/>
    <n v="0"/>
    <n v="77528"/>
  </r>
  <r>
    <x v="8"/>
    <m/>
    <s v="Palægården Poppel Alle 19"/>
    <n v="10238"/>
    <m/>
    <s v="Miniklub"/>
    <x v="51"/>
    <x v="0"/>
    <x v="6"/>
    <n v="22346.400000000001"/>
    <n v="9"/>
    <s v="2010-10-31"/>
    <n v="0"/>
    <n v="0"/>
    <n v="223464"/>
    <n v="1"/>
    <x v="4"/>
    <n v="25242.26"/>
    <n v="493.16"/>
    <n v="0"/>
    <s v="176901/96"/>
    <s v="98004884589"/>
    <n v="2069.1109099999999"/>
    <n v="0"/>
    <n v="77528"/>
  </r>
  <r>
    <x v="8"/>
    <s v="04877-1"/>
    <s v="Pilehuset, STA39"/>
    <n v="5273"/>
    <m/>
    <s v="Pilehuset"/>
    <x v="70"/>
    <x v="0"/>
    <x v="0"/>
    <n v="61549"/>
    <n v="5"/>
    <s v="2005-09-01"/>
    <n v="0"/>
    <n v="457"/>
    <n v="74.556989000000002"/>
    <n v="1"/>
    <x v="1"/>
    <n v="70127"/>
    <n v="7071158.7999999998"/>
    <n v="0"/>
    <s v="4824610"/>
    <m/>
    <n v="34080"/>
    <n v="0"/>
    <n v="56844"/>
  </r>
  <r>
    <x v="8"/>
    <s v="04877-1"/>
    <s v="Pilehuset, STA39"/>
    <n v="5273"/>
    <m/>
    <s v="Pilehuset"/>
    <x v="70"/>
    <x v="1"/>
    <x v="0"/>
    <n v="36165.58"/>
    <n v="5"/>
    <s v="2005-09-01"/>
    <n v="0"/>
    <n v="457"/>
    <n v="79.119623000000004"/>
    <n v="1"/>
    <x v="3"/>
    <n v="40802.519999999997"/>
    <n v="216350.42"/>
    <n v="1"/>
    <s v="4824610"/>
    <m/>
    <n v="1036.56"/>
    <n v="0"/>
    <n v="57004"/>
  </r>
  <r>
    <x v="8"/>
    <s v="04877-1"/>
    <s v="Pilehuset, STA39"/>
    <n v="5273"/>
    <m/>
    <s v="Pilehuset"/>
    <x v="70"/>
    <x v="1"/>
    <x v="1"/>
    <n v="58497.45"/>
    <n v="12"/>
    <s v="2005-09-01"/>
    <n v="0"/>
    <n v="457"/>
    <n v="127.97516899999999"/>
    <n v="1"/>
    <x v="3"/>
    <n v="59552.79"/>
    <n v="315.76"/>
    <n v="1"/>
    <s v="4824610"/>
    <m/>
    <n v="1676.625"/>
    <n v="0"/>
    <n v="57004"/>
  </r>
  <r>
    <x v="8"/>
    <s v="04877-1"/>
    <s v="Pilehuset, STA39"/>
    <n v="5273"/>
    <m/>
    <s v="Pilehuset"/>
    <x v="70"/>
    <x v="0"/>
    <x v="1"/>
    <n v="56064"/>
    <n v="12"/>
    <s v="2005-09-01"/>
    <n v="0"/>
    <n v="457"/>
    <n v="122.651498"/>
    <n v="1"/>
    <x v="1"/>
    <n v="57987.6"/>
    <n v="10727.7"/>
    <n v="0"/>
    <s v="4824610"/>
    <m/>
    <n v="56064"/>
    <n v="0"/>
    <n v="56844"/>
  </r>
  <r>
    <x v="8"/>
    <s v="04877-1"/>
    <s v="Pilehuset, STA39"/>
    <n v="5273"/>
    <m/>
    <s v="Pilehuset"/>
    <x v="70"/>
    <x v="0"/>
    <x v="2"/>
    <n v="62902"/>
    <n v="12"/>
    <s v="2005-09-01"/>
    <n v="0"/>
    <n v="457"/>
    <n v="137.61102600000001"/>
    <n v="1"/>
    <x v="1"/>
    <n v="65979.98"/>
    <n v="12206.29"/>
    <n v="0"/>
    <s v="4824610"/>
    <m/>
    <n v="62902"/>
    <n v="0"/>
    <n v="56844"/>
  </r>
  <r>
    <x v="8"/>
    <s v="04877-1"/>
    <s v="Pilehuset, STA39"/>
    <n v="5273"/>
    <m/>
    <s v="Pilehuset"/>
    <x v="70"/>
    <x v="1"/>
    <x v="2"/>
    <n v="64496.77"/>
    <n v="12"/>
    <s v="2005-09-01"/>
    <n v="0"/>
    <n v="457"/>
    <n v="141.09991199999999"/>
    <n v="1"/>
    <x v="3"/>
    <n v="67747.78"/>
    <n v="359.22"/>
    <n v="1"/>
    <s v="4824610"/>
    <m/>
    <n v="1848.575"/>
    <n v="0"/>
    <n v="57004"/>
  </r>
  <r>
    <x v="8"/>
    <s v="04877-1"/>
    <s v="Pilehuset, STA39"/>
    <n v="5273"/>
    <m/>
    <s v="Pilehuset"/>
    <x v="70"/>
    <x v="0"/>
    <x v="3"/>
    <n v="72418"/>
    <n v="12"/>
    <s v="2005-09-01"/>
    <n v="0"/>
    <n v="457"/>
    <n v="158.429227"/>
    <n v="1"/>
    <x v="1"/>
    <n v="79661.87"/>
    <n v="14737.45"/>
    <n v="0"/>
    <s v="4824610"/>
    <m/>
    <n v="72418"/>
    <n v="0"/>
    <n v="56844"/>
  </r>
  <r>
    <x v="8"/>
    <s v="04877-1"/>
    <s v="Pilehuset, STA39"/>
    <n v="5273"/>
    <m/>
    <s v="Pilehuset"/>
    <x v="70"/>
    <x v="1"/>
    <x v="3"/>
    <n v="82571.37"/>
    <n v="12"/>
    <s v="2005-09-01"/>
    <n v="0"/>
    <n v="457"/>
    <n v="180.641807"/>
    <n v="1"/>
    <x v="3"/>
    <n v="88827.51"/>
    <n v="470.99"/>
    <n v="1"/>
    <s v="4824610"/>
    <m/>
    <n v="2366.62"/>
    <n v="0"/>
    <n v="57004"/>
  </r>
  <r>
    <x v="8"/>
    <s v="04877-1"/>
    <s v="Pilehuset, STA39"/>
    <n v="5273"/>
    <m/>
    <s v="Pilehuset"/>
    <x v="70"/>
    <x v="1"/>
    <x v="4"/>
    <n v="111271.02"/>
    <n v="12"/>
    <s v="2005-09-01"/>
    <n v="0"/>
    <n v="457"/>
    <n v="243.42817700000001"/>
    <n v="1"/>
    <x v="3"/>
    <n v="99935.75"/>
    <n v="529.9"/>
    <n v="1"/>
    <s v="4824610"/>
    <m/>
    <n v="3189.1952999999999"/>
    <n v="0"/>
    <n v="57004"/>
  </r>
  <r>
    <x v="8"/>
    <s v="04877-1"/>
    <s v="Pilehuset, STA39"/>
    <n v="5273"/>
    <m/>
    <s v="Pilehuset"/>
    <x v="70"/>
    <x v="0"/>
    <x v="4"/>
    <n v="83898.21"/>
    <n v="12"/>
    <s v="2005-09-01"/>
    <n v="0"/>
    <n v="457"/>
    <n v="183.54454100000001"/>
    <n v="1"/>
    <x v="1"/>
    <n v="76290.28"/>
    <n v="14113.69"/>
    <n v="0"/>
    <s v="4824610"/>
    <m/>
    <n v="83898.21"/>
    <n v="0"/>
    <n v="56844"/>
  </r>
  <r>
    <x v="8"/>
    <s v="04877-1"/>
    <s v="Pilehuset, STA39"/>
    <n v="5273"/>
    <m/>
    <s v="Pilehuset"/>
    <x v="70"/>
    <x v="1"/>
    <x v="5"/>
    <n v="101796.15"/>
    <n v="12"/>
    <s v="2005-09-01"/>
    <n v="0"/>
    <n v="457"/>
    <n v="222.69995599999999"/>
    <n v="1"/>
    <x v="3"/>
    <n v="110125.34"/>
    <n v="583.91999999999996"/>
    <n v="1"/>
    <s v="4824610"/>
    <m/>
    <n v="2917.6314000000002"/>
    <n v="0"/>
    <n v="57004"/>
  </r>
  <r>
    <x v="8"/>
    <s v="04877-1"/>
    <s v="Pilehuset, STA39"/>
    <n v="5273"/>
    <m/>
    <s v="Pilehuset"/>
    <x v="70"/>
    <x v="0"/>
    <x v="5"/>
    <n v="73459.320000000007"/>
    <n v="12"/>
    <s v="2005-09-01"/>
    <n v="0"/>
    <n v="457"/>
    <n v="160.70732799999999"/>
    <n v="1"/>
    <x v="1"/>
    <n v="78898.990000000005"/>
    <n v="14596.31"/>
    <n v="0"/>
    <s v="4824610"/>
    <m/>
    <n v="73459.320000000007"/>
    <n v="0"/>
    <n v="56844"/>
  </r>
  <r>
    <x v="8"/>
    <s v="04877-1"/>
    <s v="Pilehuset, STA39"/>
    <n v="5273"/>
    <m/>
    <s v="Pilehuset"/>
    <x v="70"/>
    <x v="0"/>
    <x v="6"/>
    <n v="69988.47"/>
    <n v="12"/>
    <s v="2005-09-01"/>
    <n v="0"/>
    <n v="457"/>
    <n v="153.11413200000001"/>
    <n v="1"/>
    <x v="1"/>
    <n v="79461.100000000006"/>
    <n v="14700.29"/>
    <n v="0"/>
    <s v="4824610"/>
    <m/>
    <n v="69988.47"/>
    <n v="0"/>
    <n v="56844"/>
  </r>
  <r>
    <x v="8"/>
    <s v="04877-1"/>
    <s v="Pilehuset, STA39"/>
    <n v="5273"/>
    <m/>
    <s v="Pilehuset"/>
    <x v="70"/>
    <x v="1"/>
    <x v="6"/>
    <n v="85144.960000000006"/>
    <n v="12"/>
    <s v="2005-09-01"/>
    <n v="0"/>
    <n v="457"/>
    <n v="186.272063"/>
    <n v="1"/>
    <x v="3"/>
    <n v="96201.55"/>
    <n v="510.11"/>
    <n v="1"/>
    <s v="4824610"/>
    <m/>
    <n v="2440.3833"/>
    <n v="0"/>
    <n v="57004"/>
  </r>
  <r>
    <x v="8"/>
    <m/>
    <s v="Solbjerggård Fritidsklub"/>
    <n v="10211"/>
    <m/>
    <s v="Solbjerggård Fritidsklub"/>
    <x v="71"/>
    <x v="0"/>
    <x v="0"/>
    <n v="76440"/>
    <n v="5"/>
    <s v="2014-02-28"/>
    <n v="0"/>
    <n v="1107"/>
    <n v="43.85331"/>
    <n v="1"/>
    <x v="5"/>
    <n v="88683"/>
    <n v="3522.91"/>
    <n v="0"/>
    <s v="7091524"/>
    <m/>
    <n v="48.55"/>
    <n v="0"/>
    <n v="77445"/>
  </r>
  <r>
    <x v="8"/>
    <m/>
    <s v="Solbjerggård Fritidsklub"/>
    <n v="10211"/>
    <m/>
    <s v="Solbjerggård Fritidsklub"/>
    <x v="71"/>
    <x v="0"/>
    <x v="1"/>
    <n v="104934"/>
    <n v="6"/>
    <s v="2014-02-28"/>
    <n v="0"/>
    <n v="1107"/>
    <n v="94.782764999999998"/>
    <n v="1"/>
    <x v="5"/>
    <n v="111100.78"/>
    <n v="7110.46"/>
    <n v="0"/>
    <s v="7091524"/>
    <m/>
    <n v="104.934"/>
    <n v="0"/>
    <n v="77445"/>
  </r>
  <r>
    <x v="8"/>
    <m/>
    <s v="Solbjerggård Fritidsklub"/>
    <n v="10211"/>
    <m/>
    <s v="Solbjerggård Fritidsklub"/>
    <x v="71"/>
    <x v="0"/>
    <x v="2"/>
    <n v="104364.54"/>
    <n v="6"/>
    <s v="2014-02-28"/>
    <n v="0"/>
    <n v="1107"/>
    <n v="94.268394000000001"/>
    <n v="1"/>
    <x v="5"/>
    <n v="108874.13"/>
    <n v="20141.7"/>
    <n v="0"/>
    <s v="7091524"/>
    <m/>
    <n v="104.36454000000001"/>
    <n v="0"/>
    <n v="77445"/>
  </r>
  <r>
    <x v="8"/>
    <m/>
    <s v="Solbjerggård Fritidsklub"/>
    <n v="10211"/>
    <m/>
    <s v="Solbjerggård Fritidsklub"/>
    <x v="71"/>
    <x v="0"/>
    <x v="3"/>
    <n v="101765.17"/>
    <n v="7"/>
    <s v="2014-02-28"/>
    <n v="0"/>
    <n v="1107"/>
    <n v="91.920484999999999"/>
    <n v="1"/>
    <x v="5"/>
    <n v="117127.13"/>
    <n v="21668.5"/>
    <n v="0"/>
    <s v="7091524"/>
    <m/>
    <n v="101.76517"/>
    <n v="0"/>
    <n v="77445"/>
  </r>
  <r>
    <x v="8"/>
    <m/>
    <s v="Solbjerggård Fritidsklub"/>
    <n v="10211"/>
    <m/>
    <s v="Solbjerggård Fritidsklub"/>
    <x v="71"/>
    <x v="0"/>
    <x v="4"/>
    <n v="147791.57999999999"/>
    <n v="12"/>
    <s v="2014-02-28"/>
    <n v="0"/>
    <n v="1107"/>
    <n v="133.494336"/>
    <n v="1"/>
    <x v="5"/>
    <n v="134839.51"/>
    <n v="24945.31"/>
    <n v="0"/>
    <s v="7091524"/>
    <m/>
    <n v="147.79158000000001"/>
    <n v="0"/>
    <n v="77445"/>
  </r>
  <r>
    <x v="8"/>
    <m/>
    <s v="Solbjerggård Fritidsklub"/>
    <n v="10211"/>
    <m/>
    <s v="Solbjerggård Fritidsklub"/>
    <x v="71"/>
    <x v="0"/>
    <x v="5"/>
    <n v="119743.44"/>
    <n v="13"/>
    <s v="2014-02-28"/>
    <n v="0"/>
    <n v="1107"/>
    <n v="108.15955099999999"/>
    <n v="1"/>
    <x v="5"/>
    <n v="134836.17000000001"/>
    <n v="24944.69"/>
    <n v="0"/>
    <s v="7091524"/>
    <m/>
    <n v="119.74344000000001"/>
    <n v="0"/>
    <n v="77445"/>
  </r>
  <r>
    <x v="8"/>
    <m/>
    <s v="Solbjerggård Fritidsklub"/>
    <n v="10211"/>
    <m/>
    <s v="Solbjerggård Fritidsklub"/>
    <x v="71"/>
    <x v="0"/>
    <x v="6"/>
    <n v="106006.58"/>
    <n v="13"/>
    <s v="2014-02-28"/>
    <n v="0"/>
    <n v="1107"/>
    <n v="95.751585000000006"/>
    <n v="1"/>
    <x v="5"/>
    <n v="120498.33"/>
    <n v="22292.19"/>
    <n v="0"/>
    <s v="7091524"/>
    <m/>
    <n v="106.00658"/>
    <n v="0"/>
    <n v="77445"/>
  </r>
  <r>
    <x v="8"/>
    <s v="04730-9"/>
    <s v="Tivolihuset, Hvilebækgårdsvej 19"/>
    <n v="5250"/>
    <m/>
    <s v="Tivolihuset"/>
    <x v="72"/>
    <x v="0"/>
    <x v="0"/>
    <n v="43033"/>
    <n v="5"/>
    <s v="2005-09-01"/>
    <n v="0"/>
    <n v="417"/>
    <n v="59.360655999999999"/>
    <n v="1"/>
    <x v="1"/>
    <n v="49208"/>
    <n v="5150649.75"/>
    <n v="0"/>
    <s v="4824614"/>
    <m/>
    <n v="24759.332999999999"/>
    <n v="0"/>
    <n v="56672"/>
  </r>
  <r>
    <x v="8"/>
    <s v="04730-9"/>
    <s v="Tivolihuset, Hvilebækgårdsvej 19"/>
    <n v="5250"/>
    <m/>
    <s v="Tivolihuset"/>
    <x v="72"/>
    <x v="1"/>
    <x v="0"/>
    <n v="18821.18"/>
    <n v="5"/>
    <m/>
    <n v="0"/>
    <n v="417"/>
    <n v="45.123902999999999"/>
    <n v="1"/>
    <x v="3"/>
    <n v="20776.509999999998"/>
    <n v="110164.93"/>
    <n v="1"/>
    <s v="4824614"/>
    <m/>
    <n v="539.44332999999995"/>
    <n v="0"/>
    <n v="57006"/>
  </r>
  <r>
    <x v="8"/>
    <s v="04730-9"/>
    <s v="Tivolihuset, Hvilebækgårdsvej 19"/>
    <n v="5250"/>
    <m/>
    <s v="Tivolihuset"/>
    <x v="72"/>
    <x v="0"/>
    <x v="1"/>
    <n v="56591"/>
    <n v="12"/>
    <s v="2005-09-01"/>
    <n v="0"/>
    <n v="417"/>
    <n v="135.67729499999999"/>
    <n v="1"/>
    <x v="1"/>
    <n v="59743.57"/>
    <n v="11052.56"/>
    <n v="0"/>
    <s v="4824614"/>
    <m/>
    <n v="56591"/>
    <n v="0"/>
    <n v="56672"/>
  </r>
  <r>
    <x v="8"/>
    <s v="04730-9"/>
    <s v="Tivolihuset, Hvilebækgårdsvej 19"/>
    <n v="5250"/>
    <m/>
    <s v="Tivolihuset"/>
    <x v="72"/>
    <x v="1"/>
    <x v="1"/>
    <n v="76582.5"/>
    <n v="12"/>
    <m/>
    <n v="0"/>
    <n v="417"/>
    <n v="183.60704799999999"/>
    <n v="1"/>
    <x v="3"/>
    <n v="78562.84"/>
    <n v="416.55"/>
    <n v="1"/>
    <s v="4824614"/>
    <m/>
    <n v="2194.9699999999998"/>
    <n v="0"/>
    <n v="57006"/>
  </r>
  <r>
    <x v="8"/>
    <s v="04730-9"/>
    <s v="Tivolihuset, Hvilebækgårdsvej 19"/>
    <n v="5250"/>
    <m/>
    <s v="Tivolihuset"/>
    <x v="72"/>
    <x v="0"/>
    <x v="2"/>
    <n v="65327"/>
    <n v="12"/>
    <s v="2005-09-01"/>
    <n v="0"/>
    <n v="417"/>
    <n v="156.62191300000001"/>
    <n v="1"/>
    <x v="1"/>
    <n v="69006.39"/>
    <n v="12766.18"/>
    <n v="0"/>
    <s v="4824614"/>
    <m/>
    <n v="65327"/>
    <n v="0"/>
    <n v="56672"/>
  </r>
  <r>
    <x v="8"/>
    <s v="04730-9"/>
    <s v="Tivolihuset, Hvilebækgårdsvej 19"/>
    <n v="5250"/>
    <m/>
    <s v="Tivolihuset"/>
    <x v="72"/>
    <x v="1"/>
    <x v="2"/>
    <n v="96443.29"/>
    <n v="12"/>
    <m/>
    <n v="0"/>
    <n v="417"/>
    <n v="231.223423"/>
    <n v="1"/>
    <x v="3"/>
    <n v="100816.82"/>
    <n v="534.55999999999995"/>
    <n v="1"/>
    <s v="4824614"/>
    <m/>
    <n v="2764.21"/>
    <n v="0"/>
    <n v="57006"/>
  </r>
  <r>
    <x v="8"/>
    <s v="04730-9"/>
    <s v="Tivolihuset, Hvilebækgårdsvej 19"/>
    <n v="5250"/>
    <m/>
    <s v="Tivolihuset"/>
    <x v="72"/>
    <x v="0"/>
    <x v="3"/>
    <n v="57978"/>
    <n v="12"/>
    <s v="2005-09-01"/>
    <n v="0"/>
    <n v="417"/>
    <n v="139.00263699999999"/>
    <n v="1"/>
    <x v="1"/>
    <n v="64031.27"/>
    <n v="11845.79"/>
    <n v="0"/>
    <s v="4824614"/>
    <m/>
    <n v="57978"/>
    <n v="0"/>
    <n v="56672"/>
  </r>
  <r>
    <x v="8"/>
    <s v="04730-9"/>
    <s v="Tivolihuset, Hvilebækgårdsvej 19"/>
    <n v="5250"/>
    <m/>
    <s v="Tivolihuset"/>
    <x v="72"/>
    <x v="1"/>
    <x v="3"/>
    <n v="71993.09"/>
    <n v="12"/>
    <m/>
    <n v="0"/>
    <n v="417"/>
    <n v="172.60390699999999"/>
    <n v="1"/>
    <x v="3"/>
    <n v="78433.490000000005"/>
    <n v="415.9"/>
    <n v="1"/>
    <s v="4824614"/>
    <m/>
    <n v="2063.4299999999998"/>
    <n v="0"/>
    <n v="57006"/>
  </r>
  <r>
    <x v="8"/>
    <s v="04730-9"/>
    <s v="Tivolihuset, Hvilebækgårdsvej 19"/>
    <n v="5250"/>
    <m/>
    <s v="Tivolihuset"/>
    <x v="72"/>
    <x v="0"/>
    <x v="4"/>
    <n v="59625"/>
    <n v="12"/>
    <s v="2005-09-01"/>
    <n v="0"/>
    <n v="417"/>
    <n v="142.95133000000001"/>
    <n v="1"/>
    <x v="1"/>
    <n v="54399.9"/>
    <n v="10064.01"/>
    <n v="0"/>
    <s v="4824614"/>
    <m/>
    <n v="59625"/>
    <n v="0"/>
    <n v="56672"/>
  </r>
  <r>
    <x v="8"/>
    <s v="04730-9"/>
    <s v="Tivolihuset, Hvilebækgårdsvej 19"/>
    <n v="5250"/>
    <m/>
    <s v="Tivolihuset"/>
    <x v="72"/>
    <x v="1"/>
    <x v="4"/>
    <n v="103203.23"/>
    <n v="12"/>
    <m/>
    <n v="0"/>
    <n v="417"/>
    <n v="247.43042399999999"/>
    <n v="1"/>
    <x v="3"/>
    <n v="92344.21"/>
    <n v="489.63"/>
    <n v="1"/>
    <s v="4824614"/>
    <m/>
    <n v="2957.96"/>
    <n v="0"/>
    <n v="57006"/>
  </r>
  <r>
    <x v="8"/>
    <s v="04730-9"/>
    <s v="Tivolihuset, Hvilebækgårdsvej 19"/>
    <n v="5250"/>
    <m/>
    <s v="Tivolihuset"/>
    <x v="72"/>
    <x v="0"/>
    <x v="5"/>
    <n v="53333"/>
    <n v="12"/>
    <s v="2005-09-01"/>
    <n v="0"/>
    <n v="417"/>
    <n v="127.866219"/>
    <n v="1"/>
    <x v="1"/>
    <n v="56811.18"/>
    <n v="10510.06"/>
    <n v="0"/>
    <s v="4824614"/>
    <m/>
    <n v="53333"/>
    <n v="0"/>
    <n v="56672"/>
  </r>
  <r>
    <x v="8"/>
    <s v="04730-9"/>
    <s v="Tivolihuset, Hvilebækgårdsvej 19"/>
    <n v="5250"/>
    <m/>
    <s v="Tivolihuset"/>
    <x v="72"/>
    <x v="1"/>
    <x v="5"/>
    <n v="55130.74"/>
    <n v="12"/>
    <m/>
    <n v="0"/>
    <n v="417"/>
    <n v="132.176312"/>
    <n v="1"/>
    <x v="3"/>
    <n v="58254.33"/>
    <n v="308.89"/>
    <n v="1"/>
    <s v="4824614"/>
    <m/>
    <n v="1580.13"/>
    <n v="0"/>
    <n v="57006"/>
  </r>
  <r>
    <x v="8"/>
    <s v="04730-9"/>
    <s v="Tivolihuset, Hvilebækgårdsvej 19"/>
    <n v="5250"/>
    <m/>
    <s v="Tivolihuset"/>
    <x v="72"/>
    <x v="0"/>
    <x v="6"/>
    <n v="48506"/>
    <n v="12"/>
    <s v="2005-09-01"/>
    <n v="0"/>
    <n v="417"/>
    <n v="116.293454"/>
    <n v="1"/>
    <x v="1"/>
    <n v="55217.2"/>
    <n v="10215.17"/>
    <n v="0"/>
    <s v="4824614"/>
    <m/>
    <n v="48506"/>
    <n v="0"/>
    <n v="56672"/>
  </r>
  <r>
    <x v="8"/>
    <s v="04730-9"/>
    <s v="Tivolihuset, Hvilebækgårdsvej 19"/>
    <n v="5250"/>
    <m/>
    <s v="Tivolihuset"/>
    <x v="72"/>
    <x v="1"/>
    <x v="6"/>
    <n v="49501.24"/>
    <n v="12"/>
    <m/>
    <n v="0"/>
    <n v="417"/>
    <n v="118.67954899999999"/>
    <n v="1"/>
    <x v="3"/>
    <n v="56488.78"/>
    <n v="299.52"/>
    <n v="1"/>
    <s v="4824614"/>
    <m/>
    <n v="1418.78"/>
    <n v="0"/>
    <n v="57006"/>
  </r>
  <r>
    <x v="10"/>
    <s v="03991-8"/>
    <s v="Farums Arkiver &amp; Museer Stavnholtvej 170"/>
    <n v="5427"/>
    <m/>
    <s v="Farums Arkiver &amp; Museer"/>
    <x v="74"/>
    <x v="0"/>
    <x v="7"/>
    <n v="52699.79"/>
    <n v="12"/>
    <s v="2005-05-01"/>
    <n v="0"/>
    <n v="361"/>
    <n v="145.94237000000001"/>
    <n v="1"/>
    <x v="4"/>
    <n v="65587.490000000005"/>
    <n v="13870.53"/>
    <n v="0"/>
    <s v="1204824"/>
    <s v="98004665867"/>
    <n v="4879.6099999999997"/>
    <n v="0"/>
    <n v="57398"/>
  </r>
  <r>
    <x v="8"/>
    <m/>
    <s v="Palægården Poppel Alle 19"/>
    <n v="10236"/>
    <m/>
    <s v="Fællesrum"/>
    <x v="51"/>
    <x v="0"/>
    <x v="7"/>
    <n v="53943.08"/>
    <n v="12"/>
    <s v="2010-10-31"/>
    <n v="0"/>
    <n v="696"/>
    <n v="77.493290999999999"/>
    <n v="1"/>
    <x v="4"/>
    <n v="64563.09"/>
    <n v="13653.9"/>
    <n v="0"/>
    <s v="175910/96"/>
    <s v="98004884572"/>
    <n v="4994.7299999999996"/>
    <n v="0"/>
    <n v="77526"/>
  </r>
  <r>
    <x v="3"/>
    <m/>
    <s v="Krudthuset Børnehus, Bringe 26"/>
    <n v="10169"/>
    <m/>
    <s v="Krudthuset Børnehus"/>
    <x v="37"/>
    <x v="0"/>
    <x v="7"/>
    <n v="54308.36"/>
    <n v="12"/>
    <s v="2012-06-30"/>
    <n v="0"/>
    <n v="721"/>
    <n v="75.313215"/>
    <n v="1"/>
    <x v="6"/>
    <n v="64325.67"/>
    <n v="13117.82"/>
    <n v="0"/>
    <s v="16.30.409"/>
    <s v="98003449017"/>
    <n v="4848.96"/>
    <n v="0"/>
    <n v="77182"/>
  </r>
  <r>
    <x v="8"/>
    <m/>
    <s v="Palægården Poppel Alle 19"/>
    <n v="10236"/>
    <m/>
    <s v="Fællesrum"/>
    <x v="51"/>
    <x v="0"/>
    <x v="7"/>
    <n v="506.74"/>
    <n v="10"/>
    <s v="2015-03-25"/>
    <n v="0"/>
    <n v="696"/>
    <n v="0.72797000000000001"/>
    <n v="3"/>
    <x v="0"/>
    <n v="506.74"/>
    <n v="405.4"/>
    <n v="0"/>
    <s v="42047"/>
    <m/>
    <n v="506.74164000000002"/>
    <n v="0"/>
    <n v="77525"/>
  </r>
  <r>
    <x v="8"/>
    <s v="04757-0"/>
    <s v="Solvognen, Nordtoftevej 56B"/>
    <n v="5275"/>
    <m/>
    <s v="Solvognen"/>
    <x v="68"/>
    <x v="0"/>
    <x v="1"/>
    <n v="17435.990000000002"/>
    <n v="12"/>
    <s v="2011-12-31"/>
    <n v="0"/>
    <n v="675"/>
    <n v="25.827269999999999"/>
    <n v="2"/>
    <x v="2"/>
    <n v="17435.990000000002"/>
    <n v="5230.78"/>
    <n v="0"/>
    <s v="48107"/>
    <s v="74112149578"/>
    <n v="17435.984"/>
    <n v="0"/>
    <n v="56855"/>
  </r>
  <r>
    <x v="8"/>
    <s v="04877-1"/>
    <s v="Pilehuset, STA39"/>
    <n v="5273"/>
    <m/>
    <s v="Pilehuset"/>
    <x v="70"/>
    <x v="1"/>
    <x v="7"/>
    <n v="51342.720000000001"/>
    <n v="12"/>
    <s v="2005-09-01"/>
    <n v="0"/>
    <n v="457"/>
    <n v="112.32273000000001"/>
    <n v="1"/>
    <x v="3"/>
    <n v="60764.53"/>
    <n v="147843.65"/>
    <n v="1"/>
    <s v="4824610"/>
    <m/>
    <n v="1471.56"/>
    <n v="0"/>
    <n v="57004"/>
  </r>
  <r>
    <x v="8"/>
    <s v="04877-1"/>
    <s v="Pilehuset, STA39"/>
    <n v="5273"/>
    <m/>
    <s v="Pilehuset"/>
    <x v="70"/>
    <x v="0"/>
    <x v="7"/>
    <n v="126.57"/>
    <n v="12"/>
    <s v="2005-06-01"/>
    <n v="0"/>
    <n v="457"/>
    <n v="0.276897"/>
    <n v="3"/>
    <x v="0"/>
    <n v="126.57"/>
    <n v="101.26"/>
    <n v="0"/>
    <s v="BK 4064533"/>
    <m/>
    <n v="126.575"/>
    <n v="0"/>
    <n v="56845"/>
  </r>
  <r>
    <x v="8"/>
    <s v="04877-1"/>
    <s v="Pilehuset, STA39"/>
    <n v="5273"/>
    <m/>
    <s v="Pilehuset"/>
    <x v="70"/>
    <x v="0"/>
    <x v="7"/>
    <n v="0.52"/>
    <n v="12"/>
    <s v="2005-06-01"/>
    <n v="0"/>
    <n v="457"/>
    <n v="1.137E-3"/>
    <n v="3"/>
    <x v="0"/>
    <n v="0.52"/>
    <n v="0.42"/>
    <n v="0"/>
    <s v="BK 362032"/>
    <m/>
    <n v="0.52"/>
    <n v="0"/>
    <n v="57992"/>
  </r>
  <r>
    <x v="8"/>
    <s v="04877-1"/>
    <s v="Pilehuset, STA39"/>
    <n v="5273"/>
    <m/>
    <s v="Pilehuset"/>
    <x v="70"/>
    <x v="0"/>
    <x v="7"/>
    <n v="50306"/>
    <n v="12"/>
    <s v="2005-09-01"/>
    <n v="0"/>
    <n v="457"/>
    <n v="110.054692"/>
    <n v="1"/>
    <x v="1"/>
    <n v="60151.33"/>
    <n v="5077380.2699999996"/>
    <n v="0"/>
    <s v="4824610"/>
    <m/>
    <n v="50306"/>
    <n v="0"/>
    <n v="56844"/>
  </r>
  <r>
    <x v="8"/>
    <m/>
    <s v="Gasværket, Birke 14A"/>
    <n v="10208"/>
    <m/>
    <s v="Gasværket"/>
    <x v="69"/>
    <x v="0"/>
    <x v="1"/>
    <n v="27083.47"/>
    <n v="12"/>
    <s v="2011-11-30"/>
    <n v="0"/>
    <n v="741"/>
    <n v="36.544960000000003"/>
    <n v="2"/>
    <x v="2"/>
    <n v="27083.47"/>
    <n v="8125.04"/>
    <n v="0"/>
    <s v="34017"/>
    <s v="74110491907"/>
    <n v="27083.451000000001"/>
    <n v="0"/>
    <n v="77411"/>
  </r>
  <r>
    <x v="8"/>
    <s v="04927-1"/>
    <s v="Regnbuen, Birkhøj 1"/>
    <n v="5274"/>
    <m/>
    <s v="Regnbuen"/>
    <x v="54"/>
    <x v="0"/>
    <x v="7"/>
    <n v="285.95999999999998"/>
    <n v="12"/>
    <s v="2005-07-01"/>
    <n v="0"/>
    <n v="586"/>
    <n v="0.48790299999999998"/>
    <n v="3"/>
    <x v="0"/>
    <n v="285.95999999999998"/>
    <n v="228.78"/>
    <n v="0"/>
    <s v="BK 3120046/11131839"/>
    <m/>
    <n v="285.96100000000001"/>
    <n v="0"/>
    <n v="56851"/>
  </r>
  <r>
    <x v="8"/>
    <s v="04927-1"/>
    <s v="Regnbuen, Birkhøj 1"/>
    <n v="5274"/>
    <m/>
    <s v="Regnbuen"/>
    <x v="54"/>
    <x v="0"/>
    <x v="7"/>
    <n v="63179"/>
    <n v="12"/>
    <s v="2005-08-01"/>
    <n v="0"/>
    <n v="586"/>
    <n v="107.795598"/>
    <n v="1"/>
    <x v="1"/>
    <n v="75968.83"/>
    <n v="5788471.4000000004"/>
    <n v="0"/>
    <s v="4824613"/>
    <m/>
    <n v="63179"/>
    <n v="0"/>
    <n v="56850"/>
  </r>
  <r>
    <x v="8"/>
    <m/>
    <s v="Palægården Poppel Alle 19"/>
    <n v="10236"/>
    <m/>
    <s v="Fællesrum"/>
    <x v="51"/>
    <x v="0"/>
    <x v="1"/>
    <n v="22877.48"/>
    <n v="12"/>
    <s v="2009-09-01"/>
    <n v="0"/>
    <n v="696"/>
    <n v="32.865220000000001"/>
    <n v="2"/>
    <x v="2"/>
    <n v="22877.48"/>
    <n v="6863.25"/>
    <n v="0"/>
    <s v="697401"/>
    <s v="74113084144"/>
    <n v="22877.486000000001"/>
    <n v="0"/>
    <n v="77524"/>
  </r>
  <r>
    <x v="8"/>
    <m/>
    <s v="Solbjerggård Fritidsklub"/>
    <n v="10211"/>
    <m/>
    <s v="Solbjerggård Fritidsklub"/>
    <x v="71"/>
    <x v="0"/>
    <x v="7"/>
    <n v="85929.83"/>
    <n v="11"/>
    <s v="2014-02-28"/>
    <n v="0"/>
    <n v="1107"/>
    <n v="77.617044000000007"/>
    <n v="1"/>
    <x v="5"/>
    <n v="103003.98"/>
    <n v="6592.24"/>
    <n v="0"/>
    <s v="7091524"/>
    <m/>
    <n v="85.929829999999995"/>
    <n v="0"/>
    <n v="77445"/>
  </r>
  <r>
    <x v="8"/>
    <s v="04877-1"/>
    <s v="Pilehuset, STA39"/>
    <n v="5273"/>
    <m/>
    <s v="Pilehuset"/>
    <x v="70"/>
    <x v="0"/>
    <x v="1"/>
    <n v="10744.81"/>
    <n v="12"/>
    <s v="2011-12-31"/>
    <n v="0"/>
    <n v="457"/>
    <n v="23.506474999999998"/>
    <n v="2"/>
    <x v="2"/>
    <n v="10744.81"/>
    <n v="4297.91"/>
    <n v="0"/>
    <s v="228648/4171462"/>
    <s v="74112105888"/>
    <n v="10744.805"/>
    <n v="0"/>
    <n v="56843"/>
  </r>
  <r>
    <x v="8"/>
    <m/>
    <s v="Solbjerggård Fritidsklub"/>
    <n v="10211"/>
    <m/>
    <s v="Solbjerggård Fritidsklub"/>
    <x v="71"/>
    <x v="0"/>
    <x v="7"/>
    <n v="174.62"/>
    <n v="3"/>
    <s v="2015-03-05"/>
    <n v="0"/>
    <n v="1107"/>
    <n v="0.15772700000000001"/>
    <n v="3"/>
    <x v="0"/>
    <n v="174.62"/>
    <n v="139.72"/>
    <n v="0"/>
    <s v="00389371"/>
    <m/>
    <n v="174.63659999999999"/>
    <n v="0"/>
    <n v="77438"/>
  </r>
  <r>
    <x v="8"/>
    <m/>
    <s v="Solbjerggård Fritidsklub"/>
    <n v="10214"/>
    <m/>
    <s v="Solbjergård, Cafe og Klub"/>
    <x v="71"/>
    <x v="0"/>
    <x v="1"/>
    <n v="24782.42"/>
    <n v="12"/>
    <m/>
    <n v="0"/>
    <n v="0"/>
    <n v="247824.2"/>
    <n v="2"/>
    <x v="2"/>
    <n v="24782.42"/>
    <n v="7434.71"/>
    <n v="0"/>
    <s v="490720"/>
    <s v="74110485883"/>
    <n v="24782.407999999999"/>
    <n v="0"/>
    <n v="90759"/>
  </r>
  <r>
    <x v="8"/>
    <s v="04927-1"/>
    <s v="Regnbuen, Birkhøj 1"/>
    <n v="5274"/>
    <m/>
    <s v="Regnbuen"/>
    <x v="54"/>
    <x v="0"/>
    <x v="2"/>
    <n v="31608.98"/>
    <n v="12"/>
    <s v="2005-07-01"/>
    <n v="0"/>
    <n v="586"/>
    <n v="53.931035000000001"/>
    <n v="2"/>
    <x v="2"/>
    <n v="31608.98"/>
    <n v="12643.59"/>
    <n v="0"/>
    <s v="3000373"/>
    <s v="74112164694"/>
    <n v="31608.975999999999"/>
    <n v="0"/>
    <n v="56849"/>
  </r>
  <r>
    <x v="8"/>
    <s v="04927-1"/>
    <s v="Regnbuen, Birkhøj 1"/>
    <n v="5274"/>
    <m/>
    <s v="Regnbuen"/>
    <x v="54"/>
    <x v="0"/>
    <x v="3"/>
    <n v="31963.55"/>
    <n v="12"/>
    <s v="2005-07-01"/>
    <n v="0"/>
    <n v="586"/>
    <n v="54.536000000000001"/>
    <n v="2"/>
    <x v="2"/>
    <n v="31963.55"/>
    <n v="14990.91"/>
    <n v="0"/>
    <s v="3000373"/>
    <s v="74112164694"/>
    <n v="31963.537"/>
    <n v="0"/>
    <n v="56849"/>
  </r>
  <r>
    <x v="8"/>
    <s v="04927-1"/>
    <s v="Regnbuen, Birkhøj 1"/>
    <n v="5274"/>
    <m/>
    <s v="Regnbuen"/>
    <x v="54"/>
    <x v="0"/>
    <x v="4"/>
    <n v="35487.370000000003"/>
    <n v="12"/>
    <s v="2005-07-01"/>
    <n v="0"/>
    <n v="586"/>
    <n v="60.548318999999999"/>
    <n v="2"/>
    <x v="2"/>
    <n v="35487.370000000003"/>
    <n v="16643.57"/>
    <n v="0"/>
    <s v="3000373"/>
    <s v="74112164694"/>
    <n v="35487.358"/>
    <n v="0"/>
    <n v="56849"/>
  </r>
  <r>
    <x v="8"/>
    <s v="04927-1"/>
    <s v="Regnbuen, Birkhøj 1"/>
    <n v="5274"/>
    <m/>
    <s v="Regnbuen"/>
    <x v="54"/>
    <x v="0"/>
    <x v="5"/>
    <n v="39185.35"/>
    <n v="12"/>
    <s v="2005-07-01"/>
    <n v="0"/>
    <n v="586"/>
    <n v="66.857787999999999"/>
    <n v="2"/>
    <x v="2"/>
    <n v="39185.35"/>
    <n v="18377.93"/>
    <n v="0"/>
    <s v="3000373"/>
    <s v="74112164694"/>
    <n v="39185.351999999999"/>
    <n v="0"/>
    <n v="56849"/>
  </r>
  <r>
    <x v="8"/>
    <s v="04927-1"/>
    <s v="Regnbuen, Birkhøj 1"/>
    <n v="5274"/>
    <m/>
    <s v="Regnbuen"/>
    <x v="54"/>
    <x v="0"/>
    <x v="6"/>
    <n v="24439.66"/>
    <n v="12"/>
    <s v="2005-07-01"/>
    <n v="0"/>
    <n v="586"/>
    <n v="41.698788"/>
    <n v="2"/>
    <x v="2"/>
    <n v="24439.66"/>
    <n v="11462.19"/>
    <n v="0"/>
    <s v="3000373"/>
    <s v="74112164694"/>
    <n v="24439.654999999999"/>
    <n v="0"/>
    <n v="56849"/>
  </r>
  <r>
    <x v="8"/>
    <s v="04927-1"/>
    <s v="Regnbuen, Birkhøj 1"/>
    <n v="5274"/>
    <m/>
    <s v="Regnbuen"/>
    <x v="54"/>
    <x v="0"/>
    <x v="6"/>
    <n v="14177.42"/>
    <n v="6"/>
    <s v="2008-05-31"/>
    <n v="0"/>
    <n v="586"/>
    <n v="24.189420999999999"/>
    <n v="2"/>
    <x v="2"/>
    <n v="14177.42"/>
    <n v="6649.21"/>
    <n v="0"/>
    <s v="3000375"/>
    <m/>
    <n v="14177.41935"/>
    <n v="0"/>
    <n v="56852"/>
  </r>
  <r>
    <x v="8"/>
    <m/>
    <s v="Solbjerggård Fritidsklub"/>
    <n v="10213"/>
    <m/>
    <s v="Solbjergård, hovedhus"/>
    <x v="71"/>
    <x v="0"/>
    <x v="1"/>
    <n v="7489.67"/>
    <n v="12"/>
    <s v="2011-12-21"/>
    <n v="0"/>
    <n v="0"/>
    <n v="74896.7"/>
    <n v="2"/>
    <x v="2"/>
    <n v="7489.67"/>
    <n v="2246.9"/>
    <n v="0"/>
    <s v="72060"/>
    <s v="74110485890"/>
    <n v="7489.6760000000004"/>
    <n v="0"/>
    <n v="77443"/>
  </r>
  <r>
    <x v="8"/>
    <s v="04730-9"/>
    <s v="Tivolihuset, Hvilebækgårdsvej 19"/>
    <n v="5250"/>
    <m/>
    <s v="Tivolihuset"/>
    <x v="72"/>
    <x v="0"/>
    <x v="1"/>
    <n v="10657.89"/>
    <n v="12"/>
    <s v="2005-07-01"/>
    <n v="0"/>
    <n v="417"/>
    <n v="25.552361000000001"/>
    <n v="2"/>
    <x v="2"/>
    <n v="10657.89"/>
    <n v="4263.1499999999996"/>
    <n v="0"/>
    <s v="72067"/>
    <s v="74111999389"/>
    <n v="10657.8938"/>
    <n v="0"/>
    <n v="56671"/>
  </r>
  <r>
    <x v="8"/>
    <m/>
    <s v="Ungehuset, Klub Furesø"/>
    <n v="5941"/>
    <m/>
    <s v="Ungehuset, Klub Furesø"/>
    <x v="73"/>
    <x v="0"/>
    <x v="1"/>
    <n v="47313.2"/>
    <n v="12"/>
    <s v="2011-12-31"/>
    <n v="0"/>
    <n v="550"/>
    <n v="86.008362000000005"/>
    <n v="2"/>
    <x v="2"/>
    <n v="47313.2"/>
    <n v="18925.28"/>
    <n v="0"/>
    <s v="-inst. 70-11523"/>
    <m/>
    <n v="47313.2"/>
    <n v="0"/>
    <n v="59939"/>
  </r>
  <r>
    <x v="8"/>
    <m/>
    <s v="Gasværket, Birke 14A"/>
    <n v="10208"/>
    <m/>
    <s v="Gasværket"/>
    <x v="69"/>
    <x v="0"/>
    <x v="7"/>
    <n v="26376.23"/>
    <n v="12"/>
    <s v="2011-11-30"/>
    <n v="0"/>
    <n v="741"/>
    <n v="35.590648999999999"/>
    <n v="2"/>
    <x v="2"/>
    <n v="26376.23"/>
    <n v="7912.86"/>
    <n v="0"/>
    <s v="34017"/>
    <s v="74110491907"/>
    <n v="26376.215"/>
    <n v="0"/>
    <n v="77411"/>
  </r>
  <r>
    <x v="8"/>
    <s v="04757-0"/>
    <s v="Solvognen, Nordtoftevej 56B"/>
    <n v="5275"/>
    <m/>
    <s v="Solvognen"/>
    <x v="68"/>
    <x v="0"/>
    <x v="2"/>
    <n v="16415.38"/>
    <n v="12"/>
    <s v="2011-12-31"/>
    <n v="0"/>
    <n v="675"/>
    <n v="24.315479"/>
    <n v="2"/>
    <x v="2"/>
    <n v="16415.38"/>
    <n v="6566.14"/>
    <n v="0"/>
    <s v="48107"/>
    <s v="74112149578"/>
    <n v="16415.367999999999"/>
    <n v="0"/>
    <n v="56855"/>
  </r>
  <r>
    <x v="8"/>
    <s v="04757-0"/>
    <s v="Solvognen, Nordtoftevej 56B"/>
    <n v="5275"/>
    <m/>
    <s v="Solvognen"/>
    <x v="68"/>
    <x v="0"/>
    <x v="3"/>
    <n v="17905.650000000001"/>
    <n v="2"/>
    <s v="2011-12-31"/>
    <n v="0"/>
    <n v="675"/>
    <n v="26.522959"/>
    <n v="2"/>
    <x v="2"/>
    <n v="17905.650000000001"/>
    <n v="8397.7199999999993"/>
    <n v="0"/>
    <s v="48107"/>
    <s v="74112149578"/>
    <n v="17905.631710000001"/>
    <n v="0"/>
    <n v="56855"/>
  </r>
  <r>
    <x v="8"/>
    <s v="04757-0"/>
    <s v="Solvognen, Nordtoftevej 56B"/>
    <n v="5275"/>
    <m/>
    <s v="Solvognen"/>
    <x v="68"/>
    <x v="0"/>
    <x v="4"/>
    <n v="22026.99"/>
    <n v="1"/>
    <s v="2011-12-31"/>
    <n v="0"/>
    <n v="675"/>
    <n v="32.627744"/>
    <n v="2"/>
    <x v="2"/>
    <n v="22026.99"/>
    <n v="10330.64"/>
    <n v="0"/>
    <s v="48107"/>
    <s v="74112149578"/>
    <n v="22026.986290000001"/>
    <n v="0"/>
    <n v="56855"/>
  </r>
  <r>
    <x v="8"/>
    <s v="04757-0"/>
    <s v="Solvognen, Nordtoftevej 56B"/>
    <n v="5275"/>
    <m/>
    <s v="Solvognen"/>
    <x v="68"/>
    <x v="0"/>
    <x v="5"/>
    <n v="21321.62"/>
    <n v="1"/>
    <s v="2011-12-31"/>
    <n v="0"/>
    <n v="675"/>
    <n v="31.582906000000001"/>
    <n v="2"/>
    <x v="2"/>
    <n v="21321.62"/>
    <n v="9999.82"/>
    <n v="0"/>
    <s v="48107"/>
    <s v="74112149578"/>
    <n v="21321.609079999998"/>
    <n v="0"/>
    <n v="56855"/>
  </r>
  <r>
    <x v="8"/>
    <s v="04757-0"/>
    <s v="Solvognen, Nordtoftevej 56B"/>
    <n v="5275"/>
    <m/>
    <s v="Solvognen"/>
    <x v="68"/>
    <x v="0"/>
    <x v="6"/>
    <n v="21600.66"/>
    <n v="2"/>
    <s v="2011-12-31"/>
    <n v="0"/>
    <n v="675"/>
    <n v="31.996237000000001"/>
    <n v="2"/>
    <x v="2"/>
    <n v="21600.66"/>
    <n v="10130.69"/>
    <n v="0"/>
    <s v="48107"/>
    <s v="74112149578"/>
    <n v="21600.637299999999"/>
    <n v="0"/>
    <n v="56855"/>
  </r>
  <r>
    <x v="8"/>
    <m/>
    <s v="Palægården Poppel Alle 19"/>
    <n v="10236"/>
    <m/>
    <s v="Fællesrum"/>
    <x v="51"/>
    <x v="0"/>
    <x v="7"/>
    <n v="25326.78"/>
    <n v="11"/>
    <s v="2009-09-01"/>
    <n v="0"/>
    <n v="696"/>
    <n v="33.797987999999997"/>
    <n v="2"/>
    <x v="2"/>
    <n v="25326.78"/>
    <n v="7058.04"/>
    <n v="0"/>
    <s v="697401"/>
    <s v="74113084144"/>
    <n v="23526.78"/>
    <n v="0"/>
    <n v="77524"/>
  </r>
  <r>
    <x v="8"/>
    <s v="04877-1"/>
    <s v="Pilehuset, STA39"/>
    <n v="5273"/>
    <m/>
    <s v="Pilehuset"/>
    <x v="70"/>
    <x v="0"/>
    <x v="7"/>
    <n v="9757.4699999999993"/>
    <n v="12"/>
    <s v="2011-12-31"/>
    <n v="0"/>
    <n v="457"/>
    <n v="21.346465999999999"/>
    <n v="2"/>
    <x v="2"/>
    <n v="9757.4699999999993"/>
    <n v="3902.99"/>
    <n v="0"/>
    <s v="228648/4171462"/>
    <s v="74112105888"/>
    <n v="9757.4750000000004"/>
    <n v="0"/>
    <n v="56843"/>
  </r>
  <r>
    <x v="8"/>
    <m/>
    <s v="Gasværket, Birke 14A"/>
    <n v="10208"/>
    <m/>
    <s v="Gasværket"/>
    <x v="69"/>
    <x v="0"/>
    <x v="2"/>
    <n v="29950.400000000001"/>
    <n v="12"/>
    <s v="2011-11-30"/>
    <n v="0"/>
    <n v="741"/>
    <n v="40.413438999999997"/>
    <n v="2"/>
    <x v="2"/>
    <n v="29950.400000000001"/>
    <n v="11980.18"/>
    <n v="0"/>
    <s v="34017"/>
    <s v="74110491907"/>
    <n v="29950.392"/>
    <n v="0"/>
    <n v="77411"/>
  </r>
  <r>
    <x v="8"/>
    <m/>
    <s v="Gasværket, Birke 14A"/>
    <n v="10208"/>
    <m/>
    <s v="Gasværket"/>
    <x v="69"/>
    <x v="0"/>
    <x v="3"/>
    <n v="27922.44"/>
    <n v="6"/>
    <s v="2011-11-30"/>
    <n v="0"/>
    <n v="741"/>
    <n v="37.677019999999999"/>
    <n v="2"/>
    <x v="2"/>
    <n v="27922.44"/>
    <n v="13095.62"/>
    <n v="0"/>
    <s v="34017"/>
    <s v="74110491907"/>
    <n v="27922.452120000002"/>
    <n v="0"/>
    <n v="77411"/>
  </r>
  <r>
    <x v="8"/>
    <m/>
    <s v="Gasværket, Birke 14A"/>
    <n v="10208"/>
    <m/>
    <s v="Gasværket"/>
    <x v="69"/>
    <x v="0"/>
    <x v="4"/>
    <n v="30721.62"/>
    <n v="6"/>
    <s v="2011-11-30"/>
    <n v="0"/>
    <n v="741"/>
    <n v="41.454081000000002"/>
    <n v="2"/>
    <x v="2"/>
    <n v="30721.62"/>
    <n v="14408.42"/>
    <n v="0"/>
    <s v="34017"/>
    <s v="74110491907"/>
    <n v="30721.62012"/>
    <n v="0"/>
    <n v="77411"/>
  </r>
  <r>
    <x v="8"/>
    <m/>
    <s v="Gasværket, Birke 14A"/>
    <n v="10208"/>
    <m/>
    <s v="Gasværket"/>
    <x v="69"/>
    <x v="0"/>
    <x v="5"/>
    <n v="33158.370000000003"/>
    <n v="4"/>
    <s v="2011-11-30"/>
    <n v="0"/>
    <n v="741"/>
    <n v="44.742099000000003"/>
    <n v="2"/>
    <x v="2"/>
    <n v="33158.370000000003"/>
    <n v="15551.27"/>
    <n v="0"/>
    <s v="34017"/>
    <s v="74110491907"/>
    <n v="33158.353799999997"/>
    <n v="0"/>
    <n v="77411"/>
  </r>
  <r>
    <x v="8"/>
    <m/>
    <s v="Gasværket, Birke 14A"/>
    <n v="10208"/>
    <m/>
    <s v="Gasværket"/>
    <x v="69"/>
    <x v="0"/>
    <x v="6"/>
    <n v="30978.78"/>
    <n v="5"/>
    <s v="2011-11-30"/>
    <n v="0"/>
    <n v="741"/>
    <n v="41.801079000000001"/>
    <n v="2"/>
    <x v="2"/>
    <n v="30978.78"/>
    <n v="14529.04"/>
    <n v="0"/>
    <s v="34017"/>
    <s v="74110491907"/>
    <n v="30978.781559999999"/>
    <n v="0"/>
    <n v="77411"/>
  </r>
  <r>
    <x v="8"/>
    <s v="04927-1"/>
    <s v="Regnbuen, Birkhøj 1"/>
    <n v="5274"/>
    <m/>
    <s v="Regnbuen"/>
    <x v="54"/>
    <x v="0"/>
    <x v="7"/>
    <n v="35190.720000000001"/>
    <n v="12"/>
    <s v="2005-07-01"/>
    <n v="0"/>
    <n v="586"/>
    <n v="60.042177000000002"/>
    <n v="2"/>
    <x v="2"/>
    <n v="35190.720000000001"/>
    <n v="14076.28"/>
    <n v="0"/>
    <s v="3000373"/>
    <s v="74112164694"/>
    <n v="35190.720000000001"/>
    <n v="0"/>
    <n v="56849"/>
  </r>
  <r>
    <x v="3"/>
    <m/>
    <s v="Krudthuset Børnehus, Bringe 26"/>
    <n v="10169"/>
    <m/>
    <s v="Krudthuset Børnehus"/>
    <x v="37"/>
    <x v="0"/>
    <x v="7"/>
    <n v="55045.56"/>
    <n v="4"/>
    <s v="2014-11-24"/>
    <n v="0"/>
    <n v="721"/>
    <n v="76.335542000000004"/>
    <n v="1"/>
    <x v="4"/>
    <n v="64071.79"/>
    <n v="13549.99"/>
    <n v="1"/>
    <s v="Kontrol"/>
    <m/>
    <n v="5096.8113300000005"/>
    <n v="0"/>
    <n v="94891"/>
  </r>
  <r>
    <x v="8"/>
    <m/>
    <s v="Solbjerggård Fritidsklub"/>
    <n v="10214"/>
    <m/>
    <s v="Solbjergård, Cafe og Klub"/>
    <x v="71"/>
    <x v="0"/>
    <x v="7"/>
    <n v="23362.55"/>
    <n v="12"/>
    <m/>
    <n v="0"/>
    <n v="0"/>
    <n v="233625.5"/>
    <n v="2"/>
    <x v="2"/>
    <n v="23362.55"/>
    <n v="7008.75"/>
    <n v="0"/>
    <s v="490720"/>
    <s v="74110485883"/>
    <n v="23362.532999999999"/>
    <n v="0"/>
    <n v="90759"/>
  </r>
  <r>
    <x v="8"/>
    <m/>
    <s v="Palægården Poppel Alle 19"/>
    <n v="10236"/>
    <m/>
    <s v="Fællesrum"/>
    <x v="51"/>
    <x v="0"/>
    <x v="2"/>
    <n v="23810.37"/>
    <n v="12"/>
    <s v="2009-09-01"/>
    <n v="0"/>
    <n v="696"/>
    <n v="34.205387000000002"/>
    <n v="2"/>
    <x v="2"/>
    <n v="23810.37"/>
    <n v="9524.16"/>
    <n v="0"/>
    <s v="697401"/>
    <s v="74113084144"/>
    <n v="23810.376"/>
    <n v="0"/>
    <n v="77524"/>
  </r>
  <r>
    <x v="8"/>
    <m/>
    <s v="Palægården Poppel Alle 19"/>
    <n v="10236"/>
    <m/>
    <s v="Fællesrum"/>
    <x v="51"/>
    <x v="0"/>
    <x v="3"/>
    <n v="21492.46"/>
    <n v="12"/>
    <s v="2009-09-01"/>
    <n v="0"/>
    <n v="696"/>
    <n v="30.875534999999999"/>
    <n v="2"/>
    <x v="2"/>
    <n v="21492.46"/>
    <n v="10079.969999999999"/>
    <n v="0"/>
    <s v="697401"/>
    <s v="74113084144"/>
    <n v="21492.448"/>
    <n v="0"/>
    <n v="77524"/>
  </r>
  <r>
    <x v="8"/>
    <m/>
    <s v="Palægården Poppel Alle 19"/>
    <n v="10236"/>
    <m/>
    <s v="Fællesrum"/>
    <x v="51"/>
    <x v="0"/>
    <x v="4"/>
    <n v="17664.64"/>
    <n v="12"/>
    <s v="2009-09-01"/>
    <n v="0"/>
    <n v="696"/>
    <n v="25.376583"/>
    <n v="2"/>
    <x v="2"/>
    <n v="17664.64"/>
    <n v="8284.7199999999993"/>
    <n v="0"/>
    <s v="697401"/>
    <s v="74113084144"/>
    <n v="17664.657999999999"/>
    <n v="0"/>
    <n v="77524"/>
  </r>
  <r>
    <x v="8"/>
    <m/>
    <s v="Palægården Poppel Alle 19"/>
    <n v="10236"/>
    <m/>
    <s v="Fællesrum"/>
    <x v="51"/>
    <x v="0"/>
    <x v="5"/>
    <n v="17177.59"/>
    <n v="19"/>
    <s v="2009-09-01"/>
    <n v="0"/>
    <n v="696"/>
    <n v="24.676898999999999"/>
    <n v="2"/>
    <x v="2"/>
    <n v="17177.59"/>
    <n v="8056.29"/>
    <n v="0"/>
    <s v="697401"/>
    <s v="74113084144"/>
    <n v="17177.58023"/>
    <n v="0"/>
    <n v="77524"/>
  </r>
  <r>
    <x v="8"/>
    <m/>
    <s v="Palægården Poppel Alle 19"/>
    <n v="10236"/>
    <m/>
    <s v="Fællesrum"/>
    <x v="51"/>
    <x v="0"/>
    <x v="6"/>
    <n v="21556.27"/>
    <n v="22"/>
    <s v="2009-09-01"/>
    <n v="0"/>
    <n v="696"/>
    <n v="30.967202"/>
    <n v="2"/>
    <x v="2"/>
    <n v="21556.27"/>
    <n v="10109.92"/>
    <n v="0"/>
    <s v="697401"/>
    <s v="74113084144"/>
    <n v="21556.283439999999"/>
    <n v="0"/>
    <n v="77524"/>
  </r>
  <r>
    <x v="8"/>
    <m/>
    <s v="Solbjerggård Fritidsklub"/>
    <n v="10213"/>
    <m/>
    <s v="Solbjergård, hovedhus"/>
    <x v="71"/>
    <x v="0"/>
    <x v="7"/>
    <n v="5870.99"/>
    <n v="12"/>
    <s v="2011-12-21"/>
    <n v="0"/>
    <n v="0"/>
    <n v="58709.9"/>
    <n v="2"/>
    <x v="2"/>
    <n v="5870.99"/>
    <n v="1761.3"/>
    <n v="0"/>
    <s v="72060"/>
    <s v="74110485890"/>
    <n v="5870.9939999999997"/>
    <n v="0"/>
    <n v="77443"/>
  </r>
  <r>
    <x v="8"/>
    <s v="04757-0"/>
    <s v="Solvognen, Nordtoftevej 56B"/>
    <n v="5275"/>
    <m/>
    <s v="Solvognen"/>
    <x v="68"/>
    <x v="0"/>
    <x v="7"/>
    <n v="255.05"/>
    <n v="12"/>
    <s v="2005-07-01"/>
    <n v="0"/>
    <n v="675"/>
    <n v="0.37779499999999999"/>
    <n v="3"/>
    <x v="0"/>
    <n v="255.05"/>
    <n v="204.02"/>
    <n v="0"/>
    <s v="BK 98392294"/>
    <m/>
    <n v="255.05"/>
    <n v="0"/>
    <n v="56857"/>
  </r>
  <r>
    <x v="8"/>
    <s v="04757-0"/>
    <s v="Solvognen, Nordtoftevej 56B"/>
    <n v="5275"/>
    <m/>
    <s v="Solvognen"/>
    <x v="68"/>
    <x v="0"/>
    <x v="7"/>
    <n v="15324.75"/>
    <n v="12"/>
    <s v="2011-12-31"/>
    <n v="0"/>
    <n v="675"/>
    <n v="22.69997"/>
    <n v="2"/>
    <x v="2"/>
    <n v="15324.75"/>
    <n v="4597.41"/>
    <n v="0"/>
    <s v="48107"/>
    <s v="74112149578"/>
    <n v="15324.7533"/>
    <n v="0"/>
    <n v="56855"/>
  </r>
  <r>
    <x v="8"/>
    <s v="04877-1"/>
    <s v="Pilehuset, STA39"/>
    <n v="5273"/>
    <m/>
    <s v="Pilehuset"/>
    <x v="70"/>
    <x v="0"/>
    <x v="2"/>
    <n v="10797.81"/>
    <n v="12"/>
    <s v="2011-12-31"/>
    <n v="0"/>
    <n v="457"/>
    <n v="23.622423000000001"/>
    <n v="2"/>
    <x v="2"/>
    <n v="10797.81"/>
    <n v="4319.12"/>
    <n v="0"/>
    <s v="228648/4171462"/>
    <s v="74112105888"/>
    <n v="10797.817999999999"/>
    <n v="0"/>
    <n v="56843"/>
  </r>
  <r>
    <x v="8"/>
    <s v="04877-1"/>
    <s v="Pilehuset, STA39"/>
    <n v="5273"/>
    <m/>
    <s v="Pilehuset"/>
    <x v="70"/>
    <x v="0"/>
    <x v="3"/>
    <n v="15092.73"/>
    <n v="3"/>
    <s v="2011-12-31"/>
    <n v="0"/>
    <n v="457"/>
    <n v="33.018442"/>
    <n v="2"/>
    <x v="2"/>
    <n v="15092.73"/>
    <n v="7078.46"/>
    <n v="0"/>
    <s v="228648/4171462"/>
    <s v="74112105888"/>
    <n v="15092.721890000001"/>
    <n v="0"/>
    <n v="56843"/>
  </r>
  <r>
    <x v="8"/>
    <s v="04877-1"/>
    <s v="Pilehuset, STA39"/>
    <n v="5273"/>
    <m/>
    <s v="Pilehuset"/>
    <x v="70"/>
    <x v="0"/>
    <x v="4"/>
    <n v="16747.939999999999"/>
    <n v="3"/>
    <s v="2011-12-31"/>
    <n v="0"/>
    <n v="457"/>
    <n v="36.639552999999999"/>
    <n v="2"/>
    <x v="2"/>
    <n v="16747.939999999999"/>
    <n v="7854.8"/>
    <n v="0"/>
    <s v="228648/4171462"/>
    <s v="74112105888"/>
    <n v="16747.94975"/>
    <n v="0"/>
    <n v="56843"/>
  </r>
  <r>
    <x v="8"/>
    <s v="04877-1"/>
    <s v="Pilehuset, STA39"/>
    <n v="5273"/>
    <m/>
    <s v="Pilehuset"/>
    <x v="70"/>
    <x v="0"/>
    <x v="5"/>
    <n v="16588.419999999998"/>
    <n v="0"/>
    <s v="2011-12-31"/>
    <n v="0"/>
    <n v="457"/>
    <n v="36.290570000000002"/>
    <n v="2"/>
    <x v="2"/>
    <n v="16588.419999999998"/>
    <n v="7780.01"/>
    <n v="0"/>
    <s v="228648/4171462"/>
    <s v="74112105888"/>
    <n v="16588.432870000001"/>
    <n v="0"/>
    <n v="56843"/>
  </r>
  <r>
    <x v="8"/>
    <s v="04877-1"/>
    <s v="Pilehuset, STA39"/>
    <n v="5273"/>
    <m/>
    <s v="Pilehuset"/>
    <x v="70"/>
    <x v="0"/>
    <x v="6"/>
    <n v="17879.13"/>
    <n v="4"/>
    <s v="2011-12-31"/>
    <n v="0"/>
    <n v="457"/>
    <n v="39.114263000000001"/>
    <n v="2"/>
    <x v="2"/>
    <n v="17879.13"/>
    <n v="8385.34"/>
    <n v="0"/>
    <s v="228648/4171462"/>
    <s v="74112105888"/>
    <n v="17879.12787"/>
    <n v="0"/>
    <n v="56843"/>
  </r>
  <r>
    <x v="8"/>
    <s v="04730-9"/>
    <s v="Tivolihuset, Hvilebækgårdsvej 19"/>
    <n v="5250"/>
    <m/>
    <s v="Tivolihuset"/>
    <x v="72"/>
    <x v="0"/>
    <x v="7"/>
    <n v="11822.17"/>
    <n v="12"/>
    <s v="2005-07-01"/>
    <n v="0"/>
    <n v="417"/>
    <n v="28.343730000000001"/>
    <n v="2"/>
    <x v="2"/>
    <n v="11822.17"/>
    <n v="4728.87"/>
    <n v="0"/>
    <s v="72067"/>
    <s v="74111999389"/>
    <n v="11822.174800000001"/>
    <n v="0"/>
    <n v="56671"/>
  </r>
  <r>
    <x v="8"/>
    <m/>
    <s v="Ungehuset, Klub Furesø"/>
    <n v="5941"/>
    <m/>
    <s v="Ungehuset, Klub Furesø"/>
    <x v="73"/>
    <x v="0"/>
    <x v="7"/>
    <n v="40186"/>
    <n v="12"/>
    <s v="2011-12-31"/>
    <n v="0"/>
    <n v="550"/>
    <n v="73.052171999999999"/>
    <n v="2"/>
    <x v="2"/>
    <n v="40186"/>
    <n v="16074.4"/>
    <n v="0"/>
    <s v="-inst. 70-11523"/>
    <m/>
    <n v="40186"/>
    <n v="0"/>
    <n v="59939"/>
  </r>
  <r>
    <x v="8"/>
    <s v="04927-1"/>
    <s v="Regnbuen, Birkhøj 1"/>
    <n v="5274"/>
    <m/>
    <s v="Regnbuen"/>
    <x v="54"/>
    <x v="0"/>
    <x v="0"/>
    <n v="35044"/>
    <n v="5"/>
    <s v="2005-07-01"/>
    <n v="0"/>
    <n v="586"/>
    <n v="24.098754"/>
    <n v="2"/>
    <x v="2"/>
    <n v="14124.28"/>
    <n v="5649.71"/>
    <n v="0"/>
    <s v="3000373"/>
    <s v="74112164694"/>
    <n v="14124.279"/>
    <n v="0"/>
    <n v="56849"/>
  </r>
  <r>
    <x v="8"/>
    <m/>
    <s v="Solbjerggård Fritidsklub"/>
    <n v="10214"/>
    <m/>
    <s v="Solbjergård, Cafe og Klub"/>
    <x v="71"/>
    <x v="0"/>
    <x v="2"/>
    <n v="29664.19"/>
    <n v="12"/>
    <m/>
    <n v="0"/>
    <n v="0"/>
    <n v="296641.90000000002"/>
    <n v="2"/>
    <x v="2"/>
    <n v="29664.19"/>
    <n v="11865.69"/>
    <n v="0"/>
    <s v="490720"/>
    <s v="74110485883"/>
    <n v="29664.188999999998"/>
    <n v="0"/>
    <n v="90759"/>
  </r>
  <r>
    <x v="8"/>
    <m/>
    <s v="Solbjerggård Fritidsklub"/>
    <n v="10214"/>
    <m/>
    <s v="Solbjergård, Cafe og Klub"/>
    <x v="71"/>
    <x v="0"/>
    <x v="3"/>
    <n v="23372.6"/>
    <n v="2"/>
    <s v="2011-10-31"/>
    <n v="0"/>
    <n v="0"/>
    <n v="233726"/>
    <n v="2"/>
    <x v="2"/>
    <n v="23372.6"/>
    <n v="10961.75"/>
    <n v="0"/>
    <s v="490720 afmeldt"/>
    <s v="74110485883"/>
    <n v="23372.608700000001"/>
    <n v="0"/>
    <n v="77442"/>
  </r>
  <r>
    <x v="8"/>
    <m/>
    <s v="Solbjerggård Fritidsklub"/>
    <n v="10214"/>
    <m/>
    <s v="Solbjergård, Cafe og Klub"/>
    <x v="71"/>
    <x v="0"/>
    <x v="3"/>
    <n v="5336.72"/>
    <n v="2"/>
    <m/>
    <n v="0"/>
    <n v="0"/>
    <n v="53367.199999999997"/>
    <n v="2"/>
    <x v="2"/>
    <n v="5336.72"/>
    <n v="2502.92"/>
    <n v="0"/>
    <s v="490720"/>
    <s v="74110485883"/>
    <n v="5336.7190000000001"/>
    <n v="0"/>
    <n v="90759"/>
  </r>
  <r>
    <x v="8"/>
    <m/>
    <s v="Solbjerggård Fritidsklub"/>
    <n v="10214"/>
    <m/>
    <s v="Solbjergård, Cafe og Klub"/>
    <x v="71"/>
    <x v="0"/>
    <x v="4"/>
    <n v="28449.57"/>
    <n v="1"/>
    <s v="2011-10-31"/>
    <n v="0"/>
    <n v="0"/>
    <n v="284495.7"/>
    <n v="2"/>
    <x v="2"/>
    <n v="28449.57"/>
    <n v="13342.84"/>
    <n v="0"/>
    <s v="490720 afmeldt"/>
    <s v="74110485883"/>
    <n v="28449.550380000001"/>
    <n v="0"/>
    <n v="77442"/>
  </r>
  <r>
    <x v="8"/>
    <m/>
    <s v="Solbjerggård Fritidsklub"/>
    <n v="10214"/>
    <m/>
    <s v="Solbjergård, Cafe og Klub"/>
    <x v="71"/>
    <x v="0"/>
    <x v="5"/>
    <n v="31913.55"/>
    <n v="15"/>
    <s v="2011-10-31"/>
    <n v="0"/>
    <n v="0"/>
    <n v="319135.5"/>
    <n v="2"/>
    <x v="2"/>
    <n v="31913.55"/>
    <n v="14967.45"/>
    <n v="0"/>
    <s v="490720 afmeldt"/>
    <s v="74110485883"/>
    <n v="31913.555209999999"/>
    <n v="0"/>
    <n v="77442"/>
  </r>
  <r>
    <x v="8"/>
    <m/>
    <s v="Solbjerggård Fritidsklub"/>
    <n v="10214"/>
    <m/>
    <s v="Solbjergård, Cafe og Klub"/>
    <x v="71"/>
    <x v="0"/>
    <x v="6"/>
    <n v="28793.63"/>
    <n v="13"/>
    <s v="2011-10-31"/>
    <n v="0"/>
    <n v="0"/>
    <n v="287936.3"/>
    <n v="2"/>
    <x v="2"/>
    <n v="28793.63"/>
    <n v="13504.22"/>
    <n v="0"/>
    <s v="490720 afmeldt"/>
    <s v="74110485883"/>
    <n v="28793.64056"/>
    <n v="0"/>
    <n v="77442"/>
  </r>
  <r>
    <x v="8"/>
    <s v="04757-0"/>
    <s v="Solvognen, Nordtoftevej 56B"/>
    <n v="5275"/>
    <m/>
    <s v="Solvognen"/>
    <x v="68"/>
    <x v="0"/>
    <x v="0"/>
    <n v="16087"/>
    <n v="5"/>
    <s v="2011-12-31"/>
    <n v="0"/>
    <n v="675"/>
    <n v="9.5632940000000008"/>
    <n v="2"/>
    <x v="2"/>
    <n v="6456.18"/>
    <n v="1936.85"/>
    <n v="0"/>
    <s v="48107"/>
    <s v="74112149578"/>
    <n v="6456.1710000000003"/>
    <n v="0"/>
    <n v="56855"/>
  </r>
  <r>
    <x v="8"/>
    <m/>
    <s v="Gasværket, Birke 14A"/>
    <n v="10208"/>
    <m/>
    <s v="Gasværket"/>
    <x v="69"/>
    <x v="0"/>
    <x v="0"/>
    <n v="27181"/>
    <n v="5"/>
    <s v="2011-11-30"/>
    <n v="0"/>
    <n v="741"/>
    <n v="15.251612"/>
    <n v="2"/>
    <x v="2"/>
    <n v="11302.97"/>
    <n v="3390.89"/>
    <n v="0"/>
    <s v="34017"/>
    <s v="74110491907"/>
    <n v="11302.974"/>
    <n v="0"/>
    <n v="77411"/>
  </r>
  <r>
    <x v="8"/>
    <m/>
    <s v="Solbjerggård Fritidsklub"/>
    <n v="10213"/>
    <m/>
    <s v="Solbjergård, hovedhus"/>
    <x v="71"/>
    <x v="0"/>
    <x v="2"/>
    <n v="7731.72"/>
    <n v="12"/>
    <s v="2011-12-21"/>
    <n v="0"/>
    <n v="0"/>
    <n v="77317.2"/>
    <n v="2"/>
    <x v="2"/>
    <n v="7731.72"/>
    <n v="3092.69"/>
    <n v="0"/>
    <s v="72060"/>
    <s v="74110485890"/>
    <n v="7731.7179999999998"/>
    <n v="0"/>
    <n v="77443"/>
  </r>
  <r>
    <x v="8"/>
    <m/>
    <s v="Solbjerggård Fritidsklub"/>
    <n v="10213"/>
    <m/>
    <s v="Solbjergård, hovedhus"/>
    <x v="71"/>
    <x v="0"/>
    <x v="3"/>
    <n v="14770.98"/>
    <n v="13"/>
    <s v="2011-12-21"/>
    <n v="0"/>
    <n v="0"/>
    <n v="147709.79999999999"/>
    <n v="2"/>
    <x v="2"/>
    <n v="14770.98"/>
    <n v="6927.61"/>
    <n v="0"/>
    <s v="72060"/>
    <s v="74110485890"/>
    <n v="14770.93871"/>
    <n v="0"/>
    <n v="77443"/>
  </r>
  <r>
    <x v="8"/>
    <m/>
    <s v="Solbjerggård Fritidsklub"/>
    <n v="10213"/>
    <m/>
    <s v="Solbjergård, hovedhus"/>
    <x v="71"/>
    <x v="0"/>
    <x v="4"/>
    <n v="14417.23"/>
    <n v="12"/>
    <s v="2011-12-21"/>
    <n v="0"/>
    <n v="0"/>
    <n v="144172.29999999999"/>
    <n v="2"/>
    <x v="2"/>
    <n v="14417.23"/>
    <n v="6761.69"/>
    <n v="0"/>
    <s v="72060"/>
    <s v="74110485890"/>
    <n v="14417.19649"/>
    <n v="0"/>
    <n v="77443"/>
  </r>
  <r>
    <x v="8"/>
    <m/>
    <s v="Solbjerggård Fritidsklub"/>
    <n v="10213"/>
    <m/>
    <s v="Solbjergård, hovedhus"/>
    <x v="71"/>
    <x v="0"/>
    <x v="5"/>
    <n v="8145.91"/>
    <n v="14"/>
    <s v="2011-12-21"/>
    <n v="0"/>
    <n v="0"/>
    <n v="81459.100000000006"/>
    <n v="2"/>
    <x v="2"/>
    <n v="8145.91"/>
    <n v="3820.44"/>
    <n v="0"/>
    <s v="72060"/>
    <s v="74110485890"/>
    <n v="8145.9174800000001"/>
    <n v="0"/>
    <n v="77443"/>
  </r>
  <r>
    <x v="8"/>
    <m/>
    <s v="Solbjerggård Fritidsklub"/>
    <n v="10213"/>
    <m/>
    <s v="Solbjergård, hovedhus"/>
    <x v="71"/>
    <x v="0"/>
    <x v="6"/>
    <n v="9414.6"/>
    <n v="13"/>
    <s v="2011-12-21"/>
    <n v="0"/>
    <n v="0"/>
    <n v="94146"/>
    <n v="2"/>
    <x v="2"/>
    <n v="9414.6"/>
    <n v="4415.43"/>
    <n v="0"/>
    <s v="72060"/>
    <s v="74110485890"/>
    <n v="9414.6036899999999"/>
    <n v="0"/>
    <n v="77443"/>
  </r>
  <r>
    <x v="8"/>
    <m/>
    <s v="Palægården Poppel Alle 19"/>
    <n v="10236"/>
    <m/>
    <s v="Fællesrum"/>
    <x v="51"/>
    <x v="0"/>
    <x v="0"/>
    <n v="23923"/>
    <n v="5"/>
    <s v="2009-09-01"/>
    <n v="0"/>
    <n v="696"/>
    <n v="15.848067"/>
    <n v="2"/>
    <x v="2"/>
    <n v="11031.84"/>
    <n v="3309.55"/>
    <n v="0"/>
    <s v="697401"/>
    <s v="74113084144"/>
    <n v="11031.837"/>
    <n v="0"/>
    <n v="77524"/>
  </r>
  <r>
    <x v="8"/>
    <s v="04877-1"/>
    <s v="Pilehuset, STA39"/>
    <n v="5273"/>
    <m/>
    <s v="Pilehuset"/>
    <x v="70"/>
    <x v="0"/>
    <x v="0"/>
    <n v="9689"/>
    <n v="5"/>
    <s v="2011-12-31"/>
    <n v="0"/>
    <n v="457"/>
    <n v="9.8276520000000005"/>
    <n v="2"/>
    <x v="2"/>
    <n v="4492.22"/>
    <n v="1796.88"/>
    <n v="0"/>
    <s v="228648/4171462"/>
    <s v="74112105888"/>
    <n v="4492.21"/>
    <n v="0"/>
    <n v="56843"/>
  </r>
  <r>
    <x v="8"/>
    <s v="04730-9"/>
    <s v="Tivolihuset, Hvilebækgårdsvej 19"/>
    <n v="5250"/>
    <m/>
    <s v="Tivolihuset"/>
    <x v="72"/>
    <x v="0"/>
    <x v="2"/>
    <n v="15146"/>
    <n v="12"/>
    <s v="2005-07-01"/>
    <n v="0"/>
    <n v="417"/>
    <n v="36.312634000000003"/>
    <n v="2"/>
    <x v="2"/>
    <n v="15146"/>
    <n v="6058.38"/>
    <n v="0"/>
    <s v="72067"/>
    <s v="74111999389"/>
    <n v="15145.989799999999"/>
    <n v="0"/>
    <n v="56671"/>
  </r>
  <r>
    <x v="8"/>
    <s v="04730-9"/>
    <s v="Tivolihuset, Hvilebækgårdsvej 19"/>
    <n v="5250"/>
    <m/>
    <s v="Tivolihuset"/>
    <x v="72"/>
    <x v="0"/>
    <x v="3"/>
    <n v="14241.54"/>
    <n v="12"/>
    <s v="2005-07-01"/>
    <n v="0"/>
    <n v="417"/>
    <n v="34.144185999999998"/>
    <n v="2"/>
    <x v="2"/>
    <n v="14241.54"/>
    <n v="6679.29"/>
    <n v="0"/>
    <s v="72067"/>
    <s v="74111999389"/>
    <n v="14241.542299999999"/>
    <n v="0"/>
    <n v="56671"/>
  </r>
  <r>
    <x v="8"/>
    <s v="04730-9"/>
    <s v="Tivolihuset, Hvilebækgårdsvej 19"/>
    <n v="5250"/>
    <m/>
    <s v="Tivolihuset"/>
    <x v="72"/>
    <x v="0"/>
    <x v="4"/>
    <n v="16896.240000000002"/>
    <n v="12"/>
    <s v="2005-07-01"/>
    <n v="0"/>
    <n v="417"/>
    <n v="40.508845999999998"/>
    <n v="2"/>
    <x v="2"/>
    <n v="16896.240000000002"/>
    <n v="7924.35"/>
    <n v="0"/>
    <s v="72067"/>
    <s v="74111999389"/>
    <n v="16896.249199999998"/>
    <n v="0"/>
    <n v="56671"/>
  </r>
  <r>
    <x v="8"/>
    <s v="04730-9"/>
    <s v="Tivolihuset, Hvilebækgårdsvej 19"/>
    <n v="5250"/>
    <m/>
    <s v="Tivolihuset"/>
    <x v="72"/>
    <x v="0"/>
    <x v="5"/>
    <n v="16171.33"/>
    <n v="12"/>
    <s v="2005-07-01"/>
    <n v="0"/>
    <n v="417"/>
    <n v="38.770870000000002"/>
    <n v="2"/>
    <x v="2"/>
    <n v="16171.33"/>
    <n v="7584.34"/>
    <n v="0"/>
    <s v="72067"/>
    <s v="74111999389"/>
    <n v="16171.308000000001"/>
    <n v="0"/>
    <n v="56671"/>
  </r>
  <r>
    <x v="8"/>
    <s v="04730-9"/>
    <s v="Tivolihuset, Hvilebækgårdsvej 19"/>
    <n v="5250"/>
    <m/>
    <s v="Tivolihuset"/>
    <x v="72"/>
    <x v="0"/>
    <x v="6"/>
    <n v="16681.11"/>
    <n v="12"/>
    <s v="2005-07-01"/>
    <n v="0"/>
    <n v="417"/>
    <n v="39.993071"/>
    <n v="2"/>
    <x v="2"/>
    <n v="16681.11"/>
    <n v="7823.44"/>
    <n v="0"/>
    <s v="72067"/>
    <s v="74111999389"/>
    <n v="16681.108"/>
    <n v="0"/>
    <n v="56671"/>
  </r>
  <r>
    <x v="8"/>
    <m/>
    <s v="Solbjerggård Fritidsklub"/>
    <n v="10214"/>
    <m/>
    <s v="Solbjergård, Cafe og Klub"/>
    <x v="71"/>
    <x v="0"/>
    <x v="0"/>
    <n v="20817"/>
    <n v="5"/>
    <m/>
    <n v="0"/>
    <n v="0"/>
    <n v="96231"/>
    <n v="2"/>
    <x v="2"/>
    <n v="9623.1"/>
    <n v="2886.93"/>
    <n v="0"/>
    <s v="490720"/>
    <s v="74110485883"/>
    <n v="9623.0949999999993"/>
    <n v="0"/>
    <n v="90759"/>
  </r>
  <r>
    <x v="8"/>
    <m/>
    <s v="Solbjerggård Fritidsklub"/>
    <n v="10213"/>
    <m/>
    <s v="Solbjergård, hovedhus"/>
    <x v="71"/>
    <x v="0"/>
    <x v="0"/>
    <n v="4602"/>
    <n v="5"/>
    <s v="2011-12-21"/>
    <n v="0"/>
    <n v="0"/>
    <n v="18276.900000000001"/>
    <n v="2"/>
    <x v="2"/>
    <n v="1827.69"/>
    <n v="548.30999999999995"/>
    <n v="0"/>
    <s v="72060"/>
    <s v="74110485890"/>
    <n v="1827.69"/>
    <n v="0"/>
    <n v="77443"/>
  </r>
  <r>
    <x v="8"/>
    <m/>
    <s v="Ungehuset, Klub Furesø"/>
    <n v="5941"/>
    <m/>
    <s v="Ungehuset, Klub Furesø"/>
    <x v="73"/>
    <x v="0"/>
    <x v="2"/>
    <n v="49275"/>
    <n v="12"/>
    <s v="2011-12-31"/>
    <n v="0"/>
    <n v="550"/>
    <n v="89.574622000000005"/>
    <n v="2"/>
    <x v="2"/>
    <n v="49275"/>
    <n v="19710"/>
    <n v="0"/>
    <s v="-inst. 70-11523"/>
    <m/>
    <n v="49275"/>
    <n v="0"/>
    <n v="59939"/>
  </r>
  <r>
    <x v="8"/>
    <m/>
    <s v="Ungehuset, Klub Furesø"/>
    <n v="5941"/>
    <m/>
    <s v="Ungehuset, Klub Furesø"/>
    <x v="73"/>
    <x v="0"/>
    <x v="3"/>
    <n v="53783.32"/>
    <n v="7"/>
    <s v="2011-12-31"/>
    <n v="0"/>
    <n v="550"/>
    <n v="97.770077999999998"/>
    <n v="2"/>
    <x v="2"/>
    <n v="53783.32"/>
    <n v="25224.38"/>
    <n v="0"/>
    <s v="-inst. 70-11523"/>
    <m/>
    <n v="53783.333330000001"/>
    <n v="0"/>
    <n v="59939"/>
  </r>
  <r>
    <x v="8"/>
    <m/>
    <s v="Ungehuset, Klub Furesø"/>
    <n v="5941"/>
    <m/>
    <s v="Ungehuset, Klub Furesø"/>
    <x v="73"/>
    <x v="0"/>
    <x v="4"/>
    <n v="67173.23"/>
    <n v="4"/>
    <s v="2011-12-31"/>
    <n v="0"/>
    <n v="550"/>
    <n v="122.11094300000001"/>
    <n v="2"/>
    <x v="2"/>
    <n v="67173.23"/>
    <n v="31504.28"/>
    <n v="0"/>
    <s v="-inst. 70-11523"/>
    <m/>
    <n v="67173.24037"/>
    <n v="0"/>
    <n v="59939"/>
  </r>
  <r>
    <x v="8"/>
    <m/>
    <s v="Ungehuset, Klub Furesø"/>
    <n v="5941"/>
    <m/>
    <s v="Ungehuset, Klub Furesø"/>
    <x v="73"/>
    <x v="0"/>
    <x v="5"/>
    <n v="80884.58"/>
    <n v="1"/>
    <s v="2011-12-31"/>
    <n v="0"/>
    <n v="550"/>
    <n v="147.03613799999999"/>
    <n v="2"/>
    <x v="2"/>
    <n v="80884.58"/>
    <n v="37934.910000000003"/>
    <n v="0"/>
    <s v="-inst. 70-11523"/>
    <m/>
    <n v="80884.602769999998"/>
    <n v="0"/>
    <n v="59939"/>
  </r>
  <r>
    <x v="8"/>
    <m/>
    <s v="Ungehuset, Klub Furesø"/>
    <n v="5941"/>
    <m/>
    <s v="Ungehuset, Klub Furesø"/>
    <x v="73"/>
    <x v="0"/>
    <x v="6"/>
    <n v="54312.92"/>
    <n v="7"/>
    <s v="2011-12-31"/>
    <n v="0"/>
    <n v="550"/>
    <n v="98.732811999999996"/>
    <n v="2"/>
    <x v="2"/>
    <n v="54312.92"/>
    <n v="25472.75"/>
    <n v="0"/>
    <s v="-inst. 70-11523"/>
    <m/>
    <n v="54312.905169999998"/>
    <n v="0"/>
    <n v="59939"/>
  </r>
  <r>
    <x v="8"/>
    <s v="04730-9"/>
    <s v="Tivolihuset, Hvilebækgårdsvej 19"/>
    <n v="5250"/>
    <m/>
    <s v="Tivolihuset"/>
    <x v="72"/>
    <x v="1"/>
    <x v="7"/>
    <n v="37876.83"/>
    <n v="12"/>
    <m/>
    <n v="0"/>
    <n v="417"/>
    <n v="90.809949000000003"/>
    <n v="1"/>
    <x v="3"/>
    <n v="44589.83"/>
    <n v="94311.62"/>
    <n v="1"/>
    <s v="4824614"/>
    <m/>
    <n v="1085.6067"/>
    <n v="0"/>
    <n v="57006"/>
  </r>
  <r>
    <x v="8"/>
    <s v="04730-9"/>
    <s v="Tivolihuset, Hvilebækgårdsvej 19"/>
    <n v="5250"/>
    <m/>
    <s v="Tivolihuset"/>
    <x v="72"/>
    <x v="0"/>
    <x v="7"/>
    <n v="197.56"/>
    <n v="12"/>
    <s v="2005-05-01"/>
    <n v="0"/>
    <n v="417"/>
    <n v="0.47365099999999999"/>
    <n v="3"/>
    <x v="0"/>
    <n v="197.56"/>
    <n v="158.06"/>
    <n v="0"/>
    <s v="BK 04016456"/>
    <m/>
    <n v="197.56899999999999"/>
    <n v="0"/>
    <n v="57497"/>
  </r>
  <r>
    <x v="8"/>
    <s v="04730-9"/>
    <s v="Tivolihuset, Hvilebækgårdsvej 19"/>
    <n v="5250"/>
    <m/>
    <s v="Tivolihuset"/>
    <x v="72"/>
    <x v="0"/>
    <x v="7"/>
    <n v="35648.660000000003"/>
    <n v="12"/>
    <s v="2005-09-01"/>
    <n v="0"/>
    <n v="417"/>
    <n v="85.467896999999994"/>
    <n v="1"/>
    <x v="1"/>
    <n v="42423.57"/>
    <n v="2909822.74"/>
    <n v="0"/>
    <s v="4824614"/>
    <m/>
    <n v="35648.665999999997"/>
    <n v="0"/>
    <n v="56672"/>
  </r>
  <r>
    <x v="8"/>
    <s v="04730-9"/>
    <s v="Tivolihuset, Hvilebækgårdsvej 19"/>
    <n v="5250"/>
    <m/>
    <s v="Tivolihuset"/>
    <x v="72"/>
    <x v="0"/>
    <x v="0"/>
    <n v="9687"/>
    <n v="5"/>
    <s v="2005-07-01"/>
    <n v="0"/>
    <n v="417"/>
    <n v="10.713234"/>
    <n v="2"/>
    <x v="2"/>
    <n v="4468.49"/>
    <n v="1787.4"/>
    <n v="0"/>
    <s v="72067"/>
    <s v="74111999389"/>
    <n v="4468.4895999999999"/>
    <n v="0"/>
    <n v="56671"/>
  </r>
  <r>
    <x v="8"/>
    <m/>
    <s v="Ungehuset, Klub Furesø"/>
    <n v="5941"/>
    <m/>
    <s v="Ungehuset, Klub Furesø"/>
    <x v="73"/>
    <x v="0"/>
    <x v="7"/>
    <n v="60.31"/>
    <n v="12"/>
    <s v="2012-01-25"/>
    <n v="0"/>
    <n v="550"/>
    <n v="0.109634"/>
    <n v="3"/>
    <x v="0"/>
    <n v="60.31"/>
    <n v="48.24"/>
    <n v="0"/>
    <s v="03458115"/>
    <m/>
    <n v="60.316000000000003"/>
    <n v="0"/>
    <n v="59941"/>
  </r>
  <r>
    <x v="8"/>
    <m/>
    <s v="Ungehuset, Klub Furesø"/>
    <n v="5941"/>
    <m/>
    <s v="Ungehuset, Klub Furesø"/>
    <x v="73"/>
    <x v="0"/>
    <x v="0"/>
    <n v="47485"/>
    <n v="5"/>
    <s v="2011-12-31"/>
    <n v="0"/>
    <n v="550"/>
    <n v="46.424467999999997"/>
    <n v="2"/>
    <x v="2"/>
    <n v="25538.1"/>
    <n v="10215.24"/>
    <n v="0"/>
    <s v="-inst. 70-11523"/>
    <m/>
    <n v="25538.1"/>
    <n v="0"/>
    <n v="59939"/>
  </r>
  <r>
    <x v="12"/>
    <s v="03953-5"/>
    <s v="Farum Arena, STA41"/>
    <n v="5467"/>
    <m/>
    <s v="Farum Hallen"/>
    <x v="75"/>
    <x v="0"/>
    <x v="0"/>
    <n v="1631"/>
    <n v="5"/>
    <s v="2005-11-30"/>
    <n v="0"/>
    <n v="6415"/>
    <n v="0.12545999999999999"/>
    <n v="3"/>
    <x v="0"/>
    <n v="804.84"/>
    <n v="643.87"/>
    <n v="0"/>
    <s v="BK 01065500"/>
    <m/>
    <n v="804.83600000000001"/>
    <n v="0"/>
    <n v="57800"/>
  </r>
  <r>
    <x v="12"/>
    <s v="03953-5"/>
    <s v="Farum Arena, STA41"/>
    <n v="5467"/>
    <m/>
    <s v="Farum Hallen"/>
    <x v="75"/>
    <x v="0"/>
    <x v="0"/>
    <n v="0"/>
    <n v="5"/>
    <s v="2005-11-30"/>
    <n v="0"/>
    <n v="6415"/>
    <n v="8.071E-3"/>
    <n v="3"/>
    <x v="0"/>
    <n v="51.78"/>
    <n v="41.41"/>
    <n v="1"/>
    <s v="BV 98610782 FH"/>
    <m/>
    <n v="51.768999999999998"/>
    <n v="0"/>
    <n v="57802"/>
  </r>
  <r>
    <x v="12"/>
    <s v="03953-5"/>
    <s v="Farum Arena, STA41"/>
    <n v="5467"/>
    <m/>
    <s v="Farum Hallen"/>
    <x v="75"/>
    <x v="0"/>
    <x v="1"/>
    <n v="1468.25"/>
    <n v="12"/>
    <s v="2005-11-30"/>
    <n v="0"/>
    <n v="6415"/>
    <n v="0.22887399999999999"/>
    <n v="3"/>
    <x v="0"/>
    <n v="1468.25"/>
    <n v="1174.5899999999999"/>
    <n v="0"/>
    <s v="BK 01065500"/>
    <m/>
    <n v="1468.2449999999999"/>
    <n v="0"/>
    <n v="57800"/>
  </r>
  <r>
    <x v="12"/>
    <s v="03953-5"/>
    <s v="Farum Arena, STA41"/>
    <n v="5467"/>
    <m/>
    <s v="Farum Hallen"/>
    <x v="75"/>
    <x v="0"/>
    <x v="1"/>
    <n v="161.22999999999999"/>
    <n v="12"/>
    <s v="2005-11-30"/>
    <n v="0"/>
    <n v="6415"/>
    <n v="2.5132000000000002E-2"/>
    <n v="3"/>
    <x v="0"/>
    <n v="161.22999999999999"/>
    <n v="129.01"/>
    <n v="1"/>
    <s v="BV 98610782 FH"/>
    <m/>
    <n v="161.232"/>
    <n v="0"/>
    <n v="57802"/>
  </r>
  <r>
    <x v="12"/>
    <s v="03953-5"/>
    <s v="Farum Arena, STA41"/>
    <n v="5467"/>
    <m/>
    <s v="Farum Hallen"/>
    <x v="75"/>
    <x v="0"/>
    <x v="2"/>
    <n v="1365.81"/>
    <n v="12"/>
    <s v="2005-11-30"/>
    <n v="0"/>
    <n v="6415"/>
    <n v="0.21290500000000001"/>
    <n v="3"/>
    <x v="0"/>
    <n v="1365.81"/>
    <n v="1092.6600000000001"/>
    <n v="0"/>
    <s v="BK 01065500"/>
    <m/>
    <n v="1365.8040000000001"/>
    <n v="0"/>
    <n v="57800"/>
  </r>
  <r>
    <x v="12"/>
    <s v="03953-5"/>
    <s v="Farum Arena, STA41"/>
    <n v="5467"/>
    <m/>
    <s v="Farum Hallen"/>
    <x v="75"/>
    <x v="0"/>
    <x v="2"/>
    <n v="55.9"/>
    <n v="12"/>
    <s v="2005-11-30"/>
    <n v="0"/>
    <n v="6415"/>
    <n v="8.7130000000000003E-3"/>
    <n v="3"/>
    <x v="0"/>
    <n v="55.9"/>
    <n v="44.73"/>
    <n v="1"/>
    <s v="BV 98610782 FH"/>
    <m/>
    <n v="55.908000000000001"/>
    <n v="0"/>
    <n v="57802"/>
  </r>
  <r>
    <x v="12"/>
    <s v="03953-5"/>
    <s v="Farum Arena, STA41"/>
    <n v="5467"/>
    <m/>
    <s v="Farum Hallen"/>
    <x v="75"/>
    <x v="0"/>
    <x v="3"/>
    <n v="1284.1400000000001"/>
    <n v="12"/>
    <s v="2005-11-30"/>
    <n v="0"/>
    <n v="6415"/>
    <n v="0.20017399999999999"/>
    <n v="3"/>
    <x v="0"/>
    <n v="1284.1400000000001"/>
    <n v="1027.32"/>
    <n v="0"/>
    <s v="BK 01065500"/>
    <m/>
    <n v="1284.1489999999999"/>
    <n v="0"/>
    <n v="57800"/>
  </r>
  <r>
    <x v="12"/>
    <s v="03953-5"/>
    <s v="Farum Arena, STA41"/>
    <n v="5467"/>
    <m/>
    <s v="Farum Hallen"/>
    <x v="75"/>
    <x v="0"/>
    <x v="3"/>
    <n v="0"/>
    <n v="12"/>
    <s v="2005-11-30"/>
    <n v="0"/>
    <n v="6415"/>
    <n v="0"/>
    <n v="3"/>
    <x v="0"/>
    <n v="0"/>
    <n v="0"/>
    <n v="1"/>
    <s v="BV 98610782 FH"/>
    <m/>
    <n v="2E-3"/>
    <n v="0"/>
    <n v="57802"/>
  </r>
  <r>
    <x v="12"/>
    <s v="03953-5"/>
    <s v="Farum Arena, STA41"/>
    <n v="5467"/>
    <m/>
    <s v="Farum Hallen"/>
    <x v="75"/>
    <x v="0"/>
    <x v="4"/>
    <n v="1120.3499999999999"/>
    <n v="12"/>
    <s v="2005-11-30"/>
    <n v="0"/>
    <n v="6415"/>
    <n v="0.17464199999999999"/>
    <n v="3"/>
    <x v="0"/>
    <n v="1120.3499999999999"/>
    <n v="896.26"/>
    <n v="0"/>
    <s v="BK 01065500"/>
    <m/>
    <n v="1120.345"/>
    <n v="0"/>
    <n v="57800"/>
  </r>
  <r>
    <x v="12"/>
    <s v="03953-5"/>
    <s v="Farum Arena, STA41"/>
    <n v="5467"/>
    <m/>
    <s v="Farum Hallen"/>
    <x v="75"/>
    <x v="0"/>
    <x v="4"/>
    <n v="0"/>
    <n v="12"/>
    <s v="2005-11-30"/>
    <n v="0"/>
    <n v="6415"/>
    <n v="0"/>
    <n v="3"/>
    <x v="0"/>
    <n v="0"/>
    <n v="0"/>
    <n v="1"/>
    <s v="BV 98610782 FH"/>
    <m/>
    <n v="1E-3"/>
    <n v="0"/>
    <n v="57802"/>
  </r>
  <r>
    <x v="12"/>
    <s v="03953-5"/>
    <s v="Farum Arena, STA41"/>
    <n v="5467"/>
    <m/>
    <s v="Farum Hallen"/>
    <x v="75"/>
    <x v="0"/>
    <x v="5"/>
    <n v="1059.58"/>
    <n v="12"/>
    <s v="2005-11-30"/>
    <n v="0"/>
    <n v="6415"/>
    <n v="0.16516900000000001"/>
    <n v="3"/>
    <x v="0"/>
    <n v="1059.58"/>
    <n v="847.66"/>
    <n v="0"/>
    <s v="BK 01065500"/>
    <m/>
    <n v="1059.5730000000001"/>
    <n v="0"/>
    <n v="57800"/>
  </r>
  <r>
    <x v="12"/>
    <s v="03953-5"/>
    <s v="Farum Arena, STA41"/>
    <n v="5467"/>
    <m/>
    <s v="Farum Hallen"/>
    <x v="75"/>
    <x v="0"/>
    <x v="5"/>
    <n v="0"/>
    <n v="12"/>
    <s v="2005-11-30"/>
    <n v="0"/>
    <n v="6415"/>
    <n v="0"/>
    <n v="3"/>
    <x v="0"/>
    <n v="0"/>
    <n v="0"/>
    <n v="1"/>
    <s v="BV 98610782 FH"/>
    <m/>
    <n v="0"/>
    <n v="0"/>
    <n v="57802"/>
  </r>
  <r>
    <x v="12"/>
    <s v="03953-5"/>
    <s v="Farum Arena, STA41"/>
    <n v="5467"/>
    <m/>
    <s v="Farum Hallen"/>
    <x v="75"/>
    <x v="0"/>
    <x v="6"/>
    <n v="1207.92"/>
    <n v="12"/>
    <s v="2005-11-30"/>
    <n v="0"/>
    <n v="6415"/>
    <n v="0.18829299999999999"/>
    <n v="3"/>
    <x v="0"/>
    <n v="1207.92"/>
    <n v="966.36"/>
    <n v="0"/>
    <s v="BK 01065500"/>
    <m/>
    <n v="1207.921"/>
    <n v="0"/>
    <n v="57800"/>
  </r>
  <r>
    <x v="12"/>
    <s v="03953-5"/>
    <s v="Farum Arena, STA41"/>
    <n v="5467"/>
    <m/>
    <s v="Farum Hallen"/>
    <x v="75"/>
    <x v="0"/>
    <x v="6"/>
    <n v="0"/>
    <n v="12"/>
    <s v="2005-11-30"/>
    <n v="0"/>
    <n v="6415"/>
    <n v="0"/>
    <n v="3"/>
    <x v="0"/>
    <n v="0"/>
    <n v="0"/>
    <n v="1"/>
    <s v="BV 98610782 FH"/>
    <m/>
    <n v="0"/>
    <n v="0"/>
    <n v="57802"/>
  </r>
  <r>
    <x v="12"/>
    <s v="03953-5"/>
    <s v="Farum Arena, STA41"/>
    <n v="14135"/>
    <s v="0"/>
    <s v="Stavnsholthallen"/>
    <x v="75"/>
    <x v="0"/>
    <x v="0"/>
    <n v="0"/>
    <n v="5"/>
    <s v="2005-11-30"/>
    <n v="0"/>
    <n v="3594"/>
    <n v="2.0811E-2"/>
    <n v="3"/>
    <x v="0"/>
    <n v="74.8"/>
    <n v="0"/>
    <n v="1"/>
    <s v="BV 2140779 STH"/>
    <m/>
    <n v="74.795000000000002"/>
    <n v="0"/>
    <n v="57804"/>
  </r>
  <r>
    <x v="12"/>
    <s v="03953-5"/>
    <s v="Farum Arena, STA41"/>
    <n v="14135"/>
    <s v="0"/>
    <s v="Stavnsholthallen"/>
    <x v="75"/>
    <x v="0"/>
    <x v="1"/>
    <n v="51.16"/>
    <n v="12"/>
    <s v="2005-11-30"/>
    <n v="0"/>
    <n v="3594"/>
    <n v="1.4234E-2"/>
    <n v="3"/>
    <x v="0"/>
    <n v="51.16"/>
    <n v="0"/>
    <n v="1"/>
    <s v="BV 2140779 STH"/>
    <m/>
    <n v="51.158999999999999"/>
    <n v="0"/>
    <n v="57804"/>
  </r>
  <r>
    <x v="12"/>
    <s v="03953-5"/>
    <s v="Farum Arena, STA41"/>
    <n v="14135"/>
    <s v="0"/>
    <s v="Stavnsholthallen"/>
    <x v="75"/>
    <x v="0"/>
    <x v="2"/>
    <n v="2.17"/>
    <n v="12"/>
    <s v="2005-11-30"/>
    <n v="0"/>
    <n v="3594"/>
    <n v="6.0300000000000002E-4"/>
    <n v="3"/>
    <x v="0"/>
    <n v="2.17"/>
    <n v="0"/>
    <n v="1"/>
    <s v="BV 2140779 STH"/>
    <m/>
    <n v="2.1779999999999999"/>
    <n v="0"/>
    <n v="57804"/>
  </r>
  <r>
    <x v="12"/>
    <s v="03953-5"/>
    <s v="Farum Arena, STA41"/>
    <n v="14135"/>
    <s v="0"/>
    <s v="Stavnsholthallen"/>
    <x v="75"/>
    <x v="0"/>
    <x v="3"/>
    <n v="2.46"/>
    <n v="12"/>
    <s v="2005-11-30"/>
    <n v="0"/>
    <n v="3594"/>
    <n v="6.8400000000000004E-4"/>
    <n v="3"/>
    <x v="0"/>
    <n v="2.46"/>
    <n v="0"/>
    <n v="1"/>
    <s v="BV 2140779 STH"/>
    <m/>
    <n v="2.4569999999999999"/>
    <n v="0"/>
    <n v="57804"/>
  </r>
  <r>
    <x v="12"/>
    <s v="03953-5"/>
    <s v="Farum Arena, STA41"/>
    <n v="14135"/>
    <s v="0"/>
    <s v="Stavnsholthallen"/>
    <x v="75"/>
    <x v="0"/>
    <x v="4"/>
    <n v="2.39"/>
    <n v="12"/>
    <s v="2005-11-30"/>
    <n v="0"/>
    <n v="3594"/>
    <n v="6.6399999999999999E-4"/>
    <n v="3"/>
    <x v="0"/>
    <n v="2.39"/>
    <n v="0"/>
    <n v="1"/>
    <s v="BV 2140779 STH"/>
    <m/>
    <n v="2.371"/>
    <n v="0"/>
    <n v="57804"/>
  </r>
  <r>
    <x v="12"/>
    <s v="03953-5"/>
    <s v="Farum Arena, STA41"/>
    <n v="14135"/>
    <s v="0"/>
    <s v="Stavnsholthallen"/>
    <x v="75"/>
    <x v="0"/>
    <x v="5"/>
    <n v="2.12"/>
    <n v="12"/>
    <s v="2005-11-30"/>
    <n v="0"/>
    <n v="3594"/>
    <n v="5.8900000000000001E-4"/>
    <n v="3"/>
    <x v="0"/>
    <n v="2.12"/>
    <n v="0"/>
    <n v="1"/>
    <s v="BV 2140779 STH"/>
    <m/>
    <n v="2.1190000000000002"/>
    <n v="0"/>
    <n v="57804"/>
  </r>
  <r>
    <x v="12"/>
    <s v="03953-5"/>
    <s v="Farum Arena, STA41"/>
    <n v="14135"/>
    <s v="0"/>
    <s v="Stavnsholthallen"/>
    <x v="75"/>
    <x v="0"/>
    <x v="6"/>
    <n v="2.0099999999999998"/>
    <n v="12"/>
    <s v="2005-11-30"/>
    <n v="0"/>
    <n v="3594"/>
    <n v="5.5900000000000004E-4"/>
    <n v="3"/>
    <x v="0"/>
    <n v="2.0099999999999998"/>
    <n v="0"/>
    <n v="1"/>
    <s v="BV 2140779 STH"/>
    <m/>
    <n v="1.998"/>
    <n v="0"/>
    <n v="57804"/>
  </r>
  <r>
    <x v="12"/>
    <m/>
    <s v="Hareskov Hallen, Måne 8"/>
    <n v="10324"/>
    <m/>
    <s v="Hareskov Hallen"/>
    <x v="76"/>
    <x v="0"/>
    <x v="0"/>
    <n v="830"/>
    <n v="5"/>
    <m/>
    <n v="0"/>
    <n v="2027"/>
    <n v="0.161442"/>
    <n v="3"/>
    <x v="0"/>
    <n v="327.26"/>
    <n v="261.82"/>
    <n v="0"/>
    <m/>
    <m/>
    <n v="327.26"/>
    <n v="0"/>
    <n v="77833"/>
  </r>
  <r>
    <x v="12"/>
    <m/>
    <s v="Hareskov Hallen, Måne 8"/>
    <n v="10324"/>
    <m/>
    <s v="Hareskov Hallen"/>
    <x v="76"/>
    <x v="0"/>
    <x v="0"/>
    <n v="0"/>
    <n v="3"/>
    <s v="2015-05-04"/>
    <n v="0"/>
    <n v="2027"/>
    <n v="2.4961000000000001E-2"/>
    <n v="3"/>
    <x v="0"/>
    <n v="50.6"/>
    <n v="40.479999999999997"/>
    <n v="1"/>
    <s v="Spædevand"/>
    <m/>
    <n v="50.595739999999999"/>
    <n v="0"/>
    <n v="79476"/>
  </r>
  <r>
    <x v="12"/>
    <m/>
    <s v="Hareskov Hallen, Måne 8"/>
    <n v="10324"/>
    <m/>
    <s v="Hareskov Hallen"/>
    <x v="76"/>
    <x v="0"/>
    <x v="1"/>
    <n v="793.62"/>
    <n v="12"/>
    <m/>
    <n v="0"/>
    <n v="2027"/>
    <n v="0.39150499999999999"/>
    <n v="3"/>
    <x v="0"/>
    <n v="793.62"/>
    <n v="634.9"/>
    <n v="0"/>
    <m/>
    <m/>
    <n v="793.61500000000001"/>
    <n v="0"/>
    <n v="77833"/>
  </r>
  <r>
    <x v="12"/>
    <m/>
    <s v="Hareskov Hallen, Måne 8"/>
    <n v="10324"/>
    <m/>
    <s v="Hareskov Hallen"/>
    <x v="76"/>
    <x v="0"/>
    <x v="1"/>
    <n v="179.61"/>
    <n v="11"/>
    <s v="2015-05-04"/>
    <n v="0"/>
    <n v="2027"/>
    <n v="8.8604000000000002E-2"/>
    <n v="3"/>
    <x v="0"/>
    <n v="179.61"/>
    <n v="143.69999999999999"/>
    <n v="1"/>
    <s v="Spædevand"/>
    <m/>
    <n v="179.61428000000001"/>
    <n v="0"/>
    <n v="79476"/>
  </r>
  <r>
    <x v="12"/>
    <m/>
    <s v="Hareskov Hallen, Måne 8"/>
    <n v="10324"/>
    <m/>
    <s v="Hareskov Hallen"/>
    <x v="76"/>
    <x v="0"/>
    <x v="2"/>
    <n v="1000.6"/>
    <n v="12"/>
    <m/>
    <n v="0"/>
    <n v="2027"/>
    <n v="0.49361100000000002"/>
    <n v="3"/>
    <x v="0"/>
    <n v="1000.6"/>
    <n v="800.49"/>
    <n v="0"/>
    <m/>
    <m/>
    <n v="1000.616"/>
    <n v="0"/>
    <n v="77833"/>
  </r>
  <r>
    <x v="12"/>
    <m/>
    <s v="Hareskov Hallen, Måne 8"/>
    <n v="10324"/>
    <m/>
    <s v="Hareskov Hallen"/>
    <x v="76"/>
    <x v="0"/>
    <x v="2"/>
    <n v="183.5"/>
    <n v="7"/>
    <s v="2015-05-04"/>
    <n v="0"/>
    <n v="2027"/>
    <n v="9.0523000000000006E-2"/>
    <n v="3"/>
    <x v="0"/>
    <n v="183.5"/>
    <n v="146.79"/>
    <n v="1"/>
    <s v="Spædevand"/>
    <m/>
    <n v="183.50001"/>
    <n v="0"/>
    <n v="79476"/>
  </r>
  <r>
    <x v="12"/>
    <m/>
    <s v="Hareskov Hallen, Måne 8"/>
    <n v="10324"/>
    <m/>
    <s v="Hareskov Hallen"/>
    <x v="76"/>
    <x v="0"/>
    <x v="3"/>
    <n v="955.94"/>
    <n v="12"/>
    <m/>
    <n v="0"/>
    <n v="2027"/>
    <n v="0.47158"/>
    <n v="3"/>
    <x v="0"/>
    <n v="955.94"/>
    <n v="764.74"/>
    <n v="0"/>
    <m/>
    <m/>
    <n v="955.93799999999999"/>
    <n v="0"/>
    <n v="77833"/>
  </r>
  <r>
    <x v="12"/>
    <m/>
    <s v="Hareskov Hallen, Måne 8"/>
    <n v="10324"/>
    <m/>
    <s v="Hareskov Hallen"/>
    <x v="76"/>
    <x v="0"/>
    <x v="3"/>
    <n v="191.57"/>
    <n v="5"/>
    <s v="2015-05-04"/>
    <n v="0"/>
    <n v="2027"/>
    <n v="9.4504000000000005E-2"/>
    <n v="3"/>
    <x v="0"/>
    <n v="191.57"/>
    <n v="153.26"/>
    <n v="1"/>
    <s v="Spædevand"/>
    <m/>
    <n v="191.56818999999999"/>
    <n v="0"/>
    <n v="79476"/>
  </r>
  <r>
    <x v="12"/>
    <m/>
    <s v="Hareskov Hallen, Måne 8"/>
    <n v="10324"/>
    <m/>
    <s v="Hareskov Hallen"/>
    <x v="76"/>
    <x v="0"/>
    <x v="4"/>
    <n v="1002.09"/>
    <n v="12"/>
    <m/>
    <n v="0"/>
    <n v="2027"/>
    <n v="0.49434600000000001"/>
    <n v="3"/>
    <x v="0"/>
    <n v="1002.09"/>
    <n v="801.7"/>
    <n v="0"/>
    <m/>
    <m/>
    <n v="1002.097"/>
    <n v="0"/>
    <n v="77833"/>
  </r>
  <r>
    <x v="12"/>
    <m/>
    <s v="Hareskov Hallen, Måne 8"/>
    <n v="10324"/>
    <m/>
    <s v="Hareskov Hallen"/>
    <x v="76"/>
    <x v="0"/>
    <x v="4"/>
    <n v="347.29"/>
    <n v="3"/>
    <s v="2015-05-04"/>
    <n v="0"/>
    <n v="2027"/>
    <n v="0.171323"/>
    <n v="3"/>
    <x v="0"/>
    <n v="347.29"/>
    <n v="277.81"/>
    <n v="1"/>
    <s v="Spædevand"/>
    <m/>
    <n v="347.28356000000002"/>
    <n v="0"/>
    <n v="79476"/>
  </r>
  <r>
    <x v="12"/>
    <m/>
    <s v="Hareskov Hallen, Måne 8"/>
    <n v="10324"/>
    <m/>
    <s v="Hareskov Hallen"/>
    <x v="76"/>
    <x v="0"/>
    <x v="5"/>
    <n v="1249.68"/>
    <n v="12"/>
    <m/>
    <n v="0"/>
    <n v="2027"/>
    <n v="0.61648599999999998"/>
    <n v="3"/>
    <x v="0"/>
    <n v="1249.68"/>
    <n v="999.75"/>
    <n v="0"/>
    <m/>
    <m/>
    <n v="1249.6790000000001"/>
    <n v="0"/>
    <n v="77833"/>
  </r>
  <r>
    <x v="12"/>
    <m/>
    <s v="Hareskov Hallen, Måne 8"/>
    <n v="10324"/>
    <m/>
    <s v="Hareskov Hallen"/>
    <x v="76"/>
    <x v="0"/>
    <x v="5"/>
    <n v="347.6"/>
    <n v="2"/>
    <s v="2015-05-04"/>
    <n v="0"/>
    <n v="2027"/>
    <n v="0.17147599999999999"/>
    <n v="3"/>
    <x v="0"/>
    <n v="347.6"/>
    <n v="278.06"/>
    <n v="1"/>
    <s v="Spædevand"/>
    <m/>
    <n v="347.60160999999999"/>
    <n v="0"/>
    <n v="79476"/>
  </r>
  <r>
    <x v="12"/>
    <m/>
    <s v="Hareskov Hallen, Måne 8"/>
    <n v="10324"/>
    <m/>
    <s v="Hareskov Hallen"/>
    <x v="76"/>
    <x v="0"/>
    <x v="6"/>
    <n v="885.12"/>
    <n v="12"/>
    <m/>
    <n v="0"/>
    <n v="2027"/>
    <n v="0.436643"/>
    <n v="3"/>
    <x v="0"/>
    <n v="885.12"/>
    <n v="708.08"/>
    <n v="0"/>
    <m/>
    <m/>
    <n v="885.11"/>
    <n v="0"/>
    <n v="77833"/>
  </r>
  <r>
    <x v="12"/>
    <m/>
    <s v="Hareskov Hallen, Måne 8"/>
    <n v="10324"/>
    <m/>
    <s v="Hareskov Hallen"/>
    <x v="76"/>
    <x v="0"/>
    <x v="6"/>
    <n v="191.35"/>
    <n v="2"/>
    <s v="2008-02-27"/>
    <n v="0"/>
    <n v="2027"/>
    <n v="9.4395000000000007E-2"/>
    <n v="3"/>
    <x v="0"/>
    <n v="191.35"/>
    <n v="153.08000000000001"/>
    <n v="0"/>
    <s v="02PC501292"/>
    <m/>
    <n v="191.35484"/>
    <n v="0"/>
    <n v="77897"/>
  </r>
  <r>
    <x v="12"/>
    <m/>
    <s v="Hareskov Hallen, Måne 8"/>
    <n v="10324"/>
    <m/>
    <s v="Hareskov Hallen"/>
    <x v="76"/>
    <x v="0"/>
    <x v="6"/>
    <n v="242.81"/>
    <n v="7"/>
    <s v="2015-05-04"/>
    <n v="0"/>
    <n v="2027"/>
    <n v="0.119781"/>
    <n v="3"/>
    <x v="0"/>
    <n v="242.81"/>
    <n v="194.25"/>
    <n v="1"/>
    <s v="Spædevand"/>
    <m/>
    <n v="242.80473000000001"/>
    <n v="0"/>
    <n v="79476"/>
  </r>
  <r>
    <x v="12"/>
    <m/>
    <s v="Søndersøhallen, KV50"/>
    <n v="9521"/>
    <m/>
    <s v="Søndersøhallen"/>
    <x v="77"/>
    <x v="0"/>
    <x v="0"/>
    <n v="538"/>
    <n v="5"/>
    <m/>
    <n v="0"/>
    <n v="2433"/>
    <n v="0.105088"/>
    <n v="3"/>
    <x v="0"/>
    <n v="255.69"/>
    <n v="204.56"/>
    <n v="0"/>
    <s v="BVK"/>
    <m/>
    <n v="255.69499999999999"/>
    <n v="0"/>
    <n v="74442"/>
  </r>
  <r>
    <x v="12"/>
    <m/>
    <s v="Søndersøhallen, KV50"/>
    <n v="9521"/>
    <m/>
    <s v="Søndersøhallen"/>
    <x v="77"/>
    <x v="0"/>
    <x v="0"/>
    <n v="0"/>
    <n v="5"/>
    <m/>
    <n v="0"/>
    <n v="2433"/>
    <n v="3.9620000000000002E-2"/>
    <n v="3"/>
    <x v="0"/>
    <n v="96.4"/>
    <n v="0"/>
    <n v="1"/>
    <s v="BVV"/>
    <m/>
    <n v="96.397999999999996"/>
    <n v="0"/>
    <n v="74444"/>
  </r>
  <r>
    <x v="12"/>
    <m/>
    <s v="Søndersøhallen, KV50"/>
    <n v="9521"/>
    <m/>
    <s v="Søndersøhallen"/>
    <x v="77"/>
    <x v="0"/>
    <x v="1"/>
    <n v="692.92"/>
    <n v="12"/>
    <m/>
    <n v="0"/>
    <n v="2433"/>
    <n v="0.28478799999999999"/>
    <n v="3"/>
    <x v="0"/>
    <n v="692.92"/>
    <n v="554.35"/>
    <n v="0"/>
    <s v="BVK"/>
    <m/>
    <n v="692.93"/>
    <n v="0"/>
    <n v="74442"/>
  </r>
  <r>
    <x v="12"/>
    <m/>
    <s v="Søndersøhallen, KV50"/>
    <n v="9521"/>
    <m/>
    <s v="Søndersøhallen"/>
    <x v="77"/>
    <x v="0"/>
    <x v="1"/>
    <n v="218.05"/>
    <n v="12"/>
    <m/>
    <n v="0"/>
    <n v="2433"/>
    <n v="8.9618000000000003E-2"/>
    <n v="3"/>
    <x v="0"/>
    <n v="218.05"/>
    <n v="0"/>
    <n v="1"/>
    <s v="BVV"/>
    <m/>
    <n v="218.05099999999999"/>
    <n v="0"/>
    <n v="74444"/>
  </r>
  <r>
    <x v="12"/>
    <m/>
    <s v="Søndersøhallen, KV50"/>
    <n v="9521"/>
    <m/>
    <s v="Søndersøhallen"/>
    <x v="77"/>
    <x v="0"/>
    <x v="2"/>
    <n v="599.14"/>
    <n v="12"/>
    <m/>
    <n v="0"/>
    <n v="2433"/>
    <n v="0.24624499999999999"/>
    <n v="3"/>
    <x v="0"/>
    <n v="599.14"/>
    <n v="479.31"/>
    <n v="0"/>
    <s v="BVK"/>
    <m/>
    <n v="599.14499999999998"/>
    <n v="0"/>
    <n v="74442"/>
  </r>
  <r>
    <x v="12"/>
    <m/>
    <s v="Søndersøhallen, KV50"/>
    <n v="9521"/>
    <m/>
    <s v="Søndersøhallen"/>
    <x v="77"/>
    <x v="0"/>
    <x v="2"/>
    <n v="164.39"/>
    <n v="12"/>
    <m/>
    <n v="0"/>
    <n v="2433"/>
    <n v="6.7563999999999999E-2"/>
    <n v="3"/>
    <x v="0"/>
    <n v="164.39"/>
    <n v="0"/>
    <n v="1"/>
    <s v="BVV"/>
    <m/>
    <n v="164.39500000000001"/>
    <n v="0"/>
    <n v="74444"/>
  </r>
  <r>
    <x v="12"/>
    <m/>
    <s v="Søndersøhallen, KV50"/>
    <n v="9521"/>
    <m/>
    <s v="Søndersøhallen"/>
    <x v="77"/>
    <x v="0"/>
    <x v="3"/>
    <n v="478.62"/>
    <n v="12"/>
    <m/>
    <n v="0"/>
    <n v="2433"/>
    <n v="0.196712"/>
    <n v="3"/>
    <x v="0"/>
    <n v="478.62"/>
    <n v="382.89"/>
    <n v="0"/>
    <s v="BVK"/>
    <m/>
    <n v="478.61399999999998"/>
    <n v="0"/>
    <n v="74442"/>
  </r>
  <r>
    <x v="12"/>
    <m/>
    <s v="Søndersøhallen, KV50"/>
    <n v="9521"/>
    <m/>
    <s v="Søndersøhallen"/>
    <x v="77"/>
    <x v="0"/>
    <x v="3"/>
    <n v="167.78"/>
    <n v="12"/>
    <m/>
    <n v="0"/>
    <n v="2433"/>
    <n v="6.8957000000000004E-2"/>
    <n v="3"/>
    <x v="0"/>
    <n v="167.78"/>
    <n v="0"/>
    <n v="1"/>
    <s v="BVV"/>
    <m/>
    <n v="167.78700000000001"/>
    <n v="0"/>
    <n v="74444"/>
  </r>
  <r>
    <x v="12"/>
    <m/>
    <s v="Søndersøhallen, KV50"/>
    <n v="9521"/>
    <m/>
    <s v="Søndersøhallen"/>
    <x v="77"/>
    <x v="0"/>
    <x v="4"/>
    <n v="794.35"/>
    <n v="12"/>
    <m/>
    <n v="0"/>
    <n v="2433"/>
    <n v="0.32647599999999999"/>
    <n v="3"/>
    <x v="0"/>
    <n v="794.35"/>
    <n v="635.48"/>
    <n v="0"/>
    <s v="BVK"/>
    <m/>
    <n v="794.34900000000005"/>
    <n v="0"/>
    <n v="74442"/>
  </r>
  <r>
    <x v="12"/>
    <m/>
    <s v="Søndersøhallen, KV50"/>
    <n v="9521"/>
    <m/>
    <s v="Søndersøhallen"/>
    <x v="77"/>
    <x v="0"/>
    <x v="4"/>
    <n v="240.54"/>
    <n v="12"/>
    <m/>
    <n v="0"/>
    <n v="2433"/>
    <n v="9.8861000000000004E-2"/>
    <n v="3"/>
    <x v="0"/>
    <n v="240.54"/>
    <n v="0"/>
    <n v="1"/>
    <s v="BVV"/>
    <m/>
    <n v="240.54"/>
    <n v="0"/>
    <n v="74444"/>
  </r>
  <r>
    <x v="12"/>
    <m/>
    <s v="Søndersøhallen, KV50"/>
    <n v="9521"/>
    <m/>
    <s v="Søndersøhallen"/>
    <x v="77"/>
    <x v="0"/>
    <x v="5"/>
    <n v="843.44"/>
    <n v="12"/>
    <m/>
    <n v="0"/>
    <n v="2433"/>
    <n v="0.34665200000000002"/>
    <n v="3"/>
    <x v="0"/>
    <n v="843.44"/>
    <n v="674.74"/>
    <n v="0"/>
    <s v="BVK"/>
    <m/>
    <n v="843.42200000000003"/>
    <n v="0"/>
    <n v="74442"/>
  </r>
  <r>
    <x v="12"/>
    <m/>
    <s v="Søndersøhallen, KV50"/>
    <n v="9521"/>
    <m/>
    <s v="Søndersøhallen"/>
    <x v="77"/>
    <x v="0"/>
    <x v="5"/>
    <n v="289.83999999999997"/>
    <n v="12"/>
    <m/>
    <n v="0"/>
    <n v="2433"/>
    <n v="0.11912300000000001"/>
    <n v="3"/>
    <x v="0"/>
    <n v="289.83999999999997"/>
    <n v="0"/>
    <n v="1"/>
    <s v="BVV"/>
    <m/>
    <n v="289.83699999999999"/>
    <n v="0"/>
    <n v="74444"/>
  </r>
  <r>
    <x v="12"/>
    <m/>
    <s v="Søndersøhallen, KV50"/>
    <n v="9521"/>
    <m/>
    <s v="Søndersøhallen"/>
    <x v="77"/>
    <x v="0"/>
    <x v="6"/>
    <n v="737.98"/>
    <n v="12"/>
    <m/>
    <n v="0"/>
    <n v="2433"/>
    <n v="0.30330800000000002"/>
    <n v="3"/>
    <x v="0"/>
    <n v="737.98"/>
    <n v="590.37"/>
    <n v="0"/>
    <s v="BVK"/>
    <m/>
    <n v="737.97699999999998"/>
    <n v="0"/>
    <n v="74442"/>
  </r>
  <r>
    <x v="12"/>
    <m/>
    <s v="Søndersøhallen, KV50"/>
    <n v="9521"/>
    <m/>
    <s v="Søndersøhallen"/>
    <x v="77"/>
    <x v="0"/>
    <x v="6"/>
    <n v="227.88"/>
    <n v="12"/>
    <m/>
    <n v="0"/>
    <n v="2433"/>
    <n v="9.3658000000000005E-2"/>
    <n v="3"/>
    <x v="0"/>
    <n v="227.88"/>
    <n v="0"/>
    <n v="1"/>
    <s v="BVV"/>
    <m/>
    <n v="227.89500000000001"/>
    <n v="0"/>
    <n v="74444"/>
  </r>
  <r>
    <x v="12"/>
    <m/>
    <s v="Værløsehallerne, Stiager 8"/>
    <n v="9523"/>
    <m/>
    <s v="Værløse gl. hal"/>
    <x v="78"/>
    <x v="0"/>
    <x v="0"/>
    <n v="345"/>
    <n v="5"/>
    <m/>
    <n v="0"/>
    <n v="2103"/>
    <n v="8.2288E-2"/>
    <n v="3"/>
    <x v="0"/>
    <n v="173.06"/>
    <n v="138.44999999999999"/>
    <n v="0"/>
    <m/>
    <m/>
    <n v="173.06"/>
    <n v="0"/>
    <n v="74452"/>
  </r>
  <r>
    <x v="12"/>
    <m/>
    <s v="Værløsehallerne, Stiager 8"/>
    <n v="9523"/>
    <m/>
    <s v="Værløse gl. hal"/>
    <x v="78"/>
    <x v="0"/>
    <x v="1"/>
    <n v="420.27"/>
    <n v="12"/>
    <m/>
    <n v="0"/>
    <n v="2103"/>
    <n v="0.19983300000000001"/>
    <n v="3"/>
    <x v="0"/>
    <n v="420.27"/>
    <n v="336.21"/>
    <n v="0"/>
    <m/>
    <m/>
    <n v="420.26"/>
    <n v="0"/>
    <n v="74452"/>
  </r>
  <r>
    <x v="12"/>
    <m/>
    <s v="Værløsehallerne, Stiager 8"/>
    <n v="9523"/>
    <m/>
    <s v="Værløse gl. hal"/>
    <x v="78"/>
    <x v="0"/>
    <x v="2"/>
    <n v="512.95000000000005"/>
    <n v="12"/>
    <m/>
    <n v="0"/>
    <n v="2103"/>
    <n v="0.24390100000000001"/>
    <n v="3"/>
    <x v="0"/>
    <n v="512.95000000000005"/>
    <n v="410.38"/>
    <n v="0"/>
    <m/>
    <m/>
    <n v="512.94799999999998"/>
    <n v="0"/>
    <n v="74452"/>
  </r>
  <r>
    <x v="12"/>
    <m/>
    <s v="Værløsehallerne, Stiager 8"/>
    <n v="9523"/>
    <m/>
    <s v="Værløse gl. hal"/>
    <x v="78"/>
    <x v="0"/>
    <x v="3"/>
    <n v="441.41"/>
    <n v="12"/>
    <m/>
    <n v="0"/>
    <n v="2103"/>
    <n v="0.20988499999999999"/>
    <n v="3"/>
    <x v="0"/>
    <n v="441.41"/>
    <n v="353.13"/>
    <n v="0"/>
    <m/>
    <m/>
    <n v="441.40199999999999"/>
    <n v="0"/>
    <n v="74452"/>
  </r>
  <r>
    <x v="12"/>
    <m/>
    <s v="Værløsehallerne, Stiager 8"/>
    <n v="9523"/>
    <m/>
    <s v="Værløse gl. hal"/>
    <x v="78"/>
    <x v="0"/>
    <x v="4"/>
    <n v="506.84"/>
    <n v="12"/>
    <m/>
    <n v="0"/>
    <n v="2103"/>
    <n v="0.24099599999999999"/>
    <n v="3"/>
    <x v="0"/>
    <n v="506.84"/>
    <n v="405.46"/>
    <n v="0"/>
    <m/>
    <m/>
    <n v="506.834"/>
    <n v="0"/>
    <n v="74452"/>
  </r>
  <r>
    <x v="12"/>
    <m/>
    <s v="Værløsehallerne, Stiager 8"/>
    <n v="9523"/>
    <m/>
    <s v="Værløse gl. hal"/>
    <x v="78"/>
    <x v="0"/>
    <x v="5"/>
    <n v="476.32"/>
    <n v="12"/>
    <m/>
    <n v="0"/>
    <n v="2103"/>
    <n v="0.22648399999999999"/>
    <n v="3"/>
    <x v="0"/>
    <n v="476.32"/>
    <n v="381.05"/>
    <n v="0"/>
    <m/>
    <m/>
    <n v="476.33199999999999"/>
    <n v="0"/>
    <n v="74452"/>
  </r>
  <r>
    <x v="12"/>
    <m/>
    <s v="Værløsehallerne, Stiager 8"/>
    <n v="9523"/>
    <m/>
    <s v="Værløse gl. hal"/>
    <x v="78"/>
    <x v="0"/>
    <x v="6"/>
    <n v="521.22"/>
    <n v="12"/>
    <m/>
    <n v="0"/>
    <n v="2103"/>
    <n v="0.247834"/>
    <n v="3"/>
    <x v="0"/>
    <n v="521.22"/>
    <n v="416.97"/>
    <n v="0"/>
    <m/>
    <m/>
    <n v="521.22199999999998"/>
    <n v="0"/>
    <n v="74452"/>
  </r>
  <r>
    <x v="12"/>
    <m/>
    <s v="Værløsehallerne, Stiager 8"/>
    <n v="9522"/>
    <m/>
    <s v="Værløse hal Ny hal"/>
    <x v="78"/>
    <x v="0"/>
    <x v="0"/>
    <n v="1311"/>
    <n v="5"/>
    <m/>
    <n v="0"/>
    <n v="5224"/>
    <n v="0.123695"/>
    <n v="3"/>
    <x v="0"/>
    <n v="646.20000000000005"/>
    <n v="516.95000000000005"/>
    <n v="0"/>
    <m/>
    <m/>
    <n v="646.20000000000005"/>
    <n v="0"/>
    <n v="74448"/>
  </r>
  <r>
    <x v="12"/>
    <m/>
    <s v="Værløsehallerne, Stiager 8"/>
    <n v="9522"/>
    <m/>
    <s v="Værløse hal Ny hal"/>
    <x v="78"/>
    <x v="0"/>
    <x v="0"/>
    <n v="0"/>
    <n v="5"/>
    <m/>
    <n v="0"/>
    <n v="5224"/>
    <n v="6.2454000000000003E-2"/>
    <n v="3"/>
    <x v="0"/>
    <n v="326.27"/>
    <n v="0"/>
    <n v="1"/>
    <s v="BVV"/>
    <m/>
    <n v="326.279"/>
    <n v="0"/>
    <n v="74455"/>
  </r>
  <r>
    <x v="12"/>
    <m/>
    <s v="Værløsehallerne, Stiager 8"/>
    <n v="9522"/>
    <m/>
    <s v="Værløse hal Ny hal"/>
    <x v="78"/>
    <x v="0"/>
    <x v="1"/>
    <n v="1456.76"/>
    <n v="12"/>
    <m/>
    <n v="0"/>
    <n v="5224"/>
    <n v="0.27885300000000002"/>
    <n v="3"/>
    <x v="0"/>
    <n v="1456.76"/>
    <n v="1165.42"/>
    <n v="0"/>
    <m/>
    <m/>
    <n v="1456.7729999999999"/>
    <n v="0"/>
    <n v="74448"/>
  </r>
  <r>
    <x v="12"/>
    <m/>
    <s v="Værløsehallerne, Stiager 8"/>
    <n v="9522"/>
    <m/>
    <s v="Værløse hal Ny hal"/>
    <x v="78"/>
    <x v="0"/>
    <x v="1"/>
    <n v="734.41"/>
    <n v="12"/>
    <m/>
    <n v="0"/>
    <n v="5224"/>
    <n v="0.14058100000000001"/>
    <n v="3"/>
    <x v="0"/>
    <n v="734.41"/>
    <n v="0"/>
    <n v="1"/>
    <s v="BVV"/>
    <m/>
    <n v="734.42399999999998"/>
    <n v="0"/>
    <n v="74455"/>
  </r>
  <r>
    <x v="12"/>
    <m/>
    <s v="Værløsehallerne, Stiager 8"/>
    <n v="9522"/>
    <m/>
    <s v="Værløse hal Ny hal"/>
    <x v="78"/>
    <x v="0"/>
    <x v="2"/>
    <n v="1392.62"/>
    <n v="12"/>
    <m/>
    <n v="0"/>
    <n v="5224"/>
    <n v="0.26657599999999998"/>
    <n v="3"/>
    <x v="0"/>
    <n v="1392.62"/>
    <n v="1114.0899999999999"/>
    <n v="0"/>
    <m/>
    <m/>
    <n v="1392.6189999999999"/>
    <n v="0"/>
    <n v="74448"/>
  </r>
  <r>
    <x v="12"/>
    <m/>
    <s v="Værløsehallerne, Stiager 8"/>
    <n v="9522"/>
    <m/>
    <s v="Værløse hal Ny hal"/>
    <x v="78"/>
    <x v="0"/>
    <x v="2"/>
    <n v="670.79"/>
    <n v="12"/>
    <m/>
    <n v="0"/>
    <n v="5224"/>
    <n v="0.12840199999999999"/>
    <n v="3"/>
    <x v="0"/>
    <n v="670.79"/>
    <n v="0"/>
    <n v="1"/>
    <s v="BVV"/>
    <m/>
    <n v="670.78700000000003"/>
    <n v="0"/>
    <n v="74455"/>
  </r>
  <r>
    <x v="12"/>
    <m/>
    <s v="Værløsehallerne, Stiager 8"/>
    <n v="9522"/>
    <m/>
    <s v="Værløse hal Ny hal"/>
    <x v="78"/>
    <x v="0"/>
    <x v="3"/>
    <n v="1390.64"/>
    <n v="12"/>
    <m/>
    <n v="0"/>
    <n v="5224"/>
    <n v="0.26619700000000002"/>
    <n v="3"/>
    <x v="0"/>
    <n v="1390.64"/>
    <n v="1112.51"/>
    <n v="0"/>
    <m/>
    <m/>
    <n v="1390.652"/>
    <n v="0"/>
    <n v="74448"/>
  </r>
  <r>
    <x v="12"/>
    <m/>
    <s v="Værløsehallerne, Stiager 8"/>
    <n v="9522"/>
    <m/>
    <s v="Værløse hal Ny hal"/>
    <x v="78"/>
    <x v="0"/>
    <x v="3"/>
    <n v="435.27"/>
    <n v="12"/>
    <m/>
    <n v="0"/>
    <n v="5224"/>
    <n v="8.3319000000000004E-2"/>
    <n v="3"/>
    <x v="0"/>
    <n v="435.27"/>
    <n v="0"/>
    <n v="1"/>
    <s v="BVV"/>
    <m/>
    <n v="435.267"/>
    <n v="0"/>
    <n v="74455"/>
  </r>
  <r>
    <x v="12"/>
    <m/>
    <s v="Værløsehallerne, Stiager 8"/>
    <n v="9522"/>
    <m/>
    <s v="Værløse hal Ny hal"/>
    <x v="78"/>
    <x v="0"/>
    <x v="4"/>
    <n v="1423.94"/>
    <n v="12"/>
    <m/>
    <n v="0"/>
    <n v="5224"/>
    <n v="0.27257100000000001"/>
    <n v="3"/>
    <x v="0"/>
    <n v="1423.94"/>
    <n v="1139.1500000000001"/>
    <n v="0"/>
    <m/>
    <m/>
    <n v="1423.9480000000001"/>
    <n v="0"/>
    <n v="74448"/>
  </r>
  <r>
    <x v="12"/>
    <m/>
    <s v="Værløsehallerne, Stiager 8"/>
    <n v="9522"/>
    <m/>
    <s v="Værløse hal Ny hal"/>
    <x v="78"/>
    <x v="0"/>
    <x v="4"/>
    <n v="856.92"/>
    <n v="12"/>
    <m/>
    <n v="0"/>
    <n v="5224"/>
    <n v="0.16403200000000001"/>
    <n v="3"/>
    <x v="0"/>
    <n v="856.92"/>
    <n v="0"/>
    <n v="1"/>
    <s v="BVV"/>
    <m/>
    <n v="856.91200000000003"/>
    <n v="0"/>
    <n v="74455"/>
  </r>
  <r>
    <x v="12"/>
    <m/>
    <s v="Værløsehallerne, Stiager 8"/>
    <n v="9522"/>
    <m/>
    <s v="Værløse hal Ny hal"/>
    <x v="78"/>
    <x v="0"/>
    <x v="5"/>
    <n v="1577.89"/>
    <n v="12"/>
    <m/>
    <n v="0"/>
    <n v="5224"/>
    <n v="0.30203999999999998"/>
    <n v="3"/>
    <x v="0"/>
    <n v="1577.89"/>
    <n v="1262.33"/>
    <n v="0"/>
    <m/>
    <m/>
    <n v="1577.8989999999999"/>
    <n v="0"/>
    <n v="74448"/>
  </r>
  <r>
    <x v="12"/>
    <m/>
    <s v="Værløsehallerne, Stiager 8"/>
    <n v="9522"/>
    <m/>
    <s v="Værløse hal Ny hal"/>
    <x v="78"/>
    <x v="0"/>
    <x v="5"/>
    <n v="927.5"/>
    <n v="12"/>
    <m/>
    <n v="0"/>
    <n v="5224"/>
    <n v="0.17754200000000001"/>
    <n v="3"/>
    <x v="0"/>
    <n v="927.5"/>
    <n v="0"/>
    <n v="1"/>
    <s v="BVV"/>
    <m/>
    <n v="927.51300000000003"/>
    <n v="0"/>
    <n v="74455"/>
  </r>
  <r>
    <x v="12"/>
    <m/>
    <s v="Værløsehallerne, Stiager 8"/>
    <n v="9522"/>
    <m/>
    <s v="Værløse hal Ny hal"/>
    <x v="78"/>
    <x v="0"/>
    <x v="6"/>
    <n v="1646.46"/>
    <n v="12"/>
    <m/>
    <n v="0"/>
    <n v="5224"/>
    <n v="0.315166"/>
    <n v="3"/>
    <x v="0"/>
    <n v="1646.46"/>
    <n v="1317.16"/>
    <n v="0"/>
    <m/>
    <m/>
    <n v="1646.4690000000001"/>
    <n v="0"/>
    <n v="74448"/>
  </r>
  <r>
    <x v="12"/>
    <m/>
    <s v="Værløsehallerne, Stiager 8"/>
    <n v="9522"/>
    <m/>
    <s v="Værløse hal Ny hal"/>
    <x v="78"/>
    <x v="0"/>
    <x v="6"/>
    <n v="922.37"/>
    <n v="12"/>
    <m/>
    <n v="0"/>
    <n v="5224"/>
    <n v="0.17655999999999999"/>
    <n v="3"/>
    <x v="0"/>
    <n v="922.37"/>
    <n v="0"/>
    <n v="1"/>
    <s v="BVV"/>
    <m/>
    <n v="922.36099999999999"/>
    <n v="0"/>
    <n v="74455"/>
  </r>
  <r>
    <x v="12"/>
    <s v="03953-5"/>
    <s v="Farum Arena, STA41"/>
    <n v="5467"/>
    <m/>
    <s v="Farum Hallen"/>
    <x v="75"/>
    <x v="0"/>
    <x v="7"/>
    <n v="1590.07"/>
    <n v="12"/>
    <s v="2005-11-30"/>
    <n v="0"/>
    <n v="6415"/>
    <n v="0.247863"/>
    <n v="3"/>
    <x v="0"/>
    <n v="1590.07"/>
    <n v="1272.04"/>
    <n v="0"/>
    <s v="BK 01065500"/>
    <m/>
    <n v="1590.0650000000001"/>
    <n v="0"/>
    <n v="57800"/>
  </r>
  <r>
    <x v="12"/>
    <s v="03953-5"/>
    <s v="Farum Arena, STA41"/>
    <n v="5467"/>
    <m/>
    <s v="Farum Hallen"/>
    <x v="75"/>
    <x v="0"/>
    <x v="7"/>
    <n v="168.52"/>
    <n v="12"/>
    <s v="2005-11-30"/>
    <n v="0"/>
    <n v="6415"/>
    <n v="2.6269000000000001E-2"/>
    <n v="3"/>
    <x v="0"/>
    <n v="168.52"/>
    <n v="134.82"/>
    <n v="1"/>
    <s v="BV 98610782 FH"/>
    <m/>
    <n v="168.52099999999999"/>
    <n v="0"/>
    <n v="57802"/>
  </r>
  <r>
    <x v="12"/>
    <s v="03953-5"/>
    <s v="Farum Arena, STA41"/>
    <n v="14135"/>
    <s v="0"/>
    <s v="Stavnsholthallen"/>
    <x v="75"/>
    <x v="0"/>
    <x v="7"/>
    <n v="239.51"/>
    <n v="12"/>
    <s v="2005-11-30"/>
    <n v="0"/>
    <n v="3594"/>
    <n v="6.6639000000000004E-2"/>
    <n v="3"/>
    <x v="0"/>
    <n v="239.51"/>
    <n v="0"/>
    <n v="1"/>
    <s v="BV 2140779 STH"/>
    <m/>
    <n v="239.517"/>
    <n v="0"/>
    <n v="57804"/>
  </r>
  <r>
    <x v="12"/>
    <s v="03953-5"/>
    <s v="Farum Arena, STA41"/>
    <n v="5467"/>
    <m/>
    <s v="Farum Hallen"/>
    <x v="75"/>
    <x v="0"/>
    <x v="7"/>
    <n v="213280"/>
    <n v="12"/>
    <s v="2005-12-01"/>
    <n v="0"/>
    <n v="6415"/>
    <n v="33.246558"/>
    <n v="1"/>
    <x v="1"/>
    <n v="245942.11"/>
    <n v="17196773"/>
    <n v="0"/>
    <s v="4845354 FH"/>
    <m/>
    <n v="213280"/>
    <n v="0"/>
    <n v="61229"/>
  </r>
  <r>
    <x v="12"/>
    <s v="03953-5"/>
    <s v="Farum Arena, STA41"/>
    <n v="14135"/>
    <s v="0"/>
    <s v="Stavnsholthallen"/>
    <x v="75"/>
    <x v="0"/>
    <x v="7"/>
    <n v="184163"/>
    <n v="12"/>
    <s v="2005-12-01"/>
    <n v="0"/>
    <n v="3594"/>
    <n v="51.240366000000002"/>
    <n v="1"/>
    <x v="1"/>
    <n v="215632.05"/>
    <n v="14999211.68"/>
    <n v="0"/>
    <s v="4184811 STH"/>
    <m/>
    <n v="184163.003"/>
    <n v="0"/>
    <n v="57807"/>
  </r>
  <r>
    <x v="12"/>
    <s v="03953-5"/>
    <s v="Farum Arena, STA41"/>
    <n v="5467"/>
    <m/>
    <s v="Farum Hallen"/>
    <x v="75"/>
    <x v="0"/>
    <x v="1"/>
    <n v="223258.65"/>
    <n v="12"/>
    <s v="2005-11-30"/>
    <n v="0"/>
    <n v="6415"/>
    <n v="34.802052000000003"/>
    <n v="2"/>
    <x v="2"/>
    <n v="223258.65"/>
    <n v="89303.46"/>
    <n v="0"/>
    <s v="741607  FH"/>
    <s v="5713131 74120010389"/>
    <n v="223258.65"/>
    <n v="0"/>
    <n v="57798"/>
  </r>
  <r>
    <x v="12"/>
    <s v="03953-5"/>
    <s v="Farum Arena, STA41"/>
    <n v="14135"/>
    <s v="0"/>
    <s v="Stavnsholthallen"/>
    <x v="75"/>
    <x v="0"/>
    <x v="1"/>
    <n v="125241.32"/>
    <n v="12"/>
    <s v="2005-11-30"/>
    <n v="0"/>
    <n v="3594"/>
    <n v="34.846364000000001"/>
    <n v="2"/>
    <x v="2"/>
    <n v="125241.32"/>
    <n v="50096.53"/>
    <n v="0"/>
    <s v="1129204 STH"/>
    <s v="74120010297"/>
    <n v="125241.321"/>
    <n v="0"/>
    <n v="57799"/>
  </r>
  <r>
    <x v="12"/>
    <s v="03953-5"/>
    <s v="Farum Arena, STA41"/>
    <n v="5467"/>
    <m/>
    <s v="Farum Hallen"/>
    <x v="75"/>
    <x v="1"/>
    <x v="7"/>
    <n v="150724.79999999999"/>
    <n v="12"/>
    <s v="2005-12-01"/>
    <n v="0"/>
    <n v="6415"/>
    <n v="23.495315000000002"/>
    <n v="1"/>
    <x v="3"/>
    <n v="172121.18"/>
    <n v="358754.23"/>
    <n v="1"/>
    <s v="-4845354 FH"/>
    <m/>
    <n v="4320"/>
    <n v="61229"/>
    <n v="61230"/>
  </r>
  <r>
    <x v="12"/>
    <s v="03953-5"/>
    <s v="Farum Arena, STA41"/>
    <n v="14135"/>
    <s v="0"/>
    <s v="Stavnsholthallen"/>
    <x v="75"/>
    <x v="1"/>
    <x v="7"/>
    <n v="160769.98000000001"/>
    <n v="12"/>
    <s v="2005-12-01"/>
    <n v="0"/>
    <n v="3594"/>
    <n v="44.731636999999999"/>
    <n v="1"/>
    <x v="3"/>
    <n v="187382.39"/>
    <n v="357956.08"/>
    <n v="1"/>
    <s v="-4184811 STH"/>
    <m/>
    <n v="4607.91"/>
    <n v="57807"/>
    <n v="57809"/>
  </r>
  <r>
    <x v="12"/>
    <s v="03953-5"/>
    <s v="Farum Arena, STA41"/>
    <n v="5467"/>
    <m/>
    <s v="Farum Hallen"/>
    <x v="75"/>
    <x v="0"/>
    <x v="0"/>
    <n v="230850"/>
    <n v="5"/>
    <s v="2005-12-01"/>
    <n v="0"/>
    <n v="6415"/>
    <n v="23.213978999999998"/>
    <n v="1"/>
    <x v="1"/>
    <n v="269142"/>
    <n v="31232103.300000001"/>
    <n v="0"/>
    <s v="4845354 FH"/>
    <m/>
    <n v="148920"/>
    <n v="0"/>
    <n v="61229"/>
  </r>
  <r>
    <x v="12"/>
    <s v="03953-5"/>
    <s v="Farum Arena, STA41"/>
    <n v="5467"/>
    <m/>
    <s v="Farum Hallen"/>
    <x v="75"/>
    <x v="1"/>
    <x v="0"/>
    <n v="90658.17"/>
    <n v="5"/>
    <s v="2005-12-01"/>
    <n v="0"/>
    <n v="6415"/>
    <n v="14.131995999999999"/>
    <n v="1"/>
    <x v="3"/>
    <n v="102063.32"/>
    <n v="541178.39"/>
    <n v="1"/>
    <s v="-4845354 FH"/>
    <m/>
    <n v="2598.4"/>
    <n v="61229"/>
    <n v="61230"/>
  </r>
  <r>
    <x v="12"/>
    <s v="03953-5"/>
    <s v="Farum Arena, STA41"/>
    <n v="5467"/>
    <m/>
    <s v="Farum Hallen"/>
    <x v="75"/>
    <x v="1"/>
    <x v="1"/>
    <n v="177464.5"/>
    <n v="12"/>
    <s v="2005-12-01"/>
    <n v="0"/>
    <n v="6415"/>
    <n v="27.663558999999999"/>
    <n v="1"/>
    <x v="3"/>
    <n v="182169.75"/>
    <n v="965.95"/>
    <n v="1"/>
    <s v="-4845354 FH"/>
    <m/>
    <n v="5086.3999999999996"/>
    <n v="61229"/>
    <n v="61230"/>
  </r>
  <r>
    <x v="12"/>
    <s v="03953-5"/>
    <s v="Farum Arena, STA41"/>
    <n v="5467"/>
    <m/>
    <s v="Farum Hallen"/>
    <x v="75"/>
    <x v="0"/>
    <x v="1"/>
    <n v="267550"/>
    <n v="12"/>
    <s v="2005-12-01"/>
    <n v="0"/>
    <n v="6415"/>
    <n v="41.706285999999999"/>
    <n v="1"/>
    <x v="1"/>
    <n v="274360.27"/>
    <n v="50756.66"/>
    <n v="0"/>
    <s v="4845354 FH"/>
    <m/>
    <n v="267550"/>
    <n v="0"/>
    <n v="61229"/>
  </r>
  <r>
    <x v="12"/>
    <s v="03953-5"/>
    <s v="Farum Arena, STA41"/>
    <n v="5467"/>
    <m/>
    <s v="Farum Hallen"/>
    <x v="75"/>
    <x v="1"/>
    <x v="2"/>
    <n v="198688.08"/>
    <n v="12"/>
    <s v="2005-12-01"/>
    <n v="0"/>
    <n v="6415"/>
    <n v="30.971938000000002"/>
    <n v="1"/>
    <x v="3"/>
    <n v="208202.43"/>
    <n v="1103.95"/>
    <n v="1"/>
    <s v="-4845354 FH"/>
    <m/>
    <n v="5694.7"/>
    <n v="61229"/>
    <n v="61230"/>
  </r>
  <r>
    <x v="12"/>
    <s v="03953-5"/>
    <s v="Farum Arena, STA41"/>
    <n v="5467"/>
    <m/>
    <s v="Farum Hallen"/>
    <x v="75"/>
    <x v="0"/>
    <x v="2"/>
    <n v="289070"/>
    <n v="12"/>
    <s v="2005-12-01"/>
    <n v="0"/>
    <n v="6415"/>
    <n v="45.060872000000003"/>
    <n v="1"/>
    <x v="1"/>
    <n v="303640.21999999997"/>
    <n v="56173.440000000002"/>
    <n v="0"/>
    <s v="4845354 FH"/>
    <m/>
    <n v="289070"/>
    <n v="0"/>
    <n v="61229"/>
  </r>
  <r>
    <x v="12"/>
    <s v="03953-5"/>
    <s v="Farum Arena, STA41"/>
    <n v="5467"/>
    <m/>
    <s v="Farum Hallen"/>
    <x v="75"/>
    <x v="0"/>
    <x v="3"/>
    <n v="304360"/>
    <n v="12"/>
    <s v="2005-12-01"/>
    <n v="0"/>
    <n v="6415"/>
    <n v="47.444310999999999"/>
    <n v="1"/>
    <x v="1"/>
    <n v="325906.74"/>
    <n v="60292.74"/>
    <n v="0"/>
    <s v="4845354 FH"/>
    <m/>
    <n v="304360"/>
    <n v="0"/>
    <n v="61229"/>
  </r>
  <r>
    <x v="12"/>
    <s v="03953-5"/>
    <s v="Farum Arena, STA41"/>
    <n v="5467"/>
    <m/>
    <s v="Farum Hallen"/>
    <x v="75"/>
    <x v="1"/>
    <x v="3"/>
    <n v="209587.71"/>
    <n v="12"/>
    <s v="2005-12-01"/>
    <n v="0"/>
    <n v="6415"/>
    <n v="32.670996000000002"/>
    <n v="1"/>
    <x v="3"/>
    <n v="223690.98"/>
    <n v="1186.0999999999999"/>
    <n v="1"/>
    <s v="-4845354 FH"/>
    <m/>
    <n v="6007.1"/>
    <n v="61229"/>
    <n v="61230"/>
  </r>
  <r>
    <x v="12"/>
    <s v="03953-5"/>
    <s v="Farum Arena, STA41"/>
    <n v="5467"/>
    <m/>
    <s v="Farum Hallen"/>
    <x v="75"/>
    <x v="0"/>
    <x v="4"/>
    <n v="381860"/>
    <n v="12"/>
    <s v="2005-12-01"/>
    <n v="0"/>
    <n v="6415"/>
    <n v="59.525182000000001"/>
    <n v="1"/>
    <x v="1"/>
    <n v="348750.98"/>
    <n v="64518.94"/>
    <n v="0"/>
    <s v="4845354 FH"/>
    <m/>
    <n v="381859.99699999997"/>
    <n v="0"/>
    <n v="61229"/>
  </r>
  <r>
    <x v="12"/>
    <s v="03953-5"/>
    <s v="Farum Arena, STA41"/>
    <n v="5467"/>
    <m/>
    <s v="Farum Hallen"/>
    <x v="75"/>
    <x v="1"/>
    <x v="4"/>
    <n v="264769.75"/>
    <n v="12"/>
    <s v="2005-12-01"/>
    <n v="0"/>
    <n v="6415"/>
    <n v="41.272894999999998"/>
    <n v="1"/>
    <x v="3"/>
    <n v="242388.17"/>
    <n v="1285.22"/>
    <n v="1"/>
    <s v="-4845354 FH"/>
    <m/>
    <n v="7588.7"/>
    <n v="61229"/>
    <n v="61230"/>
  </r>
  <r>
    <x v="12"/>
    <s v="03953-5"/>
    <s v="Farum Arena, STA41"/>
    <n v="5467"/>
    <m/>
    <s v="Farum Hallen"/>
    <x v="75"/>
    <x v="1"/>
    <x v="5"/>
    <n v="244711.49"/>
    <n v="12"/>
    <s v="2005-12-01"/>
    <n v="0"/>
    <n v="6415"/>
    <n v="38.146169"/>
    <n v="1"/>
    <x v="3"/>
    <n v="251043.73"/>
    <n v="1331.12"/>
    <n v="1"/>
    <s v="-4845354 FH"/>
    <m/>
    <n v="7013.8"/>
    <n v="61229"/>
    <n v="61230"/>
  </r>
  <r>
    <x v="12"/>
    <s v="03953-5"/>
    <s v="Farum Arena, STA41"/>
    <n v="5467"/>
    <m/>
    <s v="Farum Hallen"/>
    <x v="75"/>
    <x v="0"/>
    <x v="5"/>
    <n v="312920"/>
    <n v="12"/>
    <s v="2005-12-01"/>
    <n v="0"/>
    <n v="6415"/>
    <n v="48.778661999999997"/>
    <n v="1"/>
    <x v="1"/>
    <n v="328581.88"/>
    <n v="60787.64"/>
    <n v="0"/>
    <s v="4845354 FH"/>
    <m/>
    <n v="312920"/>
    <n v="0"/>
    <n v="61229"/>
  </r>
  <r>
    <x v="12"/>
    <s v="03953-5"/>
    <s v="Farum Arena, STA41"/>
    <n v="5467"/>
    <m/>
    <s v="Farum Hallen"/>
    <x v="75"/>
    <x v="1"/>
    <x v="6"/>
    <n v="220818.82"/>
    <n v="12"/>
    <s v="2005-12-01"/>
    <n v="0"/>
    <n v="6415"/>
    <n v="34.421726"/>
    <n v="1"/>
    <x v="3"/>
    <n v="251965.78"/>
    <n v="1336.03"/>
    <n v="1"/>
    <s v="-4845354 FH"/>
    <m/>
    <n v="6329"/>
    <n v="61229"/>
    <n v="61230"/>
  </r>
  <r>
    <x v="12"/>
    <s v="03953-5"/>
    <s v="Farum Arena, STA41"/>
    <n v="5467"/>
    <m/>
    <s v="Farum Hallen"/>
    <x v="75"/>
    <x v="0"/>
    <x v="6"/>
    <n v="316790"/>
    <n v="12"/>
    <s v="2005-12-01"/>
    <n v="0"/>
    <n v="6415"/>
    <n v="49.381926999999997"/>
    <n v="1"/>
    <x v="1"/>
    <n v="366634.56"/>
    <n v="67827.39"/>
    <n v="0"/>
    <s v="4845354 FH"/>
    <m/>
    <n v="316790"/>
    <n v="0"/>
    <n v="61229"/>
  </r>
  <r>
    <x v="12"/>
    <s v="03953-5"/>
    <s v="Farum Arena, STA41"/>
    <n v="14135"/>
    <s v="0"/>
    <s v="Stavnsholthallen"/>
    <x v="75"/>
    <x v="1"/>
    <x v="0"/>
    <n v="88873.89"/>
    <n v="5"/>
    <s v="2005-12-01"/>
    <n v="0"/>
    <n v="3594"/>
    <n v="24.727716999999998"/>
    <n v="1"/>
    <x v="3"/>
    <n v="96327.3"/>
    <n v="510763.85"/>
    <n v="1"/>
    <s v="-4184811 STH"/>
    <m/>
    <n v="2547.2600000000002"/>
    <n v="57807"/>
    <n v="57809"/>
  </r>
  <r>
    <x v="12"/>
    <s v="03953-5"/>
    <s v="Farum Arena, STA41"/>
    <n v="14135"/>
    <s v="0"/>
    <s v="Stavnsholthallen"/>
    <x v="75"/>
    <x v="0"/>
    <x v="0"/>
    <n v="143919"/>
    <n v="5"/>
    <s v="2005-12-01"/>
    <n v="0"/>
    <n v="3594"/>
    <n v="25.277538"/>
    <n v="1"/>
    <x v="1"/>
    <n v="165205"/>
    <n v="18721605.949999999"/>
    <n v="0"/>
    <s v="4184811 STH"/>
    <m/>
    <n v="90850"/>
    <n v="0"/>
    <n v="57807"/>
  </r>
  <r>
    <x v="12"/>
    <s v="03953-5"/>
    <s v="Farum Arena, STA41"/>
    <n v="14135"/>
    <s v="0"/>
    <s v="Stavnsholthallen"/>
    <x v="75"/>
    <x v="1"/>
    <x v="1"/>
    <n v="195495.31"/>
    <n v="12"/>
    <s v="2005-12-01"/>
    <n v="0"/>
    <n v="3594"/>
    <n v="54.393397"/>
    <n v="1"/>
    <x v="3"/>
    <n v="212472.2"/>
    <n v="1126.5999999999999"/>
    <n v="1"/>
    <s v="-4184811 STH"/>
    <m/>
    <n v="5603.19"/>
    <n v="57807"/>
    <n v="57809"/>
  </r>
  <r>
    <x v="12"/>
    <s v="03953-5"/>
    <s v="Farum Arena, STA41"/>
    <n v="14135"/>
    <s v="0"/>
    <s v="Stavnsholthallen"/>
    <x v="75"/>
    <x v="0"/>
    <x v="1"/>
    <n v="200771"/>
    <n v="12"/>
    <s v="2005-12-01"/>
    <n v="0"/>
    <n v="3594"/>
    <n v="55.861272"/>
    <n v="1"/>
    <x v="1"/>
    <n v="208483.73"/>
    <n v="38569.5"/>
    <n v="0"/>
    <s v="4184811 STH"/>
    <m/>
    <n v="200771"/>
    <n v="0"/>
    <n v="57807"/>
  </r>
  <r>
    <x v="12"/>
    <s v="03953-5"/>
    <s v="Farum Arena, STA41"/>
    <n v="14135"/>
    <s v="0"/>
    <s v="Stavnsholthallen"/>
    <x v="75"/>
    <x v="0"/>
    <x v="2"/>
    <n v="195251"/>
    <n v="12"/>
    <s v="2005-12-01"/>
    <n v="0"/>
    <n v="3594"/>
    <n v="54.325422000000003"/>
    <n v="1"/>
    <x v="1"/>
    <n v="204110.52"/>
    <n v="37760.43"/>
    <n v="0"/>
    <s v="4184811 STH"/>
    <m/>
    <n v="195251"/>
    <n v="0"/>
    <n v="57807"/>
  </r>
  <r>
    <x v="12"/>
    <s v="03953-5"/>
    <s v="Farum Arena, STA41"/>
    <n v="14135"/>
    <s v="0"/>
    <s v="Stavnsholthallen"/>
    <x v="75"/>
    <x v="1"/>
    <x v="2"/>
    <n v="186706.85"/>
    <n v="12"/>
    <s v="2005-12-01"/>
    <n v="0"/>
    <n v="3594"/>
    <n v="51.948151000000003"/>
    <n v="1"/>
    <x v="3"/>
    <n v="196737.53"/>
    <n v="1043.17"/>
    <n v="1"/>
    <s v="-4184811 STH"/>
    <m/>
    <n v="5351.3"/>
    <n v="57807"/>
    <n v="57809"/>
  </r>
  <r>
    <x v="12"/>
    <s v="03953-5"/>
    <s v="Farum Arena, STA41"/>
    <n v="14135"/>
    <s v="0"/>
    <s v="Stavnsholthallen"/>
    <x v="75"/>
    <x v="0"/>
    <x v="3"/>
    <n v="192126"/>
    <n v="12"/>
    <s v="2005-12-01"/>
    <n v="0"/>
    <n v="3594"/>
    <n v="53.455941000000003"/>
    <n v="1"/>
    <x v="1"/>
    <n v="205669.67"/>
    <n v="38048.89"/>
    <n v="0"/>
    <s v="4184811 STH"/>
    <m/>
    <n v="192126"/>
    <n v="0"/>
    <n v="57807"/>
  </r>
  <r>
    <x v="12"/>
    <s v="03953-5"/>
    <s v="Farum Arena, STA41"/>
    <n v="14135"/>
    <s v="0"/>
    <s v="Stavnsholthallen"/>
    <x v="75"/>
    <x v="1"/>
    <x v="3"/>
    <n v="196937.65"/>
    <n v="12"/>
    <s v="2005-12-01"/>
    <n v="0"/>
    <n v="3594"/>
    <n v="54.794705"/>
    <n v="1"/>
    <x v="3"/>
    <n v="211115.95"/>
    <n v="1119.43"/>
    <n v="1"/>
    <s v="-4184811 STH"/>
    <m/>
    <n v="5644.53"/>
    <n v="57807"/>
    <n v="57809"/>
  </r>
  <r>
    <x v="12"/>
    <s v="03953-5"/>
    <s v="Farum Arena, STA41"/>
    <n v="14135"/>
    <s v="0"/>
    <s v="Stavnsholthallen"/>
    <x v="75"/>
    <x v="0"/>
    <x v="4"/>
    <n v="226226.5"/>
    <n v="12"/>
    <s v="2005-12-01"/>
    <n v="0"/>
    <n v="3594"/>
    <n v="62.943852"/>
    <n v="1"/>
    <x v="1"/>
    <n v="208205.91"/>
    <n v="38518.089999999997"/>
    <n v="0"/>
    <s v="4184811 STH"/>
    <m/>
    <n v="226226.5"/>
    <n v="0"/>
    <n v="57807"/>
  </r>
  <r>
    <x v="12"/>
    <s v="03953-5"/>
    <s v="Farum Arena, STA41"/>
    <n v="14135"/>
    <s v="0"/>
    <s v="Stavnsholthallen"/>
    <x v="75"/>
    <x v="1"/>
    <x v="4"/>
    <n v="228758.71"/>
    <n v="12"/>
    <s v="2005-12-01"/>
    <n v="0"/>
    <n v="3594"/>
    <n v="63.648398"/>
    <n v="1"/>
    <x v="3"/>
    <n v="210093.24"/>
    <n v="1114"/>
    <n v="1"/>
    <s v="-4184811 STH"/>
    <m/>
    <n v="6556.57"/>
    <n v="57807"/>
    <n v="57809"/>
  </r>
  <r>
    <x v="12"/>
    <s v="03953-5"/>
    <s v="Farum Arena, STA41"/>
    <n v="14135"/>
    <s v="0"/>
    <s v="Stavnsholthallen"/>
    <x v="75"/>
    <x v="0"/>
    <x v="5"/>
    <n v="184349.5"/>
    <n v="12"/>
    <s v="2005-12-01"/>
    <n v="0"/>
    <n v="3594"/>
    <n v="51.292256000000002"/>
    <n v="1"/>
    <x v="1"/>
    <n v="193921.2"/>
    <n v="35875.43"/>
    <n v="0"/>
    <s v="4184811 STH"/>
    <m/>
    <n v="184349.5"/>
    <n v="0"/>
    <n v="57807"/>
  </r>
  <r>
    <x v="12"/>
    <s v="03953-5"/>
    <s v="Farum Arena, STA41"/>
    <n v="14135"/>
    <s v="0"/>
    <s v="Stavnsholthallen"/>
    <x v="75"/>
    <x v="1"/>
    <x v="5"/>
    <n v="169966.28"/>
    <n v="12"/>
    <s v="2005-12-01"/>
    <n v="0"/>
    <n v="3594"/>
    <n v="47.290359000000002"/>
    <n v="1"/>
    <x v="3"/>
    <n v="177969.95"/>
    <n v="943.66"/>
    <n v="1"/>
    <s v="-4184811 STH"/>
    <m/>
    <n v="4871.49"/>
    <n v="57807"/>
    <n v="57809"/>
  </r>
  <r>
    <x v="12"/>
    <s v="03953-5"/>
    <s v="Farum Arena, STA41"/>
    <n v="14135"/>
    <s v="0"/>
    <s v="Stavnsholthallen"/>
    <x v="75"/>
    <x v="0"/>
    <x v="6"/>
    <n v="171816"/>
    <n v="12"/>
    <s v="2005-12-01"/>
    <n v="0"/>
    <n v="3594"/>
    <n v="47.805013000000002"/>
    <n v="1"/>
    <x v="1"/>
    <n v="195213.17"/>
    <n v="36114.449999999997"/>
    <n v="0"/>
    <s v="4184811 STH"/>
    <m/>
    <n v="171816"/>
    <n v="0"/>
    <n v="57807"/>
  </r>
  <r>
    <x v="12"/>
    <s v="03953-5"/>
    <s v="Farum Arena, STA41"/>
    <n v="14135"/>
    <s v="0"/>
    <s v="Stavnsholthallen"/>
    <x v="75"/>
    <x v="1"/>
    <x v="6"/>
    <n v="150615.93"/>
    <n v="12"/>
    <s v="2005-12-01"/>
    <n v="0"/>
    <n v="3594"/>
    <n v="41.906438000000001"/>
    <n v="1"/>
    <x v="3"/>
    <n v="168879.73"/>
    <n v="895.46"/>
    <n v="1"/>
    <s v="-4184811 STH"/>
    <m/>
    <n v="4316.88"/>
    <n v="57807"/>
    <n v="57809"/>
  </r>
  <r>
    <x v="12"/>
    <m/>
    <s v="Hareskov Hallen, Måne 8"/>
    <n v="10324"/>
    <m/>
    <s v="Hareskov Hallen"/>
    <x v="76"/>
    <x v="1"/>
    <x v="0"/>
    <n v="63377.33"/>
    <n v="5"/>
    <m/>
    <n v="0"/>
    <n v="2027"/>
    <n v="31.265022999999999"/>
    <n v="1"/>
    <x v="3"/>
    <n v="70072.710000000006"/>
    <n v="128.53"/>
    <n v="1"/>
    <m/>
    <m/>
    <n v="1816.49"/>
    <n v="77834"/>
    <n v="77835"/>
  </r>
  <r>
    <x v="12"/>
    <m/>
    <s v="Hareskov Hallen, Måne 8"/>
    <n v="10324"/>
    <m/>
    <s v="Hareskov Hallen"/>
    <x v="76"/>
    <x v="0"/>
    <x v="0"/>
    <n v="164027"/>
    <n v="5"/>
    <m/>
    <n v="0"/>
    <n v="2027"/>
    <n v="43.866607000000002"/>
    <n v="1"/>
    <x v="5"/>
    <n v="184978"/>
    <n v="18356.52"/>
    <n v="0"/>
    <m/>
    <m/>
    <n v="88.921999999999997"/>
    <n v="0"/>
    <n v="77834"/>
  </r>
  <r>
    <x v="12"/>
    <m/>
    <s v="Hareskov Hallen, Måne 8"/>
    <n v="10324"/>
    <m/>
    <s v="Hareskov Hallen"/>
    <x v="76"/>
    <x v="0"/>
    <x v="7"/>
    <n v="856.95"/>
    <n v="12"/>
    <m/>
    <n v="0"/>
    <n v="2027"/>
    <n v="0.42274600000000001"/>
    <n v="3"/>
    <x v="0"/>
    <n v="856.95"/>
    <n v="685.56"/>
    <n v="0"/>
    <m/>
    <m/>
    <n v="856.95"/>
    <n v="0"/>
    <n v="77833"/>
  </r>
  <r>
    <x v="12"/>
    <m/>
    <s v="Hareskov Hallen, Måne 8"/>
    <n v="10324"/>
    <m/>
    <s v="Hareskov Hallen"/>
    <x v="76"/>
    <x v="0"/>
    <x v="7"/>
    <n v="180.29"/>
    <n v="10"/>
    <s v="2015-05-04"/>
    <n v="0"/>
    <n v="2027"/>
    <n v="8.8939000000000004E-2"/>
    <n v="3"/>
    <x v="0"/>
    <n v="180.29"/>
    <n v="144.22"/>
    <n v="1"/>
    <s v="Spædevand"/>
    <m/>
    <n v="180.28998000000001"/>
    <n v="0"/>
    <n v="79476"/>
  </r>
  <r>
    <x v="12"/>
    <m/>
    <s v="Hareskov Hallen, Måne 8"/>
    <n v="10324"/>
    <m/>
    <s v="Hareskov Hallen"/>
    <x v="76"/>
    <x v="1"/>
    <x v="1"/>
    <n v="131475.63"/>
    <n v="12"/>
    <m/>
    <n v="0"/>
    <n v="2027"/>
    <n v="64.858975000000001"/>
    <n v="1"/>
    <x v="3"/>
    <n v="136754.38"/>
    <n v="250.84"/>
    <n v="1"/>
    <m/>
    <m/>
    <n v="3768.29"/>
    <n v="77834"/>
    <n v="77835"/>
  </r>
  <r>
    <x v="12"/>
    <m/>
    <s v="Hareskov Hallen, Måne 8"/>
    <n v="10324"/>
    <m/>
    <s v="Hareskov Hallen"/>
    <x v="76"/>
    <x v="0"/>
    <x v="1"/>
    <n v="152300"/>
    <n v="12"/>
    <m/>
    <n v="0"/>
    <n v="2027"/>
    <n v="75.131961000000004"/>
    <n v="1"/>
    <x v="5"/>
    <n v="157887.53"/>
    <n v="29209.19"/>
    <n v="0"/>
    <m/>
    <m/>
    <n v="152.30000000000001"/>
    <n v="0"/>
    <n v="77834"/>
  </r>
  <r>
    <x v="12"/>
    <m/>
    <s v="Hareskov Hallen, Måne 8"/>
    <n v="10324"/>
    <m/>
    <s v="Hareskov Hallen"/>
    <x v="76"/>
    <x v="0"/>
    <x v="2"/>
    <n v="173122"/>
    <n v="12"/>
    <m/>
    <n v="0"/>
    <n v="2027"/>
    <n v="85.403778000000003"/>
    <n v="1"/>
    <x v="5"/>
    <n v="181970.39"/>
    <n v="33664.519999999997"/>
    <n v="0"/>
    <m/>
    <m/>
    <n v="173.12200000000001"/>
    <n v="0"/>
    <n v="77834"/>
  </r>
  <r>
    <x v="12"/>
    <m/>
    <s v="Hareskov Hallen, Måne 8"/>
    <n v="10324"/>
    <m/>
    <s v="Hareskov Hallen"/>
    <x v="76"/>
    <x v="1"/>
    <x v="2"/>
    <n v="179033.85"/>
    <n v="12"/>
    <m/>
    <n v="0"/>
    <n v="2027"/>
    <n v="88.320186000000007"/>
    <n v="1"/>
    <x v="3"/>
    <n v="194813.97"/>
    <n v="1032.97"/>
    <n v="1"/>
    <m/>
    <m/>
    <n v="5131.38"/>
    <n v="77834"/>
    <n v="77835"/>
  </r>
  <r>
    <x v="12"/>
    <m/>
    <s v="Hareskov Hallen, Måne 8"/>
    <n v="10324"/>
    <m/>
    <s v="Hareskov Hallen"/>
    <x v="76"/>
    <x v="0"/>
    <x v="3"/>
    <n v="168614"/>
    <n v="12"/>
    <m/>
    <n v="0"/>
    <n v="2027"/>
    <n v="83.179912000000002"/>
    <n v="1"/>
    <x v="5"/>
    <n v="187586.93"/>
    <n v="34703.58"/>
    <n v="0"/>
    <m/>
    <m/>
    <n v="168.614"/>
    <n v="0"/>
    <n v="77834"/>
  </r>
  <r>
    <x v="12"/>
    <m/>
    <s v="Hareskov Hallen, Måne 8"/>
    <n v="10324"/>
    <m/>
    <s v="Hareskov Hallen"/>
    <x v="76"/>
    <x v="1"/>
    <x v="3"/>
    <n v="370032.54"/>
    <n v="12"/>
    <m/>
    <n v="0"/>
    <n v="2027"/>
    <n v="182.54281399999999"/>
    <n v="1"/>
    <x v="3"/>
    <n v="441751.16"/>
    <n v="2342.34"/>
    <n v="1"/>
    <m/>
    <m/>
    <n v="10605.69"/>
    <n v="77834"/>
    <n v="77835"/>
  </r>
  <r>
    <x v="12"/>
    <m/>
    <s v="Hareskov Hallen, Måne 8"/>
    <n v="10324"/>
    <m/>
    <s v="Hareskov Hallen"/>
    <x v="76"/>
    <x v="0"/>
    <x v="4"/>
    <n v="202193"/>
    <n v="12"/>
    <m/>
    <n v="0"/>
    <n v="2027"/>
    <n v="99.744955000000004"/>
    <n v="1"/>
    <x v="5"/>
    <n v="186705.07"/>
    <n v="34540.449999999997"/>
    <n v="0"/>
    <m/>
    <m/>
    <n v="202.19300000000001"/>
    <n v="0"/>
    <n v="77834"/>
  </r>
  <r>
    <x v="12"/>
    <m/>
    <s v="Hareskov Hallen, Måne 8"/>
    <n v="10324"/>
    <m/>
    <s v="Hareskov Hallen"/>
    <x v="76"/>
    <x v="1"/>
    <x v="4"/>
    <n v="170616.3"/>
    <n v="12"/>
    <m/>
    <n v="0"/>
    <n v="2027"/>
    <n v="84.167676999999998"/>
    <n v="1"/>
    <x v="3"/>
    <n v="158079.66"/>
    <n v="838.21"/>
    <n v="1"/>
    <m/>
    <m/>
    <n v="4890.12"/>
    <n v="77834"/>
    <n v="77835"/>
  </r>
  <r>
    <x v="12"/>
    <m/>
    <s v="Hareskov Hallen, Måne 8"/>
    <n v="10324"/>
    <m/>
    <s v="Hareskov Hallen"/>
    <x v="76"/>
    <x v="0"/>
    <x v="5"/>
    <n v="192738"/>
    <n v="12"/>
    <m/>
    <n v="0"/>
    <n v="2027"/>
    <n v="95.080657000000002"/>
    <n v="1"/>
    <x v="5"/>
    <n v="202923.28"/>
    <n v="37540.82"/>
    <n v="0"/>
    <m/>
    <m/>
    <n v="192.738"/>
    <n v="0"/>
    <n v="77834"/>
  </r>
  <r>
    <x v="12"/>
    <m/>
    <s v="Hareskov Hallen, Måne 8"/>
    <n v="10324"/>
    <m/>
    <s v="Hareskov Hallen"/>
    <x v="76"/>
    <x v="1"/>
    <x v="5"/>
    <n v="330638.92"/>
    <n v="12"/>
    <m/>
    <n v="0"/>
    <n v="2027"/>
    <n v="163.109328"/>
    <n v="1"/>
    <x v="3"/>
    <n v="673061.24"/>
    <n v="3568.81"/>
    <n v="1"/>
    <m/>
    <m/>
    <n v="9476.61"/>
    <n v="77834"/>
    <n v="77835"/>
  </r>
  <r>
    <x v="12"/>
    <m/>
    <s v="Hareskov Hallen, Måne 8"/>
    <n v="10324"/>
    <m/>
    <s v="Hareskov Hallen"/>
    <x v="76"/>
    <x v="1"/>
    <x v="6"/>
    <n v="128545.58"/>
    <n v="12"/>
    <m/>
    <n v="0"/>
    <n v="2027"/>
    <n v="63.413536000000001"/>
    <n v="1"/>
    <x v="3"/>
    <n v="149985.81"/>
    <n v="795.27"/>
    <n v="1"/>
    <m/>
    <m/>
    <n v="3684.31"/>
    <n v="77834"/>
    <n v="77835"/>
  </r>
  <r>
    <x v="12"/>
    <m/>
    <s v="Hareskov Hallen, Måne 8"/>
    <n v="10324"/>
    <m/>
    <s v="Hareskov Hallen"/>
    <x v="76"/>
    <x v="0"/>
    <x v="6"/>
    <n v="51515.93"/>
    <n v="2"/>
    <s v="2008-02-27"/>
    <n v="0"/>
    <n v="2027"/>
    <n v="25.413609999999998"/>
    <n v="1"/>
    <x v="5"/>
    <n v="67158.039999999994"/>
    <n v="12.42"/>
    <n v="0"/>
    <m/>
    <m/>
    <n v="51.515929999999997"/>
    <n v="0"/>
    <n v="77899"/>
  </r>
  <r>
    <x v="12"/>
    <m/>
    <s v="Hareskov Hallen, Måne 8"/>
    <n v="10324"/>
    <m/>
    <s v="Hareskov Hallen"/>
    <x v="76"/>
    <x v="0"/>
    <x v="6"/>
    <n v="121039"/>
    <n v="12"/>
    <m/>
    <n v="0"/>
    <n v="2027"/>
    <n v="59.710422999999999"/>
    <n v="1"/>
    <x v="5"/>
    <n v="130166.32"/>
    <n v="24080.76"/>
    <n v="0"/>
    <m/>
    <m/>
    <n v="121.039"/>
    <n v="0"/>
    <n v="77834"/>
  </r>
  <r>
    <x v="12"/>
    <m/>
    <s v="Hareskov Hallen, Måne 8"/>
    <n v="10946"/>
    <s v="0"/>
    <s v="Hareskov Kraftvarmeværk"/>
    <x v="76"/>
    <x v="1"/>
    <x v="0"/>
    <n v="926100"/>
    <n v="5"/>
    <m/>
    <n v="0"/>
    <n v="0"/>
    <n v="9261000"/>
    <n v="1"/>
    <x v="1"/>
    <n v="1034832.41"/>
    <n v="191443995.84999999"/>
    <n v="1"/>
    <s v="Total, nr. 1 - EON ID 302"/>
    <m/>
    <n v="926100"/>
    <n v="0"/>
    <n v="86629"/>
  </r>
  <r>
    <x v="12"/>
    <m/>
    <s v="Hareskov Hallen, Måne 8"/>
    <n v="10946"/>
    <s v="0"/>
    <s v="Hareskov Kraftvarmeværk"/>
    <x v="76"/>
    <x v="1"/>
    <x v="7"/>
    <n v="1575220"/>
    <n v="12"/>
    <m/>
    <n v="0"/>
    <n v="0"/>
    <n v="15752200"/>
    <n v="1"/>
    <x v="1"/>
    <n v="1834473.02"/>
    <n v="339377508.69999999"/>
    <n v="1"/>
    <s v="Total, nr. 1 - EON ID 302"/>
    <m/>
    <n v="1575220"/>
    <n v="0"/>
    <n v="86629"/>
  </r>
  <r>
    <x v="12"/>
    <m/>
    <s v="Hareskov Hallen, Måne 8"/>
    <n v="10946"/>
    <s v="0"/>
    <s v="Hareskov Kraftvarmeværk"/>
    <x v="76"/>
    <x v="1"/>
    <x v="1"/>
    <n v="1792570"/>
    <n v="12"/>
    <m/>
    <n v="0"/>
    <n v="0"/>
    <n v="17925700"/>
    <n v="1"/>
    <x v="1"/>
    <n v="1861056.61"/>
    <n v="344295472.85000002"/>
    <n v="1"/>
    <s v="Total, nr. 1 - EON ID 302"/>
    <m/>
    <n v="1792570"/>
    <n v="0"/>
    <n v="86629"/>
  </r>
  <r>
    <x v="12"/>
    <m/>
    <s v="Hareskov Hallen, Måne 8"/>
    <n v="10946"/>
    <s v="0"/>
    <s v="Hareskov Kraftvarmeværk"/>
    <x v="76"/>
    <x v="1"/>
    <x v="2"/>
    <n v="1823000"/>
    <n v="12"/>
    <m/>
    <n v="0"/>
    <n v="0"/>
    <n v="18230000"/>
    <n v="1"/>
    <x v="1"/>
    <n v="1904744.47"/>
    <n v="352377726.94999999"/>
    <n v="1"/>
    <s v="Total, nr. 1 - EON ID 302"/>
    <m/>
    <n v="1823000"/>
    <n v="0"/>
    <n v="86629"/>
  </r>
  <r>
    <x v="12"/>
    <m/>
    <s v="Hareskov Hallen, Måne 8"/>
    <n v="10946"/>
    <s v="0"/>
    <s v="Hareskov Kraftvarmeværk"/>
    <x v="76"/>
    <x v="1"/>
    <x v="3"/>
    <n v="1966990"/>
    <n v="12"/>
    <m/>
    <n v="0"/>
    <n v="0"/>
    <n v="19669900"/>
    <n v="1"/>
    <x v="1"/>
    <n v="2190382.91"/>
    <n v="405220838.35000002"/>
    <n v="1"/>
    <s v="Total, nr. 1 - EON ID 302"/>
    <m/>
    <n v="1966990"/>
    <n v="0"/>
    <n v="86629"/>
  </r>
  <r>
    <x v="12"/>
    <m/>
    <s v="Hareskov Hallen, Måne 8"/>
    <n v="10946"/>
    <s v="0"/>
    <s v="Hareskov Kraftvarmeværk"/>
    <x v="76"/>
    <x v="1"/>
    <x v="4"/>
    <n v="1380070.66"/>
    <n v="3"/>
    <s v="2010-07-31"/>
    <n v="0"/>
    <n v="0"/>
    <n v="13800706.6"/>
    <n v="1"/>
    <x v="5"/>
    <n v="1316645.1100000001"/>
    <n v="243579.34"/>
    <n v="1"/>
    <s v="Total, nr. 1 - EON ID 302"/>
    <m/>
    <n v="1380.0706600000001"/>
    <n v="0"/>
    <n v="79519"/>
  </r>
  <r>
    <x v="12"/>
    <m/>
    <s v="Hareskov Hallen, Måne 8"/>
    <n v="10946"/>
    <s v="0"/>
    <s v="Hareskov Kraftvarmeværk"/>
    <x v="76"/>
    <x v="1"/>
    <x v="4"/>
    <n v="886940"/>
    <n v="5"/>
    <m/>
    <n v="0"/>
    <n v="0"/>
    <n v="8869400"/>
    <n v="1"/>
    <x v="1"/>
    <n v="773232.5"/>
    <n v="143048012.5"/>
    <n v="1"/>
    <s v="Total, nr. 1 - EON ID 302"/>
    <m/>
    <n v="886940"/>
    <n v="0"/>
    <n v="86629"/>
  </r>
  <r>
    <x v="12"/>
    <m/>
    <s v="Hareskov Hallen, Måne 8"/>
    <n v="10946"/>
    <s v="0"/>
    <s v="Hareskov Kraftvarmeværk"/>
    <x v="76"/>
    <x v="1"/>
    <x v="5"/>
    <n v="1332809.6599999999"/>
    <n v="4"/>
    <s v="2010-07-31"/>
    <n v="0"/>
    <n v="0"/>
    <n v="13328096.6"/>
    <n v="1"/>
    <x v="5"/>
    <n v="1618260.37"/>
    <n v="299378.17"/>
    <n v="1"/>
    <s v="Total, nr. 1 - EON ID 302"/>
    <m/>
    <n v="1332.8096599999999"/>
    <n v="0"/>
    <n v="79519"/>
  </r>
  <r>
    <x v="12"/>
    <m/>
    <s v="Hareskov Hallen, Måne 8"/>
    <n v="10946"/>
    <s v="0"/>
    <s v="Hareskov Kraftvarmeværk"/>
    <x v="76"/>
    <x v="1"/>
    <x v="6"/>
    <n v="2043201.29"/>
    <n v="3"/>
    <s v="2010-07-31"/>
    <n v="0"/>
    <n v="0"/>
    <n v="20432012.899999999"/>
    <n v="1"/>
    <x v="5"/>
    <n v="2523128.27"/>
    <n v="466778.73"/>
    <n v="1"/>
    <s v="Total, nr. 1 - EON ID 302"/>
    <m/>
    <n v="2043.20129"/>
    <n v="0"/>
    <n v="79519"/>
  </r>
  <r>
    <x v="12"/>
    <m/>
    <s v="Søndersøhallen, KV50"/>
    <n v="9521"/>
    <m/>
    <s v="Søndersøhallen"/>
    <x v="77"/>
    <x v="0"/>
    <x v="0"/>
    <n v="198620"/>
    <n v="5"/>
    <m/>
    <n v="0"/>
    <n v="2433"/>
    <n v="49.648595999999998"/>
    <n v="1"/>
    <x v="1"/>
    <n v="233592"/>
    <n v="8855.18"/>
    <n v="0"/>
    <m/>
    <m/>
    <n v="120800"/>
    <n v="0"/>
    <n v="74445"/>
  </r>
  <r>
    <x v="12"/>
    <m/>
    <s v="Søndersøhallen, KV50"/>
    <n v="9521"/>
    <m/>
    <s v="Søndersøhallen"/>
    <x v="77"/>
    <x v="1"/>
    <x v="0"/>
    <n v="143090.87"/>
    <n v="5"/>
    <m/>
    <n v="0"/>
    <n v="2433"/>
    <n v="58.810105999999998"/>
    <n v="1"/>
    <x v="3"/>
    <n v="143090.87"/>
    <n v="262.48"/>
    <n v="1"/>
    <m/>
    <m/>
    <n v="4101.2"/>
    <n v="74445"/>
    <n v="74446"/>
  </r>
  <r>
    <x v="12"/>
    <m/>
    <s v="Hareskov Hallen, Måne 8"/>
    <n v="10324"/>
    <m/>
    <s v="Hareskov Hallen"/>
    <x v="76"/>
    <x v="0"/>
    <x v="1"/>
    <n v="48473.599999999999"/>
    <n v="12"/>
    <m/>
    <n v="0"/>
    <n v="2027"/>
    <n v="23.912780999999999"/>
    <n v="2"/>
    <x v="2"/>
    <n v="48473.599999999999"/>
    <n v="14542.09"/>
    <n v="0"/>
    <m/>
    <s v="74111706307"/>
    <n v="48473.595000000001"/>
    <n v="0"/>
    <n v="77832"/>
  </r>
  <r>
    <x v="12"/>
    <m/>
    <s v="Hareskov Hallen, Måne 8"/>
    <n v="10324"/>
    <m/>
    <s v="Hareskov Hallen"/>
    <x v="76"/>
    <x v="1"/>
    <x v="7"/>
    <n v="117208.77"/>
    <n v="12"/>
    <m/>
    <n v="0"/>
    <n v="2027"/>
    <n v="57.820911000000002"/>
    <n v="1"/>
    <x v="3"/>
    <n v="137547.22"/>
    <n v="252.3"/>
    <n v="1"/>
    <m/>
    <m/>
    <n v="3359.38"/>
    <n v="77834"/>
    <n v="77835"/>
  </r>
  <r>
    <x v="12"/>
    <m/>
    <s v="Søndersøhallen, KV50"/>
    <n v="9521"/>
    <m/>
    <s v="Søndersøhallen"/>
    <x v="77"/>
    <x v="0"/>
    <x v="1"/>
    <n v="277250"/>
    <n v="12"/>
    <m/>
    <n v="0"/>
    <n v="2433"/>
    <n v="113.949282"/>
    <n v="1"/>
    <x v="1"/>
    <n v="284953.06"/>
    <n v="18237"/>
    <n v="0"/>
    <m/>
    <m/>
    <n v="277250"/>
    <n v="0"/>
    <n v="74445"/>
  </r>
  <r>
    <x v="12"/>
    <m/>
    <s v="Søndersøhallen, KV50"/>
    <n v="9521"/>
    <m/>
    <s v="Søndersøhallen"/>
    <x v="77"/>
    <x v="1"/>
    <x v="1"/>
    <n v="311445.59000000003"/>
    <n v="12"/>
    <m/>
    <n v="0"/>
    <n v="2433"/>
    <n v="128.003612"/>
    <n v="1"/>
    <x v="3"/>
    <n v="311445.59000000003"/>
    <n v="571.28"/>
    <n v="1"/>
    <m/>
    <m/>
    <n v="8926.5"/>
    <n v="74445"/>
    <n v="74446"/>
  </r>
  <r>
    <x v="12"/>
    <m/>
    <s v="Søndersøhallen, KV50"/>
    <n v="9521"/>
    <m/>
    <s v="Søndersøhallen"/>
    <x v="77"/>
    <x v="0"/>
    <x v="2"/>
    <n v="297460"/>
    <n v="12"/>
    <m/>
    <n v="0"/>
    <n v="2433"/>
    <n v="122.25555799999999"/>
    <n v="1"/>
    <x v="1"/>
    <n v="313631.55"/>
    <n v="58021.85"/>
    <n v="0"/>
    <m/>
    <m/>
    <n v="297460"/>
    <n v="0"/>
    <n v="74445"/>
  </r>
  <r>
    <x v="12"/>
    <m/>
    <s v="Søndersøhallen, KV50"/>
    <n v="9521"/>
    <m/>
    <s v="Søndersøhallen"/>
    <x v="77"/>
    <x v="1"/>
    <x v="2"/>
    <n v="306787.76"/>
    <n v="12"/>
    <m/>
    <n v="0"/>
    <n v="2433"/>
    <n v="126.089252"/>
    <n v="1"/>
    <x v="3"/>
    <n v="306787.76"/>
    <n v="1626.7"/>
    <n v="1"/>
    <m/>
    <m/>
    <n v="8793"/>
    <n v="74445"/>
    <n v="74446"/>
  </r>
  <r>
    <x v="12"/>
    <m/>
    <s v="Søndersøhallen, KV50"/>
    <n v="9521"/>
    <m/>
    <s v="Søndersøhallen"/>
    <x v="77"/>
    <x v="1"/>
    <x v="3"/>
    <n v="119072.6"/>
    <n v="12"/>
    <m/>
    <n v="0"/>
    <n v="2433"/>
    <n v="48.938637"/>
    <n v="1"/>
    <x v="3"/>
    <n v="119072.6"/>
    <n v="631.38"/>
    <n v="1"/>
    <m/>
    <m/>
    <n v="3412.8"/>
    <n v="74445"/>
    <n v="74446"/>
  </r>
  <r>
    <x v="12"/>
    <m/>
    <s v="Søndersøhallen, KV50"/>
    <n v="9521"/>
    <m/>
    <s v="Søndersøhallen"/>
    <x v="77"/>
    <x v="0"/>
    <x v="3"/>
    <n v="112290"/>
    <n v="12"/>
    <m/>
    <n v="0"/>
    <n v="2433"/>
    <n v="46.151000000000003"/>
    <n v="1"/>
    <x v="1"/>
    <n v="129772.1"/>
    <n v="24007.84"/>
    <n v="0"/>
    <m/>
    <m/>
    <n v="112290"/>
    <n v="0"/>
    <n v="74445"/>
  </r>
  <r>
    <x v="12"/>
    <m/>
    <s v="Søndersøhallen, KV50"/>
    <n v="9521"/>
    <m/>
    <s v="Søndersøhallen"/>
    <x v="77"/>
    <x v="0"/>
    <x v="3"/>
    <n v="222728.48"/>
    <n v="3"/>
    <s v="2011-09-14"/>
    <n v="0"/>
    <n v="2433"/>
    <n v="91.541028999999995"/>
    <n v="1"/>
    <x v="5"/>
    <n v="222728.48"/>
    <n v="41204.769999999997"/>
    <n v="0"/>
    <s v="AFMELDT"/>
    <m/>
    <n v="222.72847999999999"/>
    <n v="0"/>
    <n v="77120"/>
  </r>
  <r>
    <x v="12"/>
    <m/>
    <s v="Søndersøhallen, KV50"/>
    <n v="9521"/>
    <m/>
    <s v="Søndersøhallen"/>
    <x v="77"/>
    <x v="1"/>
    <x v="4"/>
    <n v="0"/>
    <n v="12"/>
    <m/>
    <n v="0"/>
    <n v="2433"/>
    <n v="0"/>
    <n v="1"/>
    <x v="3"/>
    <n v="0"/>
    <n v="0"/>
    <n v="1"/>
    <m/>
    <m/>
    <n v="0"/>
    <n v="74445"/>
    <n v="74446"/>
  </r>
  <r>
    <x v="12"/>
    <m/>
    <s v="Søndersøhallen, KV50"/>
    <n v="9521"/>
    <m/>
    <s v="Søndersøhallen"/>
    <x v="77"/>
    <x v="0"/>
    <x v="4"/>
    <n v="0"/>
    <n v="12"/>
    <m/>
    <n v="0"/>
    <n v="2433"/>
    <n v="0"/>
    <n v="1"/>
    <x v="1"/>
    <n v="0"/>
    <n v="0"/>
    <n v="0"/>
    <m/>
    <m/>
    <n v="0"/>
    <n v="0"/>
    <n v="74445"/>
  </r>
  <r>
    <x v="12"/>
    <m/>
    <s v="Søndersøhallen, KV50"/>
    <n v="9521"/>
    <m/>
    <s v="Søndersøhallen"/>
    <x v="77"/>
    <x v="0"/>
    <x v="4"/>
    <n v="343913.7"/>
    <n v="3"/>
    <s v="2011-09-14"/>
    <n v="0"/>
    <n v="2433"/>
    <n v="141.34795099999999"/>
    <n v="1"/>
    <x v="5"/>
    <n v="343913.7"/>
    <n v="63624.02"/>
    <n v="0"/>
    <s v="AFMELDT"/>
    <m/>
    <n v="343.91370000000001"/>
    <n v="0"/>
    <n v="77120"/>
  </r>
  <r>
    <x v="12"/>
    <m/>
    <s v="Søndersøhallen, KV50"/>
    <n v="9521"/>
    <m/>
    <s v="Søndersøhallen"/>
    <x v="77"/>
    <x v="0"/>
    <x v="5"/>
    <n v="0"/>
    <n v="12"/>
    <m/>
    <n v="0"/>
    <n v="2433"/>
    <n v="0"/>
    <n v="1"/>
    <x v="1"/>
    <n v="0"/>
    <n v="0"/>
    <n v="0"/>
    <m/>
    <m/>
    <n v="0"/>
    <n v="0"/>
    <n v="74445"/>
  </r>
  <r>
    <x v="12"/>
    <m/>
    <s v="Søndersøhallen, KV50"/>
    <n v="9521"/>
    <m/>
    <s v="Søndersøhallen"/>
    <x v="77"/>
    <x v="1"/>
    <x v="5"/>
    <n v="0"/>
    <n v="12"/>
    <m/>
    <n v="0"/>
    <n v="2433"/>
    <n v="0"/>
    <n v="1"/>
    <x v="3"/>
    <n v="0"/>
    <n v="0"/>
    <n v="1"/>
    <m/>
    <m/>
    <n v="0"/>
    <n v="74445"/>
    <n v="74446"/>
  </r>
  <r>
    <x v="12"/>
    <m/>
    <s v="Søndersøhallen, KV50"/>
    <n v="9521"/>
    <m/>
    <s v="Søndersøhallen"/>
    <x v="77"/>
    <x v="0"/>
    <x v="5"/>
    <n v="401794.75"/>
    <n v="4"/>
    <s v="2011-09-14"/>
    <n v="0"/>
    <n v="2433"/>
    <n v="165.136965"/>
    <n v="1"/>
    <x v="5"/>
    <n v="401794.75"/>
    <n v="74332.03"/>
    <n v="0"/>
    <s v="AFMELDT"/>
    <m/>
    <n v="401.79475000000002"/>
    <n v="0"/>
    <n v="77120"/>
  </r>
  <r>
    <x v="12"/>
    <m/>
    <s v="Søndersøhallen, KV50"/>
    <n v="9521"/>
    <m/>
    <s v="Søndersøhallen"/>
    <x v="77"/>
    <x v="0"/>
    <x v="6"/>
    <n v="0"/>
    <n v="12"/>
    <m/>
    <n v="0"/>
    <n v="2433"/>
    <n v="0"/>
    <n v="1"/>
    <x v="1"/>
    <n v="0"/>
    <n v="0"/>
    <n v="0"/>
    <m/>
    <m/>
    <n v="0"/>
    <n v="0"/>
    <n v="74445"/>
  </r>
  <r>
    <x v="12"/>
    <m/>
    <s v="Søndersøhallen, KV50"/>
    <n v="9521"/>
    <m/>
    <s v="Søndersøhallen"/>
    <x v="77"/>
    <x v="1"/>
    <x v="6"/>
    <n v="2.79"/>
    <n v="12"/>
    <m/>
    <n v="0"/>
    <n v="2433"/>
    <n v="1.1460000000000001E-3"/>
    <n v="1"/>
    <x v="3"/>
    <n v="2.79"/>
    <n v="0.01"/>
    <n v="1"/>
    <m/>
    <m/>
    <n v="0.08"/>
    <n v="74445"/>
    <n v="74446"/>
  </r>
  <r>
    <x v="12"/>
    <m/>
    <s v="Søndersøhallen, KV50"/>
    <n v="9521"/>
    <m/>
    <s v="Søndersøhallen"/>
    <x v="77"/>
    <x v="0"/>
    <x v="6"/>
    <n v="319737.28000000003"/>
    <n v="13"/>
    <s v="2011-09-14"/>
    <n v="0"/>
    <n v="2433"/>
    <n v="131.411483"/>
    <n v="1"/>
    <x v="5"/>
    <n v="319737.28000000003"/>
    <n v="59151.39"/>
    <n v="0"/>
    <s v="AFMELDT"/>
    <m/>
    <n v="319.73728"/>
    <n v="0"/>
    <n v="77120"/>
  </r>
  <r>
    <x v="12"/>
    <m/>
    <s v="Værløsehallerne, Stiager 8"/>
    <n v="9523"/>
    <m/>
    <s v="Værløse gl. hal"/>
    <x v="78"/>
    <x v="0"/>
    <x v="0"/>
    <n v="65610"/>
    <n v="5"/>
    <m/>
    <n v="0"/>
    <n v="2103"/>
    <n v="19.12415"/>
    <n v="1"/>
    <x v="1"/>
    <n v="77124"/>
    <n v="2946.98"/>
    <n v="0"/>
    <s v="4080353"/>
    <m/>
    <n v="40220"/>
    <n v="0"/>
    <n v="74453"/>
  </r>
  <r>
    <x v="12"/>
    <m/>
    <s v="Værløsehallerne, Stiager 8"/>
    <n v="9523"/>
    <m/>
    <s v="Værløse gl. hal"/>
    <x v="78"/>
    <x v="1"/>
    <x v="0"/>
    <n v="44777.83"/>
    <n v="5"/>
    <m/>
    <n v="0"/>
    <n v="2103"/>
    <n v="21.291346000000001"/>
    <n v="1"/>
    <x v="3"/>
    <n v="51497.33"/>
    <n v="94.47"/>
    <n v="1"/>
    <m/>
    <m/>
    <n v="1283.4000000000001"/>
    <n v="74453"/>
    <n v="74454"/>
  </r>
  <r>
    <x v="12"/>
    <m/>
    <s v="Hareskov Hallen, Måne 8"/>
    <n v="10324"/>
    <m/>
    <s v="Hareskov Hallen"/>
    <x v="76"/>
    <x v="0"/>
    <x v="7"/>
    <n v="129363"/>
    <n v="12"/>
    <m/>
    <n v="0"/>
    <n v="2027"/>
    <n v="63.816782000000003"/>
    <n v="1"/>
    <x v="5"/>
    <n v="151151.85999999999"/>
    <n v="27963.07"/>
    <n v="0"/>
    <m/>
    <m/>
    <n v="129.363"/>
    <n v="0"/>
    <n v="77834"/>
  </r>
  <r>
    <x v="12"/>
    <m/>
    <s v="Værløsehallerne, Stiager 8"/>
    <n v="9523"/>
    <m/>
    <s v="Værløse gl. hal"/>
    <x v="78"/>
    <x v="1"/>
    <x v="1"/>
    <n v="165239.04999999999"/>
    <n v="12"/>
    <m/>
    <n v="0"/>
    <n v="2103"/>
    <n v="78.569277999999997"/>
    <n v="1"/>
    <x v="3"/>
    <n v="168575.4"/>
    <n v="309.20999999999998"/>
    <n v="1"/>
    <m/>
    <m/>
    <n v="4736"/>
    <n v="74453"/>
    <n v="74454"/>
  </r>
  <r>
    <x v="12"/>
    <m/>
    <s v="Værløsehallerne, Stiager 8"/>
    <n v="9523"/>
    <m/>
    <s v="Værløse gl. hal"/>
    <x v="78"/>
    <x v="0"/>
    <x v="1"/>
    <n v="93670"/>
    <n v="12"/>
    <m/>
    <n v="0"/>
    <n v="2103"/>
    <n v="44.539012999999997"/>
    <n v="1"/>
    <x v="1"/>
    <n v="95605.89"/>
    <n v="6118.78"/>
    <n v="0"/>
    <s v="4080353"/>
    <m/>
    <n v="93670"/>
    <n v="0"/>
    <n v="74453"/>
  </r>
  <r>
    <x v="12"/>
    <m/>
    <s v="Værløsehallerne, Stiager 8"/>
    <n v="9523"/>
    <m/>
    <s v="Værløse gl. hal"/>
    <x v="78"/>
    <x v="0"/>
    <x v="2"/>
    <n v="93490"/>
    <n v="12"/>
    <m/>
    <n v="0"/>
    <n v="2103"/>
    <n v="44.453425000000003"/>
    <n v="1"/>
    <x v="1"/>
    <n v="98207.4"/>
    <n v="18168.349999999999"/>
    <n v="0"/>
    <s v="4080353"/>
    <m/>
    <n v="93490"/>
    <n v="0"/>
    <n v="74453"/>
  </r>
  <r>
    <x v="12"/>
    <m/>
    <s v="Værløsehallerne, Stiager 8"/>
    <n v="9523"/>
    <m/>
    <s v="Værløse gl. hal"/>
    <x v="78"/>
    <x v="1"/>
    <x v="2"/>
    <n v="282225.21000000002"/>
    <n v="12"/>
    <m/>
    <n v="0"/>
    <n v="2103"/>
    <n v="134.19485900000001"/>
    <n v="1"/>
    <x v="3"/>
    <n v="296997.57"/>
    <n v="1574.78"/>
    <n v="1"/>
    <m/>
    <m/>
    <n v="8089"/>
    <n v="74453"/>
    <n v="74454"/>
  </r>
  <r>
    <x v="12"/>
    <m/>
    <s v="Værløsehallerne, Stiager 8"/>
    <n v="9523"/>
    <m/>
    <s v="Værløse gl. hal"/>
    <x v="78"/>
    <x v="0"/>
    <x v="3"/>
    <n v="96090"/>
    <n v="12"/>
    <m/>
    <n v="0"/>
    <n v="2103"/>
    <n v="45.689695999999998"/>
    <n v="1"/>
    <x v="1"/>
    <n v="102556.29"/>
    <n v="18972.919999999998"/>
    <n v="0"/>
    <s v="4080353"/>
    <m/>
    <n v="96090"/>
    <n v="0"/>
    <n v="74453"/>
  </r>
  <r>
    <x v="12"/>
    <m/>
    <s v="Værløsehallerne, Stiager 8"/>
    <n v="9523"/>
    <m/>
    <s v="Værløse gl. hal"/>
    <x v="78"/>
    <x v="1"/>
    <x v="3"/>
    <n v="191560.06"/>
    <n v="12"/>
    <m/>
    <n v="0"/>
    <n v="2103"/>
    <n v="91.084616999999994"/>
    <n v="1"/>
    <x v="3"/>
    <n v="202805.83"/>
    <n v="1075.3499999999999"/>
    <n v="1"/>
    <m/>
    <m/>
    <n v="5490.4"/>
    <n v="74453"/>
    <n v="74454"/>
  </r>
  <r>
    <x v="12"/>
    <m/>
    <s v="Værløsehallerne, Stiager 8"/>
    <n v="9523"/>
    <m/>
    <s v="Værløse gl. hal"/>
    <x v="78"/>
    <x v="1"/>
    <x v="4"/>
    <n v="229122.63"/>
    <n v="12"/>
    <m/>
    <n v="0"/>
    <n v="2103"/>
    <n v="108.94519"/>
    <n v="1"/>
    <x v="3"/>
    <n v="203329.13"/>
    <n v="1078.1099999999999"/>
    <n v="1"/>
    <m/>
    <m/>
    <n v="6567"/>
    <n v="74453"/>
    <n v="74454"/>
  </r>
  <r>
    <x v="12"/>
    <m/>
    <s v="Værløsehallerne, Stiager 8"/>
    <n v="9523"/>
    <m/>
    <s v="Værløse gl. hal"/>
    <x v="78"/>
    <x v="0"/>
    <x v="4"/>
    <n v="114960"/>
    <n v="12"/>
    <m/>
    <n v="0"/>
    <n v="2103"/>
    <n v="54.662165000000002"/>
    <n v="1"/>
    <x v="1"/>
    <n v="102876.83"/>
    <n v="19032.21"/>
    <n v="0"/>
    <s v="4080353"/>
    <m/>
    <n v="114960"/>
    <n v="0"/>
    <n v="74453"/>
  </r>
  <r>
    <x v="12"/>
    <m/>
    <s v="Værløsehallerne, Stiager 8"/>
    <n v="9523"/>
    <m/>
    <s v="Værløse gl. hal"/>
    <x v="78"/>
    <x v="1"/>
    <x v="5"/>
    <n v="112530.71"/>
    <n v="12"/>
    <m/>
    <n v="0"/>
    <n v="2103"/>
    <n v="53.507064999999997"/>
    <n v="1"/>
    <x v="3"/>
    <n v="116492.47"/>
    <n v="617.69000000000005"/>
    <n v="1"/>
    <m/>
    <m/>
    <n v="3225.3"/>
    <n v="74453"/>
    <n v="74454"/>
  </r>
  <r>
    <x v="12"/>
    <m/>
    <s v="Værløsehallerne, Stiager 8"/>
    <n v="9523"/>
    <m/>
    <s v="Værløse gl. hal"/>
    <x v="78"/>
    <x v="0"/>
    <x v="5"/>
    <n v="86460"/>
    <n v="12"/>
    <m/>
    <n v="0"/>
    <n v="2103"/>
    <n v="41.110740999999997"/>
    <n v="1"/>
    <x v="1"/>
    <n v="90489.05"/>
    <n v="16740.47"/>
    <n v="0"/>
    <s v="4080353"/>
    <m/>
    <n v="86460"/>
    <n v="0"/>
    <n v="74453"/>
  </r>
  <r>
    <x v="12"/>
    <m/>
    <s v="Værløsehallerne, Stiager 8"/>
    <n v="9523"/>
    <m/>
    <s v="Værløse gl. hal"/>
    <x v="78"/>
    <x v="0"/>
    <x v="6"/>
    <n v="78370"/>
    <n v="12"/>
    <m/>
    <n v="0"/>
    <n v="2103"/>
    <n v="37.264037999999999"/>
    <n v="1"/>
    <x v="1"/>
    <n v="90694.84"/>
    <n v="16778.55"/>
    <n v="0"/>
    <s v="4080353"/>
    <m/>
    <n v="78370"/>
    <n v="0"/>
    <n v="74453"/>
  </r>
  <r>
    <x v="12"/>
    <m/>
    <s v="Værløsehallerne, Stiager 8"/>
    <n v="9523"/>
    <m/>
    <s v="Værløse gl. hal"/>
    <x v="78"/>
    <x v="1"/>
    <x v="6"/>
    <n v="71503.58"/>
    <n v="12"/>
    <m/>
    <n v="0"/>
    <n v="2103"/>
    <n v="33.999133999999998"/>
    <n v="1"/>
    <x v="3"/>
    <n v="82921.52"/>
    <n v="439.68"/>
    <n v="1"/>
    <m/>
    <m/>
    <n v="2049.4"/>
    <n v="74453"/>
    <n v="74454"/>
  </r>
  <r>
    <x v="12"/>
    <m/>
    <s v="Værløsehallerne, Stiager 8"/>
    <n v="9522"/>
    <m/>
    <s v="Værløse hal Ny hal"/>
    <x v="78"/>
    <x v="1"/>
    <x v="0"/>
    <n v="344632.95"/>
    <n v="5"/>
    <m/>
    <n v="0"/>
    <n v="5224"/>
    <n v="65.969821999999994"/>
    <n v="1"/>
    <x v="3"/>
    <n v="379712.55"/>
    <n v="696.52"/>
    <n v="1"/>
    <m/>
    <m/>
    <n v="9877.7000000000007"/>
    <n v="74449"/>
    <n v="74450"/>
  </r>
  <r>
    <x v="12"/>
    <m/>
    <s v="Værløsehallerne, Stiager 8"/>
    <n v="9522"/>
    <m/>
    <s v="Værløse hal Ny hal"/>
    <x v="78"/>
    <x v="0"/>
    <x v="0"/>
    <n v="242270"/>
    <n v="5"/>
    <m/>
    <n v="0"/>
    <n v="5224"/>
    <n v="29.781206000000001"/>
    <n v="1"/>
    <x v="1"/>
    <n v="285154"/>
    <n v="11410.78"/>
    <n v="0"/>
    <m/>
    <m/>
    <n v="155580"/>
    <n v="0"/>
    <n v="74449"/>
  </r>
  <r>
    <x v="12"/>
    <m/>
    <s v="Værløsehallerne, Stiager 8"/>
    <n v="9522"/>
    <m/>
    <s v="Værløse hal Ny hal"/>
    <x v="78"/>
    <x v="0"/>
    <x v="1"/>
    <n v="296570"/>
    <n v="12"/>
    <m/>
    <n v="0"/>
    <n v="5224"/>
    <n v="56.769587000000001"/>
    <n v="1"/>
    <x v="1"/>
    <n v="303919.93"/>
    <n v="19450.88"/>
    <n v="0"/>
    <m/>
    <m/>
    <n v="296570"/>
    <n v="0"/>
    <n v="74449"/>
  </r>
  <r>
    <x v="12"/>
    <m/>
    <s v="Værløsehallerne, Stiager 8"/>
    <n v="9522"/>
    <m/>
    <s v="Værløse hal Ny hal"/>
    <x v="78"/>
    <x v="1"/>
    <x v="1"/>
    <n v="331179.37"/>
    <n v="12"/>
    <m/>
    <n v="0"/>
    <n v="5224"/>
    <n v="63.394531000000001"/>
    <n v="1"/>
    <x v="3"/>
    <n v="338506.57"/>
    <n v="620.92999999999995"/>
    <n v="1"/>
    <m/>
    <m/>
    <n v="9492.1"/>
    <n v="74449"/>
    <n v="74450"/>
  </r>
  <r>
    <x v="12"/>
    <m/>
    <s v="Værløsehallerne, Stiager 8"/>
    <n v="9522"/>
    <m/>
    <s v="Værløse hal Ny hal"/>
    <x v="78"/>
    <x v="0"/>
    <x v="2"/>
    <n v="302740"/>
    <n v="12"/>
    <m/>
    <n v="0"/>
    <n v="5224"/>
    <n v="57.950651000000001"/>
    <n v="1"/>
    <x v="1"/>
    <n v="316500.11"/>
    <n v="58552.53"/>
    <n v="0"/>
    <m/>
    <m/>
    <n v="302740"/>
    <n v="0"/>
    <n v="74449"/>
  </r>
  <r>
    <x v="12"/>
    <m/>
    <s v="Værløsehallerne, Stiager 8"/>
    <n v="9522"/>
    <m/>
    <s v="Værløse hal Ny hal"/>
    <x v="78"/>
    <x v="1"/>
    <x v="2"/>
    <n v="359419.33"/>
    <n v="12"/>
    <m/>
    <n v="0"/>
    <n v="5224"/>
    <n v="68.800239000000005"/>
    <n v="1"/>
    <x v="3"/>
    <n v="378497.1"/>
    <n v="2006.92"/>
    <n v="1"/>
    <m/>
    <m/>
    <n v="10301.5"/>
    <n v="74449"/>
    <n v="74450"/>
  </r>
  <r>
    <x v="12"/>
    <m/>
    <s v="Værløsehallerne, Stiager 8"/>
    <n v="9522"/>
    <m/>
    <s v="Værløse hal Ny hal"/>
    <x v="78"/>
    <x v="1"/>
    <x v="3"/>
    <n v="485860.71"/>
    <n v="12"/>
    <m/>
    <n v="0"/>
    <n v="5224"/>
    <n v="93.003715"/>
    <n v="1"/>
    <x v="3"/>
    <n v="526615.93000000005"/>
    <n v="2792.34"/>
    <n v="1"/>
    <m/>
    <m/>
    <n v="13925.5"/>
    <n v="74449"/>
    <n v="74450"/>
  </r>
  <r>
    <x v="12"/>
    <m/>
    <s v="Værløsehallerne, Stiager 8"/>
    <n v="9522"/>
    <m/>
    <s v="Værløse hal Ny hal"/>
    <x v="78"/>
    <x v="0"/>
    <x v="3"/>
    <n v="320460"/>
    <n v="12"/>
    <m/>
    <n v="0"/>
    <n v="5224"/>
    <n v="61.342623000000003"/>
    <n v="1"/>
    <x v="1"/>
    <n v="345788.76"/>
    <n v="63970.93"/>
    <n v="0"/>
    <m/>
    <m/>
    <n v="320460"/>
    <n v="0"/>
    <n v="74449"/>
  </r>
  <r>
    <x v="12"/>
    <m/>
    <s v="Værløsehallerne, Stiager 8"/>
    <n v="9522"/>
    <m/>
    <s v="Værløse hal Ny hal"/>
    <x v="78"/>
    <x v="1"/>
    <x v="4"/>
    <n v="660931.75"/>
    <n v="12"/>
    <m/>
    <n v="0"/>
    <n v="5224"/>
    <n v="126.515907"/>
    <n v="1"/>
    <x v="3"/>
    <n v="620484.06999999995"/>
    <n v="3290.04"/>
    <n v="1"/>
    <m/>
    <m/>
    <n v="18943.3"/>
    <n v="74449"/>
    <n v="74450"/>
  </r>
  <r>
    <x v="12"/>
    <m/>
    <s v="Værløsehallerne, Stiager 8"/>
    <n v="9522"/>
    <m/>
    <s v="Værløse hal Ny hal"/>
    <x v="78"/>
    <x v="0"/>
    <x v="4"/>
    <n v="490530"/>
    <n v="12"/>
    <m/>
    <n v="0"/>
    <n v="5224"/>
    <n v="93.897513000000004"/>
    <n v="1"/>
    <x v="1"/>
    <n v="447617.94"/>
    <n v="82809.31"/>
    <n v="0"/>
    <m/>
    <m/>
    <n v="490530"/>
    <n v="0"/>
    <n v="74449"/>
  </r>
  <r>
    <x v="12"/>
    <m/>
    <s v="Værløsehallerne, Stiager 8"/>
    <n v="9522"/>
    <m/>
    <s v="Værløse hal Ny hal"/>
    <x v="78"/>
    <x v="0"/>
    <x v="5"/>
    <n v="408920"/>
    <n v="12"/>
    <m/>
    <n v="0"/>
    <n v="5224"/>
    <n v="78.275683000000001"/>
    <n v="1"/>
    <x v="1"/>
    <n v="439952.57"/>
    <n v="81391.22"/>
    <n v="0"/>
    <m/>
    <m/>
    <n v="408920"/>
    <n v="0"/>
    <n v="74449"/>
  </r>
  <r>
    <x v="12"/>
    <m/>
    <s v="Værløsehallerne, Stiager 8"/>
    <n v="9522"/>
    <m/>
    <s v="Værløse hal Ny hal"/>
    <x v="78"/>
    <x v="1"/>
    <x v="5"/>
    <n v="562807.11"/>
    <n v="12"/>
    <m/>
    <n v="0"/>
    <n v="5224"/>
    <n v="107.73283600000001"/>
    <n v="1"/>
    <x v="3"/>
    <n v="608717.06000000006"/>
    <n v="3227.65"/>
    <n v="1"/>
    <m/>
    <m/>
    <n v="16130.9"/>
    <n v="74449"/>
    <n v="74450"/>
  </r>
  <r>
    <x v="12"/>
    <m/>
    <s v="Værløsehallerne, Stiager 8"/>
    <n v="9522"/>
    <m/>
    <s v="Værløse hal Ny hal"/>
    <x v="78"/>
    <x v="0"/>
    <x v="6"/>
    <n v="374700"/>
    <n v="12"/>
    <m/>
    <n v="0"/>
    <n v="5224"/>
    <n v="71.725273000000001"/>
    <n v="1"/>
    <x v="1"/>
    <n v="431610.97"/>
    <n v="79848.039999999994"/>
    <n v="0"/>
    <m/>
    <m/>
    <n v="374700"/>
    <n v="0"/>
    <n v="74449"/>
  </r>
  <r>
    <x v="12"/>
    <m/>
    <s v="Værløsehallerne, Stiager 8"/>
    <n v="9522"/>
    <m/>
    <s v="Værløse hal Ny hal"/>
    <x v="78"/>
    <x v="1"/>
    <x v="6"/>
    <n v="537047.81999999995"/>
    <n v="12"/>
    <m/>
    <n v="0"/>
    <n v="5224"/>
    <n v="102.801979"/>
    <n v="1"/>
    <x v="3"/>
    <n v="617911.16"/>
    <n v="3276.43"/>
    <n v="1"/>
    <m/>
    <m/>
    <n v="15392.6"/>
    <n v="74449"/>
    <n v="74450"/>
  </r>
  <r>
    <x v="12"/>
    <m/>
    <s v="Søndersøhallen, KV50"/>
    <n v="9521"/>
    <m/>
    <s v="Søndersøhallen"/>
    <x v="77"/>
    <x v="0"/>
    <x v="1"/>
    <n v="92671.87"/>
    <n v="12"/>
    <m/>
    <n v="0"/>
    <n v="2433"/>
    <n v="38.087981999999997"/>
    <n v="2"/>
    <x v="2"/>
    <n v="92671.87"/>
    <n v="27801.57"/>
    <n v="0"/>
    <s v="BI 0150323"/>
    <s v="Bimåler"/>
    <n v="92671.884999999995"/>
    <n v="0"/>
    <n v="74443"/>
  </r>
  <r>
    <x v="12"/>
    <m/>
    <s v="Værløsehallerne, Stiager 8"/>
    <n v="10229"/>
    <m/>
    <s v="Cafeterie"/>
    <x v="78"/>
    <x v="0"/>
    <x v="1"/>
    <n v="25656.45"/>
    <n v="13"/>
    <s v="2015-04-30"/>
    <n v="0"/>
    <n v="0"/>
    <n v="256564.5"/>
    <n v="2"/>
    <x v="2"/>
    <n v="25656.45"/>
    <n v="12032.88"/>
    <n v="1"/>
    <m/>
    <m/>
    <n v="25656.439409999999"/>
    <n v="0"/>
    <n v="77492"/>
  </r>
  <r>
    <x v="12"/>
    <s v="03953-5"/>
    <s v="Farum Arena, STA41"/>
    <n v="5467"/>
    <m/>
    <s v="Farum Hallen"/>
    <x v="75"/>
    <x v="0"/>
    <x v="2"/>
    <n v="263158.5"/>
    <n v="12"/>
    <s v="2005-11-30"/>
    <n v="0"/>
    <n v="6415"/>
    <n v="41.021729000000001"/>
    <n v="2"/>
    <x v="2"/>
    <n v="263158.5"/>
    <n v="105263.4"/>
    <n v="0"/>
    <s v="741607  FH"/>
    <s v="5713131 74120010389"/>
    <n v="263158.5"/>
    <n v="0"/>
    <n v="57798"/>
  </r>
  <r>
    <x v="12"/>
    <s v="03953-5"/>
    <s v="Farum Arena, STA41"/>
    <n v="5467"/>
    <m/>
    <s v="Farum Hallen"/>
    <x v="75"/>
    <x v="0"/>
    <x v="3"/>
    <n v="252452.75"/>
    <n v="12"/>
    <s v="2005-11-30"/>
    <n v="0"/>
    <n v="6415"/>
    <n v="39.352893000000002"/>
    <n v="2"/>
    <x v="2"/>
    <n v="252452.75"/>
    <n v="118400.34"/>
    <n v="0"/>
    <s v="741607  FH"/>
    <s v="5713131 74120010389"/>
    <n v="252452.75"/>
    <n v="0"/>
    <n v="57798"/>
  </r>
  <r>
    <x v="12"/>
    <s v="03953-5"/>
    <s v="Farum Arena, STA41"/>
    <n v="5467"/>
    <m/>
    <s v="Farum Hallen"/>
    <x v="75"/>
    <x v="0"/>
    <x v="4"/>
    <n v="229091.4"/>
    <n v="12"/>
    <s v="2005-11-30"/>
    <n v="0"/>
    <n v="6415"/>
    <n v="35.711274000000003"/>
    <n v="2"/>
    <x v="2"/>
    <n v="229091.4"/>
    <n v="107443.87"/>
    <n v="0"/>
    <s v="741607  FH"/>
    <s v="5713131 74120010389"/>
    <n v="229091.4"/>
    <n v="0"/>
    <n v="57798"/>
  </r>
  <r>
    <x v="12"/>
    <s v="03953-5"/>
    <s v="Farum Arena, STA41"/>
    <n v="5467"/>
    <m/>
    <s v="Farum Hallen"/>
    <x v="75"/>
    <x v="0"/>
    <x v="5"/>
    <n v="188340"/>
    <n v="12"/>
    <s v="2005-11-30"/>
    <n v="0"/>
    <n v="6415"/>
    <n v="29.358855999999999"/>
    <n v="2"/>
    <x v="2"/>
    <n v="188340"/>
    <n v="88331.47"/>
    <n v="0"/>
    <s v="741607  FH"/>
    <s v="5713131 74120010389"/>
    <n v="188340"/>
    <n v="0"/>
    <n v="57798"/>
  </r>
  <r>
    <x v="12"/>
    <s v="03953-5"/>
    <s v="Farum Arena, STA41"/>
    <n v="5467"/>
    <m/>
    <s v="Farum Hallen"/>
    <x v="75"/>
    <x v="0"/>
    <x v="6"/>
    <n v="199339.65"/>
    <n v="12"/>
    <s v="2005-11-30"/>
    <n v="0"/>
    <n v="6415"/>
    <n v="31.073505999999998"/>
    <n v="2"/>
    <x v="2"/>
    <n v="199339.65"/>
    <n v="93490.31"/>
    <n v="0"/>
    <s v="741607  FH"/>
    <s v="5713131 74120010389"/>
    <n v="199339.65"/>
    <n v="0"/>
    <n v="57798"/>
  </r>
  <r>
    <x v="12"/>
    <m/>
    <s v="Værløsehallerne, Stiager 8"/>
    <n v="9522"/>
    <m/>
    <s v="Værløse hal Ny hal"/>
    <x v="78"/>
    <x v="0"/>
    <x v="1"/>
    <n v="321521.27"/>
    <n v="12"/>
    <m/>
    <n v="0"/>
    <n v="5224"/>
    <n v="61.545771999999999"/>
    <n v="2"/>
    <x v="2"/>
    <n v="321521.27"/>
    <n v="96456.39"/>
    <n v="0"/>
    <m/>
    <s v="5713131 74112209302"/>
    <n v="321521.27"/>
    <n v="0"/>
    <n v="74447"/>
  </r>
  <r>
    <x v="12"/>
    <s v="03953-5"/>
    <s v="Farum Arena, STA41"/>
    <n v="5467"/>
    <m/>
    <s v="Farum Hallen"/>
    <x v="75"/>
    <x v="0"/>
    <x v="7"/>
    <n v="241046.39999999999"/>
    <n v="12"/>
    <s v="2005-11-30"/>
    <n v="0"/>
    <n v="6415"/>
    <n v="37.574846000000001"/>
    <n v="2"/>
    <x v="2"/>
    <m/>
    <n v="96418.559999999998"/>
    <n v="0"/>
    <s v="741607  FH"/>
    <s v="5713131 74120010389"/>
    <n v="241046.39999999999"/>
    <n v="0"/>
    <n v="57798"/>
  </r>
  <r>
    <x v="12"/>
    <s v="03953-5"/>
    <s v="Farum Arena, STA41"/>
    <n v="14135"/>
    <s v="0"/>
    <s v="Stavnsholthallen"/>
    <x v="75"/>
    <x v="0"/>
    <x v="2"/>
    <n v="138866.85"/>
    <n v="12"/>
    <s v="2005-11-30"/>
    <n v="0"/>
    <n v="3594"/>
    <n v="38.637447000000002"/>
    <n v="2"/>
    <x v="2"/>
    <n v="138866.85"/>
    <n v="55546.74"/>
    <n v="0"/>
    <s v="1129204 STH"/>
    <s v="74120010297"/>
    <n v="138866.85"/>
    <n v="0"/>
    <n v="57799"/>
  </r>
  <r>
    <x v="12"/>
    <s v="03953-5"/>
    <s v="Farum Arena, STA41"/>
    <n v="14135"/>
    <s v="0"/>
    <s v="Stavnsholthallen"/>
    <x v="75"/>
    <x v="0"/>
    <x v="3"/>
    <n v="122987.65"/>
    <n v="12"/>
    <s v="2005-11-30"/>
    <n v="0"/>
    <n v="3594"/>
    <n v="34.219316999999997"/>
    <n v="2"/>
    <x v="2"/>
    <n v="122987.65"/>
    <n v="57681.22"/>
    <n v="0"/>
    <s v="1129204 STH"/>
    <s v="74120010297"/>
    <n v="122987.64982000001"/>
    <n v="0"/>
    <n v="57799"/>
  </r>
  <r>
    <x v="12"/>
    <s v="03953-5"/>
    <s v="Farum Arena, STA41"/>
    <n v="14135"/>
    <s v="0"/>
    <s v="Stavnsholthallen"/>
    <x v="75"/>
    <x v="0"/>
    <x v="4"/>
    <n v="131770.29999999999"/>
    <n v="12"/>
    <s v="2005-11-30"/>
    <n v="0"/>
    <n v="3594"/>
    <n v="36.662947000000003"/>
    <n v="2"/>
    <x v="2"/>
    <n v="131770.29999999999"/>
    <n v="61800.27"/>
    <n v="0"/>
    <s v="1129204 STH"/>
    <s v="74120010297"/>
    <n v="131770.29999999999"/>
    <n v="0"/>
    <n v="57799"/>
  </r>
  <r>
    <x v="12"/>
    <s v="03953-5"/>
    <s v="Farum Arena, STA41"/>
    <n v="14135"/>
    <s v="0"/>
    <s v="Stavnsholthallen"/>
    <x v="75"/>
    <x v="0"/>
    <x v="5"/>
    <n v="127228.05"/>
    <n v="12"/>
    <s v="2005-11-30"/>
    <n v="0"/>
    <n v="3594"/>
    <n v="35.399140000000003"/>
    <n v="2"/>
    <x v="2"/>
    <n v="127228.05"/>
    <n v="59669.96"/>
    <n v="0"/>
    <s v="1129204 STH"/>
    <s v="74120010297"/>
    <n v="127228.05"/>
    <n v="0"/>
    <n v="57799"/>
  </r>
  <r>
    <x v="12"/>
    <s v="03953-5"/>
    <s v="Farum Arena, STA41"/>
    <n v="14135"/>
    <s v="0"/>
    <s v="Stavnsholthallen"/>
    <x v="75"/>
    <x v="0"/>
    <x v="6"/>
    <n v="128382.35"/>
    <n v="12"/>
    <s v="2005-11-30"/>
    <n v="0"/>
    <n v="3594"/>
    <n v="35.720305000000003"/>
    <n v="2"/>
    <x v="2"/>
    <n v="128382.35"/>
    <n v="60211.34"/>
    <n v="0"/>
    <s v="1129204 STH"/>
    <s v="74120010297"/>
    <n v="128382.35"/>
    <n v="0"/>
    <n v="57799"/>
  </r>
  <r>
    <x v="12"/>
    <s v="03953-5"/>
    <s v="Farum Arena, STA41"/>
    <n v="14135"/>
    <s v="0"/>
    <s v="Stavnsholthallen"/>
    <x v="75"/>
    <x v="0"/>
    <x v="7"/>
    <n v="117833.34"/>
    <n v="12"/>
    <s v="2005-11-30"/>
    <n v="0"/>
    <n v="3594"/>
    <n v="32.785214000000003"/>
    <n v="2"/>
    <x v="2"/>
    <m/>
    <n v="47133.33"/>
    <n v="0"/>
    <s v="1129204 STH"/>
    <s v="74120010297"/>
    <n v="117833.353"/>
    <n v="0"/>
    <n v="57799"/>
  </r>
  <r>
    <x v="12"/>
    <m/>
    <s v="Hareskov Hallen, Måne 8"/>
    <n v="10324"/>
    <m/>
    <s v="Hareskov Hallen"/>
    <x v="76"/>
    <x v="0"/>
    <x v="7"/>
    <n v="52700.03"/>
    <n v="12"/>
    <m/>
    <n v="0"/>
    <n v="2027"/>
    <n v="25.997744999999998"/>
    <n v="2"/>
    <x v="2"/>
    <m/>
    <n v="15810.01"/>
    <n v="0"/>
    <m/>
    <s v="74111706307"/>
    <n v="52700.031999999999"/>
    <n v="0"/>
    <n v="77832"/>
  </r>
  <r>
    <x v="12"/>
    <m/>
    <s v="Hareskov Hallen, Måne 8"/>
    <n v="10324"/>
    <m/>
    <s v="Hareskov Hallen"/>
    <x v="76"/>
    <x v="0"/>
    <x v="2"/>
    <n v="57626.19"/>
    <n v="12"/>
    <m/>
    <n v="0"/>
    <n v="2027"/>
    <n v="28.427896"/>
    <n v="2"/>
    <x v="2"/>
    <n v="57626.19"/>
    <n v="23050.49"/>
    <n v="0"/>
    <m/>
    <s v="74111706307"/>
    <n v="57626.188999999998"/>
    <n v="0"/>
    <n v="77832"/>
  </r>
  <r>
    <x v="12"/>
    <m/>
    <s v="Hareskov Hallen, Måne 8"/>
    <n v="10324"/>
    <m/>
    <s v="Hareskov Hallen"/>
    <x v="76"/>
    <x v="0"/>
    <x v="3"/>
    <n v="58042.13"/>
    <n v="12"/>
    <m/>
    <n v="0"/>
    <n v="2027"/>
    <n v="28.633085999999999"/>
    <n v="2"/>
    <x v="2"/>
    <n v="58042.13"/>
    <n v="27221.75"/>
    <n v="0"/>
    <m/>
    <s v="74111706307"/>
    <n v="58042.125"/>
    <n v="0"/>
    <n v="77832"/>
  </r>
  <r>
    <x v="12"/>
    <m/>
    <s v="Hareskov Hallen, Måne 8"/>
    <n v="10324"/>
    <m/>
    <s v="Hareskov Hallen"/>
    <x v="76"/>
    <x v="0"/>
    <x v="4"/>
    <n v="83685.899999999994"/>
    <n v="12"/>
    <m/>
    <n v="0"/>
    <n v="2027"/>
    <n v="41.283557000000002"/>
    <n v="2"/>
    <x v="2"/>
    <n v="83685.899999999994"/>
    <n v="39248.69"/>
    <n v="0"/>
    <m/>
    <s v="74111706307"/>
    <n v="83685.907999999996"/>
    <n v="0"/>
    <n v="77832"/>
  </r>
  <r>
    <x v="12"/>
    <m/>
    <s v="Hareskov Hallen, Måne 8"/>
    <n v="10324"/>
    <m/>
    <s v="Hareskov Hallen"/>
    <x v="76"/>
    <x v="0"/>
    <x v="5"/>
    <n v="84893.1"/>
    <n v="12"/>
    <m/>
    <n v="0"/>
    <n v="2027"/>
    <n v="41.879088000000003"/>
    <n v="2"/>
    <x v="2"/>
    <n v="84893.1"/>
    <n v="39814.870000000003"/>
    <n v="0"/>
    <m/>
    <s v="74111706307"/>
    <n v="84893.099000000002"/>
    <n v="0"/>
    <n v="77832"/>
  </r>
  <r>
    <x v="12"/>
    <m/>
    <s v="Hareskov Hallen, Måne 8"/>
    <n v="10324"/>
    <m/>
    <s v="Hareskov Hallen"/>
    <x v="76"/>
    <x v="0"/>
    <x v="6"/>
    <n v="27368.25"/>
    <n v="4"/>
    <s v="2008-04-22"/>
    <n v="0"/>
    <n v="2027"/>
    <n v="13.501182999999999"/>
    <n v="2"/>
    <x v="2"/>
    <n v="27368.25"/>
    <n v="12835.7"/>
    <n v="0"/>
    <s v="655315"/>
    <m/>
    <n v="27368.25806"/>
    <n v="0"/>
    <n v="77896"/>
  </r>
  <r>
    <x v="12"/>
    <m/>
    <s v="Hareskov Hallen, Måne 8"/>
    <n v="10324"/>
    <m/>
    <s v="Hareskov Hallen"/>
    <x v="76"/>
    <x v="0"/>
    <x v="6"/>
    <n v="54714.400000000001"/>
    <n v="12"/>
    <m/>
    <n v="0"/>
    <n v="2027"/>
    <n v="26.991465000000002"/>
    <n v="2"/>
    <x v="2"/>
    <n v="54714.400000000001"/>
    <n v="25661.05"/>
    <n v="0"/>
    <m/>
    <s v="74111706307"/>
    <n v="54714.377999999997"/>
    <n v="0"/>
    <n v="77832"/>
  </r>
  <r>
    <x v="12"/>
    <m/>
    <s v="Søndersøhallen, KV50"/>
    <n v="9521"/>
    <m/>
    <s v="Søndersøhallen"/>
    <x v="77"/>
    <x v="0"/>
    <x v="7"/>
    <n v="94992.66"/>
    <n v="12"/>
    <m/>
    <n v="0"/>
    <n v="2433"/>
    <n v="39.041823000000001"/>
    <n v="2"/>
    <x v="2"/>
    <m/>
    <n v="28497.79"/>
    <n v="0"/>
    <s v="BI 0150323"/>
    <s v="Bimåler"/>
    <n v="94992.683000000005"/>
    <n v="0"/>
    <n v="74443"/>
  </r>
  <r>
    <x v="12"/>
    <m/>
    <s v="Værløsehallerne, Stiager 8"/>
    <n v="10229"/>
    <m/>
    <s v="Cafeterie"/>
    <x v="78"/>
    <x v="0"/>
    <x v="7"/>
    <n v="25884.57"/>
    <n v="12"/>
    <s v="2015-04-30"/>
    <n v="0"/>
    <n v="0"/>
    <n v="258845.7"/>
    <n v="2"/>
    <x v="2"/>
    <m/>
    <n v="12139.86"/>
    <n v="1"/>
    <m/>
    <m/>
    <n v="25884.558799999999"/>
    <n v="0"/>
    <n v="77492"/>
  </r>
  <r>
    <x v="12"/>
    <m/>
    <s v="Søndersøhallen, KV50"/>
    <n v="9521"/>
    <m/>
    <s v="Søndersøhallen"/>
    <x v="77"/>
    <x v="0"/>
    <x v="2"/>
    <n v="91579.44"/>
    <n v="12"/>
    <m/>
    <n v="0"/>
    <n v="2433"/>
    <n v="37.638995000000001"/>
    <n v="2"/>
    <x v="2"/>
    <n v="91579.44"/>
    <n v="36631.79"/>
    <n v="0"/>
    <s v="BI 0150323"/>
    <s v="Bimåler"/>
    <n v="91579.432000000001"/>
    <n v="0"/>
    <n v="74443"/>
  </r>
  <r>
    <x v="12"/>
    <m/>
    <s v="Søndersøhallen, KV50"/>
    <n v="9521"/>
    <m/>
    <s v="Søndersøhallen"/>
    <x v="77"/>
    <x v="0"/>
    <x v="3"/>
    <n v="99991.62"/>
    <n v="12"/>
    <m/>
    <n v="0"/>
    <n v="2433"/>
    <n v="41.096387"/>
    <n v="2"/>
    <x v="2"/>
    <n v="99991.62"/>
    <n v="46896.08"/>
    <n v="0"/>
    <s v="BI 0150323"/>
    <s v="Bimåler"/>
    <n v="99991.626999999993"/>
    <n v="0"/>
    <n v="74443"/>
  </r>
  <r>
    <x v="12"/>
    <m/>
    <s v="Søndersøhallen, KV50"/>
    <n v="9521"/>
    <m/>
    <s v="Søndersøhallen"/>
    <x v="77"/>
    <x v="0"/>
    <x v="4"/>
    <n v="96310.02"/>
    <n v="12"/>
    <m/>
    <n v="0"/>
    <n v="2433"/>
    <n v="39.583255000000001"/>
    <n v="2"/>
    <x v="2"/>
    <n v="96310.02"/>
    <n v="45169.4"/>
    <n v="0"/>
    <s v="BI 0150323"/>
    <s v="Bimåler"/>
    <n v="96310.028999999995"/>
    <n v="0"/>
    <n v="74443"/>
  </r>
  <r>
    <x v="12"/>
    <m/>
    <s v="Søndersøhallen, KV50"/>
    <n v="9521"/>
    <m/>
    <s v="Søndersøhallen"/>
    <x v="77"/>
    <x v="0"/>
    <x v="5"/>
    <n v="97723.77"/>
    <n v="12"/>
    <m/>
    <n v="0"/>
    <n v="2433"/>
    <n v="40.164304000000001"/>
    <n v="2"/>
    <x v="2"/>
    <n v="97723.77"/>
    <n v="45832.45"/>
    <n v="0"/>
    <s v="BI 0150323"/>
    <s v="Bimåler"/>
    <n v="97723.778000000006"/>
    <n v="0"/>
    <n v="74443"/>
  </r>
  <r>
    <x v="12"/>
    <m/>
    <s v="Søndersøhallen, KV50"/>
    <n v="9521"/>
    <m/>
    <s v="Søndersøhallen"/>
    <x v="77"/>
    <x v="0"/>
    <x v="6"/>
    <n v="85182.67"/>
    <n v="12"/>
    <m/>
    <n v="0"/>
    <n v="2433"/>
    <n v="35.009932999999997"/>
    <n v="2"/>
    <x v="2"/>
    <n v="85182.67"/>
    <n v="39950.65"/>
    <n v="0"/>
    <s v="BI 0150323"/>
    <s v="Bimåler"/>
    <n v="85182.642000000007"/>
    <n v="0"/>
    <n v="74443"/>
  </r>
  <r>
    <x v="12"/>
    <m/>
    <s v="Værløsehallerne, Stiager 8"/>
    <n v="9522"/>
    <m/>
    <s v="Værløse hal Ny hal"/>
    <x v="78"/>
    <x v="0"/>
    <x v="7"/>
    <n v="306624.67"/>
    <n v="12"/>
    <m/>
    <n v="0"/>
    <n v="5224"/>
    <n v="58.694257"/>
    <n v="2"/>
    <x v="2"/>
    <m/>
    <n v="91987.41"/>
    <n v="0"/>
    <m/>
    <s v="5713131 74112209302"/>
    <n v="306624.67"/>
    <n v="0"/>
    <n v="74447"/>
  </r>
  <r>
    <x v="12"/>
    <s v="03953-5"/>
    <s v="Farum Arena, STA41"/>
    <n v="5467"/>
    <m/>
    <s v="Farum Hallen"/>
    <x v="75"/>
    <x v="0"/>
    <x v="0"/>
    <n v="246658"/>
    <n v="5"/>
    <s v="2005-11-30"/>
    <n v="0"/>
    <n v="6415"/>
    <n v="18.039438000000001"/>
    <n v="2"/>
    <x v="2"/>
    <m/>
    <n v="46289.919999999998"/>
    <n v="0"/>
    <s v="741607  FH"/>
    <s v="5713131 74120010389"/>
    <n v="115724.8"/>
    <n v="0"/>
    <n v="57798"/>
  </r>
  <r>
    <x v="12"/>
    <m/>
    <s v="Værløsehallerne, Stiager 8"/>
    <n v="10229"/>
    <m/>
    <s v="Cafeterie"/>
    <x v="78"/>
    <x v="0"/>
    <x v="2"/>
    <n v="25936.36"/>
    <n v="10"/>
    <s v="2015-04-30"/>
    <n v="0"/>
    <n v="0"/>
    <n v="259363.6"/>
    <n v="2"/>
    <x v="2"/>
    <n v="25936.36"/>
    <n v="12164.15"/>
    <n v="1"/>
    <m/>
    <m/>
    <n v="25936.36363"/>
    <n v="0"/>
    <n v="77492"/>
  </r>
  <r>
    <x v="12"/>
    <m/>
    <s v="Værløsehallerne, Stiager 8"/>
    <n v="10229"/>
    <m/>
    <s v="Cafeterie"/>
    <x v="78"/>
    <x v="0"/>
    <x v="3"/>
    <n v="33541.129999999997"/>
    <n v="11"/>
    <s v="2015-04-30"/>
    <n v="0"/>
    <n v="0"/>
    <n v="335411.3"/>
    <n v="2"/>
    <x v="2"/>
    <n v="33541.129999999997"/>
    <n v="15730.79"/>
    <n v="1"/>
    <m/>
    <m/>
    <n v="33541.125540000001"/>
    <n v="0"/>
    <n v="77492"/>
  </r>
  <r>
    <x v="12"/>
    <m/>
    <s v="Værløsehallerne, Stiager 8"/>
    <n v="10229"/>
    <m/>
    <s v="Cafeterie"/>
    <x v="78"/>
    <x v="0"/>
    <x v="4"/>
    <n v="27395.68"/>
    <n v="12"/>
    <s v="2015-04-30"/>
    <n v="0"/>
    <n v="0"/>
    <n v="273956.8"/>
    <n v="2"/>
    <x v="2"/>
    <n v="27395.68"/>
    <n v="12848.57"/>
    <n v="1"/>
    <m/>
    <m/>
    <n v="27395.66819"/>
    <n v="0"/>
    <n v="77492"/>
  </r>
  <r>
    <x v="12"/>
    <m/>
    <s v="Værløsehallerne, Stiager 8"/>
    <n v="10229"/>
    <m/>
    <s v="Cafeterie"/>
    <x v="78"/>
    <x v="0"/>
    <x v="5"/>
    <n v="30540.720000000001"/>
    <n v="11"/>
    <s v="2015-04-30"/>
    <n v="0"/>
    <n v="0"/>
    <n v="305407.2"/>
    <n v="2"/>
    <x v="2"/>
    <n v="30540.720000000001"/>
    <n v="14323.6"/>
    <n v="1"/>
    <m/>
    <m/>
    <n v="30540.726760000001"/>
    <n v="0"/>
    <n v="77492"/>
  </r>
  <r>
    <x v="12"/>
    <m/>
    <s v="Værløsehallerne, Stiager 8"/>
    <n v="10229"/>
    <m/>
    <s v="Cafeterie"/>
    <x v="78"/>
    <x v="0"/>
    <x v="6"/>
    <n v="30080.240000000002"/>
    <n v="11"/>
    <s v="2015-04-30"/>
    <n v="0"/>
    <n v="0"/>
    <n v="300802.40000000002"/>
    <n v="2"/>
    <x v="2"/>
    <n v="30080.240000000002"/>
    <n v="14107.64"/>
    <n v="1"/>
    <m/>
    <m/>
    <n v="30080.240989999998"/>
    <n v="0"/>
    <n v="77492"/>
  </r>
  <r>
    <x v="12"/>
    <s v="03953-5"/>
    <s v="Farum Arena, STA41"/>
    <n v="14135"/>
    <s v="0"/>
    <s v="Stavnsholthallen"/>
    <x v="75"/>
    <x v="0"/>
    <x v="0"/>
    <n v="111366"/>
    <n v="5"/>
    <s v="2005-11-30"/>
    <n v="0"/>
    <n v="3594"/>
    <n v="13.103152"/>
    <n v="2"/>
    <x v="2"/>
    <m/>
    <n v="18837.62"/>
    <n v="0"/>
    <s v="1129204 STH"/>
    <s v="74120010297"/>
    <n v="47094.044999999998"/>
    <n v="0"/>
    <n v="57799"/>
  </r>
  <r>
    <x v="12"/>
    <m/>
    <s v="Hareskov Hallen, Måne 8"/>
    <n v="10324"/>
    <m/>
    <s v="Hareskov Hallen"/>
    <x v="76"/>
    <x v="0"/>
    <x v="0"/>
    <n v="43413"/>
    <n v="5"/>
    <m/>
    <n v="0"/>
    <n v="2027"/>
    <n v="10.401035"/>
    <n v="2"/>
    <x v="2"/>
    <m/>
    <n v="6325.18"/>
    <n v="0"/>
    <m/>
    <s v="74111706307"/>
    <n v="21083.938999999998"/>
    <n v="0"/>
    <n v="77832"/>
  </r>
  <r>
    <x v="12"/>
    <m/>
    <s v="Værløsehallerne, Stiager 8"/>
    <n v="9522"/>
    <m/>
    <s v="Værløse hal Ny hal"/>
    <x v="78"/>
    <x v="0"/>
    <x v="2"/>
    <n v="327708.12"/>
    <n v="12"/>
    <m/>
    <n v="0"/>
    <n v="5224"/>
    <n v="62.730061999999997"/>
    <n v="2"/>
    <x v="2"/>
    <n v="327708.12"/>
    <n v="131083.25"/>
    <n v="0"/>
    <m/>
    <s v="5713131 74112209302"/>
    <n v="327708.12"/>
    <n v="0"/>
    <n v="74447"/>
  </r>
  <r>
    <x v="12"/>
    <m/>
    <s v="Værløsehallerne, Stiager 8"/>
    <n v="9522"/>
    <m/>
    <s v="Værløse hal Ny hal"/>
    <x v="78"/>
    <x v="0"/>
    <x v="3"/>
    <n v="338978.55"/>
    <n v="12"/>
    <m/>
    <n v="0"/>
    <n v="5224"/>
    <n v="64.887454000000005"/>
    <n v="2"/>
    <x v="2"/>
    <n v="338978.55"/>
    <n v="158980.94"/>
    <n v="0"/>
    <m/>
    <s v="5713131 74112209302"/>
    <n v="338978.55"/>
    <n v="0"/>
    <n v="74447"/>
  </r>
  <r>
    <x v="12"/>
    <m/>
    <s v="Værløsehallerne, Stiager 8"/>
    <n v="9522"/>
    <m/>
    <s v="Værløse hal Ny hal"/>
    <x v="78"/>
    <x v="0"/>
    <x v="4"/>
    <n v="339281.68"/>
    <n v="12"/>
    <m/>
    <n v="0"/>
    <n v="5224"/>
    <n v="64.945479000000006"/>
    <n v="2"/>
    <x v="2"/>
    <n v="339281.68"/>
    <n v="159123.12"/>
    <n v="0"/>
    <m/>
    <s v="5713131 74112209302"/>
    <n v="339281.68"/>
    <n v="0"/>
    <n v="74447"/>
  </r>
  <r>
    <x v="12"/>
    <m/>
    <s v="Værløsehallerne, Stiager 8"/>
    <n v="9522"/>
    <m/>
    <s v="Værløse hal Ny hal"/>
    <x v="78"/>
    <x v="0"/>
    <x v="5"/>
    <n v="331983.65999999997"/>
    <n v="12"/>
    <m/>
    <n v="0"/>
    <n v="5224"/>
    <n v="63.548487999999999"/>
    <n v="2"/>
    <x v="2"/>
    <n v="331983.65999999997"/>
    <n v="155700.34"/>
    <n v="0"/>
    <m/>
    <s v="5713131 74112209302"/>
    <n v="331983.65999999997"/>
    <n v="0"/>
    <n v="74447"/>
  </r>
  <r>
    <x v="12"/>
    <m/>
    <s v="Værløsehallerne, Stiager 8"/>
    <n v="9522"/>
    <m/>
    <s v="Værløse hal Ny hal"/>
    <x v="78"/>
    <x v="0"/>
    <x v="6"/>
    <n v="327838.34999999998"/>
    <n v="12"/>
    <m/>
    <n v="0"/>
    <n v="5224"/>
    <n v="62.754990999999997"/>
    <n v="2"/>
    <x v="2"/>
    <n v="327838.34999999998"/>
    <n v="153756.19"/>
    <n v="0"/>
    <m/>
    <s v="5713131 74112209302"/>
    <n v="327838.34999999998"/>
    <n v="0"/>
    <n v="74447"/>
  </r>
  <r>
    <x v="12"/>
    <m/>
    <s v="Søndersøhallen, KV50"/>
    <n v="9521"/>
    <m/>
    <s v="Søndersøhallen"/>
    <x v="77"/>
    <x v="1"/>
    <x v="7"/>
    <n v="218564.91"/>
    <n v="12"/>
    <m/>
    <n v="0"/>
    <n v="2433"/>
    <n v="89.829808999999997"/>
    <n v="1"/>
    <x v="3"/>
    <n v="218564.91"/>
    <n v="400.92"/>
    <n v="1"/>
    <m/>
    <m/>
    <n v="6264.3995999999997"/>
    <n v="74445"/>
    <n v="74446"/>
  </r>
  <r>
    <x v="12"/>
    <m/>
    <s v="Søndersøhallen, KV50"/>
    <n v="9521"/>
    <m/>
    <s v="Søndersøhallen"/>
    <x v="77"/>
    <x v="0"/>
    <x v="7"/>
    <n v="554.64"/>
    <n v="12"/>
    <m/>
    <n v="0"/>
    <n v="2433"/>
    <n v="0.22795599999999999"/>
    <n v="3"/>
    <x v="0"/>
    <n v="554.64"/>
    <n v="443.7"/>
    <n v="0"/>
    <s v="BVK"/>
    <m/>
    <n v="554.62400000000002"/>
    <n v="0"/>
    <n v="74442"/>
  </r>
  <r>
    <x v="12"/>
    <m/>
    <s v="Søndersøhallen, KV50"/>
    <n v="9521"/>
    <m/>
    <s v="Søndersøhallen"/>
    <x v="77"/>
    <x v="0"/>
    <x v="7"/>
    <n v="184.52"/>
    <n v="12"/>
    <m/>
    <n v="0"/>
    <n v="2433"/>
    <n v="7.5837000000000002E-2"/>
    <n v="3"/>
    <x v="0"/>
    <n v="184.52"/>
    <n v="0"/>
    <n v="1"/>
    <s v="BVV"/>
    <m/>
    <n v="184.52"/>
    <n v="0"/>
    <n v="74444"/>
  </r>
  <r>
    <x v="12"/>
    <m/>
    <s v="Søndersøhallen, KV50"/>
    <n v="9521"/>
    <m/>
    <s v="Søndersøhallen"/>
    <x v="77"/>
    <x v="0"/>
    <x v="7"/>
    <n v="193940"/>
    <n v="12"/>
    <m/>
    <n v="0"/>
    <n v="2433"/>
    <n v="79.709012999999999"/>
    <n v="1"/>
    <x v="1"/>
    <n v="228247.22"/>
    <n v="14607.8"/>
    <n v="0"/>
    <m/>
    <m/>
    <n v="193940"/>
    <n v="0"/>
    <n v="74445"/>
  </r>
  <r>
    <x v="12"/>
    <m/>
    <s v="Søndersøhallen, KV50"/>
    <n v="9521"/>
    <m/>
    <s v="Søndersøhallen"/>
    <x v="77"/>
    <x v="0"/>
    <x v="0"/>
    <n v="85506"/>
    <n v="4"/>
    <m/>
    <n v="0"/>
    <n v="2433"/>
    <n v="12.638305000000001"/>
    <n v="2"/>
    <x v="2"/>
    <m/>
    <n v="9225.08"/>
    <n v="0"/>
    <s v="BI 0150323"/>
    <s v="Bimåler"/>
    <n v="30750.26"/>
    <n v="0"/>
    <n v="74443"/>
  </r>
  <r>
    <x v="12"/>
    <m/>
    <s v="Værløsehallerne, Stiager 8"/>
    <n v="9523"/>
    <m/>
    <s v="Værløse gl. hal"/>
    <x v="78"/>
    <x v="1"/>
    <x v="7"/>
    <n v="67260.929999999993"/>
    <n v="12"/>
    <m/>
    <n v="0"/>
    <n v="2103"/>
    <n v="31.981802999999999"/>
    <n v="1"/>
    <x v="3"/>
    <n v="79476.509999999995"/>
    <n v="145.80000000000001"/>
    <n v="1"/>
    <m/>
    <m/>
    <n v="1927.8"/>
    <n v="74453"/>
    <n v="74454"/>
  </r>
  <r>
    <x v="12"/>
    <m/>
    <s v="Værløsehallerne, Stiager 8"/>
    <n v="9522"/>
    <m/>
    <s v="Værløse hal Ny hal"/>
    <x v="78"/>
    <x v="1"/>
    <x v="7"/>
    <n v="271744.24"/>
    <n v="12"/>
    <m/>
    <n v="0"/>
    <n v="5224"/>
    <n v="52.017426"/>
    <n v="1"/>
    <x v="3"/>
    <n v="317076.78000000003"/>
    <n v="581.63"/>
    <n v="1"/>
    <m/>
    <m/>
    <n v="7788.6"/>
    <n v="74449"/>
    <n v="74450"/>
  </r>
  <r>
    <x v="12"/>
    <m/>
    <s v="Værløsehallerne, Stiager 8"/>
    <n v="9523"/>
    <m/>
    <s v="Værløse gl. hal"/>
    <x v="78"/>
    <x v="0"/>
    <x v="7"/>
    <n v="378.95"/>
    <n v="12"/>
    <m/>
    <n v="0"/>
    <n v="2103"/>
    <n v="0.18018600000000001"/>
    <n v="3"/>
    <x v="0"/>
    <n v="378.95"/>
    <n v="303.16000000000003"/>
    <n v="0"/>
    <m/>
    <m/>
    <n v="378.94200000000001"/>
    <n v="0"/>
    <n v="74452"/>
  </r>
  <r>
    <x v="12"/>
    <m/>
    <s v="Værløsehallerne, Stiager 8"/>
    <n v="9522"/>
    <m/>
    <s v="Værløse hal Ny hal"/>
    <x v="78"/>
    <x v="0"/>
    <x v="7"/>
    <n v="1377.06"/>
    <n v="12"/>
    <m/>
    <n v="0"/>
    <n v="5224"/>
    <n v="0.26359700000000003"/>
    <n v="3"/>
    <x v="0"/>
    <n v="1377.06"/>
    <n v="1101.6500000000001"/>
    <n v="0"/>
    <m/>
    <m/>
    <n v="1377.0609999999999"/>
    <n v="0"/>
    <n v="74448"/>
  </r>
  <r>
    <x v="12"/>
    <m/>
    <s v="Værløsehallerne, Stiager 8"/>
    <n v="9522"/>
    <m/>
    <s v="Værløse hal Ny hal"/>
    <x v="78"/>
    <x v="0"/>
    <x v="7"/>
    <n v="712.56"/>
    <n v="12"/>
    <m/>
    <n v="0"/>
    <n v="5224"/>
    <n v="0.13639799999999999"/>
    <n v="3"/>
    <x v="0"/>
    <n v="712.56"/>
    <n v="0"/>
    <n v="1"/>
    <s v="BVV"/>
    <m/>
    <n v="712.55399999999997"/>
    <n v="0"/>
    <n v="74455"/>
  </r>
  <r>
    <x v="12"/>
    <m/>
    <s v="Værløsehallerne, Stiager 8"/>
    <n v="9523"/>
    <m/>
    <s v="Værløse gl. hal"/>
    <x v="78"/>
    <x v="0"/>
    <x v="7"/>
    <n v="58620"/>
    <n v="12"/>
    <m/>
    <n v="0"/>
    <n v="2103"/>
    <n v="27.873138999999998"/>
    <n v="1"/>
    <x v="1"/>
    <n v="69739.88"/>
    <n v="4463.3500000000004"/>
    <n v="0"/>
    <s v="4080353"/>
    <m/>
    <n v="58620"/>
    <n v="0"/>
    <n v="74453"/>
  </r>
  <r>
    <x v="12"/>
    <m/>
    <s v="Værløsehallerne, Stiager 8"/>
    <n v="9522"/>
    <m/>
    <s v="Værløse hal Ny hal"/>
    <x v="78"/>
    <x v="0"/>
    <x v="7"/>
    <n v="238560"/>
    <n v="12"/>
    <m/>
    <n v="0"/>
    <n v="5224"/>
    <n v="45.665281999999998"/>
    <n v="1"/>
    <x v="1"/>
    <n v="282000.46999999997"/>
    <n v="18048.02"/>
    <n v="0"/>
    <m/>
    <m/>
    <n v="238560"/>
    <n v="0"/>
    <n v="74449"/>
  </r>
  <r>
    <x v="12"/>
    <m/>
    <s v="Værløsehallerne, Stiager 8"/>
    <n v="10229"/>
    <m/>
    <s v="Cafeterie"/>
    <x v="78"/>
    <x v="0"/>
    <x v="0"/>
    <n v="0"/>
    <n v="4"/>
    <s v="2015-04-30"/>
    <n v="0"/>
    <n v="0"/>
    <n v="90529.4"/>
    <n v="2"/>
    <x v="2"/>
    <m/>
    <n v="4245.83"/>
    <n v="1"/>
    <m/>
    <m/>
    <n v="9052.9411700000001"/>
    <n v="0"/>
    <n v="77492"/>
  </r>
  <r>
    <x v="12"/>
    <m/>
    <s v="Værløsehallerne, Stiager 8"/>
    <n v="9522"/>
    <m/>
    <s v="Værløse hal Ny hal"/>
    <x v="78"/>
    <x v="0"/>
    <x v="0"/>
    <n v="298927"/>
    <n v="5"/>
    <m/>
    <n v="0"/>
    <n v="5224"/>
    <n v="27.089464"/>
    <n v="2"/>
    <x v="2"/>
    <m/>
    <n v="42455.42"/>
    <n v="0"/>
    <m/>
    <s v="5713131 74112209302"/>
    <n v="141518.07"/>
    <n v="0"/>
    <n v="74447"/>
  </r>
  <r>
    <x v="9"/>
    <s v="???????"/>
    <s v="Australsk Fodbold, Hvile 3A"/>
    <n v="6354"/>
    <m/>
    <s v="Australsk Fodbold"/>
    <x v="79"/>
    <x v="0"/>
    <x v="7"/>
    <n v="165.13"/>
    <n v="12"/>
    <s v="2011-11-30"/>
    <n v="0"/>
    <n v="196"/>
    <n v="0.84206999999999999"/>
    <n v="3"/>
    <x v="0"/>
    <n v="165.13"/>
    <n v="132.11000000000001"/>
    <n v="0"/>
    <s v="99600614"/>
    <m/>
    <n v="165.13900000000001"/>
    <n v="0"/>
    <n v="62637"/>
  </r>
  <r>
    <x v="9"/>
    <s v="???????"/>
    <s v="Australsk Fodbold, Hvile 3A"/>
    <n v="6354"/>
    <m/>
    <s v="Australsk Fodbold"/>
    <x v="79"/>
    <x v="0"/>
    <x v="7"/>
    <n v="6491.44"/>
    <n v="12"/>
    <s v="2011-12-01"/>
    <n v="0"/>
    <n v="196"/>
    <n v="33.102702000000001"/>
    <n v="2"/>
    <x v="2"/>
    <n v="6491.44"/>
    <n v="2596.58"/>
    <n v="0"/>
    <s v="4118048"/>
    <s v="74111477924"/>
    <n v="6491.4440000000004"/>
    <n v="0"/>
    <n v="62635"/>
  </r>
  <r>
    <x v="9"/>
    <s v="???????"/>
    <s v="Australsk Fodbold, Hvile 3A"/>
    <n v="6354"/>
    <m/>
    <s v="Australsk Fodbold"/>
    <x v="79"/>
    <x v="0"/>
    <x v="7"/>
    <n v="6864"/>
    <n v="12"/>
    <s v="2012-01-25"/>
    <n v="0"/>
    <n v="196"/>
    <n v="35.002549000000002"/>
    <n v="1"/>
    <x v="5"/>
    <n v="8260.4"/>
    <n v="528.67999999999995"/>
    <n v="0"/>
    <s v="6637874"/>
    <m/>
    <n v="6.8639999999999999"/>
    <n v="0"/>
    <n v="62636"/>
  </r>
  <r>
    <x v="9"/>
    <m/>
    <s v="Bådudlejningen - Fiskerhytten"/>
    <n v="12292"/>
    <s v="0"/>
    <s v="Bådudlejningen - Fiskerhytten"/>
    <x v="80"/>
    <x v="0"/>
    <x v="7"/>
    <n v="6.26"/>
    <n v="4"/>
    <s v="2014-11-10"/>
    <n v="0"/>
    <n v="68"/>
    <n v="9.1923000000000005E-2"/>
    <n v="3"/>
    <x v="0"/>
    <n v="6.26"/>
    <n v="4.99"/>
    <n v="0"/>
    <m/>
    <m/>
    <n v="6.2610900000000003"/>
    <n v="0"/>
    <n v="84120"/>
  </r>
  <r>
    <x v="9"/>
    <m/>
    <s v="Bådudlejningen - Fiskerhytten"/>
    <n v="12292"/>
    <s v="0"/>
    <s v="Bådudlejningen - Fiskerhytten"/>
    <x v="80"/>
    <x v="0"/>
    <x v="7"/>
    <n v="7821.76"/>
    <n v="12"/>
    <s v="2013-12-31"/>
    <n v="0"/>
    <n v="68"/>
    <n v="114.85697500000001"/>
    <n v="2"/>
    <x v="2"/>
    <n v="7821.76"/>
    <n v="2346.5300000000002"/>
    <n v="0"/>
    <s v="4036591"/>
    <s v="74111473544"/>
    <n v="7821.7610000000004"/>
    <n v="0"/>
    <n v="84119"/>
  </r>
  <r>
    <x v="9"/>
    <m/>
    <s v="Det Røde Hus, Poppel 14"/>
    <n v="10231"/>
    <m/>
    <s v="Det Røde Hus"/>
    <x v="81"/>
    <x v="0"/>
    <x v="7"/>
    <n v="196.2"/>
    <n v="12"/>
    <s v="2011-10-31"/>
    <n v="0"/>
    <n v="449"/>
    <n v="0.43687300000000001"/>
    <n v="3"/>
    <x v="0"/>
    <n v="196.2"/>
    <n v="156.96"/>
    <n v="0"/>
    <s v="42052"/>
    <m/>
    <n v="196.2"/>
    <n v="0"/>
    <n v="77507"/>
  </r>
  <r>
    <x v="9"/>
    <m/>
    <s v="Det Røde Hus, Poppel 14"/>
    <n v="10231"/>
    <m/>
    <s v="Det Røde Hus"/>
    <x v="81"/>
    <x v="0"/>
    <x v="7"/>
    <n v="5946.13"/>
    <n v="12"/>
    <s v="2011-10-31"/>
    <n v="0"/>
    <n v="449"/>
    <n v="13.240102"/>
    <n v="2"/>
    <x v="2"/>
    <n v="5946.13"/>
    <n v="1783.84"/>
    <n v="0"/>
    <s v="1096167"/>
    <s v="74110490658"/>
    <n v="5946.1270000000004"/>
    <n v="0"/>
    <n v="77506"/>
  </r>
  <r>
    <x v="9"/>
    <m/>
    <s v="Det Røde Hus, Poppel 14"/>
    <n v="10231"/>
    <m/>
    <s v="Det Røde Hus"/>
    <x v="81"/>
    <x v="0"/>
    <x v="7"/>
    <n v="48998"/>
    <n v="12"/>
    <s v="2011-10-31"/>
    <n v="0"/>
    <n v="449"/>
    <n v="109.102649"/>
    <n v="1"/>
    <x v="5"/>
    <n v="59305.27"/>
    <n v="3795.54"/>
    <n v="0"/>
    <s v="2772362/06"/>
    <m/>
    <n v="48.997999999999998"/>
    <n v="0"/>
    <n v="77513"/>
  </r>
  <r>
    <x v="9"/>
    <s v="???????"/>
    <s v="Australsk Fodbold, Hvile 3A"/>
    <n v="6354"/>
    <m/>
    <s v="Australsk Fodbold"/>
    <x v="79"/>
    <x v="0"/>
    <x v="0"/>
    <n v="231"/>
    <n v="5"/>
    <s v="2011-11-30"/>
    <n v="0"/>
    <n v="196"/>
    <n v="0.52590499999999996"/>
    <n v="3"/>
    <x v="0"/>
    <n v="103.13"/>
    <n v="82.51"/>
    <n v="0"/>
    <s v="99600614"/>
    <m/>
    <n v="103.13200000000001"/>
    <n v="0"/>
    <n v="62637"/>
  </r>
  <r>
    <x v="9"/>
    <m/>
    <s v="Det Røde Hus, Poppel 14"/>
    <n v="10231"/>
    <m/>
    <s v="Det Røde Hus"/>
    <x v="81"/>
    <x v="1"/>
    <x v="7"/>
    <n v="60667.44"/>
    <n v="12"/>
    <m/>
    <n v="0"/>
    <n v="449"/>
    <n v="135.08670599999999"/>
    <n v="1"/>
    <x v="3"/>
    <n v="71586.8"/>
    <n v="9007.32"/>
    <n v="1"/>
    <s v="2772362"/>
    <m/>
    <n v="1738.82"/>
    <n v="0"/>
    <n v="89939"/>
  </r>
  <r>
    <x v="9"/>
    <s v="???????"/>
    <s v="Australsk Fodbold, Hvile 3A"/>
    <n v="6354"/>
    <m/>
    <s v="Australsk Fodbold"/>
    <x v="79"/>
    <x v="0"/>
    <x v="1"/>
    <n v="132.51"/>
    <n v="12"/>
    <s v="2011-11-30"/>
    <n v="0"/>
    <n v="196"/>
    <n v="0.67572600000000005"/>
    <n v="3"/>
    <x v="0"/>
    <n v="132.51"/>
    <n v="106.01"/>
    <n v="0"/>
    <s v="99600614"/>
    <m/>
    <n v="132.52699999999999"/>
    <n v="0"/>
    <n v="62637"/>
  </r>
  <r>
    <x v="9"/>
    <s v="???????"/>
    <s v="Australsk Fodbold, Hvile 3A"/>
    <n v="6354"/>
    <m/>
    <s v="Australsk Fodbold"/>
    <x v="79"/>
    <x v="0"/>
    <x v="2"/>
    <n v="142.87"/>
    <n v="12"/>
    <s v="2011-11-30"/>
    <n v="0"/>
    <n v="196"/>
    <n v="0.72855599999999998"/>
    <n v="3"/>
    <x v="0"/>
    <n v="142.87"/>
    <n v="114.28"/>
    <n v="0"/>
    <s v="99600614"/>
    <m/>
    <n v="142.86699999999999"/>
    <n v="0"/>
    <n v="62637"/>
  </r>
  <r>
    <x v="9"/>
    <s v="???????"/>
    <s v="Australsk Fodbold, Hvile 3A"/>
    <n v="6354"/>
    <m/>
    <s v="Australsk Fodbold"/>
    <x v="79"/>
    <x v="0"/>
    <x v="3"/>
    <n v="139.79"/>
    <n v="10"/>
    <s v="2011-11-30"/>
    <n v="0"/>
    <n v="196"/>
    <n v="0.71284999999999998"/>
    <n v="3"/>
    <x v="0"/>
    <n v="139.79"/>
    <n v="111.82"/>
    <n v="0"/>
    <s v="99600614"/>
    <m/>
    <n v="139.76883000000001"/>
    <n v="0"/>
    <n v="62637"/>
  </r>
  <r>
    <x v="9"/>
    <s v="???????"/>
    <s v="Australsk Fodbold, Hvile 3A"/>
    <n v="6354"/>
    <m/>
    <s v="Australsk Fodbold"/>
    <x v="79"/>
    <x v="0"/>
    <x v="4"/>
    <n v="263.42"/>
    <n v="4"/>
    <s v="2011-11-30"/>
    <n v="0"/>
    <n v="196"/>
    <n v="1.343294"/>
    <n v="3"/>
    <x v="0"/>
    <n v="263.42"/>
    <n v="210.74"/>
    <n v="0"/>
    <s v="99600614"/>
    <m/>
    <n v="263.43248"/>
    <n v="0"/>
    <n v="62637"/>
  </r>
  <r>
    <x v="9"/>
    <s v="???????"/>
    <s v="Australsk Fodbold, Hvile 3A"/>
    <n v="6354"/>
    <m/>
    <s v="Australsk Fodbold"/>
    <x v="79"/>
    <x v="0"/>
    <x v="5"/>
    <n v="235.3"/>
    <n v="6"/>
    <s v="2011-11-30"/>
    <n v="0"/>
    <n v="196"/>
    <n v="1.1998979999999999"/>
    <n v="3"/>
    <x v="0"/>
    <n v="235.3"/>
    <n v="188.21"/>
    <n v="0"/>
    <s v="99600614"/>
    <m/>
    <n v="235.28996000000001"/>
    <n v="0"/>
    <n v="62637"/>
  </r>
  <r>
    <x v="9"/>
    <s v="???????"/>
    <s v="Australsk Fodbold, Hvile 3A"/>
    <n v="6354"/>
    <m/>
    <s v="Australsk Fodbold"/>
    <x v="79"/>
    <x v="0"/>
    <x v="6"/>
    <n v="99.23"/>
    <n v="12"/>
    <s v="2011-11-30"/>
    <n v="0"/>
    <n v="196"/>
    <n v="0.50601700000000005"/>
    <n v="3"/>
    <x v="0"/>
    <n v="99.23"/>
    <n v="79.36"/>
    <n v="0"/>
    <s v="99600614"/>
    <m/>
    <n v="99.218739999999997"/>
    <n v="0"/>
    <n v="62637"/>
  </r>
  <r>
    <x v="9"/>
    <m/>
    <s v="Bådudlejningen - Fiskerhytten"/>
    <n v="12292"/>
    <s v="0"/>
    <s v="Bådudlejningen - Fiskerhytten"/>
    <x v="80"/>
    <x v="0"/>
    <x v="1"/>
    <n v="21.06"/>
    <n v="4"/>
    <s v="2014-11-10"/>
    <n v="0"/>
    <n v="68"/>
    <n v="0.309251"/>
    <n v="3"/>
    <x v="0"/>
    <n v="21.06"/>
    <n v="16.850000000000001"/>
    <n v="0"/>
    <m/>
    <m/>
    <n v="21.07142"/>
    <n v="0"/>
    <n v="84120"/>
  </r>
  <r>
    <x v="9"/>
    <m/>
    <s v="Bådudlejningen - Fiskerhytten"/>
    <n v="12292"/>
    <s v="0"/>
    <s v="Bådudlejningen - Fiskerhytten"/>
    <x v="80"/>
    <x v="0"/>
    <x v="2"/>
    <n v="8.5399999999999991"/>
    <n v="4"/>
    <s v="2014-11-10"/>
    <n v="0"/>
    <n v="68"/>
    <n v="0.12540299999999999"/>
    <n v="3"/>
    <x v="0"/>
    <n v="8.5399999999999991"/>
    <n v="6.85"/>
    <n v="0"/>
    <m/>
    <m/>
    <n v="8.56752"/>
    <n v="0"/>
    <n v="84120"/>
  </r>
  <r>
    <x v="9"/>
    <m/>
    <s v="Bådudlejningen - Fiskerhytten"/>
    <n v="12292"/>
    <s v="0"/>
    <s v="Bådudlejningen - Fiskerhytten"/>
    <x v="80"/>
    <x v="0"/>
    <x v="3"/>
    <n v="11.74"/>
    <n v="4"/>
    <s v="2014-11-10"/>
    <n v="0"/>
    <n v="68"/>
    <n v="0.17239299999999999"/>
    <n v="3"/>
    <x v="0"/>
    <n v="11.74"/>
    <n v="9.36"/>
    <n v="0"/>
    <m/>
    <m/>
    <n v="11.713340000000001"/>
    <n v="0"/>
    <n v="84120"/>
  </r>
  <r>
    <x v="9"/>
    <m/>
    <s v="Bådudlejningen - Fiskerhytten"/>
    <n v="12292"/>
    <s v="0"/>
    <s v="Bådudlejningen - Fiskerhytten"/>
    <x v="80"/>
    <x v="0"/>
    <x v="4"/>
    <n v="52.28"/>
    <n v="3"/>
    <s v="2014-11-10"/>
    <n v="0"/>
    <n v="68"/>
    <n v="0.76769399999999999"/>
    <n v="3"/>
    <x v="0"/>
    <n v="52.28"/>
    <n v="41.83"/>
    <n v="0"/>
    <m/>
    <m/>
    <n v="52.286670000000001"/>
    <n v="0"/>
    <n v="84120"/>
  </r>
  <r>
    <x v="9"/>
    <m/>
    <s v="Det Røde Hus, Poppel 14"/>
    <n v="10231"/>
    <m/>
    <s v="Det Røde Hus"/>
    <x v="81"/>
    <x v="0"/>
    <x v="0"/>
    <n v="421"/>
    <n v="5"/>
    <s v="2011-10-31"/>
    <n v="0"/>
    <n v="449"/>
    <n v="0.35272700000000001"/>
    <n v="3"/>
    <x v="0"/>
    <n v="158.41"/>
    <n v="126.72"/>
    <n v="0"/>
    <s v="42052"/>
    <m/>
    <n v="158.40600000000001"/>
    <n v="0"/>
    <n v="77507"/>
  </r>
  <r>
    <x v="9"/>
    <m/>
    <s v="Det Røde Hus, Poppel 14"/>
    <n v="10231"/>
    <m/>
    <s v="Det Røde Hus"/>
    <x v="81"/>
    <x v="0"/>
    <x v="1"/>
    <n v="159.6"/>
    <n v="12"/>
    <s v="2011-10-31"/>
    <n v="0"/>
    <n v="449"/>
    <n v="0.355377"/>
    <n v="3"/>
    <x v="0"/>
    <n v="159.6"/>
    <n v="127.68"/>
    <n v="0"/>
    <s v="42052"/>
    <m/>
    <n v="159.6"/>
    <n v="0"/>
    <n v="77507"/>
  </r>
  <r>
    <x v="9"/>
    <m/>
    <s v="Det Røde Hus, Poppel 14"/>
    <n v="10231"/>
    <m/>
    <s v="Det Røde Hus"/>
    <x v="81"/>
    <x v="0"/>
    <x v="2"/>
    <n v="162.6"/>
    <n v="12"/>
    <s v="2011-10-31"/>
    <n v="0"/>
    <n v="449"/>
    <n v="0.36205700000000002"/>
    <n v="3"/>
    <x v="0"/>
    <n v="162.6"/>
    <n v="130.08000000000001"/>
    <n v="0"/>
    <s v="42052"/>
    <m/>
    <n v="162.6"/>
    <n v="0"/>
    <n v="77507"/>
  </r>
  <r>
    <x v="9"/>
    <m/>
    <s v="Det Røde Hus, Poppel 14"/>
    <n v="10231"/>
    <m/>
    <s v="Det Røde Hus"/>
    <x v="81"/>
    <x v="0"/>
    <x v="3"/>
    <n v="530.53"/>
    <n v="12"/>
    <s v="2011-10-31"/>
    <n v="0"/>
    <n v="449"/>
    <n v="1.1813180000000001"/>
    <n v="3"/>
    <x v="0"/>
    <n v="530.53"/>
    <n v="424.41"/>
    <n v="0"/>
    <s v="42052"/>
    <m/>
    <n v="530.52052000000003"/>
    <n v="0"/>
    <n v="77507"/>
  </r>
  <r>
    <x v="9"/>
    <m/>
    <s v="Det Røde Hus, Poppel 14"/>
    <n v="10231"/>
    <m/>
    <s v="Det Røde Hus"/>
    <x v="81"/>
    <x v="0"/>
    <x v="4"/>
    <n v="226.45"/>
    <n v="12"/>
    <s v="2011-10-31"/>
    <n v="0"/>
    <n v="449"/>
    <n v="0.50422999999999996"/>
    <n v="3"/>
    <x v="0"/>
    <n v="226.45"/>
    <n v="181.16"/>
    <n v="0"/>
    <s v="42052"/>
    <m/>
    <n v="226.43664000000001"/>
    <n v="0"/>
    <n v="77507"/>
  </r>
  <r>
    <x v="9"/>
    <m/>
    <s v="Det Røde Hus, Poppel 14"/>
    <n v="10231"/>
    <m/>
    <s v="Det Røde Hus"/>
    <x v="81"/>
    <x v="0"/>
    <x v="5"/>
    <n v="193.97"/>
    <n v="11"/>
    <s v="2011-10-31"/>
    <n v="0"/>
    <n v="449"/>
    <n v="0.43190800000000001"/>
    <n v="3"/>
    <x v="0"/>
    <n v="193.97"/>
    <n v="155.18"/>
    <n v="0"/>
    <s v="42052"/>
    <m/>
    <n v="193.97237999999999"/>
    <n v="0"/>
    <n v="77507"/>
  </r>
  <r>
    <x v="9"/>
    <m/>
    <s v="Det Røde Hus, Poppel 14"/>
    <n v="10231"/>
    <m/>
    <s v="Det Røde Hus"/>
    <x v="81"/>
    <x v="0"/>
    <x v="6"/>
    <n v="245.04"/>
    <n v="10"/>
    <s v="2011-10-31"/>
    <n v="0"/>
    <n v="449"/>
    <n v="0.545624"/>
    <n v="3"/>
    <x v="0"/>
    <n v="245.04"/>
    <n v="196.02"/>
    <n v="0"/>
    <s v="42052"/>
    <m/>
    <n v="245.02853999999999"/>
    <n v="0"/>
    <n v="77507"/>
  </r>
  <r>
    <x v="9"/>
    <s v="06157-9"/>
    <s v="Furesøbad"/>
    <n v="5489"/>
    <m/>
    <s v="Furesøbad"/>
    <x v="53"/>
    <x v="1"/>
    <x v="0"/>
    <n v="615"/>
    <n v="5"/>
    <m/>
    <n v="0"/>
    <n v="2801"/>
    <n v="0.219556"/>
    <n v="3"/>
    <x v="0"/>
    <n v="615"/>
    <n v="492"/>
    <n v="1"/>
    <s v="Byg 1 02401115"/>
    <m/>
    <n v="615"/>
    <n v="0"/>
    <n v="58005"/>
  </r>
  <r>
    <x v="9"/>
    <s v="06157-9"/>
    <s v="Furesøbad"/>
    <n v="5489"/>
    <m/>
    <s v="Furesøbad"/>
    <x v="53"/>
    <x v="1"/>
    <x v="0"/>
    <n v="51.06"/>
    <n v="5"/>
    <m/>
    <n v="0"/>
    <n v="2801"/>
    <n v="1.8228000000000001E-2"/>
    <n v="3"/>
    <x v="0"/>
    <n v="51.06"/>
    <n v="40.85"/>
    <n v="1"/>
    <s v="Byg 3 04016459"/>
    <m/>
    <n v="51.057000000000002"/>
    <n v="0"/>
    <n v="58106"/>
  </r>
  <r>
    <x v="9"/>
    <s v="06157-9"/>
    <s v="Furesøbad"/>
    <n v="5489"/>
    <m/>
    <s v="Furesøbad"/>
    <x v="53"/>
    <x v="0"/>
    <x v="1"/>
    <n v="1144.8"/>
    <n v="12"/>
    <m/>
    <n v="0"/>
    <n v="2801"/>
    <n v="0.408696"/>
    <n v="3"/>
    <x v="0"/>
    <n v="1144.8"/>
    <n v="915.84"/>
    <n v="1"/>
    <s v="Byg 1 02401115"/>
    <m/>
    <n v="1144.8"/>
    <n v="0"/>
    <n v="58005"/>
  </r>
  <r>
    <x v="9"/>
    <s v="06157-9"/>
    <s v="Furesøbad"/>
    <n v="5489"/>
    <m/>
    <s v="Furesøbad"/>
    <x v="53"/>
    <x v="0"/>
    <x v="1"/>
    <n v="358.82"/>
    <n v="12"/>
    <m/>
    <n v="0"/>
    <n v="2801"/>
    <n v="0.12809899999999999"/>
    <n v="3"/>
    <x v="0"/>
    <n v="358.82"/>
    <n v="287.08"/>
    <n v="1"/>
    <s v="Byg 3 04016459"/>
    <m/>
    <n v="358.83300000000003"/>
    <n v="0"/>
    <n v="58106"/>
  </r>
  <r>
    <x v="9"/>
    <s v="06157-9"/>
    <s v="Furesøbad"/>
    <n v="5489"/>
    <m/>
    <s v="Furesøbad"/>
    <x v="53"/>
    <x v="0"/>
    <x v="2"/>
    <n v="1966.1"/>
    <n v="12"/>
    <m/>
    <n v="0"/>
    <n v="2801"/>
    <n v="0.70190200000000003"/>
    <n v="3"/>
    <x v="0"/>
    <n v="1966.1"/>
    <n v="1572.88"/>
    <n v="1"/>
    <s v="Byg 1 02401115"/>
    <m/>
    <n v="1966.1"/>
    <n v="0"/>
    <n v="58005"/>
  </r>
  <r>
    <x v="9"/>
    <s v="06157-9"/>
    <s v="Furesøbad"/>
    <n v="5489"/>
    <m/>
    <s v="Furesøbad"/>
    <x v="53"/>
    <x v="0"/>
    <x v="2"/>
    <n v="265.45999999999998"/>
    <n v="12"/>
    <m/>
    <n v="0"/>
    <n v="2801"/>
    <n v="9.4769000000000006E-2"/>
    <n v="3"/>
    <x v="0"/>
    <n v="265.45999999999998"/>
    <n v="212.37"/>
    <n v="1"/>
    <s v="Byg 3 04016459"/>
    <m/>
    <n v="265.46800000000002"/>
    <n v="0"/>
    <n v="58106"/>
  </r>
  <r>
    <x v="9"/>
    <s v="06157-9"/>
    <s v="Furesøbad"/>
    <n v="5489"/>
    <m/>
    <s v="Furesøbad"/>
    <x v="53"/>
    <x v="0"/>
    <x v="3"/>
    <n v="477.81"/>
    <n v="12"/>
    <m/>
    <n v="0"/>
    <n v="2801"/>
    <n v="0.17057900000000001"/>
    <n v="3"/>
    <x v="0"/>
    <n v="477.81"/>
    <n v="382.25"/>
    <n v="1"/>
    <s v="Byg 1 02401115"/>
    <m/>
    <n v="477.81"/>
    <n v="0"/>
    <n v="58005"/>
  </r>
  <r>
    <x v="9"/>
    <s v="06157-9"/>
    <s v="Furesøbad"/>
    <n v="5489"/>
    <m/>
    <s v="Furesøbad"/>
    <x v="53"/>
    <x v="0"/>
    <x v="3"/>
    <n v="266.56"/>
    <n v="12"/>
    <m/>
    <n v="0"/>
    <n v="2801"/>
    <n v="9.5161999999999997E-2"/>
    <n v="3"/>
    <x v="0"/>
    <n v="266.56"/>
    <n v="213.25"/>
    <n v="1"/>
    <s v="Byg 3 04016459"/>
    <m/>
    <n v="266.572"/>
    <n v="0"/>
    <n v="58106"/>
  </r>
  <r>
    <x v="9"/>
    <s v="06157-9"/>
    <s v="Furesøbad"/>
    <n v="5489"/>
    <m/>
    <s v="Furesøbad"/>
    <x v="53"/>
    <x v="0"/>
    <x v="4"/>
    <n v="0"/>
    <n v="12"/>
    <m/>
    <n v="0"/>
    <n v="2801"/>
    <n v="0"/>
    <n v="3"/>
    <x v="0"/>
    <n v="0"/>
    <n v="0"/>
    <n v="1"/>
    <s v="Byg 1 02401115"/>
    <m/>
    <n v="0"/>
    <n v="0"/>
    <n v="58005"/>
  </r>
  <r>
    <x v="9"/>
    <s v="06157-9"/>
    <s v="Furesøbad"/>
    <n v="5489"/>
    <m/>
    <s v="Furesøbad"/>
    <x v="53"/>
    <x v="0"/>
    <x v="4"/>
    <n v="309.33"/>
    <n v="12"/>
    <m/>
    <n v="0"/>
    <n v="2801"/>
    <n v="0.110431"/>
    <n v="3"/>
    <x v="0"/>
    <n v="309.33"/>
    <n v="247.47"/>
    <n v="1"/>
    <s v="Byg 3 04016459"/>
    <m/>
    <n v="309.33199999999999"/>
    <n v="0"/>
    <n v="58106"/>
  </r>
  <r>
    <x v="9"/>
    <s v="06157-9"/>
    <s v="Furesøbad"/>
    <n v="5489"/>
    <m/>
    <s v="Furesøbad"/>
    <x v="53"/>
    <x v="0"/>
    <x v="5"/>
    <n v="1940.38"/>
    <n v="12"/>
    <m/>
    <n v="0"/>
    <n v="2801"/>
    <n v="0.69272"/>
    <n v="3"/>
    <x v="0"/>
    <n v="1940.38"/>
    <n v="1552.32"/>
    <n v="1"/>
    <s v="Byg 1 02401115"/>
    <m/>
    <n v="1940.38"/>
    <n v="0"/>
    <n v="58005"/>
  </r>
  <r>
    <x v="9"/>
    <s v="06157-9"/>
    <s v="Furesøbad"/>
    <n v="5489"/>
    <m/>
    <s v="Furesøbad"/>
    <x v="53"/>
    <x v="0"/>
    <x v="5"/>
    <n v="271.81"/>
    <n v="12"/>
    <m/>
    <n v="0"/>
    <n v="2801"/>
    <n v="9.7035999999999997E-2"/>
    <n v="3"/>
    <x v="0"/>
    <n v="271.81"/>
    <n v="217.45"/>
    <n v="1"/>
    <s v="Byg 3 04016459"/>
    <m/>
    <n v="271.81400000000002"/>
    <n v="0"/>
    <n v="58106"/>
  </r>
  <r>
    <x v="9"/>
    <s v="06157-9"/>
    <s v="Furesøbad"/>
    <n v="5489"/>
    <m/>
    <s v="Furesøbad"/>
    <x v="53"/>
    <x v="0"/>
    <x v="6"/>
    <n v="1834.48"/>
    <n v="12"/>
    <m/>
    <n v="0"/>
    <n v="2801"/>
    <n v="0.654914"/>
    <n v="3"/>
    <x v="0"/>
    <n v="1834.48"/>
    <n v="1467.59"/>
    <n v="1"/>
    <s v="Byg 1 02401115"/>
    <m/>
    <n v="1834.48"/>
    <n v="0"/>
    <n v="58005"/>
  </r>
  <r>
    <x v="9"/>
    <s v="06157-9"/>
    <s v="Furesøbad"/>
    <n v="5489"/>
    <m/>
    <s v="Furesøbad"/>
    <x v="53"/>
    <x v="0"/>
    <x v="6"/>
    <n v="258.20999999999998"/>
    <n v="12"/>
    <m/>
    <n v="0"/>
    <n v="2801"/>
    <n v="9.2180999999999999E-2"/>
    <n v="3"/>
    <x v="0"/>
    <n v="258.20999999999998"/>
    <n v="206.59"/>
    <n v="1"/>
    <s v="Byg 3 04016459"/>
    <m/>
    <n v="258.22800000000001"/>
    <n v="0"/>
    <n v="58106"/>
  </r>
  <r>
    <x v="9"/>
    <s v="06157-9"/>
    <s v="Furesøbad"/>
    <n v="6031"/>
    <m/>
    <s v="Manuel aflæsning"/>
    <x v="53"/>
    <x v="1"/>
    <x v="0"/>
    <n v="102.37"/>
    <n v="4"/>
    <s v="2015-05-05"/>
    <n v="0"/>
    <n v="0"/>
    <n v="1023.7"/>
    <n v="3"/>
    <x v="0"/>
    <n v="102.37"/>
    <n v="81.900000000000006"/>
    <n v="1"/>
    <s v="-2192309"/>
    <m/>
    <n v="102.36666"/>
    <n v="0"/>
    <n v="60682"/>
  </r>
  <r>
    <x v="9"/>
    <s v="06157-9"/>
    <s v="Furesøbad"/>
    <n v="6031"/>
    <m/>
    <s v="Manuel aflæsning"/>
    <x v="53"/>
    <x v="1"/>
    <x v="0"/>
    <n v="842.26"/>
    <n v="4"/>
    <s v="2015-05-05"/>
    <n v="0"/>
    <n v="0"/>
    <n v="8422.6"/>
    <n v="3"/>
    <x v="0"/>
    <n v="842.26"/>
    <n v="673.8"/>
    <n v="0"/>
    <s v="98600209 Vand total"/>
    <m/>
    <n v="842.25554999999997"/>
    <n v="0"/>
    <n v="60683"/>
  </r>
  <r>
    <x v="9"/>
    <s v="06157-9"/>
    <s v="Furesøbad"/>
    <n v="6031"/>
    <m/>
    <s v="Manuel aflæsning"/>
    <x v="53"/>
    <x v="1"/>
    <x v="0"/>
    <n v="0.68"/>
    <n v="4"/>
    <s v="2015-05-05"/>
    <n v="0"/>
    <n v="0"/>
    <n v="6.8"/>
    <n v="3"/>
    <x v="0"/>
    <n v="0.68"/>
    <n v="0.54"/>
    <n v="1"/>
    <s v="7502 7887"/>
    <m/>
    <n v="0.67722000000000004"/>
    <n v="0"/>
    <n v="62512"/>
  </r>
  <r>
    <x v="9"/>
    <s v="06157-9"/>
    <s v="Furesøbad"/>
    <n v="6031"/>
    <m/>
    <s v="Manuel aflæsning"/>
    <x v="53"/>
    <x v="0"/>
    <x v="1"/>
    <n v="310.39999999999998"/>
    <n v="11"/>
    <s v="2015-05-05"/>
    <n v="0"/>
    <n v="0"/>
    <n v="3104"/>
    <n v="3"/>
    <x v="0"/>
    <n v="310.39999999999998"/>
    <n v="248.32"/>
    <n v="1"/>
    <s v="-2192309"/>
    <m/>
    <n v="310.3922"/>
    <n v="0"/>
    <n v="60682"/>
  </r>
  <r>
    <x v="9"/>
    <s v="06157-9"/>
    <s v="Furesøbad"/>
    <n v="6031"/>
    <m/>
    <s v="Manuel aflæsning"/>
    <x v="53"/>
    <x v="0"/>
    <x v="1"/>
    <n v="661.36"/>
    <n v="2"/>
    <s v="2015-05-05"/>
    <n v="0"/>
    <n v="0"/>
    <n v="6613.6"/>
    <n v="3"/>
    <x v="0"/>
    <n v="661.36"/>
    <n v="529.11"/>
    <n v="0"/>
    <s v="98600209 Vand total"/>
    <m/>
    <n v="661.37552000000005"/>
    <n v="0"/>
    <n v="60683"/>
  </r>
  <r>
    <x v="9"/>
    <s v="06157-9"/>
    <s v="Furesøbad"/>
    <n v="6031"/>
    <m/>
    <s v="Manuel aflæsning"/>
    <x v="53"/>
    <x v="0"/>
    <x v="1"/>
    <n v="5.05"/>
    <n v="11"/>
    <s v="2015-05-05"/>
    <n v="0"/>
    <n v="0"/>
    <n v="50.5"/>
    <n v="3"/>
    <x v="0"/>
    <n v="5.05"/>
    <n v="4.03"/>
    <n v="1"/>
    <s v="7502 7887"/>
    <m/>
    <n v="5.0461600000000004"/>
    <n v="0"/>
    <n v="62512"/>
  </r>
  <r>
    <x v="9"/>
    <s v="06157-9"/>
    <s v="Furesøbad"/>
    <n v="6031"/>
    <m/>
    <s v="Manuel aflæsning"/>
    <x v="53"/>
    <x v="0"/>
    <x v="2"/>
    <n v="239.85"/>
    <n v="10"/>
    <s v="2015-05-05"/>
    <n v="0"/>
    <n v="0"/>
    <n v="2398.5"/>
    <n v="3"/>
    <x v="0"/>
    <n v="239.85"/>
    <n v="191.89"/>
    <n v="1"/>
    <s v="-2192309"/>
    <m/>
    <n v="239.84584000000001"/>
    <n v="0"/>
    <n v="60682"/>
  </r>
  <r>
    <x v="9"/>
    <s v="06157-9"/>
    <s v="Furesøbad"/>
    <n v="6031"/>
    <m/>
    <s v="Manuel aflæsning"/>
    <x v="53"/>
    <x v="0"/>
    <x v="2"/>
    <n v="1813.82"/>
    <n v="9"/>
    <s v="2015-05-05"/>
    <n v="0"/>
    <n v="0"/>
    <n v="18138.2"/>
    <n v="3"/>
    <x v="0"/>
    <n v="1813.82"/>
    <n v="1451.04"/>
    <n v="0"/>
    <s v="98600209 Vand total"/>
    <m/>
    <n v="1813.80908"/>
    <n v="0"/>
    <n v="60683"/>
  </r>
  <r>
    <x v="9"/>
    <s v="06157-9"/>
    <s v="Furesøbad"/>
    <n v="6031"/>
    <m/>
    <s v="Manuel aflæsning"/>
    <x v="53"/>
    <x v="0"/>
    <x v="2"/>
    <n v="3.15"/>
    <n v="10"/>
    <s v="2015-05-05"/>
    <n v="0"/>
    <n v="0"/>
    <n v="31.5"/>
    <n v="3"/>
    <x v="0"/>
    <n v="3.15"/>
    <n v="2.52"/>
    <n v="1"/>
    <s v="7502 7887"/>
    <m/>
    <n v="3.1432699999999998"/>
    <n v="0"/>
    <n v="62512"/>
  </r>
  <r>
    <x v="9"/>
    <s v="06157-9"/>
    <s v="Furesøbad"/>
    <n v="6031"/>
    <m/>
    <s v="Manuel aflæsning"/>
    <x v="53"/>
    <x v="0"/>
    <x v="3"/>
    <n v="393.51"/>
    <n v="11"/>
    <s v="2015-05-05"/>
    <n v="0"/>
    <n v="0"/>
    <n v="3935.1"/>
    <n v="3"/>
    <x v="0"/>
    <n v="393.51"/>
    <n v="314.8"/>
    <n v="1"/>
    <s v="-2192309"/>
    <m/>
    <n v="393.49892"/>
    <n v="0"/>
    <n v="60682"/>
  </r>
  <r>
    <x v="9"/>
    <s v="06157-9"/>
    <s v="Furesøbad"/>
    <n v="6031"/>
    <m/>
    <s v="Manuel aflæsning"/>
    <x v="53"/>
    <x v="0"/>
    <x v="3"/>
    <n v="1819.43"/>
    <n v="6"/>
    <s v="2015-05-05"/>
    <n v="0"/>
    <n v="0"/>
    <n v="18194.3"/>
    <n v="3"/>
    <x v="0"/>
    <n v="1819.43"/>
    <n v="1455.55"/>
    <n v="0"/>
    <s v="98600209 Vand total"/>
    <m/>
    <n v="1819.42578"/>
    <n v="0"/>
    <n v="60683"/>
  </r>
  <r>
    <x v="9"/>
    <s v="06157-9"/>
    <s v="Furesøbad"/>
    <n v="6031"/>
    <m/>
    <s v="Manuel aflæsning"/>
    <x v="53"/>
    <x v="0"/>
    <x v="3"/>
    <n v="3.59"/>
    <n v="11"/>
    <s v="2015-05-05"/>
    <n v="0"/>
    <n v="0"/>
    <n v="35.9"/>
    <n v="3"/>
    <x v="0"/>
    <n v="3.59"/>
    <n v="2.86"/>
    <n v="1"/>
    <s v="7502 7887"/>
    <m/>
    <n v="3.5871900000000001"/>
    <n v="0"/>
    <n v="62512"/>
  </r>
  <r>
    <x v="9"/>
    <s v="06157-9"/>
    <s v="Furesøbad"/>
    <n v="6031"/>
    <m/>
    <s v="Manuel aflæsning"/>
    <x v="53"/>
    <x v="0"/>
    <x v="4"/>
    <n v="285.60000000000002"/>
    <n v="12"/>
    <s v="2015-05-05"/>
    <n v="0"/>
    <n v="0"/>
    <n v="2856"/>
    <n v="3"/>
    <x v="0"/>
    <n v="285.60000000000002"/>
    <n v="228.48"/>
    <n v="1"/>
    <s v="-2192309"/>
    <m/>
    <n v="285.59931999999998"/>
    <n v="0"/>
    <n v="60682"/>
  </r>
  <r>
    <x v="9"/>
    <s v="06157-9"/>
    <s v="Furesøbad"/>
    <n v="6031"/>
    <m/>
    <s v="Manuel aflæsning"/>
    <x v="53"/>
    <x v="0"/>
    <x v="4"/>
    <n v="2035.88"/>
    <n v="11"/>
    <s v="2015-05-05"/>
    <n v="0"/>
    <n v="0"/>
    <n v="20358.8"/>
    <n v="3"/>
    <x v="0"/>
    <n v="2035.88"/>
    <n v="1628.73"/>
    <n v="0"/>
    <s v="98600209 Vand total"/>
    <m/>
    <n v="2035.8896"/>
    <n v="0"/>
    <n v="60683"/>
  </r>
  <r>
    <x v="9"/>
    <s v="06157-9"/>
    <s v="Furesøbad"/>
    <n v="6031"/>
    <m/>
    <s v="Manuel aflæsning"/>
    <x v="53"/>
    <x v="0"/>
    <x v="4"/>
    <n v="6.53"/>
    <n v="12"/>
    <s v="2015-05-05"/>
    <n v="0"/>
    <n v="0"/>
    <n v="65.3"/>
    <n v="3"/>
    <x v="0"/>
    <n v="6.53"/>
    <n v="5.23"/>
    <n v="1"/>
    <s v="7502 7887"/>
    <m/>
    <n v="6.5260199999999999"/>
    <n v="0"/>
    <n v="62512"/>
  </r>
  <r>
    <x v="9"/>
    <s v="06157-9"/>
    <s v="Furesøbad"/>
    <n v="6031"/>
    <m/>
    <s v="Manuel aflæsning"/>
    <x v="53"/>
    <x v="0"/>
    <x v="5"/>
    <n v="373.85"/>
    <n v="6"/>
    <s v="2015-05-05"/>
    <n v="0"/>
    <n v="0"/>
    <n v="3738.5"/>
    <n v="3"/>
    <x v="0"/>
    <n v="373.85"/>
    <n v="299.08"/>
    <n v="1"/>
    <s v="-2192309"/>
    <m/>
    <n v="373.83902"/>
    <n v="0"/>
    <n v="60682"/>
  </r>
  <r>
    <x v="9"/>
    <s v="06157-9"/>
    <s v="Furesøbad"/>
    <n v="6031"/>
    <m/>
    <s v="Manuel aflæsning"/>
    <x v="53"/>
    <x v="0"/>
    <x v="5"/>
    <n v="2287.0100000000002"/>
    <n v="13"/>
    <s v="2015-05-05"/>
    <n v="0"/>
    <n v="0"/>
    <n v="22870.1"/>
    <n v="3"/>
    <x v="0"/>
    <n v="2287.0100000000002"/>
    <n v="1829.61"/>
    <n v="0"/>
    <s v="98600209 Vand total"/>
    <m/>
    <n v="2287.02943"/>
    <n v="0"/>
    <n v="60683"/>
  </r>
  <r>
    <x v="9"/>
    <s v="06157-9"/>
    <s v="Furesøbad"/>
    <n v="6031"/>
    <m/>
    <s v="Manuel aflæsning"/>
    <x v="53"/>
    <x v="0"/>
    <x v="5"/>
    <n v="8.6199999999999992"/>
    <n v="12"/>
    <s v="2015-05-05"/>
    <n v="0"/>
    <n v="0"/>
    <n v="86.2"/>
    <n v="3"/>
    <x v="0"/>
    <n v="8.6199999999999992"/>
    <n v="6.88"/>
    <n v="1"/>
    <s v="7502 7887"/>
    <m/>
    <n v="8.6229999999999993"/>
    <n v="0"/>
    <n v="62512"/>
  </r>
  <r>
    <x v="9"/>
    <s v="06157-9"/>
    <s v="Furesøbad"/>
    <n v="6031"/>
    <m/>
    <s v="Manuel aflæsning"/>
    <x v="53"/>
    <x v="0"/>
    <x v="6"/>
    <n v="328.78"/>
    <n v="12"/>
    <s v="2015-05-05"/>
    <n v="0"/>
    <n v="0"/>
    <n v="3287.8"/>
    <n v="3"/>
    <x v="0"/>
    <n v="328.78"/>
    <n v="263.02"/>
    <n v="1"/>
    <s v="-2192309"/>
    <m/>
    <n v="328.78748000000002"/>
    <n v="0"/>
    <n v="60682"/>
  </r>
  <r>
    <x v="9"/>
    <s v="06157-9"/>
    <s v="Furesøbad"/>
    <n v="6031"/>
    <m/>
    <s v="Manuel aflæsning"/>
    <x v="53"/>
    <x v="0"/>
    <x v="6"/>
    <n v="2100.79"/>
    <n v="12"/>
    <s v="2015-05-05"/>
    <n v="0"/>
    <n v="0"/>
    <n v="21007.9"/>
    <n v="3"/>
    <x v="0"/>
    <n v="2100.79"/>
    <n v="1680.64"/>
    <n v="0"/>
    <s v="98600209 Vand total"/>
    <m/>
    <n v="2100.7931699999999"/>
    <n v="0"/>
    <n v="60683"/>
  </r>
  <r>
    <x v="9"/>
    <s v="06157-9"/>
    <s v="Furesøbad"/>
    <n v="6031"/>
    <m/>
    <s v="Manuel aflæsning"/>
    <x v="53"/>
    <x v="0"/>
    <x v="6"/>
    <n v="5.0199999999999996"/>
    <n v="12"/>
    <s v="2015-05-05"/>
    <n v="0"/>
    <n v="0"/>
    <n v="50.2"/>
    <n v="3"/>
    <x v="0"/>
    <n v="5.0199999999999996"/>
    <n v="4.0199999999999996"/>
    <n v="1"/>
    <s v="7502 7887"/>
    <m/>
    <n v="5.0134400000000001"/>
    <n v="0"/>
    <n v="62512"/>
  </r>
  <r>
    <x v="9"/>
    <m/>
    <s v="Hareskov Idræt, Birke 15"/>
    <n v="10207"/>
    <m/>
    <s v="Hareskov Idræt"/>
    <x v="82"/>
    <x v="0"/>
    <x v="0"/>
    <n v="171"/>
    <n v="5"/>
    <s v="2011-11-30"/>
    <n v="0"/>
    <n v="505"/>
    <n v="0.11809500000000001"/>
    <n v="3"/>
    <x v="0"/>
    <n v="59.65"/>
    <n v="47.73"/>
    <n v="0"/>
    <s v="02PC501277"/>
    <m/>
    <n v="59.661000000000001"/>
    <n v="0"/>
    <n v="77400"/>
  </r>
  <r>
    <x v="9"/>
    <m/>
    <s v="Hareskov Idræt, Birke 15"/>
    <n v="10207"/>
    <m/>
    <s v="Hareskov Idræt"/>
    <x v="82"/>
    <x v="0"/>
    <x v="1"/>
    <n v="296.47000000000003"/>
    <n v="12"/>
    <s v="2011-11-30"/>
    <n v="0"/>
    <n v="505"/>
    <n v="0.58695299999999995"/>
    <n v="3"/>
    <x v="0"/>
    <n v="296.47000000000003"/>
    <n v="237.18"/>
    <n v="0"/>
    <s v="02PC501277"/>
    <m/>
    <n v="296.46100000000001"/>
    <n v="0"/>
    <n v="77400"/>
  </r>
  <r>
    <x v="9"/>
    <m/>
    <s v="Hareskov Idræt, Birke 15"/>
    <n v="10207"/>
    <m/>
    <s v="Hareskov Idræt"/>
    <x v="82"/>
    <x v="0"/>
    <x v="2"/>
    <n v="315.47000000000003"/>
    <n v="12"/>
    <s v="2011-11-30"/>
    <n v="0"/>
    <n v="505"/>
    <n v="0.62456900000000004"/>
    <n v="3"/>
    <x v="0"/>
    <n v="315.47000000000003"/>
    <n v="252.37"/>
    <n v="0"/>
    <s v="02PC501277"/>
    <m/>
    <n v="315.45600000000002"/>
    <n v="0"/>
    <n v="77400"/>
  </r>
  <r>
    <x v="9"/>
    <m/>
    <s v="Hareskov Idræt, Birke 15"/>
    <n v="10207"/>
    <m/>
    <s v="Hareskov Idræt"/>
    <x v="82"/>
    <x v="0"/>
    <x v="3"/>
    <n v="514.64"/>
    <n v="2"/>
    <s v="2011-11-30"/>
    <n v="0"/>
    <n v="505"/>
    <n v="1.0188870000000001"/>
    <n v="3"/>
    <x v="0"/>
    <n v="514.64"/>
    <n v="411.7"/>
    <n v="0"/>
    <s v="02PC501277"/>
    <m/>
    <n v="514.65198999999996"/>
    <n v="0"/>
    <n v="77400"/>
  </r>
  <r>
    <x v="9"/>
    <m/>
    <s v="Hareskov Idræt, Birke 15"/>
    <n v="10207"/>
    <m/>
    <s v="Hareskov Idræt"/>
    <x v="82"/>
    <x v="0"/>
    <x v="4"/>
    <n v="530.96"/>
    <n v="1"/>
    <s v="2011-11-30"/>
    <n v="0"/>
    <n v="505"/>
    <n v="1.0511969999999999"/>
    <n v="3"/>
    <x v="0"/>
    <n v="530.96"/>
    <n v="424.75"/>
    <n v="0"/>
    <s v="02PC501277"/>
    <m/>
    <n v="530.96369000000004"/>
    <n v="0"/>
    <n v="77400"/>
  </r>
  <r>
    <x v="9"/>
    <m/>
    <s v="Hareskov Idræt, Birke 15"/>
    <n v="10207"/>
    <m/>
    <s v="Hareskov Idræt"/>
    <x v="82"/>
    <x v="0"/>
    <x v="5"/>
    <n v="603.91999999999996"/>
    <n v="0"/>
    <s v="2011-11-30"/>
    <n v="0"/>
    <n v="505"/>
    <n v="1.1956439999999999"/>
    <n v="3"/>
    <x v="0"/>
    <n v="603.91999999999996"/>
    <n v="483.11"/>
    <n v="0"/>
    <s v="02PC501277"/>
    <m/>
    <n v="603.89639"/>
    <n v="0"/>
    <n v="77400"/>
  </r>
  <r>
    <x v="9"/>
    <m/>
    <s v="Hareskov Idræt, Birke 15"/>
    <n v="10207"/>
    <m/>
    <s v="Hareskov Idræt"/>
    <x v="82"/>
    <x v="0"/>
    <x v="6"/>
    <n v="566.9"/>
    <n v="4"/>
    <s v="2011-11-30"/>
    <n v="0"/>
    <n v="505"/>
    <n v="1.122352"/>
    <n v="3"/>
    <x v="0"/>
    <n v="566.9"/>
    <n v="453.5"/>
    <n v="0"/>
    <s v="02PC501277"/>
    <m/>
    <n v="566.86701000000005"/>
    <n v="0"/>
    <n v="77400"/>
  </r>
  <r>
    <x v="9"/>
    <m/>
    <s v="Kirke Værløse Idrætanlæg, Lejr 21"/>
    <n v="10204"/>
    <m/>
    <s v="Kirke Værløse Idrætsanlæg"/>
    <x v="61"/>
    <x v="0"/>
    <x v="0"/>
    <n v="145"/>
    <n v="5"/>
    <s v="2010-07-31"/>
    <n v="0"/>
    <n v="445"/>
    <n v="0.12922900000000001"/>
    <n v="3"/>
    <x v="0"/>
    <n v="57.52"/>
    <n v="46.03"/>
    <n v="0"/>
    <s v="00PC500634"/>
    <m/>
    <n v="57.527000000000001"/>
    <n v="0"/>
    <n v="77387"/>
  </r>
  <r>
    <x v="9"/>
    <m/>
    <s v="Kirke Værløse Idrætanlæg, Lejr 21"/>
    <n v="10204"/>
    <m/>
    <s v="Kirke Værløse Idrætsanlæg"/>
    <x v="61"/>
    <x v="0"/>
    <x v="1"/>
    <n v="191.9"/>
    <n v="12"/>
    <s v="2010-07-31"/>
    <n v="0"/>
    <n v="445"/>
    <n v="0.43113899999999999"/>
    <n v="3"/>
    <x v="0"/>
    <n v="191.9"/>
    <n v="153.53"/>
    <n v="0"/>
    <s v="00PC500634"/>
    <m/>
    <n v="191.90799999999999"/>
    <n v="0"/>
    <n v="77387"/>
  </r>
  <r>
    <x v="9"/>
    <m/>
    <s v="Kirke Værløse Idrætanlæg, Lejr 21"/>
    <n v="10204"/>
    <m/>
    <s v="Kirke Værløse Idrætsanlæg"/>
    <x v="61"/>
    <x v="0"/>
    <x v="2"/>
    <n v="200.06"/>
    <n v="12"/>
    <s v="2010-07-31"/>
    <n v="0"/>
    <n v="445"/>
    <n v="0.44947199999999998"/>
    <n v="3"/>
    <x v="0"/>
    <n v="200.06"/>
    <n v="160.04"/>
    <n v="0"/>
    <s v="00PC500634"/>
    <m/>
    <n v="200.047"/>
    <n v="0"/>
    <n v="77387"/>
  </r>
  <r>
    <x v="9"/>
    <m/>
    <s v="Kirke Værløse Idrætanlæg, Lejr 21"/>
    <n v="10204"/>
    <m/>
    <s v="Kirke Værløse Idrætsanlæg"/>
    <x v="61"/>
    <x v="0"/>
    <x v="3"/>
    <n v="194.46"/>
    <n v="12"/>
    <s v="2010-07-31"/>
    <n v="0"/>
    <n v="445"/>
    <n v="0.43689"/>
    <n v="3"/>
    <x v="0"/>
    <n v="194.46"/>
    <n v="155.54"/>
    <n v="0"/>
    <s v="00PC500634"/>
    <m/>
    <n v="194.45099999999999"/>
    <n v="0"/>
    <n v="77387"/>
  </r>
  <r>
    <x v="9"/>
    <m/>
    <s v="Kirke Værløse Idrætanlæg, Lejr 21"/>
    <n v="10204"/>
    <m/>
    <s v="Kirke Værløse Idrætsanlæg"/>
    <x v="61"/>
    <x v="0"/>
    <x v="4"/>
    <n v="145.16999999999999"/>
    <n v="8"/>
    <s v="2010-07-31"/>
    <n v="0"/>
    <n v="445"/>
    <n v="0.32615100000000002"/>
    <n v="3"/>
    <x v="0"/>
    <n v="145.16999999999999"/>
    <n v="116.13"/>
    <n v="0"/>
    <s v="00PC500634"/>
    <m/>
    <n v="145.16747000000001"/>
    <n v="0"/>
    <n v="77387"/>
  </r>
  <r>
    <x v="9"/>
    <m/>
    <s v="Kirke Værløse Idrætanlæg, Lejr 21"/>
    <n v="10204"/>
    <m/>
    <s v="Kirke Værløse Idrætsanlæg"/>
    <x v="61"/>
    <x v="0"/>
    <x v="5"/>
    <n v="207.72"/>
    <n v="1"/>
    <s v="2010-07-31"/>
    <n v="0"/>
    <n v="445"/>
    <n v="0.46668100000000001"/>
    <n v="3"/>
    <x v="0"/>
    <n v="207.72"/>
    <n v="166.15"/>
    <n v="0"/>
    <s v="00PC500634"/>
    <m/>
    <n v="207.7199"/>
    <n v="0"/>
    <n v="77387"/>
  </r>
  <r>
    <x v="9"/>
    <m/>
    <s v="Kirke Værløse Idrætanlæg, Lejr 21"/>
    <n v="10204"/>
    <m/>
    <s v="Kirke Værløse Idrætsanlæg"/>
    <x v="61"/>
    <x v="0"/>
    <x v="6"/>
    <n v="216.03"/>
    <n v="5"/>
    <s v="2010-07-31"/>
    <n v="0"/>
    <n v="445"/>
    <n v="0.48535099999999998"/>
    <n v="3"/>
    <x v="0"/>
    <n v="216.03"/>
    <n v="172.83"/>
    <n v="0"/>
    <s v="00PC500634"/>
    <m/>
    <n v="216.02709999999999"/>
    <n v="0"/>
    <n v="77387"/>
  </r>
  <r>
    <x v="9"/>
    <s v="6408"/>
    <s v="Skallepanden V M Amdrupvej 17"/>
    <n v="13664"/>
    <s v="0"/>
    <s v="Skallepanden"/>
    <x v="55"/>
    <x v="0"/>
    <x v="0"/>
    <n v="16"/>
    <n v="5"/>
    <s v="2013-11-29"/>
    <n v="0"/>
    <n v="138"/>
    <n v="1.7739999999999999E-2"/>
    <n v="3"/>
    <x v="0"/>
    <n v="2.4500000000000002"/>
    <n v="1.97"/>
    <n v="0"/>
    <m/>
    <m/>
    <n v="2.448"/>
    <n v="0"/>
    <n v="91256"/>
  </r>
  <r>
    <x v="9"/>
    <s v="6408"/>
    <s v="Skallepanden V M Amdrupvej 17"/>
    <n v="13664"/>
    <s v="0"/>
    <s v="Skallepanden"/>
    <x v="55"/>
    <x v="0"/>
    <x v="1"/>
    <n v="21.68"/>
    <n v="4"/>
    <s v="2013-11-29"/>
    <n v="0"/>
    <n v="138"/>
    <n v="0.15698699999999999"/>
    <n v="3"/>
    <x v="0"/>
    <n v="21.68"/>
    <n v="17.32"/>
    <n v="0"/>
    <m/>
    <m/>
    <n v="21.669530000000002"/>
    <n v="0"/>
    <n v="91256"/>
  </r>
  <r>
    <x v="9"/>
    <s v="6408"/>
    <s v="Skallepanden V M Amdrupvej 17"/>
    <n v="13664"/>
    <s v="0"/>
    <s v="Skallepanden"/>
    <x v="55"/>
    <x v="0"/>
    <x v="2"/>
    <n v="0.1"/>
    <n v="1"/>
    <s v="2013-11-29"/>
    <n v="0"/>
    <n v="138"/>
    <n v="7.2400000000000003E-4"/>
    <n v="3"/>
    <x v="0"/>
    <n v="0.1"/>
    <n v="0.08"/>
    <n v="0"/>
    <m/>
    <m/>
    <n v="0.10446"/>
    <n v="0"/>
    <n v="91256"/>
  </r>
  <r>
    <x v="9"/>
    <m/>
    <s v="Værløse Boldklub, Stiager 6"/>
    <n v="10179"/>
    <m/>
    <s v="Værløse Boldklub"/>
    <x v="83"/>
    <x v="0"/>
    <x v="0"/>
    <n v="645"/>
    <n v="5"/>
    <s v="2010-08-30"/>
    <n v="0"/>
    <n v="792"/>
    <n v="0.337343"/>
    <n v="3"/>
    <x v="0"/>
    <n v="267.20999999999998"/>
    <n v="0"/>
    <n v="0"/>
    <s v="01PC502543"/>
    <m/>
    <n v="267.21100000000001"/>
    <n v="0"/>
    <n v="77211"/>
  </r>
  <r>
    <x v="9"/>
    <m/>
    <s v="Værløse Boldklub, Stiager 6"/>
    <n v="10179"/>
    <m/>
    <s v="Værløse Boldklub"/>
    <x v="83"/>
    <x v="0"/>
    <x v="1"/>
    <n v="700.63"/>
    <n v="12"/>
    <s v="2010-08-30"/>
    <n v="0"/>
    <n v="792"/>
    <n v="0.88452200000000003"/>
    <n v="3"/>
    <x v="0"/>
    <n v="700.63"/>
    <n v="0"/>
    <n v="0"/>
    <s v="01PC502543"/>
    <m/>
    <n v="700.61500000000001"/>
    <n v="0"/>
    <n v="77211"/>
  </r>
  <r>
    <x v="9"/>
    <m/>
    <s v="Værløse Boldklub, Stiager 6"/>
    <n v="10179"/>
    <m/>
    <s v="Værløse Boldklub"/>
    <x v="83"/>
    <x v="0"/>
    <x v="2"/>
    <n v="737.68"/>
    <n v="12"/>
    <s v="2010-08-30"/>
    <n v="0"/>
    <n v="792"/>
    <n v="0.93129600000000001"/>
    <n v="3"/>
    <x v="0"/>
    <n v="737.68"/>
    <n v="0"/>
    <n v="0"/>
    <s v="01PC502543"/>
    <m/>
    <n v="737.69"/>
    <n v="0"/>
    <n v="77211"/>
  </r>
  <r>
    <x v="9"/>
    <m/>
    <s v="Værløse Boldklub, Stiager 6"/>
    <n v="10179"/>
    <m/>
    <s v="Værløse Boldklub"/>
    <x v="83"/>
    <x v="0"/>
    <x v="3"/>
    <n v="867.27"/>
    <n v="12"/>
    <s v="2010-08-30"/>
    <n v="0"/>
    <n v="792"/>
    <n v="1.0948990000000001"/>
    <n v="3"/>
    <x v="0"/>
    <n v="867.27"/>
    <n v="0"/>
    <n v="0"/>
    <s v="01PC502543"/>
    <m/>
    <n v="867.26300000000003"/>
    <n v="0"/>
    <n v="77211"/>
  </r>
  <r>
    <x v="9"/>
    <m/>
    <s v="Værløse Boldklub, Stiager 6"/>
    <n v="10179"/>
    <m/>
    <s v="Værløse Boldklub"/>
    <x v="83"/>
    <x v="0"/>
    <x v="4"/>
    <n v="897.14"/>
    <n v="9"/>
    <s v="2010-08-30"/>
    <n v="0"/>
    <n v="792"/>
    <n v="1.132609"/>
    <n v="3"/>
    <x v="0"/>
    <n v="897.14"/>
    <n v="0"/>
    <n v="0"/>
    <s v="01PC502543"/>
    <m/>
    <n v="897.13383999999996"/>
    <n v="0"/>
    <n v="77211"/>
  </r>
  <r>
    <x v="9"/>
    <m/>
    <s v="Værløse Boldklub, Stiager 6"/>
    <n v="10179"/>
    <m/>
    <s v="Værløse Boldklub"/>
    <x v="83"/>
    <x v="0"/>
    <x v="5"/>
    <n v="1097.1099999999999"/>
    <n v="2"/>
    <s v="2010-08-30"/>
    <n v="0"/>
    <n v="792"/>
    <n v="1.385065"/>
    <n v="3"/>
    <x v="0"/>
    <n v="1097.1099999999999"/>
    <n v="0"/>
    <n v="0"/>
    <s v="01PC502543"/>
    <m/>
    <n v="1097.0716600000001"/>
    <n v="0"/>
    <n v="77211"/>
  </r>
  <r>
    <x v="9"/>
    <m/>
    <s v="Værløse Boldklub, Stiager 6"/>
    <n v="10179"/>
    <m/>
    <s v="Værløse Boldklub"/>
    <x v="83"/>
    <x v="0"/>
    <x v="6"/>
    <n v="1200.54"/>
    <n v="5"/>
    <s v="2010-08-30"/>
    <n v="0"/>
    <n v="792"/>
    <n v="1.515641"/>
    <n v="3"/>
    <x v="0"/>
    <n v="1200.54"/>
    <n v="0"/>
    <n v="0"/>
    <s v="01PC502543"/>
    <m/>
    <n v="1200.5423800000001"/>
    <n v="0"/>
    <n v="77211"/>
  </r>
  <r>
    <x v="9"/>
    <s v="5532"/>
    <s v="Værløse Tennis, LV77"/>
    <n v="13667"/>
    <s v="0"/>
    <s v="Værløse Tennis"/>
    <x v="84"/>
    <x v="0"/>
    <x v="1"/>
    <n v="642.82000000000005"/>
    <n v="2"/>
    <s v="2014-12-10"/>
    <n v="0"/>
    <n v="292"/>
    <n v="2.2006839999999999"/>
    <n v="3"/>
    <x v="0"/>
    <n v="642.82000000000005"/>
    <n v="514.25"/>
    <n v="0"/>
    <s v="02501324"/>
    <m/>
    <n v="642.83848"/>
    <n v="0"/>
    <n v="91263"/>
  </r>
  <r>
    <x v="9"/>
    <s v="5532"/>
    <s v="Værløse Tennis, LV77"/>
    <n v="13667"/>
    <s v="0"/>
    <s v="Værløse Tennis"/>
    <x v="84"/>
    <x v="0"/>
    <x v="1"/>
    <n v="36.15"/>
    <n v="2"/>
    <s v="2014-12-10"/>
    <n v="0"/>
    <n v="292"/>
    <n v="0.12375800000000001"/>
    <n v="3"/>
    <x v="0"/>
    <n v="36.15"/>
    <n v="28.93"/>
    <n v="0"/>
    <s v="11131959"/>
    <m/>
    <n v="36.151679999999999"/>
    <n v="0"/>
    <n v="93572"/>
  </r>
  <r>
    <x v="9"/>
    <s v="5532"/>
    <s v="Værløse Tennis, LV77"/>
    <n v="13667"/>
    <s v="0"/>
    <s v="Værløse Tennis"/>
    <x v="84"/>
    <x v="0"/>
    <x v="2"/>
    <n v="932.59"/>
    <n v="0"/>
    <s v="2014-12-10"/>
    <n v="0"/>
    <n v="292"/>
    <n v="3.192707"/>
    <n v="3"/>
    <x v="0"/>
    <n v="932.59"/>
    <n v="746.05"/>
    <n v="0"/>
    <s v="02501324"/>
    <m/>
    <n v="932.61335999999994"/>
    <n v="0"/>
    <n v="91263"/>
  </r>
  <r>
    <x v="9"/>
    <s v="5532"/>
    <s v="Værløse Tennis, LV77"/>
    <n v="13667"/>
    <s v="0"/>
    <s v="Værløse Tennis"/>
    <x v="84"/>
    <x v="0"/>
    <x v="3"/>
    <n v="2.5499999999999998"/>
    <n v="1"/>
    <s v="2014-12-10"/>
    <n v="0"/>
    <n v="292"/>
    <n v="8.7290000000000006E-3"/>
    <n v="3"/>
    <x v="0"/>
    <n v="2.5499999999999998"/>
    <n v="2.04"/>
    <n v="0"/>
    <s v="02501324"/>
    <m/>
    <n v="2.5481199999999999"/>
    <n v="0"/>
    <n v="91263"/>
  </r>
  <r>
    <x v="9"/>
    <s v="06157-9"/>
    <s v="Furesøbad"/>
    <n v="5489"/>
    <m/>
    <s v="Furesøbad"/>
    <x v="53"/>
    <x v="0"/>
    <x v="7"/>
    <n v="1416.5"/>
    <n v="12"/>
    <m/>
    <n v="0"/>
    <n v="2801"/>
    <n v="0.50569399999999998"/>
    <n v="3"/>
    <x v="0"/>
    <n v="1416.5"/>
    <n v="1133.2"/>
    <n v="1"/>
    <s v="Byg 1 02401115"/>
    <m/>
    <n v="1416.5"/>
    <n v="0"/>
    <n v="58005"/>
  </r>
  <r>
    <x v="9"/>
    <s v="06157-9"/>
    <s v="Furesøbad"/>
    <n v="5489"/>
    <m/>
    <s v="Furesøbad"/>
    <x v="53"/>
    <x v="0"/>
    <x v="7"/>
    <n v="325.83"/>
    <n v="12"/>
    <m/>
    <n v="0"/>
    <n v="2801"/>
    <n v="0.11632199999999999"/>
    <n v="3"/>
    <x v="0"/>
    <n v="325.83"/>
    <n v="260.67"/>
    <n v="1"/>
    <s v="Byg 3 04016459"/>
    <m/>
    <n v="325.83100000000002"/>
    <n v="0"/>
    <n v="58106"/>
  </r>
  <r>
    <x v="9"/>
    <s v="06157-9"/>
    <s v="Furesøbad"/>
    <n v="6031"/>
    <m/>
    <s v="Manuel aflæsning"/>
    <x v="53"/>
    <x v="0"/>
    <x v="7"/>
    <n v="325.94"/>
    <n v="5"/>
    <s v="2015-05-05"/>
    <n v="0"/>
    <n v="0"/>
    <n v="3259.4"/>
    <n v="3"/>
    <x v="0"/>
    <n v="325.94"/>
    <n v="260.74"/>
    <n v="1"/>
    <s v="-2192309"/>
    <m/>
    <n v="325.92865"/>
    <n v="0"/>
    <n v="60682"/>
  </r>
  <r>
    <x v="9"/>
    <s v="06157-9"/>
    <s v="Furesøbad"/>
    <n v="6031"/>
    <m/>
    <s v="Manuel aflæsning"/>
    <x v="53"/>
    <x v="0"/>
    <x v="7"/>
    <n v="2252.7600000000002"/>
    <n v="5"/>
    <s v="2015-05-05"/>
    <n v="0"/>
    <n v="0"/>
    <n v="22527.599999999999"/>
    <n v="3"/>
    <x v="0"/>
    <n v="2252.7600000000002"/>
    <n v="1802.2"/>
    <n v="0"/>
    <s v="98600209 Vand total"/>
    <m/>
    <n v="2252.7444500000001"/>
    <n v="0"/>
    <n v="60683"/>
  </r>
  <r>
    <x v="9"/>
    <s v="06157-9"/>
    <s v="Furesøbad"/>
    <n v="6031"/>
    <m/>
    <s v="Manuel aflæsning"/>
    <x v="53"/>
    <x v="0"/>
    <x v="7"/>
    <n v="3.62"/>
    <n v="4"/>
    <s v="2015-05-05"/>
    <n v="0"/>
    <n v="0"/>
    <n v="36.200000000000003"/>
    <n v="3"/>
    <x v="0"/>
    <n v="3.62"/>
    <n v="2.91"/>
    <n v="1"/>
    <s v="7502 7887"/>
    <m/>
    <n v="3.6206999999999998"/>
    <n v="0"/>
    <n v="62512"/>
  </r>
  <r>
    <x v="9"/>
    <s v="06157-9"/>
    <s v="Furesøbad"/>
    <n v="6031"/>
    <m/>
    <s v="Manuel aflæsning"/>
    <x v="53"/>
    <x v="0"/>
    <x v="7"/>
    <n v="75220.28"/>
    <n v="5"/>
    <s v="2015-05-05"/>
    <n v="0"/>
    <n v="0"/>
    <n v="752202.8"/>
    <n v="1"/>
    <x v="1"/>
    <n v="87858.59"/>
    <n v="11070.18"/>
    <n v="1"/>
    <s v="4959412"/>
    <m/>
    <n v="75220.274040000004"/>
    <n v="0"/>
    <n v="60629"/>
  </r>
  <r>
    <x v="9"/>
    <s v="06157-9"/>
    <s v="Furesøbad"/>
    <n v="6031"/>
    <m/>
    <s v="Manuel aflæsning"/>
    <x v="53"/>
    <x v="0"/>
    <x v="7"/>
    <n v="7395.99"/>
    <n v="5"/>
    <s v="2015-05-05"/>
    <n v="0"/>
    <n v="0"/>
    <n v="73959.899999999994"/>
    <n v="1"/>
    <x v="1"/>
    <n v="8894.9"/>
    <n v="1120.75"/>
    <n v="1"/>
    <s v="Varme Privat"/>
    <m/>
    <n v="7395.9789000000001"/>
    <n v="0"/>
    <n v="60630"/>
  </r>
  <r>
    <x v="9"/>
    <s v="06157-9"/>
    <s v="Furesøbad"/>
    <n v="5489"/>
    <m/>
    <s v="Furesøbad"/>
    <x v="53"/>
    <x v="0"/>
    <x v="7"/>
    <n v="48421.78"/>
    <n v="12"/>
    <m/>
    <n v="0"/>
    <n v="2801"/>
    <n v="17.286701000000001"/>
    <n v="2"/>
    <x v="2"/>
    <n v="48421.78"/>
    <n v="19368.71"/>
    <n v="0"/>
    <s v="Byg 1 800231/1118660"/>
    <s v="74111808063"/>
    <n v="48421.78"/>
    <n v="0"/>
    <n v="58001"/>
  </r>
  <r>
    <x v="9"/>
    <s v="06157-9"/>
    <s v="Furesøbad"/>
    <n v="5489"/>
    <m/>
    <s v="Furesøbad"/>
    <x v="53"/>
    <x v="0"/>
    <x v="7"/>
    <n v="36415.230000000003"/>
    <n v="12"/>
    <m/>
    <n v="0"/>
    <n v="2801"/>
    <n v="13.000332"/>
    <n v="2"/>
    <x v="2"/>
    <n v="36415.230000000003"/>
    <n v="14566.11"/>
    <n v="0"/>
    <s v="Byg 2 799430"/>
    <s v="74111885200"/>
    <n v="36415.232000000004"/>
    <n v="0"/>
    <n v="58091"/>
  </r>
  <r>
    <x v="9"/>
    <s v="06157-9"/>
    <s v="Furesøbad"/>
    <n v="5489"/>
    <m/>
    <s v="Furesøbad"/>
    <x v="53"/>
    <x v="0"/>
    <x v="7"/>
    <n v="7992.42"/>
    <n v="12"/>
    <m/>
    <n v="0"/>
    <n v="2801"/>
    <n v="2.8533140000000001"/>
    <n v="2"/>
    <x v="2"/>
    <n v="7992.42"/>
    <n v="3196.96"/>
    <n v="0"/>
    <s v="Byg 3 1019273"/>
    <s v="74114921226"/>
    <n v="7992.4179999999997"/>
    <n v="0"/>
    <n v="58094"/>
  </r>
  <r>
    <x v="9"/>
    <s v="06157-9"/>
    <s v="Furesøbad"/>
    <n v="6031"/>
    <m/>
    <s v="Manuel aflæsning"/>
    <x v="53"/>
    <x v="0"/>
    <x v="7"/>
    <n v="0"/>
    <n v="4"/>
    <s v="2015-05-05"/>
    <n v="0"/>
    <n v="0"/>
    <n v="0"/>
    <n v="2"/>
    <x v="2"/>
    <n v="0"/>
    <n v="0"/>
    <n v="0"/>
    <s v="813314"/>
    <m/>
    <n v="0"/>
    <n v="0"/>
    <n v="60687"/>
  </r>
  <r>
    <x v="9"/>
    <s v="06157-9"/>
    <s v="Furesøbad"/>
    <n v="6031"/>
    <m/>
    <s v="Manuel aflæsning"/>
    <x v="53"/>
    <x v="0"/>
    <x v="7"/>
    <n v="118606.13"/>
    <n v="4"/>
    <s v="2015-03-31"/>
    <n v="0"/>
    <n v="0"/>
    <n v="1186061.3"/>
    <n v="2"/>
    <x v="2"/>
    <n v="118606.13"/>
    <n v="47442.46"/>
    <n v="1"/>
    <s v="577109"/>
    <m/>
    <n v="118606.10725"/>
    <n v="0"/>
    <n v="60686"/>
  </r>
  <r>
    <x v="9"/>
    <s v="06157-9"/>
    <s v="Furesøbad"/>
    <n v="6031"/>
    <m/>
    <s v="Manuel aflæsning"/>
    <x v="53"/>
    <x v="0"/>
    <x v="7"/>
    <n v="2209.75"/>
    <n v="4"/>
    <s v="2015-05-05"/>
    <n v="0"/>
    <n v="0"/>
    <n v="22097.5"/>
    <n v="2"/>
    <x v="2"/>
    <n v="2209.75"/>
    <n v="883.89"/>
    <n v="1"/>
    <s v="0540 00081290"/>
    <m/>
    <n v="2209.7555499999999"/>
    <n v="0"/>
    <n v="62511"/>
  </r>
  <r>
    <x v="9"/>
    <m/>
    <s v="Hareskov Idræt, Birke 15"/>
    <n v="10207"/>
    <m/>
    <s v="Hareskov Idræt"/>
    <x v="82"/>
    <x v="0"/>
    <x v="7"/>
    <n v="55082.91"/>
    <n v="12"/>
    <s v="2011-12-31"/>
    <n v="0"/>
    <n v="505"/>
    <n v="109.05347399999999"/>
    <n v="1"/>
    <x v="4"/>
    <n v="66538.42"/>
    <n v="14071.62"/>
    <n v="0"/>
    <s v="1203709"/>
    <s v="98003448973"/>
    <n v="5100.2700000000004"/>
    <n v="0"/>
    <n v="77402"/>
  </r>
  <r>
    <x v="11"/>
    <m/>
    <s v="Jonstruphus -Jonstrupvangvej 159"/>
    <n v="10206"/>
    <m/>
    <s v="Jonstruphus"/>
    <x v="66"/>
    <x v="0"/>
    <x v="7"/>
    <n v="56912.33"/>
    <n v="12"/>
    <s v="2011-12-31"/>
    <n v="0"/>
    <n v="439"/>
    <n v="129.61131800000001"/>
    <n v="1"/>
    <x v="4"/>
    <n v="67768.39"/>
    <n v="14331.75"/>
    <n v="0"/>
    <s v="1203787"/>
    <s v="98004818263"/>
    <n v="5269.66"/>
    <n v="0"/>
    <n v="77398"/>
  </r>
  <r>
    <x v="9"/>
    <s v="06157-9"/>
    <s v="Furesøbad"/>
    <n v="6031"/>
    <m/>
    <s v="Manuel aflæsning"/>
    <x v="53"/>
    <x v="0"/>
    <x v="7"/>
    <n v="151094.29"/>
    <n v="5"/>
    <s v="2015-05-05"/>
    <n v="0"/>
    <n v="0"/>
    <n v="1510942.9"/>
    <n v="1"/>
    <x v="5"/>
    <n v="177634.66"/>
    <n v="22381.97"/>
    <n v="1"/>
    <s v="Måler efter fyret"/>
    <m/>
    <n v="151.09429"/>
    <n v="0"/>
    <n v="60628"/>
  </r>
  <r>
    <x v="9"/>
    <m/>
    <s v="Hareskov Idræt, Birke 15"/>
    <n v="10207"/>
    <m/>
    <s v="Hareskov Idræt"/>
    <x v="82"/>
    <x v="0"/>
    <x v="7"/>
    <n v="208.69"/>
    <n v="12"/>
    <s v="2011-11-30"/>
    <n v="0"/>
    <n v="505"/>
    <n v="0.413165"/>
    <n v="3"/>
    <x v="0"/>
    <n v="208.69"/>
    <n v="166.96"/>
    <n v="0"/>
    <s v="02PC501277"/>
    <m/>
    <n v="208.691"/>
    <n v="0"/>
    <n v="77400"/>
  </r>
  <r>
    <x v="9"/>
    <m/>
    <s v="Hareskov Idræt, Birke 15"/>
    <n v="10207"/>
    <m/>
    <s v="Hareskov Idræt"/>
    <x v="82"/>
    <x v="0"/>
    <x v="7"/>
    <n v="13453.27"/>
    <n v="12"/>
    <s v="2011-11-30"/>
    <n v="0"/>
    <n v="505"/>
    <n v="26.634864"/>
    <n v="2"/>
    <x v="2"/>
    <n v="13453.27"/>
    <n v="4035.98"/>
    <n v="0"/>
    <s v="4160062"/>
    <s v="74110491822"/>
    <n v="13453.26"/>
    <n v="0"/>
    <n v="77399"/>
  </r>
  <r>
    <x v="2"/>
    <m/>
    <s v="Driftsgården"/>
    <n v="10124"/>
    <m/>
    <s v="Bygning 1"/>
    <x v="11"/>
    <x v="0"/>
    <x v="7"/>
    <n v="58918.11"/>
    <n v="12"/>
    <s v="2008-01-31"/>
    <n v="0"/>
    <n v="780"/>
    <n v="75.526354999999995"/>
    <n v="1"/>
    <x v="4"/>
    <n v="72607.929999999993"/>
    <n v="15355.24"/>
    <n v="0"/>
    <s v="Afmeldt 1203849"/>
    <s v="98004052476"/>
    <n v="5455.38"/>
    <n v="0"/>
    <n v="77796"/>
  </r>
  <r>
    <x v="9"/>
    <s v="???????"/>
    <s v="Australsk Fodbold, Hvile 3A"/>
    <n v="6354"/>
    <m/>
    <s v="Australsk Fodbold"/>
    <x v="79"/>
    <x v="0"/>
    <x v="0"/>
    <n v="5653"/>
    <n v="5"/>
    <s v="2012-01-25"/>
    <n v="0"/>
    <n v="196"/>
    <n v="20.790413000000001"/>
    <n v="1"/>
    <x v="5"/>
    <n v="6868"/>
    <n v="305.81"/>
    <n v="0"/>
    <s v="6637874"/>
    <m/>
    <n v="4.077"/>
    <n v="0"/>
    <n v="62636"/>
  </r>
  <r>
    <x v="9"/>
    <s v="???????"/>
    <s v="Australsk Fodbold, Hvile 3A"/>
    <n v="6354"/>
    <m/>
    <s v="Australsk Fodbold"/>
    <x v="79"/>
    <x v="0"/>
    <x v="1"/>
    <n v="8678"/>
    <n v="12"/>
    <s v="2012-01-25"/>
    <n v="0"/>
    <n v="196"/>
    <n v="44.252932000000001"/>
    <n v="1"/>
    <x v="5"/>
    <n v="9023.92"/>
    <n v="577.52"/>
    <n v="0"/>
    <s v="6637874"/>
    <m/>
    <n v="8.6780000000000008"/>
    <n v="0"/>
    <n v="62636"/>
  </r>
  <r>
    <x v="9"/>
    <s v="???????"/>
    <s v="Australsk Fodbold, Hvile 3A"/>
    <n v="6354"/>
    <m/>
    <s v="Australsk Fodbold"/>
    <x v="79"/>
    <x v="0"/>
    <x v="2"/>
    <n v="11491.61"/>
    <n v="14"/>
    <s v="2012-01-25"/>
    <n v="0"/>
    <n v="196"/>
    <n v="58.600763999999998"/>
    <n v="1"/>
    <x v="5"/>
    <n v="12186.73"/>
    <n v="2254.5500000000002"/>
    <n v="0"/>
    <s v="6637874"/>
    <m/>
    <n v="11.49161"/>
    <n v="0"/>
    <n v="62636"/>
  </r>
  <r>
    <x v="9"/>
    <s v="???????"/>
    <s v="Australsk Fodbold, Hvile 3A"/>
    <n v="6354"/>
    <m/>
    <s v="Australsk Fodbold"/>
    <x v="79"/>
    <x v="0"/>
    <x v="3"/>
    <n v="9479.58"/>
    <n v="9"/>
    <s v="2012-01-25"/>
    <n v="0"/>
    <n v="196"/>
    <n v="48.340539999999997"/>
    <n v="1"/>
    <x v="5"/>
    <n v="10751.6"/>
    <n v="1989.05"/>
    <n v="0"/>
    <s v="6637874"/>
    <m/>
    <n v="9.4795800000000003"/>
    <n v="0"/>
    <n v="62636"/>
  </r>
  <r>
    <x v="9"/>
    <s v="???????"/>
    <s v="Australsk Fodbold, Hvile 3A"/>
    <n v="6354"/>
    <m/>
    <s v="Australsk Fodbold"/>
    <x v="79"/>
    <x v="0"/>
    <x v="4"/>
    <n v="9340.2000000000007"/>
    <n v="4"/>
    <s v="2012-01-25"/>
    <n v="0"/>
    <n v="196"/>
    <n v="47.629779999999997"/>
    <n v="1"/>
    <x v="5"/>
    <n v="9471.1299999999992"/>
    <n v="1752.16"/>
    <n v="0"/>
    <s v="6637874"/>
    <m/>
    <n v="9.3401999999999994"/>
    <n v="0"/>
    <n v="62636"/>
  </r>
  <r>
    <x v="9"/>
    <s v="???????"/>
    <s v="Australsk Fodbold, Hvile 3A"/>
    <n v="6354"/>
    <m/>
    <s v="Australsk Fodbold"/>
    <x v="79"/>
    <x v="0"/>
    <x v="5"/>
    <n v="11774.56"/>
    <n v="6"/>
    <s v="2012-01-25"/>
    <n v="0"/>
    <n v="196"/>
    <n v="60.043650999999997"/>
    <n v="1"/>
    <x v="5"/>
    <n v="15629.71"/>
    <n v="2891.49"/>
    <n v="0"/>
    <s v="6637874"/>
    <m/>
    <n v="11.774559999999999"/>
    <n v="0"/>
    <n v="62636"/>
  </r>
  <r>
    <x v="9"/>
    <s v="???????"/>
    <s v="Australsk Fodbold, Hvile 3A"/>
    <n v="6354"/>
    <m/>
    <s v="Australsk Fodbold"/>
    <x v="79"/>
    <x v="0"/>
    <x v="6"/>
    <n v="11488.58"/>
    <n v="12"/>
    <s v="2012-01-25"/>
    <n v="0"/>
    <n v="196"/>
    <n v="58.585312999999999"/>
    <n v="1"/>
    <x v="5"/>
    <n v="13033.71"/>
    <n v="2411.23"/>
    <n v="0"/>
    <s v="6637874"/>
    <m/>
    <n v="11.488580000000001"/>
    <n v="0"/>
    <n v="62636"/>
  </r>
  <r>
    <x v="9"/>
    <m/>
    <s v="Det Røde Hus, Poppel 14"/>
    <n v="10231"/>
    <m/>
    <s v="Det Røde Hus"/>
    <x v="81"/>
    <x v="0"/>
    <x v="0"/>
    <n v="52001"/>
    <n v="5"/>
    <s v="2011-10-31"/>
    <n v="0"/>
    <n v="449"/>
    <n v="66.323757999999998"/>
    <n v="1"/>
    <x v="5"/>
    <n v="59995"/>
    <n v="2169.15"/>
    <n v="0"/>
    <s v="2772362/06"/>
    <m/>
    <n v="29.786000000000001"/>
    <n v="0"/>
    <n v="77513"/>
  </r>
  <r>
    <x v="9"/>
    <m/>
    <s v="Det Røde Hus, Poppel 14"/>
    <n v="10231"/>
    <m/>
    <s v="Det Røde Hus"/>
    <x v="81"/>
    <x v="1"/>
    <x v="0"/>
    <n v="29814.9"/>
    <n v="5"/>
    <m/>
    <n v="0"/>
    <n v="449"/>
    <n v="66.388109"/>
    <n v="1"/>
    <x v="3"/>
    <n v="33456.74"/>
    <n v="4209.66"/>
    <n v="1"/>
    <s v="2772362"/>
    <m/>
    <n v="854.54"/>
    <n v="0"/>
    <n v="89939"/>
  </r>
  <r>
    <x v="9"/>
    <m/>
    <s v="Det Røde Hus, Poppel 14"/>
    <n v="10231"/>
    <m/>
    <s v="Det Røde Hus"/>
    <x v="81"/>
    <x v="1"/>
    <x v="1"/>
    <n v="77265.64"/>
    <n v="12"/>
    <m/>
    <n v="0"/>
    <n v="449"/>
    <n v="172.045513"/>
    <n v="1"/>
    <x v="3"/>
    <n v="80504.22"/>
    <n v="10129.35"/>
    <n v="1"/>
    <s v="2772362"/>
    <m/>
    <n v="2214.5500000000002"/>
    <n v="0"/>
    <n v="89939"/>
  </r>
  <r>
    <x v="9"/>
    <m/>
    <s v="Det Røde Hus, Poppel 14"/>
    <n v="10231"/>
    <m/>
    <s v="Det Røde Hus"/>
    <x v="81"/>
    <x v="0"/>
    <x v="1"/>
    <n v="57674"/>
    <n v="12"/>
    <s v="2011-10-31"/>
    <n v="0"/>
    <n v="449"/>
    <n v="128.42128700000001"/>
    <n v="1"/>
    <x v="5"/>
    <n v="60702.42"/>
    <n v="3884.95"/>
    <n v="0"/>
    <s v="2772362/06"/>
    <m/>
    <n v="57.673999999999999"/>
    <n v="0"/>
    <n v="77513"/>
  </r>
  <r>
    <x v="9"/>
    <m/>
    <s v="Det Røde Hus, Poppel 14"/>
    <n v="10231"/>
    <m/>
    <s v="Det Røde Hus"/>
    <x v="81"/>
    <x v="1"/>
    <x v="2"/>
    <n v="130314.84"/>
    <n v="12"/>
    <m/>
    <n v="0"/>
    <n v="449"/>
    <n v="290.16887100000002"/>
    <n v="1"/>
    <x v="3"/>
    <n v="142013.07"/>
    <n v="17868.650000000001"/>
    <n v="1"/>
    <s v="2772362"/>
    <m/>
    <n v="3735.02"/>
    <n v="0"/>
    <n v="89939"/>
  </r>
  <r>
    <x v="9"/>
    <m/>
    <s v="Det Røde Hus, Poppel 14"/>
    <n v="10231"/>
    <m/>
    <s v="Det Røde Hus"/>
    <x v="81"/>
    <x v="0"/>
    <x v="2"/>
    <n v="64221"/>
    <n v="12"/>
    <s v="2011-10-31"/>
    <n v="0"/>
    <n v="449"/>
    <n v="142.99933100000001"/>
    <n v="1"/>
    <x v="5"/>
    <n v="68153.89"/>
    <n v="12608.45"/>
    <n v="0"/>
    <s v="2772362/06"/>
    <m/>
    <n v="64.221000000000004"/>
    <n v="0"/>
    <n v="77513"/>
  </r>
  <r>
    <x v="9"/>
    <m/>
    <s v="Det Røde Hus, Poppel 14"/>
    <n v="10231"/>
    <m/>
    <s v="Det Røde Hus"/>
    <x v="81"/>
    <x v="0"/>
    <x v="3"/>
    <n v="63197.06"/>
    <n v="13"/>
    <s v="2011-10-31"/>
    <n v="0"/>
    <n v="449"/>
    <n v="140.71934899999999"/>
    <n v="1"/>
    <x v="5"/>
    <n v="70548.55"/>
    <n v="13051.51"/>
    <n v="0"/>
    <s v="2772362/06"/>
    <m/>
    <n v="63.19706"/>
    <n v="0"/>
    <n v="77513"/>
  </r>
  <r>
    <x v="9"/>
    <m/>
    <s v="Det Røde Hus, Poppel 14"/>
    <n v="10231"/>
    <m/>
    <s v="Det Røde Hus"/>
    <x v="81"/>
    <x v="1"/>
    <x v="3"/>
    <n v="35099.339999999997"/>
    <n v="12"/>
    <m/>
    <n v="0"/>
    <n v="449"/>
    <n v="78.154843"/>
    <n v="1"/>
    <x v="3"/>
    <n v="40362.67"/>
    <n v="5078.6000000000004"/>
    <n v="1"/>
    <s v="2772362"/>
    <m/>
    <n v="1006"/>
    <n v="0"/>
    <n v="89939"/>
  </r>
  <r>
    <x v="9"/>
    <m/>
    <s v="Det Røde Hus, Poppel 14"/>
    <n v="10231"/>
    <m/>
    <s v="Det Røde Hus"/>
    <x v="81"/>
    <x v="0"/>
    <x v="4"/>
    <n v="78157.38"/>
    <n v="12"/>
    <s v="2011-10-31"/>
    <n v="0"/>
    <n v="449"/>
    <n v="174.031128"/>
    <n v="1"/>
    <x v="5"/>
    <n v="70995.679999999993"/>
    <n v="13134.19"/>
    <n v="0"/>
    <s v="2772362/06"/>
    <m/>
    <n v="78.157380000000003"/>
    <n v="0"/>
    <n v="77513"/>
  </r>
  <r>
    <x v="9"/>
    <m/>
    <s v="Det Røde Hus, Poppel 14"/>
    <n v="10231"/>
    <m/>
    <s v="Det Røde Hus"/>
    <x v="81"/>
    <x v="1"/>
    <x v="4"/>
    <n v="0"/>
    <n v="12"/>
    <m/>
    <n v="0"/>
    <n v="449"/>
    <n v="0"/>
    <n v="1"/>
    <x v="3"/>
    <n v="0"/>
    <n v="0"/>
    <n v="1"/>
    <s v="2772362"/>
    <m/>
    <n v="0"/>
    <n v="0"/>
    <n v="89939"/>
  </r>
  <r>
    <x v="9"/>
    <m/>
    <s v="Det Røde Hus, Poppel 14"/>
    <n v="10231"/>
    <m/>
    <s v="Det Røde Hus"/>
    <x v="81"/>
    <x v="1"/>
    <x v="5"/>
    <n v="0"/>
    <n v="12"/>
    <m/>
    <n v="0"/>
    <n v="449"/>
    <n v="0"/>
    <n v="1"/>
    <x v="3"/>
    <n v="0"/>
    <n v="0"/>
    <n v="1"/>
    <s v="2772362"/>
    <m/>
    <n v="0"/>
    <n v="0"/>
    <n v="89939"/>
  </r>
  <r>
    <x v="9"/>
    <m/>
    <s v="Det Røde Hus, Poppel 14"/>
    <n v="10231"/>
    <m/>
    <s v="Det Røde Hus"/>
    <x v="81"/>
    <x v="0"/>
    <x v="5"/>
    <n v="78606.039999999994"/>
    <n v="11"/>
    <s v="2011-10-31"/>
    <n v="0"/>
    <n v="449"/>
    <n v="175.03014899999999"/>
    <n v="1"/>
    <x v="5"/>
    <n v="87899.23"/>
    <n v="16261.35"/>
    <n v="0"/>
    <s v="2772362/06"/>
    <m/>
    <n v="78.606039999999993"/>
    <n v="0"/>
    <n v="77513"/>
  </r>
  <r>
    <x v="9"/>
    <m/>
    <s v="Det Røde Hus, Poppel 14"/>
    <n v="10231"/>
    <m/>
    <s v="Det Røde Hus"/>
    <x v="81"/>
    <x v="1"/>
    <x v="6"/>
    <n v="0"/>
    <n v="12"/>
    <m/>
    <n v="0"/>
    <n v="449"/>
    <n v="0"/>
    <n v="1"/>
    <x v="3"/>
    <n v="0"/>
    <n v="0"/>
    <n v="1"/>
    <s v="2772362"/>
    <m/>
    <n v="0"/>
    <n v="0"/>
    <n v="89939"/>
  </r>
  <r>
    <x v="9"/>
    <m/>
    <s v="Det Røde Hus, Poppel 14"/>
    <n v="10231"/>
    <m/>
    <s v="Det Røde Hus"/>
    <x v="81"/>
    <x v="0"/>
    <x v="6"/>
    <n v="77172.81"/>
    <n v="10"/>
    <s v="2011-10-31"/>
    <n v="0"/>
    <n v="449"/>
    <n v="171.83881"/>
    <n v="1"/>
    <x v="5"/>
    <n v="89917.96"/>
    <n v="16634.830000000002"/>
    <n v="0"/>
    <s v="2772362/06"/>
    <m/>
    <n v="77.172809999999998"/>
    <n v="0"/>
    <n v="77513"/>
  </r>
  <r>
    <x v="9"/>
    <s v="06157-9"/>
    <s v="Furesøbad"/>
    <n v="5489"/>
    <m/>
    <s v="Furesøbad"/>
    <x v="53"/>
    <x v="1"/>
    <x v="0"/>
    <n v="0"/>
    <n v="5"/>
    <m/>
    <n v="0"/>
    <n v="2801"/>
    <n v="39.717596"/>
    <n v="1"/>
    <x v="4"/>
    <n v="0"/>
    <n v="26206.49"/>
    <n v="0"/>
    <s v="-525481"/>
    <s v="98004940469"/>
    <n v="10301.200000000001"/>
    <n v="0"/>
    <n v="58006"/>
  </r>
  <r>
    <x v="9"/>
    <s v="06157-9"/>
    <s v="Furesøbad"/>
    <n v="5489"/>
    <m/>
    <s v="Furesøbad"/>
    <x v="53"/>
    <x v="0"/>
    <x v="1"/>
    <n v="234584.64"/>
    <n v="12"/>
    <m/>
    <n v="0"/>
    <n v="2801"/>
    <n v="83.747326999999999"/>
    <n v="1"/>
    <x v="4"/>
    <n v="282515.42"/>
    <n v="59746.78"/>
    <n v="0"/>
    <s v="-525481"/>
    <s v="98004940469"/>
    <n v="21720.799999999999"/>
    <n v="0"/>
    <n v="58006"/>
  </r>
  <r>
    <x v="9"/>
    <s v="06157-9"/>
    <s v="Furesøbad"/>
    <n v="5489"/>
    <m/>
    <s v="Furesøbad"/>
    <x v="53"/>
    <x v="0"/>
    <x v="2"/>
    <n v="246387.96"/>
    <n v="12"/>
    <m/>
    <n v="0"/>
    <n v="2801"/>
    <n v="87.961143000000007"/>
    <n v="1"/>
    <x v="4"/>
    <n v="265230.67"/>
    <n v="56091.37"/>
    <n v="0"/>
    <s v="-525481"/>
    <s v="98004940469"/>
    <n v="22813.7"/>
    <n v="0"/>
    <n v="58006"/>
  </r>
  <r>
    <x v="9"/>
    <s v="06157-9"/>
    <s v="Furesøbad"/>
    <n v="5489"/>
    <m/>
    <s v="Furesøbad"/>
    <x v="53"/>
    <x v="0"/>
    <x v="3"/>
    <n v="242751.84"/>
    <n v="12"/>
    <m/>
    <n v="0"/>
    <n v="2801"/>
    <n v="86.663038999999998"/>
    <n v="1"/>
    <x v="4"/>
    <n v="283582.40999999997"/>
    <n v="59972.44"/>
    <n v="0"/>
    <s v="-525481"/>
    <s v="98004940469"/>
    <n v="22477.023000000001"/>
    <n v="0"/>
    <n v="58006"/>
  </r>
  <r>
    <x v="9"/>
    <s v="06157-9"/>
    <s v="Furesøbad"/>
    <n v="5489"/>
    <m/>
    <s v="Furesøbad"/>
    <x v="53"/>
    <x v="0"/>
    <x v="4"/>
    <n v="284970.71999999997"/>
    <n v="12"/>
    <m/>
    <n v="0"/>
    <n v="2801"/>
    <n v="101.73528899999999"/>
    <n v="1"/>
    <x v="4"/>
    <n v="352000.24"/>
    <n v="74441.539999999994"/>
    <n v="0"/>
    <s v="-525481"/>
    <s v="98004940469"/>
    <n v="26386.178"/>
    <n v="0"/>
    <n v="58006"/>
  </r>
  <r>
    <x v="9"/>
    <s v="06157-9"/>
    <s v="Furesøbad"/>
    <n v="5489"/>
    <m/>
    <s v="Furesøbad"/>
    <x v="53"/>
    <x v="0"/>
    <x v="5"/>
    <n v="255852"/>
    <n v="12"/>
    <m/>
    <n v="0"/>
    <n v="2801"/>
    <n v="91.339830000000006"/>
    <n v="1"/>
    <x v="4"/>
    <n v="300504.78999999998"/>
    <n v="63551.19"/>
    <n v="0"/>
    <s v="-525481"/>
    <s v="98004940469"/>
    <n v="23690"/>
    <n v="0"/>
    <n v="58006"/>
  </r>
  <r>
    <x v="9"/>
    <s v="06157-9"/>
    <s v="Furesøbad"/>
    <n v="5489"/>
    <m/>
    <s v="Furesøbad"/>
    <x v="53"/>
    <x v="0"/>
    <x v="6"/>
    <n v="238377.60000000001"/>
    <n v="12"/>
    <m/>
    <n v="0"/>
    <n v="2801"/>
    <n v="85.101423999999994"/>
    <n v="1"/>
    <x v="4"/>
    <n v="283177.90000000002"/>
    <n v="59886.89"/>
    <n v="0"/>
    <s v="-525481"/>
    <s v="98004940469"/>
    <n v="22072"/>
    <n v="0"/>
    <n v="58006"/>
  </r>
  <r>
    <x v="9"/>
    <s v="06157-9"/>
    <s v="Furesøbad"/>
    <n v="6031"/>
    <m/>
    <s v="Manuel aflæsning"/>
    <x v="53"/>
    <x v="1"/>
    <x v="0"/>
    <n v="0"/>
    <n v="4"/>
    <s v="2015-05-05"/>
    <n v="0"/>
    <n v="0"/>
    <n v="377098.4"/>
    <n v="1"/>
    <x v="1"/>
    <n v="0"/>
    <n v="5340.36"/>
    <n v="1"/>
    <s v="4959412"/>
    <m/>
    <n v="37709.833319999998"/>
    <n v="0"/>
    <n v="60629"/>
  </r>
  <r>
    <x v="9"/>
    <s v="06157-9"/>
    <s v="Furesøbad"/>
    <n v="6031"/>
    <m/>
    <s v="Manuel aflæsning"/>
    <x v="53"/>
    <x v="1"/>
    <x v="0"/>
    <n v="0"/>
    <n v="4"/>
    <s v="2015-05-05"/>
    <n v="0"/>
    <n v="0"/>
    <n v="39639.599999999999"/>
    <n v="1"/>
    <x v="4"/>
    <n v="0"/>
    <n v="901.78"/>
    <n v="1"/>
    <s v="-1528401"/>
    <m/>
    <n v="367.03334000000001"/>
    <n v="0"/>
    <n v="60685"/>
  </r>
  <r>
    <x v="9"/>
    <s v="06157-9"/>
    <s v="Furesøbad"/>
    <n v="6031"/>
    <m/>
    <s v="Manuel aflæsning"/>
    <x v="53"/>
    <x v="1"/>
    <x v="0"/>
    <n v="0"/>
    <n v="4"/>
    <s v="2015-05-05"/>
    <n v="0"/>
    <n v="0"/>
    <n v="43081.9"/>
    <n v="1"/>
    <x v="1"/>
    <n v="0"/>
    <n v="610.73"/>
    <n v="1"/>
    <s v="Varme Privat"/>
    <m/>
    <n v="4308.1888900000004"/>
    <n v="0"/>
    <n v="60630"/>
  </r>
  <r>
    <x v="9"/>
    <s v="06157-9"/>
    <s v="Furesøbad"/>
    <n v="6031"/>
    <m/>
    <s v="Manuel aflæsning"/>
    <x v="53"/>
    <x v="1"/>
    <x v="0"/>
    <n v="0"/>
    <n v="4"/>
    <s v="2015-05-05"/>
    <n v="0"/>
    <n v="0"/>
    <n v="862906.6"/>
    <n v="1"/>
    <x v="5"/>
    <n v="0"/>
    <n v="12259.84"/>
    <n v="1"/>
    <s v="Måler efter fyret"/>
    <m/>
    <n v="86.290660000000003"/>
    <n v="0"/>
    <n v="60628"/>
  </r>
  <r>
    <x v="9"/>
    <s v="06157-9"/>
    <s v="Furesøbad"/>
    <n v="6031"/>
    <m/>
    <s v="Manuel aflæsning"/>
    <x v="53"/>
    <x v="0"/>
    <x v="1"/>
    <n v="77486.02"/>
    <n v="11"/>
    <s v="2015-05-05"/>
    <n v="0"/>
    <n v="0"/>
    <n v="774860.2"/>
    <n v="1"/>
    <x v="1"/>
    <n v="95994.8"/>
    <n v="12095.34"/>
    <n v="1"/>
    <s v="4959412"/>
    <m/>
    <n v="77486.017619999999"/>
    <n v="0"/>
    <n v="60629"/>
  </r>
  <r>
    <x v="9"/>
    <s v="06157-9"/>
    <s v="Furesøbad"/>
    <n v="6031"/>
    <m/>
    <s v="Manuel aflæsning"/>
    <x v="53"/>
    <x v="0"/>
    <x v="1"/>
    <n v="5428.81"/>
    <n v="10"/>
    <s v="2015-05-05"/>
    <n v="0"/>
    <n v="0"/>
    <n v="54288.1"/>
    <n v="1"/>
    <x v="4"/>
    <n v="8776.77"/>
    <n v="1856.13"/>
    <n v="1"/>
    <s v="-1528401"/>
    <m/>
    <n v="502.66813000000002"/>
    <n v="0"/>
    <n v="60685"/>
  </r>
  <r>
    <x v="9"/>
    <s v="06157-9"/>
    <s v="Furesøbad"/>
    <n v="6031"/>
    <m/>
    <s v="Manuel aflæsning"/>
    <x v="53"/>
    <x v="0"/>
    <x v="1"/>
    <n v="7166.56"/>
    <n v="11"/>
    <s v="2015-05-05"/>
    <n v="0"/>
    <n v="0"/>
    <n v="71665.600000000006"/>
    <n v="1"/>
    <x v="1"/>
    <n v="7540.71"/>
    <n v="950.13"/>
    <n v="1"/>
    <s v="Varme Privat"/>
    <m/>
    <n v="7166.5509599999996"/>
    <n v="0"/>
    <n v="60630"/>
  </r>
  <r>
    <x v="9"/>
    <s v="06157-9"/>
    <s v="Furesøbad"/>
    <n v="6031"/>
    <m/>
    <s v="Manuel aflæsning"/>
    <x v="53"/>
    <x v="0"/>
    <x v="1"/>
    <n v="170263.15"/>
    <n v="11"/>
    <s v="2015-05-05"/>
    <n v="0"/>
    <n v="0"/>
    <n v="1702631.5"/>
    <n v="1"/>
    <x v="5"/>
    <n v="196253.54"/>
    <n v="24727.96"/>
    <n v="1"/>
    <s v="Måler efter fyret"/>
    <m/>
    <n v="170.26315"/>
    <n v="0"/>
    <n v="60628"/>
  </r>
  <r>
    <x v="9"/>
    <s v="06157-9"/>
    <s v="Furesøbad"/>
    <n v="6031"/>
    <m/>
    <s v="Manuel aflæsning"/>
    <x v="53"/>
    <x v="0"/>
    <x v="2"/>
    <n v="189746.55"/>
    <n v="10"/>
    <s v="2015-05-05"/>
    <n v="0"/>
    <n v="0"/>
    <n v="1897465.5"/>
    <n v="1"/>
    <x v="5"/>
    <n v="202051.18"/>
    <n v="25458.46"/>
    <n v="1"/>
    <s v="Måler efter fyret"/>
    <m/>
    <n v="189.74655000000001"/>
    <n v="0"/>
    <n v="60628"/>
  </r>
  <r>
    <x v="9"/>
    <s v="06157-9"/>
    <s v="Furesøbad"/>
    <n v="6031"/>
    <m/>
    <s v="Manuel aflæsning"/>
    <x v="53"/>
    <x v="0"/>
    <x v="2"/>
    <n v="74443.47"/>
    <n v="10"/>
    <s v="2015-05-05"/>
    <n v="0"/>
    <n v="0"/>
    <n v="744434.7"/>
    <n v="1"/>
    <x v="1"/>
    <n v="81037.13"/>
    <n v="10210.69"/>
    <n v="1"/>
    <s v="4959412"/>
    <m/>
    <n v="74443.474979999999"/>
    <n v="0"/>
    <n v="60629"/>
  </r>
  <r>
    <x v="9"/>
    <s v="06157-9"/>
    <s v="Furesøbad"/>
    <n v="6031"/>
    <m/>
    <s v="Manuel aflæsning"/>
    <x v="53"/>
    <x v="0"/>
    <x v="2"/>
    <n v="8205.42"/>
    <n v="10"/>
    <s v="2015-05-05"/>
    <n v="0"/>
    <n v="0"/>
    <n v="82054.2"/>
    <n v="1"/>
    <x v="1"/>
    <n v="8720.3799999999992"/>
    <n v="1098.76"/>
    <n v="1"/>
    <s v="Varme Privat"/>
    <m/>
    <n v="8205.4145900000003"/>
    <n v="0"/>
    <n v="60630"/>
  </r>
  <r>
    <x v="9"/>
    <s v="06157-9"/>
    <s v="Furesøbad"/>
    <n v="6031"/>
    <m/>
    <s v="Manuel aflæsning"/>
    <x v="53"/>
    <x v="0"/>
    <x v="2"/>
    <n v="5414.82"/>
    <n v="10"/>
    <s v="2015-05-05"/>
    <n v="0"/>
    <n v="0"/>
    <n v="54148.2"/>
    <n v="1"/>
    <x v="4"/>
    <n v="6134.38"/>
    <n v="1297.32"/>
    <n v="1"/>
    <s v="-1528401"/>
    <m/>
    <n v="501.37186000000003"/>
    <n v="0"/>
    <n v="60685"/>
  </r>
  <r>
    <x v="9"/>
    <s v="06157-9"/>
    <s v="Furesøbad"/>
    <n v="6031"/>
    <m/>
    <s v="Manuel aflæsning"/>
    <x v="53"/>
    <x v="0"/>
    <x v="3"/>
    <n v="7194.19"/>
    <n v="11"/>
    <s v="2015-05-05"/>
    <n v="0"/>
    <n v="0"/>
    <n v="71941.899999999994"/>
    <n v="1"/>
    <x v="1"/>
    <n v="7655.15"/>
    <n v="964.55"/>
    <n v="1"/>
    <s v="Varme Privat"/>
    <m/>
    <n v="7194.1892500000004"/>
    <n v="0"/>
    <n v="60630"/>
  </r>
  <r>
    <x v="9"/>
    <s v="06157-9"/>
    <s v="Furesøbad"/>
    <n v="6031"/>
    <m/>
    <s v="Manuel aflæsning"/>
    <x v="53"/>
    <x v="0"/>
    <x v="3"/>
    <n v="186642.43"/>
    <n v="11"/>
    <s v="2015-05-05"/>
    <n v="0"/>
    <n v="0"/>
    <n v="1866424.3"/>
    <n v="1"/>
    <x v="5"/>
    <n v="203653.98"/>
    <n v="25660.400000000001"/>
    <n v="1"/>
    <s v="Måler efter fyret"/>
    <m/>
    <n v="186.64242999999999"/>
    <n v="0"/>
    <n v="60628"/>
  </r>
  <r>
    <x v="9"/>
    <s v="06157-9"/>
    <s v="Furesøbad"/>
    <n v="6031"/>
    <m/>
    <s v="Manuel aflæsning"/>
    <x v="53"/>
    <x v="0"/>
    <x v="3"/>
    <n v="75121.56"/>
    <n v="11"/>
    <s v="2015-05-05"/>
    <n v="0"/>
    <n v="0"/>
    <n v="751215.6"/>
    <n v="1"/>
    <x v="1"/>
    <n v="83295.66"/>
    <n v="10495.25"/>
    <n v="1"/>
    <s v="4959412"/>
    <m/>
    <n v="75121.561289999998"/>
    <n v="0"/>
    <n v="60629"/>
  </r>
  <r>
    <x v="9"/>
    <s v="06157-9"/>
    <s v="Furesøbad"/>
    <n v="6031"/>
    <m/>
    <s v="Manuel aflæsning"/>
    <x v="53"/>
    <x v="0"/>
    <x v="3"/>
    <n v="5977.19"/>
    <n v="11"/>
    <s v="2015-05-05"/>
    <n v="0"/>
    <n v="0"/>
    <n v="59771.9"/>
    <n v="1"/>
    <x v="4"/>
    <n v="7244.67"/>
    <n v="1532.11"/>
    <n v="1"/>
    <s v="-1528401"/>
    <m/>
    <n v="553.44321000000002"/>
    <n v="0"/>
    <n v="60685"/>
  </r>
  <r>
    <x v="9"/>
    <s v="06157-9"/>
    <s v="Furesøbad"/>
    <n v="6031"/>
    <m/>
    <s v="Manuel aflæsning"/>
    <x v="53"/>
    <x v="0"/>
    <x v="4"/>
    <n v="9969.89"/>
    <n v="12"/>
    <s v="2015-05-05"/>
    <n v="0"/>
    <n v="0"/>
    <n v="99698.9"/>
    <n v="1"/>
    <x v="1"/>
    <n v="9024.02"/>
    <n v="1137.03"/>
    <n v="1"/>
    <s v="Varme Privat"/>
    <m/>
    <n v="9969.8879500000003"/>
    <n v="0"/>
    <n v="60630"/>
  </r>
  <r>
    <x v="9"/>
    <s v="06157-9"/>
    <s v="Furesøbad"/>
    <n v="6031"/>
    <m/>
    <s v="Manuel aflæsning"/>
    <x v="53"/>
    <x v="0"/>
    <x v="4"/>
    <n v="227672.91"/>
    <n v="12"/>
    <s v="2015-05-05"/>
    <n v="0"/>
    <n v="0"/>
    <n v="2276729.1"/>
    <n v="1"/>
    <x v="5"/>
    <n v="217664.68"/>
    <n v="27425.74"/>
    <n v="1"/>
    <s v="Måler efter fyret"/>
    <m/>
    <n v="227.67291"/>
    <n v="0"/>
    <n v="60628"/>
  </r>
  <r>
    <x v="9"/>
    <s v="06157-9"/>
    <s v="Furesøbad"/>
    <n v="6031"/>
    <m/>
    <s v="Manuel aflæsning"/>
    <x v="53"/>
    <x v="0"/>
    <x v="4"/>
    <n v="83202.95"/>
    <n v="12"/>
    <s v="2015-05-05"/>
    <n v="0"/>
    <n v="0"/>
    <n v="832029.5"/>
    <n v="1"/>
    <x v="1"/>
    <n v="92640.31"/>
    <n v="11672.67"/>
    <n v="1"/>
    <s v="4959412"/>
    <m/>
    <n v="83202.943969999993"/>
    <n v="0"/>
    <n v="60629"/>
  </r>
  <r>
    <x v="9"/>
    <s v="06157-9"/>
    <s v="Furesøbad"/>
    <n v="6031"/>
    <m/>
    <s v="Manuel aflæsning"/>
    <x v="53"/>
    <x v="0"/>
    <x v="4"/>
    <n v="7232.57"/>
    <n v="11"/>
    <s v="2015-05-05"/>
    <n v="0"/>
    <n v="0"/>
    <n v="72325.7"/>
    <n v="1"/>
    <x v="4"/>
    <n v="10877.31"/>
    <n v="2300.34"/>
    <n v="1"/>
    <s v="-1528401"/>
    <m/>
    <n v="669.68308999999999"/>
    <n v="0"/>
    <n v="60685"/>
  </r>
  <r>
    <x v="9"/>
    <s v="06157-9"/>
    <s v="Furesøbad"/>
    <n v="6031"/>
    <m/>
    <s v="Manuel aflæsning"/>
    <x v="53"/>
    <x v="0"/>
    <x v="5"/>
    <n v="7410.39"/>
    <n v="12"/>
    <s v="2015-05-05"/>
    <n v="0"/>
    <n v="0"/>
    <n v="74103.899999999994"/>
    <n v="1"/>
    <x v="1"/>
    <n v="7861.44"/>
    <n v="990.53"/>
    <n v="1"/>
    <s v="Varme Privat"/>
    <m/>
    <n v="7410.3777"/>
    <n v="0"/>
    <n v="60630"/>
  </r>
  <r>
    <x v="9"/>
    <s v="06157-9"/>
    <s v="Furesøbad"/>
    <n v="6031"/>
    <m/>
    <s v="Manuel aflæsning"/>
    <x v="53"/>
    <x v="0"/>
    <x v="5"/>
    <n v="200189.41"/>
    <n v="12"/>
    <s v="2015-05-05"/>
    <n v="0"/>
    <n v="0"/>
    <n v="2001894.1"/>
    <n v="1"/>
    <x v="5"/>
    <n v="222199.14"/>
    <n v="27997.11"/>
    <n v="1"/>
    <s v="Måler efter fyret"/>
    <m/>
    <n v="200.18941000000001"/>
    <n v="0"/>
    <n v="60628"/>
  </r>
  <r>
    <x v="9"/>
    <s v="06157-9"/>
    <s v="Furesøbad"/>
    <n v="6031"/>
    <m/>
    <s v="Manuel aflæsning"/>
    <x v="53"/>
    <x v="0"/>
    <x v="5"/>
    <n v="78841.69"/>
    <n v="12"/>
    <s v="2015-05-05"/>
    <n v="0"/>
    <n v="0"/>
    <n v="788416.9"/>
    <n v="1"/>
    <x v="1"/>
    <n v="93361.85"/>
    <n v="11763.58"/>
    <n v="1"/>
    <s v="4959412"/>
    <m/>
    <n v="78841.688850000006"/>
    <n v="0"/>
    <n v="60629"/>
  </r>
  <r>
    <x v="9"/>
    <s v="06157-9"/>
    <s v="Furesøbad"/>
    <n v="6031"/>
    <m/>
    <s v="Manuel aflæsning"/>
    <x v="53"/>
    <x v="0"/>
    <x v="5"/>
    <n v="13554.09"/>
    <n v="12"/>
    <s v="2015-05-05"/>
    <n v="0"/>
    <n v="0"/>
    <n v="135540.9"/>
    <n v="1"/>
    <x v="4"/>
    <n v="20172.43"/>
    <n v="4266.09"/>
    <n v="1"/>
    <s v="-1528401"/>
    <m/>
    <n v="1255.0089700000001"/>
    <n v="0"/>
    <n v="60685"/>
  </r>
  <r>
    <x v="9"/>
    <s v="06157-9"/>
    <s v="Furesøbad"/>
    <n v="6031"/>
    <m/>
    <s v="Manuel aflæsning"/>
    <x v="53"/>
    <x v="0"/>
    <x v="6"/>
    <n v="58968.24"/>
    <n v="12"/>
    <s v="2015-05-05"/>
    <n v="0"/>
    <n v="0"/>
    <n v="589682.4"/>
    <n v="1"/>
    <x v="1"/>
    <n v="67768.350000000006"/>
    <n v="8538.83"/>
    <n v="1"/>
    <s v="4959412"/>
    <m/>
    <n v="58968.238140000001"/>
    <n v="0"/>
    <n v="60629"/>
  </r>
  <r>
    <x v="9"/>
    <s v="06157-9"/>
    <s v="Furesøbad"/>
    <n v="6031"/>
    <m/>
    <s v="Manuel aflæsning"/>
    <x v="53"/>
    <x v="0"/>
    <x v="6"/>
    <n v="3336.41"/>
    <n v="12"/>
    <s v="2015-05-05"/>
    <n v="0"/>
    <n v="0"/>
    <n v="33364.1"/>
    <n v="1"/>
    <x v="1"/>
    <n v="3987.42"/>
    <n v="502.42"/>
    <n v="1"/>
    <s v="Varme Privat"/>
    <m/>
    <n v="3336.4117700000002"/>
    <n v="0"/>
    <n v="60630"/>
  </r>
  <r>
    <x v="9"/>
    <s v="06157-9"/>
    <s v="Furesøbad"/>
    <n v="6031"/>
    <m/>
    <s v="Manuel aflæsning"/>
    <x v="53"/>
    <x v="0"/>
    <x v="6"/>
    <n v="184738.35"/>
    <n v="12"/>
    <s v="2015-05-05"/>
    <n v="0"/>
    <n v="0"/>
    <n v="1847383.5"/>
    <n v="1"/>
    <x v="5"/>
    <n v="212817.23"/>
    <n v="26814.97"/>
    <n v="1"/>
    <s v="Måler efter fyret"/>
    <m/>
    <n v="184.73835"/>
    <n v="0"/>
    <n v="60628"/>
  </r>
  <r>
    <x v="9"/>
    <s v="06157-9"/>
    <s v="Furesøbad"/>
    <n v="6031"/>
    <m/>
    <s v="Manuel aflæsning"/>
    <x v="53"/>
    <x v="0"/>
    <x v="6"/>
    <n v="4207.37"/>
    <n v="12"/>
    <s v="2015-05-05"/>
    <n v="0"/>
    <n v="0"/>
    <n v="42073.7"/>
    <n v="1"/>
    <x v="4"/>
    <n v="4655.5"/>
    <n v="984.55"/>
    <n v="1"/>
    <s v="-1528401"/>
    <m/>
    <n v="389.57191"/>
    <n v="0"/>
    <n v="60685"/>
  </r>
  <r>
    <x v="9"/>
    <m/>
    <s v="Hareskov Idræt, Birke 15"/>
    <n v="10207"/>
    <m/>
    <s v="Hareskov Idræt"/>
    <x v="82"/>
    <x v="0"/>
    <x v="0"/>
    <n v="51160"/>
    <n v="5"/>
    <s v="2011-12-31"/>
    <n v="0"/>
    <n v="505"/>
    <n v="67.361768999999995"/>
    <n v="1"/>
    <x v="4"/>
    <n v="59152"/>
    <n v="8069.37"/>
    <n v="0"/>
    <s v="1203709"/>
    <s v="98003448973"/>
    <n v="3150.41"/>
    <n v="0"/>
    <n v="77402"/>
  </r>
  <r>
    <x v="9"/>
    <m/>
    <s v="Hareskov Idræt, Birke 15"/>
    <n v="10207"/>
    <m/>
    <s v="Hareskov Idræt"/>
    <x v="82"/>
    <x v="0"/>
    <x v="1"/>
    <n v="74438.009999999995"/>
    <n v="12"/>
    <s v="2011-12-31"/>
    <n v="0"/>
    <n v="505"/>
    <n v="147.372817"/>
    <n v="1"/>
    <x v="4"/>
    <n v="77736.39"/>
    <n v="16439.82"/>
    <n v="0"/>
    <s v="1203709"/>
    <s v="98003448973"/>
    <n v="6892.41"/>
    <n v="0"/>
    <n v="77402"/>
  </r>
  <r>
    <x v="9"/>
    <m/>
    <s v="Hareskov Idræt, Birke 15"/>
    <n v="10207"/>
    <m/>
    <s v="Hareskov Idræt"/>
    <x v="82"/>
    <x v="0"/>
    <x v="2"/>
    <n v="90262.61"/>
    <n v="12"/>
    <s v="2011-12-31"/>
    <n v="0"/>
    <n v="505"/>
    <n v="178.70245399999999"/>
    <n v="1"/>
    <x v="4"/>
    <n v="94315.31"/>
    <n v="19945.97"/>
    <n v="0"/>
    <s v="1203709"/>
    <s v="98003448973"/>
    <n v="8357.65"/>
    <n v="0"/>
    <n v="77402"/>
  </r>
  <r>
    <x v="9"/>
    <m/>
    <s v="Hareskov Idræt, Birke 15"/>
    <n v="10207"/>
    <m/>
    <s v="Hareskov Idræt"/>
    <x v="82"/>
    <x v="0"/>
    <x v="3"/>
    <n v="75706.259999999995"/>
    <n v="2"/>
    <s v="2011-12-31"/>
    <n v="0"/>
    <n v="505"/>
    <n v="149.88370599999999"/>
    <n v="1"/>
    <x v="4"/>
    <n v="88464.65"/>
    <n v="18708.63"/>
    <n v="0"/>
    <s v="1203709"/>
    <s v="98003448973"/>
    <n v="7009.8386099999998"/>
    <n v="0"/>
    <n v="77402"/>
  </r>
  <r>
    <x v="9"/>
    <m/>
    <s v="Hareskov Idræt, Birke 15"/>
    <n v="10207"/>
    <m/>
    <s v="Hareskov Idræt"/>
    <x v="82"/>
    <x v="0"/>
    <x v="4"/>
    <n v="93370.96"/>
    <n v="2"/>
    <s v="2011-12-31"/>
    <n v="0"/>
    <n v="505"/>
    <n v="184.85638399999999"/>
    <n v="1"/>
    <x v="4"/>
    <n v="123519.85"/>
    <n v="26122.15"/>
    <n v="0"/>
    <s v="1203709"/>
    <s v="98003448973"/>
    <n v="8645.4579799999992"/>
    <n v="0"/>
    <n v="77402"/>
  </r>
  <r>
    <x v="9"/>
    <m/>
    <s v="Hareskov Idræt, Birke 15"/>
    <n v="10207"/>
    <m/>
    <s v="Hareskov Idræt"/>
    <x v="82"/>
    <x v="0"/>
    <x v="5"/>
    <n v="81765.89"/>
    <n v="1"/>
    <s v="2011-12-31"/>
    <n v="0"/>
    <n v="505"/>
    <n v="161.88059699999999"/>
    <n v="1"/>
    <x v="4"/>
    <n v="117265.51"/>
    <n v="24799.49"/>
    <n v="0"/>
    <s v="1203709"/>
    <s v="98003448973"/>
    <n v="7570.9198299999998"/>
    <n v="0"/>
    <n v="77402"/>
  </r>
  <r>
    <x v="9"/>
    <m/>
    <s v="Hareskov Idræt, Birke 15"/>
    <n v="10207"/>
    <m/>
    <s v="Hareskov Idræt"/>
    <x v="82"/>
    <x v="0"/>
    <x v="6"/>
    <n v="73036.990000000005"/>
    <n v="5"/>
    <s v="2011-12-31"/>
    <n v="0"/>
    <n v="505"/>
    <n v="144.59906899999999"/>
    <n v="1"/>
    <x v="4"/>
    <n v="86384.01"/>
    <n v="18268.61"/>
    <n v="0"/>
    <s v="1203709"/>
    <s v="98003448973"/>
    <n v="6762.6846999999998"/>
    <n v="0"/>
    <n v="77402"/>
  </r>
  <r>
    <x v="9"/>
    <m/>
    <s v="Kirke Værløse Idrætanlæg, Lejr 21"/>
    <n v="10204"/>
    <m/>
    <s v="Kirke Værløse Idrætsanlæg"/>
    <x v="61"/>
    <x v="0"/>
    <x v="0"/>
    <n v="46988"/>
    <n v="5"/>
    <s v="2011-02-28"/>
    <n v="0"/>
    <n v="445"/>
    <n v="58.387462999999997"/>
    <n v="1"/>
    <x v="4"/>
    <n v="53036"/>
    <n v="6126.16"/>
    <n v="0"/>
    <s v="3100528"/>
    <s v="98004377937"/>
    <n v="2406.3200000000002"/>
    <n v="0"/>
    <n v="77388"/>
  </r>
  <r>
    <x v="9"/>
    <m/>
    <s v="Kirke Værløse Idrætanlæg, Lejr 21"/>
    <n v="10204"/>
    <m/>
    <s v="Kirke Værløse Idrætsanlæg"/>
    <x v="61"/>
    <x v="0"/>
    <x v="1"/>
    <n v="52063.87"/>
    <n v="12"/>
    <s v="2011-02-28"/>
    <n v="0"/>
    <n v="445"/>
    <n v="116.971175"/>
    <n v="1"/>
    <x v="4"/>
    <n v="54584.52"/>
    <n v="11543.63"/>
    <n v="0"/>
    <s v="3100528"/>
    <s v="98004377937"/>
    <n v="4820.7299999999996"/>
    <n v="0"/>
    <n v="77388"/>
  </r>
  <r>
    <x v="9"/>
    <m/>
    <s v="Kirke Værløse Idrætanlæg, Lejr 21"/>
    <n v="10204"/>
    <m/>
    <s v="Kirke Værløse Idrætsanlæg"/>
    <x v="61"/>
    <x v="0"/>
    <x v="2"/>
    <n v="54163.62"/>
    <n v="12"/>
    <s v="2011-02-28"/>
    <n v="0"/>
    <n v="445"/>
    <n v="121.688654"/>
    <n v="1"/>
    <x v="4"/>
    <n v="56625.23"/>
    <n v="11975.18"/>
    <n v="0"/>
    <s v="3100528"/>
    <s v="98004377937"/>
    <n v="5015.1499999999996"/>
    <n v="0"/>
    <n v="77388"/>
  </r>
  <r>
    <x v="9"/>
    <m/>
    <s v="Kirke Værløse Idrætanlæg, Lejr 21"/>
    <n v="10204"/>
    <m/>
    <s v="Kirke Værløse Idrætsanlæg"/>
    <x v="61"/>
    <x v="0"/>
    <x v="3"/>
    <n v="55424.36"/>
    <n v="12"/>
    <s v="2011-02-28"/>
    <n v="0"/>
    <n v="445"/>
    <n v="124.521141"/>
    <n v="1"/>
    <x v="4"/>
    <n v="61726.81"/>
    <n v="13054.08"/>
    <n v="0"/>
    <s v="3100528"/>
    <s v="98004377937"/>
    <n v="5131.8851800000002"/>
    <n v="0"/>
    <n v="77388"/>
  </r>
  <r>
    <x v="9"/>
    <m/>
    <s v="Kirke Værløse Idrætanlæg, Lejr 21"/>
    <n v="10204"/>
    <m/>
    <s v="Kirke Værløse Idrætsanlæg"/>
    <x v="61"/>
    <x v="0"/>
    <x v="4"/>
    <n v="69154.539999999994"/>
    <n v="2"/>
    <s v="2011-02-28"/>
    <n v="0"/>
    <n v="445"/>
    <n v="155.36854600000001"/>
    <n v="1"/>
    <x v="4"/>
    <n v="89659.7"/>
    <n v="18961.37"/>
    <n v="0"/>
    <s v="3100528"/>
    <s v="98004377937"/>
    <n v="6403.1975000000002"/>
    <n v="0"/>
    <n v="77388"/>
  </r>
  <r>
    <x v="9"/>
    <m/>
    <s v="Kirke Værløse Idrætanlæg, Lejr 21"/>
    <n v="10204"/>
    <m/>
    <s v="Kirke Værløse Idrætsanlæg"/>
    <x v="61"/>
    <x v="0"/>
    <x v="5"/>
    <n v="78009.320000000007"/>
    <n v="1"/>
    <s v="2011-02-28"/>
    <n v="0"/>
    <n v="445"/>
    <n v="175.26245700000001"/>
    <n v="1"/>
    <x v="4"/>
    <n v="111873.94"/>
    <n v="23659.279999999999"/>
    <n v="0"/>
    <s v="3100528"/>
    <s v="98004377937"/>
    <n v="7223.0839400000004"/>
    <n v="0"/>
    <n v="77388"/>
  </r>
  <r>
    <x v="9"/>
    <m/>
    <s v="Kirke Værløse Idrætanlæg, Lejr 21"/>
    <n v="10204"/>
    <m/>
    <s v="Kirke Værløse Idrætsanlæg"/>
    <x v="61"/>
    <x v="0"/>
    <x v="6"/>
    <n v="68155.429999999993"/>
    <n v="5"/>
    <s v="2011-02-28"/>
    <n v="0"/>
    <n v="445"/>
    <n v="153.12385900000001"/>
    <n v="1"/>
    <x v="4"/>
    <n v="79426.490000000005"/>
    <n v="16797.23"/>
    <n v="0"/>
    <s v="3100528"/>
    <s v="98004377937"/>
    <n v="6310.6871600000004"/>
    <n v="0"/>
    <n v="77388"/>
  </r>
  <r>
    <x v="9"/>
    <s v="6408"/>
    <s v="Skallepanden V M Amdrupvej 17"/>
    <n v="13664"/>
    <s v="0"/>
    <s v="Skallepanden"/>
    <x v="55"/>
    <x v="0"/>
    <x v="0"/>
    <n v="28064"/>
    <n v="5"/>
    <s v="2013-11-30"/>
    <n v="0"/>
    <n v="138"/>
    <n v="112.631788"/>
    <n v="1"/>
    <x v="6"/>
    <n v="32232"/>
    <n v="3609.78"/>
    <n v="0"/>
    <s v="1549931"/>
    <s v="98001986118"/>
    <n v="1388.79"/>
    <n v="0"/>
    <n v="92671"/>
  </r>
  <r>
    <x v="9"/>
    <s v="6408"/>
    <s v="Skallepanden V M Amdrupvej 17"/>
    <n v="13664"/>
    <s v="0"/>
    <s v="Skallepanden"/>
    <x v="55"/>
    <x v="0"/>
    <x v="1"/>
    <n v="25646.43"/>
    <n v="5"/>
    <s v="2013-11-30"/>
    <n v="0"/>
    <n v="138"/>
    <n v="185.70912300000001"/>
    <n v="1"/>
    <x v="6"/>
    <n v="36740.61"/>
    <n v="7492.45"/>
    <n v="0"/>
    <s v="1549931"/>
    <s v="98001986118"/>
    <n v="2289.8599800000002"/>
    <n v="0"/>
    <n v="92671"/>
  </r>
  <r>
    <x v="9"/>
    <s v="6408"/>
    <s v="Skallepanden V M Amdrupvej 17"/>
    <n v="13664"/>
    <s v="0"/>
    <s v="Skallepanden"/>
    <x v="55"/>
    <x v="0"/>
    <x v="2"/>
    <n v="30064.48"/>
    <n v="1"/>
    <s v="2013-11-30"/>
    <n v="0"/>
    <n v="138"/>
    <n v="217.700796"/>
    <n v="1"/>
    <x v="6"/>
    <n v="33734.78"/>
    <n v="6879.47"/>
    <n v="0"/>
    <s v="1549931"/>
    <s v="98001986118"/>
    <n v="2684.3290000000002"/>
    <n v="0"/>
    <n v="92671"/>
  </r>
  <r>
    <x v="9"/>
    <s v="6408"/>
    <s v="Skallepanden V M Amdrupvej 17"/>
    <n v="13664"/>
    <s v="0"/>
    <s v="Skallepanden"/>
    <x v="55"/>
    <x v="0"/>
    <x v="3"/>
    <n v="27546.799999999999"/>
    <n v="1"/>
    <s v="2013-11-30"/>
    <n v="0"/>
    <n v="138"/>
    <n v="199.46994900000001"/>
    <n v="1"/>
    <x v="6"/>
    <n v="32914.44"/>
    <n v="6712.2"/>
    <n v="0"/>
    <s v="1549931"/>
    <s v="98001986118"/>
    <n v="2459.53602"/>
    <n v="0"/>
    <n v="92671"/>
  </r>
  <r>
    <x v="9"/>
    <s v="6408"/>
    <s v="Skallepanden V M Amdrupvej 17"/>
    <n v="13664"/>
    <s v="0"/>
    <s v="Skallepanden"/>
    <x v="55"/>
    <x v="0"/>
    <x v="4"/>
    <n v="20287.240000000002"/>
    <n v="2"/>
    <s v="2013-11-30"/>
    <n v="0"/>
    <n v="138"/>
    <n v="146.902534"/>
    <n v="1"/>
    <x v="6"/>
    <n v="26954.65"/>
    <n v="5496.82"/>
    <n v="0"/>
    <s v="1549931"/>
    <s v="98001986118"/>
    <n v="1811.36247"/>
    <n v="0"/>
    <n v="92671"/>
  </r>
  <r>
    <x v="9"/>
    <s v="6408"/>
    <s v="Skallepanden V M Amdrupvej 17"/>
    <n v="13664"/>
    <s v="0"/>
    <s v="Skallepanden"/>
    <x v="55"/>
    <x v="0"/>
    <x v="5"/>
    <n v="25920.43"/>
    <n v="1"/>
    <s v="2013-11-30"/>
    <n v="0"/>
    <n v="138"/>
    <n v="187.69319300000001"/>
    <n v="1"/>
    <x v="6"/>
    <n v="36772.99"/>
    <n v="7499.06"/>
    <n v="0"/>
    <s v="1549931"/>
    <s v="98001986118"/>
    <n v="2314.3224500000001"/>
    <n v="0"/>
    <n v="92671"/>
  </r>
  <r>
    <x v="9"/>
    <s v="6408"/>
    <s v="Skallepanden V M Amdrupvej 17"/>
    <n v="13664"/>
    <s v="0"/>
    <s v="Skallepanden"/>
    <x v="55"/>
    <x v="0"/>
    <x v="6"/>
    <n v="34224.720000000001"/>
    <n v="1"/>
    <s v="2013-11-30"/>
    <n v="0"/>
    <n v="138"/>
    <n v="247.82563300000001"/>
    <n v="1"/>
    <x v="6"/>
    <n v="44480.03"/>
    <n v="9070.76"/>
    <n v="0"/>
    <s v="1549931"/>
    <s v="98001986118"/>
    <n v="3055.7777000000001"/>
    <n v="0"/>
    <n v="92671"/>
  </r>
  <r>
    <x v="9"/>
    <m/>
    <s v="Værløse Boldklub, Stiager 6"/>
    <n v="10179"/>
    <m/>
    <s v="Værløse Boldklub"/>
    <x v="83"/>
    <x v="0"/>
    <x v="0"/>
    <n v="88223"/>
    <n v="5"/>
    <s v="2011-03-31"/>
    <n v="0"/>
    <n v="792"/>
    <n v="58.424011999999998"/>
    <n v="1"/>
    <x v="4"/>
    <n v="101936"/>
    <n v="10952.26"/>
    <n v="0"/>
    <s v="229728/97"/>
    <s v="98004894182"/>
    <n v="4284.97"/>
    <n v="0"/>
    <n v="77212"/>
  </r>
  <r>
    <x v="9"/>
    <m/>
    <s v="Værløse Boldklub, Stiager 6"/>
    <n v="10179"/>
    <m/>
    <s v="Værløse Boldklub"/>
    <x v="83"/>
    <x v="0"/>
    <x v="1"/>
    <n v="105105.61"/>
    <n v="12"/>
    <s v="2011-03-31"/>
    <n v="0"/>
    <n v="792"/>
    <n v="132.69234900000001"/>
    <n v="1"/>
    <x v="4"/>
    <n v="110711.82"/>
    <n v="23413.48"/>
    <n v="0"/>
    <s v="229728/97"/>
    <s v="98004894182"/>
    <n v="9732"/>
    <n v="0"/>
    <n v="77212"/>
  </r>
  <r>
    <x v="9"/>
    <m/>
    <s v="Værløse Boldklub, Stiager 6"/>
    <n v="10179"/>
    <m/>
    <s v="Værløse Boldklub"/>
    <x v="83"/>
    <x v="0"/>
    <x v="2"/>
    <n v="111325.86"/>
    <n v="12"/>
    <s v="2011-03-31"/>
    <n v="0"/>
    <n v="792"/>
    <n v="140.545208"/>
    <n v="1"/>
    <x v="4"/>
    <n v="116902.64"/>
    <n v="24722.76"/>
    <n v="0"/>
    <s v="229728/97"/>
    <s v="98004894182"/>
    <n v="10307.950000000001"/>
    <n v="0"/>
    <n v="77212"/>
  </r>
  <r>
    <x v="9"/>
    <m/>
    <s v="Værløse Boldklub, Stiager 6"/>
    <n v="10179"/>
    <m/>
    <s v="Værløse Boldklub"/>
    <x v="83"/>
    <x v="0"/>
    <x v="3"/>
    <n v="108722.73"/>
    <n v="10"/>
    <s v="2011-03-31"/>
    <n v="0"/>
    <n v="792"/>
    <n v="137.25884300000001"/>
    <n v="1"/>
    <x v="4"/>
    <n v="121396.04"/>
    <n v="25673.02"/>
    <n v="0"/>
    <s v="229728/97"/>
    <s v="98004894182"/>
    <n v="10066.92"/>
    <n v="0"/>
    <n v="77212"/>
  </r>
  <r>
    <x v="9"/>
    <m/>
    <s v="Værløse Boldklub, Stiager 6"/>
    <n v="10179"/>
    <m/>
    <s v="Værløse Boldklub"/>
    <x v="83"/>
    <x v="0"/>
    <x v="4"/>
    <n v="111449.32"/>
    <n v="5"/>
    <s v="2011-03-31"/>
    <n v="0"/>
    <n v="792"/>
    <n v="140.70107300000001"/>
    <n v="1"/>
    <x v="4"/>
    <n v="111925.8"/>
    <n v="23670.25"/>
    <n v="0"/>
    <s v="229728/97"/>
    <s v="98004894182"/>
    <n v="10319.380510000001"/>
    <n v="0"/>
    <n v="77212"/>
  </r>
  <r>
    <x v="9"/>
    <m/>
    <s v="Værløse Boldklub, Stiager 6"/>
    <n v="10179"/>
    <m/>
    <s v="Værløse Boldklub"/>
    <x v="83"/>
    <x v="0"/>
    <x v="5"/>
    <n v="143401.43"/>
    <n v="2"/>
    <s v="2011-03-31"/>
    <n v="0"/>
    <n v="792"/>
    <n v="181.03955300000001"/>
    <n v="1"/>
    <x v="4"/>
    <n v="199707.63"/>
    <n v="42234.47"/>
    <n v="0"/>
    <s v="229728/97"/>
    <s v="98004894182"/>
    <n v="13277.90674"/>
    <n v="0"/>
    <n v="77212"/>
  </r>
  <r>
    <x v="9"/>
    <m/>
    <s v="Værløse Boldklub, Stiager 6"/>
    <n v="10179"/>
    <m/>
    <s v="Værløse Boldklub"/>
    <x v="83"/>
    <x v="0"/>
    <x v="6"/>
    <n v="115853.83"/>
    <n v="5"/>
    <s v="2011-03-31"/>
    <n v="0"/>
    <n v="792"/>
    <n v="146.26162099999999"/>
    <n v="1"/>
    <x v="4"/>
    <n v="135032.91"/>
    <n v="28556.95"/>
    <n v="0"/>
    <s v="229728/97"/>
    <s v="98004894182"/>
    <n v="10727.20721"/>
    <n v="0"/>
    <n v="77212"/>
  </r>
  <r>
    <x v="8"/>
    <m/>
    <s v="Gasværket, Birke 14A"/>
    <n v="10208"/>
    <m/>
    <s v="Gasværket"/>
    <x v="69"/>
    <x v="0"/>
    <x v="7"/>
    <n v="62527.45"/>
    <n v="12"/>
    <s v="2011-12-30"/>
    <n v="0"/>
    <n v="741"/>
    <n v="84.371137000000004"/>
    <n v="1"/>
    <x v="4"/>
    <n v="74279.58"/>
    <n v="15708.74"/>
    <n v="0"/>
    <s v="1569154"/>
    <s v="98003884306"/>
    <n v="5789.5778"/>
    <n v="0"/>
    <n v="77414"/>
  </r>
  <r>
    <x v="9"/>
    <m/>
    <s v="Kirke Værløse Idrætanlæg, Lejr 21"/>
    <n v="10204"/>
    <m/>
    <s v="Kirke Værløse Idrætsanlæg"/>
    <x v="61"/>
    <x v="0"/>
    <x v="7"/>
    <n v="162.13"/>
    <n v="12"/>
    <s v="2010-07-31"/>
    <n v="0"/>
    <n v="445"/>
    <n v="0.364255"/>
    <n v="3"/>
    <x v="0"/>
    <n v="162.13"/>
    <n v="129.71"/>
    <n v="0"/>
    <s v="00PC500634"/>
    <m/>
    <n v="162.12200000000001"/>
    <n v="0"/>
    <n v="77387"/>
  </r>
  <r>
    <x v="9"/>
    <m/>
    <s v="Kirke Værløse Idrætanlæg, Lejr 21"/>
    <n v="10204"/>
    <m/>
    <s v="Kirke Værløse Idrætsanlæg"/>
    <x v="61"/>
    <x v="0"/>
    <x v="7"/>
    <n v="11133.04"/>
    <n v="12"/>
    <s v="2011-09-30"/>
    <n v="0"/>
    <n v="445"/>
    <n v="25.012446000000001"/>
    <n v="2"/>
    <x v="2"/>
    <n v="11133.04"/>
    <n v="3339.9"/>
    <n v="0"/>
    <s v="4161811"/>
    <s v="74112222622"/>
    <n v="11133.040999999999"/>
    <n v="0"/>
    <n v="77386"/>
  </r>
  <r>
    <x v="3"/>
    <m/>
    <s v="Kirke Værløse Børnehus, BY27"/>
    <n v="10017"/>
    <m/>
    <s v="Kirke Værløse Børnehus"/>
    <x v="35"/>
    <x v="0"/>
    <x v="7"/>
    <n v="64216.79"/>
    <n v="12"/>
    <s v="2010-10-31"/>
    <n v="0"/>
    <n v="602"/>
    <n v="106.654691"/>
    <n v="1"/>
    <x v="4"/>
    <n v="76070.320000000007"/>
    <n v="16087.47"/>
    <n v="0"/>
    <m/>
    <s v="98003838729"/>
    <n v="5946"/>
    <n v="0"/>
    <n v="76521"/>
  </r>
  <r>
    <x v="9"/>
    <s v="6408"/>
    <s v="Skallepanden V M Amdrupvej 17"/>
    <n v="13664"/>
    <s v="0"/>
    <s v="Skallepanden"/>
    <x v="55"/>
    <x v="0"/>
    <x v="7"/>
    <n v="17.37"/>
    <n v="12"/>
    <s v="2013-11-29"/>
    <n v="0"/>
    <n v="138"/>
    <n v="0.125778"/>
    <n v="3"/>
    <x v="0"/>
    <n v="17.37"/>
    <n v="13.9"/>
    <n v="0"/>
    <m/>
    <m/>
    <n v="17.375"/>
    <n v="0"/>
    <n v="91256"/>
  </r>
  <r>
    <x v="9"/>
    <s v="6408"/>
    <s v="Skallepanden V M Amdrupvej 17"/>
    <n v="13664"/>
    <s v="0"/>
    <s v="Skallepanden"/>
    <x v="55"/>
    <x v="0"/>
    <x v="7"/>
    <n v="1669.74"/>
    <n v="12"/>
    <s v="2013-11-30"/>
    <n v="0"/>
    <n v="138"/>
    <n v="12.090802999999999"/>
    <n v="2"/>
    <x v="2"/>
    <n v="1669.74"/>
    <n v="500.93"/>
    <n v="0"/>
    <s v="4219857"/>
    <s v="74111476767"/>
    <n v="1669.748"/>
    <n v="0"/>
    <n v="91255"/>
  </r>
  <r>
    <x v="9"/>
    <s v="???????"/>
    <s v="Australsk Fodbold, Hvile 3A"/>
    <n v="6354"/>
    <m/>
    <s v="Australsk Fodbold"/>
    <x v="79"/>
    <x v="0"/>
    <x v="0"/>
    <n v="7268"/>
    <n v="5"/>
    <s v="2011-12-01"/>
    <n v="0"/>
    <n v="196"/>
    <n v="16.669861999999998"/>
    <n v="2"/>
    <x v="2"/>
    <n v="3268.96"/>
    <n v="1307.5899999999999"/>
    <n v="0"/>
    <s v="4118048"/>
    <s v="74111477924"/>
    <n v="3268.9609999999998"/>
    <n v="0"/>
    <n v="62635"/>
  </r>
  <r>
    <x v="9"/>
    <s v="???????"/>
    <s v="Australsk Fodbold, Hvile 3A"/>
    <n v="6354"/>
    <m/>
    <s v="Australsk Fodbold"/>
    <x v="79"/>
    <x v="0"/>
    <x v="1"/>
    <n v="6766.01"/>
    <n v="12"/>
    <s v="2011-12-01"/>
    <n v="0"/>
    <n v="196"/>
    <n v="34.502854999999997"/>
    <n v="2"/>
    <x v="2"/>
    <n v="6766.01"/>
    <n v="2706.41"/>
    <n v="0"/>
    <s v="4118048"/>
    <s v="74111477924"/>
    <n v="6766.0219999999999"/>
    <n v="0"/>
    <n v="62635"/>
  </r>
  <r>
    <x v="9"/>
    <s v="???????"/>
    <s v="Australsk Fodbold, Hvile 3A"/>
    <n v="6354"/>
    <m/>
    <s v="Australsk Fodbold"/>
    <x v="79"/>
    <x v="0"/>
    <x v="2"/>
    <n v="5960.66"/>
    <n v="12"/>
    <s v="2011-12-01"/>
    <n v="0"/>
    <n v="196"/>
    <n v="30.396021999999999"/>
    <n v="2"/>
    <x v="2"/>
    <n v="5960.66"/>
    <n v="2384.2600000000002"/>
    <n v="0"/>
    <s v="4118048"/>
    <s v="74111477924"/>
    <n v="5960.6679999999997"/>
    <n v="0"/>
    <n v="62635"/>
  </r>
  <r>
    <x v="9"/>
    <s v="???????"/>
    <s v="Australsk Fodbold, Hvile 3A"/>
    <n v="6354"/>
    <m/>
    <s v="Australsk Fodbold"/>
    <x v="79"/>
    <x v="0"/>
    <x v="3"/>
    <n v="6102.2"/>
    <n v="12"/>
    <s v="2011-12-01"/>
    <n v="0"/>
    <n v="196"/>
    <n v="31.117796999999999"/>
    <n v="2"/>
    <x v="2"/>
    <n v="6102.2"/>
    <n v="2861.92"/>
    <n v="0"/>
    <s v="4118048"/>
    <s v="74111477924"/>
    <n v="6102.2021199999999"/>
    <n v="0"/>
    <n v="62635"/>
  </r>
  <r>
    <x v="9"/>
    <s v="???????"/>
    <s v="Australsk Fodbold, Hvile 3A"/>
    <n v="6354"/>
    <m/>
    <s v="Australsk Fodbold"/>
    <x v="79"/>
    <x v="0"/>
    <x v="4"/>
    <n v="6134.42"/>
    <n v="4"/>
    <s v="2011-12-01"/>
    <n v="0"/>
    <n v="196"/>
    <n v="31.2821"/>
    <n v="2"/>
    <x v="2"/>
    <n v="6134.42"/>
    <n v="2877.05"/>
    <n v="0"/>
    <s v="4118048"/>
    <s v="74111477924"/>
    <n v="6134.42328"/>
    <n v="0"/>
    <n v="62635"/>
  </r>
  <r>
    <x v="9"/>
    <s v="???????"/>
    <s v="Australsk Fodbold, Hvile 3A"/>
    <n v="6354"/>
    <m/>
    <s v="Australsk Fodbold"/>
    <x v="79"/>
    <x v="0"/>
    <x v="5"/>
    <n v="6590.91"/>
    <n v="6"/>
    <s v="2011-12-01"/>
    <n v="0"/>
    <n v="196"/>
    <n v="33.609943000000001"/>
    <n v="2"/>
    <x v="2"/>
    <n v="6590.91"/>
    <n v="3091.15"/>
    <n v="0"/>
    <s v="4118048"/>
    <s v="74111477924"/>
    <n v="6590.9388499999995"/>
    <n v="0"/>
    <n v="62635"/>
  </r>
  <r>
    <x v="9"/>
    <s v="???????"/>
    <s v="Australsk Fodbold, Hvile 3A"/>
    <n v="6354"/>
    <m/>
    <s v="Australsk Fodbold"/>
    <x v="79"/>
    <x v="0"/>
    <x v="6"/>
    <n v="7183.1"/>
    <n v="12"/>
    <s v="2011-12-01"/>
    <n v="0"/>
    <n v="196"/>
    <n v="36.629779999999997"/>
    <n v="2"/>
    <x v="2"/>
    <n v="7183.1"/>
    <n v="3368.88"/>
    <n v="0"/>
    <s v="4118048"/>
    <s v="74111477924"/>
    <n v="7183.0937599999997"/>
    <n v="0"/>
    <n v="62635"/>
  </r>
  <r>
    <x v="9"/>
    <m/>
    <s v="Bådudlejningen - Fiskerhytten"/>
    <n v="12292"/>
    <s v="0"/>
    <s v="Bådudlejningen - Fiskerhytten"/>
    <x v="80"/>
    <x v="0"/>
    <x v="0"/>
    <n v="8133"/>
    <n v="5"/>
    <s v="2013-12-31"/>
    <n v="0"/>
    <n v="68"/>
    <n v="71.116885999999994"/>
    <n v="2"/>
    <x v="2"/>
    <n v="4843.0600000000004"/>
    <n v="1452.92"/>
    <n v="0"/>
    <s v="4036591"/>
    <s v="74111473544"/>
    <n v="4843.0540000000001"/>
    <n v="0"/>
    <n v="84119"/>
  </r>
  <r>
    <x v="9"/>
    <m/>
    <s v="Bådudlejningen - Fiskerhytten"/>
    <n v="12292"/>
    <s v="0"/>
    <s v="Bådudlejningen - Fiskerhytten"/>
    <x v="80"/>
    <x v="0"/>
    <x v="1"/>
    <n v="9048.2099999999991"/>
    <n v="11"/>
    <s v="2013-12-31"/>
    <n v="0"/>
    <n v="68"/>
    <n v="132.86651900000001"/>
    <n v="2"/>
    <x v="2"/>
    <n v="9048.2099999999991"/>
    <n v="2714.48"/>
    <n v="0"/>
    <s v="4036591"/>
    <s v="74111473544"/>
    <n v="9048.2127799999998"/>
    <n v="0"/>
    <n v="84119"/>
  </r>
  <r>
    <x v="9"/>
    <m/>
    <s v="Bådudlejningen - Fiskerhytten"/>
    <n v="12292"/>
    <s v="0"/>
    <s v="Bådudlejningen - Fiskerhytten"/>
    <x v="80"/>
    <x v="0"/>
    <x v="2"/>
    <n v="12460.45"/>
    <n v="6"/>
    <s v="2013-12-31"/>
    <n v="0"/>
    <n v="68"/>
    <n v="182.97283400000001"/>
    <n v="2"/>
    <x v="2"/>
    <n v="12460.45"/>
    <n v="4984.18"/>
    <n v="0"/>
    <s v="4036591"/>
    <s v="74111473544"/>
    <n v="12460.453890000001"/>
    <n v="0"/>
    <n v="84119"/>
  </r>
  <r>
    <x v="9"/>
    <m/>
    <s v="Bådudlejningen - Fiskerhytten"/>
    <n v="12292"/>
    <s v="0"/>
    <s v="Bådudlejningen - Fiskerhytten"/>
    <x v="80"/>
    <x v="0"/>
    <x v="3"/>
    <n v="4718.93"/>
    <n v="4"/>
    <s v="2013-12-31"/>
    <n v="0"/>
    <n v="68"/>
    <n v="69.294126000000006"/>
    <n v="2"/>
    <x v="2"/>
    <n v="4718.93"/>
    <n v="2213.17"/>
    <n v="0"/>
    <s v="4036591"/>
    <s v="74111473544"/>
    <n v="4718.9348399999999"/>
    <n v="0"/>
    <n v="84119"/>
  </r>
  <r>
    <x v="9"/>
    <m/>
    <s v="Bådudlejningen - Fiskerhytten"/>
    <n v="12292"/>
    <s v="0"/>
    <s v="Bådudlejningen - Fiskerhytten"/>
    <x v="80"/>
    <x v="0"/>
    <x v="4"/>
    <n v="4880.3900000000003"/>
    <n v="3"/>
    <s v="2013-12-31"/>
    <n v="0"/>
    <n v="68"/>
    <n v="71.665051000000005"/>
    <n v="2"/>
    <x v="2"/>
    <n v="4880.3900000000003"/>
    <n v="2288.9"/>
    <n v="0"/>
    <s v="4036591"/>
    <s v="74111473544"/>
    <n v="4880.3984899999996"/>
    <n v="0"/>
    <n v="84119"/>
  </r>
  <r>
    <x v="9"/>
    <m/>
    <s v="Det Røde Hus, Poppel 14"/>
    <n v="10231"/>
    <m/>
    <s v="Det Røde Hus"/>
    <x v="81"/>
    <x v="0"/>
    <x v="0"/>
    <n v="4668"/>
    <n v="5"/>
    <s v="2011-10-31"/>
    <n v="0"/>
    <n v="449"/>
    <n v="4.5107989999999996"/>
    <n v="2"/>
    <x v="2"/>
    <n v="2025.8"/>
    <n v="607.74"/>
    <n v="0"/>
    <s v="1096167"/>
    <s v="74110490658"/>
    <n v="2025.8030000000001"/>
    <n v="0"/>
    <n v="77506"/>
  </r>
  <r>
    <x v="9"/>
    <m/>
    <s v="Det Røde Hus, Poppel 14"/>
    <n v="10231"/>
    <m/>
    <s v="Det Røde Hus"/>
    <x v="81"/>
    <x v="0"/>
    <x v="1"/>
    <n v="6620.39"/>
    <n v="12"/>
    <s v="2011-10-31"/>
    <n v="0"/>
    <n v="449"/>
    <n v="14.74146"/>
    <n v="2"/>
    <x v="2"/>
    <n v="6620.39"/>
    <n v="1986.14"/>
    <n v="0"/>
    <s v="1096167"/>
    <s v="74110490658"/>
    <n v="6620.4009999999998"/>
    <n v="0"/>
    <n v="77506"/>
  </r>
  <r>
    <x v="9"/>
    <m/>
    <s v="Det Røde Hus, Poppel 14"/>
    <n v="10231"/>
    <m/>
    <s v="Det Røde Hus"/>
    <x v="81"/>
    <x v="0"/>
    <x v="2"/>
    <n v="4783.41"/>
    <n v="12"/>
    <s v="2011-10-31"/>
    <n v="0"/>
    <n v="449"/>
    <n v="10.651102"/>
    <n v="2"/>
    <x v="2"/>
    <n v="4783.41"/>
    <n v="1913.37"/>
    <n v="0"/>
    <s v="1096167"/>
    <s v="74110490658"/>
    <n v="4783.4179999999997"/>
    <n v="0"/>
    <n v="77506"/>
  </r>
  <r>
    <x v="9"/>
    <m/>
    <s v="Det Røde Hus, Poppel 14"/>
    <n v="10231"/>
    <m/>
    <s v="Det Røde Hus"/>
    <x v="81"/>
    <x v="0"/>
    <x v="3"/>
    <n v="6203.08"/>
    <n v="13"/>
    <s v="2011-10-31"/>
    <n v="0"/>
    <n v="449"/>
    <n v="13.812246"/>
    <n v="2"/>
    <x v="2"/>
    <n v="6203.08"/>
    <n v="2909.24"/>
    <n v="0"/>
    <s v="1096167"/>
    <s v="74110490658"/>
    <n v="6203.07665"/>
    <n v="0"/>
    <n v="77506"/>
  </r>
  <r>
    <x v="9"/>
    <m/>
    <s v="Det Røde Hus, Poppel 14"/>
    <n v="10231"/>
    <m/>
    <s v="Det Røde Hus"/>
    <x v="81"/>
    <x v="0"/>
    <x v="4"/>
    <n v="6522.85"/>
    <n v="12"/>
    <s v="2011-10-31"/>
    <n v="0"/>
    <n v="449"/>
    <n v="14.52427"/>
    <n v="2"/>
    <x v="2"/>
    <n v="6522.85"/>
    <n v="3059.21"/>
    <n v="0"/>
    <s v="1096167"/>
    <s v="74110490658"/>
    <n v="6522.8476199999996"/>
    <n v="0"/>
    <n v="77506"/>
  </r>
  <r>
    <x v="9"/>
    <m/>
    <s v="Det Røde Hus, Poppel 14"/>
    <n v="10231"/>
    <m/>
    <s v="Det Røde Hus"/>
    <x v="81"/>
    <x v="0"/>
    <x v="5"/>
    <n v="8476.6200000000008"/>
    <n v="12"/>
    <s v="2011-10-31"/>
    <n v="0"/>
    <n v="449"/>
    <n v="18.874682"/>
    <n v="2"/>
    <x v="2"/>
    <n v="8476.6200000000008"/>
    <n v="3975.53"/>
    <n v="0"/>
    <s v="1096167"/>
    <s v="74110490658"/>
    <n v="8476.6004699999994"/>
    <n v="0"/>
    <n v="77506"/>
  </r>
  <r>
    <x v="9"/>
    <m/>
    <s v="Det Røde Hus, Poppel 14"/>
    <n v="10231"/>
    <m/>
    <s v="Det Røde Hus"/>
    <x v="81"/>
    <x v="0"/>
    <x v="6"/>
    <n v="14396.89"/>
    <n v="10"/>
    <s v="2011-10-31"/>
    <n v="0"/>
    <n v="449"/>
    <n v="32.057203000000001"/>
    <n v="2"/>
    <x v="2"/>
    <n v="14396.89"/>
    <n v="6752.15"/>
    <n v="0"/>
    <s v="1096167"/>
    <s v="74110490658"/>
    <n v="14396.88524"/>
    <n v="0"/>
    <n v="77506"/>
  </r>
  <r>
    <x v="9"/>
    <s v="06157-9"/>
    <s v="Furesøbad"/>
    <n v="5489"/>
    <m/>
    <s v="Furesøbad"/>
    <x v="53"/>
    <x v="1"/>
    <x v="0"/>
    <n v="0"/>
    <n v="5"/>
    <m/>
    <n v="0"/>
    <n v="2801"/>
    <n v="7.3072889999999999"/>
    <n v="2"/>
    <x v="2"/>
    <n v="20468.45"/>
    <n v="8187.39"/>
    <n v="0"/>
    <s v="Byg 1 800231/1118660"/>
    <s v="74111808063"/>
    <n v="20468.45"/>
    <n v="0"/>
    <n v="58001"/>
  </r>
  <r>
    <x v="9"/>
    <s v="06157-9"/>
    <s v="Furesøbad"/>
    <n v="5489"/>
    <m/>
    <s v="Furesøbad"/>
    <x v="53"/>
    <x v="1"/>
    <x v="0"/>
    <n v="0"/>
    <n v="5"/>
    <m/>
    <n v="0"/>
    <n v="2801"/>
    <n v="3.8535430000000002"/>
    <n v="2"/>
    <x v="2"/>
    <n v="10794.16"/>
    <n v="4317.68"/>
    <n v="0"/>
    <s v="Byg 2 799430"/>
    <s v="74111885200"/>
    <n v="10794.16"/>
    <n v="0"/>
    <n v="58091"/>
  </r>
  <r>
    <x v="9"/>
    <s v="06157-9"/>
    <s v="Furesøbad"/>
    <n v="5489"/>
    <m/>
    <s v="Furesøbad"/>
    <x v="53"/>
    <x v="1"/>
    <x v="0"/>
    <n v="0"/>
    <n v="5"/>
    <m/>
    <n v="0"/>
    <n v="2801"/>
    <n v="1.1522749999999999"/>
    <n v="2"/>
    <x v="2"/>
    <n v="3227.64"/>
    <n v="1291.06"/>
    <n v="0"/>
    <s v="Byg 3 1019273"/>
    <s v="74114921226"/>
    <n v="3227.6439999999998"/>
    <n v="0"/>
    <n v="58094"/>
  </r>
  <r>
    <x v="9"/>
    <s v="06157-9"/>
    <s v="Furesøbad"/>
    <n v="5489"/>
    <m/>
    <s v="Furesøbad"/>
    <x v="53"/>
    <x v="0"/>
    <x v="1"/>
    <n v="8477.59"/>
    <n v="12"/>
    <m/>
    <n v="0"/>
    <n v="2801"/>
    <n v="3.0265209999999998"/>
    <n v="2"/>
    <x v="2"/>
    <n v="8477.59"/>
    <n v="3391.03"/>
    <n v="0"/>
    <s v="Byg 3 1019273"/>
    <s v="74114921226"/>
    <n v="8477.5859999999993"/>
    <n v="0"/>
    <n v="58094"/>
  </r>
  <r>
    <x v="9"/>
    <s v="06157-9"/>
    <s v="Furesøbad"/>
    <n v="5489"/>
    <m/>
    <s v="Furesøbad"/>
    <x v="53"/>
    <x v="0"/>
    <x v="1"/>
    <n v="55073.97"/>
    <n v="12"/>
    <m/>
    <n v="0"/>
    <n v="2801"/>
    <n v="19.661549999999998"/>
    <n v="2"/>
    <x v="2"/>
    <n v="55073.97"/>
    <n v="22029.599999999999"/>
    <n v="0"/>
    <s v="Byg 1 800231/1118660"/>
    <s v="74111808063"/>
    <n v="55073.964999999997"/>
    <n v="0"/>
    <n v="58001"/>
  </r>
  <r>
    <x v="9"/>
    <s v="06157-9"/>
    <s v="Furesøbad"/>
    <n v="5489"/>
    <m/>
    <s v="Furesøbad"/>
    <x v="53"/>
    <x v="0"/>
    <x v="1"/>
    <n v="43978.239999999998"/>
    <n v="12"/>
    <m/>
    <n v="0"/>
    <n v="2801"/>
    <n v="15.700346"/>
    <n v="2"/>
    <x v="2"/>
    <n v="43978.239999999998"/>
    <n v="17591.310000000001"/>
    <n v="0"/>
    <s v="Byg 2 799430"/>
    <s v="74111885200"/>
    <n v="43978.237999999998"/>
    <n v="0"/>
    <n v="58091"/>
  </r>
  <r>
    <x v="9"/>
    <s v="06157-9"/>
    <s v="Furesøbad"/>
    <n v="5489"/>
    <m/>
    <s v="Furesøbad"/>
    <x v="53"/>
    <x v="0"/>
    <x v="2"/>
    <n v="63544.93"/>
    <n v="12"/>
    <m/>
    <n v="0"/>
    <n v="2801"/>
    <n v="22.685704999999999"/>
    <n v="2"/>
    <x v="2"/>
    <n v="63544.93"/>
    <n v="25417.97"/>
    <n v="0"/>
    <s v="Byg 1 800231/1118660"/>
    <s v="74111808063"/>
    <n v="63544.934999999998"/>
    <n v="0"/>
    <n v="58001"/>
  </r>
  <r>
    <x v="9"/>
    <s v="06157-9"/>
    <s v="Furesøbad"/>
    <n v="5489"/>
    <m/>
    <s v="Furesøbad"/>
    <x v="53"/>
    <x v="0"/>
    <x v="2"/>
    <n v="38210.69"/>
    <n v="12"/>
    <m/>
    <n v="0"/>
    <n v="2801"/>
    <n v="13.641315000000001"/>
    <n v="2"/>
    <x v="2"/>
    <n v="38210.69"/>
    <n v="15284.29"/>
    <n v="0"/>
    <s v="Byg 2 799430"/>
    <s v="74111885200"/>
    <n v="38210.697999999997"/>
    <n v="0"/>
    <n v="58091"/>
  </r>
  <r>
    <x v="9"/>
    <s v="06157-9"/>
    <s v="Furesøbad"/>
    <n v="5489"/>
    <m/>
    <s v="Furesøbad"/>
    <x v="53"/>
    <x v="0"/>
    <x v="2"/>
    <n v="7506.76"/>
    <n v="12"/>
    <m/>
    <n v="0"/>
    <n v="2801"/>
    <n v="2.679932"/>
    <n v="2"/>
    <x v="2"/>
    <n v="7506.76"/>
    <n v="3002.71"/>
    <n v="0"/>
    <s v="Byg 3 1019273"/>
    <s v="74114921226"/>
    <n v="7506.7719999999999"/>
    <n v="0"/>
    <n v="58094"/>
  </r>
  <r>
    <x v="9"/>
    <s v="06157-9"/>
    <s v="Furesøbad"/>
    <n v="5489"/>
    <m/>
    <s v="Furesøbad"/>
    <x v="53"/>
    <x v="0"/>
    <x v="3"/>
    <n v="69202.92"/>
    <n v="12"/>
    <m/>
    <n v="0"/>
    <n v="2801"/>
    <n v="24.705622000000002"/>
    <n v="2"/>
    <x v="2"/>
    <n v="69202.92"/>
    <n v="32456.16"/>
    <n v="0"/>
    <s v="Byg 1 800231/1118660"/>
    <s v="74111808063"/>
    <n v="69202.904999999999"/>
    <n v="0"/>
    <n v="58001"/>
  </r>
  <r>
    <x v="9"/>
    <s v="06157-9"/>
    <s v="Furesøbad"/>
    <n v="5489"/>
    <m/>
    <s v="Furesøbad"/>
    <x v="53"/>
    <x v="0"/>
    <x v="3"/>
    <n v="42798.03"/>
    <n v="12"/>
    <m/>
    <n v="0"/>
    <n v="2801"/>
    <n v="15.279007999999999"/>
    <n v="2"/>
    <x v="2"/>
    <n v="42798.03"/>
    <n v="20072.29"/>
    <n v="0"/>
    <s v="Byg 2 799430"/>
    <s v="74111885200"/>
    <n v="42798.044000000002"/>
    <n v="0"/>
    <n v="58091"/>
  </r>
  <r>
    <x v="9"/>
    <s v="06157-9"/>
    <s v="Furesøbad"/>
    <n v="5489"/>
    <m/>
    <s v="Furesøbad"/>
    <x v="53"/>
    <x v="0"/>
    <x v="3"/>
    <n v="7497.98"/>
    <n v="12"/>
    <m/>
    <n v="0"/>
    <n v="2801"/>
    <n v="2.6767979999999998"/>
    <n v="2"/>
    <x v="2"/>
    <n v="7497.98"/>
    <n v="3516.55"/>
    <n v="0"/>
    <s v="Byg 3 1019273"/>
    <s v="74114921226"/>
    <n v="7497.9759999999997"/>
    <n v="0"/>
    <n v="58094"/>
  </r>
  <r>
    <x v="9"/>
    <s v="06157-9"/>
    <s v="Furesøbad"/>
    <n v="5489"/>
    <m/>
    <s v="Furesøbad"/>
    <x v="53"/>
    <x v="0"/>
    <x v="4"/>
    <n v="70223.77"/>
    <n v="12"/>
    <m/>
    <n v="0"/>
    <n v="2801"/>
    <n v="25.070067999999999"/>
    <n v="2"/>
    <x v="2"/>
    <n v="70223.77"/>
    <n v="32934.93"/>
    <n v="0"/>
    <s v="Byg 1 800231/1118660"/>
    <s v="74111808063"/>
    <n v="70223.759999999995"/>
    <n v="0"/>
    <n v="58001"/>
  </r>
  <r>
    <x v="9"/>
    <s v="06157-9"/>
    <s v="Furesøbad"/>
    <n v="5489"/>
    <m/>
    <s v="Furesøbad"/>
    <x v="53"/>
    <x v="0"/>
    <x v="4"/>
    <n v="39572.82"/>
    <n v="12"/>
    <m/>
    <n v="0"/>
    <n v="2801"/>
    <n v="14.127599"/>
    <n v="2"/>
    <x v="2"/>
    <n v="39572.82"/>
    <n v="18559.66"/>
    <n v="0"/>
    <s v="Byg 2 799430"/>
    <s v="74111885200"/>
    <n v="39572.813999999998"/>
    <n v="0"/>
    <n v="58091"/>
  </r>
  <r>
    <x v="9"/>
    <s v="06157-9"/>
    <s v="Furesøbad"/>
    <n v="5489"/>
    <m/>
    <s v="Furesøbad"/>
    <x v="53"/>
    <x v="0"/>
    <x v="4"/>
    <n v="7601.35"/>
    <n v="12"/>
    <m/>
    <n v="0"/>
    <n v="2801"/>
    <n v="2.7137009999999999"/>
    <n v="2"/>
    <x v="2"/>
    <n v="7601.35"/>
    <n v="3565.01"/>
    <n v="0"/>
    <s v="Byg 3 1019273"/>
    <s v="74114921226"/>
    <n v="7601.35"/>
    <n v="0"/>
    <n v="58094"/>
  </r>
  <r>
    <x v="9"/>
    <s v="06157-9"/>
    <s v="Furesøbad"/>
    <n v="5489"/>
    <m/>
    <s v="Furesøbad"/>
    <x v="53"/>
    <x v="0"/>
    <x v="5"/>
    <n v="7593.27"/>
    <n v="12"/>
    <m/>
    <n v="0"/>
    <n v="2801"/>
    <n v="2.710817"/>
    <n v="2"/>
    <x v="2"/>
    <n v="7593.27"/>
    <n v="3561.25"/>
    <n v="0"/>
    <s v="Byg 3 1019273"/>
    <s v="74114921226"/>
    <n v="7593.2619999999997"/>
    <n v="0"/>
    <n v="58094"/>
  </r>
  <r>
    <x v="9"/>
    <s v="06157-9"/>
    <s v="Furesøbad"/>
    <n v="5489"/>
    <m/>
    <s v="Furesøbad"/>
    <x v="53"/>
    <x v="0"/>
    <x v="5"/>
    <n v="63919.85"/>
    <n v="12"/>
    <m/>
    <n v="0"/>
    <n v="2801"/>
    <n v="22.819552999999999"/>
    <n v="2"/>
    <x v="2"/>
    <n v="63919.85"/>
    <n v="29978.41"/>
    <n v="0"/>
    <s v="Byg 1 800231/1118660"/>
    <s v="74111808063"/>
    <n v="63919.845000000001"/>
    <n v="0"/>
    <n v="58001"/>
  </r>
  <r>
    <x v="9"/>
    <s v="06157-9"/>
    <s v="Furesøbad"/>
    <n v="5489"/>
    <m/>
    <s v="Furesøbad"/>
    <x v="53"/>
    <x v="0"/>
    <x v="5"/>
    <n v="42891.15"/>
    <n v="12"/>
    <m/>
    <n v="0"/>
    <n v="2801"/>
    <n v="15.312252000000001"/>
    <n v="2"/>
    <x v="2"/>
    <n v="42891.15"/>
    <n v="20115.97"/>
    <n v="0"/>
    <s v="Byg 2 799430"/>
    <s v="74111885200"/>
    <n v="42891.161999999997"/>
    <n v="0"/>
    <n v="58091"/>
  </r>
  <r>
    <x v="9"/>
    <s v="06157-9"/>
    <s v="Furesøbad"/>
    <n v="5489"/>
    <m/>
    <s v="Furesøbad"/>
    <x v="53"/>
    <x v="0"/>
    <x v="6"/>
    <n v="55416.92"/>
    <n v="12"/>
    <m/>
    <n v="0"/>
    <n v="2801"/>
    <n v="19.783984"/>
    <n v="2"/>
    <x v="2"/>
    <n v="55416.92"/>
    <n v="25990.55"/>
    <n v="0"/>
    <s v="Byg 1 800231/1118660"/>
    <s v="74111808063"/>
    <n v="55416.93"/>
    <n v="0"/>
    <n v="58001"/>
  </r>
  <r>
    <x v="9"/>
    <s v="06157-9"/>
    <s v="Furesøbad"/>
    <n v="5489"/>
    <m/>
    <s v="Furesøbad"/>
    <x v="53"/>
    <x v="0"/>
    <x v="6"/>
    <n v="44284.19"/>
    <n v="12"/>
    <m/>
    <n v="0"/>
    <n v="2801"/>
    <n v="15.809571"/>
    <n v="2"/>
    <x v="2"/>
    <n v="44284.19"/>
    <n v="20769.28"/>
    <n v="0"/>
    <s v="Byg 2 799430"/>
    <s v="74111885200"/>
    <n v="44284.188000000002"/>
    <n v="0"/>
    <n v="58091"/>
  </r>
  <r>
    <x v="9"/>
    <s v="06157-9"/>
    <s v="Furesøbad"/>
    <n v="5489"/>
    <m/>
    <s v="Furesøbad"/>
    <x v="53"/>
    <x v="0"/>
    <x v="6"/>
    <n v="7190.55"/>
    <n v="12"/>
    <m/>
    <n v="0"/>
    <n v="2801"/>
    <n v="2.5670449999999998"/>
    <n v="2"/>
    <x v="2"/>
    <n v="7190.55"/>
    <n v="3372.35"/>
    <n v="0"/>
    <s v="Byg 3 1019273"/>
    <s v="74114921226"/>
    <n v="7190.55"/>
    <n v="0"/>
    <n v="58094"/>
  </r>
  <r>
    <x v="9"/>
    <s v="06157-9"/>
    <s v="Furesøbad"/>
    <n v="6031"/>
    <m/>
    <s v="Manuel aflæsning"/>
    <x v="53"/>
    <x v="1"/>
    <x v="0"/>
    <n v="0"/>
    <n v="3"/>
    <s v="2015-03-31"/>
    <n v="0"/>
    <n v="0"/>
    <n v="245814.6"/>
    <n v="2"/>
    <x v="2"/>
    <n v="24581.46"/>
    <n v="9832.59"/>
    <n v="1"/>
    <s v="577109"/>
    <m/>
    <n v="24581.466670000002"/>
    <n v="0"/>
    <n v="60686"/>
  </r>
  <r>
    <x v="9"/>
    <s v="06157-9"/>
    <s v="Furesøbad"/>
    <n v="6031"/>
    <m/>
    <s v="Manuel aflæsning"/>
    <x v="53"/>
    <x v="1"/>
    <x v="0"/>
    <n v="0"/>
    <n v="4"/>
    <s v="2015-05-05"/>
    <n v="0"/>
    <n v="0"/>
    <n v="24060"/>
    <n v="2"/>
    <x v="2"/>
    <n v="2406"/>
    <n v="962.4"/>
    <n v="0"/>
    <s v="813314"/>
    <m/>
    <n v="2406"/>
    <n v="0"/>
    <n v="60687"/>
  </r>
  <r>
    <x v="9"/>
    <s v="06157-9"/>
    <s v="Furesøbad"/>
    <n v="6031"/>
    <m/>
    <s v="Manuel aflæsning"/>
    <x v="53"/>
    <x v="1"/>
    <x v="0"/>
    <n v="0"/>
    <n v="4"/>
    <s v="2015-05-05"/>
    <n v="0"/>
    <n v="0"/>
    <n v="4906.3999999999996"/>
    <n v="2"/>
    <x v="2"/>
    <n v="490.64"/>
    <n v="196.27"/>
    <n v="1"/>
    <s v="0540 00081290"/>
    <m/>
    <n v="490.64445000000001"/>
    <n v="0"/>
    <n v="62511"/>
  </r>
  <r>
    <x v="9"/>
    <s v="06157-9"/>
    <s v="Furesøbad"/>
    <n v="6031"/>
    <m/>
    <s v="Manuel aflæsning"/>
    <x v="53"/>
    <x v="0"/>
    <x v="1"/>
    <n v="0"/>
    <n v="11"/>
    <s v="2015-05-05"/>
    <n v="0"/>
    <n v="0"/>
    <n v="0"/>
    <n v="2"/>
    <x v="2"/>
    <n v="0"/>
    <n v="0"/>
    <n v="0"/>
    <s v="813314"/>
    <m/>
    <n v="0"/>
    <n v="0"/>
    <n v="60687"/>
  </r>
  <r>
    <x v="9"/>
    <s v="06157-9"/>
    <s v="Furesøbad"/>
    <n v="6031"/>
    <m/>
    <s v="Manuel aflæsning"/>
    <x v="53"/>
    <x v="0"/>
    <x v="1"/>
    <n v="105430.93"/>
    <n v="9"/>
    <s v="2015-03-31"/>
    <n v="0"/>
    <n v="0"/>
    <n v="1054309.3"/>
    <n v="2"/>
    <x v="2"/>
    <n v="105430.93"/>
    <n v="42172.37"/>
    <n v="1"/>
    <s v="577109"/>
    <m/>
    <n v="105430.91761"/>
    <n v="0"/>
    <n v="60686"/>
  </r>
  <r>
    <x v="9"/>
    <s v="06157-9"/>
    <s v="Furesøbad"/>
    <n v="6031"/>
    <m/>
    <s v="Manuel aflæsning"/>
    <x v="53"/>
    <x v="0"/>
    <x v="1"/>
    <n v="3331.39"/>
    <n v="11"/>
    <s v="2015-05-05"/>
    <n v="0"/>
    <n v="0"/>
    <n v="33313.9"/>
    <n v="2"/>
    <x v="2"/>
    <n v="3331.39"/>
    <n v="1332.56"/>
    <n v="1"/>
    <s v="0540 00081290"/>
    <m/>
    <n v="3331.3812499999999"/>
    <n v="0"/>
    <n v="62511"/>
  </r>
  <r>
    <x v="9"/>
    <s v="06157-9"/>
    <s v="Furesøbad"/>
    <n v="6031"/>
    <m/>
    <s v="Manuel aflæsning"/>
    <x v="53"/>
    <x v="0"/>
    <x v="2"/>
    <n v="0"/>
    <n v="8"/>
    <s v="2015-05-05"/>
    <n v="0"/>
    <n v="0"/>
    <n v="0"/>
    <n v="2"/>
    <x v="2"/>
    <n v="0"/>
    <n v="0"/>
    <n v="0"/>
    <s v="813314"/>
    <m/>
    <n v="0"/>
    <n v="0"/>
    <n v="60687"/>
  </r>
  <r>
    <x v="9"/>
    <s v="06157-9"/>
    <s v="Furesøbad"/>
    <n v="6031"/>
    <m/>
    <s v="Manuel aflæsning"/>
    <x v="53"/>
    <x v="0"/>
    <x v="2"/>
    <n v="114923.93"/>
    <n v="8"/>
    <s v="2015-03-31"/>
    <n v="0"/>
    <n v="0"/>
    <n v="1149239.3"/>
    <n v="2"/>
    <x v="2"/>
    <n v="114923.93"/>
    <n v="45969.57"/>
    <n v="1"/>
    <s v="577109"/>
    <m/>
    <n v="114923.90846999999"/>
    <n v="0"/>
    <n v="60686"/>
  </r>
  <r>
    <x v="9"/>
    <s v="06157-9"/>
    <s v="Furesøbad"/>
    <n v="6031"/>
    <m/>
    <s v="Manuel aflæsning"/>
    <x v="53"/>
    <x v="0"/>
    <x v="2"/>
    <n v="1708.62"/>
    <n v="10"/>
    <s v="2015-05-05"/>
    <n v="0"/>
    <n v="0"/>
    <n v="17086.2"/>
    <n v="2"/>
    <x v="2"/>
    <n v="1708.62"/>
    <n v="683.44"/>
    <n v="1"/>
    <s v="0540 00081290"/>
    <m/>
    <n v="1708.6187500000001"/>
    <n v="0"/>
    <n v="62511"/>
  </r>
  <r>
    <x v="9"/>
    <s v="06157-9"/>
    <s v="Furesøbad"/>
    <n v="6031"/>
    <m/>
    <s v="Manuel aflæsning"/>
    <x v="53"/>
    <x v="0"/>
    <x v="3"/>
    <n v="122910.31"/>
    <n v="13"/>
    <s v="2015-03-31"/>
    <n v="0"/>
    <n v="0"/>
    <n v="1229103.1000000001"/>
    <n v="2"/>
    <x v="2"/>
    <n v="122910.31"/>
    <n v="57644.92"/>
    <n v="1"/>
    <s v="577109"/>
    <m/>
    <n v="122910.30967"/>
    <n v="0"/>
    <n v="60686"/>
  </r>
  <r>
    <x v="9"/>
    <s v="06157-9"/>
    <s v="Furesøbad"/>
    <n v="6031"/>
    <m/>
    <s v="Manuel aflæsning"/>
    <x v="53"/>
    <x v="0"/>
    <x v="3"/>
    <n v="924"/>
    <n v="11"/>
    <s v="2015-05-05"/>
    <n v="0"/>
    <n v="0"/>
    <n v="9240"/>
    <n v="2"/>
    <x v="2"/>
    <n v="924"/>
    <n v="433.36"/>
    <n v="0"/>
    <s v="813314"/>
    <m/>
    <n v="924"/>
    <n v="0"/>
    <n v="60687"/>
  </r>
  <r>
    <x v="9"/>
    <s v="06157-9"/>
    <s v="Furesøbad"/>
    <n v="6031"/>
    <m/>
    <s v="Manuel aflæsning"/>
    <x v="53"/>
    <x v="0"/>
    <x v="3"/>
    <n v="2044.64"/>
    <n v="11"/>
    <s v="2015-05-05"/>
    <n v="0"/>
    <n v="0"/>
    <n v="20446.400000000001"/>
    <n v="2"/>
    <x v="2"/>
    <n v="2044.64"/>
    <n v="958.94"/>
    <n v="1"/>
    <s v="0540 00081290"/>
    <m/>
    <n v="2044.6322500000001"/>
    <n v="0"/>
    <n v="62511"/>
  </r>
  <r>
    <x v="9"/>
    <s v="06157-9"/>
    <s v="Furesøbad"/>
    <n v="6031"/>
    <m/>
    <s v="Manuel aflæsning"/>
    <x v="53"/>
    <x v="0"/>
    <x v="4"/>
    <n v="1113"/>
    <n v="12"/>
    <s v="2015-05-05"/>
    <n v="0"/>
    <n v="0"/>
    <n v="11130"/>
    <n v="2"/>
    <x v="2"/>
    <n v="1113"/>
    <n v="522"/>
    <n v="0"/>
    <s v="813314"/>
    <m/>
    <n v="1113"/>
    <n v="0"/>
    <n v="60687"/>
  </r>
  <r>
    <x v="9"/>
    <s v="06157-9"/>
    <s v="Furesøbad"/>
    <n v="6031"/>
    <m/>
    <s v="Manuel aflæsning"/>
    <x v="53"/>
    <x v="0"/>
    <x v="4"/>
    <n v="146109.71"/>
    <n v="12"/>
    <s v="2015-03-31"/>
    <n v="0"/>
    <n v="0"/>
    <n v="1461097.1"/>
    <n v="2"/>
    <x v="2"/>
    <n v="146109.71"/>
    <n v="68525.45"/>
    <n v="1"/>
    <s v="577109"/>
    <m/>
    <n v="146109.71139000001"/>
    <n v="0"/>
    <n v="60686"/>
  </r>
  <r>
    <x v="9"/>
    <s v="06157-9"/>
    <s v="Furesøbad"/>
    <n v="6031"/>
    <m/>
    <s v="Manuel aflæsning"/>
    <x v="53"/>
    <x v="0"/>
    <x v="4"/>
    <n v="2980.43"/>
    <n v="12"/>
    <s v="2015-05-05"/>
    <n v="0"/>
    <n v="0"/>
    <n v="29804.3"/>
    <n v="2"/>
    <x v="2"/>
    <n v="2980.43"/>
    <n v="1397.83"/>
    <n v="1"/>
    <s v="0540 00081290"/>
    <m/>
    <n v="2980.4414200000001"/>
    <n v="0"/>
    <n v="62511"/>
  </r>
  <r>
    <x v="9"/>
    <s v="06157-9"/>
    <s v="Furesøbad"/>
    <n v="6031"/>
    <m/>
    <s v="Manuel aflæsning"/>
    <x v="53"/>
    <x v="0"/>
    <x v="5"/>
    <n v="384"/>
    <n v="12"/>
    <s v="2015-05-05"/>
    <n v="0"/>
    <n v="0"/>
    <n v="3840"/>
    <n v="2"/>
    <x v="2"/>
    <n v="384"/>
    <n v="180.09"/>
    <n v="0"/>
    <s v="813314"/>
    <m/>
    <n v="384"/>
    <n v="0"/>
    <n v="60687"/>
  </r>
  <r>
    <x v="9"/>
    <s v="06157-9"/>
    <s v="Furesøbad"/>
    <n v="6031"/>
    <m/>
    <s v="Manuel aflæsning"/>
    <x v="53"/>
    <x v="0"/>
    <x v="5"/>
    <n v="158843.04999999999"/>
    <n v="12"/>
    <s v="2015-03-31"/>
    <n v="0"/>
    <n v="0"/>
    <n v="1588430.5"/>
    <n v="2"/>
    <x v="2"/>
    <n v="158843.04999999999"/>
    <n v="74497.38"/>
    <n v="1"/>
    <s v="577109"/>
    <m/>
    <n v="158843.04954000001"/>
    <n v="0"/>
    <n v="60686"/>
  </r>
  <r>
    <x v="9"/>
    <s v="06157-9"/>
    <s v="Furesøbad"/>
    <n v="6031"/>
    <m/>
    <s v="Manuel aflæsning"/>
    <x v="53"/>
    <x v="0"/>
    <x v="5"/>
    <n v="4572.59"/>
    <n v="12"/>
    <s v="2015-05-05"/>
    <n v="0"/>
    <n v="0"/>
    <n v="45725.9"/>
    <n v="2"/>
    <x v="2"/>
    <n v="4572.59"/>
    <n v="2144.5500000000002"/>
    <n v="1"/>
    <s v="0540 00081290"/>
    <m/>
    <n v="4572.5851400000001"/>
    <n v="0"/>
    <n v="62511"/>
  </r>
  <r>
    <x v="9"/>
    <s v="06157-9"/>
    <s v="Furesøbad"/>
    <n v="6031"/>
    <m/>
    <s v="Manuel aflæsning"/>
    <x v="53"/>
    <x v="0"/>
    <x v="6"/>
    <n v="1215"/>
    <n v="12"/>
    <s v="2015-05-05"/>
    <n v="0"/>
    <n v="0"/>
    <n v="12150"/>
    <n v="2"/>
    <x v="2"/>
    <n v="1215"/>
    <n v="569.84"/>
    <n v="0"/>
    <s v="813314"/>
    <m/>
    <n v="1215"/>
    <n v="0"/>
    <n v="60687"/>
  </r>
  <r>
    <x v="9"/>
    <s v="06157-9"/>
    <s v="Furesøbad"/>
    <n v="6031"/>
    <m/>
    <s v="Manuel aflæsning"/>
    <x v="53"/>
    <x v="0"/>
    <x v="6"/>
    <n v="117311.39"/>
    <n v="8"/>
    <s v="2015-03-31"/>
    <n v="0"/>
    <n v="0"/>
    <n v="1173113.8999999999"/>
    <n v="2"/>
    <x v="2"/>
    <n v="117311.39"/>
    <n v="55019.02"/>
    <n v="1"/>
    <s v="577109"/>
    <m/>
    <n v="117311.38657"/>
    <n v="0"/>
    <n v="60686"/>
  </r>
  <r>
    <x v="9"/>
    <s v="06157-9"/>
    <s v="Furesøbad"/>
    <n v="6031"/>
    <m/>
    <s v="Manuel aflæsning"/>
    <x v="53"/>
    <x v="0"/>
    <x v="6"/>
    <n v="2345.16"/>
    <n v="12"/>
    <s v="2015-05-05"/>
    <n v="0"/>
    <n v="0"/>
    <n v="23451.599999999999"/>
    <n v="2"/>
    <x v="2"/>
    <n v="2345.16"/>
    <n v="1099.8800000000001"/>
    <n v="1"/>
    <s v="0540 00081290"/>
    <m/>
    <n v="2345.1669900000002"/>
    <n v="0"/>
    <n v="62511"/>
  </r>
  <r>
    <x v="9"/>
    <m/>
    <s v="Hareskov Idræt, Birke 15"/>
    <n v="10207"/>
    <m/>
    <s v="Hareskov Idræt"/>
    <x v="82"/>
    <x v="0"/>
    <x v="0"/>
    <n v="9939"/>
    <n v="5"/>
    <s v="2011-11-30"/>
    <n v="0"/>
    <n v="505"/>
    <n v="8.0257769999999997"/>
    <n v="2"/>
    <x v="2"/>
    <n v="4053.82"/>
    <n v="1216.1500000000001"/>
    <n v="0"/>
    <s v="4160062"/>
    <s v="74110491822"/>
    <n v="4053.826"/>
    <n v="0"/>
    <n v="77399"/>
  </r>
  <r>
    <x v="9"/>
    <m/>
    <s v="Hareskov Idræt, Birke 15"/>
    <n v="10207"/>
    <m/>
    <s v="Hareskov Idræt"/>
    <x v="82"/>
    <x v="0"/>
    <x v="1"/>
    <n v="14695.89"/>
    <n v="12"/>
    <s v="2011-11-30"/>
    <n v="0"/>
    <n v="505"/>
    <n v="29.095009999999998"/>
    <n v="2"/>
    <x v="2"/>
    <n v="14695.89"/>
    <n v="4408.7700000000004"/>
    <n v="0"/>
    <s v="4160062"/>
    <s v="74110491822"/>
    <n v="14695.894"/>
    <n v="0"/>
    <n v="77399"/>
  </r>
  <r>
    <x v="9"/>
    <m/>
    <s v="Hareskov Idræt, Birke 15"/>
    <n v="10207"/>
    <m/>
    <s v="Hareskov Idræt"/>
    <x v="82"/>
    <x v="0"/>
    <x v="2"/>
    <n v="12294.21"/>
    <n v="12"/>
    <s v="2011-11-30"/>
    <n v="0"/>
    <n v="505"/>
    <n v="24.340150000000001"/>
    <n v="2"/>
    <x v="2"/>
    <n v="12294.21"/>
    <n v="4917.7"/>
    <n v="0"/>
    <s v="4160062"/>
    <s v="74110491822"/>
    <n v="12294.207"/>
    <n v="0"/>
    <n v="77399"/>
  </r>
  <r>
    <x v="9"/>
    <m/>
    <s v="Hareskov Idræt, Birke 15"/>
    <n v="10207"/>
    <m/>
    <s v="Hareskov Idræt"/>
    <x v="82"/>
    <x v="0"/>
    <x v="3"/>
    <n v="9790.56"/>
    <n v="3"/>
    <s v="2011-11-30"/>
    <n v="0"/>
    <n v="505"/>
    <n v="19.383409"/>
    <n v="2"/>
    <x v="2"/>
    <n v="9790.56"/>
    <n v="4591.7700000000004"/>
    <n v="0"/>
    <s v="4160062"/>
    <s v="74110491822"/>
    <n v="9790.5600200000008"/>
    <n v="0"/>
    <n v="77399"/>
  </r>
  <r>
    <x v="9"/>
    <m/>
    <s v="Hareskov Idræt, Birke 15"/>
    <n v="10207"/>
    <m/>
    <s v="Hareskov Idræt"/>
    <x v="82"/>
    <x v="0"/>
    <x v="4"/>
    <n v="12505.92"/>
    <n v="3"/>
    <s v="2011-11-30"/>
    <n v="0"/>
    <n v="505"/>
    <n v="24.759295000000002"/>
    <n v="2"/>
    <x v="2"/>
    <n v="12505.92"/>
    <n v="5865.28"/>
    <n v="0"/>
    <s v="4160062"/>
    <s v="74110491822"/>
    <n v="12505.9139"/>
    <n v="0"/>
    <n v="77399"/>
  </r>
  <r>
    <x v="9"/>
    <m/>
    <s v="Hareskov Idræt, Birke 15"/>
    <n v="10207"/>
    <m/>
    <s v="Hareskov Idræt"/>
    <x v="82"/>
    <x v="0"/>
    <x v="5"/>
    <n v="13360.55"/>
    <n v="0"/>
    <s v="2011-11-30"/>
    <n v="0"/>
    <n v="505"/>
    <n v="26.451295999999999"/>
    <n v="2"/>
    <x v="2"/>
    <n v="13360.55"/>
    <n v="6266.1"/>
    <n v="0"/>
    <s v="4160062"/>
    <s v="74110491822"/>
    <n v="13360.532209999999"/>
    <n v="0"/>
    <n v="77399"/>
  </r>
  <r>
    <x v="9"/>
    <m/>
    <s v="Hareskov Idræt, Birke 15"/>
    <n v="10207"/>
    <m/>
    <s v="Hareskov Idræt"/>
    <x v="82"/>
    <x v="0"/>
    <x v="6"/>
    <n v="13203.23"/>
    <n v="6"/>
    <s v="2011-11-30"/>
    <n v="0"/>
    <n v="505"/>
    <n v="26.139832999999999"/>
    <n v="2"/>
    <x v="2"/>
    <n v="13203.23"/>
    <n v="6192.33"/>
    <n v="0"/>
    <s v="4160062"/>
    <s v="74110491822"/>
    <n v="13203.22892"/>
    <n v="0"/>
    <n v="77399"/>
  </r>
  <r>
    <x v="9"/>
    <m/>
    <s v="Kirke Værløse Idrætanlæg, Lejr 21"/>
    <n v="10204"/>
    <m/>
    <s v="Kirke Værløse Idrætsanlæg"/>
    <x v="61"/>
    <x v="0"/>
    <x v="0"/>
    <n v="9970"/>
    <n v="5"/>
    <s v="2011-09-30"/>
    <n v="0"/>
    <n v="445"/>
    <n v="8.7925179999999994"/>
    <n v="2"/>
    <x v="2"/>
    <n v="3913.55"/>
    <n v="1174.06"/>
    <n v="0"/>
    <s v="4161811"/>
    <s v="74112222622"/>
    <n v="3913.5410000000002"/>
    <n v="0"/>
    <n v="77386"/>
  </r>
  <r>
    <x v="9"/>
    <m/>
    <s v="Kirke Værløse Idrætanlæg, Lejr 21"/>
    <n v="10204"/>
    <m/>
    <s v="Kirke Værløse Idrætsanlæg"/>
    <x v="61"/>
    <x v="0"/>
    <x v="1"/>
    <n v="12708.84"/>
    <n v="12"/>
    <s v="2011-09-30"/>
    <n v="0"/>
    <n v="445"/>
    <n v="28.552773999999999"/>
    <n v="2"/>
    <x v="2"/>
    <n v="12708.84"/>
    <n v="3812.64"/>
    <n v="0"/>
    <s v="4161811"/>
    <s v="74112222622"/>
    <n v="12708.844999999999"/>
    <n v="0"/>
    <n v="77386"/>
  </r>
  <r>
    <x v="9"/>
    <m/>
    <s v="Kirke Værløse Idrætanlæg, Lejr 21"/>
    <n v="10204"/>
    <m/>
    <s v="Kirke Værløse Idrætsanlæg"/>
    <x v="61"/>
    <x v="0"/>
    <x v="2"/>
    <n v="12475.99"/>
    <n v="12"/>
    <s v="2011-09-30"/>
    <n v="0"/>
    <n v="445"/>
    <n v="28.029633"/>
    <n v="2"/>
    <x v="2"/>
    <n v="12475.99"/>
    <n v="4990.3999999999996"/>
    <n v="0"/>
    <s v="4161811"/>
    <s v="74112222622"/>
    <n v="12476.007"/>
    <n v="0"/>
    <n v="77386"/>
  </r>
  <r>
    <x v="9"/>
    <m/>
    <s v="Kirke Værløse Idrætanlæg, Lejr 21"/>
    <n v="10204"/>
    <m/>
    <s v="Kirke Værløse Idrætsanlæg"/>
    <x v="61"/>
    <x v="0"/>
    <x v="3"/>
    <n v="12867.88"/>
    <n v="5"/>
    <s v="2011-09-30"/>
    <n v="0"/>
    <n v="445"/>
    <n v="28.910087000000001"/>
    <n v="2"/>
    <x v="2"/>
    <n v="12867.88"/>
    <n v="6035.03"/>
    <n v="0"/>
    <s v="4161811"/>
    <s v="74112222622"/>
    <n v="12867.882670000001"/>
    <n v="0"/>
    <n v="77386"/>
  </r>
  <r>
    <x v="9"/>
    <m/>
    <s v="Kirke Værløse Idrætanlæg, Lejr 21"/>
    <n v="10204"/>
    <m/>
    <s v="Kirke Værløse Idrætsanlæg"/>
    <x v="61"/>
    <x v="0"/>
    <x v="4"/>
    <n v="14453.25"/>
    <n v="3"/>
    <s v="2011-09-30"/>
    <n v="0"/>
    <n v="445"/>
    <n v="32.471916"/>
    <n v="2"/>
    <x v="2"/>
    <n v="14453.25"/>
    <n v="6778.58"/>
    <n v="0"/>
    <s v="4161811"/>
    <s v="74112222622"/>
    <n v="14453.2302"/>
    <n v="0"/>
    <n v="77386"/>
  </r>
  <r>
    <x v="9"/>
    <m/>
    <s v="Kirke Værløse Idrætanlæg, Lejr 21"/>
    <n v="10204"/>
    <m/>
    <s v="Kirke Værløse Idrætsanlæg"/>
    <x v="61"/>
    <x v="0"/>
    <x v="5"/>
    <n v="14953.93"/>
    <n v="0"/>
    <s v="2011-09-30"/>
    <n v="0"/>
    <n v="445"/>
    <n v="33.596786999999999"/>
    <n v="2"/>
    <x v="2"/>
    <n v="14953.93"/>
    <n v="7013.39"/>
    <n v="0"/>
    <s v="4161811"/>
    <s v="74112222622"/>
    <n v="14953.90741"/>
    <n v="0"/>
    <n v="77386"/>
  </r>
  <r>
    <x v="9"/>
    <m/>
    <s v="Kirke Værløse Idrætanlæg, Lejr 21"/>
    <n v="10204"/>
    <m/>
    <s v="Kirke Værløse Idrætsanlæg"/>
    <x v="61"/>
    <x v="0"/>
    <x v="6"/>
    <n v="16051.45"/>
    <n v="7"/>
    <s v="2011-09-30"/>
    <n v="0"/>
    <n v="445"/>
    <n v="36.062570000000001"/>
    <n v="2"/>
    <x v="2"/>
    <n v="16051.45"/>
    <n v="7528.14"/>
    <n v="0"/>
    <s v="4161811"/>
    <s v="74112222622"/>
    <n v="16051.43446"/>
    <n v="0"/>
    <n v="77386"/>
  </r>
  <r>
    <x v="9"/>
    <s v="6408"/>
    <s v="Skallepanden V M Amdrupvej 17"/>
    <n v="13664"/>
    <s v="0"/>
    <s v="Skallepanden"/>
    <x v="55"/>
    <x v="0"/>
    <x v="0"/>
    <n v="1512"/>
    <n v="5"/>
    <s v="2013-11-30"/>
    <n v="0"/>
    <n v="138"/>
    <n v="4.3294709999999998"/>
    <n v="2"/>
    <x v="2"/>
    <n v="597.9"/>
    <n v="179.36"/>
    <n v="0"/>
    <s v="4219857"/>
    <s v="74111476767"/>
    <n v="597.89099999999996"/>
    <n v="0"/>
    <n v="91255"/>
  </r>
  <r>
    <x v="9"/>
    <s v="6408"/>
    <s v="Skallepanden V M Amdrupvej 17"/>
    <n v="13664"/>
    <s v="0"/>
    <s v="Skallepanden"/>
    <x v="55"/>
    <x v="0"/>
    <x v="1"/>
    <n v="1522.36"/>
    <n v="7"/>
    <s v="2013-11-30"/>
    <n v="0"/>
    <n v="138"/>
    <n v="11.023605999999999"/>
    <n v="2"/>
    <x v="2"/>
    <n v="1522.36"/>
    <n v="456.71"/>
    <n v="0"/>
    <s v="4219857"/>
    <s v="74111476767"/>
    <n v="1522.3584599999999"/>
    <n v="0"/>
    <n v="91255"/>
  </r>
  <r>
    <x v="9"/>
    <s v="6408"/>
    <s v="Skallepanden V M Amdrupvej 17"/>
    <n v="13664"/>
    <s v="0"/>
    <s v="Skallepanden"/>
    <x v="55"/>
    <x v="0"/>
    <x v="2"/>
    <n v="1669.92"/>
    <n v="1"/>
    <s v="2013-11-30"/>
    <n v="0"/>
    <n v="138"/>
    <n v="12.092107"/>
    <n v="2"/>
    <x v="2"/>
    <n v="1669.92"/>
    <n v="667.97"/>
    <n v="0"/>
    <s v="4219857"/>
    <s v="74111476767"/>
    <n v="1669.92914"/>
    <n v="0"/>
    <n v="91255"/>
  </r>
  <r>
    <x v="9"/>
    <s v="6408"/>
    <s v="Skallepanden V M Amdrupvej 17"/>
    <n v="13664"/>
    <s v="0"/>
    <s v="Skallepanden"/>
    <x v="55"/>
    <x v="0"/>
    <x v="3"/>
    <n v="1423.62"/>
    <n v="1"/>
    <s v="2013-11-30"/>
    <n v="0"/>
    <n v="138"/>
    <n v="10.308616000000001"/>
    <n v="2"/>
    <x v="2"/>
    <n v="1423.62"/>
    <n v="667.67"/>
    <n v="0"/>
    <s v="4219857"/>
    <s v="74111476767"/>
    <n v="1423.6315099999999"/>
    <n v="0"/>
    <n v="91255"/>
  </r>
  <r>
    <x v="9"/>
    <s v="6408"/>
    <s v="Skallepanden V M Amdrupvej 17"/>
    <n v="13664"/>
    <s v="0"/>
    <s v="Skallepanden"/>
    <x v="55"/>
    <x v="0"/>
    <x v="4"/>
    <n v="1204.45"/>
    <n v="1"/>
    <s v="2013-11-30"/>
    <n v="0"/>
    <n v="138"/>
    <n v="8.7215779999999992"/>
    <n v="2"/>
    <x v="2"/>
    <n v="1204.45"/>
    <n v="564.89"/>
    <n v="0"/>
    <s v="4219857"/>
    <s v="74111476767"/>
    <n v="1204.4830400000001"/>
    <n v="0"/>
    <n v="91255"/>
  </r>
  <r>
    <x v="9"/>
    <s v="6408"/>
    <s v="Skallepanden V M Amdrupvej 17"/>
    <n v="13664"/>
    <s v="0"/>
    <s v="Skallepanden"/>
    <x v="55"/>
    <x v="0"/>
    <x v="5"/>
    <n v="1157.8900000000001"/>
    <n v="0"/>
    <s v="2013-11-30"/>
    <n v="0"/>
    <n v="138"/>
    <n v="8.3844309999999993"/>
    <n v="2"/>
    <x v="2"/>
    <n v="1157.8900000000001"/>
    <n v="543.05999999999995"/>
    <n v="0"/>
    <s v="4219857"/>
    <s v="74111476767"/>
    <n v="1157.9310399999999"/>
    <n v="0"/>
    <n v="91255"/>
  </r>
  <r>
    <x v="9"/>
    <s v="6408"/>
    <s v="Skallepanden V M Amdrupvej 17"/>
    <n v="13664"/>
    <s v="0"/>
    <s v="Skallepanden"/>
    <x v="55"/>
    <x v="0"/>
    <x v="6"/>
    <n v="1226.83"/>
    <n v="1"/>
    <s v="2013-11-30"/>
    <n v="0"/>
    <n v="138"/>
    <n v="8.8836349999999999"/>
    <n v="2"/>
    <x v="2"/>
    <n v="1226.83"/>
    <n v="575.38"/>
    <n v="0"/>
    <s v="4219857"/>
    <s v="74111476767"/>
    <n v="1226.8199500000001"/>
    <n v="0"/>
    <n v="91255"/>
  </r>
  <r>
    <x v="9"/>
    <m/>
    <s v="Værløse Boldklub, Stiager 6"/>
    <n v="10179"/>
    <m/>
    <s v="Værløse Boldklub"/>
    <x v="83"/>
    <x v="0"/>
    <x v="0"/>
    <n v="38785"/>
    <n v="4"/>
    <s v="2010-08-30"/>
    <n v="0"/>
    <n v="792"/>
    <n v="17.857984999999999"/>
    <n v="2"/>
    <x v="2"/>
    <n v="14145.31"/>
    <n v="4243.59"/>
    <n v="0"/>
    <s v="826640"/>
    <s v="74110486064"/>
    <n v="14145.306"/>
    <n v="0"/>
    <n v="77210"/>
  </r>
  <r>
    <x v="9"/>
    <m/>
    <s v="Værløse Boldklub, Stiager 6"/>
    <n v="10179"/>
    <m/>
    <s v="Værløse Boldklub"/>
    <x v="83"/>
    <x v="0"/>
    <x v="1"/>
    <n v="44179.99"/>
    <n v="12"/>
    <s v="2010-08-30"/>
    <n v="0"/>
    <n v="792"/>
    <n v="55.775773000000001"/>
    <n v="2"/>
    <x v="2"/>
    <n v="44179.99"/>
    <n v="13253.99"/>
    <n v="0"/>
    <s v="826640"/>
    <s v="74110486064"/>
    <n v="44179.982000000004"/>
    <n v="0"/>
    <n v="77210"/>
  </r>
  <r>
    <x v="9"/>
    <m/>
    <s v="Værløse Boldklub, Stiager 6"/>
    <n v="10179"/>
    <m/>
    <s v="Værløse Boldklub"/>
    <x v="83"/>
    <x v="0"/>
    <x v="2"/>
    <n v="43335.44"/>
    <n v="12"/>
    <s v="2010-08-30"/>
    <n v="0"/>
    <n v="792"/>
    <n v="54.709555999999999"/>
    <n v="2"/>
    <x v="2"/>
    <n v="43335.44"/>
    <n v="17334.169999999998"/>
    <n v="0"/>
    <s v="826640"/>
    <s v="74110486064"/>
    <n v="43335.438000000002"/>
    <n v="0"/>
    <n v="77210"/>
  </r>
  <r>
    <x v="9"/>
    <m/>
    <s v="Værløse Boldklub, Stiager 6"/>
    <n v="10179"/>
    <m/>
    <s v="Værløse Boldklub"/>
    <x v="83"/>
    <x v="0"/>
    <x v="3"/>
    <n v="46134.06"/>
    <n v="12"/>
    <s v="2010-08-30"/>
    <n v="0"/>
    <n v="792"/>
    <n v="58.242721000000003"/>
    <n v="2"/>
    <x v="2"/>
    <n v="46134.06"/>
    <n v="21636.880000000001"/>
    <n v="0"/>
    <s v="826640"/>
    <s v="74110486064"/>
    <n v="46134.06"/>
    <n v="0"/>
    <n v="77210"/>
  </r>
  <r>
    <x v="9"/>
    <m/>
    <s v="Værløse Boldklub, Stiager 6"/>
    <n v="10179"/>
    <m/>
    <s v="Værløse Boldklub"/>
    <x v="83"/>
    <x v="0"/>
    <x v="4"/>
    <n v="51099.22"/>
    <n v="9"/>
    <s v="2010-08-30"/>
    <n v="0"/>
    <n v="792"/>
    <n v="64.511071000000001"/>
    <n v="2"/>
    <x v="2"/>
    <n v="51099.22"/>
    <n v="23965.55"/>
    <n v="0"/>
    <s v="826640"/>
    <s v="74110486064"/>
    <n v="51099.238010000001"/>
    <n v="0"/>
    <n v="77210"/>
  </r>
  <r>
    <x v="9"/>
    <m/>
    <s v="Værløse Boldklub, Stiager 6"/>
    <n v="10179"/>
    <m/>
    <s v="Værløse Boldklub"/>
    <x v="83"/>
    <x v="0"/>
    <x v="5"/>
    <n v="53818.71"/>
    <n v="3"/>
    <s v="2010-08-30"/>
    <n v="0"/>
    <n v="792"/>
    <n v="67.944337000000004"/>
    <n v="2"/>
    <x v="2"/>
    <n v="53818.71"/>
    <n v="25240.97"/>
    <n v="0"/>
    <s v="826640"/>
    <s v="74110486064"/>
    <n v="53818.70912"/>
    <n v="0"/>
    <n v="77210"/>
  </r>
  <r>
    <x v="9"/>
    <m/>
    <s v="Værløse Boldklub, Stiager 6"/>
    <n v="10179"/>
    <m/>
    <s v="Værløse Boldklub"/>
    <x v="83"/>
    <x v="0"/>
    <x v="6"/>
    <n v="54268"/>
    <n v="7"/>
    <s v="2010-08-30"/>
    <n v="0"/>
    <n v="792"/>
    <n v="68.511550999999997"/>
    <n v="2"/>
    <x v="2"/>
    <n v="54268"/>
    <n v="25451.69"/>
    <n v="0"/>
    <s v="826640"/>
    <s v="74110486064"/>
    <n v="54267.994209999997"/>
    <n v="0"/>
    <n v="77210"/>
  </r>
  <r>
    <x v="9"/>
    <s v="5532"/>
    <s v="Værløse Tennis, LV77"/>
    <n v="13667"/>
    <s v="0"/>
    <s v="Værløse Tennis"/>
    <x v="84"/>
    <x v="0"/>
    <x v="0"/>
    <n v="29194"/>
    <n v="5"/>
    <m/>
    <n v="0"/>
    <n v="292"/>
    <n v="24.415645000000001"/>
    <n v="2"/>
    <x v="2"/>
    <n v="7131.81"/>
    <n v="2139.54"/>
    <n v="0"/>
    <s v="3103161"/>
    <s v="741 1600 8215"/>
    <n v="7131.8109999999997"/>
    <n v="0"/>
    <n v="96386"/>
  </r>
  <r>
    <x v="9"/>
    <s v="5532"/>
    <s v="Værløse Tennis, LV77"/>
    <n v="13667"/>
    <s v="0"/>
    <s v="Værløse Tennis"/>
    <x v="84"/>
    <x v="0"/>
    <x v="1"/>
    <n v="732.1"/>
    <n v="2"/>
    <s v="2013-07-30"/>
    <n v="0"/>
    <n v="292"/>
    <n v="2.5063330000000001"/>
    <n v="2"/>
    <x v="2"/>
    <n v="732.1"/>
    <n v="219.63"/>
    <n v="1"/>
    <s v="BI 211800-210"/>
    <m/>
    <n v="732.1"/>
    <n v="0"/>
    <n v="94556"/>
  </r>
  <r>
    <x v="9"/>
    <m/>
    <s v="Boldbaner"/>
    <n v="14504"/>
    <s v="0"/>
    <s v="Værløse Bold og Tennis"/>
    <x v="85"/>
    <x v="0"/>
    <x v="1"/>
    <n v="20102.38"/>
    <n v="1"/>
    <s v="2014-03-18"/>
    <n v="0"/>
    <n v="0"/>
    <n v="201023.8"/>
    <n v="2"/>
    <x v="2"/>
    <n v="20102.38"/>
    <n v="6030.69"/>
    <n v="0"/>
    <s v="814763 - Kunstgræsbane"/>
    <m/>
    <n v="20102.361430000001"/>
    <n v="0"/>
    <n v="91262"/>
  </r>
  <r>
    <x v="9"/>
    <m/>
    <s v="Boldbaner"/>
    <n v="14504"/>
    <s v="0"/>
    <s v="Værløse Bold og Tennis"/>
    <x v="85"/>
    <x v="0"/>
    <x v="2"/>
    <n v="19442.150000000001"/>
    <n v="0"/>
    <s v="2014-03-18"/>
    <n v="0"/>
    <n v="0"/>
    <n v="194421.5"/>
    <n v="2"/>
    <x v="2"/>
    <n v="19442.150000000001"/>
    <n v="7776.83"/>
    <n v="0"/>
    <s v="814763 - Kunstgræsbane"/>
    <m/>
    <n v="19442.10324"/>
    <n v="0"/>
    <n v="91262"/>
  </r>
  <r>
    <x v="9"/>
    <m/>
    <s v="Boldbaner"/>
    <n v="14504"/>
    <s v="0"/>
    <s v="Værløse Bold og Tennis"/>
    <x v="85"/>
    <x v="0"/>
    <x v="3"/>
    <n v="19647.509999999998"/>
    <n v="1"/>
    <s v="2014-03-18"/>
    <n v="0"/>
    <n v="0"/>
    <n v="196475.1"/>
    <n v="2"/>
    <x v="2"/>
    <n v="19647.509999999998"/>
    <n v="9214.66"/>
    <n v="0"/>
    <s v="814763 - Kunstgræsbane"/>
    <m/>
    <n v="19647.49494"/>
    <n v="0"/>
    <n v="91262"/>
  </r>
  <r>
    <x v="9"/>
    <m/>
    <s v="Boldbaner"/>
    <n v="14504"/>
    <s v="0"/>
    <s v="Værløse Bold og Tennis"/>
    <x v="85"/>
    <x v="0"/>
    <x v="4"/>
    <n v="20933.96"/>
    <n v="1"/>
    <s v="2014-03-18"/>
    <n v="0"/>
    <n v="0"/>
    <n v="209339.6"/>
    <n v="2"/>
    <x v="2"/>
    <n v="20933.96"/>
    <n v="9818"/>
    <n v="0"/>
    <s v="814763 - Kunstgræsbane"/>
    <m/>
    <n v="20933.979579999999"/>
    <n v="0"/>
    <n v="91262"/>
  </r>
  <r>
    <x v="9"/>
    <m/>
    <s v="Boldbaner"/>
    <n v="14504"/>
    <s v="0"/>
    <s v="Værløse Bold og Tennis"/>
    <x v="85"/>
    <x v="0"/>
    <x v="5"/>
    <n v="21786.86"/>
    <n v="1"/>
    <s v="2014-03-18"/>
    <n v="0"/>
    <n v="0"/>
    <n v="217868.6"/>
    <n v="2"/>
    <x v="2"/>
    <n v="21786.86"/>
    <n v="10218.01"/>
    <n v="0"/>
    <s v="814763 - Kunstgræsbane"/>
    <m/>
    <n v="21786.879079999999"/>
    <n v="0"/>
    <n v="91262"/>
  </r>
  <r>
    <x v="9"/>
    <m/>
    <s v="Boldbaner"/>
    <n v="14504"/>
    <s v="0"/>
    <s v="Værløse Bold og Tennis"/>
    <x v="85"/>
    <x v="0"/>
    <x v="6"/>
    <n v="21468.46"/>
    <n v="4"/>
    <s v="2014-03-18"/>
    <n v="0"/>
    <n v="0"/>
    <n v="214684.6"/>
    <n v="2"/>
    <x v="2"/>
    <n v="21468.46"/>
    <n v="10068.700000000001"/>
    <n v="0"/>
    <s v="814763 - Kunstgræsbane"/>
    <m/>
    <n v="21468.445500000002"/>
    <n v="0"/>
    <n v="91262"/>
  </r>
  <r>
    <x v="9"/>
    <m/>
    <s v="Boldbaner"/>
    <n v="14504"/>
    <s v="0"/>
    <s v="Værløse Bold og Tennis"/>
    <x v="85"/>
    <x v="0"/>
    <x v="0"/>
    <n v="5579"/>
    <n v="1"/>
    <s v="2014-03-18"/>
    <n v="0"/>
    <n v="0"/>
    <m/>
    <n v="2"/>
    <x v="2"/>
    <m/>
    <m/>
    <n v="0"/>
    <s v="814763 - Kunstgræsbane"/>
    <m/>
    <m/>
    <n v="0"/>
    <n v="91262"/>
  </r>
  <r>
    <x v="9"/>
    <m/>
    <s v="Boldbaner"/>
    <n v="14504"/>
    <s v="0"/>
    <s v="Værløse Bold og Tennis"/>
    <x v="85"/>
    <x v="0"/>
    <x v="7"/>
    <n v="14386.94"/>
    <n v="1"/>
    <s v="2014-03-18"/>
    <n v="0"/>
    <n v="0"/>
    <n v="43869.4"/>
    <n v="2"/>
    <x v="2"/>
    <n v="14386.94"/>
    <n v="1316.08"/>
    <n v="0"/>
    <s v="814763 - Kunstgræsbane"/>
    <m/>
    <n v="4386.9437200000002"/>
    <n v="0"/>
    <n v="91262"/>
  </r>
  <r>
    <x v="6"/>
    <m/>
    <s v="Lillestjernen, LV 91-93"/>
    <n v="9519"/>
    <m/>
    <s v="Lillestjernen miniklub"/>
    <x v="86"/>
    <x v="0"/>
    <x v="7"/>
    <n v="67681.45"/>
    <n v="12"/>
    <m/>
    <n v="0"/>
    <n v="353"/>
    <n v="191.677853"/>
    <n v="1"/>
    <x v="4"/>
    <n v="80764.28"/>
    <n v="17080.150000000001"/>
    <n v="0"/>
    <m/>
    <s v="98004940124"/>
    <n v="6266.8"/>
    <n v="0"/>
    <n v="74433"/>
  </r>
  <r>
    <x v="9"/>
    <m/>
    <s v="Værløse Boldklub, Stiager 6"/>
    <n v="10179"/>
    <m/>
    <s v="Værløse Boldklub"/>
    <x v="83"/>
    <x v="0"/>
    <x v="7"/>
    <n v="592.84"/>
    <n v="12"/>
    <s v="2010-08-30"/>
    <n v="0"/>
    <n v="792"/>
    <n v="0.74843999999999999"/>
    <n v="3"/>
    <x v="0"/>
    <n v="592.84"/>
    <n v="0"/>
    <n v="0"/>
    <s v="01PC502543"/>
    <m/>
    <n v="592.83399999999995"/>
    <n v="0"/>
    <n v="77211"/>
  </r>
  <r>
    <x v="9"/>
    <m/>
    <s v="Værløse Boldklub, Stiager 6"/>
    <n v="10179"/>
    <m/>
    <s v="Værløse Boldklub"/>
    <x v="83"/>
    <x v="0"/>
    <x v="7"/>
    <n v="44961.96"/>
    <n v="12"/>
    <s v="2010-08-30"/>
    <n v="0"/>
    <n v="792"/>
    <n v="56.762984000000003"/>
    <n v="2"/>
    <x v="2"/>
    <n v="44961.96"/>
    <n v="13488.56"/>
    <n v="0"/>
    <s v="826640"/>
    <s v="74110486064"/>
    <n v="44961.944000000003"/>
    <n v="0"/>
    <n v="77210"/>
  </r>
  <r>
    <x v="9"/>
    <s v="5532"/>
    <s v="Værløse Tennis, LV77"/>
    <n v="13667"/>
    <s v="0"/>
    <s v="Værløse Tennis"/>
    <x v="84"/>
    <x v="0"/>
    <x v="0"/>
    <n v="672"/>
    <n v="3"/>
    <m/>
    <m/>
    <n v="292"/>
    <m/>
    <n v="3"/>
    <x v="0"/>
    <m/>
    <m/>
    <n v="0"/>
    <s v="02501324"/>
    <m/>
    <n v="1026"/>
    <n v="0"/>
    <n v="91263"/>
  </r>
  <r>
    <x v="9"/>
    <s v="5532"/>
    <s v="Værløse Tennis, LV77"/>
    <n v="13667"/>
    <s v="0"/>
    <s v="Værløse Tennis"/>
    <x v="84"/>
    <x v="0"/>
    <x v="7"/>
    <n v="1026.02"/>
    <n v="3"/>
    <s v="2014-12-10"/>
    <n v="0"/>
    <n v="292"/>
    <n v="3.5125639999999998"/>
    <n v="3"/>
    <x v="0"/>
    <n v="1026.02"/>
    <n v="820.79"/>
    <n v="0"/>
    <s v="02501324"/>
    <m/>
    <n v="1026"/>
    <n v="0"/>
    <n v="91263"/>
  </r>
  <r>
    <x v="9"/>
    <s v="5532"/>
    <s v="Værløse Tennis, LV77"/>
    <n v="13667"/>
    <s v="0"/>
    <s v="Værløse Tennis"/>
    <x v="84"/>
    <x v="0"/>
    <x v="7"/>
    <n v="274.85000000000002"/>
    <n v="3"/>
    <s v="2014-12-10"/>
    <n v="0"/>
    <n v="292"/>
    <n v="0.940944"/>
    <n v="3"/>
    <x v="0"/>
    <n v="274.85000000000002"/>
    <n v="219.87"/>
    <n v="0"/>
    <s v="11131959"/>
    <m/>
    <n v="274.84832"/>
    <n v="0"/>
    <n v="93572"/>
  </r>
  <r>
    <x v="9"/>
    <s v="5532"/>
    <s v="Værløse Tennis, LV77"/>
    <n v="13667"/>
    <s v="0"/>
    <s v="Værløse Tennis"/>
    <x v="84"/>
    <x v="0"/>
    <x v="7"/>
    <n v="9059.99"/>
    <n v="3"/>
    <s v="2014-06-30"/>
    <n v="0"/>
    <n v="292"/>
    <n v="31.016739999999999"/>
    <n v="2"/>
    <x v="2"/>
    <n v="9059.99"/>
    <n v="2717.99"/>
    <n v="0"/>
    <s v="3103161 x 60 AFMELDT"/>
    <s v="74116008215"/>
    <n v="9060.0000099999997"/>
    <n v="0"/>
    <n v="95928"/>
  </r>
  <r>
    <x v="9"/>
    <s v="5532"/>
    <s v="Værløse Tennis, LV77"/>
    <n v="13667"/>
    <s v="0"/>
    <s v="Værløse Tennis"/>
    <x v="84"/>
    <x v="0"/>
    <x v="7"/>
    <n v="10970.31"/>
    <n v="6"/>
    <m/>
    <n v="0"/>
    <n v="292"/>
    <n v="37.556691999999998"/>
    <n v="2"/>
    <x v="2"/>
    <n v="10970.31"/>
    <n v="3291.11"/>
    <n v="0"/>
    <s v="3103161"/>
    <s v="741 1600 8215"/>
    <n v="10970.31018"/>
    <n v="0"/>
    <n v="96386"/>
  </r>
  <r>
    <x v="13"/>
    <s v="04323-0"/>
    <s v="Billen, Stavns 5"/>
    <n v="6071"/>
    <m/>
    <s v="Billen"/>
    <x v="87"/>
    <x v="0"/>
    <x v="7"/>
    <n v="24.47"/>
    <n v="12"/>
    <s v="2011-12-31"/>
    <n v="0"/>
    <n v="222"/>
    <n v="0.110175"/>
    <n v="3"/>
    <x v="0"/>
    <n v="24.47"/>
    <n v="19.57"/>
    <n v="0"/>
    <s v="05206576"/>
    <m/>
    <n v="24.466000000000001"/>
    <n v="0"/>
    <n v="60884"/>
  </r>
  <r>
    <x v="13"/>
    <s v="04323-0"/>
    <s v="Billen, Stavns 5"/>
    <n v="6071"/>
    <m/>
    <s v="Billen"/>
    <x v="87"/>
    <x v="0"/>
    <x v="7"/>
    <n v="3774.41"/>
    <n v="12"/>
    <s v="2012-03-31"/>
    <n v="0"/>
    <n v="222"/>
    <n v="16.994191000000001"/>
    <n v="2"/>
    <x v="2"/>
    <n v="3774.41"/>
    <n v="1509.76"/>
    <n v="0"/>
    <s v="228690"/>
    <s v="74112196275"/>
    <n v="3774.4"/>
    <n v="0"/>
    <n v="60882"/>
  </r>
  <r>
    <x v="13"/>
    <s v="04323-0"/>
    <s v="Billen, Stavns 5"/>
    <n v="6071"/>
    <m/>
    <s v="Billen"/>
    <x v="87"/>
    <x v="0"/>
    <x v="7"/>
    <n v="24083"/>
    <n v="12"/>
    <s v="2012-09-01"/>
    <n v="0"/>
    <n v="222"/>
    <n v="108.433138"/>
    <n v="1"/>
    <x v="5"/>
    <n v="28380.560000000001"/>
    <n v="1816.35"/>
    <n v="0"/>
    <s v="98024806"/>
    <m/>
    <n v="24.082999999999998"/>
    <n v="0"/>
    <n v="60883"/>
  </r>
  <r>
    <x v="13"/>
    <s v="04323-0"/>
    <s v="Billen, Stavns 5"/>
    <n v="6071"/>
    <m/>
    <s v="Billen"/>
    <x v="87"/>
    <x v="0"/>
    <x v="0"/>
    <n v="28"/>
    <n v="5"/>
    <s v="2011-12-31"/>
    <n v="0"/>
    <n v="222"/>
    <n v="6.2673999999999994E-2"/>
    <n v="3"/>
    <x v="0"/>
    <n v="13.92"/>
    <n v="11.12"/>
    <n v="0"/>
    <s v="05206576"/>
    <m/>
    <n v="13.904999999999999"/>
    <n v="0"/>
    <n v="60884"/>
  </r>
  <r>
    <x v="13"/>
    <s v="04323-0"/>
    <s v="Billen, Stavns 5"/>
    <n v="6071"/>
    <m/>
    <s v="Billen"/>
    <x v="87"/>
    <x v="0"/>
    <x v="1"/>
    <n v="23.98"/>
    <n v="12"/>
    <s v="2011-12-31"/>
    <n v="0"/>
    <n v="222"/>
    <n v="0.107969"/>
    <n v="3"/>
    <x v="0"/>
    <n v="23.98"/>
    <n v="19.18"/>
    <n v="0"/>
    <s v="05206576"/>
    <m/>
    <n v="23.978000000000002"/>
    <n v="0"/>
    <n v="60884"/>
  </r>
  <r>
    <x v="13"/>
    <s v="04323-0"/>
    <s v="Billen, Stavns 5"/>
    <n v="6071"/>
    <m/>
    <s v="Billen"/>
    <x v="87"/>
    <x v="0"/>
    <x v="2"/>
    <n v="50.46"/>
    <n v="12"/>
    <s v="2011-12-31"/>
    <n v="0"/>
    <n v="222"/>
    <n v="0.22719400000000001"/>
    <n v="3"/>
    <x v="0"/>
    <n v="50.46"/>
    <n v="40.340000000000003"/>
    <n v="0"/>
    <s v="05206576"/>
    <m/>
    <n v="50.45"/>
    <n v="0"/>
    <n v="60884"/>
  </r>
  <r>
    <x v="13"/>
    <s v="04323-0"/>
    <s v="Billen, Stavns 5"/>
    <n v="6071"/>
    <m/>
    <s v="Billen"/>
    <x v="87"/>
    <x v="0"/>
    <x v="3"/>
    <n v="18.010000000000002"/>
    <n v="4"/>
    <s v="2011-12-31"/>
    <n v="0"/>
    <n v="222"/>
    <n v="8.1088999999999994E-2"/>
    <n v="3"/>
    <x v="0"/>
    <n v="18.010000000000002"/>
    <n v="14.4"/>
    <n v="0"/>
    <s v="05206576"/>
    <m/>
    <n v="17.99999"/>
    <n v="0"/>
    <n v="60884"/>
  </r>
  <r>
    <x v="13"/>
    <s v="04323-0"/>
    <s v="Billen, Stavns 5"/>
    <n v="6071"/>
    <m/>
    <s v="Billen"/>
    <x v="87"/>
    <x v="0"/>
    <x v="4"/>
    <n v="31.2"/>
    <n v="5"/>
    <s v="2011-12-31"/>
    <n v="0"/>
    <n v="222"/>
    <n v="0.14047699999999999"/>
    <n v="3"/>
    <x v="0"/>
    <n v="31.2"/>
    <n v="24.95"/>
    <n v="0"/>
    <s v="05206576"/>
    <m/>
    <n v="31.197620000000001"/>
    <n v="0"/>
    <n v="60884"/>
  </r>
  <r>
    <x v="13"/>
    <s v="04323-0"/>
    <s v="Billen, Stavns 5"/>
    <n v="6071"/>
    <m/>
    <s v="Billen"/>
    <x v="87"/>
    <x v="0"/>
    <x v="5"/>
    <n v="13.11"/>
    <n v="6"/>
    <s v="2011-12-31"/>
    <n v="0"/>
    <n v="222"/>
    <n v="5.9027000000000003E-2"/>
    <n v="3"/>
    <x v="0"/>
    <n v="13.11"/>
    <n v="10.49"/>
    <n v="0"/>
    <s v="05206576"/>
    <m/>
    <n v="13.115550000000001"/>
    <n v="0"/>
    <n v="60884"/>
  </r>
  <r>
    <x v="13"/>
    <s v="04323-0"/>
    <s v="Billen, Stavns 5"/>
    <n v="6071"/>
    <m/>
    <s v="Billen"/>
    <x v="87"/>
    <x v="0"/>
    <x v="6"/>
    <n v="14.91"/>
    <n v="6"/>
    <s v="2011-12-31"/>
    <n v="0"/>
    <n v="222"/>
    <n v="6.7130999999999996E-2"/>
    <n v="3"/>
    <x v="0"/>
    <n v="14.91"/>
    <n v="11.93"/>
    <n v="0"/>
    <s v="05206576"/>
    <m/>
    <n v="14.89615"/>
    <n v="0"/>
    <n v="60884"/>
  </r>
  <r>
    <x v="13"/>
    <m/>
    <s v="Hareskov Bibliotek"/>
    <n v="10191"/>
    <m/>
    <s v="Hareskov Bibliotek"/>
    <x v="88"/>
    <x v="1"/>
    <x v="0"/>
    <n v="2.6"/>
    <n v="5"/>
    <m/>
    <n v="0"/>
    <n v="711"/>
    <n v="3.656E-3"/>
    <n v="3"/>
    <x v="0"/>
    <n v="2.6"/>
    <n v="0"/>
    <n v="1"/>
    <s v="V.vand"/>
    <m/>
    <n v="2.6"/>
    <n v="0"/>
    <n v="77257"/>
  </r>
  <r>
    <x v="13"/>
    <m/>
    <s v="Hareskov Bibliotek"/>
    <n v="10191"/>
    <m/>
    <s v="Hareskov Bibliotek"/>
    <x v="88"/>
    <x v="1"/>
    <x v="0"/>
    <n v="22.7"/>
    <n v="5"/>
    <m/>
    <n v="0"/>
    <n v="711"/>
    <n v="3.1921999999999999E-2"/>
    <n v="3"/>
    <x v="0"/>
    <n v="22.7"/>
    <n v="18.16"/>
    <n v="0"/>
    <s v="K.vand"/>
    <m/>
    <n v="22.7"/>
    <n v="0"/>
    <n v="77258"/>
  </r>
  <r>
    <x v="13"/>
    <m/>
    <s v="Hareskov Bibliotek"/>
    <n v="10191"/>
    <m/>
    <s v="Hareskov Bibliotek"/>
    <x v="88"/>
    <x v="1"/>
    <x v="1"/>
    <n v="4.55"/>
    <n v="12"/>
    <m/>
    <n v="0"/>
    <n v="711"/>
    <n v="6.398E-3"/>
    <n v="3"/>
    <x v="0"/>
    <n v="4.55"/>
    <n v="0"/>
    <n v="1"/>
    <s v="V.vand"/>
    <m/>
    <n v="4.55"/>
    <n v="0"/>
    <n v="77257"/>
  </r>
  <r>
    <x v="13"/>
    <m/>
    <s v="Hareskov Bibliotek"/>
    <n v="10191"/>
    <m/>
    <s v="Hareskov Bibliotek"/>
    <x v="88"/>
    <x v="1"/>
    <x v="1"/>
    <n v="38.590000000000003"/>
    <n v="12"/>
    <m/>
    <n v="0"/>
    <n v="711"/>
    <n v="5.4267999999999997E-2"/>
    <n v="3"/>
    <x v="0"/>
    <n v="38.590000000000003"/>
    <n v="30.88"/>
    <n v="0"/>
    <s v="K.vand"/>
    <m/>
    <n v="38.590000000000003"/>
    <n v="0"/>
    <n v="77258"/>
  </r>
  <r>
    <x v="13"/>
    <m/>
    <s v="Hareskov Bibliotek"/>
    <n v="10191"/>
    <m/>
    <s v="Hareskov Bibliotek"/>
    <x v="88"/>
    <x v="1"/>
    <x v="2"/>
    <n v="5.63"/>
    <n v="12"/>
    <m/>
    <n v="0"/>
    <n v="711"/>
    <n v="7.9170000000000004E-3"/>
    <n v="3"/>
    <x v="0"/>
    <n v="5.63"/>
    <n v="0"/>
    <n v="1"/>
    <s v="V.vand"/>
    <m/>
    <n v="5.63"/>
    <n v="0"/>
    <n v="77257"/>
  </r>
  <r>
    <x v="13"/>
    <m/>
    <s v="Hareskov Bibliotek"/>
    <n v="10191"/>
    <m/>
    <s v="Hareskov Bibliotek"/>
    <x v="88"/>
    <x v="1"/>
    <x v="2"/>
    <n v="31.18"/>
    <n v="12"/>
    <m/>
    <n v="0"/>
    <n v="711"/>
    <n v="4.3846999999999997E-2"/>
    <n v="3"/>
    <x v="0"/>
    <n v="31.18"/>
    <n v="24.95"/>
    <n v="0"/>
    <s v="K.vand"/>
    <m/>
    <n v="31.18"/>
    <n v="0"/>
    <n v="77258"/>
  </r>
  <r>
    <x v="13"/>
    <m/>
    <s v="Hareskov Bibliotek"/>
    <n v="10191"/>
    <m/>
    <s v="Hareskov Bibliotek"/>
    <x v="88"/>
    <x v="1"/>
    <x v="3"/>
    <n v="5.73"/>
    <n v="12"/>
    <m/>
    <n v="0"/>
    <n v="711"/>
    <n v="8.0569999999999999E-3"/>
    <n v="3"/>
    <x v="0"/>
    <n v="5.73"/>
    <n v="0"/>
    <n v="1"/>
    <s v="V.vand"/>
    <m/>
    <n v="5.73"/>
    <n v="0"/>
    <n v="77257"/>
  </r>
  <r>
    <x v="13"/>
    <m/>
    <s v="Hareskov Bibliotek"/>
    <n v="10191"/>
    <m/>
    <s v="Hareskov Bibliotek"/>
    <x v="88"/>
    <x v="1"/>
    <x v="3"/>
    <n v="34.020000000000003"/>
    <n v="12"/>
    <m/>
    <n v="0"/>
    <n v="711"/>
    <n v="4.7841000000000002E-2"/>
    <n v="3"/>
    <x v="0"/>
    <n v="34.020000000000003"/>
    <n v="27.24"/>
    <n v="0"/>
    <s v="K.vand"/>
    <m/>
    <n v="34.020679999999999"/>
    <n v="0"/>
    <n v="77258"/>
  </r>
  <r>
    <x v="13"/>
    <m/>
    <s v="Hareskov Bibliotek"/>
    <n v="10191"/>
    <m/>
    <s v="Hareskov Bibliotek"/>
    <x v="88"/>
    <x v="1"/>
    <x v="4"/>
    <n v="3.36"/>
    <n v="12"/>
    <m/>
    <n v="0"/>
    <n v="711"/>
    <n v="4.725E-3"/>
    <n v="3"/>
    <x v="0"/>
    <n v="3.36"/>
    <n v="0"/>
    <n v="1"/>
    <s v="V.vand"/>
    <m/>
    <n v="3.3482099999999999"/>
    <n v="0"/>
    <n v="77257"/>
  </r>
  <r>
    <x v="13"/>
    <m/>
    <s v="Hareskov Bibliotek"/>
    <n v="10191"/>
    <m/>
    <s v="Hareskov Bibliotek"/>
    <x v="88"/>
    <x v="1"/>
    <x v="4"/>
    <n v="57.37"/>
    <n v="12"/>
    <m/>
    <n v="0"/>
    <n v="711"/>
    <n v="8.0676999999999999E-2"/>
    <n v="3"/>
    <x v="0"/>
    <n v="57.37"/>
    <n v="45.9"/>
    <n v="0"/>
    <s v="K.vand"/>
    <m/>
    <n v="57.366930000000004"/>
    <n v="0"/>
    <n v="77258"/>
  </r>
  <r>
    <x v="13"/>
    <m/>
    <s v="Hareskov Bibliotek"/>
    <n v="10191"/>
    <m/>
    <s v="Hareskov Bibliotek"/>
    <x v="88"/>
    <x v="1"/>
    <x v="5"/>
    <n v="6.11"/>
    <n v="12"/>
    <m/>
    <n v="0"/>
    <n v="711"/>
    <n v="8.5920000000000007E-3"/>
    <n v="3"/>
    <x v="0"/>
    <n v="6.11"/>
    <n v="0"/>
    <n v="1"/>
    <s v="V.vand"/>
    <m/>
    <n v="6.1117800000000004"/>
    <n v="0"/>
    <n v="77257"/>
  </r>
  <r>
    <x v="13"/>
    <m/>
    <s v="Hareskov Bibliotek"/>
    <n v="10191"/>
    <m/>
    <s v="Hareskov Bibliotek"/>
    <x v="88"/>
    <x v="1"/>
    <x v="5"/>
    <n v="50.97"/>
    <n v="12"/>
    <m/>
    <n v="0"/>
    <n v="711"/>
    <n v="7.1677000000000005E-2"/>
    <n v="3"/>
    <x v="0"/>
    <n v="50.97"/>
    <n v="40.78"/>
    <n v="0"/>
    <s v="K.vand"/>
    <m/>
    <n v="50.9724"/>
    <n v="0"/>
    <n v="77258"/>
  </r>
  <r>
    <x v="13"/>
    <m/>
    <s v="Hareskov Bibliotek"/>
    <n v="10191"/>
    <m/>
    <s v="Hareskov Bibliotek"/>
    <x v="88"/>
    <x v="1"/>
    <x v="6"/>
    <n v="10.83"/>
    <n v="12"/>
    <m/>
    <n v="0"/>
    <n v="711"/>
    <n v="1.5228999999999999E-2"/>
    <n v="3"/>
    <x v="0"/>
    <n v="10.83"/>
    <n v="0"/>
    <n v="1"/>
    <s v="V.vand"/>
    <m/>
    <n v="10.83"/>
    <n v="0"/>
    <n v="77257"/>
  </r>
  <r>
    <x v="13"/>
    <m/>
    <s v="Hareskov Bibliotek"/>
    <n v="10191"/>
    <m/>
    <s v="Hareskov Bibliotek"/>
    <x v="88"/>
    <x v="1"/>
    <x v="6"/>
    <n v="31.23"/>
    <n v="9"/>
    <m/>
    <n v="0"/>
    <n v="711"/>
    <n v="4.3916999999999998E-2"/>
    <n v="3"/>
    <x v="0"/>
    <n v="31.23"/>
    <n v="24.97"/>
    <n v="0"/>
    <s v="K.vand"/>
    <m/>
    <n v="31.23"/>
    <n v="0"/>
    <n v="77258"/>
  </r>
  <r>
    <x v="13"/>
    <m/>
    <s v="Kulturhuset Satelitten, BM46"/>
    <n v="9517"/>
    <m/>
    <s v="Kulturhuset Satelitten"/>
    <x v="89"/>
    <x v="0"/>
    <x v="0"/>
    <n v="74"/>
    <n v="5"/>
    <m/>
    <n v="0"/>
    <n v="784"/>
    <n v="4.5338000000000003E-2"/>
    <n v="3"/>
    <x v="0"/>
    <n v="35.549999999999997"/>
    <n v="28.44"/>
    <n v="0"/>
    <m/>
    <m/>
    <n v="35.542999999999999"/>
    <n v="0"/>
    <n v="74425"/>
  </r>
  <r>
    <x v="13"/>
    <m/>
    <s v="Kulturhuset Satelitten, BM46"/>
    <n v="9517"/>
    <m/>
    <s v="Kulturhuset Satelitten"/>
    <x v="89"/>
    <x v="0"/>
    <x v="1"/>
    <n v="75.739999999999995"/>
    <n v="12"/>
    <m/>
    <n v="0"/>
    <n v="784"/>
    <n v="9.6593999999999999E-2"/>
    <n v="3"/>
    <x v="0"/>
    <n v="75.739999999999995"/>
    <n v="60.59"/>
    <n v="0"/>
    <m/>
    <m/>
    <n v="75.730999999999995"/>
    <n v="0"/>
    <n v="74425"/>
  </r>
  <r>
    <x v="13"/>
    <m/>
    <s v="Kulturhuset Satelitten, BM46"/>
    <n v="9517"/>
    <m/>
    <s v="Kulturhuset Satelitten"/>
    <x v="89"/>
    <x v="0"/>
    <x v="2"/>
    <n v="74.37"/>
    <n v="12"/>
    <m/>
    <n v="0"/>
    <n v="784"/>
    <n v="9.4847000000000001E-2"/>
    <n v="3"/>
    <x v="0"/>
    <n v="74.37"/>
    <n v="59.5"/>
    <n v="0"/>
    <m/>
    <m/>
    <n v="74.376000000000005"/>
    <n v="0"/>
    <n v="74425"/>
  </r>
  <r>
    <x v="13"/>
    <m/>
    <s v="Kulturhuset Satelitten, BM46"/>
    <n v="9517"/>
    <m/>
    <s v="Kulturhuset Satelitten"/>
    <x v="89"/>
    <x v="0"/>
    <x v="3"/>
    <n v="67.83"/>
    <n v="12"/>
    <m/>
    <n v="0"/>
    <n v="784"/>
    <n v="8.6506E-2"/>
    <n v="3"/>
    <x v="0"/>
    <n v="67.83"/>
    <n v="54.25"/>
    <n v="0"/>
    <m/>
    <m/>
    <n v="67.831999999999994"/>
    <n v="0"/>
    <n v="74425"/>
  </r>
  <r>
    <x v="13"/>
    <m/>
    <s v="Kulturhuset Satelitten, BM46"/>
    <n v="9517"/>
    <m/>
    <s v="Kulturhuset Satelitten"/>
    <x v="89"/>
    <x v="0"/>
    <x v="4"/>
    <n v="76.59"/>
    <n v="12"/>
    <m/>
    <n v="0"/>
    <n v="784"/>
    <n v="9.7678000000000001E-2"/>
    <n v="3"/>
    <x v="0"/>
    <n v="76.59"/>
    <n v="61.28"/>
    <n v="0"/>
    <m/>
    <m/>
    <n v="76.601420000000005"/>
    <n v="0"/>
    <n v="74425"/>
  </r>
  <r>
    <x v="13"/>
    <m/>
    <s v="Kulturhuset Satelitten, BM46"/>
    <n v="9517"/>
    <m/>
    <s v="Kulturhuset Satelitten"/>
    <x v="89"/>
    <x v="0"/>
    <x v="5"/>
    <n v="77.39"/>
    <n v="12"/>
    <m/>
    <n v="0"/>
    <n v="784"/>
    <n v="9.8698999999999995E-2"/>
    <n v="3"/>
    <x v="0"/>
    <n v="77.39"/>
    <n v="61.94"/>
    <n v="0"/>
    <m/>
    <m/>
    <n v="77.419589999999999"/>
    <n v="0"/>
    <n v="74425"/>
  </r>
  <r>
    <x v="13"/>
    <m/>
    <s v="Kulturhuset Satelitten, BM46"/>
    <n v="9517"/>
    <m/>
    <s v="Kulturhuset Satelitten"/>
    <x v="89"/>
    <x v="0"/>
    <x v="6"/>
    <n v="75.69"/>
    <n v="12"/>
    <m/>
    <n v="0"/>
    <n v="784"/>
    <n v="9.6531000000000006E-2"/>
    <n v="3"/>
    <x v="0"/>
    <n v="75.69"/>
    <n v="60.57"/>
    <n v="0"/>
    <m/>
    <m/>
    <n v="75.692999999999998"/>
    <n v="0"/>
    <n v="74425"/>
  </r>
  <r>
    <x v="13"/>
    <s v="04423-7"/>
    <s v="Kulturhuset, Stavns 3"/>
    <n v="5300"/>
    <m/>
    <s v="Kulturhuset"/>
    <x v="90"/>
    <x v="0"/>
    <x v="1"/>
    <n v="1158.57"/>
    <n v="12"/>
    <m/>
    <n v="0"/>
    <n v="7375"/>
    <n v="0.15709200000000001"/>
    <n v="3"/>
    <x v="0"/>
    <n v="1158.57"/>
    <n v="926.86"/>
    <n v="0"/>
    <s v="BK 24126636"/>
    <m/>
    <n v="1158.5609999999999"/>
    <n v="0"/>
    <n v="56969"/>
  </r>
  <r>
    <x v="13"/>
    <s v="04423-7"/>
    <s v="Kulturhuset, Stavns 3"/>
    <n v="5300"/>
    <m/>
    <s v="Kulturhuset"/>
    <x v="90"/>
    <x v="0"/>
    <x v="1"/>
    <n v="82.97"/>
    <n v="16"/>
    <s v="2013-10-31"/>
    <n v="0"/>
    <n v="7375"/>
    <n v="1.125E-2"/>
    <n v="3"/>
    <x v="0"/>
    <n v="82.97"/>
    <n v="66.39"/>
    <n v="0"/>
    <s v="BK 99600686"/>
    <m/>
    <n v="82.977090000000004"/>
    <n v="0"/>
    <n v="56972"/>
  </r>
  <r>
    <x v="13"/>
    <s v="04423-7"/>
    <s v="Kulturhuset, Stavns 3"/>
    <n v="5300"/>
    <m/>
    <s v="Kulturhuset"/>
    <x v="90"/>
    <x v="0"/>
    <x v="1"/>
    <n v="494.97"/>
    <n v="12"/>
    <m/>
    <n v="0"/>
    <n v="7375"/>
    <n v="6.7113000000000006E-2"/>
    <n v="3"/>
    <x v="0"/>
    <n v="494.97"/>
    <n v="395.98"/>
    <n v="1"/>
    <s v="BV 24126631"/>
    <m/>
    <n v="494.97"/>
    <n v="0"/>
    <n v="56992"/>
  </r>
  <r>
    <x v="13"/>
    <s v="04423-7"/>
    <s v="Kulturhuset, Stavns 3"/>
    <n v="5300"/>
    <m/>
    <s v="Kulturhuset"/>
    <x v="90"/>
    <x v="0"/>
    <x v="1"/>
    <n v="845445"/>
    <n v="12"/>
    <s v="2005-06-01"/>
    <n v="0"/>
    <n v="7375"/>
    <n v="114.63505499999999"/>
    <n v="1"/>
    <x v="1"/>
    <n v="905629.67"/>
    <n v="167541.49"/>
    <n v="0"/>
    <s v="4107843 aut"/>
    <m/>
    <n v="845445"/>
    <n v="0"/>
    <n v="56974"/>
  </r>
  <r>
    <x v="13"/>
    <s v="04423-7"/>
    <s v="Kulturhuset, Stavns 3"/>
    <n v="5300"/>
    <m/>
    <s v="Kulturhuset"/>
    <x v="90"/>
    <x v="0"/>
    <x v="1"/>
    <n v="284793.56"/>
    <n v="12"/>
    <s v="2005-06-01"/>
    <n v="0"/>
    <n v="7375"/>
    <n v="38.615552000000001"/>
    <n v="2"/>
    <x v="2"/>
    <n v="284793.56"/>
    <n v="113917.44"/>
    <n v="0"/>
    <s v="360164"/>
    <s v="741 1145 9616"/>
    <n v="284793.56"/>
    <n v="0"/>
    <n v="56967"/>
  </r>
  <r>
    <x v="13"/>
    <s v="04423-7"/>
    <s v="Kulturhuset, Stavns 3"/>
    <n v="5300"/>
    <m/>
    <s v="Kulturhuset"/>
    <x v="90"/>
    <x v="0"/>
    <x v="7"/>
    <n v="1071.67"/>
    <n v="12"/>
    <m/>
    <n v="0"/>
    <n v="7375"/>
    <n v="0.14530899999999999"/>
    <n v="3"/>
    <x v="0"/>
    <n v="1071.67"/>
    <n v="857.35"/>
    <n v="0"/>
    <s v="BK 24126636"/>
    <m/>
    <n v="1071.681"/>
    <n v="0"/>
    <n v="56969"/>
  </r>
  <r>
    <x v="13"/>
    <s v="04423-7"/>
    <s v="Kulturhuset, Stavns 3"/>
    <n v="5300"/>
    <m/>
    <s v="Kulturhuset"/>
    <x v="90"/>
    <x v="0"/>
    <x v="2"/>
    <n v="1236.92"/>
    <n v="12"/>
    <m/>
    <n v="0"/>
    <n v="7375"/>
    <n v="0.167715"/>
    <n v="3"/>
    <x v="0"/>
    <n v="1236.92"/>
    <n v="989.55"/>
    <n v="0"/>
    <s v="BK 24126636"/>
    <m/>
    <n v="1236.93"/>
    <n v="0"/>
    <n v="56969"/>
  </r>
  <r>
    <x v="13"/>
    <s v="04423-7"/>
    <s v="Kulturhuset, Stavns 3"/>
    <n v="5300"/>
    <m/>
    <s v="Kulturhuset"/>
    <x v="90"/>
    <x v="0"/>
    <x v="2"/>
    <n v="39.07"/>
    <n v="0"/>
    <s v="2013-10-31"/>
    <n v="0"/>
    <n v="7375"/>
    <n v="5.2969999999999996E-3"/>
    <n v="3"/>
    <x v="0"/>
    <n v="39.07"/>
    <n v="31.27"/>
    <n v="0"/>
    <s v="BK 99600686"/>
    <m/>
    <n v="39.08737"/>
    <n v="0"/>
    <n v="56972"/>
  </r>
  <r>
    <x v="13"/>
    <s v="04423-7"/>
    <s v="Kulturhuset, Stavns 3"/>
    <n v="5300"/>
    <m/>
    <s v="Kulturhuset"/>
    <x v="90"/>
    <x v="0"/>
    <x v="2"/>
    <n v="453.21"/>
    <n v="12"/>
    <m/>
    <n v="0"/>
    <n v="7375"/>
    <n v="6.1450999999999999E-2"/>
    <n v="3"/>
    <x v="0"/>
    <n v="453.21"/>
    <n v="362.57"/>
    <n v="1"/>
    <s v="BV 24126631"/>
    <m/>
    <n v="453.21"/>
    <n v="0"/>
    <n v="56992"/>
  </r>
  <r>
    <x v="13"/>
    <s v="04423-7"/>
    <s v="Kulturhuset, Stavns 3"/>
    <n v="5300"/>
    <m/>
    <s v="Kulturhuset"/>
    <x v="90"/>
    <x v="0"/>
    <x v="3"/>
    <n v="1145.8499999999999"/>
    <n v="12"/>
    <m/>
    <n v="0"/>
    <n v="7375"/>
    <n v="0.15536700000000001"/>
    <n v="3"/>
    <x v="0"/>
    <n v="1145.8499999999999"/>
    <n v="916.71"/>
    <n v="0"/>
    <s v="BK 24126636"/>
    <m/>
    <n v="1145.8499999999999"/>
    <n v="0"/>
    <n v="56969"/>
  </r>
  <r>
    <x v="13"/>
    <s v="04423-7"/>
    <s v="Kulturhuset, Stavns 3"/>
    <n v="5300"/>
    <m/>
    <s v="Kulturhuset"/>
    <x v="90"/>
    <x v="0"/>
    <x v="3"/>
    <n v="85.91"/>
    <n v="1"/>
    <s v="2013-10-31"/>
    <n v="0"/>
    <n v="7375"/>
    <n v="1.1648E-2"/>
    <n v="3"/>
    <x v="0"/>
    <n v="85.91"/>
    <n v="68.709999999999994"/>
    <n v="0"/>
    <s v="BK 99600686"/>
    <m/>
    <n v="85.937690000000003"/>
    <n v="0"/>
    <n v="56972"/>
  </r>
  <r>
    <x v="13"/>
    <s v="04423-7"/>
    <s v="Kulturhuset, Stavns 3"/>
    <n v="5300"/>
    <m/>
    <s v="Kulturhuset"/>
    <x v="90"/>
    <x v="0"/>
    <x v="3"/>
    <n v="111.36"/>
    <n v="12"/>
    <m/>
    <n v="0"/>
    <n v="7375"/>
    <n v="1.5099E-2"/>
    <n v="3"/>
    <x v="0"/>
    <n v="111.36"/>
    <n v="89.11"/>
    <n v="1"/>
    <s v="BV 24126631"/>
    <m/>
    <n v="111.37"/>
    <n v="0"/>
    <n v="56992"/>
  </r>
  <r>
    <x v="13"/>
    <s v="04423-7"/>
    <s v="Kulturhuset, Stavns 3"/>
    <n v="5300"/>
    <m/>
    <s v="Kulturhuset"/>
    <x v="90"/>
    <x v="0"/>
    <x v="4"/>
    <n v="1181.5899999999999"/>
    <n v="12"/>
    <m/>
    <n v="0"/>
    <n v="7375"/>
    <n v="0.16021299999999999"/>
    <n v="3"/>
    <x v="0"/>
    <n v="1181.5899999999999"/>
    <n v="945.26"/>
    <n v="0"/>
    <s v="BK 24126636"/>
    <m/>
    <n v="1181.5899999999999"/>
    <n v="0"/>
    <n v="56969"/>
  </r>
  <r>
    <x v="13"/>
    <s v="04423-7"/>
    <s v="Kulturhuset, Stavns 3"/>
    <n v="5300"/>
    <m/>
    <s v="Kulturhuset"/>
    <x v="90"/>
    <x v="0"/>
    <x v="4"/>
    <n v="88.2"/>
    <n v="0"/>
    <s v="2013-10-31"/>
    <n v="0"/>
    <n v="7375"/>
    <n v="1.1958999999999999E-2"/>
    <n v="3"/>
    <x v="0"/>
    <n v="88.2"/>
    <n v="70.540000000000006"/>
    <n v="0"/>
    <s v="BK 99600686"/>
    <m/>
    <n v="88.231570000000005"/>
    <n v="0"/>
    <n v="56972"/>
  </r>
  <r>
    <x v="13"/>
    <s v="04423-7"/>
    <s v="Kulturhuset, Stavns 3"/>
    <n v="5300"/>
    <m/>
    <s v="Kulturhuset"/>
    <x v="90"/>
    <x v="0"/>
    <x v="4"/>
    <n v="356.47"/>
    <n v="12"/>
    <m/>
    <n v="0"/>
    <n v="7375"/>
    <n v="4.8334000000000002E-2"/>
    <n v="3"/>
    <x v="0"/>
    <n v="356.47"/>
    <n v="285.17"/>
    <n v="1"/>
    <s v="BV 24126631"/>
    <m/>
    <n v="356.47"/>
    <n v="0"/>
    <n v="56992"/>
  </r>
  <r>
    <x v="13"/>
    <s v="04423-7"/>
    <s v="Kulturhuset, Stavns 3"/>
    <n v="5300"/>
    <m/>
    <s v="Kulturhuset"/>
    <x v="90"/>
    <x v="0"/>
    <x v="5"/>
    <n v="1095.46"/>
    <n v="12"/>
    <m/>
    <n v="0"/>
    <n v="7375"/>
    <n v="0.148534"/>
    <n v="3"/>
    <x v="0"/>
    <n v="1095.46"/>
    <n v="876.4"/>
    <n v="0"/>
    <s v="BK 24126636"/>
    <m/>
    <n v="1095.4639999999999"/>
    <n v="0"/>
    <n v="56969"/>
  </r>
  <r>
    <x v="13"/>
    <s v="04423-7"/>
    <s v="Kulturhuset, Stavns 3"/>
    <n v="5300"/>
    <m/>
    <s v="Kulturhuset"/>
    <x v="90"/>
    <x v="0"/>
    <x v="5"/>
    <n v="88.2"/>
    <n v="0"/>
    <s v="2013-10-31"/>
    <n v="0"/>
    <n v="7375"/>
    <n v="1.1958999999999999E-2"/>
    <n v="3"/>
    <x v="0"/>
    <n v="88.2"/>
    <n v="70.540000000000006"/>
    <n v="0"/>
    <s v="BK 99600686"/>
    <m/>
    <n v="88.231570000000005"/>
    <n v="0"/>
    <n v="56972"/>
  </r>
  <r>
    <x v="13"/>
    <s v="04423-7"/>
    <s v="Kulturhuset, Stavns 3"/>
    <n v="5300"/>
    <m/>
    <s v="Kulturhuset"/>
    <x v="90"/>
    <x v="0"/>
    <x v="5"/>
    <n v="506.33"/>
    <n v="12"/>
    <m/>
    <n v="0"/>
    <n v="7375"/>
    <n v="6.8653000000000006E-2"/>
    <n v="3"/>
    <x v="0"/>
    <n v="506.33"/>
    <n v="405.08"/>
    <n v="1"/>
    <s v="BV 24126631"/>
    <m/>
    <n v="506.33"/>
    <n v="0"/>
    <n v="56992"/>
  </r>
  <r>
    <x v="13"/>
    <s v="04423-7"/>
    <s v="Kulturhuset, Stavns 3"/>
    <n v="5300"/>
    <m/>
    <s v="Kulturhuset"/>
    <x v="90"/>
    <x v="0"/>
    <x v="6"/>
    <n v="1146.83"/>
    <n v="12"/>
    <m/>
    <n v="0"/>
    <n v="7375"/>
    <n v="0.1555"/>
    <n v="3"/>
    <x v="0"/>
    <n v="1146.83"/>
    <n v="917.48"/>
    <n v="0"/>
    <s v="BK 24126636"/>
    <m/>
    <n v="1146.836"/>
    <n v="0"/>
    <n v="56969"/>
  </r>
  <r>
    <x v="13"/>
    <s v="04423-7"/>
    <s v="Kulturhuset, Stavns 3"/>
    <n v="5300"/>
    <m/>
    <s v="Kulturhuset"/>
    <x v="90"/>
    <x v="0"/>
    <x v="6"/>
    <n v="88.44"/>
    <n v="0"/>
    <s v="2013-10-31"/>
    <n v="0"/>
    <n v="7375"/>
    <n v="1.1991E-2"/>
    <n v="3"/>
    <x v="0"/>
    <n v="88.44"/>
    <n v="70.739999999999995"/>
    <n v="0"/>
    <s v="BK 99600686"/>
    <m/>
    <n v="88.473299999999995"/>
    <n v="0"/>
    <n v="56972"/>
  </r>
  <r>
    <x v="13"/>
    <s v="04423-7"/>
    <s v="Kulturhuset, Stavns 3"/>
    <n v="5300"/>
    <m/>
    <s v="Kulturhuset"/>
    <x v="90"/>
    <x v="0"/>
    <x v="6"/>
    <n v="349.25"/>
    <n v="12"/>
    <m/>
    <n v="0"/>
    <n v="7375"/>
    <n v="4.7355000000000001E-2"/>
    <n v="3"/>
    <x v="0"/>
    <n v="349.25"/>
    <n v="279.39"/>
    <n v="1"/>
    <s v="BV 24126631"/>
    <m/>
    <n v="349.25"/>
    <n v="0"/>
    <n v="56992"/>
  </r>
  <r>
    <x v="13"/>
    <m/>
    <s v="Musikhuset"/>
    <n v="5271"/>
    <m/>
    <s v="Musikhuset"/>
    <x v="91"/>
    <x v="1"/>
    <x v="0"/>
    <n v="9.5500000000000007"/>
    <n v="5"/>
    <s v="2005-07-01"/>
    <n v="0"/>
    <n v="255"/>
    <n v="3.7435999999999997E-2"/>
    <n v="3"/>
    <x v="0"/>
    <n v="9.5500000000000007"/>
    <n v="7.63"/>
    <n v="0"/>
    <s v="04016499"/>
    <m/>
    <n v="9.5440000000000005"/>
    <n v="0"/>
    <n v="56832"/>
  </r>
  <r>
    <x v="13"/>
    <m/>
    <s v="Musikhuset"/>
    <n v="5271"/>
    <m/>
    <s v="Musikhuset"/>
    <x v="91"/>
    <x v="1"/>
    <x v="1"/>
    <n v="68.430000000000007"/>
    <n v="12"/>
    <s v="2005-07-01"/>
    <n v="0"/>
    <n v="255"/>
    <n v="0.26824700000000001"/>
    <n v="3"/>
    <x v="0"/>
    <n v="68.430000000000007"/>
    <n v="54.76"/>
    <n v="0"/>
    <s v="04016499"/>
    <m/>
    <n v="68.438999999999993"/>
    <n v="0"/>
    <n v="56832"/>
  </r>
  <r>
    <x v="13"/>
    <m/>
    <s v="Musikhuset"/>
    <n v="5271"/>
    <m/>
    <s v="Musikhuset"/>
    <x v="91"/>
    <x v="1"/>
    <x v="2"/>
    <n v="33.549999999999997"/>
    <n v="12"/>
    <s v="2005-07-01"/>
    <n v="0"/>
    <n v="255"/>
    <n v="0.131517"/>
    <n v="3"/>
    <x v="0"/>
    <n v="33.549999999999997"/>
    <n v="26.83"/>
    <n v="0"/>
    <s v="04016499"/>
    <m/>
    <n v="33.54"/>
    <n v="0"/>
    <n v="56832"/>
  </r>
  <r>
    <x v="13"/>
    <m/>
    <s v="Musikhuset"/>
    <n v="5271"/>
    <m/>
    <s v="Musikhuset"/>
    <x v="91"/>
    <x v="1"/>
    <x v="3"/>
    <n v="32.72"/>
    <n v="12"/>
    <s v="2005-07-01"/>
    <n v="0"/>
    <n v="255"/>
    <n v="0.12826299999999999"/>
    <n v="3"/>
    <x v="0"/>
    <n v="32.72"/>
    <n v="26.16"/>
    <n v="0"/>
    <s v="04016499"/>
    <m/>
    <n v="32.72"/>
    <n v="0"/>
    <n v="56832"/>
  </r>
  <r>
    <x v="13"/>
    <m/>
    <s v="Musikhuset"/>
    <n v="5271"/>
    <m/>
    <s v="Musikhuset"/>
    <x v="91"/>
    <x v="1"/>
    <x v="4"/>
    <n v="27.44"/>
    <n v="12"/>
    <s v="2005-07-01"/>
    <n v="0"/>
    <n v="255"/>
    <n v="0.10756499999999999"/>
    <n v="3"/>
    <x v="0"/>
    <n v="27.44"/>
    <n v="21.96"/>
    <n v="0"/>
    <s v="04016499"/>
    <m/>
    <n v="27.44"/>
    <n v="0"/>
    <n v="56832"/>
  </r>
  <r>
    <x v="13"/>
    <m/>
    <s v="Musikhuset"/>
    <n v="5271"/>
    <m/>
    <s v="Musikhuset"/>
    <x v="91"/>
    <x v="1"/>
    <x v="5"/>
    <n v="48.07"/>
    <n v="12"/>
    <s v="2005-07-01"/>
    <n v="0"/>
    <n v="255"/>
    <n v="0.18843499999999999"/>
    <n v="3"/>
    <x v="0"/>
    <n v="48.07"/>
    <n v="38.44"/>
    <n v="0"/>
    <s v="04016499"/>
    <m/>
    <n v="48.066000000000003"/>
    <n v="0"/>
    <n v="56832"/>
  </r>
  <r>
    <x v="13"/>
    <m/>
    <s v="Musikhuset"/>
    <n v="5271"/>
    <m/>
    <s v="Musikhuset"/>
    <x v="91"/>
    <x v="1"/>
    <x v="6"/>
    <n v="30.35"/>
    <n v="12"/>
    <s v="2005-07-01"/>
    <n v="0"/>
    <n v="255"/>
    <n v="0.11897199999999999"/>
    <n v="3"/>
    <x v="0"/>
    <n v="30.35"/>
    <n v="24.27"/>
    <n v="0"/>
    <s v="04016499"/>
    <m/>
    <n v="30.344000000000001"/>
    <n v="0"/>
    <n v="56832"/>
  </r>
  <r>
    <x v="13"/>
    <m/>
    <s v="Musikhuset"/>
    <n v="5271"/>
    <m/>
    <s v="Musikhuset"/>
    <x v="56"/>
    <x v="1"/>
    <x v="0"/>
    <n v="9036"/>
    <n v="5"/>
    <s v="2005-07-01"/>
    <n v="0"/>
    <n v="255"/>
    <n v="18.749862"/>
    <n v="2"/>
    <x v="2"/>
    <n v="4783.09"/>
    <n v="1434.92"/>
    <n v="0"/>
    <s v="814757"/>
    <m/>
    <n v="4783.08"/>
    <n v="0"/>
    <n v="56830"/>
  </r>
  <r>
    <x v="13"/>
    <m/>
    <s v="Værløse Bibliotek og Galaxen, BM48"/>
    <n v="10125"/>
    <m/>
    <s v="Værløse Bibliotek"/>
    <x v="92"/>
    <x v="0"/>
    <x v="1"/>
    <n v="689.37"/>
    <n v="12"/>
    <m/>
    <n v="0"/>
    <n v="2818"/>
    <n v="0.24462200000000001"/>
    <n v="3"/>
    <x v="0"/>
    <n v="689.37"/>
    <n v="551.47"/>
    <n v="0"/>
    <s v="02PC501282"/>
    <m/>
    <n v="689.36199999999997"/>
    <n v="0"/>
    <n v="76942"/>
  </r>
  <r>
    <x v="13"/>
    <m/>
    <s v="Værløse Bibliotek og Galaxen, BM48"/>
    <n v="14590"/>
    <s v="0"/>
    <s v="Galaksen"/>
    <x v="92"/>
    <x v="0"/>
    <x v="1"/>
    <n v="135490"/>
    <n v="12"/>
    <m/>
    <n v="0"/>
    <n v="1048"/>
    <n v="129.27201600000001"/>
    <n v="1"/>
    <x v="1"/>
    <n v="144626"/>
    <n v="9256.07"/>
    <n v="0"/>
    <s v="Galaxen 4903233"/>
    <m/>
    <n v="135490"/>
    <n v="0"/>
    <n v="76944"/>
  </r>
  <r>
    <x v="13"/>
    <m/>
    <s v="Værløse Bibliotek og Galaxen, BM48"/>
    <n v="10125"/>
    <m/>
    <s v="Værløse Bibliotek"/>
    <x v="92"/>
    <x v="0"/>
    <x v="2"/>
    <n v="547.37"/>
    <n v="12"/>
    <m/>
    <n v="0"/>
    <n v="2818"/>
    <n v="0.19423299999999999"/>
    <n v="3"/>
    <x v="0"/>
    <n v="547.37"/>
    <n v="437.89"/>
    <n v="0"/>
    <s v="02PC501282"/>
    <m/>
    <n v="547.36800000000005"/>
    <n v="0"/>
    <n v="76942"/>
  </r>
  <r>
    <x v="13"/>
    <m/>
    <s v="Værløse Bibliotek og Galaxen, BM48"/>
    <n v="10125"/>
    <m/>
    <s v="Værløse Bibliotek"/>
    <x v="92"/>
    <x v="0"/>
    <x v="3"/>
    <n v="499.94"/>
    <n v="12"/>
    <m/>
    <n v="0"/>
    <n v="2818"/>
    <n v="0.17740300000000001"/>
    <n v="3"/>
    <x v="0"/>
    <n v="499.94"/>
    <n v="399.97"/>
    <n v="0"/>
    <s v="02PC501282"/>
    <m/>
    <n v="499.94299999999998"/>
    <n v="0"/>
    <n v="76942"/>
  </r>
  <r>
    <x v="13"/>
    <m/>
    <s v="Værløse Bibliotek og Galaxen, BM48"/>
    <n v="10125"/>
    <m/>
    <s v="Værløse Bibliotek"/>
    <x v="92"/>
    <x v="0"/>
    <x v="4"/>
    <n v="440.55"/>
    <n v="12"/>
    <m/>
    <n v="0"/>
    <n v="2818"/>
    <n v="0.15632799999999999"/>
    <n v="3"/>
    <x v="0"/>
    <n v="440.55"/>
    <n v="352.45"/>
    <n v="0"/>
    <s v="02PC501282"/>
    <m/>
    <n v="440.55799999999999"/>
    <n v="0"/>
    <n v="76942"/>
  </r>
  <r>
    <x v="13"/>
    <m/>
    <s v="Værløse Bibliotek og Galaxen, BM48"/>
    <n v="10125"/>
    <m/>
    <s v="Værløse Bibliotek"/>
    <x v="92"/>
    <x v="0"/>
    <x v="5"/>
    <n v="535.61"/>
    <n v="12"/>
    <m/>
    <n v="0"/>
    <n v="2818"/>
    <n v="0.19006000000000001"/>
    <n v="3"/>
    <x v="0"/>
    <n v="535.61"/>
    <n v="428.5"/>
    <n v="0"/>
    <s v="02PC501282"/>
    <m/>
    <n v="535.62099999999998"/>
    <n v="0"/>
    <n v="76942"/>
  </r>
  <r>
    <x v="13"/>
    <m/>
    <s v="Værløse Bibliotek og Galaxen, BM48"/>
    <n v="10125"/>
    <m/>
    <s v="Værløse Bibliotek"/>
    <x v="92"/>
    <x v="0"/>
    <x v="6"/>
    <n v="481.07"/>
    <n v="12"/>
    <m/>
    <n v="0"/>
    <n v="2818"/>
    <n v="0.170707"/>
    <n v="3"/>
    <x v="0"/>
    <n v="481.07"/>
    <n v="384.81"/>
    <n v="0"/>
    <s v="02PC501282"/>
    <m/>
    <n v="481.05200000000002"/>
    <n v="0"/>
    <n v="76942"/>
  </r>
  <r>
    <x v="13"/>
    <m/>
    <s v="Værløse Bibliotek og Galaxen, BM48"/>
    <n v="10125"/>
    <m/>
    <s v="Værløse Bibliotek"/>
    <x v="92"/>
    <x v="0"/>
    <x v="6"/>
    <n v="37.04"/>
    <n v="1"/>
    <s v="2008-01-29"/>
    <n v="0"/>
    <n v="2818"/>
    <n v="1.3143E-2"/>
    <n v="3"/>
    <x v="0"/>
    <n v="37.04"/>
    <n v="29.63"/>
    <n v="0"/>
    <s v="02PC501282"/>
    <m/>
    <n v="37.037239999999997"/>
    <n v="0"/>
    <n v="78854"/>
  </r>
  <r>
    <x v="13"/>
    <m/>
    <s v="Hareskov Bibliotek"/>
    <n v="10191"/>
    <m/>
    <s v="Hareskov Bibliotek"/>
    <x v="88"/>
    <x v="1"/>
    <x v="7"/>
    <n v="5.96"/>
    <n v="12"/>
    <m/>
    <n v="0"/>
    <n v="711"/>
    <n v="8.3809999999999996E-3"/>
    <n v="3"/>
    <x v="0"/>
    <n v="5.96"/>
    <n v="0"/>
    <n v="1"/>
    <s v="V.vand"/>
    <m/>
    <n v="5.9600099999999996"/>
    <n v="0"/>
    <n v="77257"/>
  </r>
  <r>
    <x v="13"/>
    <m/>
    <s v="Hareskov Bibliotek"/>
    <n v="10191"/>
    <m/>
    <s v="Hareskov Bibliotek"/>
    <x v="88"/>
    <x v="1"/>
    <x v="7"/>
    <n v="69.94"/>
    <n v="12"/>
    <m/>
    <n v="0"/>
    <n v="711"/>
    <n v="9.8353999999999997E-2"/>
    <n v="3"/>
    <x v="0"/>
    <n v="69.94"/>
    <n v="55.93"/>
    <n v="0"/>
    <s v="K.vand"/>
    <m/>
    <n v="69.94"/>
    <n v="0"/>
    <n v="77258"/>
  </r>
  <r>
    <x v="13"/>
    <m/>
    <s v="Hareskov Bibliotek"/>
    <n v="10191"/>
    <m/>
    <s v="Hareskov Bibliotek"/>
    <x v="88"/>
    <x v="1"/>
    <x v="7"/>
    <n v="16213"/>
    <n v="12"/>
    <s v="2012-02-29"/>
    <n v="0"/>
    <n v="711"/>
    <n v="22.799886999999998"/>
    <n v="1"/>
    <x v="1"/>
    <n v="19952.349999999999"/>
    <n v="1276.95"/>
    <n v="0"/>
    <m/>
    <m/>
    <n v="16212.9997"/>
    <n v="0"/>
    <n v="77259"/>
  </r>
  <r>
    <x v="13"/>
    <m/>
    <s v="Hareskov Bibliotek"/>
    <n v="10191"/>
    <m/>
    <s v="Hareskov Bibliotek"/>
    <x v="88"/>
    <x v="1"/>
    <x v="7"/>
    <n v="15579.94"/>
    <n v="12"/>
    <m/>
    <n v="0"/>
    <n v="711"/>
    <n v="21.909631999999998"/>
    <n v="1"/>
    <x v="3"/>
    <n v="19308.68"/>
    <n v="35.42"/>
    <n v="1"/>
    <m/>
    <m/>
    <n v="446.54500000000002"/>
    <n v="77259"/>
    <n v="77260"/>
  </r>
  <r>
    <x v="13"/>
    <m/>
    <s v="Hareskov Bibliotek"/>
    <n v="10191"/>
    <m/>
    <s v="Hareskov Bibliotek"/>
    <x v="88"/>
    <x v="1"/>
    <x v="7"/>
    <n v="18174.27"/>
    <n v="12"/>
    <m/>
    <n v="0"/>
    <n v="711"/>
    <n v="25.557966"/>
    <n v="2"/>
    <x v="2"/>
    <n v="18174.27"/>
    <n v="5452.27"/>
    <n v="0"/>
    <m/>
    <m/>
    <n v="18174.269"/>
    <n v="0"/>
    <n v="77256"/>
  </r>
  <r>
    <x v="13"/>
    <s v="04323-0"/>
    <s v="Billen, Stavns 5"/>
    <n v="6071"/>
    <m/>
    <s v="Billen"/>
    <x v="87"/>
    <x v="0"/>
    <x v="0"/>
    <n v="30067"/>
    <n v="5"/>
    <s v="2012-09-01"/>
    <n v="0"/>
    <n v="222"/>
    <n v="80.823953000000003"/>
    <n v="1"/>
    <x v="5"/>
    <n v="34426"/>
    <n v="1289.72"/>
    <n v="0"/>
    <s v="98024806"/>
    <m/>
    <n v="17.951000000000001"/>
    <n v="0"/>
    <n v="60883"/>
  </r>
  <r>
    <x v="13"/>
    <s v="04323-0"/>
    <s v="Billen, Stavns 5"/>
    <n v="6071"/>
    <m/>
    <s v="Billen"/>
    <x v="87"/>
    <x v="0"/>
    <x v="1"/>
    <n v="32417"/>
    <n v="12"/>
    <s v="2012-09-01"/>
    <n v="0"/>
    <n v="222"/>
    <n v="145.95677599999999"/>
    <n v="1"/>
    <x v="5"/>
    <n v="33415.31"/>
    <n v="2138.58"/>
    <n v="0"/>
    <s v="98024806"/>
    <m/>
    <n v="32.417000000000002"/>
    <n v="0"/>
    <n v="60883"/>
  </r>
  <r>
    <x v="13"/>
    <s v="04323-0"/>
    <s v="Billen, Stavns 5"/>
    <n v="6071"/>
    <m/>
    <s v="Billen"/>
    <x v="87"/>
    <x v="0"/>
    <x v="2"/>
    <n v="32456.22"/>
    <n v="18"/>
    <s v="2012-09-01"/>
    <n v="0"/>
    <n v="222"/>
    <n v="146.133363"/>
    <n v="1"/>
    <x v="5"/>
    <n v="34839.49"/>
    <n v="6445.3"/>
    <n v="0"/>
    <s v="98024806"/>
    <m/>
    <n v="32.456220000000002"/>
    <n v="0"/>
    <n v="60883"/>
  </r>
  <r>
    <x v="13"/>
    <s v="04323-0"/>
    <s v="Billen, Stavns 5"/>
    <n v="6071"/>
    <m/>
    <s v="Billen"/>
    <x v="87"/>
    <x v="0"/>
    <x v="3"/>
    <n v="31587.79"/>
    <n v="15"/>
    <s v="2012-09-01"/>
    <n v="0"/>
    <n v="222"/>
    <n v="142.223277"/>
    <n v="1"/>
    <x v="5"/>
    <n v="37864.35"/>
    <n v="7004.9"/>
    <n v="0"/>
    <s v="98024806"/>
    <m/>
    <n v="31.587789999999998"/>
    <n v="0"/>
    <n v="60883"/>
  </r>
  <r>
    <x v="13"/>
    <s v="04323-0"/>
    <s v="Billen, Stavns 5"/>
    <n v="6071"/>
    <m/>
    <s v="Billen"/>
    <x v="87"/>
    <x v="0"/>
    <x v="4"/>
    <n v="29573.95"/>
    <n v="18"/>
    <s v="2012-09-01"/>
    <n v="0"/>
    <n v="222"/>
    <n v="133.15601000000001"/>
    <n v="1"/>
    <x v="5"/>
    <n v="35190.910000000003"/>
    <n v="6510.31"/>
    <n v="0"/>
    <s v="98024806"/>
    <m/>
    <n v="29.57395"/>
    <n v="0"/>
    <n v="60883"/>
  </r>
  <r>
    <x v="13"/>
    <s v="04323-0"/>
    <s v="Billen, Stavns 5"/>
    <n v="6071"/>
    <m/>
    <s v="Billen"/>
    <x v="87"/>
    <x v="0"/>
    <x v="5"/>
    <n v="28887.21"/>
    <n v="18"/>
    <s v="2012-09-01"/>
    <n v="0"/>
    <n v="222"/>
    <n v="130.06397999999999"/>
    <n v="1"/>
    <x v="5"/>
    <n v="39383.72"/>
    <n v="7285.98"/>
    <n v="0"/>
    <s v="98024806"/>
    <m/>
    <n v="28.88721"/>
    <n v="0"/>
    <n v="60883"/>
  </r>
  <r>
    <x v="13"/>
    <s v="04323-0"/>
    <s v="Billen, Stavns 5"/>
    <n v="6071"/>
    <m/>
    <s v="Billen"/>
    <x v="87"/>
    <x v="0"/>
    <x v="6"/>
    <n v="29647.86"/>
    <n v="18"/>
    <s v="2012-09-01"/>
    <n v="0"/>
    <n v="222"/>
    <n v="133.488788"/>
    <n v="1"/>
    <x v="5"/>
    <n v="34424.36"/>
    <n v="6368.5"/>
    <n v="0"/>
    <s v="98024806"/>
    <m/>
    <n v="29.647860000000001"/>
    <n v="0"/>
    <n v="60883"/>
  </r>
  <r>
    <x v="13"/>
    <m/>
    <s v="Hareskov Bibliotek"/>
    <n v="10191"/>
    <m/>
    <s v="Hareskov Bibliotek"/>
    <x v="88"/>
    <x v="1"/>
    <x v="0"/>
    <n v="0"/>
    <n v="5"/>
    <m/>
    <n v="0"/>
    <n v="711"/>
    <n v="0"/>
    <n v="1"/>
    <x v="3"/>
    <n v="0"/>
    <n v="0"/>
    <n v="1"/>
    <m/>
    <m/>
    <n v="0"/>
    <n v="77259"/>
    <n v="77260"/>
  </r>
  <r>
    <x v="13"/>
    <m/>
    <s v="Hareskov Bibliotek"/>
    <n v="10191"/>
    <m/>
    <s v="Hareskov Bibliotek"/>
    <x v="88"/>
    <x v="1"/>
    <x v="0"/>
    <n v="0"/>
    <n v="5"/>
    <s v="2012-02-29"/>
    <n v="0"/>
    <n v="711"/>
    <n v="0"/>
    <n v="1"/>
    <x v="1"/>
    <n v="0"/>
    <n v="0"/>
    <n v="0"/>
    <m/>
    <m/>
    <n v="0"/>
    <n v="0"/>
    <n v="77259"/>
  </r>
  <r>
    <x v="13"/>
    <m/>
    <s v="Hareskov Bibliotek"/>
    <n v="10191"/>
    <m/>
    <s v="Hareskov Bibliotek"/>
    <x v="88"/>
    <x v="1"/>
    <x v="1"/>
    <n v="39187"/>
    <n v="12"/>
    <s v="2012-02-29"/>
    <n v="0"/>
    <n v="711"/>
    <n v="55.107579000000001"/>
    <n v="1"/>
    <x v="1"/>
    <n v="40710.370000000003"/>
    <n v="2605.4699999999998"/>
    <n v="0"/>
    <m/>
    <m/>
    <n v="39187"/>
    <n v="0"/>
    <n v="77259"/>
  </r>
  <r>
    <x v="13"/>
    <m/>
    <s v="Hareskov Bibliotek"/>
    <n v="10191"/>
    <m/>
    <s v="Hareskov Bibliotek"/>
    <x v="88"/>
    <x v="1"/>
    <x v="1"/>
    <n v="40520.76"/>
    <n v="12"/>
    <m/>
    <n v="0"/>
    <n v="711"/>
    <n v="56.983209000000002"/>
    <n v="1"/>
    <x v="3"/>
    <n v="45187.13"/>
    <n v="82.87"/>
    <n v="1"/>
    <m/>
    <m/>
    <n v="1161.3860099999999"/>
    <n v="77259"/>
    <n v="77260"/>
  </r>
  <r>
    <x v="13"/>
    <m/>
    <s v="Hareskov Bibliotek"/>
    <n v="10191"/>
    <m/>
    <s v="Hareskov Bibliotek"/>
    <x v="88"/>
    <x v="1"/>
    <x v="2"/>
    <n v="31529.93"/>
    <n v="12"/>
    <m/>
    <n v="0"/>
    <n v="711"/>
    <n v="44.339655999999998"/>
    <n v="1"/>
    <x v="3"/>
    <n v="33632.269999999997"/>
    <n v="178.34"/>
    <n v="1"/>
    <m/>
    <m/>
    <n v="903.69497000000001"/>
    <n v="77259"/>
    <n v="77260"/>
  </r>
  <r>
    <x v="13"/>
    <m/>
    <s v="Hareskov Bibliotek"/>
    <n v="10191"/>
    <m/>
    <s v="Hareskov Bibliotek"/>
    <x v="88"/>
    <x v="1"/>
    <x v="2"/>
    <n v="30035.21"/>
    <n v="13"/>
    <s v="2012-02-29"/>
    <n v="0"/>
    <n v="711"/>
    <n v="42.237673999999998"/>
    <n v="1"/>
    <x v="1"/>
    <n v="32054.75"/>
    <n v="5930.14"/>
    <n v="0"/>
    <m/>
    <m/>
    <n v="30035.21429"/>
    <n v="0"/>
    <n v="77259"/>
  </r>
  <r>
    <x v="13"/>
    <m/>
    <s v="Hareskov Bibliotek"/>
    <n v="10191"/>
    <m/>
    <s v="Hareskov Bibliotek"/>
    <x v="88"/>
    <x v="1"/>
    <x v="3"/>
    <n v="2896076.07"/>
    <n v="12"/>
    <m/>
    <n v="0"/>
    <n v="711"/>
    <n v="4072.6706079999999"/>
    <n v="1"/>
    <x v="3"/>
    <n v="3283596.95"/>
    <n v="17410.87"/>
    <n v="1"/>
    <m/>
    <m/>
    <n v="83005.906040000002"/>
    <n v="77259"/>
    <n v="77260"/>
  </r>
  <r>
    <x v="13"/>
    <m/>
    <s v="Hareskov Bibliotek"/>
    <n v="10191"/>
    <m/>
    <s v="Hareskov Bibliotek"/>
    <x v="88"/>
    <x v="1"/>
    <x v="3"/>
    <n v="44458.66"/>
    <n v="12"/>
    <s v="2012-02-29"/>
    <n v="0"/>
    <n v="711"/>
    <n v="62.520966999999999"/>
    <n v="1"/>
    <x v="1"/>
    <n v="48695.040000000001"/>
    <n v="9008.59"/>
    <n v="0"/>
    <m/>
    <m/>
    <n v="44458.664510000002"/>
    <n v="0"/>
    <n v="77259"/>
  </r>
  <r>
    <x v="13"/>
    <m/>
    <s v="Hareskov Bibliotek"/>
    <n v="10191"/>
    <m/>
    <s v="Hareskov Bibliotek"/>
    <x v="88"/>
    <x v="1"/>
    <x v="4"/>
    <n v="54846.52"/>
    <n v="12"/>
    <s v="2012-02-29"/>
    <n v="0"/>
    <n v="711"/>
    <n v="77.129123000000007"/>
    <n v="1"/>
    <x v="1"/>
    <n v="50072.800000000003"/>
    <n v="9263.4599999999991"/>
    <n v="0"/>
    <m/>
    <m/>
    <n v="54846.521209999999"/>
    <n v="0"/>
    <n v="77259"/>
  </r>
  <r>
    <x v="13"/>
    <m/>
    <s v="Hareskov Bibliotek"/>
    <n v="10191"/>
    <m/>
    <s v="Hareskov Bibliotek"/>
    <x v="88"/>
    <x v="1"/>
    <x v="4"/>
    <n v="4149558.18"/>
    <n v="12"/>
    <m/>
    <n v="0"/>
    <n v="711"/>
    <n v="5835.4073680000001"/>
    <n v="1"/>
    <x v="3"/>
    <n v="6158311.7999999998"/>
    <n v="32653.71"/>
    <n v="1"/>
    <m/>
    <m/>
    <n v="118932.59299999999"/>
    <n v="77259"/>
    <n v="77260"/>
  </r>
  <r>
    <x v="13"/>
    <m/>
    <s v="Hareskov Bibliotek"/>
    <n v="10191"/>
    <m/>
    <s v="Hareskov Bibliotek"/>
    <x v="88"/>
    <x v="1"/>
    <x v="5"/>
    <n v="50999.15"/>
    <n v="11"/>
    <s v="2012-02-29"/>
    <n v="0"/>
    <n v="711"/>
    <n v="71.718675000000005"/>
    <n v="1"/>
    <x v="1"/>
    <n v="53693.24"/>
    <n v="9933.24"/>
    <n v="0"/>
    <m/>
    <m/>
    <n v="50999.148390000002"/>
    <n v="0"/>
    <n v="77259"/>
  </r>
  <r>
    <x v="13"/>
    <m/>
    <s v="Hareskov Bibliotek"/>
    <n v="10191"/>
    <m/>
    <s v="Hareskov Bibliotek"/>
    <x v="88"/>
    <x v="1"/>
    <x v="5"/>
    <n v="4058691.26"/>
    <n v="12"/>
    <m/>
    <n v="0"/>
    <n v="711"/>
    <n v="5707.6237650000003"/>
    <n v="1"/>
    <x v="3"/>
    <n v="4605778.6500000004"/>
    <n v="24421.56"/>
    <n v="1"/>
    <m/>
    <m/>
    <n v="116328.21"/>
    <n v="77259"/>
    <n v="77260"/>
  </r>
  <r>
    <x v="13"/>
    <m/>
    <s v="Hareskov Bibliotek"/>
    <n v="10191"/>
    <m/>
    <s v="Hareskov Bibliotek"/>
    <x v="88"/>
    <x v="1"/>
    <x v="6"/>
    <n v="2043489.87"/>
    <n v="12"/>
    <m/>
    <n v="0"/>
    <n v="711"/>
    <n v="2873.7025309999999"/>
    <n v="1"/>
    <x v="3"/>
    <n v="2351118.0499999998"/>
    <n v="12466.52"/>
    <n v="1"/>
    <m/>
    <m/>
    <n v="58569.5"/>
    <n v="77259"/>
    <n v="77260"/>
  </r>
  <r>
    <x v="13"/>
    <m/>
    <s v="Hareskov Bibliotek"/>
    <n v="10191"/>
    <m/>
    <s v="Hareskov Bibliotek"/>
    <x v="88"/>
    <x v="1"/>
    <x v="6"/>
    <n v="275.45"/>
    <n v="1"/>
    <s v="2012-02-29"/>
    <n v="0"/>
    <n v="711"/>
    <n v="0.38735700000000001"/>
    <n v="1"/>
    <x v="1"/>
    <n v="294.29000000000002"/>
    <n v="54.44"/>
    <n v="0"/>
    <m/>
    <m/>
    <n v="275.45161000000002"/>
    <n v="0"/>
    <n v="77259"/>
  </r>
  <r>
    <x v="13"/>
    <m/>
    <s v="Kulturhuset Satelitten, BM46"/>
    <n v="9517"/>
    <m/>
    <s v="Kulturhuset Satelitten"/>
    <x v="89"/>
    <x v="0"/>
    <x v="0"/>
    <n v="72265"/>
    <n v="5"/>
    <m/>
    <n v="0"/>
    <n v="784"/>
    <n v="57.335799000000002"/>
    <n v="1"/>
    <x v="1"/>
    <n v="83787"/>
    <n v="3243.48"/>
    <n v="0"/>
    <m/>
    <m/>
    <n v="44957"/>
    <n v="0"/>
    <n v="74426"/>
  </r>
  <r>
    <x v="13"/>
    <m/>
    <s v="Kulturhuset Satelitten, BM46"/>
    <n v="9517"/>
    <m/>
    <s v="Kulturhuset Satelitten"/>
    <x v="89"/>
    <x v="1"/>
    <x v="0"/>
    <n v="75843.88"/>
    <n v="5"/>
    <m/>
    <n v="0"/>
    <n v="784"/>
    <n v="96.727305000000001"/>
    <n v="1"/>
    <x v="3"/>
    <n v="84606.69"/>
    <n v="155.19"/>
    <n v="1"/>
    <m/>
    <m/>
    <n v="2173.8000000000002"/>
    <n v="74426"/>
    <n v="74427"/>
  </r>
  <r>
    <x v="13"/>
    <m/>
    <s v="Kulturhuset Satelitten, BM46"/>
    <n v="9517"/>
    <m/>
    <s v="Kulturhuset Satelitten"/>
    <x v="89"/>
    <x v="1"/>
    <x v="1"/>
    <n v="109643.22"/>
    <n v="12"/>
    <m/>
    <n v="0"/>
    <n v="784"/>
    <n v="139.83321000000001"/>
    <n v="1"/>
    <x v="3"/>
    <n v="112361.78"/>
    <n v="206.11"/>
    <n v="1"/>
    <m/>
    <m/>
    <n v="3142.54"/>
    <n v="74426"/>
    <n v="74427"/>
  </r>
  <r>
    <x v="13"/>
    <m/>
    <s v="Kulturhuset Satelitten, BM46"/>
    <n v="9517"/>
    <m/>
    <s v="Kulturhuset Satelitten"/>
    <x v="89"/>
    <x v="0"/>
    <x v="1"/>
    <n v="80317"/>
    <n v="12"/>
    <m/>
    <n v="0"/>
    <n v="784"/>
    <n v="102.432087"/>
    <n v="1"/>
    <x v="1"/>
    <n v="83565.42"/>
    <n v="5348.19"/>
    <n v="0"/>
    <m/>
    <m/>
    <n v="80317"/>
    <n v="0"/>
    <n v="74426"/>
  </r>
  <r>
    <x v="13"/>
    <m/>
    <s v="Kulturhuset Satelitten, BM46"/>
    <n v="9517"/>
    <m/>
    <s v="Kulturhuset Satelitten"/>
    <x v="89"/>
    <x v="1"/>
    <x v="2"/>
    <n v="159334.26"/>
    <n v="12"/>
    <m/>
    <n v="0"/>
    <n v="784"/>
    <n v="203.20655500000001"/>
    <n v="1"/>
    <x v="3"/>
    <n v="167904.29"/>
    <n v="890.3"/>
    <n v="1"/>
    <m/>
    <m/>
    <n v="4566.76"/>
    <n v="74426"/>
    <n v="74427"/>
  </r>
  <r>
    <x v="13"/>
    <m/>
    <s v="Kulturhuset Satelitten, BM46"/>
    <n v="9517"/>
    <m/>
    <s v="Kulturhuset Satelitten"/>
    <x v="89"/>
    <x v="0"/>
    <x v="2"/>
    <n v="86208"/>
    <n v="12"/>
    <m/>
    <n v="0"/>
    <n v="784"/>
    <n v="109.94516"/>
    <n v="1"/>
    <x v="1"/>
    <n v="91060.98"/>
    <n v="16846.28"/>
    <n v="0"/>
    <m/>
    <m/>
    <n v="86208"/>
    <n v="0"/>
    <n v="74426"/>
  </r>
  <r>
    <x v="13"/>
    <m/>
    <s v="Kulturhuset Satelitten, BM46"/>
    <n v="9517"/>
    <m/>
    <s v="Kulturhuset Satelitten"/>
    <x v="89"/>
    <x v="0"/>
    <x v="3"/>
    <n v="88982"/>
    <n v="12"/>
    <m/>
    <n v="0"/>
    <n v="784"/>
    <n v="113.482974"/>
    <n v="1"/>
    <x v="1"/>
    <n v="97095.89"/>
    <n v="17962.72"/>
    <n v="0"/>
    <m/>
    <m/>
    <n v="88982"/>
    <n v="0"/>
    <n v="74426"/>
  </r>
  <r>
    <x v="13"/>
    <m/>
    <s v="Kulturhuset Satelitten, BM46"/>
    <n v="9517"/>
    <m/>
    <s v="Kulturhuset Satelitten"/>
    <x v="89"/>
    <x v="1"/>
    <x v="3"/>
    <n v="160100.44"/>
    <n v="12"/>
    <m/>
    <n v="0"/>
    <n v="784"/>
    <n v="204.18370100000001"/>
    <n v="1"/>
    <x v="3"/>
    <n v="170880.51"/>
    <n v="906.09"/>
    <n v="1"/>
    <m/>
    <m/>
    <n v="4588.72"/>
    <n v="74426"/>
    <n v="74427"/>
  </r>
  <r>
    <x v="13"/>
    <m/>
    <s v="Kulturhuset Satelitten, BM46"/>
    <n v="9517"/>
    <m/>
    <s v="Kulturhuset Satelitten"/>
    <x v="89"/>
    <x v="0"/>
    <x v="4"/>
    <n v="92248.19"/>
    <n v="12"/>
    <m/>
    <n v="0"/>
    <n v="784"/>
    <n v="117.648501"/>
    <n v="1"/>
    <x v="1"/>
    <n v="112673.1"/>
    <n v="20844.52"/>
    <n v="0"/>
    <m/>
    <m/>
    <n v="92248.209000000003"/>
    <n v="0"/>
    <n v="74426"/>
  </r>
  <r>
    <x v="13"/>
    <m/>
    <s v="Kulturhuset Satelitten, BM46"/>
    <n v="9517"/>
    <m/>
    <s v="Kulturhuset Satelitten"/>
    <x v="89"/>
    <x v="1"/>
    <x v="4"/>
    <n v="470358.76"/>
    <n v="12"/>
    <m/>
    <n v="0"/>
    <n v="784"/>
    <n v="599.87088300000005"/>
    <n v="1"/>
    <x v="3"/>
    <n v="574982.61"/>
    <n v="3048.78"/>
    <n v="1"/>
    <m/>
    <m/>
    <n v="13481.1911"/>
    <n v="74426"/>
    <n v="74427"/>
  </r>
  <r>
    <x v="13"/>
    <m/>
    <s v="Kulturhuset Satelitten, BM46"/>
    <n v="9517"/>
    <m/>
    <s v="Kulturhuset Satelitten"/>
    <x v="89"/>
    <x v="1"/>
    <x v="5"/>
    <n v="362409.38"/>
    <n v="12"/>
    <m/>
    <n v="0"/>
    <n v="784"/>
    <n v="462.19790799999998"/>
    <n v="1"/>
    <x v="3"/>
    <n v="528519.21"/>
    <n v="2802.41"/>
    <n v="1"/>
    <m/>
    <m/>
    <n v="10387.1988"/>
    <n v="74426"/>
    <n v="74427"/>
  </r>
  <r>
    <x v="13"/>
    <m/>
    <s v="Kulturhuset Satelitten, BM46"/>
    <n v="9517"/>
    <m/>
    <s v="Kulturhuset Satelitten"/>
    <x v="89"/>
    <x v="0"/>
    <x v="5"/>
    <n v="104998.77"/>
    <n v="12"/>
    <m/>
    <n v="0"/>
    <n v="784"/>
    <n v="133.90992199999999"/>
    <n v="1"/>
    <x v="1"/>
    <n v="141027.85"/>
    <n v="26090.16"/>
    <n v="0"/>
    <m/>
    <m/>
    <n v="104998.784"/>
    <n v="0"/>
    <n v="74426"/>
  </r>
  <r>
    <x v="13"/>
    <m/>
    <s v="Kulturhuset Satelitten, BM46"/>
    <n v="9517"/>
    <m/>
    <s v="Kulturhuset Satelitten"/>
    <x v="89"/>
    <x v="1"/>
    <x v="6"/>
    <n v="124028.36"/>
    <n v="12"/>
    <m/>
    <n v="0"/>
    <n v="784"/>
    <n v="158.17926199999999"/>
    <n v="1"/>
    <x v="3"/>
    <n v="142902.37"/>
    <n v="757.7"/>
    <n v="1"/>
    <m/>
    <m/>
    <n v="3554.84"/>
    <n v="74426"/>
    <n v="74427"/>
  </r>
  <r>
    <x v="13"/>
    <m/>
    <s v="Kulturhuset Satelitten, BM46"/>
    <n v="9517"/>
    <m/>
    <s v="Kulturhuset Satelitten"/>
    <x v="89"/>
    <x v="0"/>
    <x v="6"/>
    <n v="78901"/>
    <n v="12"/>
    <m/>
    <n v="0"/>
    <n v="784"/>
    <n v="100.626195"/>
    <n v="1"/>
    <x v="1"/>
    <n v="90696.93"/>
    <n v="16778.93"/>
    <n v="0"/>
    <m/>
    <m/>
    <n v="78901"/>
    <n v="0"/>
    <n v="74426"/>
  </r>
  <r>
    <x v="13"/>
    <s v="04423-7"/>
    <s v="Kulturhuset, Stavns 3"/>
    <n v="5300"/>
    <m/>
    <s v="Kulturhuset"/>
    <x v="90"/>
    <x v="0"/>
    <x v="7"/>
    <n v="39.630000000000003"/>
    <n v="12"/>
    <s v="2013-10-31"/>
    <n v="0"/>
    <n v="7375"/>
    <n v="5.3730000000000002E-3"/>
    <n v="3"/>
    <x v="0"/>
    <n v="39.630000000000003"/>
    <n v="31.7"/>
    <n v="0"/>
    <s v="BK 99600686"/>
    <m/>
    <n v="39.630000000000003"/>
    <n v="0"/>
    <n v="56972"/>
  </r>
  <r>
    <x v="13"/>
    <s v="04423-7"/>
    <s v="Kulturhuset, Stavns 3"/>
    <n v="5300"/>
    <m/>
    <s v="Kulturhuset"/>
    <x v="90"/>
    <x v="1"/>
    <x v="0"/>
    <n v="564795.81999999995"/>
    <n v="5"/>
    <s v="2005-06-01"/>
    <n v="0"/>
    <n v="7375"/>
    <n v="76.581445000000002"/>
    <n v="1"/>
    <x v="3"/>
    <n v="641893.48"/>
    <n v="3403562.45"/>
    <n v="1"/>
    <s v="4107843 aut"/>
    <m/>
    <n v="16187.9"/>
    <n v="0"/>
    <n v="56990"/>
  </r>
  <r>
    <x v="13"/>
    <s v="04423-7"/>
    <s v="Kulturhuset, Stavns 3"/>
    <n v="5300"/>
    <m/>
    <s v="Kulturhuset"/>
    <x v="90"/>
    <x v="0"/>
    <x v="7"/>
    <n v="196.25"/>
    <n v="11"/>
    <m/>
    <n v="0"/>
    <n v="7375"/>
    <n v="2.6609000000000001E-2"/>
    <n v="3"/>
    <x v="0"/>
    <n v="196.25"/>
    <n v="156.99"/>
    <n v="1"/>
    <s v="BV 24126631"/>
    <m/>
    <n v="196.239"/>
    <n v="0"/>
    <n v="56992"/>
  </r>
  <r>
    <x v="13"/>
    <s v="04423-7"/>
    <s v="Kulturhuset, Stavns 3"/>
    <n v="5300"/>
    <m/>
    <s v="Kulturhuset"/>
    <x v="90"/>
    <x v="1"/>
    <x v="1"/>
    <n v="854351.42"/>
    <n v="12"/>
    <s v="2005-06-01"/>
    <n v="0"/>
    <n v="7375"/>
    <n v="115.84268899999999"/>
    <n v="1"/>
    <x v="3"/>
    <n v="898785.13"/>
    <n v="4765.6899999999996"/>
    <n v="1"/>
    <s v="4107843 aut"/>
    <m/>
    <n v="24487"/>
    <n v="0"/>
    <n v="56990"/>
  </r>
  <r>
    <x v="13"/>
    <s v="04423-7"/>
    <s v="Kulturhuset, Stavns 3"/>
    <n v="5300"/>
    <m/>
    <s v="Kulturhuset"/>
    <x v="90"/>
    <x v="1"/>
    <x v="2"/>
    <n v="1042673.7"/>
    <n v="12"/>
    <s v="2005-06-01"/>
    <n v="0"/>
    <n v="7375"/>
    <n v="141.377567"/>
    <n v="1"/>
    <x v="3"/>
    <n v="1117780.17"/>
    <n v="5926.9"/>
    <n v="1"/>
    <s v="4107843 aut"/>
    <m/>
    <n v="29884.6"/>
    <n v="0"/>
    <n v="56990"/>
  </r>
  <r>
    <x v="13"/>
    <s v="04423-7"/>
    <s v="Kulturhuset, Stavns 3"/>
    <n v="5300"/>
    <m/>
    <s v="Kulturhuset"/>
    <x v="90"/>
    <x v="0"/>
    <x v="2"/>
    <n v="875725"/>
    <n v="12"/>
    <s v="2005-06-01"/>
    <n v="0"/>
    <n v="7375"/>
    <n v="118.740762"/>
    <n v="1"/>
    <x v="1"/>
    <n v="946438.51"/>
    <n v="175091.1"/>
    <n v="0"/>
    <s v="4107843 aut"/>
    <m/>
    <n v="875725"/>
    <n v="0"/>
    <n v="56974"/>
  </r>
  <r>
    <x v="13"/>
    <s v="04423-7"/>
    <s v="Kulturhuset, Stavns 3"/>
    <n v="5300"/>
    <m/>
    <s v="Kulturhuset"/>
    <x v="90"/>
    <x v="1"/>
    <x v="3"/>
    <n v="1041190.88"/>
    <n v="12"/>
    <s v="2005-06-01"/>
    <n v="0"/>
    <n v="7375"/>
    <n v="141.17651000000001"/>
    <n v="1"/>
    <x v="3"/>
    <n v="1153637.7"/>
    <n v="6117.04"/>
    <n v="1"/>
    <s v="4107843 aut"/>
    <m/>
    <n v="29842.1001"/>
    <n v="0"/>
    <n v="56990"/>
  </r>
  <r>
    <x v="13"/>
    <s v="04423-7"/>
    <s v="Kulturhuset, Stavns 3"/>
    <n v="5300"/>
    <m/>
    <s v="Kulturhuset"/>
    <x v="90"/>
    <x v="0"/>
    <x v="3"/>
    <n v="896780"/>
    <n v="12"/>
    <s v="2005-06-01"/>
    <n v="0"/>
    <n v="7375"/>
    <n v="121.59563900000001"/>
    <n v="1"/>
    <x v="1"/>
    <n v="1019671.46"/>
    <n v="188639.21"/>
    <n v="0"/>
    <s v="4107843 aut"/>
    <m/>
    <n v="896779.99199999997"/>
    <n v="0"/>
    <n v="56974"/>
  </r>
  <r>
    <x v="13"/>
    <s v="04423-7"/>
    <s v="Kulturhuset, Stavns 3"/>
    <n v="5300"/>
    <m/>
    <s v="Kulturhuset"/>
    <x v="90"/>
    <x v="1"/>
    <x v="4"/>
    <n v="1173849.6299999999"/>
    <n v="12"/>
    <s v="2005-06-01"/>
    <n v="0"/>
    <n v="7375"/>
    <n v="159.163893"/>
    <n v="1"/>
    <x v="3"/>
    <n v="1050972.77"/>
    <n v="5572.65"/>
    <n v="1"/>
    <s v="4107843 aut"/>
    <m/>
    <n v="33644.300000000003"/>
    <n v="0"/>
    <n v="56990"/>
  </r>
  <r>
    <x v="13"/>
    <s v="04423-7"/>
    <s v="Kulturhuset, Stavns 3"/>
    <n v="5300"/>
    <m/>
    <s v="Kulturhuset"/>
    <x v="90"/>
    <x v="0"/>
    <x v="4"/>
    <n v="1026830.01"/>
    <n v="12"/>
    <s v="2005-06-01"/>
    <n v="0"/>
    <n v="7375"/>
    <n v="139.229299"/>
    <n v="1"/>
    <x v="1"/>
    <n v="897174.01"/>
    <n v="165977.18"/>
    <n v="0"/>
    <s v="4107843 aut"/>
    <m/>
    <n v="1026830.01"/>
    <n v="0"/>
    <n v="56974"/>
  </r>
  <r>
    <x v="13"/>
    <s v="04423-7"/>
    <s v="Kulturhuset, Stavns 3"/>
    <n v="5300"/>
    <m/>
    <s v="Kulturhuset"/>
    <x v="90"/>
    <x v="0"/>
    <x v="5"/>
    <n v="887170"/>
    <n v="12"/>
    <s v="2005-06-01"/>
    <n v="0"/>
    <n v="7375"/>
    <n v="120.29260600000001"/>
    <n v="1"/>
    <x v="1"/>
    <n v="966438"/>
    <n v="178791.05"/>
    <n v="0"/>
    <s v="4107843 aut"/>
    <m/>
    <n v="887170"/>
    <n v="0"/>
    <n v="56974"/>
  </r>
  <r>
    <x v="13"/>
    <s v="04423-7"/>
    <s v="Kulturhuset, Stavns 3"/>
    <n v="5300"/>
    <m/>
    <s v="Kulturhuset"/>
    <x v="90"/>
    <x v="1"/>
    <x v="5"/>
    <n v="923810.46"/>
    <n v="12"/>
    <s v="2005-06-01"/>
    <n v="0"/>
    <n v="7375"/>
    <n v="125.26073599999999"/>
    <n v="1"/>
    <x v="3"/>
    <n v="986834.73"/>
    <n v="5232.57"/>
    <n v="1"/>
    <s v="4107843 aut"/>
    <m/>
    <n v="26477.8"/>
    <n v="0"/>
    <n v="56990"/>
  </r>
  <r>
    <x v="13"/>
    <s v="04423-7"/>
    <s v="Kulturhuset, Stavns 3"/>
    <n v="5300"/>
    <m/>
    <s v="Kulturhuset"/>
    <x v="90"/>
    <x v="1"/>
    <x v="6"/>
    <n v="902398.47"/>
    <n v="12"/>
    <s v="2005-06-01"/>
    <n v="0"/>
    <n v="7375"/>
    <n v="122.357455"/>
    <n v="1"/>
    <x v="3"/>
    <n v="1079800.6100000001"/>
    <n v="5725.52"/>
    <n v="1"/>
    <s v="4107843 aut"/>
    <m/>
    <n v="25864.1"/>
    <n v="0"/>
    <n v="56990"/>
  </r>
  <r>
    <x v="13"/>
    <s v="04423-7"/>
    <s v="Kulturhuset, Stavns 3"/>
    <n v="5300"/>
    <m/>
    <s v="Kulturhuset"/>
    <x v="90"/>
    <x v="0"/>
    <x v="6"/>
    <n v="842660"/>
    <n v="12"/>
    <s v="2005-06-01"/>
    <n v="0"/>
    <n v="7375"/>
    <n v="114.25743300000001"/>
    <n v="1"/>
    <x v="1"/>
    <n v="1018025.54"/>
    <n v="188334.74"/>
    <n v="0"/>
    <s v="4107843 aut"/>
    <m/>
    <n v="842659.99699999997"/>
    <n v="0"/>
    <n v="56974"/>
  </r>
  <r>
    <x v="13"/>
    <m/>
    <s v="Musikhuset"/>
    <n v="5271"/>
    <m/>
    <s v="Musikhuset"/>
    <x v="91"/>
    <x v="1"/>
    <x v="0"/>
    <n v="6178"/>
    <n v="5"/>
    <s v="2005-07-01"/>
    <n v="0"/>
    <n v="255"/>
    <n v="24.217953000000001"/>
    <n v="1"/>
    <x v="1"/>
    <n v="7066.08"/>
    <n v="1307224.8"/>
    <n v="0"/>
    <s v="4231383"/>
    <m/>
    <n v="6178"/>
    <n v="0"/>
    <n v="56831"/>
  </r>
  <r>
    <x v="13"/>
    <m/>
    <s v="Musikhuset"/>
    <n v="5271"/>
    <m/>
    <s v="Musikhuset"/>
    <x v="91"/>
    <x v="1"/>
    <x v="0"/>
    <n v="9221.7800000000007"/>
    <n v="5"/>
    <s v="2005-07-01"/>
    <n v="0"/>
    <n v="255"/>
    <n v="36.149666000000003"/>
    <n v="1"/>
    <x v="3"/>
    <n v="10476.469999999999"/>
    <n v="55550.22"/>
    <n v="1"/>
    <s v="4231383"/>
    <m/>
    <n v="264.31"/>
    <n v="0"/>
    <n v="58278"/>
  </r>
  <r>
    <x v="13"/>
    <m/>
    <s v="Musikhuset"/>
    <n v="5271"/>
    <m/>
    <s v="Musikhuset"/>
    <x v="91"/>
    <x v="1"/>
    <x v="1"/>
    <n v="16583.22"/>
    <n v="12"/>
    <s v="2005-07-01"/>
    <n v="0"/>
    <n v="255"/>
    <n v="65.006742000000003"/>
    <n v="1"/>
    <x v="3"/>
    <n v="18059.46"/>
    <n v="95.78"/>
    <n v="1"/>
    <s v="4231383"/>
    <m/>
    <n v="475.3"/>
    <n v="0"/>
    <n v="58278"/>
  </r>
  <r>
    <x v="13"/>
    <m/>
    <s v="Musikhuset"/>
    <n v="5271"/>
    <m/>
    <s v="Musikhuset"/>
    <x v="91"/>
    <x v="1"/>
    <x v="1"/>
    <n v="10795"/>
    <n v="12"/>
    <s v="2005-07-01"/>
    <n v="0"/>
    <n v="255"/>
    <n v="42.316738000000001"/>
    <n v="1"/>
    <x v="1"/>
    <n v="11191.66"/>
    <n v="2070.46"/>
    <n v="0"/>
    <s v="4231383"/>
    <m/>
    <n v="10795"/>
    <n v="0"/>
    <n v="56831"/>
  </r>
  <r>
    <x v="13"/>
    <m/>
    <s v="Musikhuset"/>
    <n v="5271"/>
    <m/>
    <s v="Musikhuset"/>
    <x v="91"/>
    <x v="1"/>
    <x v="2"/>
    <n v="22175.02"/>
    <n v="12"/>
    <s v="2005-07-01"/>
    <n v="0"/>
    <n v="255"/>
    <n v="86.926772999999997"/>
    <n v="1"/>
    <x v="3"/>
    <n v="23652"/>
    <n v="125.41"/>
    <n v="1"/>
    <s v="4231383"/>
    <m/>
    <n v="635.57000000000005"/>
    <n v="0"/>
    <n v="58278"/>
  </r>
  <r>
    <x v="13"/>
    <m/>
    <s v="Musikhuset"/>
    <n v="5271"/>
    <m/>
    <s v="Musikhuset"/>
    <x v="91"/>
    <x v="1"/>
    <x v="2"/>
    <n v="14606"/>
    <n v="12"/>
    <s v="2005-07-01"/>
    <n v="0"/>
    <n v="255"/>
    <n v="57.255977999999999"/>
    <n v="1"/>
    <x v="1"/>
    <n v="15795.3"/>
    <n v="2922.13"/>
    <n v="0"/>
    <s v="4231383"/>
    <m/>
    <n v="14606"/>
    <n v="0"/>
    <n v="56831"/>
  </r>
  <r>
    <x v="13"/>
    <m/>
    <s v="Musikhuset"/>
    <n v="5271"/>
    <m/>
    <s v="Musikhuset"/>
    <x v="91"/>
    <x v="1"/>
    <x v="3"/>
    <n v="13761"/>
    <n v="12"/>
    <s v="2005-07-01"/>
    <n v="0"/>
    <n v="255"/>
    <n v="53.943550999999999"/>
    <n v="1"/>
    <x v="1"/>
    <n v="15833.37"/>
    <n v="2929.16"/>
    <n v="0"/>
    <s v="4231383"/>
    <m/>
    <n v="13761"/>
    <n v="0"/>
    <n v="56831"/>
  </r>
  <r>
    <x v="13"/>
    <m/>
    <s v="Musikhuset"/>
    <n v="5271"/>
    <m/>
    <s v="Musikhuset"/>
    <x v="91"/>
    <x v="1"/>
    <x v="3"/>
    <n v="23829.5"/>
    <n v="12"/>
    <s v="2005-07-01"/>
    <n v="0"/>
    <n v="255"/>
    <n v="93.412386999999995"/>
    <n v="1"/>
    <x v="3"/>
    <n v="27709.45"/>
    <n v="146.94"/>
    <n v="1"/>
    <s v="4231383"/>
    <m/>
    <n v="682.99"/>
    <n v="0"/>
    <n v="58278"/>
  </r>
  <r>
    <x v="13"/>
    <m/>
    <s v="Musikhuset"/>
    <n v="5271"/>
    <m/>
    <s v="Musikhuset"/>
    <x v="91"/>
    <x v="1"/>
    <x v="4"/>
    <n v="15504"/>
    <n v="12"/>
    <s v="2005-07-01"/>
    <n v="0"/>
    <n v="255"/>
    <n v="60.776166000000003"/>
    <n v="1"/>
    <x v="1"/>
    <n v="13878.19"/>
    <n v="2567.46"/>
    <n v="0"/>
    <s v="4231383"/>
    <m/>
    <n v="15504"/>
    <n v="0"/>
    <n v="56831"/>
  </r>
  <r>
    <x v="13"/>
    <m/>
    <s v="Musikhuset"/>
    <n v="5271"/>
    <m/>
    <s v="Musikhuset"/>
    <x v="91"/>
    <x v="1"/>
    <x v="4"/>
    <n v="26041.88"/>
    <n v="12"/>
    <s v="2005-07-01"/>
    <n v="0"/>
    <n v="255"/>
    <n v="102.084986"/>
    <n v="1"/>
    <x v="3"/>
    <n v="23871.35"/>
    <n v="126.58"/>
    <n v="1"/>
    <s v="4231383"/>
    <m/>
    <n v="746.4"/>
    <n v="0"/>
    <n v="58278"/>
  </r>
  <r>
    <x v="13"/>
    <m/>
    <s v="Musikhuset"/>
    <n v="5271"/>
    <m/>
    <s v="Musikhuset"/>
    <x v="91"/>
    <x v="1"/>
    <x v="5"/>
    <n v="23107.63"/>
    <n v="12"/>
    <s v="2005-07-01"/>
    <n v="0"/>
    <n v="255"/>
    <n v="90.582633999999999"/>
    <n v="1"/>
    <x v="3"/>
    <n v="25665.66"/>
    <n v="136.07"/>
    <n v="1"/>
    <s v="4231383"/>
    <m/>
    <n v="662.3"/>
    <n v="0"/>
    <n v="58278"/>
  </r>
  <r>
    <x v="13"/>
    <m/>
    <s v="Musikhuset"/>
    <n v="5271"/>
    <m/>
    <s v="Musikhuset"/>
    <x v="91"/>
    <x v="1"/>
    <x v="5"/>
    <n v="17405"/>
    <n v="12"/>
    <s v="2005-07-01"/>
    <n v="0"/>
    <n v="255"/>
    <n v="68.228144999999998"/>
    <n v="1"/>
    <x v="1"/>
    <n v="18833.810000000001"/>
    <n v="3484.26"/>
    <n v="0"/>
    <s v="4231383"/>
    <m/>
    <n v="17405"/>
    <n v="0"/>
    <n v="56831"/>
  </r>
  <r>
    <x v="13"/>
    <m/>
    <s v="Musikhuset"/>
    <n v="5271"/>
    <m/>
    <s v="Musikhuset"/>
    <x v="91"/>
    <x v="1"/>
    <x v="6"/>
    <n v="23192.43"/>
    <n v="12"/>
    <s v="2005-07-01"/>
    <n v="0"/>
    <n v="255"/>
    <n v="90.915052000000003"/>
    <n v="1"/>
    <x v="3"/>
    <n v="27424.89"/>
    <n v="145.41"/>
    <n v="1"/>
    <s v="4231383"/>
    <m/>
    <n v="664.73"/>
    <n v="0"/>
    <n v="58278"/>
  </r>
  <r>
    <x v="13"/>
    <m/>
    <s v="Musikhuset"/>
    <n v="5271"/>
    <m/>
    <s v="Musikhuset"/>
    <x v="91"/>
    <x v="1"/>
    <x v="6"/>
    <n v="17628"/>
    <n v="12"/>
    <s v="2005-07-01"/>
    <n v="0"/>
    <n v="255"/>
    <n v="69.102311999999998"/>
    <n v="1"/>
    <x v="1"/>
    <n v="20646.14"/>
    <n v="3819.55"/>
    <n v="0"/>
    <s v="4231383"/>
    <m/>
    <n v="17628"/>
    <n v="0"/>
    <n v="56831"/>
  </r>
  <r>
    <x v="13"/>
    <m/>
    <s v="Musikhuset"/>
    <n v="5271"/>
    <m/>
    <s v="Musikhuset"/>
    <x v="56"/>
    <x v="1"/>
    <x v="1"/>
    <n v="10987.37"/>
    <n v="12"/>
    <s v="2005-07-01"/>
    <n v="0"/>
    <n v="255"/>
    <n v="43.070833999999998"/>
    <n v="2"/>
    <x v="2"/>
    <n v="10987.37"/>
    <n v="3296.18"/>
    <n v="0"/>
    <s v="814757"/>
    <m/>
    <n v="10987.365"/>
    <n v="0"/>
    <n v="56830"/>
  </r>
  <r>
    <x v="13"/>
    <m/>
    <s v="Musikhuset"/>
    <n v="5271"/>
    <m/>
    <s v="Musikhuset"/>
    <x v="56"/>
    <x v="1"/>
    <x v="2"/>
    <n v="12506.64"/>
    <n v="12"/>
    <s v="2005-07-01"/>
    <n v="0"/>
    <n v="255"/>
    <n v="49.026420999999999"/>
    <n v="2"/>
    <x v="2"/>
    <n v="12506.64"/>
    <n v="5002.66"/>
    <n v="0"/>
    <s v="814757"/>
    <m/>
    <n v="12506.64"/>
    <n v="0"/>
    <n v="56830"/>
  </r>
  <r>
    <x v="13"/>
    <m/>
    <s v="Musikhuset"/>
    <n v="5271"/>
    <m/>
    <s v="Musikhuset"/>
    <x v="56"/>
    <x v="1"/>
    <x v="3"/>
    <n v="15065.35"/>
    <n v="12"/>
    <s v="2005-07-01"/>
    <n v="0"/>
    <n v="255"/>
    <n v="59.056643999999999"/>
    <n v="2"/>
    <x v="2"/>
    <n v="15065.35"/>
    <n v="7065.65"/>
    <n v="0"/>
    <s v="814757"/>
    <m/>
    <n v="15065.34"/>
    <n v="0"/>
    <n v="56830"/>
  </r>
  <r>
    <x v="13"/>
    <m/>
    <s v="Musikhuset"/>
    <n v="5271"/>
    <m/>
    <s v="Musikhuset"/>
    <x v="56"/>
    <x v="1"/>
    <x v="4"/>
    <n v="12153.38"/>
    <n v="12"/>
    <s v="2005-07-01"/>
    <n v="0"/>
    <n v="255"/>
    <n v="47.641629999999999"/>
    <n v="2"/>
    <x v="2"/>
    <n v="12153.38"/>
    <n v="5699.94"/>
    <n v="0"/>
    <s v="814757"/>
    <m/>
    <n v="12153.39"/>
    <n v="0"/>
    <n v="56830"/>
  </r>
  <r>
    <x v="13"/>
    <m/>
    <s v="Værløse Bibliotek og Galaxen, BM48"/>
    <n v="14590"/>
    <s v="0"/>
    <s v="Galaksen"/>
    <x v="92"/>
    <x v="1"/>
    <x v="0"/>
    <n v="77361.600000000006"/>
    <n v="5"/>
    <m/>
    <n v="0"/>
    <n v="1048"/>
    <n v="73.811277000000004"/>
    <n v="1"/>
    <x v="3"/>
    <n v="87396.66"/>
    <n v="160.32"/>
    <n v="1"/>
    <s v="Galaxen 4903233"/>
    <m/>
    <n v="2217.3000000000002"/>
    <n v="76944"/>
    <n v="76945"/>
  </r>
  <r>
    <x v="13"/>
    <m/>
    <s v="Værløse Bibliotek og Galaxen, BM48"/>
    <n v="10125"/>
    <m/>
    <s v="Værløse Bibliotek"/>
    <x v="92"/>
    <x v="0"/>
    <x v="1"/>
    <n v="183070"/>
    <n v="12"/>
    <m/>
    <n v="0"/>
    <n v="2818"/>
    <n v="64.962208000000004"/>
    <n v="1"/>
    <x v="1"/>
    <n v="194046.52"/>
    <n v="12418.97"/>
    <n v="0"/>
    <s v="Bibliotek 902153"/>
    <m/>
    <n v="183070"/>
    <n v="0"/>
    <n v="76943"/>
  </r>
  <r>
    <x v="13"/>
    <m/>
    <s v="Værløse Bibliotek og Galaxen, BM48"/>
    <n v="10125"/>
    <m/>
    <s v="Værløse Bibliotek"/>
    <x v="92"/>
    <x v="0"/>
    <x v="1"/>
    <n v="11426.96"/>
    <n v="7"/>
    <s v="2014-12-02"/>
    <n v="0"/>
    <n v="2818"/>
    <n v="4.0548450000000003"/>
    <n v="2"/>
    <x v="2"/>
    <n v="11426.96"/>
    <n v="3428.11"/>
    <n v="1"/>
    <s v="Cafe, 2345026"/>
    <m/>
    <n v="11426.96"/>
    <n v="0"/>
    <n v="93977"/>
  </r>
  <r>
    <x v="13"/>
    <m/>
    <s v="Værløse Bibliotek og Galaxen, BM48"/>
    <n v="14590"/>
    <s v="0"/>
    <s v="Galaksen"/>
    <x v="92"/>
    <x v="1"/>
    <x v="1"/>
    <n v="233592.06"/>
    <n v="12"/>
    <m/>
    <n v="0"/>
    <n v="1048"/>
    <n v="222.87191999999999"/>
    <n v="1"/>
    <x v="3"/>
    <n v="241643.64"/>
    <n v="443.24"/>
    <n v="1"/>
    <s v="Galaxen 4903233"/>
    <m/>
    <n v="6695.1"/>
    <n v="76944"/>
    <n v="76945"/>
  </r>
  <r>
    <x v="13"/>
    <m/>
    <s v="Værløse Bibliotek og Galaxen, BM48"/>
    <n v="14590"/>
    <s v="0"/>
    <s v="Galaksen"/>
    <x v="92"/>
    <x v="1"/>
    <x v="2"/>
    <n v="238302.19"/>
    <n v="12"/>
    <m/>
    <n v="0"/>
    <n v="1048"/>
    <n v="227.36589000000001"/>
    <n v="1"/>
    <x v="3"/>
    <n v="263972.46999999997"/>
    <n v="1399.68"/>
    <n v="1"/>
    <s v="Galaxen 4903233"/>
    <m/>
    <n v="6830.1"/>
    <n v="76944"/>
    <n v="76945"/>
  </r>
  <r>
    <x v="13"/>
    <m/>
    <s v="Værløse Bibliotek og Galaxen, BM48"/>
    <n v="14590"/>
    <s v="0"/>
    <s v="Galaksen"/>
    <x v="92"/>
    <x v="0"/>
    <x v="2"/>
    <n v="149760"/>
    <n v="12"/>
    <m/>
    <n v="0"/>
    <n v="1048"/>
    <n v="142.88712899999999"/>
    <n v="1"/>
    <x v="1"/>
    <n v="163406.82999999999"/>
    <n v="30230.27"/>
    <n v="0"/>
    <s v="Galaxen 4903233"/>
    <m/>
    <n v="149760"/>
    <n v="0"/>
    <n v="76944"/>
  </r>
  <r>
    <x v="13"/>
    <m/>
    <s v="Værløse Bibliotek og Galaxen, BM48"/>
    <n v="14590"/>
    <s v="0"/>
    <s v="Galaksen"/>
    <x v="92"/>
    <x v="1"/>
    <x v="3"/>
    <n v="178301.85"/>
    <n v="12"/>
    <m/>
    <n v="0"/>
    <n v="1048"/>
    <n v="170.11912000000001"/>
    <n v="1"/>
    <x v="3"/>
    <n v="198080.21"/>
    <n v="1050.29"/>
    <n v="1"/>
    <s v="Galaxen 4903233"/>
    <m/>
    <n v="5110.3999999999996"/>
    <n v="76944"/>
    <n v="76945"/>
  </r>
  <r>
    <x v="13"/>
    <m/>
    <s v="Værløse Bibliotek og Galaxen, BM48"/>
    <n v="14590"/>
    <s v="0"/>
    <s v="Galaksen"/>
    <x v="92"/>
    <x v="0"/>
    <x v="3"/>
    <n v="138140"/>
    <n v="12"/>
    <m/>
    <n v="0"/>
    <n v="1048"/>
    <n v="131.8004"/>
    <n v="1"/>
    <x v="1"/>
    <n v="153176.73000000001"/>
    <n v="28337.69"/>
    <n v="0"/>
    <s v="Galaxen 4903233"/>
    <m/>
    <n v="138140"/>
    <n v="0"/>
    <n v="76944"/>
  </r>
  <r>
    <x v="13"/>
    <m/>
    <s v="Værløse Bibliotek og Galaxen, BM48"/>
    <n v="14590"/>
    <s v="0"/>
    <s v="Galaksen"/>
    <x v="92"/>
    <x v="0"/>
    <x v="4"/>
    <n v="156550"/>
    <n v="12"/>
    <m/>
    <n v="0"/>
    <n v="1048"/>
    <n v="149.36551800000001"/>
    <n v="1"/>
    <x v="1"/>
    <n v="142184.59"/>
    <n v="26304.15"/>
    <n v="0"/>
    <s v="Galaxen 4903233"/>
    <m/>
    <n v="156550"/>
    <n v="0"/>
    <n v="76944"/>
  </r>
  <r>
    <x v="13"/>
    <m/>
    <s v="Værløse Bibliotek og Galaxen, BM48"/>
    <n v="14590"/>
    <s v="0"/>
    <s v="Galaksen"/>
    <x v="92"/>
    <x v="1"/>
    <x v="4"/>
    <n v="259079.18"/>
    <n v="12"/>
    <m/>
    <n v="0"/>
    <n v="1048"/>
    <n v="247.18937099999999"/>
    <n v="1"/>
    <x v="3"/>
    <n v="236151.86"/>
    <n v="1252.18"/>
    <n v="1"/>
    <s v="Galaxen 4903233"/>
    <m/>
    <n v="7425.6"/>
    <n v="76944"/>
    <n v="76945"/>
  </r>
  <r>
    <x v="13"/>
    <m/>
    <s v="Værløse Bibliotek og Galaxen, BM48"/>
    <n v="14590"/>
    <s v="0"/>
    <s v="Galaksen"/>
    <x v="92"/>
    <x v="0"/>
    <x v="5"/>
    <n v="127880"/>
    <n v="12"/>
    <m/>
    <n v="0"/>
    <n v="1048"/>
    <n v="122.011258"/>
    <n v="1"/>
    <x v="1"/>
    <n v="136328.07"/>
    <n v="25220.69"/>
    <n v="0"/>
    <s v="Galaxen 4903233"/>
    <m/>
    <n v="127880"/>
    <n v="0"/>
    <n v="76944"/>
  </r>
  <r>
    <x v="13"/>
    <m/>
    <s v="Værløse Bibliotek og Galaxen, BM48"/>
    <n v="14590"/>
    <s v="0"/>
    <s v="Galaksen"/>
    <x v="92"/>
    <x v="1"/>
    <x v="5"/>
    <n v="286251.52000000002"/>
    <n v="12"/>
    <m/>
    <n v="0"/>
    <n v="1048"/>
    <n v="273.11470200000002"/>
    <n v="1"/>
    <x v="3"/>
    <n v="302876.03000000003"/>
    <n v="1605.96"/>
    <n v="1"/>
    <s v="Galaxen 4903233"/>
    <m/>
    <n v="8204.4"/>
    <n v="76944"/>
    <n v="76945"/>
  </r>
  <r>
    <x v="13"/>
    <m/>
    <s v="Værløse Bibliotek og Galaxen, BM48"/>
    <n v="14590"/>
    <s v="0"/>
    <s v="Galaksen"/>
    <x v="92"/>
    <x v="1"/>
    <x v="6"/>
    <n v="213045.33"/>
    <n v="12"/>
    <m/>
    <n v="0"/>
    <n v="1048"/>
    <n v="203.26813200000001"/>
    <n v="1"/>
    <x v="3"/>
    <n v="243959.08"/>
    <n v="1293.56"/>
    <n v="1"/>
    <s v="Galaxen 4903233"/>
    <m/>
    <n v="6106.2"/>
    <n v="76944"/>
    <n v="76945"/>
  </r>
  <r>
    <x v="13"/>
    <m/>
    <s v="Værløse Bibliotek og Galaxen, BM48"/>
    <n v="14590"/>
    <s v="0"/>
    <s v="Galaksen"/>
    <x v="92"/>
    <x v="0"/>
    <x v="6"/>
    <n v="18208.48"/>
    <n v="1"/>
    <s v="2008-01-29"/>
    <n v="0"/>
    <n v="1048"/>
    <n v="17.372845999999999"/>
    <n v="1"/>
    <x v="5"/>
    <n v="23348.68"/>
    <n v="4.32"/>
    <n v="0"/>
    <s v="Galaxen 492153"/>
    <m/>
    <n v="18.208480000000002"/>
    <n v="0"/>
    <n v="78918"/>
  </r>
  <r>
    <x v="13"/>
    <m/>
    <s v="Værløse Bibliotek og Galaxen, BM48"/>
    <n v="14590"/>
    <s v="0"/>
    <s v="Galaksen"/>
    <x v="92"/>
    <x v="0"/>
    <x v="6"/>
    <n v="100480"/>
    <n v="12"/>
    <m/>
    <n v="0"/>
    <n v="1048"/>
    <n v="95.868713999999997"/>
    <n v="1"/>
    <x v="1"/>
    <n v="114467.23"/>
    <n v="21176.45"/>
    <n v="0"/>
    <s v="Galaxen 4903233"/>
    <m/>
    <n v="100480"/>
    <n v="0"/>
    <n v="76944"/>
  </r>
  <r>
    <x v="13"/>
    <m/>
    <s v="Værløse Bibliotek og Galaxen, BM48"/>
    <n v="10125"/>
    <m/>
    <s v="Værløse Bibliotek"/>
    <x v="92"/>
    <x v="0"/>
    <x v="1"/>
    <n v="120473.14"/>
    <n v="12"/>
    <m/>
    <n v="0"/>
    <n v="2818"/>
    <n v="42.749774000000002"/>
    <n v="2"/>
    <x v="2"/>
    <n v="120473.14"/>
    <n v="36141.94"/>
    <n v="0"/>
    <s v="100530"/>
    <s v="74110486033"/>
    <n v="120473.13"/>
    <n v="0"/>
    <n v="76941"/>
  </r>
  <r>
    <x v="13"/>
    <m/>
    <s v="Værløse Bibliotek og Galaxen, BM48"/>
    <n v="10125"/>
    <m/>
    <s v="Værløse Bibliotek"/>
    <x v="92"/>
    <x v="1"/>
    <x v="0"/>
    <n v="160602.16"/>
    <n v="5"/>
    <m/>
    <n v="0"/>
    <n v="2818"/>
    <n v="56.989516999999999"/>
    <n v="1"/>
    <x v="3"/>
    <n v="184596.78"/>
    <n v="338.61"/>
    <n v="1"/>
    <s v="Bibliotek 902153"/>
    <m/>
    <n v="4603.1000000000004"/>
    <n v="76943"/>
    <n v="76946"/>
  </r>
  <r>
    <x v="13"/>
    <m/>
    <s v="Værløse Bibliotek og Galaxen, BM48"/>
    <n v="10125"/>
    <m/>
    <s v="Værløse Bibliotek"/>
    <x v="92"/>
    <x v="0"/>
    <x v="1"/>
    <n v="19048.16"/>
    <n v="5"/>
    <s v="2014-12-02"/>
    <n v="0"/>
    <n v="2818"/>
    <n v="6.75922"/>
    <n v="2"/>
    <x v="2"/>
    <n v="19048.16"/>
    <n v="5714.44"/>
    <n v="1"/>
    <s v="Cafekøkken"/>
    <m/>
    <n v="19048.149990000002"/>
    <n v="0"/>
    <n v="94453"/>
  </r>
  <r>
    <x v="13"/>
    <m/>
    <s v="Værløse Bibliotek og Galaxen, BM48"/>
    <n v="10125"/>
    <m/>
    <s v="Værløse Bibliotek"/>
    <x v="92"/>
    <x v="1"/>
    <x v="1"/>
    <n v="557036.30000000005"/>
    <n v="12"/>
    <m/>
    <n v="0"/>
    <n v="2818"/>
    <n v="197.66378"/>
    <n v="1"/>
    <x v="3"/>
    <n v="702245.57"/>
    <n v="1288.1600000000001"/>
    <n v="1"/>
    <s v="Bibliotek 902153"/>
    <m/>
    <n v="15965.5"/>
    <n v="76943"/>
    <n v="76946"/>
  </r>
  <r>
    <x v="13"/>
    <m/>
    <s v="Værløse Bibliotek og Galaxen, BM48"/>
    <n v="10125"/>
    <m/>
    <s v="Værløse Bibliotek"/>
    <x v="92"/>
    <x v="0"/>
    <x v="2"/>
    <n v="191850"/>
    <n v="12"/>
    <m/>
    <n v="0"/>
    <n v="2818"/>
    <n v="68.077781999999999"/>
    <n v="1"/>
    <x v="1"/>
    <n v="203362.34"/>
    <n v="37622.03"/>
    <n v="0"/>
    <s v="Bibliotek 902153"/>
    <m/>
    <n v="191850"/>
    <n v="0"/>
    <n v="76943"/>
  </r>
  <r>
    <x v="13"/>
    <m/>
    <s v="Værløse Bibliotek og Galaxen, BM48"/>
    <n v="10125"/>
    <m/>
    <s v="Værløse Bibliotek"/>
    <x v="92"/>
    <x v="1"/>
    <x v="2"/>
    <n v="541004.32999999996"/>
    <n v="12"/>
    <m/>
    <n v="0"/>
    <n v="2818"/>
    <n v="191.974851"/>
    <n v="1"/>
    <x v="3"/>
    <n v="591086.09"/>
    <n v="3134.16"/>
    <n v="1"/>
    <s v="Bibliotek 902153"/>
    <m/>
    <n v="15506"/>
    <n v="76943"/>
    <n v="76946"/>
  </r>
  <r>
    <x v="13"/>
    <m/>
    <s v="Værløse Bibliotek og Galaxen, BM48"/>
    <n v="10125"/>
    <m/>
    <s v="Værløse Bibliotek"/>
    <x v="92"/>
    <x v="0"/>
    <x v="3"/>
    <n v="184320"/>
    <n v="12"/>
    <m/>
    <n v="0"/>
    <n v="2818"/>
    <n v="65.405769000000006"/>
    <n v="1"/>
    <x v="1"/>
    <n v="203734.3"/>
    <n v="37690.839999999997"/>
    <n v="0"/>
    <s v="Bibliotek 902153"/>
    <m/>
    <n v="184320"/>
    <n v="0"/>
    <n v="76943"/>
  </r>
  <r>
    <x v="13"/>
    <m/>
    <s v="Værløse Bibliotek og Galaxen, BM48"/>
    <n v="10125"/>
    <m/>
    <s v="Værløse Bibliotek"/>
    <x v="92"/>
    <x v="1"/>
    <x v="3"/>
    <n v="255586.68"/>
    <n v="12"/>
    <m/>
    <n v="0"/>
    <n v="2818"/>
    <n v="90.694680000000005"/>
    <n v="1"/>
    <x v="3"/>
    <n v="280346.83"/>
    <n v="1486.51"/>
    <n v="1"/>
    <s v="Bibliotek 902153"/>
    <m/>
    <n v="7325.5"/>
    <n v="76943"/>
    <n v="76946"/>
  </r>
  <r>
    <x v="13"/>
    <m/>
    <s v="Værløse Bibliotek og Galaxen, BM48"/>
    <n v="10125"/>
    <m/>
    <s v="Værløse Bibliotek"/>
    <x v="92"/>
    <x v="0"/>
    <x v="4"/>
    <n v="251470"/>
    <n v="12"/>
    <m/>
    <n v="0"/>
    <n v="2818"/>
    <n v="89.233879999999999"/>
    <n v="1"/>
    <x v="1"/>
    <n v="227143.05"/>
    <n v="42021.47"/>
    <n v="0"/>
    <s v="Bibliotek 902153"/>
    <m/>
    <n v="251470"/>
    <n v="0"/>
    <n v="76943"/>
  </r>
  <r>
    <x v="13"/>
    <m/>
    <s v="Værløse Bibliotek og Galaxen, BM48"/>
    <n v="10125"/>
    <m/>
    <s v="Værløse Bibliotek"/>
    <x v="92"/>
    <x v="1"/>
    <x v="4"/>
    <n v="390680.78"/>
    <n v="12"/>
    <m/>
    <n v="0"/>
    <n v="2818"/>
    <n v="138.632688"/>
    <n v="1"/>
    <x v="3"/>
    <n v="354522.77"/>
    <n v="1879.81"/>
    <n v="1"/>
    <s v="Bibliotek 902153"/>
    <m/>
    <n v="11197.5"/>
    <n v="76943"/>
    <n v="76946"/>
  </r>
  <r>
    <x v="13"/>
    <m/>
    <s v="Værløse Bibliotek og Galaxen, BM48"/>
    <n v="10125"/>
    <m/>
    <s v="Værløse Bibliotek"/>
    <x v="92"/>
    <x v="0"/>
    <x v="5"/>
    <n v="191570"/>
    <n v="12"/>
    <m/>
    <n v="0"/>
    <n v="2818"/>
    <n v="67.978425000000001"/>
    <n v="1"/>
    <x v="1"/>
    <n v="203762.24"/>
    <n v="37696.03"/>
    <n v="0"/>
    <s v="Bibliotek 902153"/>
    <m/>
    <n v="191570"/>
    <n v="0"/>
    <n v="76943"/>
  </r>
  <r>
    <x v="13"/>
    <m/>
    <s v="Værløse Bibliotek og Galaxen, BM48"/>
    <n v="10125"/>
    <m/>
    <s v="Værløse Bibliotek"/>
    <x v="92"/>
    <x v="1"/>
    <x v="5"/>
    <n v="306222.55"/>
    <n v="12"/>
    <m/>
    <n v="0"/>
    <n v="2818"/>
    <n v="108.662769"/>
    <n v="1"/>
    <x v="3"/>
    <n v="325615.57"/>
    <n v="1726.53"/>
    <n v="1"/>
    <s v="Bibliotek 902153"/>
    <m/>
    <n v="8776.7999999999993"/>
    <n v="76943"/>
    <n v="76946"/>
  </r>
  <r>
    <x v="13"/>
    <m/>
    <s v="Værløse Bibliotek og Galaxen, BM48"/>
    <n v="10125"/>
    <m/>
    <s v="Værløse Bibliotek"/>
    <x v="92"/>
    <x v="0"/>
    <x v="6"/>
    <n v="23621.82"/>
    <n v="1"/>
    <s v="2008-01-29"/>
    <n v="0"/>
    <n v="2818"/>
    <n v="8.3821790000000007"/>
    <n v="1"/>
    <x v="5"/>
    <n v="30382.38"/>
    <n v="5.62"/>
    <n v="0"/>
    <s v="Bibliotek 902153"/>
    <m/>
    <n v="23.62182"/>
    <n v="0"/>
    <n v="78917"/>
  </r>
  <r>
    <x v="13"/>
    <m/>
    <s v="Værløse Bibliotek og Galaxen, BM48"/>
    <n v="10125"/>
    <m/>
    <s v="Værløse Bibliotek"/>
    <x v="92"/>
    <x v="0"/>
    <x v="6"/>
    <n v="161580"/>
    <n v="12"/>
    <m/>
    <n v="0"/>
    <n v="2818"/>
    <n v="57.336503"/>
    <n v="1"/>
    <x v="1"/>
    <n v="186149.29"/>
    <n v="34437.64"/>
    <n v="0"/>
    <s v="Bibliotek 902153"/>
    <m/>
    <n v="161580"/>
    <n v="0"/>
    <n v="76943"/>
  </r>
  <r>
    <x v="13"/>
    <m/>
    <s v="Værløse Bibliotek og Galaxen, BM48"/>
    <n v="10125"/>
    <m/>
    <s v="Værløse Bibliotek"/>
    <x v="92"/>
    <x v="1"/>
    <x v="6"/>
    <n v="256835.76"/>
    <n v="12"/>
    <m/>
    <n v="0"/>
    <n v="2818"/>
    <n v="91.137915000000007"/>
    <n v="1"/>
    <x v="3"/>
    <n v="297117.98"/>
    <n v="1575.42"/>
    <n v="1"/>
    <s v="Bibliotek 902153"/>
    <m/>
    <n v="7361.3"/>
    <n v="76943"/>
    <n v="76946"/>
  </r>
  <r>
    <x v="13"/>
    <m/>
    <s v="Kulturhuset Satelitten, BM46"/>
    <n v="9517"/>
    <m/>
    <s v="Kulturhuset Satelitten"/>
    <x v="89"/>
    <x v="1"/>
    <x v="7"/>
    <n v="141619.92000000001"/>
    <n v="12"/>
    <m/>
    <n v="0"/>
    <n v="784"/>
    <n v="180.61461499999999"/>
    <n v="1"/>
    <x v="3"/>
    <n v="166438.66"/>
    <n v="305.31"/>
    <n v="1"/>
    <m/>
    <m/>
    <n v="4059.04"/>
    <n v="74426"/>
    <n v="74427"/>
  </r>
  <r>
    <x v="13"/>
    <m/>
    <s v="Kulturhuset Satelitten, BM46"/>
    <n v="9517"/>
    <m/>
    <s v="Kulturhuset Satelitten"/>
    <x v="89"/>
    <x v="0"/>
    <x v="7"/>
    <n v="91.44"/>
    <n v="12"/>
    <m/>
    <n v="0"/>
    <n v="784"/>
    <n v="0.116617"/>
    <n v="3"/>
    <x v="0"/>
    <n v="91.44"/>
    <n v="73.150000000000006"/>
    <n v="0"/>
    <m/>
    <m/>
    <n v="91.436999999999998"/>
    <n v="0"/>
    <n v="74425"/>
  </r>
  <r>
    <x v="13"/>
    <m/>
    <s v="Kulturhuset Satelitten, BM46"/>
    <n v="9517"/>
    <m/>
    <s v="Kulturhuset Satelitten"/>
    <x v="89"/>
    <x v="0"/>
    <x v="7"/>
    <n v="72494"/>
    <n v="12"/>
    <m/>
    <n v="0"/>
    <n v="784"/>
    <n v="92.455043000000003"/>
    <n v="1"/>
    <x v="1"/>
    <n v="86237.94"/>
    <n v="5519.22"/>
    <n v="0"/>
    <m/>
    <m/>
    <n v="72494"/>
    <n v="0"/>
    <n v="74426"/>
  </r>
  <r>
    <x v="13"/>
    <m/>
    <s v="Kulturhuset Satelitten, BM46"/>
    <n v="9517"/>
    <m/>
    <s v="Kulturhuset Satelitten"/>
    <x v="89"/>
    <x v="0"/>
    <x v="7"/>
    <n v="8617.6299999999992"/>
    <n v="12"/>
    <m/>
    <n v="0"/>
    <n v="784"/>
    <n v="10.990473"/>
    <n v="2"/>
    <x v="2"/>
    <n v="8617.6299999999992"/>
    <n v="2585.27"/>
    <n v="0"/>
    <s v="14396244"/>
    <m/>
    <n v="8617.6201000000001"/>
    <n v="0"/>
    <n v="74424"/>
  </r>
  <r>
    <x v="13"/>
    <s v="04423-7"/>
    <s v="Kulturhuset, Stavns 3"/>
    <n v="5300"/>
    <m/>
    <s v="Kulturhuset"/>
    <x v="90"/>
    <x v="1"/>
    <x v="7"/>
    <n v="900828.41"/>
    <n v="12"/>
    <s v="2005-06-01"/>
    <n v="0"/>
    <n v="7375"/>
    <n v="122.14456800000001"/>
    <n v="1"/>
    <x v="3"/>
    <n v="1083814.53"/>
    <n v="2419247.46"/>
    <n v="1"/>
    <s v="4107843 aut"/>
    <m/>
    <n v="25819.1"/>
    <n v="0"/>
    <n v="56990"/>
  </r>
  <r>
    <x v="13"/>
    <s v="04423-7"/>
    <s v="Kulturhuset, Stavns 3"/>
    <n v="5300"/>
    <m/>
    <s v="Kulturhuset"/>
    <x v="90"/>
    <x v="0"/>
    <x v="7"/>
    <n v="790621"/>
    <n v="12"/>
    <s v="2005-06-01"/>
    <n v="0"/>
    <n v="7375"/>
    <n v="107.201393"/>
    <n v="1"/>
    <x v="1"/>
    <n v="1012676.02"/>
    <n v="75126657.980000004"/>
    <n v="0"/>
    <s v="4107843 aut"/>
    <m/>
    <n v="790620.99985999998"/>
    <n v="0"/>
    <n v="56974"/>
  </r>
  <r>
    <x v="13"/>
    <s v="04423-7"/>
    <s v="Kulturhuset, Stavns 3"/>
    <n v="5300"/>
    <m/>
    <s v="Kulturhuset"/>
    <x v="90"/>
    <x v="0"/>
    <x v="7"/>
    <n v="175150.81"/>
    <n v="12"/>
    <s v="2005-06-01"/>
    <n v="0"/>
    <n v="7375"/>
    <n v="23.748940000000001"/>
    <n v="2"/>
    <x v="2"/>
    <n v="175150.81"/>
    <n v="70060.320000000007"/>
    <n v="0"/>
    <s v="360164"/>
    <s v="741 1145 9616"/>
    <n v="175150.81"/>
    <n v="0"/>
    <n v="56967"/>
  </r>
  <r>
    <x v="13"/>
    <s v="04423-7"/>
    <s v="Kulturhuset, Stavns 3"/>
    <n v="5300"/>
    <m/>
    <s v="Kulturhuset"/>
    <x v="90"/>
    <x v="0"/>
    <x v="0"/>
    <n v="1138"/>
    <n v="5"/>
    <m/>
    <n v="0"/>
    <n v="7375"/>
    <n v="6.6049999999999998E-2"/>
    <n v="3"/>
    <x v="0"/>
    <n v="487.13"/>
    <n v="389.72"/>
    <n v="0"/>
    <s v="BK 24126636"/>
    <m/>
    <n v="487.13600000000002"/>
    <n v="0"/>
    <n v="56969"/>
  </r>
  <r>
    <x v="13"/>
    <s v="04423-7"/>
    <s v="Kulturhuset, Stavns 3"/>
    <n v="5300"/>
    <m/>
    <s v="Kulturhuset"/>
    <x v="90"/>
    <x v="0"/>
    <x v="0"/>
    <m/>
    <n v="5"/>
    <s v="2013-10-31"/>
    <n v="0"/>
    <n v="7375"/>
    <n v="1.369E-3"/>
    <n v="3"/>
    <x v="0"/>
    <n v="10.1"/>
    <n v="8.08"/>
    <n v="0"/>
    <s v="BK 99600686"/>
    <m/>
    <n v="10.1"/>
    <n v="0"/>
    <n v="56972"/>
  </r>
  <r>
    <x v="13"/>
    <s v="04423-7"/>
    <s v="Kulturhuset, Stavns 3"/>
    <n v="5300"/>
    <m/>
    <s v="Kulturhuset"/>
    <x v="90"/>
    <x v="0"/>
    <x v="0"/>
    <m/>
    <n v="5"/>
    <m/>
    <n v="0"/>
    <n v="7375"/>
    <n v="3.1549999999999998E-3"/>
    <n v="3"/>
    <x v="0"/>
    <n v="23.27"/>
    <n v="18.600000000000001"/>
    <n v="1"/>
    <s v="BV 24126631"/>
    <m/>
    <n v="23.265999999999998"/>
    <n v="0"/>
    <n v="56992"/>
  </r>
  <r>
    <x v="13"/>
    <m/>
    <s v="Musikhuset"/>
    <n v="5271"/>
    <m/>
    <s v="Musikhuset"/>
    <x v="56"/>
    <x v="1"/>
    <x v="5"/>
    <n v="11214.91"/>
    <n v="12"/>
    <s v="2005-07-01"/>
    <n v="0"/>
    <n v="255"/>
    <n v="43.962797999999999"/>
    <n v="2"/>
    <x v="2"/>
    <n v="11214.91"/>
    <n v="5259.78"/>
    <n v="0"/>
    <s v="814757"/>
    <m/>
    <n v="11214.9"/>
    <n v="0"/>
    <n v="56830"/>
  </r>
  <r>
    <x v="13"/>
    <m/>
    <s v="Musikhuset"/>
    <n v="5271"/>
    <m/>
    <s v="Musikhuset"/>
    <x v="56"/>
    <x v="1"/>
    <x v="6"/>
    <n v="10926.88"/>
    <n v="12"/>
    <s v="2005-07-01"/>
    <n v="0"/>
    <n v="255"/>
    <n v="42.833711999999998"/>
    <n v="2"/>
    <x v="2"/>
    <n v="10926.88"/>
    <n v="5124.6899999999996"/>
    <n v="0"/>
    <s v="814757"/>
    <m/>
    <n v="10926.885"/>
    <n v="0"/>
    <n v="56830"/>
  </r>
  <r>
    <x v="4"/>
    <s v="1737"/>
    <s v="Musikskolen KV36"/>
    <n v="13660"/>
    <m/>
    <s v="Musikskolen"/>
    <x v="56"/>
    <x v="0"/>
    <x v="6"/>
    <n v="12325.68"/>
    <n v="1"/>
    <s v="2014-04-30"/>
    <n v="0"/>
    <n v="532"/>
    <n v="23.164217000000001"/>
    <n v="2"/>
    <x v="2"/>
    <n v="12325.68"/>
    <n v="5780.75"/>
    <n v="0"/>
    <s v="1018671-38070"/>
    <s v="74115437542"/>
    <n v="12325.700930000001"/>
    <n v="0"/>
    <n v="91247"/>
  </r>
  <r>
    <x v="13"/>
    <s v="04323-0"/>
    <s v="Billen, Stavns 5"/>
    <n v="6071"/>
    <m/>
    <s v="Billen"/>
    <x v="87"/>
    <x v="0"/>
    <x v="0"/>
    <n v="3924"/>
    <n v="5"/>
    <s v="2012-03-31"/>
    <n v="0"/>
    <n v="222"/>
    <n v="7.2968929999999999"/>
    <n v="2"/>
    <x v="2"/>
    <n v="1620.64"/>
    <n v="648.25"/>
    <n v="0"/>
    <s v="228690"/>
    <s v="74112196275"/>
    <n v="1620.6320000000001"/>
    <n v="0"/>
    <n v="60882"/>
  </r>
  <r>
    <x v="13"/>
    <s v="04323-0"/>
    <s v="Billen, Stavns 5"/>
    <n v="6071"/>
    <m/>
    <s v="Billen"/>
    <x v="87"/>
    <x v="0"/>
    <x v="1"/>
    <n v="8235.68"/>
    <n v="12"/>
    <s v="2012-03-31"/>
    <n v="0"/>
    <n v="222"/>
    <n v="37.080953999999998"/>
    <n v="2"/>
    <x v="2"/>
    <n v="8235.68"/>
    <n v="3294.29"/>
    <n v="0"/>
    <s v="228690"/>
    <s v="74112196275"/>
    <n v="8235.69"/>
    <n v="0"/>
    <n v="60882"/>
  </r>
  <r>
    <x v="13"/>
    <s v="04323-0"/>
    <s v="Billen, Stavns 5"/>
    <n v="6071"/>
    <m/>
    <s v="Billen"/>
    <x v="87"/>
    <x v="0"/>
    <x v="2"/>
    <n v="7026.95"/>
    <n v="13"/>
    <s v="2012-03-31"/>
    <n v="0"/>
    <n v="222"/>
    <n v="31.638676"/>
    <n v="2"/>
    <x v="2"/>
    <n v="7026.95"/>
    <n v="2810.79"/>
    <n v="0"/>
    <s v="228690"/>
    <s v="74112196275"/>
    <n v="7026.9534199999998"/>
    <n v="0"/>
    <n v="60882"/>
  </r>
  <r>
    <x v="13"/>
    <s v="04323-0"/>
    <s v="Billen, Stavns 5"/>
    <n v="6071"/>
    <m/>
    <s v="Billen"/>
    <x v="87"/>
    <x v="0"/>
    <x v="3"/>
    <n v="4970.7299999999996"/>
    <n v="4"/>
    <s v="2012-03-31"/>
    <n v="0"/>
    <n v="222"/>
    <n v="22.380593999999999"/>
    <n v="2"/>
    <x v="2"/>
    <n v="4970.7299999999996"/>
    <n v="2331.27"/>
    <n v="0"/>
    <s v="228690"/>
    <s v="74112196275"/>
    <n v="4970.7285899999997"/>
    <n v="0"/>
    <n v="60882"/>
  </r>
  <r>
    <x v="13"/>
    <s v="04323-0"/>
    <s v="Billen, Stavns 5"/>
    <n v="6071"/>
    <m/>
    <s v="Billen"/>
    <x v="87"/>
    <x v="0"/>
    <x v="4"/>
    <n v="8830.6200000000008"/>
    <n v="5"/>
    <s v="2012-03-31"/>
    <n v="0"/>
    <n v="222"/>
    <n v="39.759656999999997"/>
    <n v="2"/>
    <x v="2"/>
    <n v="8830.6200000000008"/>
    <n v="4141.5600000000004"/>
    <n v="0"/>
    <s v="228690"/>
    <s v="74112196275"/>
    <n v="8830.6249800000005"/>
    <n v="0"/>
    <n v="60882"/>
  </r>
  <r>
    <x v="13"/>
    <s v="04323-0"/>
    <s v="Billen, Stavns 5"/>
    <n v="6071"/>
    <m/>
    <s v="Billen"/>
    <x v="87"/>
    <x v="0"/>
    <x v="5"/>
    <n v="4617.54"/>
    <n v="7"/>
    <s v="2012-03-31"/>
    <n v="0"/>
    <n v="222"/>
    <n v="20.790364"/>
    <n v="2"/>
    <x v="2"/>
    <n v="4617.54"/>
    <n v="2165.61"/>
    <n v="0"/>
    <s v="228690"/>
    <s v="74112196275"/>
    <n v="4617.5271599999996"/>
    <n v="0"/>
    <n v="60882"/>
  </r>
  <r>
    <x v="13"/>
    <s v="04323-0"/>
    <s v="Billen, Stavns 5"/>
    <n v="6071"/>
    <m/>
    <s v="Billen"/>
    <x v="87"/>
    <x v="0"/>
    <x v="6"/>
    <n v="4480.91"/>
    <n v="6"/>
    <s v="2012-03-31"/>
    <n v="0"/>
    <n v="222"/>
    <n v="20.175191000000002"/>
    <n v="2"/>
    <x v="2"/>
    <n v="4480.91"/>
    <n v="2101.5500000000002"/>
    <n v="0"/>
    <s v="228690"/>
    <s v="74112196275"/>
    <n v="4480.9292100000002"/>
    <n v="0"/>
    <n v="60882"/>
  </r>
  <r>
    <x v="13"/>
    <m/>
    <s v="Hareskov Bibliotek"/>
    <n v="10191"/>
    <m/>
    <s v="Hareskov Bibliotek"/>
    <x v="88"/>
    <x v="1"/>
    <x v="0"/>
    <n v="11430"/>
    <n v="5"/>
    <m/>
    <n v="0"/>
    <n v="711"/>
    <n v="6.7445639999999996"/>
    <n v="2"/>
    <x v="2"/>
    <n v="4796.0600000000004"/>
    <n v="1438.82"/>
    <n v="0"/>
    <m/>
    <m/>
    <n v="4796.0603000000001"/>
    <n v="0"/>
    <n v="77256"/>
  </r>
  <r>
    <x v="13"/>
    <m/>
    <s v="Hareskov Bibliotek"/>
    <n v="10191"/>
    <m/>
    <s v="Hareskov Bibliotek"/>
    <x v="88"/>
    <x v="1"/>
    <x v="1"/>
    <n v="24268.13"/>
    <n v="12"/>
    <m/>
    <n v="0"/>
    <n v="711"/>
    <n v="34.127591000000002"/>
    <n v="2"/>
    <x v="2"/>
    <n v="24268.13"/>
    <n v="7280.44"/>
    <n v="0"/>
    <m/>
    <m/>
    <n v="24268.13"/>
    <n v="0"/>
    <n v="77256"/>
  </r>
  <r>
    <x v="13"/>
    <m/>
    <s v="Hareskov Bibliotek"/>
    <n v="10191"/>
    <m/>
    <s v="Hareskov Bibliotek"/>
    <x v="88"/>
    <x v="1"/>
    <x v="2"/>
    <n v="19742.47"/>
    <n v="12"/>
    <m/>
    <n v="0"/>
    <n v="711"/>
    <n v="27.763282"/>
    <n v="2"/>
    <x v="2"/>
    <n v="19742.47"/>
    <n v="7896.99"/>
    <n v="0"/>
    <m/>
    <m/>
    <n v="19742.48"/>
    <n v="0"/>
    <n v="77256"/>
  </r>
  <r>
    <x v="13"/>
    <m/>
    <s v="Hareskov Bibliotek"/>
    <n v="10191"/>
    <m/>
    <s v="Hareskov Bibliotek"/>
    <x v="88"/>
    <x v="1"/>
    <x v="3"/>
    <n v="14139.5"/>
    <n v="12"/>
    <m/>
    <n v="0"/>
    <n v="711"/>
    <n v="19.883982"/>
    <n v="2"/>
    <x v="2"/>
    <n v="14139.5"/>
    <n v="6631.42"/>
    <n v="0"/>
    <m/>
    <m/>
    <n v="14139.499900000001"/>
    <n v="0"/>
    <n v="77256"/>
  </r>
  <r>
    <x v="13"/>
    <m/>
    <s v="Hareskov Bibliotek"/>
    <n v="10191"/>
    <m/>
    <s v="Hareskov Bibliotek"/>
    <x v="88"/>
    <x v="1"/>
    <x v="4"/>
    <n v="15337.26"/>
    <n v="12"/>
    <m/>
    <n v="0"/>
    <n v="711"/>
    <n v="21.568358"/>
    <n v="2"/>
    <x v="2"/>
    <n v="15337.26"/>
    <n v="7193.17"/>
    <n v="0"/>
    <m/>
    <m/>
    <n v="15337.258599999999"/>
    <n v="0"/>
    <n v="77256"/>
  </r>
  <r>
    <x v="13"/>
    <m/>
    <s v="Hareskov Bibliotek"/>
    <n v="10191"/>
    <m/>
    <s v="Hareskov Bibliotek"/>
    <x v="88"/>
    <x v="1"/>
    <x v="5"/>
    <n v="15727.98"/>
    <n v="12"/>
    <m/>
    <n v="0"/>
    <n v="711"/>
    <n v="22.117816999999999"/>
    <n v="2"/>
    <x v="2"/>
    <n v="15727.98"/>
    <n v="7376.43"/>
    <n v="0"/>
    <m/>
    <m/>
    <n v="15727.978999999999"/>
    <n v="0"/>
    <n v="77256"/>
  </r>
  <r>
    <x v="13"/>
    <m/>
    <s v="Hareskov Bibliotek"/>
    <n v="10191"/>
    <m/>
    <s v="Hareskov Bibliotek"/>
    <x v="88"/>
    <x v="1"/>
    <x v="6"/>
    <n v="13634.12"/>
    <n v="12"/>
    <m/>
    <n v="0"/>
    <n v="711"/>
    <n v="19.173279999999998"/>
    <n v="2"/>
    <x v="2"/>
    <n v="13634.12"/>
    <n v="6394.41"/>
    <n v="0"/>
    <m/>
    <m/>
    <n v="13634.12"/>
    <n v="0"/>
    <n v="77256"/>
  </r>
  <r>
    <x v="13"/>
    <m/>
    <s v="Kulturhuset Satelitten, BM46"/>
    <n v="9517"/>
    <m/>
    <s v="Kulturhuset Satelitten"/>
    <x v="89"/>
    <x v="0"/>
    <x v="0"/>
    <n v="8728"/>
    <n v="5"/>
    <m/>
    <n v="0"/>
    <n v="784"/>
    <n v="5.0714569999999997"/>
    <n v="2"/>
    <x v="2"/>
    <n v="3976.53"/>
    <n v="1192.95"/>
    <n v="0"/>
    <s v="14396244"/>
    <m/>
    <n v="3976.5239000000001"/>
    <n v="0"/>
    <n v="74424"/>
  </r>
  <r>
    <x v="13"/>
    <m/>
    <s v="Kulturhuset Satelitten, BM46"/>
    <n v="9517"/>
    <m/>
    <s v="Kulturhuset Satelitten"/>
    <x v="89"/>
    <x v="0"/>
    <x v="1"/>
    <n v="9634.75"/>
    <n v="12"/>
    <m/>
    <n v="0"/>
    <n v="784"/>
    <n v="12.287654"/>
    <n v="2"/>
    <x v="2"/>
    <n v="9634.75"/>
    <n v="2890.46"/>
    <n v="0"/>
    <s v="14396244"/>
    <m/>
    <n v="9634.7690000000002"/>
    <n v="0"/>
    <n v="74424"/>
  </r>
  <r>
    <x v="13"/>
    <m/>
    <s v="Kulturhuset Satelitten, BM46"/>
    <n v="9517"/>
    <m/>
    <s v="Kulturhuset Satelitten"/>
    <x v="89"/>
    <x v="0"/>
    <x v="2"/>
    <n v="11652.15"/>
    <n v="12"/>
    <m/>
    <n v="0"/>
    <n v="784"/>
    <n v="14.86054"/>
    <n v="2"/>
    <x v="2"/>
    <n v="11652.15"/>
    <n v="4660.8500000000004"/>
    <n v="0"/>
    <s v="14396244"/>
    <m/>
    <n v="11652.1425"/>
    <n v="0"/>
    <n v="74424"/>
  </r>
  <r>
    <x v="13"/>
    <m/>
    <s v="Kulturhuset Satelitten, BM46"/>
    <n v="9517"/>
    <m/>
    <s v="Kulturhuset Satelitten"/>
    <x v="89"/>
    <x v="0"/>
    <x v="3"/>
    <n v="10606.52"/>
    <n v="12"/>
    <m/>
    <n v="0"/>
    <n v="784"/>
    <n v="13.526999"/>
    <n v="2"/>
    <x v="2"/>
    <n v="10606.52"/>
    <n v="4974.4399999999996"/>
    <n v="0"/>
    <s v="14396244"/>
    <m/>
    <n v="10606.511500000001"/>
    <n v="0"/>
    <n v="74424"/>
  </r>
  <r>
    <x v="13"/>
    <m/>
    <s v="Kulturhuset Satelitten, BM46"/>
    <n v="9517"/>
    <m/>
    <s v="Kulturhuset Satelitten"/>
    <x v="89"/>
    <x v="0"/>
    <x v="4"/>
    <n v="8894.84"/>
    <n v="12"/>
    <m/>
    <n v="0"/>
    <n v="784"/>
    <n v="11.344011999999999"/>
    <n v="2"/>
    <x v="2"/>
    <n v="8894.84"/>
    <n v="4171.6499999999996"/>
    <n v="0"/>
    <s v="14396244"/>
    <m/>
    <n v="8894.8215999999993"/>
    <n v="0"/>
    <n v="74424"/>
  </r>
  <r>
    <x v="13"/>
    <m/>
    <s v="Kulturhuset Satelitten, BM46"/>
    <n v="9517"/>
    <m/>
    <s v="Kulturhuset Satelitten"/>
    <x v="89"/>
    <x v="0"/>
    <x v="5"/>
    <n v="10683.87"/>
    <n v="12"/>
    <m/>
    <n v="0"/>
    <n v="784"/>
    <n v="13.625647000000001"/>
    <n v="2"/>
    <x v="2"/>
    <n v="10683.87"/>
    <n v="5010.7"/>
    <n v="0"/>
    <s v="14396244"/>
    <m/>
    <n v="10683.8622"/>
    <n v="0"/>
    <n v="74424"/>
  </r>
  <r>
    <x v="13"/>
    <m/>
    <s v="Kulturhuset Satelitten, BM46"/>
    <n v="9517"/>
    <m/>
    <s v="Kulturhuset Satelitten"/>
    <x v="89"/>
    <x v="0"/>
    <x v="6"/>
    <n v="14111.19"/>
    <n v="12"/>
    <m/>
    <n v="0"/>
    <n v="784"/>
    <n v="17.996670999999999"/>
    <n v="2"/>
    <x v="2"/>
    <n v="14111.19"/>
    <n v="6618.14"/>
    <n v="0"/>
    <s v="14396244"/>
    <m/>
    <n v="14111.1875"/>
    <n v="0"/>
    <n v="74424"/>
  </r>
  <r>
    <x v="13"/>
    <s v="04423-7"/>
    <s v="Kulturhuset, Stavns 3"/>
    <n v="5300"/>
    <m/>
    <s v="Kulturhuset"/>
    <x v="90"/>
    <x v="0"/>
    <x v="0"/>
    <n v="757546"/>
    <n v="5"/>
    <s v="2005-06-01"/>
    <n v="0"/>
    <n v="7375"/>
    <n v="59.180213999999999"/>
    <n v="1"/>
    <x v="1"/>
    <n v="925711"/>
    <n v="95843312.599999994"/>
    <n v="0"/>
    <s v="4107843 aut"/>
    <m/>
    <n v="436460"/>
    <n v="0"/>
    <n v="56974"/>
  </r>
  <r>
    <x v="13"/>
    <s v="04423-7"/>
    <s v="Kulturhuset, Stavns 3"/>
    <n v="5300"/>
    <m/>
    <s v="Kulturhuset"/>
    <x v="90"/>
    <x v="0"/>
    <x v="0"/>
    <n v="127841"/>
    <n v="5"/>
    <s v="2005-06-01"/>
    <n v="0"/>
    <n v="7375"/>
    <n v="8.2334150000000008"/>
    <n v="2"/>
    <x v="2"/>
    <n v="60722.26"/>
    <n v="24288.9"/>
    <n v="0"/>
    <s v="360164"/>
    <s v="741 1145 9616"/>
    <n v="60722.26"/>
    <n v="0"/>
    <n v="56967"/>
  </r>
  <r>
    <x v="13"/>
    <s v="04423-7"/>
    <s v="Kulturhuset, Stavns 3"/>
    <n v="5300"/>
    <m/>
    <s v="Kulturhuset"/>
    <x v="90"/>
    <x v="0"/>
    <x v="2"/>
    <n v="300655.03999999998"/>
    <n v="12"/>
    <s v="2005-06-01"/>
    <n v="0"/>
    <n v="7375"/>
    <n v="40.766232000000002"/>
    <n v="2"/>
    <x v="2"/>
    <n v="300655.03999999998"/>
    <n v="120262.01"/>
    <n v="0"/>
    <s v="360164"/>
    <s v="741 1145 9616"/>
    <n v="300655.03999999998"/>
    <n v="0"/>
    <n v="56967"/>
  </r>
  <r>
    <x v="13"/>
    <s v="04423-7"/>
    <s v="Kulturhuset, Stavns 3"/>
    <n v="5300"/>
    <m/>
    <s v="Kulturhuset"/>
    <x v="90"/>
    <x v="0"/>
    <x v="3"/>
    <n v="283081.15999999997"/>
    <n v="12"/>
    <s v="2005-06-01"/>
    <n v="0"/>
    <n v="7375"/>
    <n v="38.383364999999998"/>
    <n v="2"/>
    <x v="2"/>
    <n v="283081.15999999997"/>
    <n v="132765.07999999999"/>
    <n v="0"/>
    <s v="360164"/>
    <s v="741 1145 9616"/>
    <n v="283081.15999999997"/>
    <n v="0"/>
    <n v="56967"/>
  </r>
  <r>
    <x v="13"/>
    <s v="04423-7"/>
    <s v="Kulturhuset, Stavns 3"/>
    <n v="5300"/>
    <m/>
    <s v="Kulturhuset"/>
    <x v="90"/>
    <x v="0"/>
    <x v="4"/>
    <n v="322591.24"/>
    <n v="12"/>
    <s v="2005-06-01"/>
    <n v="0"/>
    <n v="7375"/>
    <n v="43.740591000000002"/>
    <n v="2"/>
    <x v="2"/>
    <n v="322591.24"/>
    <n v="151295.29999999999"/>
    <n v="0"/>
    <s v="360164"/>
    <s v="741 1145 9616"/>
    <n v="322591.24"/>
    <n v="0"/>
    <n v="56967"/>
  </r>
  <r>
    <x v="13"/>
    <s v="04423-7"/>
    <s v="Kulturhuset, Stavns 3"/>
    <n v="5300"/>
    <m/>
    <s v="Kulturhuset"/>
    <x v="90"/>
    <x v="0"/>
    <x v="5"/>
    <n v="311880.76"/>
    <n v="12"/>
    <s v="2005-06-01"/>
    <n v="0"/>
    <n v="7375"/>
    <n v="42.288342999999998"/>
    <n v="2"/>
    <x v="2"/>
    <n v="311880.76"/>
    <n v="146272.07"/>
    <n v="0"/>
    <s v="360164"/>
    <s v="741 1145 9616"/>
    <n v="311880.76"/>
    <n v="0"/>
    <n v="56967"/>
  </r>
  <r>
    <x v="13"/>
    <s v="04423-7"/>
    <s v="Kulturhuset, Stavns 3"/>
    <n v="5300"/>
    <m/>
    <s v="Kulturhuset"/>
    <x v="90"/>
    <x v="0"/>
    <x v="6"/>
    <n v="363484"/>
    <n v="12"/>
    <s v="2005-06-01"/>
    <n v="0"/>
    <n v="7375"/>
    <n v="49.285297"/>
    <n v="2"/>
    <x v="2"/>
    <n v="363484"/>
    <n v="170473.99"/>
    <n v="0"/>
    <s v="360164"/>
    <s v="741 1145 9616"/>
    <n v="363484"/>
    <n v="0"/>
    <n v="56967"/>
  </r>
  <r>
    <x v="4"/>
    <s v="1737"/>
    <s v="Musikskolen KV36"/>
    <n v="13660"/>
    <m/>
    <s v="Musikskolen"/>
    <x v="56"/>
    <x v="0"/>
    <x v="5"/>
    <n v="11660.3"/>
    <n v="1"/>
    <s v="2014-04-30"/>
    <n v="0"/>
    <n v="532"/>
    <n v="21.913737999999999"/>
    <n v="2"/>
    <x v="2"/>
    <n v="11660.3"/>
    <n v="5468.68"/>
    <n v="0"/>
    <s v="1018671-38070"/>
    <s v="74115437542"/>
    <n v="11660.28853"/>
    <n v="0"/>
    <n v="91247"/>
  </r>
  <r>
    <x v="4"/>
    <s v="1737"/>
    <s v="Musikskolen KV36"/>
    <n v="13660"/>
    <m/>
    <s v="Musikskolen"/>
    <x v="56"/>
    <x v="0"/>
    <x v="4"/>
    <n v="10646.06"/>
    <n v="1"/>
    <s v="2014-04-30"/>
    <n v="0"/>
    <n v="532"/>
    <n v="20.007629999999999"/>
    <n v="2"/>
    <x v="2"/>
    <n v="10646.06"/>
    <n v="4992.99"/>
    <n v="0"/>
    <s v="1018671-38070"/>
    <s v="74115437542"/>
    <n v="10646.03926"/>
    <n v="0"/>
    <n v="91247"/>
  </r>
  <r>
    <x v="4"/>
    <s v="1737"/>
    <s v="Musikskolen KV36"/>
    <n v="13660"/>
    <m/>
    <s v="Musikskolen"/>
    <x v="56"/>
    <x v="0"/>
    <x v="3"/>
    <n v="9604.3799999999992"/>
    <n v="1"/>
    <s v="2014-04-30"/>
    <n v="0"/>
    <n v="532"/>
    <n v="18.049952999999999"/>
    <n v="2"/>
    <x v="2"/>
    <n v="9604.3799999999992"/>
    <n v="4504.51"/>
    <n v="0"/>
    <s v="1018671-38070"/>
    <s v="74115437542"/>
    <n v="9604.4035600000007"/>
    <n v="0"/>
    <n v="91247"/>
  </r>
  <r>
    <x v="4"/>
    <s v="1737"/>
    <s v="Musikskolen KV36"/>
    <n v="13660"/>
    <m/>
    <s v="Musikskolen"/>
    <x v="56"/>
    <x v="0"/>
    <x v="2"/>
    <n v="8037.29"/>
    <n v="3"/>
    <s v="2014-04-30"/>
    <n v="0"/>
    <n v="532"/>
    <n v="15.104848"/>
    <n v="2"/>
    <x v="2"/>
    <n v="8037.29"/>
    <n v="3214.92"/>
    <n v="0"/>
    <s v="1018671-38070"/>
    <s v="74115437542"/>
    <n v="8037.2933300000004"/>
    <n v="0"/>
    <n v="91247"/>
  </r>
  <r>
    <x v="4"/>
    <s v="1737"/>
    <s v="Musikskolen KV36"/>
    <n v="13660"/>
    <m/>
    <s v="Musikskolen"/>
    <x v="56"/>
    <x v="0"/>
    <x v="1"/>
    <n v="12.89"/>
    <n v="3"/>
    <s v="2013-12-19"/>
    <n v="0"/>
    <n v="532"/>
    <n v="2.4223999999999999E-2"/>
    <n v="3"/>
    <x v="0"/>
    <n v="12.89"/>
    <n v="10.31"/>
    <n v="1"/>
    <s v="BI 866130"/>
    <m/>
    <n v="12.89"/>
    <n v="0"/>
    <n v="91248"/>
  </r>
  <r>
    <x v="4"/>
    <s v="1737"/>
    <s v="Musikskolen KV36"/>
    <n v="13660"/>
    <m/>
    <s v="Musikskolen"/>
    <x v="56"/>
    <x v="1"/>
    <x v="1"/>
    <n v="4273.3"/>
    <n v="4"/>
    <s v="2014-04-30"/>
    <n v="0"/>
    <n v="532"/>
    <n v="8.0310089999999992"/>
    <n v="1"/>
    <x v="5"/>
    <n v="5237.01"/>
    <n v="335.17"/>
    <n v="1"/>
    <s v="4673727"/>
    <m/>
    <n v="4.2732999999999999"/>
    <n v="0"/>
    <n v="94331"/>
  </r>
  <r>
    <x v="4"/>
    <s v="1737"/>
    <s v="Musikskolen KV36"/>
    <n v="13660"/>
    <m/>
    <s v="Musikskolen"/>
    <x v="56"/>
    <x v="1"/>
    <x v="1"/>
    <n v="16042.38"/>
    <n v="4"/>
    <s v="2014-04-30"/>
    <n v="0"/>
    <n v="532"/>
    <n v="30.149182"/>
    <n v="1"/>
    <x v="5"/>
    <n v="18794.14"/>
    <n v="1202.83"/>
    <n v="1"/>
    <s v="4664092"/>
    <m/>
    <n v="16.042380000000001"/>
    <n v="0"/>
    <n v="94332"/>
  </r>
  <r>
    <x v="4"/>
    <s v="1737"/>
    <s v="Musikskolen KV36"/>
    <n v="13660"/>
    <m/>
    <s v="Musikskolen"/>
    <x v="56"/>
    <x v="0"/>
    <x v="1"/>
    <n v="7643.68"/>
    <n v="6"/>
    <s v="2014-04-30"/>
    <n v="0"/>
    <n v="532"/>
    <n v="14.365119"/>
    <n v="2"/>
    <x v="2"/>
    <n v="7643.68"/>
    <n v="2293.09"/>
    <n v="0"/>
    <s v="1018671-38070"/>
    <s v="74115437542"/>
    <n v="7643.6547600000004"/>
    <n v="0"/>
    <n v="91247"/>
  </r>
  <r>
    <x v="4"/>
    <s v="1737"/>
    <s v="Musikskolen KV36"/>
    <n v="13660"/>
    <m/>
    <s v="Musikskolen"/>
    <x v="56"/>
    <x v="0"/>
    <x v="7"/>
    <n v="8007.35"/>
    <n v="11"/>
    <s v="2014-04-30"/>
    <n v="0"/>
    <n v="532"/>
    <n v="15.048581"/>
    <n v="2"/>
    <x v="2"/>
    <n v="8007.35"/>
    <n v="2402.21"/>
    <n v="0"/>
    <s v="1018671-38070"/>
    <s v="74115437542"/>
    <n v="8007.3570399999999"/>
    <n v="0"/>
    <n v="91247"/>
  </r>
  <r>
    <x v="4"/>
    <s v="1737"/>
    <s v="Musikskolen KV36"/>
    <n v="13660"/>
    <m/>
    <s v="Musikskolen"/>
    <x v="56"/>
    <x v="1"/>
    <x v="7"/>
    <n v="14643.66"/>
    <n v="11"/>
    <s v="2014-04-30"/>
    <n v="0"/>
    <n v="532"/>
    <n v="27.520503000000001"/>
    <n v="1"/>
    <x v="5"/>
    <n v="17891.5"/>
    <n v="1145.05"/>
    <n v="1"/>
    <s v="4673727"/>
    <m/>
    <n v="14.643660000000001"/>
    <n v="0"/>
    <n v="94331"/>
  </r>
  <r>
    <x v="4"/>
    <s v="1737"/>
    <s v="Musikskolen KV36"/>
    <n v="13660"/>
    <m/>
    <s v="Musikskolen"/>
    <x v="56"/>
    <x v="1"/>
    <x v="7"/>
    <n v="43447.32"/>
    <n v="11"/>
    <s v="2014-04-30"/>
    <n v="0"/>
    <n v="532"/>
    <n v="81.652546000000001"/>
    <n v="1"/>
    <x v="5"/>
    <n v="52816.87"/>
    <n v="3380.29"/>
    <n v="1"/>
    <s v="4664092"/>
    <m/>
    <n v="43.447319999999998"/>
    <n v="0"/>
    <n v="94332"/>
  </r>
  <r>
    <x v="4"/>
    <s v="1737"/>
    <s v="Musikskolen KV36"/>
    <n v="13660"/>
    <m/>
    <s v="Musikskolen"/>
    <x v="56"/>
    <x v="1"/>
    <x v="0"/>
    <n v="12816.03"/>
    <n v="5"/>
    <s v="2014-04-30"/>
    <n v="0"/>
    <n v="532"/>
    <n v="24.085754000000001"/>
    <n v="1"/>
    <x v="5"/>
    <n v="14471.21"/>
    <n v="926.16"/>
    <n v="1"/>
    <s v="4673727"/>
    <m/>
    <n v="12.81603"/>
    <n v="0"/>
    <n v="94331"/>
  </r>
  <r>
    <x v="4"/>
    <s v="1737"/>
    <s v="Musikskolen KV36"/>
    <n v="13660"/>
    <m/>
    <s v="Musikskolen"/>
    <x v="56"/>
    <x v="1"/>
    <x v="0"/>
    <n v="32950.300000000003"/>
    <n v="5"/>
    <s v="2014-04-30"/>
    <n v="0"/>
    <n v="532"/>
    <n v="61.925013999999997"/>
    <n v="1"/>
    <x v="5"/>
    <n v="37439.769999999997"/>
    <n v="2396.14"/>
    <n v="1"/>
    <s v="4664092"/>
    <m/>
    <n v="32.950299999999999"/>
    <n v="0"/>
    <n v="94332"/>
  </r>
  <r>
    <x v="4"/>
    <m/>
    <s v="Sygeplejeklinik Paltholm 13"/>
    <n v="14571"/>
    <s v="0"/>
    <s v="Sygeplejeklinik Paltholm 13"/>
    <x v="93"/>
    <x v="0"/>
    <x v="1"/>
    <n v="11897.73"/>
    <n v="0"/>
    <s v="2014-11-12"/>
    <n v="0"/>
    <n v="0"/>
    <n v="118977.3"/>
    <n v="2"/>
    <x v="2"/>
    <n v="11897.73"/>
    <n v="3569.34"/>
    <n v="0"/>
    <s v="530060"/>
    <s v="74112010823"/>
    <n v="11897.76007"/>
    <n v="0"/>
    <n v="95279"/>
  </r>
  <r>
    <x v="13"/>
    <m/>
    <s v="Værløse Bibliotek og Galaxen, BM48"/>
    <n v="10125"/>
    <m/>
    <s v="Værløse Bibliotek"/>
    <x v="92"/>
    <x v="0"/>
    <x v="7"/>
    <n v="468.3"/>
    <n v="12"/>
    <m/>
    <n v="0"/>
    <n v="2818"/>
    <n v="0.16617499999999999"/>
    <n v="3"/>
    <x v="0"/>
    <n v="468.3"/>
    <n v="374.63"/>
    <n v="0"/>
    <s v="02PC501282"/>
    <m/>
    <n v="468.29899999999998"/>
    <n v="0"/>
    <n v="76942"/>
  </r>
  <r>
    <x v="13"/>
    <m/>
    <s v="Værløse Bibliotek og Galaxen, BM48"/>
    <n v="14590"/>
    <s v="0"/>
    <s v="Galaksen"/>
    <x v="92"/>
    <x v="0"/>
    <x v="7"/>
    <n v="122250"/>
    <n v="12"/>
    <m/>
    <n v="0"/>
    <n v="1048"/>
    <n v="116.639633"/>
    <n v="1"/>
    <x v="1"/>
    <n v="151611.21"/>
    <n v="9703.1200000000008"/>
    <n v="0"/>
    <s v="Galaxen 4903233"/>
    <m/>
    <n v="122250"/>
    <n v="0"/>
    <n v="76944"/>
  </r>
  <r>
    <x v="13"/>
    <m/>
    <s v="Værløse Bibliotek og Galaxen, BM48"/>
    <n v="10125"/>
    <m/>
    <s v="Værløse Bibliotek"/>
    <x v="92"/>
    <x v="0"/>
    <x v="7"/>
    <n v="168540"/>
    <n v="12"/>
    <m/>
    <n v="0"/>
    <n v="2818"/>
    <n v="59.806252000000001"/>
    <n v="1"/>
    <x v="1"/>
    <n v="204640.45"/>
    <n v="13096.99"/>
    <n v="0"/>
    <s v="Bibliotek 902153"/>
    <m/>
    <n v="168540"/>
    <n v="0"/>
    <n v="76943"/>
  </r>
  <r>
    <x v="13"/>
    <m/>
    <s v="Værløse Bibliotek og Galaxen, BM48"/>
    <n v="10125"/>
    <m/>
    <s v="Værløse Bibliotek"/>
    <x v="92"/>
    <x v="0"/>
    <x v="7"/>
    <n v="114490.4"/>
    <n v="12"/>
    <m/>
    <n v="0"/>
    <n v="2818"/>
    <n v="40.626804999999997"/>
    <n v="2"/>
    <x v="2"/>
    <n v="114490.4"/>
    <n v="34347.14"/>
    <n v="0"/>
    <s v="100530"/>
    <s v="74110486033"/>
    <n v="114490.39599999999"/>
    <n v="0"/>
    <n v="76941"/>
  </r>
  <r>
    <x v="13"/>
    <m/>
    <s v="Værløse Bibliotek og Galaxen, BM48"/>
    <n v="10125"/>
    <m/>
    <s v="Værløse Bibliotek"/>
    <x v="92"/>
    <x v="0"/>
    <x v="2"/>
    <n v="224242.07"/>
    <n v="12"/>
    <m/>
    <n v="0"/>
    <n v="2818"/>
    <n v="79.572075999999996"/>
    <n v="2"/>
    <x v="2"/>
    <n v="224242.07"/>
    <n v="89696.82"/>
    <n v="0"/>
    <s v="100530"/>
    <s v="74110486033"/>
    <n v="224242.06599999999"/>
    <n v="0"/>
    <n v="76941"/>
  </r>
  <r>
    <x v="13"/>
    <m/>
    <s v="Værløse Bibliotek og Galaxen, BM48"/>
    <n v="10125"/>
    <m/>
    <s v="Værløse Bibliotek"/>
    <x v="92"/>
    <x v="0"/>
    <x v="3"/>
    <n v="220823.35"/>
    <n v="12"/>
    <m/>
    <n v="0"/>
    <n v="2818"/>
    <n v="78.358947000000001"/>
    <n v="2"/>
    <x v="2"/>
    <n v="220823.35"/>
    <n v="103566.16"/>
    <n v="0"/>
    <s v="100530"/>
    <s v="74110486033"/>
    <n v="220823.35"/>
    <n v="0"/>
    <n v="76941"/>
  </r>
  <r>
    <x v="13"/>
    <m/>
    <s v="Værløse Bibliotek og Galaxen, BM48"/>
    <n v="10125"/>
    <m/>
    <s v="Værløse Bibliotek"/>
    <x v="92"/>
    <x v="0"/>
    <x v="4"/>
    <n v="232691.51"/>
    <n v="12"/>
    <m/>
    <n v="0"/>
    <n v="2818"/>
    <n v="82.570352"/>
    <n v="2"/>
    <x v="2"/>
    <n v="232691.51"/>
    <n v="109132.32"/>
    <n v="0"/>
    <s v="100530"/>
    <s v="74110486033"/>
    <n v="232691.51"/>
    <n v="0"/>
    <n v="76941"/>
  </r>
  <r>
    <x v="13"/>
    <m/>
    <s v="Værløse Bibliotek og Galaxen, BM48"/>
    <n v="10125"/>
    <m/>
    <s v="Værløse Bibliotek"/>
    <x v="92"/>
    <x v="0"/>
    <x v="5"/>
    <n v="226076.19"/>
    <n v="12"/>
    <m/>
    <n v="0"/>
    <n v="2818"/>
    <n v="80.222911999999994"/>
    <n v="2"/>
    <x v="2"/>
    <n v="226076.19"/>
    <n v="106029.74"/>
    <n v="0"/>
    <s v="100530"/>
    <s v="74110486033"/>
    <n v="226076.19"/>
    <n v="0"/>
    <n v="76941"/>
  </r>
  <r>
    <x v="13"/>
    <m/>
    <s v="Værløse Bibliotek og Galaxen, BM48"/>
    <n v="10125"/>
    <m/>
    <s v="Værløse Bibliotek"/>
    <x v="92"/>
    <x v="0"/>
    <x v="6"/>
    <n v="158929.26999999999"/>
    <n v="12"/>
    <m/>
    <n v="0"/>
    <n v="2818"/>
    <n v="56.395893999999998"/>
    <n v="2"/>
    <x v="2"/>
    <n v="158929.26999999999"/>
    <n v="74537.820000000007"/>
    <n v="0"/>
    <s v="100530"/>
    <s v="74110486033"/>
    <n v="158929.272"/>
    <n v="0"/>
    <n v="76941"/>
  </r>
  <r>
    <x v="13"/>
    <m/>
    <s v="Værløse Bibliotek og Galaxen, BM48"/>
    <n v="10125"/>
    <m/>
    <s v="Værløse Bibliotek"/>
    <x v="92"/>
    <x v="0"/>
    <x v="6"/>
    <n v="43644"/>
    <n v="2"/>
    <s v="2008-02-27"/>
    <n v="0"/>
    <n v="2818"/>
    <n v="15.487030000000001"/>
    <n v="2"/>
    <x v="2"/>
    <n v="43644"/>
    <n v="20469.04"/>
    <n v="0"/>
    <s v="47113606"/>
    <m/>
    <n v="43644"/>
    <n v="0"/>
    <n v="78853"/>
  </r>
  <r>
    <x v="13"/>
    <m/>
    <s v="Værløse Bibliotek og Galaxen, BM48"/>
    <n v="10125"/>
    <m/>
    <s v="Værløse Bibliotek"/>
    <x v="92"/>
    <x v="0"/>
    <x v="6"/>
    <n v="26520"/>
    <n v="2"/>
    <s v="2008-03-31"/>
    <n v="0"/>
    <n v="2818"/>
    <n v="9.4105950000000007"/>
    <n v="2"/>
    <x v="2"/>
    <n v="26520"/>
    <n v="12437.88"/>
    <n v="0"/>
    <s v="100530"/>
    <m/>
    <n v="26520"/>
    <n v="0"/>
    <n v="78916"/>
  </r>
  <r>
    <x v="13"/>
    <m/>
    <s v="Værløse Bibliotek og Galaxen, BM48"/>
    <n v="14590"/>
    <s v="0"/>
    <s v="Galaksen"/>
    <x v="92"/>
    <x v="1"/>
    <x v="7"/>
    <n v="145606.43"/>
    <n v="12"/>
    <m/>
    <n v="0"/>
    <n v="1048"/>
    <n v="138.92417699999999"/>
    <n v="1"/>
    <x v="3"/>
    <n v="180789.15"/>
    <n v="331.63"/>
    <n v="1"/>
    <s v="Galaxen 4903233"/>
    <m/>
    <n v="4173.3"/>
    <n v="76944"/>
    <n v="76945"/>
  </r>
  <r>
    <x v="13"/>
    <m/>
    <s v="Værløse Bibliotek og Galaxen, BM48"/>
    <n v="10125"/>
    <m/>
    <s v="Værløse Bibliotek"/>
    <x v="92"/>
    <x v="1"/>
    <x v="7"/>
    <n v="229705.3"/>
    <n v="12"/>
    <m/>
    <n v="0"/>
    <n v="2818"/>
    <n v="81.510698000000005"/>
    <n v="1"/>
    <x v="3"/>
    <n v="276205.40999999997"/>
    <n v="506.65"/>
    <n v="1"/>
    <s v="Bibliotek 902153"/>
    <m/>
    <n v="6583.6998999999996"/>
    <n v="76943"/>
    <n v="76946"/>
  </r>
  <r>
    <x v="13"/>
    <m/>
    <s v="Værløse Bibliotek og Galaxen, BM48"/>
    <n v="10125"/>
    <m/>
    <s v="Værløse Bibliotek"/>
    <x v="92"/>
    <x v="0"/>
    <x v="7"/>
    <n v="4910.04"/>
    <n v="6"/>
    <s v="2014-12-02"/>
    <n v="0"/>
    <n v="2818"/>
    <n v="1.7423219999999999"/>
    <n v="2"/>
    <x v="2"/>
    <n v="4910.04"/>
    <n v="1473.02"/>
    <n v="1"/>
    <s v="Cafe, 2345026"/>
    <m/>
    <n v="4910.0399900000002"/>
    <n v="0"/>
    <n v="93977"/>
  </r>
  <r>
    <x v="13"/>
    <m/>
    <s v="Værløse Bibliotek og Galaxen, BM48"/>
    <n v="10125"/>
    <m/>
    <s v="Værløse Bibliotek"/>
    <x v="92"/>
    <x v="0"/>
    <x v="7"/>
    <n v="13858.84"/>
    <n v="6"/>
    <s v="2014-12-02"/>
    <n v="0"/>
    <n v="2818"/>
    <n v="4.9177949999999999"/>
    <n v="2"/>
    <x v="2"/>
    <n v="13858.84"/>
    <n v="4157.66"/>
    <n v="1"/>
    <s v="Cafekøkken"/>
    <m/>
    <n v="13858.85"/>
    <n v="0"/>
    <n v="94453"/>
  </r>
  <r>
    <x v="13"/>
    <m/>
    <s v="Værløse Bibliotek og Galaxen, BM48"/>
    <n v="10125"/>
    <m/>
    <s v="Værløse Bibliotek"/>
    <x v="92"/>
    <x v="0"/>
    <x v="0"/>
    <n v="445"/>
    <n v="5"/>
    <m/>
    <n v="0"/>
    <n v="2818"/>
    <n v="6.5969E-2"/>
    <n v="3"/>
    <x v="0"/>
    <n v="185.91"/>
    <n v="148.72999999999999"/>
    <n v="0"/>
    <s v="02PC501282"/>
    <m/>
    <n v="185.91499999999999"/>
    <n v="0"/>
    <n v="76942"/>
  </r>
  <r>
    <x v="13"/>
    <m/>
    <s v="Værløse Bibliotek og Galaxen, BM48"/>
    <n v="14590"/>
    <s v="0"/>
    <s v="Galaksen"/>
    <x v="92"/>
    <x v="0"/>
    <x v="0"/>
    <n v="136500"/>
    <n v="5"/>
    <m/>
    <n v="0"/>
    <n v="1048"/>
    <n v="69.153706"/>
    <n v="1"/>
    <x v="1"/>
    <n v="159479"/>
    <n v="5228.99"/>
    <n v="0"/>
    <s v="Galaxen 4903233"/>
    <m/>
    <n v="72480"/>
    <n v="0"/>
    <n v="76944"/>
  </r>
  <r>
    <x v="13"/>
    <m/>
    <s v="Værløse Bibliotek og Galaxen, BM48"/>
    <n v="10125"/>
    <m/>
    <s v="Værløse Bibliotek"/>
    <x v="92"/>
    <x v="0"/>
    <x v="0"/>
    <n v="190910"/>
    <n v="5"/>
    <m/>
    <n v="0"/>
    <n v="2818"/>
    <n v="39.984386000000001"/>
    <n v="1"/>
    <x v="1"/>
    <n v="225801"/>
    <n v="8234.68"/>
    <n v="0"/>
    <s v="Bibliotek 902153"/>
    <m/>
    <n v="112680"/>
    <n v="0"/>
    <n v="76943"/>
  </r>
  <r>
    <x v="13"/>
    <m/>
    <s v="Værløse Bibliotek og Galaxen, BM48"/>
    <n v="10125"/>
    <m/>
    <s v="Værløse Bibliotek"/>
    <x v="92"/>
    <x v="0"/>
    <x v="0"/>
    <n v="117226"/>
    <n v="5"/>
    <m/>
    <n v="0"/>
    <n v="2818"/>
    <n v="16.237997"/>
    <n v="2"/>
    <x v="2"/>
    <n v="45760.3"/>
    <n v="13728.09"/>
    <n v="0"/>
    <s v="100530"/>
    <s v="74110486033"/>
    <n v="45760.303999999996"/>
    <n v="0"/>
    <n v="76941"/>
  </r>
  <r>
    <x v="13"/>
    <m/>
    <s v="Musikhuset"/>
    <n v="5271"/>
    <m/>
    <s v="Musikhuset"/>
    <x v="91"/>
    <x v="1"/>
    <x v="7"/>
    <n v="14606.7"/>
    <n v="12"/>
    <s v="2005-07-01"/>
    <n v="0"/>
    <n v="255"/>
    <n v="57.258721999999999"/>
    <n v="1"/>
    <x v="3"/>
    <n v="17737.07"/>
    <n v="39649.589999999997"/>
    <n v="1"/>
    <s v="4231383"/>
    <m/>
    <n v="418.65"/>
    <n v="0"/>
    <n v="58278"/>
  </r>
  <r>
    <x v="13"/>
    <m/>
    <s v="Musikhuset"/>
    <n v="5271"/>
    <m/>
    <s v="Musikhuset"/>
    <x v="91"/>
    <x v="1"/>
    <x v="7"/>
    <n v="45.47"/>
    <n v="12"/>
    <s v="2005-07-01"/>
    <n v="0"/>
    <n v="255"/>
    <n v="0.17824300000000001"/>
    <n v="3"/>
    <x v="0"/>
    <n v="45.47"/>
    <n v="36.369999999999997"/>
    <n v="0"/>
    <s v="04016499"/>
    <m/>
    <n v="45.459000000000003"/>
    <n v="0"/>
    <n v="56832"/>
  </r>
  <r>
    <x v="13"/>
    <m/>
    <s v="Musikhuset"/>
    <n v="5271"/>
    <m/>
    <s v="Musikhuset"/>
    <x v="91"/>
    <x v="1"/>
    <x v="7"/>
    <n v="9700"/>
    <n v="12"/>
    <s v="2005-07-01"/>
    <n v="0"/>
    <n v="255"/>
    <n v="38.024304000000001"/>
    <n v="1"/>
    <x v="1"/>
    <n v="11899.11"/>
    <n v="725648.57"/>
    <n v="0"/>
    <s v="4231383"/>
    <m/>
    <n v="9700"/>
    <n v="0"/>
    <n v="56831"/>
  </r>
  <r>
    <x v="13"/>
    <m/>
    <s v="Musikhuset"/>
    <n v="5271"/>
    <m/>
    <s v="Musikhuset"/>
    <x v="91"/>
    <x v="1"/>
    <x v="7"/>
    <n v="11341.11"/>
    <n v="12"/>
    <s v="2005-07-01"/>
    <n v="0"/>
    <n v="255"/>
    <n v="44.457506000000002"/>
    <n v="2"/>
    <x v="2"/>
    <n v="11341.11"/>
    <n v="3402.32"/>
    <n v="0"/>
    <s v="814757"/>
    <m/>
    <n v="11341.125"/>
    <n v="0"/>
    <n v="56830"/>
  </r>
  <r>
    <x v="10"/>
    <s v="9985"/>
    <s v="Cornelen Stavnsholtvej 186"/>
    <n v="13662"/>
    <m/>
    <s v="Cornelen"/>
    <x v="94"/>
    <x v="0"/>
    <x v="7"/>
    <n v="0.52"/>
    <n v="4"/>
    <s v="2014-12-11"/>
    <n v="0"/>
    <n v="129"/>
    <n v="4.0270000000000002E-3"/>
    <n v="3"/>
    <x v="0"/>
    <n v="0.52"/>
    <n v="0.41"/>
    <n v="0"/>
    <s v="95142416"/>
    <m/>
    <n v="0.51766000000000001"/>
    <n v="0"/>
    <n v="91252"/>
  </r>
  <r>
    <x v="10"/>
    <s v="9985"/>
    <s v="Cornelen Stavnsholtvej 186"/>
    <n v="13662"/>
    <m/>
    <s v="Cornelen"/>
    <x v="94"/>
    <x v="0"/>
    <x v="1"/>
    <n v="20430.37"/>
    <n v="8"/>
    <s v="2013-11-30"/>
    <n v="0"/>
    <n v="129"/>
    <n v="158.252285"/>
    <n v="2"/>
    <x v="2"/>
    <n v="20430.37"/>
    <n v="6129.11"/>
    <n v="0"/>
    <s v="4213311"/>
    <s v="74111477986"/>
    <n v="20430.36289"/>
    <n v="0"/>
    <n v="91251"/>
  </r>
  <r>
    <x v="10"/>
    <s v="9985"/>
    <s v="Cornelen Stavnsholtvej 186"/>
    <n v="13662"/>
    <m/>
    <s v="Cornelen"/>
    <x v="94"/>
    <x v="0"/>
    <x v="1"/>
    <n v="1.1599999999999999"/>
    <n v="5"/>
    <s v="2014-12-11"/>
    <n v="0"/>
    <n v="129"/>
    <n v="8.9849999999999999E-3"/>
    <n v="3"/>
    <x v="0"/>
    <n v="1.1599999999999999"/>
    <n v="0.91"/>
    <n v="0"/>
    <s v="95142416"/>
    <m/>
    <n v="1.15676"/>
    <n v="0"/>
    <n v="91252"/>
  </r>
  <r>
    <x v="10"/>
    <s v="9985"/>
    <s v="Cornelen Stavnsholtvej 186"/>
    <n v="13662"/>
    <m/>
    <s v="Cornelen"/>
    <x v="94"/>
    <x v="0"/>
    <x v="2"/>
    <n v="1.1499999999999999"/>
    <n v="2"/>
    <s v="2014-12-11"/>
    <n v="0"/>
    <n v="129"/>
    <n v="8.907E-3"/>
    <n v="3"/>
    <x v="0"/>
    <n v="1.1499999999999999"/>
    <n v="0.94"/>
    <n v="0"/>
    <s v="95142416"/>
    <m/>
    <n v="1.1620200000000001"/>
    <n v="0"/>
    <n v="91252"/>
  </r>
  <r>
    <x v="10"/>
    <s v="9985"/>
    <s v="Cornelen Stavnsholtvej 186"/>
    <n v="13662"/>
    <m/>
    <s v="Cornelen"/>
    <x v="94"/>
    <x v="0"/>
    <x v="3"/>
    <n v="0.95"/>
    <n v="0"/>
    <s v="2014-12-11"/>
    <n v="0"/>
    <n v="129"/>
    <n v="7.358E-3"/>
    <n v="3"/>
    <x v="0"/>
    <n v="0.95"/>
    <n v="0.72"/>
    <n v="0"/>
    <s v="95142416"/>
    <m/>
    <n v="0.93959999999999999"/>
    <n v="0"/>
    <n v="91252"/>
  </r>
  <r>
    <x v="10"/>
    <s v="9985"/>
    <s v="Cornelen Stavnsholtvej 186"/>
    <n v="13662"/>
    <m/>
    <s v="Cornelen"/>
    <x v="94"/>
    <x v="0"/>
    <x v="4"/>
    <n v="0.95"/>
    <n v="0"/>
    <s v="2014-12-11"/>
    <n v="0"/>
    <n v="129"/>
    <n v="7.358E-3"/>
    <n v="3"/>
    <x v="0"/>
    <n v="0.95"/>
    <n v="0.72"/>
    <n v="0"/>
    <s v="95142416"/>
    <m/>
    <n v="0.93959999999999999"/>
    <n v="0"/>
    <n v="91252"/>
  </r>
  <r>
    <x v="10"/>
    <s v="9985"/>
    <s v="Cornelen Stavnsholtvej 186"/>
    <n v="13662"/>
    <m/>
    <s v="Cornelen"/>
    <x v="94"/>
    <x v="0"/>
    <x v="5"/>
    <n v="0.95"/>
    <n v="0"/>
    <s v="2014-12-11"/>
    <n v="0"/>
    <n v="129"/>
    <n v="7.358E-3"/>
    <n v="3"/>
    <x v="0"/>
    <n v="0.95"/>
    <n v="0.72"/>
    <n v="0"/>
    <s v="95142416"/>
    <m/>
    <n v="0.93959999999999999"/>
    <n v="0"/>
    <n v="91252"/>
  </r>
  <r>
    <x v="10"/>
    <s v="9985"/>
    <s v="Cornelen Stavnsholtvej 186"/>
    <n v="13662"/>
    <m/>
    <s v="Cornelen"/>
    <x v="94"/>
    <x v="0"/>
    <x v="6"/>
    <n v="0.95"/>
    <n v="0"/>
    <s v="2014-12-11"/>
    <n v="0"/>
    <n v="129"/>
    <n v="7.358E-3"/>
    <n v="3"/>
    <x v="0"/>
    <n v="0.95"/>
    <n v="0.72"/>
    <n v="0"/>
    <s v="95142416"/>
    <m/>
    <n v="0.94216999999999995"/>
    <n v="0"/>
    <n v="91252"/>
  </r>
  <r>
    <x v="10"/>
    <m/>
    <s v="Mosegården Skovgårds Alle 37"/>
    <n v="10228"/>
    <m/>
    <s v="Mosegården"/>
    <x v="95"/>
    <x v="0"/>
    <x v="0"/>
    <n v="24"/>
    <n v="5"/>
    <s v="2009-12-31"/>
    <n v="0"/>
    <n v="605"/>
    <n v="1.8013000000000001E-2"/>
    <n v="3"/>
    <x v="0"/>
    <n v="10.9"/>
    <n v="8.7200000000000006"/>
    <n v="0"/>
    <s v="44266"/>
    <m/>
    <n v="10.9"/>
    <n v="0"/>
    <n v="77474"/>
  </r>
  <r>
    <x v="10"/>
    <m/>
    <s v="Mosegården Skovgårds Alle 37"/>
    <n v="10228"/>
    <m/>
    <s v="Mosegården"/>
    <x v="95"/>
    <x v="0"/>
    <x v="1"/>
    <n v="34.9"/>
    <n v="12"/>
    <s v="2009-12-31"/>
    <n v="0"/>
    <n v="605"/>
    <n v="5.7675999999999998E-2"/>
    <n v="3"/>
    <x v="0"/>
    <n v="34.9"/>
    <n v="27.92"/>
    <n v="0"/>
    <s v="44266"/>
    <m/>
    <n v="34.9"/>
    <n v="0"/>
    <n v="77474"/>
  </r>
  <r>
    <x v="10"/>
    <m/>
    <s v="Mosegården Skovgårds Alle 37"/>
    <n v="10228"/>
    <m/>
    <s v="Mosegården"/>
    <x v="95"/>
    <x v="0"/>
    <x v="2"/>
    <n v="27.2"/>
    <n v="12"/>
    <s v="2009-12-31"/>
    <n v="0"/>
    <n v="605"/>
    <n v="4.4950999999999998E-2"/>
    <n v="3"/>
    <x v="0"/>
    <n v="27.2"/>
    <n v="21.76"/>
    <n v="0"/>
    <s v="44266"/>
    <m/>
    <n v="27.2"/>
    <n v="0"/>
    <n v="77474"/>
  </r>
  <r>
    <x v="10"/>
    <m/>
    <s v="Mosegården Skovgårds Alle 37"/>
    <n v="10228"/>
    <m/>
    <s v="Mosegården"/>
    <x v="95"/>
    <x v="0"/>
    <x v="3"/>
    <n v="27.9"/>
    <n v="12"/>
    <s v="2009-12-31"/>
    <n v="0"/>
    <n v="605"/>
    <n v="4.6108000000000003E-2"/>
    <n v="3"/>
    <x v="0"/>
    <n v="27.9"/>
    <n v="22.32"/>
    <n v="0"/>
    <s v="44266"/>
    <m/>
    <n v="27.9"/>
    <n v="0"/>
    <n v="77474"/>
  </r>
  <r>
    <x v="10"/>
    <m/>
    <s v="Mosegården Skovgårds Alle 37"/>
    <n v="10228"/>
    <m/>
    <s v="Mosegården"/>
    <x v="95"/>
    <x v="0"/>
    <x v="4"/>
    <n v="26.7"/>
    <n v="12"/>
    <s v="2009-12-31"/>
    <n v="0"/>
    <n v="605"/>
    <n v="4.4123999999999997E-2"/>
    <n v="3"/>
    <x v="0"/>
    <n v="26.7"/>
    <n v="21.36"/>
    <n v="0"/>
    <s v="44266"/>
    <m/>
    <n v="26.7"/>
    <n v="0"/>
    <n v="77474"/>
  </r>
  <r>
    <x v="10"/>
    <m/>
    <s v="Mosegården Skovgårds Alle 37"/>
    <n v="10228"/>
    <m/>
    <s v="Mosegården"/>
    <x v="95"/>
    <x v="0"/>
    <x v="5"/>
    <n v="32.159999999999997"/>
    <n v="12"/>
    <s v="2009-12-31"/>
    <n v="0"/>
    <n v="605"/>
    <n v="5.3148000000000001E-2"/>
    <n v="3"/>
    <x v="0"/>
    <n v="32.159999999999997"/>
    <n v="25.73"/>
    <n v="0"/>
    <s v="44266"/>
    <m/>
    <n v="32.161619999999999"/>
    <n v="0"/>
    <n v="77474"/>
  </r>
  <r>
    <x v="10"/>
    <m/>
    <s v="Mosegården Skovgårds Alle 37"/>
    <n v="10228"/>
    <m/>
    <s v="Mosegården"/>
    <x v="95"/>
    <x v="0"/>
    <x v="6"/>
    <n v="33.119999999999997"/>
    <n v="6"/>
    <s v="2009-12-31"/>
    <n v="0"/>
    <n v="605"/>
    <n v="5.4733999999999998E-2"/>
    <n v="3"/>
    <x v="0"/>
    <n v="33.119999999999997"/>
    <n v="26.5"/>
    <n v="0"/>
    <s v="44266"/>
    <m/>
    <n v="33.130479999999999"/>
    <n v="0"/>
    <n v="77474"/>
  </r>
  <r>
    <x v="10"/>
    <m/>
    <s v="Skovhuset Ballerupvej 60"/>
    <n v="10190"/>
    <m/>
    <s v="Skovhuset"/>
    <x v="59"/>
    <x v="0"/>
    <x v="0"/>
    <n v="61"/>
    <n v="5"/>
    <s v="2011-12-31"/>
    <n v="0"/>
    <n v="475"/>
    <n v="5.6409000000000001E-2"/>
    <n v="3"/>
    <x v="0"/>
    <n v="26.8"/>
    <n v="21.44"/>
    <n v="0"/>
    <m/>
    <m/>
    <n v="26.8"/>
    <n v="0"/>
    <n v="77252"/>
  </r>
  <r>
    <x v="10"/>
    <m/>
    <s v="Skovhuset Ballerupvej 60"/>
    <n v="10190"/>
    <m/>
    <s v="Skovhuset"/>
    <x v="59"/>
    <x v="0"/>
    <x v="1"/>
    <n v="53.6"/>
    <n v="12"/>
    <s v="2011-12-31"/>
    <n v="0"/>
    <n v="475"/>
    <n v="0.112818"/>
    <n v="3"/>
    <x v="0"/>
    <n v="53.6"/>
    <n v="42.88"/>
    <n v="0"/>
    <m/>
    <m/>
    <n v="53.6"/>
    <n v="0"/>
    <n v="77252"/>
  </r>
  <r>
    <x v="10"/>
    <m/>
    <s v="Skovhuset Ballerupvej 60"/>
    <n v="10190"/>
    <m/>
    <s v="Skovhuset"/>
    <x v="59"/>
    <x v="0"/>
    <x v="2"/>
    <n v="50.3"/>
    <n v="12"/>
    <s v="2011-12-31"/>
    <n v="0"/>
    <n v="475"/>
    <n v="0.10587199999999999"/>
    <n v="3"/>
    <x v="0"/>
    <n v="50.3"/>
    <n v="40.24"/>
    <n v="0"/>
    <m/>
    <m/>
    <n v="50.3"/>
    <n v="0"/>
    <n v="77252"/>
  </r>
  <r>
    <x v="10"/>
    <m/>
    <s v="Skovhuset Ballerupvej 60"/>
    <n v="10190"/>
    <m/>
    <s v="Skovhuset"/>
    <x v="59"/>
    <x v="0"/>
    <x v="3"/>
    <n v="99.02"/>
    <n v="5"/>
    <s v="2011-12-31"/>
    <n v="0"/>
    <n v="475"/>
    <n v="0.20841899999999999"/>
    <n v="3"/>
    <x v="0"/>
    <n v="99.02"/>
    <n v="79.22"/>
    <n v="0"/>
    <m/>
    <m/>
    <n v="99.045460000000006"/>
    <n v="0"/>
    <n v="77252"/>
  </r>
  <r>
    <x v="10"/>
    <m/>
    <s v="Skovhuset Ballerupvej 60"/>
    <n v="10190"/>
    <m/>
    <s v="Skovhuset"/>
    <x v="59"/>
    <x v="0"/>
    <x v="4"/>
    <n v="98.74"/>
    <n v="4"/>
    <s v="2011-12-31"/>
    <n v="0"/>
    <n v="475"/>
    <n v="0.20782900000000001"/>
    <n v="3"/>
    <x v="0"/>
    <n v="98.74"/>
    <n v="79"/>
    <n v="0"/>
    <m/>
    <m/>
    <n v="98.723190000000002"/>
    <n v="0"/>
    <n v="77252"/>
  </r>
  <r>
    <x v="10"/>
    <m/>
    <s v="Skovhuset Ballerupvej 60"/>
    <n v="10190"/>
    <m/>
    <s v="Skovhuset"/>
    <x v="59"/>
    <x v="0"/>
    <x v="5"/>
    <n v="67.650000000000006"/>
    <n v="5"/>
    <s v="2011-12-31"/>
    <n v="0"/>
    <n v="475"/>
    <n v="0.14239099999999999"/>
    <n v="3"/>
    <x v="0"/>
    <n v="67.650000000000006"/>
    <n v="54.13"/>
    <n v="0"/>
    <m/>
    <m/>
    <n v="67.65992"/>
    <n v="0"/>
    <n v="77252"/>
  </r>
  <r>
    <x v="10"/>
    <m/>
    <s v="Skovhuset Ballerupvej 60"/>
    <n v="10190"/>
    <m/>
    <s v="Skovhuset"/>
    <x v="59"/>
    <x v="0"/>
    <x v="6"/>
    <n v="53.41"/>
    <n v="4"/>
    <s v="2011-12-31"/>
    <n v="0"/>
    <n v="475"/>
    <n v="0.112418"/>
    <n v="3"/>
    <x v="0"/>
    <n v="53.41"/>
    <n v="42.71"/>
    <n v="0"/>
    <m/>
    <m/>
    <n v="53.395600000000002"/>
    <n v="0"/>
    <n v="77252"/>
  </r>
  <r>
    <x v="10"/>
    <s v="03991-8"/>
    <s v="Farums Arkiver &amp; Museer Stavnholtvej 170"/>
    <n v="5427"/>
    <m/>
    <s v="Farums Arkiver &amp; Museer"/>
    <x v="74"/>
    <x v="0"/>
    <x v="1"/>
    <n v="2413.34"/>
    <n v="12"/>
    <s v="2005-05-01"/>
    <n v="0"/>
    <n v="361"/>
    <n v="6.6833010000000002"/>
    <n v="2"/>
    <x v="2"/>
    <n v="2413.34"/>
    <n v="965.33"/>
    <n v="0"/>
    <s v="1014972"/>
    <m/>
    <n v="2413.34"/>
    <n v="0"/>
    <n v="57397"/>
  </r>
  <r>
    <x v="3"/>
    <s v="03322-7"/>
    <s v="Brudedalen Legestue, Brudedalen 54-58"/>
    <n v="5276"/>
    <m/>
    <s v="Legestuen"/>
    <x v="20"/>
    <x v="0"/>
    <x v="7"/>
    <n v="69154.06"/>
    <n v="8"/>
    <s v="2005-10-03"/>
    <n v="0"/>
    <n v="284"/>
    <n v="243.414501"/>
    <n v="1"/>
    <x v="4"/>
    <n v="54295"/>
    <n v="11482.38"/>
    <n v="0"/>
    <s v="1153166"/>
    <m/>
    <n v="6403.1535999999996"/>
    <n v="0"/>
    <n v="56862"/>
  </r>
  <r>
    <x v="10"/>
    <s v="03991-8"/>
    <s v="Farums Arkiver &amp; Museer Stavnholtvej 170"/>
    <n v="5427"/>
    <m/>
    <s v="Farums Arkiver &amp; Museer"/>
    <x v="74"/>
    <x v="0"/>
    <x v="0"/>
    <n v="50053"/>
    <n v="5"/>
    <s v="2005-05-01"/>
    <n v="0"/>
    <n v="361"/>
    <n v="80.046801000000002"/>
    <n v="1"/>
    <x v="4"/>
    <n v="58333"/>
    <n v="6929.7"/>
    <n v="0"/>
    <s v="1204824"/>
    <s v="98004665867"/>
    <n v="2676.38"/>
    <n v="0"/>
    <n v="57398"/>
  </r>
  <r>
    <x v="10"/>
    <s v="03991-8"/>
    <s v="Farums Arkiver &amp; Museer Stavnholtvej 170"/>
    <n v="5427"/>
    <m/>
    <s v="Farums Arkiver &amp; Museer"/>
    <x v="74"/>
    <x v="0"/>
    <x v="1"/>
    <n v="66414.84"/>
    <n v="12"/>
    <s v="2005-05-01"/>
    <n v="0"/>
    <n v="361"/>
    <n v="183.923677"/>
    <n v="1"/>
    <x v="4"/>
    <n v="72594.86"/>
    <n v="15352.47"/>
    <n v="0"/>
    <s v="1204824"/>
    <s v="98004665867"/>
    <n v="6149.52"/>
    <n v="0"/>
    <n v="57398"/>
  </r>
  <r>
    <x v="10"/>
    <s v="03991-8"/>
    <s v="Farums Arkiver &amp; Museer Stavnholtvej 170"/>
    <n v="5427"/>
    <m/>
    <s v="Farums Arkiver &amp; Museer"/>
    <x v="74"/>
    <x v="0"/>
    <x v="2"/>
    <n v="69631.039999999994"/>
    <n v="12"/>
    <s v="2005-05-01"/>
    <n v="0"/>
    <n v="361"/>
    <n v="192.83035100000001"/>
    <n v="1"/>
    <x v="4"/>
    <n v="74780.350000000006"/>
    <n v="15814.66"/>
    <n v="0"/>
    <s v="1204824"/>
    <s v="98004665867"/>
    <n v="6447.32"/>
    <n v="0"/>
    <n v="57398"/>
  </r>
  <r>
    <x v="10"/>
    <s v="03991-8"/>
    <s v="Farums Arkiver &amp; Museer Stavnholtvej 170"/>
    <n v="5427"/>
    <m/>
    <s v="Farums Arkiver &amp; Museer"/>
    <x v="74"/>
    <x v="0"/>
    <x v="3"/>
    <n v="62701.36"/>
    <n v="12"/>
    <s v="2005-05-01"/>
    <n v="0"/>
    <n v="361"/>
    <n v="173.63987800000001"/>
    <n v="1"/>
    <x v="4"/>
    <n v="70176.509999999995"/>
    <n v="14841.04"/>
    <n v="0"/>
    <s v="1204824"/>
    <s v="98004665867"/>
    <n v="5805.68"/>
    <n v="0"/>
    <n v="57398"/>
  </r>
  <r>
    <x v="10"/>
    <s v="03991-8"/>
    <s v="Farums Arkiver &amp; Museer Stavnholtvej 170"/>
    <n v="5427"/>
    <m/>
    <s v="Farums Arkiver &amp; Museer"/>
    <x v="74"/>
    <x v="0"/>
    <x v="4"/>
    <n v="73212.56"/>
    <n v="12"/>
    <s v="2005-05-01"/>
    <n v="0"/>
    <n v="361"/>
    <n v="202.74871200000001"/>
    <n v="1"/>
    <x v="4"/>
    <n v="65866.91"/>
    <n v="13929.63"/>
    <n v="0"/>
    <s v="1204824"/>
    <s v="98004665867"/>
    <n v="6778.94"/>
    <n v="0"/>
    <n v="57398"/>
  </r>
  <r>
    <x v="10"/>
    <s v="03991-8"/>
    <s v="Farums Arkiver &amp; Museer Stavnholtvej 170"/>
    <n v="5427"/>
    <m/>
    <s v="Farums Arkiver &amp; Museer"/>
    <x v="74"/>
    <x v="0"/>
    <x v="5"/>
    <n v="62430.68"/>
    <n v="12"/>
    <s v="2005-05-01"/>
    <n v="0"/>
    <n v="361"/>
    <n v="172.89027899999999"/>
    <n v="1"/>
    <x v="4"/>
    <n v="67947.899999999994"/>
    <n v="14369.74"/>
    <n v="0"/>
    <s v="1204824"/>
    <s v="98004665867"/>
    <n v="5780.62"/>
    <n v="0"/>
    <n v="57398"/>
  </r>
  <r>
    <x v="10"/>
    <s v="03991-8"/>
    <s v="Farums Arkiver &amp; Museer Stavnholtvej 170"/>
    <n v="5427"/>
    <m/>
    <s v="Farums Arkiver &amp; Museer"/>
    <x v="74"/>
    <x v="0"/>
    <x v="6"/>
    <n v="57226.8"/>
    <n v="12"/>
    <s v="2005-05-01"/>
    <n v="0"/>
    <n v="361"/>
    <n v="158.47909100000001"/>
    <n v="1"/>
    <x v="4"/>
    <n v="66833.440000000002"/>
    <n v="14134.03"/>
    <n v="0"/>
    <s v="1204824"/>
    <s v="98004665867"/>
    <n v="5298.78"/>
    <n v="0"/>
    <n v="57398"/>
  </r>
  <r>
    <x v="10"/>
    <m/>
    <s v="Mosegården Skovgårds Alle 37"/>
    <n v="10228"/>
    <m/>
    <s v="Mosegården"/>
    <x v="95"/>
    <x v="0"/>
    <x v="0"/>
    <n v="89895"/>
    <n v="5"/>
    <m/>
    <n v="0"/>
    <n v="605"/>
    <n v="82.345066000000003"/>
    <n v="1"/>
    <x v="1"/>
    <n v="104366"/>
    <n v="3624.01"/>
    <n v="0"/>
    <s v="4531660"/>
    <m/>
    <n v="49827"/>
    <n v="0"/>
    <n v="90940"/>
  </r>
  <r>
    <x v="10"/>
    <m/>
    <s v="Mosegården Skovgårds Alle 37"/>
    <n v="10228"/>
    <m/>
    <s v="Mosegården"/>
    <x v="95"/>
    <x v="0"/>
    <x v="1"/>
    <n v="88756"/>
    <n v="12"/>
    <m/>
    <n v="0"/>
    <n v="605"/>
    <n v="146.65509800000001"/>
    <n v="1"/>
    <x v="1"/>
    <n v="93361"/>
    <n v="5974.32"/>
    <n v="0"/>
    <s v="4531660"/>
    <m/>
    <n v="88741"/>
    <n v="0"/>
    <n v="90940"/>
  </r>
  <r>
    <x v="10"/>
    <m/>
    <s v="Mosegården Skovgårds Alle 37"/>
    <n v="10228"/>
    <m/>
    <s v="Mosegården"/>
    <x v="95"/>
    <x v="0"/>
    <x v="2"/>
    <n v="95866"/>
    <n v="12"/>
    <m/>
    <n v="0"/>
    <n v="605"/>
    <n v="158.43001100000001"/>
    <n v="1"/>
    <x v="1"/>
    <n v="101569.56"/>
    <n v="18790.37"/>
    <n v="0"/>
    <s v="4531660"/>
    <m/>
    <n v="95866"/>
    <n v="0"/>
    <n v="90940"/>
  </r>
  <r>
    <x v="10"/>
    <m/>
    <s v="Mosegården Skovgårds Alle 37"/>
    <n v="10228"/>
    <m/>
    <s v="Mosegården"/>
    <x v="95"/>
    <x v="0"/>
    <x v="3"/>
    <n v="87084.06"/>
    <n v="1"/>
    <s v="2011-12-30"/>
    <n v="0"/>
    <n v="605"/>
    <n v="143.91680700000001"/>
    <n v="1"/>
    <x v="5"/>
    <n v="104654.65"/>
    <n v="19361.12"/>
    <n v="0"/>
    <s v="4531660/2003"/>
    <m/>
    <n v="87.084059999999994"/>
    <n v="0"/>
    <n v="77477"/>
  </r>
  <r>
    <x v="10"/>
    <m/>
    <s v="Mosegården Skovgårds Alle 37"/>
    <n v="10228"/>
    <m/>
    <s v="Mosegården"/>
    <x v="95"/>
    <x v="0"/>
    <x v="4"/>
    <n v="92718.99"/>
    <n v="1"/>
    <s v="2011-12-30"/>
    <n v="0"/>
    <n v="605"/>
    <n v="153.22920099999999"/>
    <n v="1"/>
    <x v="5"/>
    <n v="124196.63"/>
    <n v="22976.36"/>
    <n v="0"/>
    <s v="4531660/2003"/>
    <m/>
    <n v="92.718990000000005"/>
    <n v="0"/>
    <n v="77477"/>
  </r>
  <r>
    <x v="10"/>
    <m/>
    <s v="Mosegården Skovgårds Alle 37"/>
    <n v="10228"/>
    <m/>
    <s v="Mosegården"/>
    <x v="95"/>
    <x v="0"/>
    <x v="5"/>
    <n v="81038.06"/>
    <n v="19"/>
    <s v="2011-12-30"/>
    <n v="0"/>
    <n v="605"/>
    <n v="133.92507000000001"/>
    <n v="1"/>
    <x v="5"/>
    <n v="92169.32"/>
    <n v="17051.330000000002"/>
    <n v="0"/>
    <s v="4531660/2003"/>
    <m/>
    <n v="81.038060000000002"/>
    <n v="0"/>
    <n v="77477"/>
  </r>
  <r>
    <x v="10"/>
    <m/>
    <s v="Mosegården Skovgårds Alle 37"/>
    <n v="10228"/>
    <m/>
    <s v="Mosegården"/>
    <x v="95"/>
    <x v="0"/>
    <x v="6"/>
    <n v="77713.37"/>
    <n v="17"/>
    <s v="2011-12-30"/>
    <n v="0"/>
    <n v="605"/>
    <n v="128.430623"/>
    <n v="1"/>
    <x v="5"/>
    <n v="91545.94"/>
    <n v="16936.009999999998"/>
    <n v="0"/>
    <s v="4531660/2003"/>
    <m/>
    <n v="77.713369999999998"/>
    <n v="0"/>
    <n v="77477"/>
  </r>
  <r>
    <x v="10"/>
    <m/>
    <s v="Skovhuset Ballerupvej 60"/>
    <n v="10190"/>
    <m/>
    <s v="Skovhuset"/>
    <x v="59"/>
    <x v="0"/>
    <x v="0"/>
    <n v="51937"/>
    <n v="5"/>
    <s v="2011-12-31"/>
    <n v="0"/>
    <n v="475"/>
    <n v="60.725278000000003"/>
    <n v="1"/>
    <x v="4"/>
    <n v="58738"/>
    <n v="6830.83"/>
    <n v="0"/>
    <m/>
    <s v="98004051172"/>
    <n v="2671.35"/>
    <n v="0"/>
    <n v="77253"/>
  </r>
  <r>
    <x v="10"/>
    <m/>
    <s v="Skovhuset Ballerupvej 60"/>
    <n v="10190"/>
    <m/>
    <s v="Skovhuset"/>
    <x v="59"/>
    <x v="0"/>
    <x v="1"/>
    <n v="55348.05"/>
    <n v="12"/>
    <s v="2011-12-31"/>
    <n v="0"/>
    <n v="475"/>
    <n v="116.49768400000001"/>
    <n v="1"/>
    <x v="4"/>
    <n v="57363.96"/>
    <n v="12131.42"/>
    <n v="0"/>
    <m/>
    <s v="98004051172"/>
    <n v="5124.82"/>
    <n v="0"/>
    <n v="77253"/>
  </r>
  <r>
    <x v="10"/>
    <m/>
    <s v="Skovhuset Ballerupvej 60"/>
    <n v="10190"/>
    <m/>
    <s v="Skovhuset"/>
    <x v="59"/>
    <x v="0"/>
    <x v="2"/>
    <n v="55474.53"/>
    <n v="12"/>
    <s v="2011-12-31"/>
    <n v="0"/>
    <n v="475"/>
    <n v="116.763902"/>
    <n v="1"/>
    <x v="4"/>
    <n v="58117.05"/>
    <n v="12290.68"/>
    <n v="0"/>
    <m/>
    <s v="98004051172"/>
    <n v="5136.53"/>
    <n v="0"/>
    <n v="77253"/>
  </r>
  <r>
    <x v="10"/>
    <m/>
    <s v="Skovhuset Ballerupvej 60"/>
    <n v="10190"/>
    <m/>
    <s v="Skovhuset"/>
    <x v="59"/>
    <x v="0"/>
    <x v="3"/>
    <n v="49334.32"/>
    <n v="5"/>
    <s v="2011-12-31"/>
    <n v="0"/>
    <n v="475"/>
    <n v="103.839865"/>
    <n v="1"/>
    <x v="4"/>
    <n v="54893.31"/>
    <n v="11608.94"/>
    <n v="0"/>
    <m/>
    <s v="98004051172"/>
    <n v="4567.9915300000002"/>
    <n v="0"/>
    <n v="77253"/>
  </r>
  <r>
    <x v="10"/>
    <m/>
    <s v="Skovhuset Ballerupvej 60"/>
    <n v="10190"/>
    <m/>
    <s v="Skovhuset"/>
    <x v="59"/>
    <x v="0"/>
    <x v="4"/>
    <n v="52904.86"/>
    <n v="3"/>
    <s v="2011-12-31"/>
    <n v="0"/>
    <n v="475"/>
    <n v="111.355209"/>
    <n v="1"/>
    <x v="4"/>
    <n v="48721.04"/>
    <n v="10303.59"/>
    <n v="0"/>
    <m/>
    <s v="98004051172"/>
    <n v="4898.5980200000004"/>
    <n v="0"/>
    <n v="77253"/>
  </r>
  <r>
    <x v="10"/>
    <m/>
    <s v="Skovhuset Ballerupvej 60"/>
    <n v="10190"/>
    <m/>
    <s v="Skovhuset"/>
    <x v="59"/>
    <x v="0"/>
    <x v="5"/>
    <n v="49002.46"/>
    <n v="4"/>
    <s v="2011-12-31"/>
    <n v="0"/>
    <n v="475"/>
    <n v="103.14135899999999"/>
    <n v="1"/>
    <x v="4"/>
    <n v="56985.16"/>
    <n v="12051.3"/>
    <n v="0"/>
    <m/>
    <s v="98004051172"/>
    <n v="4537.2675799999997"/>
    <n v="0"/>
    <n v="77253"/>
  </r>
  <r>
    <x v="10"/>
    <m/>
    <s v="Skovhuset Ballerupvej 60"/>
    <n v="10190"/>
    <m/>
    <s v="Skovhuset"/>
    <x v="59"/>
    <x v="0"/>
    <x v="6"/>
    <n v="40924.75"/>
    <n v="4"/>
    <s v="2011-12-31"/>
    <n v="0"/>
    <n v="475"/>
    <n v="86.139233000000004"/>
    <n v="1"/>
    <x v="4"/>
    <n v="46017.47"/>
    <n v="9731.85"/>
    <n v="0"/>
    <m/>
    <s v="98004051172"/>
    <n v="3789.3296700000001"/>
    <n v="0"/>
    <n v="77253"/>
  </r>
  <r>
    <x v="10"/>
    <m/>
    <s v="Mosegården Skovgårds Alle 37"/>
    <n v="10228"/>
    <m/>
    <s v="Mosegården"/>
    <x v="95"/>
    <x v="0"/>
    <x v="7"/>
    <n v="30.27"/>
    <n v="5"/>
    <s v="2009-12-31"/>
    <n v="0"/>
    <n v="605"/>
    <n v="5.0023999999999999E-2"/>
    <n v="3"/>
    <x v="0"/>
    <n v="30.27"/>
    <n v="24.21"/>
    <n v="0"/>
    <s v="44266"/>
    <m/>
    <n v="30.265339999999998"/>
    <n v="0"/>
    <n v="77474"/>
  </r>
  <r>
    <x v="10"/>
    <m/>
    <s v="Mosegården Skovgårds Alle 37"/>
    <n v="10228"/>
    <m/>
    <s v="Mosegården"/>
    <x v="95"/>
    <x v="0"/>
    <x v="7"/>
    <n v="61737"/>
    <n v="6"/>
    <m/>
    <n v="0"/>
    <n v="605"/>
    <n v="93.134456999999998"/>
    <n v="1"/>
    <x v="1"/>
    <n v="75445"/>
    <n v="4314.21"/>
    <n v="0"/>
    <s v="4531660"/>
    <m/>
    <n v="56355.659699999997"/>
    <n v="0"/>
    <n v="90940"/>
  </r>
  <r>
    <x v="10"/>
    <m/>
    <s v="Mosegården Skovgårds Alle 37"/>
    <n v="10228"/>
    <m/>
    <s v="Mosegården"/>
    <x v="95"/>
    <x v="0"/>
    <x v="1"/>
    <n v="17135.84"/>
    <n v="12"/>
    <m/>
    <n v="0"/>
    <n v="605"/>
    <n v="28.319020999999999"/>
    <n v="2"/>
    <x v="2"/>
    <n v="17135.84"/>
    <n v="5140.74"/>
    <n v="0"/>
    <s v="3107272"/>
    <s v="74110508421"/>
    <n v="17135.848699999999"/>
    <n v="0"/>
    <n v="90939"/>
  </r>
  <r>
    <x v="11"/>
    <m/>
    <s v="Ellegården, Ladebygning, Stavnsholtvej 168"/>
    <n v="11351"/>
    <s v="0"/>
    <s v="Ellegården, Ladebygninger"/>
    <x v="63"/>
    <x v="0"/>
    <x v="7"/>
    <n v="74468.89"/>
    <n v="12"/>
    <s v="2011-12-31"/>
    <n v="0"/>
    <n v="867"/>
    <n v="85.8827"/>
    <n v="1"/>
    <x v="4"/>
    <n v="92526.5"/>
    <n v="19567.64"/>
    <n v="0"/>
    <s v="1203600"/>
    <s v="98004815958"/>
    <n v="6895.2695999999996"/>
    <n v="0"/>
    <n v="80928"/>
  </r>
  <r>
    <x v="10"/>
    <m/>
    <s v="Skovhuset Ballerupvej 60"/>
    <n v="10190"/>
    <m/>
    <s v="Skovhuset"/>
    <x v="59"/>
    <x v="0"/>
    <x v="7"/>
    <n v="66.2"/>
    <n v="12"/>
    <s v="2011-12-31"/>
    <n v="0"/>
    <n v="475"/>
    <n v="0.13933899999999999"/>
    <n v="3"/>
    <x v="0"/>
    <n v="66.2"/>
    <n v="52.96"/>
    <n v="0"/>
    <m/>
    <m/>
    <n v="66.2"/>
    <n v="0"/>
    <n v="77252"/>
  </r>
  <r>
    <x v="10"/>
    <m/>
    <s v="Skovhuset Ballerupvej 60"/>
    <n v="10190"/>
    <m/>
    <s v="Skovhuset"/>
    <x v="59"/>
    <x v="0"/>
    <x v="1"/>
    <n v="11559.85"/>
    <n v="12"/>
    <s v="2011-12-31"/>
    <n v="0"/>
    <n v="475"/>
    <n v="24.331403000000002"/>
    <n v="2"/>
    <x v="2"/>
    <n v="11559.85"/>
    <n v="3467.96"/>
    <n v="0"/>
    <s v="4002576"/>
    <s v="74110499910"/>
    <n v="11559.857"/>
    <n v="0"/>
    <n v="77251"/>
  </r>
  <r>
    <x v="10"/>
    <s v="9985"/>
    <s v="Cornelen Stavnsholtvej 186"/>
    <n v="13662"/>
    <m/>
    <s v="Cornelen"/>
    <x v="94"/>
    <x v="0"/>
    <x v="7"/>
    <n v="17750.91"/>
    <n v="12"/>
    <s v="2013-11-30"/>
    <n v="0"/>
    <n v="129"/>
    <n v="137.497366"/>
    <n v="2"/>
    <x v="2"/>
    <n v="17750.91"/>
    <n v="5325.27"/>
    <n v="0"/>
    <s v="4213311"/>
    <s v="74111477986"/>
    <n v="17750.8933"/>
    <n v="0"/>
    <n v="91251"/>
  </r>
  <r>
    <x v="10"/>
    <s v="03991-8"/>
    <s v="Farums Arkiver &amp; Museer Stavnholtvej 170"/>
    <n v="5427"/>
    <m/>
    <s v="Farums Arkiver &amp; Museer"/>
    <x v="74"/>
    <x v="0"/>
    <x v="7"/>
    <n v="1668.59"/>
    <n v="12"/>
    <s v="2005-05-01"/>
    <n v="0"/>
    <n v="361"/>
    <n v="4.6208520000000002"/>
    <n v="2"/>
    <x v="2"/>
    <n v="1668.59"/>
    <n v="667.43"/>
    <n v="0"/>
    <s v="1014972"/>
    <m/>
    <n v="1668.5740000000001"/>
    <n v="0"/>
    <n v="57397"/>
  </r>
  <r>
    <x v="10"/>
    <s v="9985"/>
    <s v="Cornelen Stavnsholtvej 186"/>
    <n v="13662"/>
    <m/>
    <s v="Cornelen"/>
    <x v="94"/>
    <x v="0"/>
    <x v="2"/>
    <n v="16860.39"/>
    <n v="3"/>
    <s v="2013-11-30"/>
    <n v="0"/>
    <n v="129"/>
    <n v="130.599457"/>
    <n v="2"/>
    <x v="2"/>
    <n v="16860.39"/>
    <n v="6744.14"/>
    <n v="0"/>
    <s v="4213311"/>
    <s v="74111477986"/>
    <n v="16860.37761"/>
    <n v="0"/>
    <n v="91251"/>
  </r>
  <r>
    <x v="10"/>
    <s v="9985"/>
    <s v="Cornelen Stavnsholtvej 186"/>
    <n v="13662"/>
    <m/>
    <s v="Cornelen"/>
    <x v="94"/>
    <x v="0"/>
    <x v="3"/>
    <n v="22278.44"/>
    <n v="1"/>
    <s v="2013-11-30"/>
    <n v="0"/>
    <n v="129"/>
    <n v="172.56731199999999"/>
    <n v="2"/>
    <x v="2"/>
    <n v="22278.44"/>
    <n v="10448.59"/>
    <n v="0"/>
    <s v="4213311"/>
    <s v="74111477986"/>
    <n v="22278.433150000001"/>
    <n v="0"/>
    <n v="91251"/>
  </r>
  <r>
    <x v="10"/>
    <s v="9985"/>
    <s v="Cornelen Stavnsholtvej 186"/>
    <n v="13662"/>
    <m/>
    <s v="Cornelen"/>
    <x v="94"/>
    <x v="0"/>
    <x v="4"/>
    <n v="21263.96"/>
    <n v="1"/>
    <s v="2013-11-30"/>
    <n v="0"/>
    <n v="129"/>
    <n v="164.709217"/>
    <n v="2"/>
    <x v="2"/>
    <n v="21263.96"/>
    <n v="9972.7800000000007"/>
    <n v="0"/>
    <s v="4213311"/>
    <s v="74111477986"/>
    <n v="21263.947530000001"/>
    <n v="0"/>
    <n v="91251"/>
  </r>
  <r>
    <x v="10"/>
    <s v="9985"/>
    <s v="Cornelen Stavnsholtvej 186"/>
    <n v="13662"/>
    <m/>
    <s v="Cornelen"/>
    <x v="94"/>
    <x v="0"/>
    <x v="5"/>
    <n v="21438.43"/>
    <n v="0"/>
    <s v="2013-11-30"/>
    <n v="0"/>
    <n v="129"/>
    <n v="166.06065000000001"/>
    <n v="2"/>
    <x v="2"/>
    <n v="21438.43"/>
    <n v="10054.6"/>
    <n v="0"/>
    <s v="4213311"/>
    <s v="74111477986"/>
    <n v="21438.415369999999"/>
    <n v="0"/>
    <n v="91251"/>
  </r>
  <r>
    <x v="10"/>
    <s v="9985"/>
    <s v="Cornelen Stavnsholtvej 186"/>
    <n v="13662"/>
    <m/>
    <s v="Cornelen"/>
    <x v="94"/>
    <x v="0"/>
    <x v="6"/>
    <n v="17640.55"/>
    <n v="1"/>
    <s v="2013-11-30"/>
    <n v="0"/>
    <n v="129"/>
    <n v="136.64252500000001"/>
    <n v="2"/>
    <x v="2"/>
    <n v="17640.55"/>
    <n v="8273.3799999999992"/>
    <n v="0"/>
    <s v="4213311"/>
    <s v="74111477986"/>
    <n v="17640.566019999998"/>
    <n v="0"/>
    <n v="91251"/>
  </r>
  <r>
    <x v="10"/>
    <m/>
    <s v="Mosegården Skovgårds Alle 37"/>
    <n v="10228"/>
    <m/>
    <s v="Mosegården"/>
    <x v="95"/>
    <x v="0"/>
    <x v="7"/>
    <n v="15419.47"/>
    <n v="6"/>
    <m/>
    <n v="0"/>
    <n v="605"/>
    <n v="8.9563210000000009"/>
    <n v="2"/>
    <x v="2"/>
    <n v="15419.47"/>
    <n v="1625.85"/>
    <n v="0"/>
    <s v="3107272"/>
    <s v="74110508421"/>
    <n v="5419.4674999999997"/>
    <n v="0"/>
    <n v="90939"/>
  </r>
  <r>
    <x v="10"/>
    <m/>
    <s v="Skovhuset Ballerupvej 60"/>
    <n v="10190"/>
    <m/>
    <s v="Skovhuset"/>
    <x v="59"/>
    <x v="0"/>
    <x v="7"/>
    <n v="11046.97"/>
    <n v="12"/>
    <s v="2011-12-31"/>
    <n v="0"/>
    <n v="475"/>
    <n v="23.251882999999999"/>
    <n v="2"/>
    <x v="2"/>
    <n v="11046.97"/>
    <n v="3314.11"/>
    <n v="0"/>
    <s v="4002576"/>
    <s v="74110499910"/>
    <n v="11046.985699999999"/>
    <n v="0"/>
    <n v="77251"/>
  </r>
  <r>
    <x v="10"/>
    <s v="03991-8"/>
    <s v="Farums Arkiver &amp; Museer Stavnholtvej 170"/>
    <n v="5427"/>
    <m/>
    <s v="Farums Arkiver &amp; Museer"/>
    <x v="74"/>
    <x v="0"/>
    <x v="2"/>
    <n v="3369.07"/>
    <n v="12"/>
    <s v="2005-05-01"/>
    <n v="0"/>
    <n v="361"/>
    <n v="9.3300190000000001"/>
    <n v="2"/>
    <x v="2"/>
    <n v="3369.07"/>
    <n v="1347.63"/>
    <n v="0"/>
    <s v="1014972"/>
    <m/>
    <n v="3369.078"/>
    <n v="0"/>
    <n v="57397"/>
  </r>
  <r>
    <x v="10"/>
    <s v="03991-8"/>
    <s v="Farums Arkiver &amp; Museer Stavnholtvej 170"/>
    <n v="5427"/>
    <m/>
    <s v="Farums Arkiver &amp; Museer"/>
    <x v="74"/>
    <x v="0"/>
    <x v="3"/>
    <n v="4068.8"/>
    <n v="12"/>
    <s v="2005-05-01"/>
    <n v="0"/>
    <n v="361"/>
    <n v="11.267792"/>
    <n v="2"/>
    <x v="2"/>
    <n v="4068.8"/>
    <n v="1908.28"/>
    <n v="0"/>
    <s v="1014972"/>
    <m/>
    <n v="4068.7979999999998"/>
    <n v="0"/>
    <n v="57397"/>
  </r>
  <r>
    <x v="10"/>
    <s v="03991-8"/>
    <s v="Farums Arkiver &amp; Museer Stavnholtvej 170"/>
    <n v="5427"/>
    <m/>
    <s v="Farums Arkiver &amp; Museer"/>
    <x v="74"/>
    <x v="0"/>
    <x v="4"/>
    <n v="5728.29"/>
    <n v="12"/>
    <s v="2005-05-01"/>
    <n v="0"/>
    <n v="361"/>
    <n v="15.863445"/>
    <n v="2"/>
    <x v="2"/>
    <n v="5728.29"/>
    <n v="2686.57"/>
    <n v="0"/>
    <s v="1014972"/>
    <m/>
    <n v="5728.2860000000001"/>
    <n v="0"/>
    <n v="57397"/>
  </r>
  <r>
    <x v="10"/>
    <s v="03991-8"/>
    <s v="Farums Arkiver &amp; Museer Stavnholtvej 170"/>
    <n v="5427"/>
    <m/>
    <s v="Farums Arkiver &amp; Museer"/>
    <x v="74"/>
    <x v="0"/>
    <x v="5"/>
    <n v="5952.83"/>
    <n v="12"/>
    <s v="2005-05-01"/>
    <n v="0"/>
    <n v="361"/>
    <n v="16.485267"/>
    <n v="2"/>
    <x v="2"/>
    <n v="5952.83"/>
    <n v="2791.87"/>
    <n v="0"/>
    <s v="1014972"/>
    <m/>
    <n v="5952.83"/>
    <n v="0"/>
    <n v="57397"/>
  </r>
  <r>
    <x v="10"/>
    <s v="03991-8"/>
    <s v="Farums Arkiver &amp; Museer Stavnholtvej 170"/>
    <n v="5427"/>
    <m/>
    <s v="Farums Arkiver &amp; Museer"/>
    <x v="74"/>
    <x v="0"/>
    <x v="6"/>
    <n v="5755.93"/>
    <n v="12"/>
    <s v="2005-05-01"/>
    <n v="0"/>
    <n v="361"/>
    <n v="15.939988"/>
    <n v="2"/>
    <x v="2"/>
    <n v="5755.93"/>
    <n v="2699.53"/>
    <n v="0"/>
    <s v="1014972"/>
    <m/>
    <n v="5755.924"/>
    <n v="0"/>
    <n v="57397"/>
  </r>
  <r>
    <x v="10"/>
    <s v="9985"/>
    <s v="Cornelen Stavnsholtvej 186"/>
    <n v="13662"/>
    <m/>
    <s v="Cornelen"/>
    <x v="94"/>
    <x v="0"/>
    <x v="0"/>
    <n v="18563"/>
    <n v="5"/>
    <s v="2013-11-30"/>
    <n v="0"/>
    <n v="129"/>
    <n v="77.864446000000001"/>
    <n v="2"/>
    <x v="2"/>
    <n v="10052.299999999999"/>
    <n v="3015.69"/>
    <n v="0"/>
    <s v="4213311"/>
    <s v="74111477986"/>
    <n v="10052.302"/>
    <n v="0"/>
    <n v="91251"/>
  </r>
  <r>
    <x v="10"/>
    <s v="03991-8"/>
    <s v="Farums Arkiver &amp; Museer Stavnholtvej 170"/>
    <n v="5427"/>
    <m/>
    <s v="Farums Arkiver &amp; Museer"/>
    <x v="74"/>
    <x v="0"/>
    <x v="0"/>
    <n v="2029"/>
    <n v="5"/>
    <s v="2005-05-01"/>
    <n v="0"/>
    <n v="361"/>
    <n v="2.1368040000000001"/>
    <n v="2"/>
    <x v="2"/>
    <n v="771.6"/>
    <n v="308.64"/>
    <n v="0"/>
    <s v="1014972"/>
    <m/>
    <n v="771.60199999999998"/>
    <n v="0"/>
    <n v="57397"/>
  </r>
  <r>
    <x v="10"/>
    <m/>
    <s v="Mosegården Skovgårds Alle 37"/>
    <n v="10228"/>
    <m/>
    <s v="Mosegården"/>
    <x v="95"/>
    <x v="0"/>
    <x v="2"/>
    <n v="14600.5"/>
    <n v="12"/>
    <m/>
    <n v="0"/>
    <n v="605"/>
    <n v="24.129069000000001"/>
    <n v="2"/>
    <x v="2"/>
    <n v="14600.5"/>
    <n v="5840.19"/>
    <n v="0"/>
    <s v="3107272"/>
    <s v="74110508421"/>
    <n v="14600.478999999999"/>
    <n v="0"/>
    <n v="90939"/>
  </r>
  <r>
    <x v="10"/>
    <m/>
    <s v="Mosegården Skovgårds Alle 37"/>
    <n v="10228"/>
    <m/>
    <s v="Mosegården"/>
    <x v="95"/>
    <x v="0"/>
    <x v="3"/>
    <n v="18779.22"/>
    <n v="2"/>
    <s v="2011-12-30"/>
    <n v="0"/>
    <n v="605"/>
    <n v="31.034903"/>
    <n v="2"/>
    <x v="2"/>
    <n v="18779.22"/>
    <n v="8807.48"/>
    <n v="0"/>
    <s v="048809 NEDTAGET"/>
    <s v="74110508421"/>
    <n v="18779.23443"/>
    <n v="0"/>
    <n v="77473"/>
  </r>
  <r>
    <x v="10"/>
    <m/>
    <s v="Mosegården Skovgårds Alle 37"/>
    <n v="10228"/>
    <m/>
    <s v="Mosegården"/>
    <x v="95"/>
    <x v="0"/>
    <x v="4"/>
    <n v="16367.15"/>
    <n v="8"/>
    <s v="2011-12-30"/>
    <n v="0"/>
    <n v="605"/>
    <n v="27.048669"/>
    <n v="2"/>
    <x v="2"/>
    <n v="16367.15"/>
    <n v="7676.2"/>
    <n v="0"/>
    <s v="048809 NEDTAGET"/>
    <s v="74110508421"/>
    <n v="16367.15019"/>
    <n v="0"/>
    <n v="77473"/>
  </r>
  <r>
    <x v="10"/>
    <m/>
    <s v="Mosegården Skovgårds Alle 37"/>
    <n v="10228"/>
    <m/>
    <s v="Mosegården"/>
    <x v="95"/>
    <x v="0"/>
    <x v="5"/>
    <n v="18189.990000000002"/>
    <n v="7"/>
    <s v="2011-12-30"/>
    <n v="0"/>
    <n v="605"/>
    <n v="30.061129999999999"/>
    <n v="2"/>
    <x v="2"/>
    <n v="18189.990000000002"/>
    <n v="8531.14"/>
    <n v="0"/>
    <s v="048809 NEDTAGET"/>
    <s v="74110508421"/>
    <n v="18189.997749999999"/>
    <n v="0"/>
    <n v="77473"/>
  </r>
  <r>
    <x v="10"/>
    <m/>
    <s v="Mosegården Skovgårds Alle 37"/>
    <n v="10228"/>
    <m/>
    <s v="Mosegården"/>
    <x v="95"/>
    <x v="0"/>
    <x v="6"/>
    <n v="18464.72"/>
    <n v="6"/>
    <s v="2011-12-30"/>
    <n v="0"/>
    <n v="605"/>
    <n v="30.515153999999999"/>
    <n v="2"/>
    <x v="2"/>
    <n v="18464.72"/>
    <n v="8659.9699999999993"/>
    <n v="0"/>
    <s v="048809 NEDTAGET"/>
    <s v="74110508421"/>
    <n v="18464.72755"/>
    <n v="0"/>
    <n v="77473"/>
  </r>
  <r>
    <x v="10"/>
    <m/>
    <s v="Mosegården Skovgårds Alle 37"/>
    <n v="10228"/>
    <m/>
    <s v="Mosegården"/>
    <x v="95"/>
    <x v="0"/>
    <x v="0"/>
    <n v="10895"/>
    <n v="5"/>
    <m/>
    <n v="0"/>
    <n v="605"/>
    <n v="8.4772929999999995"/>
    <n v="2"/>
    <x v="2"/>
    <n v="5129.6099999999997"/>
    <n v="1538.87"/>
    <n v="0"/>
    <s v="3107272"/>
    <s v="74110508421"/>
    <n v="5129.6022999999996"/>
    <n v="0"/>
    <n v="90939"/>
  </r>
  <r>
    <x v="10"/>
    <m/>
    <s v="Skovhuset Ballerupvej 60"/>
    <n v="10190"/>
    <m/>
    <s v="Skovhuset"/>
    <x v="59"/>
    <x v="0"/>
    <x v="0"/>
    <n v="11116"/>
    <n v="5"/>
    <s v="2011-12-31"/>
    <n v="0"/>
    <n v="475"/>
    <n v="10.644011000000001"/>
    <n v="2"/>
    <x v="2"/>
    <n v="5056.97"/>
    <n v="1517.08"/>
    <n v="0"/>
    <s v="4002576"/>
    <s v="74110499910"/>
    <n v="5056.973"/>
    <n v="0"/>
    <n v="77251"/>
  </r>
  <r>
    <x v="10"/>
    <m/>
    <s v="Skovhuset Ballerupvej 60"/>
    <n v="10190"/>
    <m/>
    <s v="Skovhuset"/>
    <x v="59"/>
    <x v="0"/>
    <x v="2"/>
    <n v="11484.59"/>
    <n v="12"/>
    <s v="2011-12-31"/>
    <n v="0"/>
    <n v="475"/>
    <n v="24.172995"/>
    <n v="2"/>
    <x v="2"/>
    <n v="11484.59"/>
    <n v="4593.82"/>
    <n v="0"/>
    <s v="4002576"/>
    <s v="74110499910"/>
    <n v="11484.585999999999"/>
    <n v="0"/>
    <n v="77251"/>
  </r>
  <r>
    <x v="10"/>
    <m/>
    <s v="Skovhuset Ballerupvej 60"/>
    <n v="10190"/>
    <m/>
    <s v="Skovhuset"/>
    <x v="59"/>
    <x v="0"/>
    <x v="3"/>
    <n v="13191.31"/>
    <n v="9"/>
    <s v="2011-12-31"/>
    <n v="0"/>
    <n v="475"/>
    <n v="27.765332999999998"/>
    <n v="2"/>
    <x v="2"/>
    <n v="13191.31"/>
    <n v="6186.72"/>
    <n v="0"/>
    <s v="4002576"/>
    <s v="74110499910"/>
    <n v="13191.31819"/>
    <n v="0"/>
    <n v="77251"/>
  </r>
  <r>
    <x v="10"/>
    <m/>
    <s v="Skovhuset Ballerupvej 60"/>
    <n v="10190"/>
    <m/>
    <s v="Skovhuset"/>
    <x v="59"/>
    <x v="0"/>
    <x v="4"/>
    <n v="23984.53"/>
    <n v="4"/>
    <s v="2011-12-31"/>
    <n v="0"/>
    <n v="475"/>
    <n v="50.483119000000002"/>
    <n v="2"/>
    <x v="2"/>
    <n v="23984.53"/>
    <n v="11248.75"/>
    <n v="0"/>
    <s v="4002576"/>
    <s v="74110499910"/>
    <n v="23984.502700000001"/>
    <n v="0"/>
    <n v="77251"/>
  </r>
  <r>
    <x v="10"/>
    <m/>
    <s v="Skovhuset Ballerupvej 60"/>
    <n v="10190"/>
    <m/>
    <s v="Skovhuset"/>
    <x v="59"/>
    <x v="0"/>
    <x v="5"/>
    <n v="25331.54"/>
    <n v="5"/>
    <s v="2011-12-31"/>
    <n v="0"/>
    <n v="475"/>
    <n v="53.318331999999998"/>
    <n v="2"/>
    <x v="2"/>
    <n v="25331.54"/>
    <n v="11880.48"/>
    <n v="0"/>
    <s v="4002576"/>
    <s v="74110499910"/>
    <n v="25331.536230000002"/>
    <n v="0"/>
    <n v="77251"/>
  </r>
  <r>
    <x v="10"/>
    <m/>
    <s v="Skovhuset Ballerupvej 60"/>
    <n v="10190"/>
    <m/>
    <s v="Skovhuset"/>
    <x v="59"/>
    <x v="0"/>
    <x v="6"/>
    <n v="22919.33"/>
    <n v="4"/>
    <s v="2011-12-31"/>
    <n v="0"/>
    <n v="475"/>
    <n v="48.241064999999999"/>
    <n v="2"/>
    <x v="2"/>
    <n v="22919.33"/>
    <n v="10749.17"/>
    <n v="0"/>
    <s v="4002576"/>
    <s v="74110499910"/>
    <n v="22919.32417"/>
    <n v="0"/>
    <n v="77251"/>
  </r>
  <r>
    <x v="4"/>
    <s v="03975-6"/>
    <s v="Familiehuset Ellegården Stavnsholtvej 168"/>
    <n v="5261"/>
    <m/>
    <s v="Familiehuset"/>
    <x v="57"/>
    <x v="0"/>
    <x v="0"/>
    <n v="121"/>
    <n v="5"/>
    <s v="2005-07-01"/>
    <n v="0"/>
    <n v="309"/>
    <n v="0.13325699999999999"/>
    <n v="3"/>
    <x v="0"/>
    <n v="41.19"/>
    <n v="32.950000000000003"/>
    <n v="0"/>
    <s v="BK 99502460"/>
    <m/>
    <n v="41.194000000000003"/>
    <n v="0"/>
    <n v="56736"/>
  </r>
  <r>
    <x v="4"/>
    <s v="03975-6"/>
    <s v="Familiehuset Ellegården Stavnsholtvej 168"/>
    <n v="5261"/>
    <m/>
    <s v="Familiehuset"/>
    <x v="57"/>
    <x v="0"/>
    <x v="1"/>
    <n v="94.37"/>
    <n v="12"/>
    <s v="2005-07-01"/>
    <n v="0"/>
    <n v="309"/>
    <n v="0.30530499999999999"/>
    <n v="3"/>
    <x v="0"/>
    <n v="94.37"/>
    <n v="75.5"/>
    <n v="0"/>
    <s v="BK 99502460"/>
    <m/>
    <n v="94.37"/>
    <n v="0"/>
    <n v="56736"/>
  </r>
  <r>
    <x v="4"/>
    <s v="03975-6"/>
    <s v="Familiehuset Ellegården Stavnsholtvej 168"/>
    <n v="5261"/>
    <m/>
    <s v="Familiehuset"/>
    <x v="57"/>
    <x v="0"/>
    <x v="2"/>
    <n v="73.56"/>
    <n v="12"/>
    <s v="2005-07-01"/>
    <n v="0"/>
    <n v="309"/>
    <n v="0.237981"/>
    <n v="3"/>
    <x v="0"/>
    <n v="73.56"/>
    <n v="58.85"/>
    <n v="0"/>
    <s v="BK 99502460"/>
    <m/>
    <n v="73.549000000000007"/>
    <n v="0"/>
    <n v="56736"/>
  </r>
  <r>
    <x v="4"/>
    <s v="03975-6"/>
    <s v="Familiehuset Ellegården Stavnsholtvej 168"/>
    <n v="5261"/>
    <m/>
    <s v="Familiehuset"/>
    <x v="57"/>
    <x v="0"/>
    <x v="3"/>
    <n v="59.69"/>
    <n v="12"/>
    <s v="2005-07-01"/>
    <n v="0"/>
    <n v="309"/>
    <n v="0.193109"/>
    <n v="3"/>
    <x v="0"/>
    <n v="59.69"/>
    <n v="47.74"/>
    <n v="0"/>
    <s v="BK 99502460"/>
    <m/>
    <n v="59.683309999999999"/>
    <n v="0"/>
    <n v="56736"/>
  </r>
  <r>
    <x v="4"/>
    <s v="03975-6"/>
    <s v="Familiehuset Ellegården Stavnsholtvej 168"/>
    <n v="5261"/>
    <m/>
    <s v="Familiehuset"/>
    <x v="57"/>
    <x v="0"/>
    <x v="4"/>
    <n v="66.5"/>
    <n v="12"/>
    <s v="2005-07-01"/>
    <n v="0"/>
    <n v="309"/>
    <n v="0.21514"/>
    <n v="3"/>
    <x v="0"/>
    <n v="66.5"/>
    <n v="53.23"/>
    <n v="0"/>
    <s v="BK 99502460"/>
    <m/>
    <n v="66.504710000000003"/>
    <n v="0"/>
    <n v="56736"/>
  </r>
  <r>
    <x v="4"/>
    <s v="03975-6"/>
    <s v="Familiehuset Ellegården Stavnsholtvej 168"/>
    <n v="5261"/>
    <m/>
    <s v="Familiehuset"/>
    <x v="57"/>
    <x v="0"/>
    <x v="5"/>
    <n v="86.99"/>
    <n v="12"/>
    <s v="2005-07-01"/>
    <n v="0"/>
    <n v="309"/>
    <n v="0.28142899999999998"/>
    <n v="3"/>
    <x v="0"/>
    <n v="86.99"/>
    <n v="69.58"/>
    <n v="0"/>
    <s v="BK 99502460"/>
    <m/>
    <n v="86.980999999999995"/>
    <n v="0"/>
    <n v="56736"/>
  </r>
  <r>
    <x v="4"/>
    <s v="03975-6"/>
    <s v="Familiehuset Ellegården Stavnsholtvej 168"/>
    <n v="5261"/>
    <m/>
    <s v="Familiehuset"/>
    <x v="57"/>
    <x v="0"/>
    <x v="6"/>
    <n v="122.23"/>
    <n v="12"/>
    <s v="2005-07-01"/>
    <n v="0"/>
    <n v="309"/>
    <n v="0.39543800000000001"/>
    <n v="3"/>
    <x v="0"/>
    <n v="122.23"/>
    <n v="97.76"/>
    <n v="0"/>
    <s v="BK 99502460"/>
    <m/>
    <n v="122.223"/>
    <n v="0"/>
    <n v="56736"/>
  </r>
  <r>
    <x v="4"/>
    <m/>
    <s v="Familiehuset Villa Solhøj KV54"/>
    <n v="10318"/>
    <m/>
    <s v="Villa Solhøj"/>
    <x v="15"/>
    <x v="0"/>
    <x v="0"/>
    <n v="23"/>
    <n v="5"/>
    <s v="2010-08-31"/>
    <n v="0"/>
    <n v="170"/>
    <n v="5.6437000000000001E-2"/>
    <n v="3"/>
    <x v="0"/>
    <n v="9.6"/>
    <n v="7.68"/>
    <n v="0"/>
    <s v="1137120004"/>
    <m/>
    <n v="9.6"/>
    <n v="0"/>
    <n v="85095"/>
  </r>
  <r>
    <x v="4"/>
    <m/>
    <s v="Familiehuset Villa Solhøj KV54"/>
    <n v="10318"/>
    <m/>
    <s v="Villa Solhøj"/>
    <x v="15"/>
    <x v="0"/>
    <x v="1"/>
    <n v="9.9"/>
    <n v="12"/>
    <s v="2010-08-31"/>
    <n v="0"/>
    <n v="170"/>
    <n v="5.8201000000000003E-2"/>
    <n v="3"/>
    <x v="0"/>
    <n v="9.9"/>
    <n v="7.92"/>
    <n v="0"/>
    <s v="1137120004"/>
    <m/>
    <n v="9.9"/>
    <n v="0"/>
    <n v="85095"/>
  </r>
  <r>
    <x v="4"/>
    <m/>
    <s v="Familiehuset Villa Solhøj KV54"/>
    <n v="10318"/>
    <m/>
    <s v="Villa Solhøj"/>
    <x v="15"/>
    <x v="0"/>
    <x v="2"/>
    <n v="13.6"/>
    <n v="12"/>
    <s v="2010-08-31"/>
    <n v="0"/>
    <n v="170"/>
    <n v="7.9951999999999995E-2"/>
    <n v="3"/>
    <x v="0"/>
    <n v="13.6"/>
    <n v="10.88"/>
    <n v="0"/>
    <s v="1137120004"/>
    <m/>
    <n v="13.6"/>
    <n v="0"/>
    <n v="85095"/>
  </r>
  <r>
    <x v="4"/>
    <m/>
    <s v="Familiehuset Villa Solhøj KV54"/>
    <n v="10318"/>
    <m/>
    <s v="Villa Solhøj"/>
    <x v="15"/>
    <x v="0"/>
    <x v="3"/>
    <n v="11.8"/>
    <n v="12"/>
    <s v="2010-08-31"/>
    <n v="0"/>
    <n v="170"/>
    <n v="6.9370000000000001E-2"/>
    <n v="3"/>
    <x v="0"/>
    <n v="11.8"/>
    <n v="9.44"/>
    <n v="0"/>
    <s v="1137120004"/>
    <m/>
    <n v="11.8"/>
    <n v="0"/>
    <n v="85095"/>
  </r>
  <r>
    <x v="4"/>
    <m/>
    <s v="Familiehuset Villa Solhøj KV54"/>
    <n v="10318"/>
    <m/>
    <s v="Villa Solhøj"/>
    <x v="15"/>
    <x v="0"/>
    <x v="4"/>
    <n v="4.9000000000000004"/>
    <n v="8"/>
    <s v="2010-08-31"/>
    <n v="0"/>
    <n v="170"/>
    <n v="2.8805999999999998E-2"/>
    <n v="3"/>
    <x v="0"/>
    <n v="4.9000000000000004"/>
    <n v="3.92"/>
    <n v="0"/>
    <s v="1137120004"/>
    <m/>
    <n v="4.9000000000000004"/>
    <n v="0"/>
    <n v="85095"/>
  </r>
  <r>
    <x v="4"/>
    <m/>
    <s v="Familiehuset Villa Solhøj KV54"/>
    <n v="10318"/>
    <m/>
    <s v="Villa Solhøj"/>
    <x v="15"/>
    <x v="0"/>
    <x v="5"/>
    <n v="11.06"/>
    <n v="3"/>
    <s v="2009-06-02"/>
    <n v="0"/>
    <n v="170"/>
    <n v="6.5019999999999994E-2"/>
    <n v="3"/>
    <x v="0"/>
    <n v="11.06"/>
    <n v="8.86"/>
    <n v="0"/>
    <s v="4096"/>
    <m/>
    <n v="11.05645"/>
    <n v="0"/>
    <n v="77793"/>
  </r>
  <r>
    <x v="4"/>
    <m/>
    <s v="Familiehuset Villa Solhøj KV54"/>
    <n v="10318"/>
    <m/>
    <s v="Villa Solhøj"/>
    <x v="15"/>
    <x v="0"/>
    <x v="6"/>
    <n v="30.79"/>
    <n v="4"/>
    <s v="2009-06-02"/>
    <n v="0"/>
    <n v="170"/>
    <n v="0.18101100000000001"/>
    <n v="3"/>
    <x v="0"/>
    <n v="30.79"/>
    <n v="24.64"/>
    <n v="0"/>
    <s v="4096"/>
    <m/>
    <n v="30.795999999999999"/>
    <n v="0"/>
    <n v="77793"/>
  </r>
  <r>
    <x v="4"/>
    <m/>
    <s v="Hareskovhvile, BM 118"/>
    <n v="10273"/>
    <m/>
    <s v="Hareskovhvile"/>
    <x v="96"/>
    <x v="0"/>
    <x v="0"/>
    <n v="133"/>
    <n v="5"/>
    <s v="2011-12-31"/>
    <n v="0"/>
    <n v="400"/>
    <n v="0.14043900000000001"/>
    <n v="3"/>
    <x v="0"/>
    <n v="56.19"/>
    <n v="44.96"/>
    <n v="0"/>
    <s v="44513"/>
    <m/>
    <n v="56.186999999999998"/>
    <n v="0"/>
    <n v="77660"/>
  </r>
  <r>
    <x v="4"/>
    <m/>
    <s v="Hareskovhvile, BM 118"/>
    <n v="10273"/>
    <m/>
    <s v="Hareskovhvile"/>
    <x v="96"/>
    <x v="0"/>
    <x v="1"/>
    <n v="127.59"/>
    <n v="12"/>
    <s v="2011-12-31"/>
    <n v="0"/>
    <n v="400"/>
    <n v="0.31889499999999998"/>
    <n v="3"/>
    <x v="0"/>
    <n v="127.59"/>
    <n v="102.08"/>
    <n v="0"/>
    <s v="44513"/>
    <m/>
    <n v="127.61225"/>
    <n v="0"/>
    <n v="77660"/>
  </r>
  <r>
    <x v="4"/>
    <m/>
    <s v="Hareskovhvile, BM 118"/>
    <n v="10273"/>
    <m/>
    <s v="Hareskovhvile"/>
    <x v="96"/>
    <x v="0"/>
    <x v="2"/>
    <n v="180.3"/>
    <n v="12"/>
    <s v="2011-12-31"/>
    <n v="0"/>
    <n v="400"/>
    <n v="0.45063700000000001"/>
    <n v="3"/>
    <x v="0"/>
    <n v="180.3"/>
    <n v="144.22"/>
    <n v="0"/>
    <s v="44513"/>
    <m/>
    <n v="180.28675000000001"/>
    <n v="0"/>
    <n v="77660"/>
  </r>
  <r>
    <x v="4"/>
    <m/>
    <s v="Hareskovhvile, BM 118"/>
    <n v="10273"/>
    <m/>
    <s v="Hareskovhvile"/>
    <x v="96"/>
    <x v="0"/>
    <x v="3"/>
    <n v="185.69"/>
    <n v="13"/>
    <s v="2011-12-31"/>
    <n v="0"/>
    <n v="400"/>
    <n v="0.46410800000000002"/>
    <n v="3"/>
    <x v="0"/>
    <n v="185.69"/>
    <n v="148.57"/>
    <n v="0"/>
    <s v="44513"/>
    <m/>
    <n v="185.70023"/>
    <n v="0"/>
    <n v="77660"/>
  </r>
  <r>
    <x v="4"/>
    <m/>
    <s v="Hareskovhvile, BM 118"/>
    <n v="10273"/>
    <m/>
    <s v="Hareskovhvile"/>
    <x v="96"/>
    <x v="0"/>
    <x v="4"/>
    <n v="209.82"/>
    <n v="11"/>
    <s v="2011-12-31"/>
    <n v="0"/>
    <n v="400"/>
    <n v="0.52441800000000005"/>
    <n v="3"/>
    <x v="0"/>
    <n v="209.82"/>
    <n v="167.85"/>
    <n v="0"/>
    <s v="44513"/>
    <m/>
    <n v="209.82435000000001"/>
    <n v="0"/>
    <n v="77660"/>
  </r>
  <r>
    <x v="4"/>
    <m/>
    <s v="Hareskovhvile, BM 118"/>
    <n v="10273"/>
    <m/>
    <s v="Hareskovhvile"/>
    <x v="96"/>
    <x v="0"/>
    <x v="5"/>
    <n v="202.35"/>
    <n v="12"/>
    <s v="2011-12-31"/>
    <n v="0"/>
    <n v="400"/>
    <n v="0.50574799999999998"/>
    <n v="3"/>
    <x v="0"/>
    <n v="202.35"/>
    <n v="161.9"/>
    <n v="0"/>
    <s v="44513"/>
    <m/>
    <n v="202.37559999999999"/>
    <n v="0"/>
    <n v="77660"/>
  </r>
  <r>
    <x v="4"/>
    <m/>
    <s v="Hareskovhvile, BM 118"/>
    <n v="10273"/>
    <m/>
    <s v="Hareskovhvile"/>
    <x v="96"/>
    <x v="0"/>
    <x v="6"/>
    <n v="170.6"/>
    <n v="6"/>
    <s v="2011-12-31"/>
    <n v="0"/>
    <n v="400"/>
    <n v="0.42639300000000002"/>
    <n v="3"/>
    <x v="0"/>
    <n v="170.6"/>
    <n v="136.46"/>
    <n v="0"/>
    <s v="44513"/>
    <m/>
    <n v="170.58335"/>
    <n v="0"/>
    <n v="77660"/>
  </r>
  <r>
    <x v="4"/>
    <m/>
    <s v="Lysthuset, Lille Værløsevej 36A"/>
    <n v="10182"/>
    <m/>
    <s v="Lysthuset"/>
    <x v="97"/>
    <x v="0"/>
    <x v="0"/>
    <n v="53"/>
    <n v="5"/>
    <s v="2013-12-31"/>
    <n v="0"/>
    <n v="152"/>
    <n v="0.15798799999999999"/>
    <n v="3"/>
    <x v="0"/>
    <n v="24.03"/>
    <n v="19.239999999999998"/>
    <n v="0"/>
    <s v="4504"/>
    <m/>
    <n v="24.032"/>
    <n v="0"/>
    <n v="77234"/>
  </r>
  <r>
    <x v="4"/>
    <m/>
    <s v="Lysthuset, Lille Værløsevej 36A"/>
    <n v="10182"/>
    <m/>
    <s v="Lysthuset"/>
    <x v="97"/>
    <x v="0"/>
    <x v="1"/>
    <n v="24.69"/>
    <n v="7"/>
    <s v="2013-12-31"/>
    <n v="0"/>
    <n v="152"/>
    <n v="0.162327"/>
    <n v="3"/>
    <x v="0"/>
    <n v="24.69"/>
    <n v="19.760000000000002"/>
    <n v="0"/>
    <s v="4504"/>
    <m/>
    <n v="24.693819999999999"/>
    <n v="0"/>
    <n v="77234"/>
  </r>
  <r>
    <x v="4"/>
    <m/>
    <s v="Lysthuset, Lille Værløsevej 36A"/>
    <n v="10182"/>
    <m/>
    <s v="Lysthuset"/>
    <x v="97"/>
    <x v="0"/>
    <x v="2"/>
    <n v="40.85"/>
    <n v="4"/>
    <s v="2013-12-31"/>
    <n v="0"/>
    <n v="152"/>
    <n v="0.26857300000000001"/>
    <n v="3"/>
    <x v="0"/>
    <n v="40.85"/>
    <n v="32.69"/>
    <n v="0"/>
    <s v="4504"/>
    <m/>
    <n v="40.868670000000002"/>
    <n v="0"/>
    <n v="77234"/>
  </r>
  <r>
    <x v="4"/>
    <m/>
    <s v="Lysthuset, Lille Værløsevej 36A"/>
    <n v="10182"/>
    <m/>
    <s v="Lysthuset"/>
    <x v="97"/>
    <x v="0"/>
    <x v="3"/>
    <n v="41.8"/>
    <n v="3"/>
    <s v="2013-12-31"/>
    <n v="0"/>
    <n v="152"/>
    <n v="0.27481899999999998"/>
    <n v="3"/>
    <x v="0"/>
    <n v="41.8"/>
    <n v="33.43"/>
    <n v="0"/>
    <s v="4504"/>
    <m/>
    <n v="41.801130000000001"/>
    <n v="0"/>
    <n v="77234"/>
  </r>
  <r>
    <x v="4"/>
    <m/>
    <s v="Lysthuset, Lille Værløsevej 36A"/>
    <n v="10182"/>
    <m/>
    <s v="Lysthuset"/>
    <x v="97"/>
    <x v="0"/>
    <x v="4"/>
    <n v="50.49"/>
    <n v="3"/>
    <s v="2013-12-31"/>
    <n v="0"/>
    <n v="152"/>
    <n v="0.33195200000000002"/>
    <n v="3"/>
    <x v="0"/>
    <n v="50.49"/>
    <n v="40.409999999999997"/>
    <n v="0"/>
    <s v="4504"/>
    <m/>
    <n v="50.486170000000001"/>
    <n v="0"/>
    <n v="77234"/>
  </r>
  <r>
    <x v="4"/>
    <m/>
    <s v="Lysthuset, Lille Værløsevej 36A"/>
    <n v="10182"/>
    <m/>
    <s v="Lysthuset"/>
    <x v="97"/>
    <x v="0"/>
    <x v="5"/>
    <n v="109.32"/>
    <n v="3"/>
    <s v="2013-12-31"/>
    <n v="0"/>
    <n v="152"/>
    <n v="0.71873699999999996"/>
    <n v="3"/>
    <x v="0"/>
    <n v="109.32"/>
    <n v="87.46"/>
    <n v="0"/>
    <s v="4504"/>
    <m/>
    <n v="109.30643999999999"/>
    <n v="0"/>
    <n v="77234"/>
  </r>
  <r>
    <x v="4"/>
    <m/>
    <s v="Lysthuset, Lille Værløsevej 36A"/>
    <n v="10182"/>
    <m/>
    <s v="Lysthuset"/>
    <x v="97"/>
    <x v="0"/>
    <x v="6"/>
    <n v="139.53"/>
    <n v="7"/>
    <s v="2013-12-31"/>
    <n v="0"/>
    <n v="152"/>
    <n v="0.91735699999999998"/>
    <n v="3"/>
    <x v="0"/>
    <n v="139.53"/>
    <n v="111.62"/>
    <n v="0"/>
    <s v="4504"/>
    <m/>
    <n v="139.51407"/>
    <n v="0"/>
    <n v="77234"/>
  </r>
  <r>
    <x v="4"/>
    <s v="1737"/>
    <s v="Musikskolen KV36"/>
    <n v="13660"/>
    <m/>
    <s v="Musikskolen"/>
    <x v="56"/>
    <x v="0"/>
    <x v="0"/>
    <n v="9036"/>
    <n v="5"/>
    <s v="2014-04-30"/>
    <n v="0"/>
    <n v="532"/>
    <n v="7.7574889999999996"/>
    <n v="2"/>
    <x v="2"/>
    <n v="4127.76"/>
    <n v="1238.33"/>
    <n v="0"/>
    <s v="1018671-38070"/>
    <s v="74115437542"/>
    <n v="4127.7602999999999"/>
    <n v="0"/>
    <n v="91247"/>
  </r>
  <r>
    <x v="4"/>
    <s v="1737"/>
    <s v="Musikskolen KV36"/>
    <n v="14495"/>
    <s v="0"/>
    <s v="Værestedet"/>
    <x v="56"/>
    <x v="0"/>
    <x v="1"/>
    <n v="65.7"/>
    <n v="2"/>
    <s v="2014-04-30"/>
    <n v="0"/>
    <n v="878"/>
    <n v="7.4819999999999998E-2"/>
    <n v="3"/>
    <x v="0"/>
    <n v="65.7"/>
    <n v="52.56"/>
    <n v="0"/>
    <s v="40879"/>
    <m/>
    <n v="65.702380000000005"/>
    <n v="0"/>
    <n v="94941"/>
  </r>
  <r>
    <x v="4"/>
    <m/>
    <s v="Ryetvej 15"/>
    <n v="10270"/>
    <m/>
    <s v="Ryetvej 15"/>
    <x v="98"/>
    <x v="0"/>
    <x v="0"/>
    <n v="2"/>
    <n v="5"/>
    <s v="2012-01-26"/>
    <n v="0"/>
    <n v="96"/>
    <n v="1.6857E-2"/>
    <n v="3"/>
    <x v="0"/>
    <n v="1.62"/>
    <n v="1.29"/>
    <n v="0"/>
    <s v="40456"/>
    <m/>
    <n v="1.6140000000000001"/>
    <n v="0"/>
    <n v="77651"/>
  </r>
  <r>
    <x v="4"/>
    <m/>
    <s v="Ryetvej 15"/>
    <n v="10270"/>
    <m/>
    <s v="Ryetvej 15"/>
    <x v="98"/>
    <x v="0"/>
    <x v="1"/>
    <n v="20.95"/>
    <n v="12"/>
    <s v="2012-01-26"/>
    <n v="0"/>
    <n v="96"/>
    <n v="0.218002"/>
    <n v="3"/>
    <x v="0"/>
    <n v="20.95"/>
    <n v="16.760000000000002"/>
    <n v="0"/>
    <s v="40456"/>
    <m/>
    <n v="20.957999999999998"/>
    <n v="0"/>
    <n v="77651"/>
  </r>
  <r>
    <x v="4"/>
    <m/>
    <s v="Ryetvej 15"/>
    <n v="10270"/>
    <m/>
    <s v="Ryetvej 15"/>
    <x v="98"/>
    <x v="0"/>
    <x v="2"/>
    <n v="11.07"/>
    <n v="13"/>
    <s v="2012-01-26"/>
    <n v="0"/>
    <n v="96"/>
    <n v="0.115192"/>
    <n v="3"/>
    <x v="0"/>
    <n v="11.07"/>
    <n v="8.86"/>
    <n v="0"/>
    <s v="40456"/>
    <m/>
    <n v="11.074999999999999"/>
    <n v="0"/>
    <n v="77651"/>
  </r>
  <r>
    <x v="4"/>
    <m/>
    <s v="Ryetvej 15"/>
    <n v="10270"/>
    <m/>
    <s v="Ryetvej 15"/>
    <x v="98"/>
    <x v="0"/>
    <x v="3"/>
    <n v="39"/>
    <n v="6"/>
    <s v="2012-01-26"/>
    <n v="0"/>
    <n v="96"/>
    <n v="0.40582699999999999"/>
    <n v="3"/>
    <x v="0"/>
    <n v="39"/>
    <n v="31.2"/>
    <n v="0"/>
    <s v="40456"/>
    <m/>
    <n v="39"/>
    <n v="0"/>
    <n v="77651"/>
  </r>
  <r>
    <x v="4"/>
    <m/>
    <s v="Ryetvej 15"/>
    <n v="10270"/>
    <m/>
    <s v="Ryetvej 15"/>
    <x v="98"/>
    <x v="0"/>
    <x v="4"/>
    <n v="0"/>
    <n v="2"/>
    <s v="2012-01-26"/>
    <n v="0"/>
    <n v="96"/>
    <n v="0"/>
    <n v="3"/>
    <x v="0"/>
    <n v="0"/>
    <n v="0"/>
    <n v="0"/>
    <s v="40456"/>
    <m/>
    <n v="0"/>
    <n v="0"/>
    <n v="77651"/>
  </r>
  <r>
    <x v="4"/>
    <m/>
    <s v="Ryetvej 15"/>
    <n v="10270"/>
    <m/>
    <s v="Ryetvej 15"/>
    <x v="98"/>
    <x v="0"/>
    <x v="5"/>
    <n v="12.24"/>
    <n v="5"/>
    <s v="2012-01-26"/>
    <n v="0"/>
    <n v="96"/>
    <n v="0.12736700000000001"/>
    <n v="3"/>
    <x v="0"/>
    <n v="12.24"/>
    <n v="9.8000000000000007"/>
    <n v="0"/>
    <s v="40456"/>
    <m/>
    <n v="12.242430000000001"/>
    <n v="0"/>
    <n v="77651"/>
  </r>
  <r>
    <x v="4"/>
    <m/>
    <s v="Ryetvej 15"/>
    <n v="10270"/>
    <m/>
    <s v="Ryetvej 15"/>
    <x v="98"/>
    <x v="0"/>
    <x v="6"/>
    <n v="35.67"/>
    <n v="6"/>
    <s v="2012-01-26"/>
    <n v="0"/>
    <n v="96"/>
    <n v="0.37117499999999998"/>
    <n v="3"/>
    <x v="0"/>
    <n v="35.67"/>
    <n v="28.52"/>
    <n v="0"/>
    <s v="40456"/>
    <m/>
    <n v="35.658659999999998"/>
    <n v="0"/>
    <n v="77651"/>
  </r>
  <r>
    <x v="4"/>
    <s v="00767-6"/>
    <s v="Sundhedshuset Gammelgårdsvej 88"/>
    <n v="5270"/>
    <m/>
    <s v="Milcon"/>
    <x v="99"/>
    <x v="0"/>
    <x v="0"/>
    <n v="444"/>
    <n v="5"/>
    <s v="2010-01-29"/>
    <n v="0"/>
    <n v="2625"/>
    <n v="6.5726999999999994E-2"/>
    <n v="3"/>
    <x v="0"/>
    <n v="172.54"/>
    <n v="138.03"/>
    <n v="0"/>
    <s v="BK 4016439"/>
    <m/>
    <n v="172.541"/>
    <n v="0"/>
    <n v="56824"/>
  </r>
  <r>
    <x v="4"/>
    <s v="00767-6"/>
    <s v="Sundhedshuset Gammelgårdsvej 88"/>
    <n v="5270"/>
    <m/>
    <s v="Milcon"/>
    <x v="99"/>
    <x v="0"/>
    <x v="1"/>
    <n v="462.96"/>
    <n v="12"/>
    <s v="2010-01-29"/>
    <n v="0"/>
    <n v="2625"/>
    <n v="0.17635799999999999"/>
    <n v="3"/>
    <x v="0"/>
    <n v="462.96"/>
    <n v="370.36"/>
    <n v="0"/>
    <s v="BK 4016439"/>
    <m/>
    <n v="462.94799999999998"/>
    <n v="0"/>
    <n v="56824"/>
  </r>
  <r>
    <x v="4"/>
    <s v="00767-6"/>
    <s v="Sundhedshuset Gammelgårdsvej 88"/>
    <n v="5270"/>
    <m/>
    <s v="Milcon"/>
    <x v="99"/>
    <x v="0"/>
    <x v="2"/>
    <n v="443.41"/>
    <n v="12"/>
    <s v="2010-01-29"/>
    <n v="0"/>
    <n v="2625"/>
    <n v="0.16891100000000001"/>
    <n v="3"/>
    <x v="0"/>
    <n v="443.41"/>
    <n v="354.73"/>
    <n v="0"/>
    <s v="BK 4016439"/>
    <m/>
    <n v="443.40199999999999"/>
    <n v="0"/>
    <n v="56824"/>
  </r>
  <r>
    <x v="4"/>
    <s v="00767-6"/>
    <s v="Sundhedshuset Gammelgårdsvej 88"/>
    <n v="5270"/>
    <m/>
    <s v="Milcon"/>
    <x v="99"/>
    <x v="0"/>
    <x v="3"/>
    <n v="419.84"/>
    <n v="12"/>
    <s v="2010-01-29"/>
    <n v="0"/>
    <n v="2625"/>
    <n v="0.15993199999999999"/>
    <n v="3"/>
    <x v="0"/>
    <n v="419.84"/>
    <n v="335.89"/>
    <n v="0"/>
    <s v="BK 4016439"/>
    <m/>
    <n v="419.84800000000001"/>
    <n v="0"/>
    <n v="56824"/>
  </r>
  <r>
    <x v="4"/>
    <s v="00767-6"/>
    <s v="Sundhedshuset Gammelgårdsvej 88"/>
    <n v="5270"/>
    <m/>
    <s v="Milcon"/>
    <x v="99"/>
    <x v="0"/>
    <x v="4"/>
    <n v="413.32"/>
    <n v="13"/>
    <s v="2010-01-29"/>
    <n v="0"/>
    <n v="2625"/>
    <n v="0.15744900000000001"/>
    <n v="3"/>
    <x v="0"/>
    <n v="413.32"/>
    <n v="330.68"/>
    <n v="0"/>
    <s v="BK 4016439"/>
    <m/>
    <n v="413.33389"/>
    <n v="0"/>
    <n v="56824"/>
  </r>
  <r>
    <x v="4"/>
    <s v="00767-6"/>
    <s v="Sundhedshuset Gammelgårdsvej 88"/>
    <n v="5270"/>
    <m/>
    <s v="Milcon"/>
    <x v="99"/>
    <x v="0"/>
    <x v="5"/>
    <n v="456.04"/>
    <n v="12"/>
    <s v="2010-01-29"/>
    <n v="0"/>
    <n v="2625"/>
    <n v="0.17372199999999999"/>
    <n v="3"/>
    <x v="0"/>
    <n v="456.04"/>
    <n v="364.85"/>
    <n v="0"/>
    <s v="BK 4016439"/>
    <m/>
    <n v="456.03811000000002"/>
    <n v="0"/>
    <n v="56824"/>
  </r>
  <r>
    <x v="4"/>
    <s v="00767-6"/>
    <s v="Sundhedshuset Gammelgårdsvej 88"/>
    <n v="5270"/>
    <m/>
    <s v="Milcon"/>
    <x v="99"/>
    <x v="0"/>
    <x v="6"/>
    <n v="425"/>
    <n v="12"/>
    <s v="2010-01-29"/>
    <n v="0"/>
    <n v="2625"/>
    <n v="0.16189799999999999"/>
    <n v="3"/>
    <x v="0"/>
    <n v="425"/>
    <n v="339.98"/>
    <n v="0"/>
    <s v="BK 4016439"/>
    <m/>
    <n v="425.00700000000001"/>
    <n v="0"/>
    <n v="56824"/>
  </r>
  <r>
    <x v="4"/>
    <s v="03975-6"/>
    <s v="Familiehuset Ellegården Stavnsholtvej 168"/>
    <n v="5261"/>
    <m/>
    <s v="Familiehuset"/>
    <x v="57"/>
    <x v="0"/>
    <x v="7"/>
    <n v="107.04"/>
    <n v="12"/>
    <s v="2005-07-01"/>
    <n v="0"/>
    <n v="309"/>
    <n v="0.34629500000000002"/>
    <n v="3"/>
    <x v="0"/>
    <n v="107.04"/>
    <n v="85.65"/>
    <n v="0"/>
    <s v="BK 99502460"/>
    <m/>
    <n v="107.054"/>
    <n v="0"/>
    <n v="56736"/>
  </r>
  <r>
    <x v="4"/>
    <s v="03975-6"/>
    <s v="Familiehuset Ellegården Stavnsholtvej 168"/>
    <n v="5261"/>
    <m/>
    <s v="Familiehuset"/>
    <x v="57"/>
    <x v="0"/>
    <x v="1"/>
    <n v="7678.83"/>
    <n v="12"/>
    <s v="2005-07-01"/>
    <n v="0"/>
    <n v="309"/>
    <n v="24.842542000000002"/>
    <n v="2"/>
    <x v="2"/>
    <n v="7678.83"/>
    <n v="3071.54"/>
    <n v="0"/>
    <s v="BIMÅLER"/>
    <m/>
    <n v="7678.83"/>
    <n v="0"/>
    <n v="56734"/>
  </r>
  <r>
    <x v="3"/>
    <m/>
    <s v="Skovstjernen Børnehus, Skovlinien 23"/>
    <n v="10019"/>
    <m/>
    <s v="Skovstjernen Børnehus"/>
    <x v="45"/>
    <x v="0"/>
    <x v="7"/>
    <n v="74762.48"/>
    <n v="12"/>
    <s v="2011-10-31"/>
    <n v="0"/>
    <n v="598"/>
    <n v="124.999966"/>
    <n v="1"/>
    <x v="4"/>
    <n v="89768.34"/>
    <n v="18984.34"/>
    <n v="0"/>
    <s v="176870"/>
    <s v="98004882257"/>
    <n v="6922.4500200000002"/>
    <n v="0"/>
    <n v="76533"/>
  </r>
  <r>
    <x v="4"/>
    <m/>
    <s v="Familiehuset Villa Solhøj KV54"/>
    <n v="10318"/>
    <m/>
    <s v="Villa Solhøj"/>
    <x v="15"/>
    <x v="0"/>
    <x v="7"/>
    <n v="33.5"/>
    <n v="12"/>
    <s v="2010-08-31"/>
    <n v="0"/>
    <n v="170"/>
    <n v="0.19694200000000001"/>
    <n v="3"/>
    <x v="0"/>
    <n v="33.5"/>
    <n v="26.8"/>
    <n v="0"/>
    <s v="1137120004"/>
    <m/>
    <n v="33.5"/>
    <n v="0"/>
    <n v="85095"/>
  </r>
  <r>
    <x v="4"/>
    <m/>
    <s v="Familiehuset Villa Solhøj KV54"/>
    <n v="10318"/>
    <m/>
    <s v="Villa Solhøj"/>
    <x v="15"/>
    <x v="0"/>
    <x v="7"/>
    <n v="25040"/>
    <n v="12"/>
    <s v="2013-11-30"/>
    <n v="0"/>
    <n v="170"/>
    <n v="147.20752400000001"/>
    <n v="1"/>
    <x v="1"/>
    <n v="29877.1"/>
    <n v="1912.13"/>
    <n v="0"/>
    <s v="6190956"/>
    <m/>
    <n v="25039.999800000001"/>
    <n v="0"/>
    <n v="95104"/>
  </r>
  <r>
    <x v="4"/>
    <m/>
    <s v="Familiehuset Villa Solhøj KV54"/>
    <n v="10318"/>
    <m/>
    <s v="Villa Solhøj"/>
    <x v="15"/>
    <x v="0"/>
    <x v="1"/>
    <n v="2488.9499999999998"/>
    <n v="12"/>
    <s v="2010-04-20"/>
    <n v="0"/>
    <n v="170"/>
    <n v="14.632275"/>
    <n v="2"/>
    <x v="2"/>
    <n v="2488.9499999999998"/>
    <n v="746.69"/>
    <n v="0"/>
    <s v="1099133-38078"/>
    <s v="74110512749"/>
    <n v="2488.9360000000001"/>
    <n v="0"/>
    <n v="77792"/>
  </r>
  <r>
    <x v="8"/>
    <s v="04757-0"/>
    <s v="Solvognen, Nordtoftevej 56B"/>
    <n v="5275"/>
    <m/>
    <s v="Solvognen"/>
    <x v="68"/>
    <x v="0"/>
    <x v="7"/>
    <n v="78278.63"/>
    <n v="12"/>
    <s v="2005-05-01"/>
    <n v="0"/>
    <n v="675"/>
    <n v="115.951162"/>
    <n v="1"/>
    <x v="4"/>
    <n v="93232.83"/>
    <n v="19717.02"/>
    <n v="0"/>
    <s v="1541448"/>
    <s v="98001998814"/>
    <n v="7248.02"/>
    <n v="0"/>
    <n v="56856"/>
  </r>
  <r>
    <x v="4"/>
    <m/>
    <s v="Hareskovhvile, BM 118"/>
    <n v="10273"/>
    <m/>
    <s v="Hareskovhvile"/>
    <x v="96"/>
    <x v="0"/>
    <x v="7"/>
    <n v="132.69"/>
    <n v="12"/>
    <s v="2011-12-31"/>
    <n v="0"/>
    <n v="400"/>
    <n v="0.33164199999999999"/>
    <n v="3"/>
    <x v="0"/>
    <n v="132.69"/>
    <n v="106.16"/>
    <n v="0"/>
    <s v="44513"/>
    <m/>
    <n v="132.685"/>
    <n v="0"/>
    <n v="77660"/>
  </r>
  <r>
    <x v="4"/>
    <m/>
    <s v="Hareskovhvile, BM 118"/>
    <n v="10273"/>
    <m/>
    <s v="Hareskovhvile"/>
    <x v="96"/>
    <x v="0"/>
    <x v="7"/>
    <n v="43733"/>
    <n v="12"/>
    <s v="2012-02-29"/>
    <n v="0"/>
    <n v="400"/>
    <n v="109.305173"/>
    <n v="1"/>
    <x v="1"/>
    <n v="52607.78"/>
    <n v="3366.9"/>
    <n v="0"/>
    <s v="901636/99"/>
    <m/>
    <n v="43733"/>
    <n v="0"/>
    <n v="77661"/>
  </r>
  <r>
    <x v="4"/>
    <m/>
    <s v="Hareskovhvile, BM 118"/>
    <n v="10273"/>
    <m/>
    <s v="Hareskovhvile"/>
    <x v="96"/>
    <x v="0"/>
    <x v="1"/>
    <n v="14268.89"/>
    <n v="12"/>
    <s v="2011-12-31"/>
    <n v="0"/>
    <n v="400"/>
    <n v="35.663308999999998"/>
    <n v="2"/>
    <x v="2"/>
    <n v="14268.89"/>
    <n v="4280.68"/>
    <n v="0"/>
    <s v="4038256"/>
    <s v="74110495868"/>
    <n v="14268.880999999999"/>
    <n v="0"/>
    <n v="77659"/>
  </r>
  <r>
    <x v="4"/>
    <s v="03975-6"/>
    <s v="Familiehuset Ellegården Stavnsholtvej 168"/>
    <n v="5261"/>
    <m/>
    <s v="Familiehuset"/>
    <x v="57"/>
    <x v="0"/>
    <x v="0"/>
    <n v="36399"/>
    <n v="5"/>
    <s v="2005-07-01"/>
    <n v="0"/>
    <n v="309"/>
    <n v="58.220058000000002"/>
    <n v="1"/>
    <x v="4"/>
    <n v="40592"/>
    <n v="4143.2700000000004"/>
    <n v="0"/>
    <s v="1114438"/>
    <s v="98001985531"/>
    <n v="1666.28"/>
    <n v="0"/>
    <n v="56735"/>
  </r>
  <r>
    <x v="4"/>
    <s v="03975-6"/>
    <s v="Familiehuset Ellegården Stavnsholtvej 168"/>
    <n v="5261"/>
    <m/>
    <s v="Familiehuset"/>
    <x v="57"/>
    <x v="0"/>
    <x v="1"/>
    <n v="42339.57"/>
    <n v="12"/>
    <s v="2005-07-01"/>
    <n v="0"/>
    <n v="309"/>
    <n v="136.976933"/>
    <n v="1"/>
    <x v="4"/>
    <n v="43306.74"/>
    <n v="9158.59"/>
    <n v="0"/>
    <s v="1114438"/>
    <s v="98001985531"/>
    <n v="3920.33"/>
    <n v="0"/>
    <n v="56735"/>
  </r>
  <r>
    <x v="4"/>
    <s v="03975-6"/>
    <s v="Familiehuset Ellegården Stavnsholtvej 168"/>
    <n v="5261"/>
    <m/>
    <s v="Familiehuset"/>
    <x v="57"/>
    <x v="0"/>
    <x v="2"/>
    <n v="45062.8"/>
    <n v="12"/>
    <s v="2005-07-01"/>
    <n v="0"/>
    <n v="309"/>
    <n v="145.78712300000001"/>
    <n v="1"/>
    <x v="4"/>
    <n v="46687.96"/>
    <n v="9873.6299999999992"/>
    <n v="0"/>
    <s v="1114438"/>
    <s v="98001985531"/>
    <n v="4172.4799999999996"/>
    <n v="0"/>
    <n v="56735"/>
  </r>
  <r>
    <x v="4"/>
    <s v="03975-6"/>
    <s v="Familiehuset Ellegården Stavnsholtvej 168"/>
    <n v="5261"/>
    <m/>
    <s v="Familiehuset"/>
    <x v="57"/>
    <x v="0"/>
    <x v="3"/>
    <n v="41182.379999999997"/>
    <n v="12"/>
    <s v="2005-07-01"/>
    <n v="0"/>
    <n v="309"/>
    <n v="133.233193"/>
    <n v="1"/>
    <x v="4"/>
    <n v="43953.8"/>
    <n v="9295.42"/>
    <n v="0"/>
    <s v="1114438"/>
    <s v="98001985531"/>
    <n v="3813.1824000000001"/>
    <n v="0"/>
    <n v="56735"/>
  </r>
  <r>
    <x v="4"/>
    <s v="03975-6"/>
    <s v="Familiehuset Ellegården Stavnsholtvej 168"/>
    <n v="5261"/>
    <m/>
    <s v="Familiehuset"/>
    <x v="57"/>
    <x v="0"/>
    <x v="4"/>
    <n v="44491.22"/>
    <n v="12"/>
    <s v="2005-07-01"/>
    <n v="0"/>
    <n v="309"/>
    <n v="143.93794800000001"/>
    <n v="1"/>
    <x v="4"/>
    <n v="54097.98"/>
    <n v="11440.72"/>
    <n v="0"/>
    <s v="1114438"/>
    <s v="98001985531"/>
    <n v="4119.5577999999996"/>
    <n v="0"/>
    <n v="56735"/>
  </r>
  <r>
    <x v="4"/>
    <s v="03975-6"/>
    <s v="Familiehuset Ellegården Stavnsholtvej 168"/>
    <n v="5261"/>
    <m/>
    <s v="Familiehuset"/>
    <x v="57"/>
    <x v="0"/>
    <x v="5"/>
    <n v="36598.29"/>
    <n v="12"/>
    <s v="2005-07-01"/>
    <n v="0"/>
    <n v="309"/>
    <n v="118.402749"/>
    <n v="1"/>
    <x v="4"/>
    <n v="38641.339999999997"/>
    <n v="8171.93"/>
    <n v="0"/>
    <s v="1114438"/>
    <s v="98001985531"/>
    <n v="3388.73"/>
    <n v="0"/>
    <n v="56735"/>
  </r>
  <r>
    <x v="4"/>
    <s v="03975-6"/>
    <s v="Familiehuset Ellegården Stavnsholtvej 168"/>
    <n v="5261"/>
    <m/>
    <s v="Familiehuset"/>
    <x v="57"/>
    <x v="0"/>
    <x v="6"/>
    <n v="46266.34"/>
    <n v="12"/>
    <s v="2005-07-01"/>
    <n v="0"/>
    <n v="309"/>
    <n v="149.680815"/>
    <n v="1"/>
    <x v="4"/>
    <n v="51333.81"/>
    <n v="10856.13"/>
    <n v="0"/>
    <s v="1114438"/>
    <s v="98001985531"/>
    <n v="4283.92"/>
    <n v="0"/>
    <n v="56735"/>
  </r>
  <r>
    <x v="4"/>
    <m/>
    <s v="Familiehuset Villa Solhøj KV54"/>
    <n v="10318"/>
    <m/>
    <s v="Villa Solhøj"/>
    <x v="15"/>
    <x v="0"/>
    <x v="0"/>
    <n v="26698"/>
    <n v="5"/>
    <s v="2013-11-30"/>
    <n v="0"/>
    <n v="170"/>
    <n v="100.45855299999999"/>
    <n v="1"/>
    <x v="1"/>
    <n v="30458"/>
    <n v="1231.83"/>
    <n v="0"/>
    <s v="6190956"/>
    <m/>
    <n v="17088"/>
    <n v="0"/>
    <n v="95104"/>
  </r>
  <r>
    <x v="4"/>
    <m/>
    <s v="Familiehuset Villa Solhøj KV54"/>
    <n v="10318"/>
    <m/>
    <s v="Villa Solhøj"/>
    <x v="15"/>
    <x v="0"/>
    <x v="0"/>
    <n v="0"/>
    <n v="5"/>
    <s v="2010-10-31"/>
    <n v="0"/>
    <n v="170"/>
    <n v="0"/>
    <n v="1"/>
    <x v="4"/>
    <n v="0"/>
    <n v="0"/>
    <n v="0"/>
    <s v="AFMELDT"/>
    <s v="98004052360"/>
    <n v="0"/>
    <n v="0"/>
    <n v="77794"/>
  </r>
  <r>
    <x v="4"/>
    <m/>
    <s v="Familiehuset Villa Solhøj KV54"/>
    <n v="10318"/>
    <m/>
    <s v="Villa Solhøj"/>
    <x v="15"/>
    <x v="0"/>
    <x v="1"/>
    <n v="4971"/>
    <n v="3"/>
    <s v="2013-11-30"/>
    <n v="0"/>
    <n v="170"/>
    <n v="29.223984999999999"/>
    <n v="1"/>
    <x v="1"/>
    <n v="5686.6"/>
    <n v="363.94"/>
    <n v="0"/>
    <s v="6190956"/>
    <m/>
    <n v="4971"/>
    <n v="0"/>
    <n v="95104"/>
  </r>
  <r>
    <x v="4"/>
    <m/>
    <s v="Familiehuset Villa Solhøj KV54"/>
    <n v="10318"/>
    <m/>
    <s v="Villa Solhøj"/>
    <x v="15"/>
    <x v="0"/>
    <x v="1"/>
    <n v="21800.76"/>
    <n v="12"/>
    <s v="2010-10-31"/>
    <n v="0"/>
    <n v="170"/>
    <n v="128.16437300000001"/>
    <n v="1"/>
    <x v="4"/>
    <n v="21875.47"/>
    <n v="4626.25"/>
    <n v="0"/>
    <s v="AFMELDT"/>
    <s v="98004052360"/>
    <n v="2018.59"/>
    <n v="0"/>
    <n v="77794"/>
  </r>
  <r>
    <x v="4"/>
    <m/>
    <s v="Familiehuset Villa Solhøj KV54"/>
    <n v="10318"/>
    <m/>
    <s v="Villa Solhøj"/>
    <x v="15"/>
    <x v="0"/>
    <x v="2"/>
    <n v="29988.79"/>
    <n v="12"/>
    <s v="2010-10-31"/>
    <n v="0"/>
    <n v="170"/>
    <n v="176.30094"/>
    <n v="1"/>
    <x v="4"/>
    <n v="31540.18"/>
    <n v="6670.16"/>
    <n v="0"/>
    <s v="AFMELDT"/>
    <s v="98004052360"/>
    <n v="2776.74"/>
    <n v="0"/>
    <n v="77794"/>
  </r>
  <r>
    <x v="4"/>
    <m/>
    <s v="Familiehuset Villa Solhøj KV54"/>
    <n v="10318"/>
    <m/>
    <s v="Villa Solhøj"/>
    <x v="15"/>
    <x v="0"/>
    <x v="3"/>
    <n v="27484.38"/>
    <n v="12"/>
    <s v="2010-10-31"/>
    <n v="0"/>
    <n v="170"/>
    <n v="161.577777"/>
    <n v="1"/>
    <x v="4"/>
    <n v="30089.39"/>
    <n v="6363.35"/>
    <n v="0"/>
    <s v="AFMELDT"/>
    <s v="98004052360"/>
    <n v="2544.85"/>
    <n v="0"/>
    <n v="77794"/>
  </r>
  <r>
    <x v="4"/>
    <m/>
    <s v="Familiehuset Villa Solhøj KV54"/>
    <n v="10318"/>
    <m/>
    <s v="Villa Solhøj"/>
    <x v="15"/>
    <x v="0"/>
    <x v="4"/>
    <n v="26191.759999999998"/>
    <n v="7"/>
    <s v="2010-10-31"/>
    <n v="0"/>
    <n v="170"/>
    <n v="153.9786"/>
    <n v="1"/>
    <x v="4"/>
    <n v="24242.62"/>
    <n v="5126.8500000000004"/>
    <n v="0"/>
    <s v="AFMELDT"/>
    <s v="98004052360"/>
    <n v="2425.16212"/>
    <n v="0"/>
    <n v="77794"/>
  </r>
  <r>
    <x v="4"/>
    <m/>
    <s v="Familiehuset Villa Solhøj KV54"/>
    <n v="10318"/>
    <m/>
    <s v="Villa Solhøj"/>
    <x v="15"/>
    <x v="0"/>
    <x v="5"/>
    <n v="32773.46"/>
    <n v="2"/>
    <s v="2010-10-31"/>
    <n v="0"/>
    <n v="170"/>
    <n v="192.67172199999999"/>
    <n v="1"/>
    <x v="4"/>
    <n v="44780.6"/>
    <n v="9470.26"/>
    <n v="0"/>
    <s v="AFMELDT"/>
    <s v="98004052360"/>
    <n v="3034.5788699999998"/>
    <n v="0"/>
    <n v="77794"/>
  </r>
  <r>
    <x v="4"/>
    <m/>
    <s v="Familiehuset Villa Solhøj KV54"/>
    <n v="10318"/>
    <m/>
    <s v="Villa Solhøj"/>
    <x v="15"/>
    <x v="0"/>
    <x v="6"/>
    <n v="15695.95"/>
    <n v="3"/>
    <s v="2010-10-31"/>
    <n v="0"/>
    <n v="170"/>
    <n v="92.274838000000003"/>
    <n v="1"/>
    <x v="4"/>
    <n v="17194.79"/>
    <n v="3636.39"/>
    <n v="0"/>
    <s v="AFMELDT"/>
    <s v="98004052360"/>
    <n v="1453.3278600000001"/>
    <n v="0"/>
    <n v="77794"/>
  </r>
  <r>
    <x v="4"/>
    <m/>
    <s v="Hareskovhvile, BM 118"/>
    <n v="10273"/>
    <m/>
    <s v="Hareskovhvile"/>
    <x v="96"/>
    <x v="0"/>
    <x v="0"/>
    <n v="43756"/>
    <n v="5"/>
    <s v="2012-02-29"/>
    <n v="0"/>
    <n v="400"/>
    <n v="63.954011000000001"/>
    <n v="1"/>
    <x v="1"/>
    <n v="50572"/>
    <n v="1853.7"/>
    <n v="0"/>
    <s v="901636/99"/>
    <m/>
    <n v="25588"/>
    <n v="0"/>
    <n v="77661"/>
  </r>
  <r>
    <x v="4"/>
    <m/>
    <s v="Hareskovhvile, BM 118"/>
    <n v="10273"/>
    <m/>
    <s v="Hareskovhvile"/>
    <x v="96"/>
    <x v="0"/>
    <x v="1"/>
    <n v="51975.13"/>
    <n v="12"/>
    <s v="2012-02-29"/>
    <n v="0"/>
    <n v="400"/>
    <n v="129.905348"/>
    <n v="1"/>
    <x v="1"/>
    <n v="54449.69"/>
    <n v="3484.79"/>
    <n v="0"/>
    <s v="901636/99"/>
    <m/>
    <n v="51975.125"/>
    <n v="0"/>
    <n v="77661"/>
  </r>
  <r>
    <x v="4"/>
    <m/>
    <s v="Hareskovhvile, BM 118"/>
    <n v="10273"/>
    <m/>
    <s v="Hareskovhvile"/>
    <x v="96"/>
    <x v="0"/>
    <x v="2"/>
    <n v="54507.76"/>
    <n v="14"/>
    <s v="2012-02-29"/>
    <n v="0"/>
    <n v="400"/>
    <n v="136.23534100000001"/>
    <n v="1"/>
    <x v="1"/>
    <n v="57532.12"/>
    <n v="10643.43"/>
    <n v="0"/>
    <s v="901636/99"/>
    <m/>
    <n v="54507.763890000002"/>
    <n v="0"/>
    <n v="77661"/>
  </r>
  <r>
    <x v="4"/>
    <m/>
    <s v="Hareskovhvile, BM 118"/>
    <n v="10273"/>
    <m/>
    <s v="Hareskovhvile"/>
    <x v="96"/>
    <x v="0"/>
    <x v="3"/>
    <n v="51290.03"/>
    <n v="12"/>
    <s v="2012-02-29"/>
    <n v="0"/>
    <n v="400"/>
    <n v="128.193026"/>
    <n v="1"/>
    <x v="1"/>
    <n v="56308.53"/>
    <n v="10417.08"/>
    <n v="0"/>
    <s v="901636/99"/>
    <m/>
    <n v="51290.02779"/>
    <n v="0"/>
    <n v="77661"/>
  </r>
  <r>
    <x v="4"/>
    <m/>
    <s v="Hareskovhvile, BM 118"/>
    <n v="10273"/>
    <m/>
    <s v="Hareskovhvile"/>
    <x v="96"/>
    <x v="0"/>
    <x v="4"/>
    <n v="58095.51"/>
    <n v="11"/>
    <s v="2012-02-29"/>
    <n v="0"/>
    <n v="400"/>
    <n v="145.202474"/>
    <n v="1"/>
    <x v="1"/>
    <n v="52733.45"/>
    <n v="9755.7000000000007"/>
    <n v="0"/>
    <s v="901636/99"/>
    <m/>
    <n v="58095.511919999997"/>
    <n v="0"/>
    <n v="77661"/>
  </r>
  <r>
    <x v="4"/>
    <m/>
    <s v="Hareskovhvile, BM 118"/>
    <n v="10273"/>
    <m/>
    <s v="Hareskovhvile"/>
    <x v="96"/>
    <x v="0"/>
    <x v="5"/>
    <n v="47735.12"/>
    <n v="12"/>
    <s v="2012-02-29"/>
    <n v="0"/>
    <n v="400"/>
    <n v="119.307973"/>
    <n v="1"/>
    <x v="1"/>
    <n v="51214.65"/>
    <n v="9474.73"/>
    <n v="0"/>
    <s v="901636/99"/>
    <m/>
    <n v="47735.114289999998"/>
    <n v="0"/>
    <n v="77661"/>
  </r>
  <r>
    <x v="4"/>
    <m/>
    <s v="Hareskovhvile, BM 118"/>
    <n v="10273"/>
    <m/>
    <s v="Hareskovhvile"/>
    <x v="96"/>
    <x v="0"/>
    <x v="6"/>
    <n v="45137.43"/>
    <n v="6"/>
    <s v="2012-02-29"/>
    <n v="0"/>
    <n v="400"/>
    <n v="112.815371"/>
    <n v="1"/>
    <x v="1"/>
    <n v="52105.87"/>
    <n v="9639.6"/>
    <n v="0"/>
    <s v="901636/99"/>
    <m/>
    <n v="45137.435160000001"/>
    <n v="0"/>
    <n v="77661"/>
  </r>
  <r>
    <x v="4"/>
    <m/>
    <s v="Lysthuset, Lille Værløsevej 36A"/>
    <n v="10182"/>
    <m/>
    <s v="Lysthuset"/>
    <x v="97"/>
    <x v="0"/>
    <x v="0"/>
    <n v="27321"/>
    <n v="5"/>
    <s v="2014-02-28"/>
    <n v="0"/>
    <n v="152"/>
    <n v="106.883629"/>
    <n v="1"/>
    <x v="1"/>
    <n v="31643"/>
    <n v="1184.05"/>
    <n v="0"/>
    <s v="69293008"/>
    <m/>
    <n v="16257"/>
    <n v="0"/>
    <n v="77235"/>
  </r>
  <r>
    <x v="4"/>
    <m/>
    <s v="Lysthuset, Lille Værløsevej 36A"/>
    <n v="10182"/>
    <m/>
    <s v="Lysthuset"/>
    <x v="97"/>
    <x v="0"/>
    <x v="1"/>
    <n v="26941.67"/>
    <n v="8"/>
    <s v="2014-02-28"/>
    <n v="0"/>
    <n v="152"/>
    <n v="177.13129499999999"/>
    <n v="1"/>
    <x v="1"/>
    <n v="30034.55"/>
    <n v="1922.22"/>
    <n v="0"/>
    <s v="69293008"/>
    <m/>
    <n v="26941.666659999999"/>
    <n v="0"/>
    <n v="77235"/>
  </r>
  <r>
    <x v="4"/>
    <m/>
    <s v="Lysthuset, Lille Værløsevej 36A"/>
    <n v="10182"/>
    <m/>
    <s v="Lysthuset"/>
    <x v="97"/>
    <x v="0"/>
    <x v="2"/>
    <n v="27738.11"/>
    <n v="3"/>
    <s v="2014-02-28"/>
    <n v="0"/>
    <n v="152"/>
    <n v="182.36758699999999"/>
    <n v="1"/>
    <x v="1"/>
    <n v="30663.3"/>
    <n v="5672.71"/>
    <n v="0"/>
    <s v="69293008"/>
    <m/>
    <n v="27738.108319999999"/>
    <n v="0"/>
    <n v="77235"/>
  </r>
  <r>
    <x v="4"/>
    <m/>
    <s v="Lysthuset, Lille Værløsevej 36A"/>
    <n v="10182"/>
    <m/>
    <s v="Lysthuset"/>
    <x v="97"/>
    <x v="0"/>
    <x v="3"/>
    <n v="30201.86"/>
    <n v="3"/>
    <s v="2014-02-28"/>
    <n v="0"/>
    <n v="152"/>
    <n v="198.565811"/>
    <n v="1"/>
    <x v="1"/>
    <n v="36383.31"/>
    <n v="6730.91"/>
    <n v="0"/>
    <s v="69293008"/>
    <m/>
    <n v="30201.83712"/>
    <n v="0"/>
    <n v="77235"/>
  </r>
  <r>
    <x v="4"/>
    <m/>
    <s v="Lysthuset, Lille Værløsevej 36A"/>
    <n v="10182"/>
    <m/>
    <s v="Lysthuset"/>
    <x v="97"/>
    <x v="0"/>
    <x v="4"/>
    <n v="30805.29"/>
    <n v="3"/>
    <s v="2014-02-28"/>
    <n v="0"/>
    <n v="152"/>
    <n v="202.53313600000001"/>
    <n v="1"/>
    <x v="1"/>
    <n v="29917.4"/>
    <n v="5534.71"/>
    <n v="0"/>
    <s v="69293008"/>
    <m/>
    <n v="30805.309639999999"/>
    <n v="0"/>
    <n v="77235"/>
  </r>
  <r>
    <x v="4"/>
    <m/>
    <s v="Lysthuset, Lille Værløsevej 36A"/>
    <n v="10182"/>
    <m/>
    <s v="Lysthuset"/>
    <x v="97"/>
    <x v="0"/>
    <x v="5"/>
    <n v="27137.75"/>
    <n v="3"/>
    <s v="2014-02-28"/>
    <n v="0"/>
    <n v="152"/>
    <n v="178.420447"/>
    <n v="1"/>
    <x v="1"/>
    <n v="30137.09"/>
    <n v="5575.37"/>
    <n v="0"/>
    <s v="69293008"/>
    <m/>
    <n v="27137.75952"/>
    <n v="0"/>
    <n v="77235"/>
  </r>
  <r>
    <x v="4"/>
    <m/>
    <s v="Lysthuset, Lille Værløsevej 36A"/>
    <n v="10182"/>
    <m/>
    <s v="Lysthuset"/>
    <x v="97"/>
    <x v="0"/>
    <x v="6"/>
    <n v="25124.15"/>
    <n v="7"/>
    <s v="2014-02-28"/>
    <n v="0"/>
    <n v="152"/>
    <n v="165.18178800000001"/>
    <n v="1"/>
    <x v="1"/>
    <n v="29728.16"/>
    <n v="5499.71"/>
    <n v="0"/>
    <s v="69293008"/>
    <m/>
    <n v="25124.153539999999"/>
    <n v="0"/>
    <n v="77235"/>
  </r>
  <r>
    <x v="4"/>
    <s v="1737"/>
    <s v="Musikskolen KV36"/>
    <n v="14495"/>
    <s v="0"/>
    <s v="Værestedet"/>
    <x v="56"/>
    <x v="0"/>
    <x v="1"/>
    <n v="28382.799999999999"/>
    <n v="2"/>
    <s v="2014-03-19"/>
    <n v="0"/>
    <n v="878"/>
    <n v="32.322969999999998"/>
    <n v="1"/>
    <x v="4"/>
    <n v="32340.240000000002"/>
    <n v="6839.36"/>
    <n v="0"/>
    <s v="3100641 afmeldt"/>
    <m/>
    <n v="2628.03703"/>
    <n v="0"/>
    <n v="94939"/>
  </r>
  <r>
    <x v="4"/>
    <m/>
    <s v="Lyspunktet - Nygård 221A"/>
    <n v="5945"/>
    <m/>
    <s v="Lyspunktet - Nygård 221A"/>
    <x v="100"/>
    <x v="0"/>
    <x v="1"/>
    <n v="3595.39"/>
    <n v="2"/>
    <s v="2013-02-28"/>
    <n v="0"/>
    <n v="506"/>
    <n v="7.1041090000000002"/>
    <n v="2"/>
    <x v="2"/>
    <n v="3595.39"/>
    <n v="1078.6099999999999"/>
    <n v="0"/>
    <s v="3103570 X60 Afmeldt"/>
    <s v="74111704464"/>
    <n v="3595.3846100000001"/>
    <n v="0"/>
    <n v="86355"/>
  </r>
  <r>
    <x v="4"/>
    <m/>
    <s v="Ryetvej 15"/>
    <n v="10270"/>
    <m/>
    <s v="Ryetvej 15"/>
    <x v="98"/>
    <x v="0"/>
    <x v="0"/>
    <n v="6699"/>
    <n v="5"/>
    <s v="2012-02-29"/>
    <n v="0"/>
    <n v="96"/>
    <n v="62.736628000000003"/>
    <n v="1"/>
    <x v="1"/>
    <n v="7623"/>
    <n v="439.24"/>
    <n v="0"/>
    <s v="7235795"/>
    <m/>
    <n v="6029.0001000000002"/>
    <n v="0"/>
    <n v="77652"/>
  </r>
  <r>
    <x v="4"/>
    <m/>
    <s v="Ryetvej 15"/>
    <n v="10270"/>
    <m/>
    <s v="Ryetvej 15"/>
    <x v="98"/>
    <x v="0"/>
    <x v="1"/>
    <n v="12545"/>
    <n v="12"/>
    <s v="2012-02-29"/>
    <n v="0"/>
    <n v="96"/>
    <n v="130.54110299999999"/>
    <n v="1"/>
    <x v="1"/>
    <n v="13166.5"/>
    <n v="842.66"/>
    <n v="0"/>
    <s v="7235795"/>
    <m/>
    <n v="12544.999"/>
    <n v="0"/>
    <n v="77652"/>
  </r>
  <r>
    <x v="4"/>
    <m/>
    <s v="Ryetvej 15"/>
    <n v="10270"/>
    <m/>
    <s v="Ryetvej 15"/>
    <x v="98"/>
    <x v="0"/>
    <x v="2"/>
    <n v="11926"/>
    <n v="14"/>
    <s v="2012-02-29"/>
    <n v="0"/>
    <n v="96"/>
    <n v="124.099895"/>
    <n v="1"/>
    <x v="1"/>
    <n v="12436.01"/>
    <n v="2300.66"/>
    <n v="0"/>
    <s v="7235795"/>
    <m/>
    <n v="11926.0003"/>
    <n v="0"/>
    <n v="77652"/>
  </r>
  <r>
    <x v="4"/>
    <m/>
    <s v="Ryetvej 15"/>
    <n v="10270"/>
    <m/>
    <s v="Ryetvej 15"/>
    <x v="98"/>
    <x v="0"/>
    <x v="3"/>
    <n v="0"/>
    <n v="3"/>
    <s v="2012-02-29"/>
    <n v="0"/>
    <n v="96"/>
    <n v="0"/>
    <n v="1"/>
    <x v="1"/>
    <n v="0"/>
    <n v="0"/>
    <n v="0"/>
    <s v="7235795"/>
    <m/>
    <n v="0"/>
    <n v="0"/>
    <n v="77652"/>
  </r>
  <r>
    <x v="4"/>
    <m/>
    <s v="Ryetvej 15"/>
    <n v="10270"/>
    <m/>
    <s v="Ryetvej 15"/>
    <x v="98"/>
    <x v="0"/>
    <x v="4"/>
    <n v="4286.8599999999997"/>
    <n v="2"/>
    <s v="2012-02-29"/>
    <n v="0"/>
    <n v="96"/>
    <n v="44.608324000000003"/>
    <n v="1"/>
    <x v="1"/>
    <n v="4014.79"/>
    <n v="742.74"/>
    <n v="0"/>
    <s v="7235795"/>
    <m/>
    <n v="4286.8636200000001"/>
    <n v="0"/>
    <n v="77652"/>
  </r>
  <r>
    <x v="4"/>
    <m/>
    <s v="Ryetvej 15"/>
    <n v="10270"/>
    <m/>
    <s v="Ryetvej 15"/>
    <x v="98"/>
    <x v="0"/>
    <x v="5"/>
    <n v="13655.17"/>
    <n v="5"/>
    <s v="2012-02-29"/>
    <n v="0"/>
    <n v="96"/>
    <n v="142.09334000000001"/>
    <n v="1"/>
    <x v="1"/>
    <n v="18307.63"/>
    <n v="3386.91"/>
    <n v="0"/>
    <s v="7235795"/>
    <m/>
    <n v="13655.166660000001"/>
    <n v="0"/>
    <n v="77652"/>
  </r>
  <r>
    <x v="4"/>
    <m/>
    <s v="Ryetvej 15"/>
    <n v="10270"/>
    <m/>
    <s v="Ryetvej 15"/>
    <x v="98"/>
    <x v="0"/>
    <x v="6"/>
    <n v="18313.32"/>
    <n v="6"/>
    <s v="2012-02-29"/>
    <n v="0"/>
    <n v="96"/>
    <n v="190.56524400000001"/>
    <n v="1"/>
    <x v="1"/>
    <n v="21474.1"/>
    <n v="3972.7"/>
    <n v="0"/>
    <s v="7235795"/>
    <m/>
    <n v="18313.332330000001"/>
    <n v="0"/>
    <n v="77652"/>
  </r>
  <r>
    <x v="4"/>
    <s v="00767-6"/>
    <s v="Sundhedshuset Gammelgårdsvej 88"/>
    <n v="5270"/>
    <m/>
    <s v="Milcon"/>
    <x v="99"/>
    <x v="0"/>
    <x v="0"/>
    <n v="152128"/>
    <n v="5"/>
    <m/>
    <n v="0"/>
    <n v="2625"/>
    <n v="34.711728999999998"/>
    <n v="1"/>
    <x v="4"/>
    <n v="174273"/>
    <n v="21785"/>
    <n v="0"/>
    <s v="1206500"/>
    <s v="98002006662"/>
    <n v="8437.2000000000007"/>
    <n v="0"/>
    <n v="56823"/>
  </r>
  <r>
    <x v="4"/>
    <s v="00767-6"/>
    <s v="Sundhedshuset Gammelgårdsvej 88"/>
    <n v="5270"/>
    <m/>
    <s v="Milcon"/>
    <x v="99"/>
    <x v="0"/>
    <x v="1"/>
    <n v="193376.16"/>
    <n v="12"/>
    <m/>
    <n v="0"/>
    <n v="2625"/>
    <n v="73.664302000000006"/>
    <n v="1"/>
    <x v="4"/>
    <n v="196678.85"/>
    <n v="41593.94"/>
    <n v="0"/>
    <s v="1206500"/>
    <s v="98002006662"/>
    <n v="17905.2"/>
    <n v="0"/>
    <n v="56823"/>
  </r>
  <r>
    <x v="4"/>
    <s v="00767-6"/>
    <s v="Sundhedshuset Gammelgårdsvej 88"/>
    <n v="5270"/>
    <m/>
    <s v="Milcon"/>
    <x v="99"/>
    <x v="0"/>
    <x v="2"/>
    <n v="208537.2"/>
    <n v="12"/>
    <m/>
    <n v="0"/>
    <n v="2625"/>
    <n v="79.439716000000004"/>
    <n v="1"/>
    <x v="4"/>
    <n v="218475.82"/>
    <n v="46203.59"/>
    <n v="0"/>
    <s v="1206500"/>
    <s v="98002006662"/>
    <n v="19309"/>
    <n v="0"/>
    <n v="56823"/>
  </r>
  <r>
    <x v="4"/>
    <s v="00767-6"/>
    <s v="Sundhedshuset Gammelgårdsvej 88"/>
    <n v="5270"/>
    <m/>
    <s v="Milcon"/>
    <x v="99"/>
    <x v="0"/>
    <x v="3"/>
    <n v="184970.52"/>
    <n v="12"/>
    <m/>
    <n v="0"/>
    <n v="2625"/>
    <n v="70.462275000000005"/>
    <n v="1"/>
    <x v="4"/>
    <n v="199823.44"/>
    <n v="42258.96"/>
    <n v="0"/>
    <s v="1206500"/>
    <s v="98002006662"/>
    <n v="17126.900000000001"/>
    <n v="0"/>
    <n v="56823"/>
  </r>
  <r>
    <x v="4"/>
    <s v="00767-6"/>
    <s v="Sundhedshuset Gammelgårdsvej 88"/>
    <n v="5270"/>
    <m/>
    <s v="Milcon"/>
    <x v="99"/>
    <x v="0"/>
    <x v="4"/>
    <n v="228034.39"/>
    <n v="12"/>
    <m/>
    <n v="0"/>
    <n v="2625"/>
    <n v="86.866934000000001"/>
    <n v="1"/>
    <x v="4"/>
    <n v="208446.02"/>
    <n v="44082.47"/>
    <n v="0"/>
    <s v="1206500"/>
    <s v="98002006662"/>
    <n v="21114.294999999998"/>
    <n v="0"/>
    <n v="56823"/>
  </r>
  <r>
    <x v="4"/>
    <s v="00767-6"/>
    <s v="Sundhedshuset Gammelgårdsvej 88"/>
    <n v="5270"/>
    <m/>
    <s v="Milcon"/>
    <x v="99"/>
    <x v="0"/>
    <x v="5"/>
    <n v="238522.36"/>
    <n v="12"/>
    <m/>
    <n v="0"/>
    <n v="2625"/>
    <n v="90.862199000000004"/>
    <n v="1"/>
    <x v="4"/>
    <n v="252563.28"/>
    <n v="53412.46"/>
    <n v="0"/>
    <s v="1206500"/>
    <s v="98002006662"/>
    <n v="22085.403999999999"/>
    <n v="0"/>
    <n v="56823"/>
  </r>
  <r>
    <x v="4"/>
    <s v="00767-6"/>
    <s v="Sundhedshuset Gammelgårdsvej 88"/>
    <n v="5270"/>
    <m/>
    <s v="Milcon"/>
    <x v="99"/>
    <x v="0"/>
    <x v="6"/>
    <n v="212943.6"/>
    <n v="12"/>
    <m/>
    <n v="0"/>
    <n v="2625"/>
    <n v="81.118280999999996"/>
    <n v="1"/>
    <x v="4"/>
    <n v="249460.13"/>
    <n v="52756.19"/>
    <n v="0"/>
    <s v="1206500"/>
    <s v="98002006662"/>
    <n v="19716.999899999999"/>
    <n v="0"/>
    <n v="56823"/>
  </r>
  <r>
    <x v="4"/>
    <m/>
    <s v="Lyspunktet - Nygård 221A"/>
    <n v="5945"/>
    <m/>
    <s v="Lyspunktet - Nygård 221A"/>
    <x v="100"/>
    <x v="0"/>
    <x v="1"/>
    <n v="13531.29"/>
    <n v="10"/>
    <m/>
    <n v="0"/>
    <n v="506"/>
    <n v="26.736395000000002"/>
    <n v="2"/>
    <x v="2"/>
    <n v="13531.29"/>
    <n v="4059.41"/>
    <n v="0"/>
    <s v="3103570"/>
    <m/>
    <n v="13531.284"/>
    <n v="0"/>
    <n v="94151"/>
  </r>
  <r>
    <x v="4"/>
    <m/>
    <s v="Lysthuset, Lille Værløsevej 36A"/>
    <n v="10182"/>
    <m/>
    <s v="Lysthuset"/>
    <x v="97"/>
    <x v="0"/>
    <x v="7"/>
    <n v="34.54"/>
    <n v="12"/>
    <s v="2013-12-31"/>
    <n v="0"/>
    <n v="152"/>
    <n v="0.22708700000000001"/>
    <n v="3"/>
    <x v="0"/>
    <n v="34.54"/>
    <n v="27.65"/>
    <n v="0"/>
    <s v="4504"/>
    <m/>
    <n v="34.551000000000002"/>
    <n v="0"/>
    <n v="77234"/>
  </r>
  <r>
    <x v="4"/>
    <m/>
    <s v="Lysthuset, Lille Værløsevej 36A"/>
    <n v="10182"/>
    <m/>
    <s v="Lysthuset"/>
    <x v="97"/>
    <x v="0"/>
    <x v="7"/>
    <n v="22586.12"/>
    <n v="12"/>
    <s v="2014-02-28"/>
    <n v="0"/>
    <n v="152"/>
    <n v="148.49520000000001"/>
    <n v="1"/>
    <x v="1"/>
    <n v="27136.25"/>
    <n v="1736.73"/>
    <n v="0"/>
    <s v="69293008"/>
    <m/>
    <n v="22586.118200000001"/>
    <n v="0"/>
    <n v="77235"/>
  </r>
  <r>
    <x v="4"/>
    <m/>
    <s v="Lysthuset, Lille Værløsevej 36A"/>
    <n v="10182"/>
    <m/>
    <s v="Lysthuset"/>
    <x v="97"/>
    <x v="0"/>
    <x v="1"/>
    <n v="3271.8"/>
    <n v="10"/>
    <s v="2013-12-31"/>
    <n v="0"/>
    <n v="152"/>
    <n v="21.510847999999999"/>
    <n v="2"/>
    <x v="2"/>
    <n v="3271.8"/>
    <n v="981.54"/>
    <n v="0"/>
    <s v="4032419"/>
    <s v="74110495875"/>
    <n v="3271.8"/>
    <n v="0"/>
    <n v="77233"/>
  </r>
  <r>
    <x v="4"/>
    <m/>
    <s v="Ryetvej 15"/>
    <n v="10270"/>
    <m/>
    <s v="Ryetvej 15"/>
    <x v="98"/>
    <x v="0"/>
    <x v="1"/>
    <n v="1822.05"/>
    <n v="12"/>
    <s v="2012-01-26"/>
    <n v="0"/>
    <n v="96"/>
    <n v="18.959937"/>
    <n v="2"/>
    <x v="2"/>
    <n v="1822.05"/>
    <n v="546.63"/>
    <n v="0"/>
    <s v="4022873"/>
    <s v="74112521800"/>
    <n v="1822.0608999999999"/>
    <n v="0"/>
    <n v="77650"/>
  </r>
  <r>
    <x v="4"/>
    <s v="00767-6"/>
    <s v="Sundhedshuset Gammelgårdsvej 88"/>
    <n v="5270"/>
    <m/>
    <s v="Milcon"/>
    <x v="99"/>
    <x v="0"/>
    <x v="1"/>
    <n v="84407.34"/>
    <n v="12"/>
    <m/>
    <n v="0"/>
    <n v="2625"/>
    <n v="32.153951999999997"/>
    <n v="2"/>
    <x v="2"/>
    <n v="84407.34"/>
    <n v="33762.949999999997"/>
    <n v="0"/>
    <s v="23741"/>
    <m/>
    <n v="84407.34"/>
    <n v="0"/>
    <n v="56822"/>
  </r>
  <r>
    <x v="3"/>
    <m/>
    <s v="Bøgely Ravnehusvej 20"/>
    <n v="9970"/>
    <m/>
    <s v="Bøgely"/>
    <x v="21"/>
    <x v="0"/>
    <x v="7"/>
    <n v="80681.679999999993"/>
    <n v="12"/>
    <s v="2010-10-31"/>
    <n v="0"/>
    <n v="864"/>
    <n v="93.370767000000001"/>
    <n v="1"/>
    <x v="6"/>
    <n v="96568.14"/>
    <n v="19693.009999999998"/>
    <n v="0"/>
    <s v="1503037"/>
    <s v="98003479854"/>
    <n v="7203.7200999999995"/>
    <n v="0"/>
    <n v="76389"/>
  </r>
  <r>
    <x v="4"/>
    <s v="1737"/>
    <s v="Musikskolen KV36"/>
    <n v="14495"/>
    <s v="0"/>
    <s v="Værestedet"/>
    <x v="56"/>
    <x v="0"/>
    <x v="7"/>
    <n v="47348.91"/>
    <n v="12"/>
    <s v="2014-04-30"/>
    <n v="0"/>
    <n v="878"/>
    <n v="53.922001999999999"/>
    <n v="1"/>
    <x v="1"/>
    <n v="56460.83"/>
    <n v="3613.49"/>
    <n v="0"/>
    <s v="69271173"/>
    <m/>
    <n v="47348.91"/>
    <n v="0"/>
    <n v="95930"/>
  </r>
  <r>
    <x v="4"/>
    <m/>
    <s v="Tandklinikken Nygaard, Nygård 209"/>
    <n v="5946"/>
    <m/>
    <s v="Tandklinikken Nygaard"/>
    <x v="101"/>
    <x v="0"/>
    <x v="1"/>
    <n v="18661.39"/>
    <n v="12"/>
    <s v="2011-11-30"/>
    <n v="0"/>
    <n v="393"/>
    <n v="47.472372999999997"/>
    <n v="2"/>
    <x v="2"/>
    <n v="18661.39"/>
    <n v="7464.57"/>
    <n v="0"/>
    <s v="4162802"/>
    <s v="74111713671"/>
    <n v="18661.407999999999"/>
    <n v="0"/>
    <n v="59956"/>
  </r>
  <r>
    <x v="4"/>
    <s v="1737"/>
    <s v="Musikskolen KV36"/>
    <n v="14495"/>
    <s v="0"/>
    <s v="Værestedet"/>
    <x v="56"/>
    <x v="0"/>
    <x v="7"/>
    <n v="177.1"/>
    <n v="12"/>
    <s v="2014-04-30"/>
    <n v="0"/>
    <n v="878"/>
    <n v="0.201685"/>
    <n v="3"/>
    <x v="0"/>
    <n v="177.1"/>
    <n v="141.68"/>
    <n v="0"/>
    <s v="40879"/>
    <m/>
    <n v="177.09762000000001"/>
    <n v="0"/>
    <n v="94941"/>
  </r>
  <r>
    <x v="4"/>
    <m/>
    <s v="Ryetvej 15"/>
    <n v="10270"/>
    <m/>
    <s v="Ryetvej 15"/>
    <x v="98"/>
    <x v="0"/>
    <x v="7"/>
    <n v="7.68"/>
    <n v="12"/>
    <s v="2012-01-26"/>
    <n v="0"/>
    <n v="96"/>
    <n v="7.9916000000000001E-2"/>
    <n v="3"/>
    <x v="0"/>
    <n v="7.68"/>
    <n v="6.14"/>
    <n v="0"/>
    <s v="40456"/>
    <m/>
    <n v="7.665"/>
    <n v="0"/>
    <n v="77651"/>
  </r>
  <r>
    <x v="4"/>
    <m/>
    <s v="Ryetvej 15"/>
    <n v="10270"/>
    <m/>
    <s v="Ryetvej 15"/>
    <x v="98"/>
    <x v="0"/>
    <x v="7"/>
    <n v="9095"/>
    <n v="12"/>
    <s v="2012-02-29"/>
    <n v="0"/>
    <n v="96"/>
    <n v="94.640997999999996"/>
    <n v="1"/>
    <x v="1"/>
    <n v="10897.12"/>
    <n v="697.42"/>
    <n v="0"/>
    <s v="7235795"/>
    <m/>
    <n v="9095"/>
    <n v="0"/>
    <n v="77652"/>
  </r>
  <r>
    <x v="4"/>
    <s v="1737"/>
    <s v="Musikskolen KV36"/>
    <n v="14495"/>
    <s v="0"/>
    <s v="Værestedet"/>
    <x v="56"/>
    <x v="0"/>
    <x v="0"/>
    <n v="287"/>
    <n v="5"/>
    <s v="2014-04-30"/>
    <n v="0"/>
    <n v="878"/>
    <n v="0.130053"/>
    <n v="3"/>
    <x v="0"/>
    <n v="114.2"/>
    <n v="91.36"/>
    <n v="0"/>
    <s v="40879"/>
    <m/>
    <n v="114.2"/>
    <n v="0"/>
    <n v="94941"/>
  </r>
  <r>
    <x v="9"/>
    <m/>
    <s v="Værløse Boldklub, Stiager 6"/>
    <n v="10179"/>
    <m/>
    <s v="Værløse Boldklub"/>
    <x v="83"/>
    <x v="0"/>
    <x v="7"/>
    <n v="84519.4"/>
    <n v="12"/>
    <s v="2011-03-31"/>
    <n v="0"/>
    <n v="792"/>
    <n v="106.702941"/>
    <n v="1"/>
    <x v="4"/>
    <n v="100853.96"/>
    <n v="21328.75"/>
    <n v="0"/>
    <s v="229728/97"/>
    <s v="98004894182"/>
    <n v="7825.87"/>
    <n v="0"/>
    <n v="77212"/>
  </r>
  <r>
    <x v="4"/>
    <s v="00767-6"/>
    <s v="Sundhedshuset Gammelgårdsvej 88"/>
    <n v="5270"/>
    <m/>
    <s v="Milcon"/>
    <x v="99"/>
    <x v="0"/>
    <x v="7"/>
    <n v="435.6"/>
    <n v="12"/>
    <s v="2010-01-29"/>
    <n v="0"/>
    <n v="2625"/>
    <n v="0.165936"/>
    <n v="3"/>
    <x v="0"/>
    <n v="435.6"/>
    <n v="348.47"/>
    <n v="0"/>
    <s v="BK 4016439"/>
    <m/>
    <n v="435.59800000000001"/>
    <n v="0"/>
    <n v="56824"/>
  </r>
  <r>
    <x v="4"/>
    <s v="03975-6"/>
    <s v="Familiehuset Ellegården Stavnsholtvej 168"/>
    <n v="5261"/>
    <m/>
    <s v="Familiehuset"/>
    <x v="57"/>
    <x v="0"/>
    <x v="7"/>
    <n v="5612.98"/>
    <n v="12"/>
    <s v="2005-07-01"/>
    <n v="0"/>
    <n v="309"/>
    <n v="18.159106999999999"/>
    <n v="2"/>
    <x v="2"/>
    <n v="5612.98"/>
    <n v="2245.1999999999998"/>
    <n v="0"/>
    <s v="BIMÅLER"/>
    <m/>
    <n v="5612.98"/>
    <n v="0"/>
    <n v="56734"/>
  </r>
  <r>
    <x v="4"/>
    <m/>
    <s v="Familiehuset Villa Solhøj KV54"/>
    <n v="10318"/>
    <m/>
    <s v="Villa Solhøj"/>
    <x v="15"/>
    <x v="0"/>
    <x v="7"/>
    <n v="2551.34"/>
    <n v="12"/>
    <s v="2010-04-20"/>
    <n v="0"/>
    <n v="170"/>
    <n v="14.999059000000001"/>
    <n v="2"/>
    <x v="2"/>
    <n v="2551.34"/>
    <n v="765.4"/>
    <n v="0"/>
    <s v="1099133-38078"/>
    <s v="74110512749"/>
    <n v="2551.3609999999999"/>
    <n v="0"/>
    <n v="77792"/>
  </r>
  <r>
    <x v="4"/>
    <m/>
    <s v="Hareskovhvile, BM 118"/>
    <n v="10273"/>
    <m/>
    <s v="Hareskovhvile"/>
    <x v="96"/>
    <x v="0"/>
    <x v="7"/>
    <n v="15782.48"/>
    <n v="12"/>
    <s v="2011-12-31"/>
    <n v="0"/>
    <n v="400"/>
    <n v="39.446337999999997"/>
    <n v="2"/>
    <x v="2"/>
    <n v="15782.48"/>
    <n v="4734.76"/>
    <n v="0"/>
    <s v="4038256"/>
    <s v="74110495868"/>
    <n v="15782.4881"/>
    <n v="0"/>
    <n v="77659"/>
  </r>
  <r>
    <x v="4"/>
    <m/>
    <s v="Sygeplejeklinik Paltholm 13"/>
    <n v="14571"/>
    <s v="0"/>
    <s v="Sygeplejeklinik Paltholm 13"/>
    <x v="93"/>
    <x v="0"/>
    <x v="2"/>
    <n v="456.35"/>
    <n v="1"/>
    <s v="2014-11-12"/>
    <n v="0"/>
    <n v="0"/>
    <n v="4563.5"/>
    <n v="2"/>
    <x v="2"/>
    <n v="456.35"/>
    <n v="182.54"/>
    <n v="0"/>
    <s v="530060"/>
    <s v="74112010823"/>
    <n v="456.35244"/>
    <n v="0"/>
    <n v="95279"/>
  </r>
  <r>
    <x v="4"/>
    <s v="1737"/>
    <s v="Musikskolen KV36"/>
    <n v="14495"/>
    <s v="0"/>
    <s v="Værestedet"/>
    <x v="56"/>
    <x v="0"/>
    <x v="1"/>
    <n v="1997.25"/>
    <n v="2"/>
    <s v="2014-04-06"/>
    <n v="0"/>
    <n v="878"/>
    <n v="2.2745129999999998"/>
    <n v="2"/>
    <x v="2"/>
    <n v="1997.25"/>
    <n v="599.17999999999995"/>
    <n v="0"/>
    <s v="283724-51099"/>
    <m/>
    <n v="1997.25"/>
    <n v="0"/>
    <n v="94940"/>
  </r>
  <r>
    <x v="4"/>
    <m/>
    <s v="Lyspunktet - Nygård 221A"/>
    <n v="5945"/>
    <m/>
    <s v="Lyspunktet - Nygård 221A"/>
    <x v="100"/>
    <x v="0"/>
    <x v="7"/>
    <n v="15928.36"/>
    <n v="12"/>
    <m/>
    <n v="0"/>
    <n v="506"/>
    <n v="31.472752"/>
    <n v="2"/>
    <x v="2"/>
    <n v="15928.36"/>
    <n v="4778.5"/>
    <n v="0"/>
    <s v="3103570"/>
    <m/>
    <n v="15928.3511"/>
    <n v="0"/>
    <n v="94151"/>
  </r>
  <r>
    <x v="4"/>
    <s v="03975-6"/>
    <s v="Familiehuset Ellegården Stavnsholtvej 168"/>
    <n v="5261"/>
    <m/>
    <s v="Familiehuset"/>
    <x v="57"/>
    <x v="0"/>
    <x v="2"/>
    <n v="6262.72"/>
    <n v="12"/>
    <s v="2005-07-01"/>
    <n v="0"/>
    <n v="309"/>
    <n v="20.261144999999999"/>
    <n v="2"/>
    <x v="2"/>
    <n v="6262.72"/>
    <n v="2505.09"/>
    <n v="0"/>
    <s v="BIMÅLER"/>
    <m/>
    <n v="6262.72"/>
    <n v="0"/>
    <n v="56734"/>
  </r>
  <r>
    <x v="4"/>
    <s v="03975-6"/>
    <s v="Familiehuset Ellegården Stavnsholtvej 168"/>
    <n v="5261"/>
    <m/>
    <s v="Familiehuset"/>
    <x v="57"/>
    <x v="0"/>
    <x v="3"/>
    <n v="7450.22"/>
    <n v="12"/>
    <s v="2005-07-01"/>
    <n v="0"/>
    <n v="309"/>
    <n v="24.102944000000001"/>
    <n v="2"/>
    <x v="2"/>
    <n v="7450.22"/>
    <n v="3494.15"/>
    <n v="0"/>
    <s v="BIMÅLER"/>
    <m/>
    <n v="7450.2169999999996"/>
    <n v="0"/>
    <n v="56734"/>
  </r>
  <r>
    <x v="4"/>
    <s v="03975-6"/>
    <s v="Familiehuset Ellegården Stavnsholtvej 168"/>
    <n v="5261"/>
    <m/>
    <s v="Familiehuset"/>
    <x v="57"/>
    <x v="0"/>
    <x v="4"/>
    <n v="8039.65"/>
    <n v="12"/>
    <s v="2005-07-01"/>
    <n v="0"/>
    <n v="309"/>
    <n v="26.009867"/>
    <n v="2"/>
    <x v="2"/>
    <n v="8039.65"/>
    <n v="3770.6"/>
    <n v="0"/>
    <s v="BIMÅLER"/>
    <m/>
    <n v="8039.6630999999998"/>
    <n v="0"/>
    <n v="56734"/>
  </r>
  <r>
    <x v="4"/>
    <s v="03975-6"/>
    <s v="Familiehuset Ellegården Stavnsholtvej 168"/>
    <n v="5261"/>
    <m/>
    <s v="Familiehuset"/>
    <x v="57"/>
    <x v="0"/>
    <x v="5"/>
    <n v="4633.5"/>
    <n v="12"/>
    <s v="2005-07-01"/>
    <n v="0"/>
    <n v="309"/>
    <n v="14.990294"/>
    <n v="2"/>
    <x v="2"/>
    <n v="4633.5"/>
    <n v="2173.12"/>
    <n v="0"/>
    <s v="BIMÅLER"/>
    <m/>
    <n v="4633.5"/>
    <n v="0"/>
    <n v="56734"/>
  </r>
  <r>
    <x v="4"/>
    <s v="03975-6"/>
    <s v="Familiehuset Ellegården Stavnsholtvej 168"/>
    <n v="5261"/>
    <m/>
    <s v="Familiehuset"/>
    <x v="57"/>
    <x v="0"/>
    <x v="6"/>
    <n v="6491.98"/>
    <n v="12"/>
    <s v="2005-07-01"/>
    <n v="0"/>
    <n v="309"/>
    <n v="21.002846000000002"/>
    <n v="2"/>
    <x v="2"/>
    <n v="6491.98"/>
    <n v="3044.75"/>
    <n v="0"/>
    <s v="BIMÅLER"/>
    <m/>
    <n v="6491.98"/>
    <n v="0"/>
    <n v="56734"/>
  </r>
  <r>
    <x v="4"/>
    <m/>
    <s v="Lysthuset, Lille Værløsevej 36A"/>
    <n v="10182"/>
    <m/>
    <s v="Lysthuset"/>
    <x v="97"/>
    <x v="0"/>
    <x v="7"/>
    <n v="5494.05"/>
    <n v="10"/>
    <s v="2013-12-31"/>
    <n v="0"/>
    <n v="152"/>
    <n v="15.082511"/>
    <n v="2"/>
    <x v="2"/>
    <n v="5494.05"/>
    <n v="688.23"/>
    <n v="0"/>
    <s v="4032419"/>
    <s v="74110495875"/>
    <n v="2294.0551999999998"/>
    <n v="0"/>
    <n v="77233"/>
  </r>
  <r>
    <x v="4"/>
    <s v="1737"/>
    <s v="Musikskolen KV36"/>
    <n v="14495"/>
    <s v="0"/>
    <s v="Værestedet"/>
    <x v="56"/>
    <x v="0"/>
    <x v="7"/>
    <n v="2772.75"/>
    <n v="3"/>
    <s v="2014-04-06"/>
    <n v="0"/>
    <n v="878"/>
    <n v="3.1576689999999998"/>
    <n v="2"/>
    <x v="2"/>
    <n v="2772.75"/>
    <n v="831.83"/>
    <n v="0"/>
    <s v="283724-51099"/>
    <m/>
    <n v="2772.75"/>
    <n v="0"/>
    <n v="94940"/>
  </r>
  <r>
    <x v="4"/>
    <m/>
    <s v="Familiehuset Villa Solhøj KV54"/>
    <n v="10318"/>
    <m/>
    <s v="Villa Solhøj"/>
    <x v="15"/>
    <x v="0"/>
    <x v="2"/>
    <n v="2415.71"/>
    <n v="12"/>
    <s v="2010-04-20"/>
    <n v="0"/>
    <n v="170"/>
    <n v="14.201703999999999"/>
    <n v="2"/>
    <x v="2"/>
    <n v="2415.71"/>
    <n v="966.29"/>
    <n v="0"/>
    <s v="1099133-38078"/>
    <s v="74110512749"/>
    <n v="2415.7240000000002"/>
    <n v="0"/>
    <n v="77792"/>
  </r>
  <r>
    <x v="4"/>
    <m/>
    <s v="Familiehuset Villa Solhøj KV54"/>
    <n v="10318"/>
    <m/>
    <s v="Villa Solhøj"/>
    <x v="15"/>
    <x v="0"/>
    <x v="3"/>
    <n v="2692.88"/>
    <n v="12"/>
    <s v="2010-04-20"/>
    <n v="0"/>
    <n v="170"/>
    <n v="15.831158"/>
    <n v="2"/>
    <x v="2"/>
    <n v="2692.88"/>
    <n v="1262.97"/>
    <n v="0"/>
    <s v="1099133-38078"/>
    <s v="74110512749"/>
    <n v="2692.8850000000002"/>
    <n v="0"/>
    <n v="77792"/>
  </r>
  <r>
    <x v="4"/>
    <m/>
    <s v="Familiehuset Villa Solhøj KV54"/>
    <n v="10318"/>
    <m/>
    <s v="Villa Solhøj"/>
    <x v="15"/>
    <x v="0"/>
    <x v="4"/>
    <n v="2472.4699999999998"/>
    <n v="9"/>
    <s v="2010-04-20"/>
    <n v="0"/>
    <n v="170"/>
    <n v="14.53539"/>
    <n v="2"/>
    <x v="2"/>
    <n v="2472.4699999999998"/>
    <n v="1159.5899999999999"/>
    <n v="0"/>
    <s v="1099133-38078"/>
    <s v="74110512749"/>
    <n v="2472.4736800000001"/>
    <n v="0"/>
    <n v="77792"/>
  </r>
  <r>
    <x v="4"/>
    <m/>
    <s v="Familiehuset Villa Solhøj KV54"/>
    <n v="10318"/>
    <m/>
    <s v="Villa Solhøj"/>
    <x v="15"/>
    <x v="0"/>
    <x v="5"/>
    <n v="2464.35"/>
    <n v="4"/>
    <s v="2010-04-20"/>
    <n v="0"/>
    <n v="170"/>
    <n v="14.487653999999999"/>
    <n v="2"/>
    <x v="2"/>
    <n v="2464.35"/>
    <n v="1155.77"/>
    <n v="0"/>
    <s v="1099133-38078"/>
    <s v="74110512749"/>
    <n v="2464.3424500000001"/>
    <n v="0"/>
    <n v="77792"/>
  </r>
  <r>
    <x v="4"/>
    <m/>
    <s v="Familiehuset Villa Solhøj KV54"/>
    <n v="10318"/>
    <m/>
    <s v="Villa Solhøj"/>
    <x v="15"/>
    <x v="0"/>
    <x v="6"/>
    <n v="2529.15"/>
    <n v="3"/>
    <s v="2010-04-20"/>
    <n v="0"/>
    <n v="170"/>
    <n v="14.868606"/>
    <n v="2"/>
    <x v="2"/>
    <n v="2529.15"/>
    <n v="1186.1400000000001"/>
    <n v="0"/>
    <s v="1099133-38078"/>
    <s v="74110512749"/>
    <n v="2529.1252899999999"/>
    <n v="0"/>
    <n v="77792"/>
  </r>
  <r>
    <x v="4"/>
    <s v="1737"/>
    <s v="Musikskolen KV36"/>
    <n v="14495"/>
    <s v="0"/>
    <s v="Værestedet"/>
    <x v="56"/>
    <x v="0"/>
    <x v="7"/>
    <n v="660"/>
    <n v="3"/>
    <s v="2014-05-05"/>
    <n v="0"/>
    <n v="878"/>
    <n v="0.75162200000000001"/>
    <n v="2"/>
    <x v="2"/>
    <n v="660"/>
    <n v="198"/>
    <n v="0"/>
    <s v="3101465"/>
    <m/>
    <n v="660"/>
    <n v="0"/>
    <n v="96076"/>
  </r>
  <r>
    <x v="4"/>
    <m/>
    <s v="Ryetvej 15"/>
    <n v="10270"/>
    <m/>
    <s v="Ryetvej 15"/>
    <x v="98"/>
    <x v="0"/>
    <x v="7"/>
    <n v="1539.18"/>
    <n v="12"/>
    <s v="2012-01-26"/>
    <n v="0"/>
    <n v="96"/>
    <n v="16.016441"/>
    <n v="2"/>
    <x v="2"/>
    <n v="1539.18"/>
    <n v="461.73"/>
    <n v="0"/>
    <s v="4022873"/>
    <s v="74112521800"/>
    <n v="1539.1780000000001"/>
    <n v="0"/>
    <n v="77650"/>
  </r>
  <r>
    <x v="4"/>
    <m/>
    <s v="Hareskovhvile, BM 118"/>
    <n v="10273"/>
    <m/>
    <s v="Hareskovhvile"/>
    <x v="96"/>
    <x v="0"/>
    <x v="2"/>
    <n v="13766.87"/>
    <n v="12"/>
    <s v="2011-12-31"/>
    <n v="0"/>
    <n v="400"/>
    <n v="34.408571999999999"/>
    <n v="2"/>
    <x v="2"/>
    <n v="13766.87"/>
    <n v="5506.74"/>
    <n v="0"/>
    <s v="4038256"/>
    <s v="74110495868"/>
    <n v="13766.870999999999"/>
    <n v="0"/>
    <n v="77659"/>
  </r>
  <r>
    <x v="4"/>
    <m/>
    <s v="Hareskovhvile, BM 118"/>
    <n v="10273"/>
    <m/>
    <s v="Hareskovhvile"/>
    <x v="96"/>
    <x v="0"/>
    <x v="3"/>
    <n v="17283.87"/>
    <n v="15"/>
    <s v="2011-12-31"/>
    <n v="0"/>
    <n v="400"/>
    <n v="43.198875000000001"/>
    <n v="2"/>
    <x v="2"/>
    <n v="17283.87"/>
    <n v="8106.16"/>
    <n v="0"/>
    <s v="4038256"/>
    <s v="74110495868"/>
    <n v="17283.87499"/>
    <n v="0"/>
    <n v="77659"/>
  </r>
  <r>
    <x v="4"/>
    <m/>
    <s v="Hareskovhvile, BM 118"/>
    <n v="10273"/>
    <m/>
    <s v="Hareskovhvile"/>
    <x v="96"/>
    <x v="0"/>
    <x v="4"/>
    <n v="18704.16"/>
    <n v="11"/>
    <s v="2011-12-31"/>
    <n v="0"/>
    <n v="400"/>
    <n v="46.748711999999998"/>
    <n v="2"/>
    <x v="2"/>
    <n v="18704.16"/>
    <n v="8772.23"/>
    <n v="0"/>
    <s v="4038256"/>
    <s v="74110495868"/>
    <n v="18704.153579999998"/>
    <n v="0"/>
    <n v="77659"/>
  </r>
  <r>
    <x v="4"/>
    <m/>
    <s v="Hareskovhvile, BM 118"/>
    <n v="10273"/>
    <m/>
    <s v="Hareskovhvile"/>
    <x v="96"/>
    <x v="0"/>
    <x v="5"/>
    <n v="17244.75"/>
    <n v="12"/>
    <s v="2011-12-31"/>
    <n v="0"/>
    <n v="400"/>
    <n v="43.101098999999998"/>
    <n v="2"/>
    <x v="2"/>
    <n v="17244.75"/>
    <n v="8087.8"/>
    <n v="0"/>
    <s v="4038256"/>
    <s v="74110495868"/>
    <n v="17244.742849999999"/>
    <n v="0"/>
    <n v="77659"/>
  </r>
  <r>
    <x v="4"/>
    <m/>
    <s v="Hareskovhvile, BM 118"/>
    <n v="10273"/>
    <m/>
    <s v="Hareskovhvile"/>
    <x v="96"/>
    <x v="0"/>
    <x v="6"/>
    <n v="16763.87"/>
    <n v="5"/>
    <s v="2011-12-31"/>
    <n v="0"/>
    <n v="400"/>
    <n v="41.8992"/>
    <n v="2"/>
    <x v="2"/>
    <n v="16763.87"/>
    <n v="7862.26"/>
    <n v="0"/>
    <s v="4038256"/>
    <s v="74110495868"/>
    <n v="16763.86764"/>
    <n v="0"/>
    <n v="77659"/>
  </r>
  <r>
    <x v="4"/>
    <s v="00767-6"/>
    <s v="Sundhedshuset Gammelgårdsvej 88"/>
    <n v="5270"/>
    <m/>
    <s v="Milcon"/>
    <x v="99"/>
    <x v="0"/>
    <x v="7"/>
    <n v="66480.53"/>
    <n v="12"/>
    <m/>
    <n v="0"/>
    <n v="2625"/>
    <n v="25.324950999999999"/>
    <n v="2"/>
    <x v="2"/>
    <n v="66480.53"/>
    <n v="26592.2"/>
    <n v="0"/>
    <s v="23741"/>
    <m/>
    <n v="66480.528000000006"/>
    <n v="0"/>
    <n v="56822"/>
  </r>
  <r>
    <x v="4"/>
    <m/>
    <s v="Sygeplejeklinik Paltholm 13"/>
    <n v="14571"/>
    <s v="0"/>
    <s v="Sygeplejeklinik Paltholm 13"/>
    <x v="93"/>
    <x v="0"/>
    <x v="7"/>
    <n v="11276"/>
    <n v="2"/>
    <s v="2014-11-12"/>
    <n v="0"/>
    <n v="0"/>
    <n v="94388.9"/>
    <n v="2"/>
    <x v="2"/>
    <n v="11276"/>
    <n v="2831.65"/>
    <n v="0"/>
    <s v="530060"/>
    <s v="74112010823"/>
    <n v="9438.8874699999997"/>
    <n v="0"/>
    <n v="95279"/>
  </r>
  <r>
    <x v="4"/>
    <m/>
    <s v="Tandklinikken Nygaard, Nygård 209"/>
    <n v="5946"/>
    <m/>
    <s v="Tandklinikken Nygaard"/>
    <x v="101"/>
    <x v="0"/>
    <x v="7"/>
    <n v="18186.66"/>
    <n v="12"/>
    <s v="2011-11-30"/>
    <n v="0"/>
    <n v="393"/>
    <n v="46.264716"/>
    <n v="2"/>
    <x v="2"/>
    <n v="18186.66"/>
    <n v="7274.67"/>
    <n v="0"/>
    <s v="4162802"/>
    <s v="74111713671"/>
    <n v="18186.680400000001"/>
    <n v="0"/>
    <n v="59956"/>
  </r>
  <r>
    <x v="4"/>
    <m/>
    <s v="Lyspunktet - Nygård 221A"/>
    <n v="5945"/>
    <m/>
    <s v="Lyspunktet - Nygård 221A"/>
    <x v="100"/>
    <x v="0"/>
    <x v="2"/>
    <n v="11120.27"/>
    <n v="2"/>
    <s v="2013-02-28"/>
    <n v="0"/>
    <n v="506"/>
    <n v="21.972474999999999"/>
    <n v="2"/>
    <x v="2"/>
    <n v="11120.27"/>
    <n v="4448.1000000000004"/>
    <n v="0"/>
    <s v="3103570 X60 Afmeldt"/>
    <s v="74111704464"/>
    <n v="11120.267540000001"/>
    <n v="0"/>
    <n v="86355"/>
  </r>
  <r>
    <x v="4"/>
    <m/>
    <s v="Lyspunktet - Nygård 221A"/>
    <n v="5945"/>
    <m/>
    <s v="Lyspunktet - Nygård 221A"/>
    <x v="100"/>
    <x v="0"/>
    <x v="3"/>
    <n v="13130.54"/>
    <n v="8"/>
    <s v="2013-02-28"/>
    <n v="0"/>
    <n v="506"/>
    <n v="25.944555999999999"/>
    <n v="2"/>
    <x v="2"/>
    <n v="13130.54"/>
    <n v="6158.22"/>
    <n v="0"/>
    <s v="3103570 X60 Afmeldt"/>
    <s v="74111704464"/>
    <n v="13130.554700000001"/>
    <n v="0"/>
    <n v="86355"/>
  </r>
  <r>
    <x v="4"/>
    <m/>
    <s v="Lyspunktet - Nygård 221A"/>
    <n v="5945"/>
    <m/>
    <s v="Lyspunktet - Nygård 221A"/>
    <x v="100"/>
    <x v="0"/>
    <x v="4"/>
    <n v="11831.76"/>
    <n v="10"/>
    <s v="2010-09-19"/>
    <n v="0"/>
    <n v="506"/>
    <n v="23.378304"/>
    <n v="2"/>
    <x v="2"/>
    <n v="11831.76"/>
    <n v="5549.11"/>
    <n v="0"/>
    <s v="3001543"/>
    <m/>
    <n v="11831.764709999999"/>
    <n v="0"/>
    <n v="76512"/>
  </r>
  <r>
    <x v="4"/>
    <m/>
    <s v="Lyspunktet - Nygård 221A"/>
    <n v="5945"/>
    <m/>
    <s v="Lyspunktet - Nygård 221A"/>
    <x v="100"/>
    <x v="0"/>
    <x v="4"/>
    <n v="5273.79"/>
    <n v="3"/>
    <s v="2013-02-28"/>
    <n v="0"/>
    <n v="506"/>
    <n v="10.420450000000001"/>
    <n v="2"/>
    <x v="2"/>
    <n v="5273.79"/>
    <n v="2473.41"/>
    <n v="0"/>
    <s v="3103570 X60 Afmeldt"/>
    <s v="74111704464"/>
    <n v="5273.7931099999996"/>
    <n v="0"/>
    <n v="86355"/>
  </r>
  <r>
    <x v="4"/>
    <m/>
    <s v="Lyspunktet - Nygård 221A"/>
    <n v="5945"/>
    <m/>
    <s v="Lyspunktet - Nygård 221A"/>
    <x v="100"/>
    <x v="0"/>
    <x v="5"/>
    <n v="17816.810000000001"/>
    <n v="7"/>
    <s v="2010-09-19"/>
    <n v="0"/>
    <n v="506"/>
    <n v="35.204129000000002"/>
    <n v="2"/>
    <x v="2"/>
    <n v="17816.810000000001"/>
    <n v="8356.07"/>
    <n v="0"/>
    <s v="3001543"/>
    <m/>
    <n v="17816.80672"/>
    <n v="0"/>
    <n v="76512"/>
  </r>
  <r>
    <x v="4"/>
    <m/>
    <s v="Lyspunktet - Nygård 221A"/>
    <n v="5945"/>
    <m/>
    <s v="Lyspunktet - Nygård 221A"/>
    <x v="100"/>
    <x v="0"/>
    <x v="6"/>
    <n v="899.17"/>
    <n v="2"/>
    <s v="2008-01-14"/>
    <n v="0"/>
    <n v="506"/>
    <n v="1.776664"/>
    <n v="2"/>
    <x v="2"/>
    <n v="899.17"/>
    <n v="421.71"/>
    <n v="0"/>
    <s v="543933"/>
    <m/>
    <n v="899.16666999999995"/>
    <n v="0"/>
    <n v="59953"/>
  </r>
  <r>
    <x v="4"/>
    <m/>
    <s v="Lyspunktet - Nygård 221A"/>
    <n v="5945"/>
    <m/>
    <s v="Lyspunktet - Nygård 221A"/>
    <x v="100"/>
    <x v="0"/>
    <x v="6"/>
    <n v="16851.45"/>
    <n v="8"/>
    <s v="2010-09-19"/>
    <n v="0"/>
    <n v="506"/>
    <n v="33.296680000000002"/>
    <n v="2"/>
    <x v="2"/>
    <n v="16851.45"/>
    <n v="7903.32"/>
    <n v="0"/>
    <s v="3001543"/>
    <m/>
    <n v="16851.42857"/>
    <n v="0"/>
    <n v="76512"/>
  </r>
  <r>
    <x v="4"/>
    <s v="1737"/>
    <s v="Musikskolen KV36"/>
    <n v="14495"/>
    <s v="0"/>
    <s v="Værestedet"/>
    <x v="56"/>
    <x v="0"/>
    <x v="7"/>
    <n v="16465.150000000001"/>
    <n v="8"/>
    <m/>
    <n v="0"/>
    <n v="878"/>
    <n v="18.750882000000001"/>
    <n v="2"/>
    <x v="2"/>
    <n v="16465.150000000001"/>
    <n v="4939.54"/>
    <n v="0"/>
    <s v="3101465"/>
    <m/>
    <n v="16465.13"/>
    <n v="0"/>
    <n v="96151"/>
  </r>
  <r>
    <x v="4"/>
    <s v="03975-6"/>
    <s v="Familiehuset Ellegården Stavnsholtvej 168"/>
    <n v="5261"/>
    <m/>
    <s v="Familiehuset"/>
    <x v="57"/>
    <x v="0"/>
    <x v="0"/>
    <n v="5408"/>
    <n v="5"/>
    <s v="2005-07-01"/>
    <n v="0"/>
    <n v="309"/>
    <n v="7.5621150000000004"/>
    <n v="2"/>
    <x v="2"/>
    <n v="2337.4499999999998"/>
    <n v="934.97"/>
    <n v="0"/>
    <s v="BIMÅLER"/>
    <m/>
    <n v="2337.4499999999998"/>
    <n v="0"/>
    <n v="56734"/>
  </r>
  <r>
    <x v="4"/>
    <m/>
    <s v="Lysthuset, Lille Værløsevej 36A"/>
    <n v="10182"/>
    <m/>
    <s v="Lysthuset"/>
    <x v="97"/>
    <x v="0"/>
    <x v="2"/>
    <n v="6183.44"/>
    <n v="4"/>
    <s v="2013-12-31"/>
    <n v="0"/>
    <n v="152"/>
    <n v="40.653779999999998"/>
    <n v="2"/>
    <x v="2"/>
    <n v="6183.44"/>
    <n v="2473.38"/>
    <n v="0"/>
    <s v="4032419"/>
    <s v="74110495875"/>
    <n v="6183.45"/>
    <n v="0"/>
    <n v="77233"/>
  </r>
  <r>
    <x v="4"/>
    <m/>
    <s v="Lysthuset, Lille Værløsevej 36A"/>
    <n v="10182"/>
    <m/>
    <s v="Lysthuset"/>
    <x v="97"/>
    <x v="0"/>
    <x v="3"/>
    <n v="4949.09"/>
    <n v="3"/>
    <s v="2013-12-31"/>
    <n v="0"/>
    <n v="152"/>
    <n v="32.538395000000001"/>
    <n v="2"/>
    <x v="2"/>
    <n v="4949.09"/>
    <n v="2321.12"/>
    <n v="0"/>
    <s v="4032419"/>
    <s v="74110495875"/>
    <n v="4949.0833400000001"/>
    <n v="0"/>
    <n v="77233"/>
  </r>
  <r>
    <x v="4"/>
    <m/>
    <s v="Lysthuset, Lille Værløsevej 36A"/>
    <n v="10182"/>
    <m/>
    <s v="Lysthuset"/>
    <x v="97"/>
    <x v="0"/>
    <x v="4"/>
    <n v="4452.71"/>
    <n v="3"/>
    <s v="2013-12-31"/>
    <n v="0"/>
    <n v="152"/>
    <n v="29.274884"/>
    <n v="2"/>
    <x v="2"/>
    <n v="4452.71"/>
    <n v="2088.33"/>
    <n v="0"/>
    <s v="4032419"/>
    <s v="74110495875"/>
    <n v="4452.7062100000003"/>
    <n v="0"/>
    <n v="77233"/>
  </r>
  <r>
    <x v="4"/>
    <m/>
    <s v="Lysthuset, Lille Værløsevej 36A"/>
    <n v="10182"/>
    <m/>
    <s v="Lysthuset"/>
    <x v="97"/>
    <x v="0"/>
    <x v="5"/>
    <n v="5549.41"/>
    <n v="3"/>
    <s v="2013-12-31"/>
    <n v="0"/>
    <n v="152"/>
    <n v="36.485272000000002"/>
    <n v="2"/>
    <x v="2"/>
    <n v="5549.41"/>
    <n v="2602.65"/>
    <n v="0"/>
    <s v="4032419"/>
    <s v="74110495875"/>
    <n v="5549.39797"/>
    <n v="0"/>
    <n v="77233"/>
  </r>
  <r>
    <x v="4"/>
    <m/>
    <s v="Lysthuset, Lille Værløsevej 36A"/>
    <n v="10182"/>
    <m/>
    <s v="Lysthuset"/>
    <x v="97"/>
    <x v="0"/>
    <x v="6"/>
    <n v="6334.28"/>
    <n v="7"/>
    <s v="2013-12-31"/>
    <n v="0"/>
    <n v="152"/>
    <n v="41.645496000000001"/>
    <n v="2"/>
    <x v="2"/>
    <n v="6334.28"/>
    <n v="2970.76"/>
    <n v="0"/>
    <s v="4032419"/>
    <s v="74110495875"/>
    <n v="6334.2767899999999"/>
    <n v="0"/>
    <n v="77233"/>
  </r>
  <r>
    <x v="4"/>
    <s v="1737"/>
    <s v="Musikskolen KV36"/>
    <n v="14495"/>
    <s v="0"/>
    <s v="Værestedet"/>
    <x v="56"/>
    <x v="0"/>
    <x v="0"/>
    <n v="105843"/>
    <n v="5"/>
    <s v="2014-04-30"/>
    <n v="0"/>
    <n v="878"/>
    <n v="67.477609999999999"/>
    <n v="1"/>
    <x v="1"/>
    <n v="121153"/>
    <n v="4222.3900000000003"/>
    <n v="0"/>
    <s v="69271173"/>
    <m/>
    <n v="59252.084999999999"/>
    <n v="0"/>
    <n v="95930"/>
  </r>
  <r>
    <x v="4"/>
    <m/>
    <s v="Familiehuset Villa Solhøj KV54"/>
    <n v="10318"/>
    <m/>
    <s v="Villa Solhøj"/>
    <x v="15"/>
    <x v="0"/>
    <x v="0"/>
    <n v="2759"/>
    <n v="5"/>
    <s v="2010-04-20"/>
    <n v="0"/>
    <n v="170"/>
    <n v="6.6410929999999997"/>
    <n v="2"/>
    <x v="2"/>
    <n v="1129.6500000000001"/>
    <n v="338.89"/>
    <n v="0"/>
    <s v="1099133-38078"/>
    <s v="74110512749"/>
    <n v="1129.652"/>
    <n v="0"/>
    <n v="77792"/>
  </r>
  <r>
    <x v="4"/>
    <m/>
    <s v="Hareskovhvile, BM 118"/>
    <n v="10273"/>
    <m/>
    <s v="Hareskovhvile"/>
    <x v="96"/>
    <x v="0"/>
    <x v="0"/>
    <n v="12350"/>
    <n v="5"/>
    <s v="2011-12-31"/>
    <n v="0"/>
    <n v="400"/>
    <n v="13.137065"/>
    <n v="2"/>
    <x v="2"/>
    <n v="5256.14"/>
    <n v="1576.85"/>
    <n v="0"/>
    <s v="4038256"/>
    <s v="74110495868"/>
    <n v="5256.1437999999998"/>
    <n v="0"/>
    <n v="77659"/>
  </r>
  <r>
    <x v="4"/>
    <m/>
    <s v="Lyspunktet - Nygård 221A"/>
    <n v="5945"/>
    <m/>
    <s v="Lyspunktet - Nygård 221A"/>
    <x v="100"/>
    <x v="0"/>
    <x v="0"/>
    <n v="15193"/>
    <n v="5"/>
    <m/>
    <n v="0"/>
    <n v="506"/>
    <n v="12.457261000000001"/>
    <n v="2"/>
    <x v="2"/>
    <n v="6304.62"/>
    <n v="1891.38"/>
    <n v="0"/>
    <s v="3103570"/>
    <m/>
    <n v="6304.6081000000004"/>
    <n v="0"/>
    <n v="94151"/>
  </r>
  <r>
    <x v="4"/>
    <m/>
    <s v="Ryetvej 15"/>
    <n v="10270"/>
    <m/>
    <s v="Ryetvej 15"/>
    <x v="98"/>
    <x v="0"/>
    <x v="2"/>
    <n v="1682.01"/>
    <n v="15"/>
    <s v="2012-01-26"/>
    <n v="0"/>
    <n v="96"/>
    <n v="17.502704999999999"/>
    <n v="2"/>
    <x v="2"/>
    <n v="1682.01"/>
    <n v="672.82"/>
    <n v="0"/>
    <s v="4022873"/>
    <s v="74112521800"/>
    <n v="1682.00443"/>
    <n v="0"/>
    <n v="77650"/>
  </r>
  <r>
    <x v="4"/>
    <m/>
    <s v="Ryetvej 15"/>
    <n v="10270"/>
    <m/>
    <s v="Ryetvej 15"/>
    <x v="98"/>
    <x v="0"/>
    <x v="3"/>
    <n v="647.4"/>
    <n v="5"/>
    <s v="2012-01-26"/>
    <n v="0"/>
    <n v="96"/>
    <n v="6.7367319999999999"/>
    <n v="2"/>
    <x v="2"/>
    <n v="647.4"/>
    <n v="303.63"/>
    <n v="0"/>
    <s v="4022873"/>
    <s v="74112521800"/>
    <n v="647.42854999999997"/>
    <n v="0"/>
    <n v="77650"/>
  </r>
  <r>
    <x v="4"/>
    <m/>
    <s v="Ryetvej 15"/>
    <n v="10270"/>
    <m/>
    <s v="Ryetvej 15"/>
    <x v="98"/>
    <x v="0"/>
    <x v="4"/>
    <n v="278.43"/>
    <n v="2"/>
    <s v="2012-01-26"/>
    <n v="0"/>
    <n v="96"/>
    <n v="2.897294"/>
    <n v="2"/>
    <x v="2"/>
    <n v="278.43"/>
    <n v="130.57"/>
    <n v="0"/>
    <s v="4022873"/>
    <s v="74112521800"/>
    <n v="278.40908000000002"/>
    <n v="0"/>
    <n v="77650"/>
  </r>
  <r>
    <x v="4"/>
    <m/>
    <s v="Ryetvej 15"/>
    <n v="10270"/>
    <m/>
    <s v="Ryetvej 15"/>
    <x v="98"/>
    <x v="0"/>
    <x v="5"/>
    <n v="1330.54"/>
    <n v="5"/>
    <s v="2012-01-26"/>
    <n v="0"/>
    <n v="96"/>
    <n v="13.845369"/>
    <n v="2"/>
    <x v="2"/>
    <n v="1330.54"/>
    <n v="624"/>
    <n v="0"/>
    <s v="4022873"/>
    <s v="74112521800"/>
    <n v="1330.4999800000001"/>
    <n v="0"/>
    <n v="77650"/>
  </r>
  <r>
    <x v="4"/>
    <m/>
    <s v="Ryetvej 15"/>
    <n v="10270"/>
    <m/>
    <s v="Ryetvej 15"/>
    <x v="98"/>
    <x v="0"/>
    <x v="6"/>
    <n v="2421.84"/>
    <n v="6"/>
    <s v="2012-01-26"/>
    <n v="0"/>
    <n v="96"/>
    <n v="25.201248"/>
    <n v="2"/>
    <x v="2"/>
    <n v="2421.84"/>
    <n v="1135.8399999999999"/>
    <n v="0"/>
    <s v="4022873"/>
    <s v="74112521800"/>
    <n v="2421.8271599999998"/>
    <n v="0"/>
    <n v="77650"/>
  </r>
  <r>
    <x v="4"/>
    <m/>
    <s v="Lysthuset, Lille Værløsevej 36A"/>
    <n v="10182"/>
    <m/>
    <s v="Lysthuset"/>
    <x v="97"/>
    <x v="0"/>
    <x v="0"/>
    <n v="3622"/>
    <n v="5"/>
    <s v="2013-12-31"/>
    <n v="0"/>
    <n v="152"/>
    <n v="9.8303740000000008"/>
    <n v="2"/>
    <x v="2"/>
    <n v="1495.2"/>
    <n v="448.55"/>
    <n v="0"/>
    <s v="4032419"/>
    <s v="74110495875"/>
    <n v="1495.2"/>
    <n v="0"/>
    <n v="77233"/>
  </r>
  <r>
    <x v="4"/>
    <s v="1737"/>
    <s v="Musikskolen KV36"/>
    <n v="14495"/>
    <s v="0"/>
    <s v="Værestedet"/>
    <x v="56"/>
    <x v="0"/>
    <x v="0"/>
    <n v="34314"/>
    <n v="5"/>
    <m/>
    <n v="0"/>
    <n v="878"/>
    <n v="14.723846"/>
    <n v="2"/>
    <x v="2"/>
    <n v="12929.01"/>
    <n v="3878.72"/>
    <n v="0"/>
    <s v="3101465"/>
    <m/>
    <n v="12929.025"/>
    <n v="0"/>
    <n v="96151"/>
  </r>
  <r>
    <x v="4"/>
    <s v="00767-6"/>
    <s v="Sundhedshuset Gammelgårdsvej 88"/>
    <n v="5270"/>
    <m/>
    <s v="Milcon"/>
    <x v="99"/>
    <x v="0"/>
    <x v="2"/>
    <n v="83311.740000000005"/>
    <n v="12"/>
    <m/>
    <n v="0"/>
    <n v="2625"/>
    <n v="31.736595999999999"/>
    <n v="2"/>
    <x v="2"/>
    <n v="83311.740000000005"/>
    <n v="33324.69"/>
    <n v="0"/>
    <s v="23741"/>
    <m/>
    <n v="83311.740000000005"/>
    <n v="0"/>
    <n v="56822"/>
  </r>
  <r>
    <x v="4"/>
    <s v="00767-6"/>
    <s v="Sundhedshuset Gammelgårdsvej 88"/>
    <n v="5270"/>
    <m/>
    <s v="Milcon"/>
    <x v="99"/>
    <x v="0"/>
    <x v="3"/>
    <n v="88346.52"/>
    <n v="12"/>
    <m/>
    <n v="0"/>
    <n v="2625"/>
    <n v="33.654535000000003"/>
    <n v="2"/>
    <x v="2"/>
    <n v="88346.52"/>
    <n v="41434.519999999997"/>
    <n v="0"/>
    <s v="23741"/>
    <m/>
    <n v="88346.52"/>
    <n v="0"/>
    <n v="56822"/>
  </r>
  <r>
    <x v="4"/>
    <s v="00767-6"/>
    <s v="Sundhedshuset Gammelgårdsvej 88"/>
    <n v="5270"/>
    <m/>
    <s v="Milcon"/>
    <x v="99"/>
    <x v="0"/>
    <x v="4"/>
    <n v="89047.83"/>
    <n v="12"/>
    <m/>
    <n v="0"/>
    <n v="2625"/>
    <n v="33.921689999999998"/>
    <n v="2"/>
    <x v="2"/>
    <n v="89047.83"/>
    <n v="41763.449999999997"/>
    <n v="0"/>
    <s v="23741"/>
    <m/>
    <n v="89047.831999999995"/>
    <n v="0"/>
    <n v="56822"/>
  </r>
  <r>
    <x v="4"/>
    <s v="00767-6"/>
    <s v="Sundhedshuset Gammelgårdsvej 88"/>
    <n v="5270"/>
    <m/>
    <s v="Milcon"/>
    <x v="99"/>
    <x v="0"/>
    <x v="5"/>
    <n v="96922.37"/>
    <n v="12"/>
    <m/>
    <n v="0"/>
    <n v="2625"/>
    <n v="36.921401000000003"/>
    <n v="2"/>
    <x v="2"/>
    <n v="96922.37"/>
    <n v="45456.6"/>
    <n v="0"/>
    <s v="23741"/>
    <m/>
    <n v="96922.366999999998"/>
    <n v="0"/>
    <n v="56822"/>
  </r>
  <r>
    <x v="4"/>
    <s v="00767-6"/>
    <s v="Sundhedshuset Gammelgårdsvej 88"/>
    <n v="5270"/>
    <m/>
    <s v="Milcon"/>
    <x v="99"/>
    <x v="0"/>
    <x v="6"/>
    <n v="87653.03"/>
    <n v="12"/>
    <m/>
    <n v="0"/>
    <n v="2625"/>
    <n v="33.390357999999999"/>
    <n v="2"/>
    <x v="2"/>
    <n v="87653.03"/>
    <n v="41109.279999999999"/>
    <n v="0"/>
    <s v="23741"/>
    <m/>
    <n v="87653.02"/>
    <n v="0"/>
    <n v="56822"/>
  </r>
  <r>
    <x v="4"/>
    <m/>
    <s v="Ryetvej 15"/>
    <n v="10270"/>
    <m/>
    <s v="Ryetvej 15"/>
    <x v="98"/>
    <x v="0"/>
    <x v="0"/>
    <n v="549"/>
    <n v="5"/>
    <s v="2012-01-26"/>
    <n v="0"/>
    <n v="96"/>
    <n v="3.5200830000000001"/>
    <n v="2"/>
    <x v="2"/>
    <n v="338.28"/>
    <n v="101.49"/>
    <n v="0"/>
    <s v="4022873"/>
    <s v="74112521800"/>
    <n v="338.28399000000002"/>
    <n v="0"/>
    <n v="77650"/>
  </r>
  <r>
    <x v="4"/>
    <s v="00767-6"/>
    <s v="Sundhedshuset Gammelgårdsvej 88"/>
    <n v="5270"/>
    <m/>
    <s v="Milcon"/>
    <x v="99"/>
    <x v="0"/>
    <x v="0"/>
    <n v="56374"/>
    <n v="5"/>
    <m/>
    <n v="0"/>
    <n v="2625"/>
    <n v="9.4333089999999995"/>
    <n v="2"/>
    <x v="2"/>
    <n v="24763.38"/>
    <n v="9905.35"/>
    <n v="0"/>
    <s v="23741"/>
    <m/>
    <n v="24763.38"/>
    <n v="0"/>
    <n v="56822"/>
  </r>
  <r>
    <x v="4"/>
    <m/>
    <s v="Tandklinikken Nygaard, Nygård 209"/>
    <n v="5946"/>
    <m/>
    <s v="Tandklinikken Nygaard"/>
    <x v="101"/>
    <x v="0"/>
    <x v="2"/>
    <n v="13943.42"/>
    <n v="12"/>
    <s v="2011-11-30"/>
    <n v="0"/>
    <n v="393"/>
    <n v="35.470413999999998"/>
    <n v="2"/>
    <x v="2"/>
    <n v="13943.42"/>
    <n v="5577.38"/>
    <n v="0"/>
    <s v="4162802"/>
    <s v="74111713671"/>
    <n v="13943.423000000001"/>
    <n v="0"/>
    <n v="59956"/>
  </r>
  <r>
    <x v="4"/>
    <m/>
    <s v="Tandklinikken Nygaard, Nygård 209"/>
    <n v="5946"/>
    <m/>
    <s v="Tandklinikken Nygaard"/>
    <x v="101"/>
    <x v="0"/>
    <x v="3"/>
    <n v="15651.75"/>
    <n v="13"/>
    <s v="2011-11-30"/>
    <n v="0"/>
    <n v="393"/>
    <n v="39.816203999999999"/>
    <n v="2"/>
    <x v="2"/>
    <n v="15651.75"/>
    <n v="7340.67"/>
    <n v="0"/>
    <s v="4162802"/>
    <s v="74111713671"/>
    <n v="15651.74014"/>
    <n v="0"/>
    <n v="59956"/>
  </r>
  <r>
    <x v="4"/>
    <m/>
    <s v="Tandklinikken Nygaard, Nygård 209"/>
    <n v="5946"/>
    <m/>
    <s v="Tandklinikken Nygaard"/>
    <x v="101"/>
    <x v="0"/>
    <x v="4"/>
    <n v="3673.65"/>
    <n v="8"/>
    <s v="2011-11-30"/>
    <n v="0"/>
    <n v="393"/>
    <n v="9.3453309999999998"/>
    <n v="2"/>
    <x v="2"/>
    <n v="3673.65"/>
    <n v="1722.93"/>
    <n v="0"/>
    <s v="4162802"/>
    <s v="74111713671"/>
    <n v="3673.64284"/>
    <n v="0"/>
    <n v="59956"/>
  </r>
  <r>
    <x v="4"/>
    <m/>
    <s v="Tandklinikken Nygaard, Nygård 209"/>
    <n v="5946"/>
    <m/>
    <s v="Tandklinikken Nygaard"/>
    <x v="101"/>
    <x v="0"/>
    <x v="5"/>
    <n v="3440.4"/>
    <n v="2"/>
    <s v="2011-11-30"/>
    <n v="0"/>
    <n v="393"/>
    <n v="8.7519709999999993"/>
    <n v="2"/>
    <x v="2"/>
    <n v="3440.4"/>
    <n v="1613.54"/>
    <n v="0"/>
    <s v="4162802"/>
    <s v="74111713671"/>
    <n v="3440.3986599999998"/>
    <n v="0"/>
    <n v="59956"/>
  </r>
  <r>
    <x v="4"/>
    <m/>
    <s v="Tandklinikken Nygaard, Nygård 209"/>
    <n v="5946"/>
    <m/>
    <s v="Tandklinikken Nygaard"/>
    <x v="101"/>
    <x v="0"/>
    <x v="6"/>
    <n v="8039.72"/>
    <n v="9"/>
    <s v="2011-11-30"/>
    <n v="0"/>
    <n v="393"/>
    <n v="20.452097999999999"/>
    <n v="2"/>
    <x v="2"/>
    <n v="8039.72"/>
    <n v="3770.63"/>
    <n v="0"/>
    <s v="4162802"/>
    <s v="74111713671"/>
    <n v="8039.7218400000002"/>
    <n v="0"/>
    <n v="59956"/>
  </r>
  <r>
    <x v="4"/>
    <m/>
    <s v="Tandklinikken Nygaard, Nygård 209"/>
    <n v="5946"/>
    <m/>
    <s v="Tandklinikken Nygaard"/>
    <x v="101"/>
    <x v="0"/>
    <x v="0"/>
    <n v="16988"/>
    <n v="5"/>
    <s v="2011-11-30"/>
    <n v="0"/>
    <n v="393"/>
    <n v="19.193538"/>
    <n v="2"/>
    <x v="2"/>
    <n v="7544.98"/>
    <n v="3017.99"/>
    <n v="0"/>
    <s v="4162802"/>
    <s v="74111713671"/>
    <n v="7544.9719999999998"/>
    <n v="0"/>
    <n v="59956"/>
  </r>
  <r>
    <x v="14"/>
    <s v="6388"/>
    <s v="Lillevang plejecenter"/>
    <n v="13266"/>
    <s v="0"/>
    <s v="Lillevang"/>
    <x v="102"/>
    <x v="0"/>
    <x v="0"/>
    <n v="1228"/>
    <n v="5"/>
    <s v="2012-01-01"/>
    <n v="0"/>
    <n v="1357"/>
    <n v="0.32150899999999999"/>
    <n v="3"/>
    <x v="0"/>
    <n v="436.32"/>
    <n v="349.07"/>
    <n v="0"/>
    <s v="Bimåler til fællesbygn"/>
    <m/>
    <n v="436.32812999999999"/>
    <n v="0"/>
    <n v="89187"/>
  </r>
  <r>
    <x v="14"/>
    <s v="6388"/>
    <s v="Lillevang plejecenter"/>
    <n v="13266"/>
    <s v="0"/>
    <s v="Lillevang"/>
    <x v="102"/>
    <x v="0"/>
    <x v="1"/>
    <n v="1170.3699999999999"/>
    <n v="12"/>
    <s v="2012-01-01"/>
    <n v="0"/>
    <n v="1357"/>
    <n v="0.86240499999999998"/>
    <n v="3"/>
    <x v="0"/>
    <n v="1170.3699999999999"/>
    <n v="936.3"/>
    <n v="0"/>
    <s v="Bimåler til fællesbygn"/>
    <m/>
    <n v="1170.37967"/>
    <n v="0"/>
    <n v="89187"/>
  </r>
  <r>
    <x v="14"/>
    <s v="6388"/>
    <s v="Lillevang plejecenter"/>
    <n v="13266"/>
    <s v="0"/>
    <s v="Lillevang"/>
    <x v="102"/>
    <x v="0"/>
    <x v="2"/>
    <n v="972.37"/>
    <n v="13"/>
    <s v="2012-01-01"/>
    <n v="0"/>
    <n v="1357"/>
    <n v="0.71650499999999995"/>
    <n v="3"/>
    <x v="0"/>
    <n v="972.37"/>
    <n v="777.87"/>
    <n v="0"/>
    <s v="Bimåler til fællesbygn"/>
    <m/>
    <n v="972.36532999999997"/>
    <n v="0"/>
    <n v="89187"/>
  </r>
  <r>
    <x v="14"/>
    <s v="6388"/>
    <s v="Lillevang plejecenter"/>
    <n v="13266"/>
    <s v="0"/>
    <s v="Lillevang"/>
    <x v="102"/>
    <x v="0"/>
    <x v="3"/>
    <n v="999.98"/>
    <n v="1"/>
    <s v="2012-01-01"/>
    <n v="0"/>
    <n v="1357"/>
    <n v="0.73685"/>
    <n v="3"/>
    <x v="0"/>
    <n v="999.98"/>
    <n v="800.02"/>
    <n v="0"/>
    <s v="Bimåler til fællesbygn"/>
    <m/>
    <n v="1000.0000199999999"/>
    <n v="0"/>
    <n v="89187"/>
  </r>
  <r>
    <x v="14"/>
    <s v="6388"/>
    <s v="Lillevang plejecenter"/>
    <n v="13266"/>
    <s v="0"/>
    <s v="Lillevang"/>
    <x v="102"/>
    <x v="0"/>
    <x v="4"/>
    <n v="999.98"/>
    <n v="1"/>
    <s v="2012-01-01"/>
    <n v="0"/>
    <n v="1357"/>
    <n v="0.73685"/>
    <n v="3"/>
    <x v="0"/>
    <n v="999.98"/>
    <n v="800.02"/>
    <n v="0"/>
    <s v="Bimåler til fællesbygn"/>
    <m/>
    <n v="1000.0000199999999"/>
    <n v="0"/>
    <n v="89187"/>
  </r>
  <r>
    <x v="14"/>
    <s v="6388"/>
    <s v="Lillevang plejecenter"/>
    <n v="13266"/>
    <s v="0"/>
    <s v="Lillevang"/>
    <x v="102"/>
    <x v="0"/>
    <x v="5"/>
    <n v="999.98"/>
    <n v="1"/>
    <s v="2012-01-01"/>
    <n v="0"/>
    <n v="1357"/>
    <n v="0.73685"/>
    <n v="3"/>
    <x v="0"/>
    <n v="999.98"/>
    <n v="800.02"/>
    <n v="0"/>
    <s v="Bimåler til fællesbygn"/>
    <m/>
    <n v="1000.0000199999999"/>
    <n v="0"/>
    <n v="89187"/>
  </r>
  <r>
    <x v="14"/>
    <s v="6388"/>
    <s v="Lillevang plejecenter"/>
    <n v="13266"/>
    <s v="0"/>
    <s v="Lillevang"/>
    <x v="102"/>
    <x v="0"/>
    <x v="6"/>
    <n v="1000.01"/>
    <n v="1"/>
    <s v="2012-01-01"/>
    <n v="0"/>
    <n v="1357"/>
    <n v="0.73687199999999997"/>
    <n v="3"/>
    <x v="0"/>
    <n v="1000.01"/>
    <n v="799.99"/>
    <n v="0"/>
    <s v="Bimåler til fællesbygn"/>
    <m/>
    <n v="999.99995999999999"/>
    <n v="0"/>
    <n v="89187"/>
  </r>
  <r>
    <x v="3"/>
    <m/>
    <s v="Dalgården, Dalsø 107-109"/>
    <n v="10018"/>
    <m/>
    <s v="Dalgården"/>
    <x v="24"/>
    <x v="0"/>
    <x v="7"/>
    <n v="94388.98"/>
    <n v="11"/>
    <s v="2014-02-28"/>
    <n v="0"/>
    <n v="838"/>
    <n v="112.622574"/>
    <n v="1"/>
    <x v="4"/>
    <n v="113036.76"/>
    <n v="23905.17"/>
    <n v="0"/>
    <m/>
    <s v="98003447822"/>
    <n v="8739.7200599999996"/>
    <n v="0"/>
    <n v="76530"/>
  </r>
  <r>
    <x v="14"/>
    <m/>
    <s v="Plejehjemmet Søndersø"/>
    <n v="10323"/>
    <m/>
    <s v="Plejehjemmet Søndersø"/>
    <x v="103"/>
    <x v="0"/>
    <x v="7"/>
    <n v="1052.5999999999999"/>
    <n v="12"/>
    <s v="2010-10-31"/>
    <n v="0"/>
    <n v="2114"/>
    <n v="0.49789499999999998"/>
    <n v="3"/>
    <x v="0"/>
    <n v="1052.5999999999999"/>
    <n v="842.08"/>
    <n v="0"/>
    <s v="00PC500645/501305"/>
    <m/>
    <n v="1052.5999999999999"/>
    <n v="0"/>
    <n v="77830"/>
  </r>
  <r>
    <x v="14"/>
    <m/>
    <s v="Plejehjemmet Søndersø"/>
    <n v="10323"/>
    <m/>
    <s v="Plejehjemmet Søndersø"/>
    <x v="103"/>
    <x v="0"/>
    <x v="1"/>
    <n v="99690.32"/>
    <n v="12"/>
    <s v="2010-01-30"/>
    <n v="0"/>
    <n v="2114"/>
    <n v="47.154969000000001"/>
    <n v="2"/>
    <x v="2"/>
    <n v="99690.32"/>
    <n v="29907.1"/>
    <n v="0"/>
    <s v="1100763-56808"/>
    <s v="74110515863"/>
    <n v="99690.323999999993"/>
    <n v="0"/>
    <n v="84599"/>
  </r>
  <r>
    <x v="14"/>
    <m/>
    <s v="Plejehjemmet Søndersø"/>
    <n v="10323"/>
    <m/>
    <s v="Plejehjemmet Søndersø"/>
    <x v="103"/>
    <x v="0"/>
    <x v="1"/>
    <n v="1070.9000000000001"/>
    <n v="12"/>
    <s v="2010-10-31"/>
    <n v="0"/>
    <n v="2114"/>
    <n v="0.50655099999999997"/>
    <n v="3"/>
    <x v="0"/>
    <n v="1070.9000000000001"/>
    <n v="856.72"/>
    <n v="0"/>
    <s v="00PC500645/501305"/>
    <m/>
    <n v="1070.9000000000001"/>
    <n v="0"/>
    <n v="77830"/>
  </r>
  <r>
    <x v="14"/>
    <m/>
    <s v="Skovgården, Skov 1"/>
    <n v="9520"/>
    <m/>
    <s v="Skovgården 1"/>
    <x v="104"/>
    <x v="0"/>
    <x v="0"/>
    <n v="444"/>
    <n v="5"/>
    <m/>
    <n v="0"/>
    <n v="1935"/>
    <n v="9.7461999999999993E-2"/>
    <n v="3"/>
    <x v="0"/>
    <n v="188.6"/>
    <n v="150.88999999999999"/>
    <n v="0"/>
    <s v="BVK 01PC502536"/>
    <m/>
    <n v="188.60900000000001"/>
    <n v="0"/>
    <n v="74435"/>
  </r>
  <r>
    <x v="14"/>
    <m/>
    <s v="Skovgården, Skov 1"/>
    <n v="9520"/>
    <m/>
    <s v="Skovgården 1"/>
    <x v="104"/>
    <x v="0"/>
    <x v="0"/>
    <n v="0"/>
    <n v="5"/>
    <m/>
    <n v="0"/>
    <n v="1935"/>
    <n v="2.4510000000000001E-2"/>
    <n v="3"/>
    <x v="0"/>
    <n v="47.43"/>
    <n v="0"/>
    <n v="1"/>
    <s v="BVV"/>
    <m/>
    <n v="47.433"/>
    <n v="0"/>
    <n v="74436"/>
  </r>
  <r>
    <x v="14"/>
    <m/>
    <s v="Skovgården, Skov 1"/>
    <n v="9520"/>
    <m/>
    <s v="Skovgården 1"/>
    <x v="104"/>
    <x v="0"/>
    <x v="1"/>
    <n v="421.75"/>
    <n v="12"/>
    <m/>
    <n v="0"/>
    <n v="1935"/>
    <n v="0.217947"/>
    <n v="3"/>
    <x v="0"/>
    <n v="421.75"/>
    <n v="337.42"/>
    <n v="0"/>
    <s v="BVK 01PC502536"/>
    <m/>
    <n v="421.76100000000002"/>
    <n v="0"/>
    <n v="74435"/>
  </r>
  <r>
    <x v="5"/>
    <m/>
    <s v="Plejehjemmet Søndersø"/>
    <n v="10323"/>
    <m/>
    <s v="Plejehjemmet Søndersø"/>
    <x v="103"/>
    <x v="0"/>
    <x v="0"/>
    <n v="952"/>
    <n v="5"/>
    <s v="2010-10-31"/>
    <n v="0"/>
    <n v="2114"/>
    <n v="0.170096"/>
    <n v="3"/>
    <x v="0"/>
    <n v="359.6"/>
    <n v="287.68"/>
    <n v="0"/>
    <s v="00PC500645/501305"/>
    <m/>
    <n v="359.6"/>
    <n v="0"/>
    <n v="77830"/>
  </r>
  <r>
    <x v="5"/>
    <m/>
    <s v="Plejehjemmet Søndersø"/>
    <n v="10323"/>
    <m/>
    <s v="Plejehjemmet Søndersø"/>
    <x v="103"/>
    <x v="0"/>
    <x v="0"/>
    <n v="235433"/>
    <n v="5"/>
    <s v="2011-12-30"/>
    <n v="0"/>
    <n v="2114"/>
    <n v="67.837750999999997"/>
    <n v="1"/>
    <x v="4"/>
    <n v="271269"/>
    <n v="33927.800000000003"/>
    <n v="0"/>
    <s v="99A368317"/>
    <s v="98000138945"/>
    <n v="13279.24"/>
    <n v="0"/>
    <n v="77831"/>
  </r>
  <r>
    <x v="5"/>
    <m/>
    <s v="Plejehjemmet Søndersø"/>
    <n v="10323"/>
    <m/>
    <s v="Plejehjemmet Søndersø"/>
    <x v="103"/>
    <x v="0"/>
    <x v="0"/>
    <n v="67627"/>
    <n v="5"/>
    <s v="2010-01-30"/>
    <n v="0"/>
    <n v="2114"/>
    <n v="17.385535000000001"/>
    <n v="2"/>
    <x v="2"/>
    <n v="36754.76"/>
    <n v="11026.44"/>
    <n v="0"/>
    <s v="1100763-56808"/>
    <s v="74110515863"/>
    <n v="36754.764000000003"/>
    <n v="0"/>
    <n v="84599"/>
  </r>
  <r>
    <x v="14"/>
    <m/>
    <s v="Skovgården, Skov 1"/>
    <n v="9520"/>
    <m/>
    <s v="Skovgården 1"/>
    <x v="104"/>
    <x v="0"/>
    <x v="1"/>
    <n v="127.17"/>
    <n v="12"/>
    <m/>
    <n v="0"/>
    <n v="1935"/>
    <n v="6.5716999999999998E-2"/>
    <n v="3"/>
    <x v="0"/>
    <n v="127.17"/>
    <n v="0"/>
    <n v="1"/>
    <s v="BVV"/>
    <m/>
    <n v="127.17"/>
    <n v="0"/>
    <n v="74436"/>
  </r>
  <r>
    <x v="14"/>
    <m/>
    <s v="Skovgården, Skov 1"/>
    <n v="9520"/>
    <m/>
    <s v="Skovgården 1"/>
    <x v="104"/>
    <x v="0"/>
    <x v="2"/>
    <n v="482.34"/>
    <n v="12"/>
    <m/>
    <n v="0"/>
    <n v="1935"/>
    <n v="0.24925800000000001"/>
    <n v="3"/>
    <x v="0"/>
    <n v="482.34"/>
    <n v="385.89"/>
    <n v="0"/>
    <s v="BVK 01PC502536"/>
    <m/>
    <n v="482.35500000000002"/>
    <n v="0"/>
    <n v="74435"/>
  </r>
  <r>
    <x v="14"/>
    <m/>
    <s v="Skovgården, Skov 1"/>
    <n v="9520"/>
    <m/>
    <s v="Skovgården 1"/>
    <x v="104"/>
    <x v="0"/>
    <x v="2"/>
    <n v="134.83000000000001"/>
    <n v="12"/>
    <m/>
    <n v="0"/>
    <n v="1935"/>
    <n v="6.9675000000000001E-2"/>
    <n v="3"/>
    <x v="0"/>
    <n v="134.83000000000001"/>
    <n v="0"/>
    <n v="1"/>
    <s v="BVV"/>
    <m/>
    <n v="134.828"/>
    <n v="0"/>
    <n v="74436"/>
  </r>
  <r>
    <x v="14"/>
    <m/>
    <s v="Skovgården, Skov 1"/>
    <n v="9520"/>
    <m/>
    <s v="Skovgården 1"/>
    <x v="104"/>
    <x v="0"/>
    <x v="3"/>
    <n v="617.49"/>
    <n v="12"/>
    <m/>
    <n v="0"/>
    <n v="1935"/>
    <n v="0.31909900000000002"/>
    <n v="3"/>
    <x v="0"/>
    <n v="617.49"/>
    <n v="493.95"/>
    <n v="0"/>
    <s v="BVK 01PC502536"/>
    <m/>
    <n v="617.46199999999999"/>
    <n v="0"/>
    <n v="74435"/>
  </r>
  <r>
    <x v="14"/>
    <m/>
    <s v="Skovgården, Skov 1"/>
    <n v="9520"/>
    <m/>
    <s v="Skovgården 1"/>
    <x v="104"/>
    <x v="0"/>
    <x v="3"/>
    <n v="131.03"/>
    <n v="12"/>
    <m/>
    <n v="0"/>
    <n v="1935"/>
    <n v="6.7711999999999994E-2"/>
    <n v="3"/>
    <x v="0"/>
    <n v="131.03"/>
    <n v="0"/>
    <n v="1"/>
    <s v="BVV"/>
    <m/>
    <n v="131.017"/>
    <n v="0"/>
    <n v="74436"/>
  </r>
  <r>
    <x v="14"/>
    <m/>
    <s v="Skovgården, Skov 1"/>
    <n v="9520"/>
    <m/>
    <s v="Skovgården 1"/>
    <x v="104"/>
    <x v="0"/>
    <x v="4"/>
    <n v="737.76"/>
    <n v="12"/>
    <m/>
    <n v="0"/>
    <n v="1935"/>
    <n v="0.38125100000000001"/>
    <n v="3"/>
    <x v="0"/>
    <n v="737.76"/>
    <n v="590.20000000000005"/>
    <n v="0"/>
    <s v="BVK 01PC502536"/>
    <m/>
    <n v="737.74599999999998"/>
    <n v="0"/>
    <n v="74435"/>
  </r>
  <r>
    <x v="14"/>
    <m/>
    <s v="Skovgården, Skov 1"/>
    <n v="9520"/>
    <m/>
    <s v="Skovgården 1"/>
    <x v="104"/>
    <x v="0"/>
    <x v="4"/>
    <n v="0"/>
    <n v="12"/>
    <m/>
    <n v="0"/>
    <n v="1935"/>
    <n v="0"/>
    <n v="3"/>
    <x v="0"/>
    <n v="0"/>
    <n v="0"/>
    <n v="1"/>
    <s v="BVV"/>
    <m/>
    <n v="0"/>
    <n v="0"/>
    <n v="74436"/>
  </r>
  <r>
    <x v="14"/>
    <m/>
    <s v="Skovgården, Skov 1"/>
    <n v="9520"/>
    <m/>
    <s v="Skovgården 1"/>
    <x v="104"/>
    <x v="0"/>
    <x v="5"/>
    <n v="598.30999999999995"/>
    <n v="12"/>
    <m/>
    <n v="0"/>
    <n v="1935"/>
    <n v="0.30918800000000002"/>
    <n v="3"/>
    <x v="0"/>
    <n v="598.30999999999995"/>
    <n v="478.65"/>
    <n v="0"/>
    <s v="BVK 01PC502536"/>
    <m/>
    <n v="598.29899999999998"/>
    <n v="0"/>
    <n v="74435"/>
  </r>
  <r>
    <x v="14"/>
    <m/>
    <s v="Skovgården, Skov 1"/>
    <n v="9520"/>
    <m/>
    <s v="Skovgården 1"/>
    <x v="104"/>
    <x v="0"/>
    <x v="5"/>
    <n v="67.790000000000006"/>
    <n v="12"/>
    <m/>
    <n v="0"/>
    <n v="1935"/>
    <n v="3.5031E-2"/>
    <n v="3"/>
    <x v="0"/>
    <n v="67.790000000000006"/>
    <n v="0"/>
    <n v="1"/>
    <s v="BVV"/>
    <m/>
    <n v="67.795000000000002"/>
    <n v="0"/>
    <n v="74436"/>
  </r>
  <r>
    <x v="14"/>
    <m/>
    <s v="Skovgården, Skov 1"/>
    <n v="9520"/>
    <m/>
    <s v="Skovgården 1"/>
    <x v="104"/>
    <x v="0"/>
    <x v="6"/>
    <n v="565.35"/>
    <n v="12"/>
    <m/>
    <n v="0"/>
    <n v="1935"/>
    <n v="0.292155"/>
    <n v="3"/>
    <x v="0"/>
    <n v="565.35"/>
    <n v="452.27"/>
    <n v="0"/>
    <s v="BVK 01PC502536"/>
    <m/>
    <n v="565.35500000000002"/>
    <n v="0"/>
    <n v="74435"/>
  </r>
  <r>
    <x v="14"/>
    <m/>
    <s v="Skovgården, Skov 1"/>
    <n v="9520"/>
    <m/>
    <s v="Skovgården 1"/>
    <x v="104"/>
    <x v="0"/>
    <x v="6"/>
    <n v="177.98"/>
    <n v="12"/>
    <m/>
    <n v="0"/>
    <n v="1935"/>
    <n v="9.1974E-2"/>
    <n v="3"/>
    <x v="0"/>
    <n v="177.98"/>
    <n v="0"/>
    <n v="1"/>
    <s v="BVV"/>
    <m/>
    <n v="177.98599999999999"/>
    <n v="0"/>
    <n v="74436"/>
  </r>
  <r>
    <x v="14"/>
    <s v="5864"/>
    <s v="Solbjerghaven Plejecenter"/>
    <n v="13297"/>
    <s v="1"/>
    <s v="Solbjerghaven Plejecenter"/>
    <x v="105"/>
    <x v="0"/>
    <x v="0"/>
    <n v="1051"/>
    <n v="5"/>
    <s v="2011-11-30"/>
    <n v="0"/>
    <n v="1571"/>
    <n v="0.25328699999999998"/>
    <n v="3"/>
    <x v="0"/>
    <n v="397.94"/>
    <n v="318.36"/>
    <n v="0"/>
    <s v="00pc502508"/>
    <m/>
    <n v="397.94540999999998"/>
    <n v="0"/>
    <n v="89295"/>
  </r>
  <r>
    <x v="14"/>
    <s v="5864"/>
    <s v="Solbjerghaven Plejecenter"/>
    <n v="13297"/>
    <s v="1"/>
    <s v="Solbjerghaven Plejecenter"/>
    <x v="105"/>
    <x v="0"/>
    <x v="1"/>
    <n v="1027.5899999999999"/>
    <n v="12"/>
    <s v="2011-11-30"/>
    <n v="0"/>
    <n v="1571"/>
    <n v="0.654057"/>
    <n v="3"/>
    <x v="0"/>
    <n v="1027.5899999999999"/>
    <n v="822.07"/>
    <n v="0"/>
    <s v="00pc502508"/>
    <m/>
    <n v="1027.57925"/>
    <n v="0"/>
    <n v="89295"/>
  </r>
  <r>
    <x v="14"/>
    <s v="5864"/>
    <s v="Solbjerghaven Plejecenter"/>
    <n v="13297"/>
    <s v="1"/>
    <s v="Solbjerghaven Plejecenter"/>
    <x v="105"/>
    <x v="0"/>
    <x v="2"/>
    <n v="1135.97"/>
    <n v="12"/>
    <s v="2011-11-30"/>
    <n v="0"/>
    <n v="1571"/>
    <n v="0.72304100000000004"/>
    <n v="3"/>
    <x v="0"/>
    <n v="1135.97"/>
    <n v="908.78"/>
    <n v="0"/>
    <s v="00pc502508"/>
    <m/>
    <n v="1135.97271"/>
    <n v="0"/>
    <n v="89295"/>
  </r>
  <r>
    <x v="14"/>
    <s v="5864"/>
    <s v="Solbjerghaven Plejecenter"/>
    <n v="13297"/>
    <s v="1"/>
    <s v="Solbjerghaven Plejecenter"/>
    <x v="105"/>
    <x v="0"/>
    <x v="3"/>
    <n v="1437.95"/>
    <n v="4"/>
    <s v="2011-11-30"/>
    <n v="0"/>
    <n v="1571"/>
    <n v="0.91525000000000001"/>
    <n v="3"/>
    <x v="0"/>
    <n v="1437.95"/>
    <n v="1150.3599999999999"/>
    <n v="0"/>
    <s v="00pc502508"/>
    <m/>
    <n v="1437.94073"/>
    <n v="0"/>
    <n v="89295"/>
  </r>
  <r>
    <x v="14"/>
    <s v="5864"/>
    <s v="Solbjerghaven Plejecenter"/>
    <n v="13297"/>
    <s v="1"/>
    <s v="Solbjerghaven Plejecenter"/>
    <x v="105"/>
    <x v="0"/>
    <x v="4"/>
    <n v="1232.3"/>
    <n v="1"/>
    <s v="2011-11-30"/>
    <n v="0"/>
    <n v="1571"/>
    <n v="0.784354"/>
    <n v="3"/>
    <x v="0"/>
    <n v="1232.3"/>
    <n v="985.83"/>
    <n v="0"/>
    <s v="00pc502508"/>
    <m/>
    <n v="1232.2992200000001"/>
    <n v="0"/>
    <n v="89295"/>
  </r>
  <r>
    <x v="14"/>
    <s v="5864"/>
    <s v="Solbjerghaven Plejecenter"/>
    <n v="13297"/>
    <s v="1"/>
    <s v="Solbjerghaven Plejecenter"/>
    <x v="105"/>
    <x v="0"/>
    <x v="5"/>
    <n v="1206.97"/>
    <n v="1"/>
    <s v="2011-11-30"/>
    <n v="0"/>
    <n v="1571"/>
    <n v="0.76823200000000003"/>
    <n v="3"/>
    <x v="0"/>
    <n v="1206.97"/>
    <n v="965.61"/>
    <n v="0"/>
    <s v="00pc502508"/>
    <m/>
    <n v="1206.9921200000001"/>
    <n v="0"/>
    <n v="89295"/>
  </r>
  <r>
    <x v="14"/>
    <s v="5864"/>
    <s v="Solbjerghaven Plejecenter"/>
    <n v="13297"/>
    <s v="1"/>
    <s v="Solbjerghaven Plejecenter"/>
    <x v="105"/>
    <x v="0"/>
    <x v="6"/>
    <n v="1189.1099999999999"/>
    <n v="2"/>
    <s v="2011-11-30"/>
    <n v="0"/>
    <n v="1571"/>
    <n v="0.75686399999999998"/>
    <n v="3"/>
    <x v="0"/>
    <n v="1189.1099999999999"/>
    <n v="951.32"/>
    <n v="0"/>
    <s v="00pc502508"/>
    <m/>
    <n v="1189.1256599999999"/>
    <n v="0"/>
    <n v="89295"/>
  </r>
  <r>
    <x v="14"/>
    <s v="6388"/>
    <s v="Lillevang plejecenter"/>
    <n v="13266"/>
    <s v="0"/>
    <s v="Lillevang"/>
    <x v="102"/>
    <x v="0"/>
    <x v="0"/>
    <n v="274546"/>
    <n v="5"/>
    <s v="2012-01-26"/>
    <n v="0"/>
    <n v="1357"/>
    <n v="109.20756"/>
    <n v="1"/>
    <x v="4"/>
    <n v="328727"/>
    <n v="35449.480000000003"/>
    <n v="0"/>
    <s v="1200501"/>
    <m/>
    <n v="13722.739"/>
    <n v="0"/>
    <n v="90993"/>
  </r>
  <r>
    <x v="14"/>
    <s v="6388"/>
    <s v="Lillevang plejecenter"/>
    <n v="13266"/>
    <s v="0"/>
    <s v="Lillevang"/>
    <x v="102"/>
    <x v="0"/>
    <x v="1"/>
    <n v="299163.53999999998"/>
    <n v="12"/>
    <s v="2012-01-26"/>
    <n v="0"/>
    <n v="1357"/>
    <n v="220.443253"/>
    <n v="1"/>
    <x v="4"/>
    <n v="327720.38"/>
    <n v="69306.81"/>
    <n v="0"/>
    <s v="1200501"/>
    <m/>
    <n v="27700.328000000001"/>
    <n v="0"/>
    <n v="90993"/>
  </r>
  <r>
    <x v="14"/>
    <s v="6388"/>
    <s v="Lillevang plejecenter"/>
    <n v="13266"/>
    <s v="0"/>
    <s v="Lillevang"/>
    <x v="102"/>
    <x v="0"/>
    <x v="2"/>
    <n v="276513.65999999997"/>
    <n v="13"/>
    <s v="2012-01-26"/>
    <n v="0"/>
    <n v="1357"/>
    <n v="203.75334100000001"/>
    <n v="1"/>
    <x v="4"/>
    <n v="291866.88"/>
    <n v="61724.42"/>
    <n v="0"/>
    <s v="1200501"/>
    <m/>
    <n v="25603.116399999999"/>
    <n v="0"/>
    <n v="90993"/>
  </r>
  <r>
    <x v="14"/>
    <s v="6388"/>
    <s v="Lillevang plejecenter"/>
    <n v="13266"/>
    <s v="0"/>
    <s v="Lillevang"/>
    <x v="102"/>
    <x v="0"/>
    <x v="3"/>
    <n v="302309.58"/>
    <n v="1"/>
    <s v="2012-01-26"/>
    <n v="0"/>
    <n v="1357"/>
    <n v="222.761461"/>
    <n v="1"/>
    <x v="4"/>
    <n v="356607.2"/>
    <n v="75415.83"/>
    <n v="0"/>
    <s v="1200501"/>
    <m/>
    <n v="27991.627240000002"/>
    <n v="0"/>
    <n v="90993"/>
  </r>
  <r>
    <x v="14"/>
    <s v="6388"/>
    <s v="Lillevang plejecenter"/>
    <n v="13266"/>
    <s v="0"/>
    <s v="Lillevang"/>
    <x v="102"/>
    <x v="0"/>
    <x v="4"/>
    <n v="302665.8"/>
    <n v="3"/>
    <s v="2012-01-26"/>
    <n v="0"/>
    <n v="1357"/>
    <n v="223.02394799999999"/>
    <n v="1"/>
    <x v="4"/>
    <n v="328223.05"/>
    <n v="69413.100000000006"/>
    <n v="0"/>
    <s v="1200501"/>
    <m/>
    <n v="28024.612939999999"/>
    <n v="0"/>
    <n v="90993"/>
  </r>
  <r>
    <x v="14"/>
    <s v="6388"/>
    <s v="Lillevang plejecenter"/>
    <n v="13266"/>
    <s v="0"/>
    <s v="Lillevang"/>
    <x v="102"/>
    <x v="0"/>
    <x v="5"/>
    <n v="363212.9"/>
    <n v="1"/>
    <s v="2012-01-26"/>
    <n v="0"/>
    <n v="1357"/>
    <n v="267.63900899999999"/>
    <n v="1"/>
    <x v="4"/>
    <n v="545781.23"/>
    <n v="115422.61"/>
    <n v="0"/>
    <s v="1200501"/>
    <m/>
    <n v="33630.824670000002"/>
    <n v="0"/>
    <n v="90993"/>
  </r>
  <r>
    <x v="14"/>
    <s v="6388"/>
    <s v="Lillevang plejecenter"/>
    <n v="13266"/>
    <s v="0"/>
    <s v="Lillevang"/>
    <x v="102"/>
    <x v="0"/>
    <x v="6"/>
    <n v="328403.09999999998"/>
    <n v="1"/>
    <s v="2012-01-26"/>
    <n v="0"/>
    <n v="1357"/>
    <n v="241.98887300000001"/>
    <n v="1"/>
    <x v="4"/>
    <n v="426158.84"/>
    <n v="90124.71"/>
    <n v="0"/>
    <s v="1200501"/>
    <m/>
    <n v="30407.69339"/>
    <n v="0"/>
    <n v="90993"/>
  </r>
  <r>
    <x v="14"/>
    <m/>
    <s v="Plejehjemmet Søndersø"/>
    <n v="10323"/>
    <m/>
    <s v="Plejehjemmet Søndersø"/>
    <x v="103"/>
    <x v="0"/>
    <x v="1"/>
    <n v="308481.81"/>
    <n v="12"/>
    <s v="2011-12-30"/>
    <n v="0"/>
    <n v="2114"/>
    <n v="145.91637499999999"/>
    <n v="1"/>
    <x v="4"/>
    <n v="322722.94"/>
    <n v="68249.929999999993"/>
    <n v="0"/>
    <s v="99A368317"/>
    <s v="98000138945"/>
    <n v="28563.13"/>
    <n v="0"/>
    <n v="77831"/>
  </r>
  <r>
    <x v="14"/>
    <s v="6388"/>
    <s v="Lillevang plejecenter"/>
    <n v="13266"/>
    <s v="0"/>
    <s v="Lillevang"/>
    <x v="102"/>
    <x v="0"/>
    <x v="1"/>
    <n v="146223.15"/>
    <n v="12"/>
    <m/>
    <n v="0"/>
    <n v="1357"/>
    <n v="107.746776"/>
    <n v="2"/>
    <x v="2"/>
    <n v="146223.15"/>
    <n v="43866.95"/>
    <n v="0"/>
    <s v="49425"/>
    <m/>
    <n v="146223.15"/>
    <n v="0"/>
    <n v="93520"/>
  </r>
  <r>
    <x v="14"/>
    <m/>
    <s v="Plejehjemmet Søndersø"/>
    <n v="10323"/>
    <m/>
    <s v="Plejehjemmet Søndersø"/>
    <x v="103"/>
    <x v="0"/>
    <x v="2"/>
    <n v="1213.0999999999999"/>
    <n v="12"/>
    <s v="2010-10-31"/>
    <n v="0"/>
    <n v="2114"/>
    <n v="0.57381300000000002"/>
    <n v="3"/>
    <x v="0"/>
    <n v="1213.0999999999999"/>
    <n v="970.48"/>
    <n v="0"/>
    <s v="00PC500645/501305"/>
    <m/>
    <n v="1213.0999999999999"/>
    <n v="0"/>
    <n v="77830"/>
  </r>
  <r>
    <x v="14"/>
    <m/>
    <s v="Plejehjemmet Søndersø"/>
    <n v="10323"/>
    <m/>
    <s v="Plejehjemmet Søndersø"/>
    <x v="103"/>
    <x v="0"/>
    <x v="2"/>
    <n v="306165.95"/>
    <n v="12"/>
    <s v="2011-12-30"/>
    <n v="0"/>
    <n v="2114"/>
    <n v="144.82094000000001"/>
    <n v="1"/>
    <x v="4"/>
    <n v="318106.82"/>
    <n v="67273.69"/>
    <n v="0"/>
    <s v="99A368317"/>
    <s v="98000138945"/>
    <n v="28348.7"/>
    <n v="0"/>
    <n v="77831"/>
  </r>
  <r>
    <x v="14"/>
    <m/>
    <s v="Plejehjemmet Søndersø"/>
    <n v="10323"/>
    <m/>
    <s v="Plejehjemmet Søndersø"/>
    <x v="103"/>
    <x v="0"/>
    <x v="2"/>
    <n v="96503.58"/>
    <n v="12"/>
    <s v="2010-01-30"/>
    <n v="0"/>
    <n v="2114"/>
    <n v="45.647593999999998"/>
    <n v="2"/>
    <x v="2"/>
    <n v="96503.58"/>
    <n v="38601.440000000002"/>
    <n v="0"/>
    <s v="1100763-56808"/>
    <s v="74110515863"/>
    <n v="96503.592000000004"/>
    <n v="0"/>
    <n v="84599"/>
  </r>
  <r>
    <x v="14"/>
    <m/>
    <s v="Plejehjemmet Søndersø"/>
    <n v="10323"/>
    <m/>
    <s v="Plejehjemmet Søndersø"/>
    <x v="103"/>
    <x v="0"/>
    <x v="3"/>
    <n v="1283.2"/>
    <n v="12"/>
    <s v="2010-10-31"/>
    <n v="0"/>
    <n v="2114"/>
    <n v="0.60697199999999996"/>
    <n v="3"/>
    <x v="0"/>
    <n v="1283.2"/>
    <n v="1026.56"/>
    <n v="0"/>
    <s v="00PC500645/501305"/>
    <m/>
    <n v="1283.2"/>
    <n v="0"/>
    <n v="77830"/>
  </r>
  <r>
    <x v="14"/>
    <m/>
    <s v="Plejehjemmet Søndersø"/>
    <n v="10323"/>
    <m/>
    <s v="Plejehjemmet Søndersø"/>
    <x v="103"/>
    <x v="0"/>
    <x v="3"/>
    <n v="309152.52"/>
    <n v="8"/>
    <s v="2011-12-30"/>
    <n v="0"/>
    <n v="2114"/>
    <n v="146.233631"/>
    <n v="1"/>
    <x v="4"/>
    <n v="335380.55"/>
    <n v="70926.789999999994"/>
    <n v="0"/>
    <s v="99A368317"/>
    <s v="98000138945"/>
    <n v="28625.23331"/>
    <n v="0"/>
    <n v="77831"/>
  </r>
  <r>
    <x v="14"/>
    <m/>
    <s v="Skovgården, Skov 1"/>
    <n v="9520"/>
    <m/>
    <s v="Skovgården 1"/>
    <x v="104"/>
    <x v="0"/>
    <x v="0"/>
    <n v="110136"/>
    <n v="5"/>
    <m/>
    <n v="0"/>
    <n v="1935"/>
    <n v="31.755464"/>
    <n v="1"/>
    <x v="1"/>
    <n v="144373"/>
    <n v="4447.13"/>
    <n v="0"/>
    <s v="977808/2000"/>
    <m/>
    <n v="61450"/>
    <n v="0"/>
    <n v="74437"/>
  </r>
  <r>
    <x v="14"/>
    <m/>
    <s v="Skovgården, Skov 1"/>
    <n v="9520"/>
    <m/>
    <s v="Skovgården 1"/>
    <x v="104"/>
    <x v="0"/>
    <x v="1"/>
    <n v="141660"/>
    <n v="12"/>
    <m/>
    <n v="0"/>
    <n v="1935"/>
    <n v="73.205518999999995"/>
    <n v="1"/>
    <x v="1"/>
    <n v="147707.17000000001"/>
    <n v="9453.25"/>
    <n v="0"/>
    <s v="977808/2000"/>
    <m/>
    <n v="141660"/>
    <n v="0"/>
    <n v="74437"/>
  </r>
  <r>
    <x v="14"/>
    <m/>
    <s v="Skovgården, Skov 1"/>
    <n v="9520"/>
    <m/>
    <s v="Skovgården 1"/>
    <x v="104"/>
    <x v="0"/>
    <x v="2"/>
    <n v="145040"/>
    <n v="12"/>
    <m/>
    <n v="0"/>
    <n v="1935"/>
    <n v="74.952197999999996"/>
    <n v="1"/>
    <x v="1"/>
    <n v="152554.06"/>
    <n v="28222.5"/>
    <n v="0"/>
    <s v="977808/2000"/>
    <m/>
    <n v="145040"/>
    <n v="0"/>
    <n v="74437"/>
  </r>
  <r>
    <x v="14"/>
    <m/>
    <s v="Skovgården, Skov 1"/>
    <n v="9520"/>
    <m/>
    <s v="Skovgården 1"/>
    <x v="104"/>
    <x v="0"/>
    <x v="3"/>
    <n v="134260"/>
    <n v="12"/>
    <m/>
    <n v="0"/>
    <n v="1935"/>
    <n v="69.381427000000002"/>
    <n v="1"/>
    <x v="1"/>
    <n v="145544.67000000001"/>
    <n v="26925.75"/>
    <n v="0"/>
    <s v="977808/2000"/>
    <m/>
    <n v="134260"/>
    <n v="0"/>
    <n v="74437"/>
  </r>
  <r>
    <x v="14"/>
    <m/>
    <s v="Skovgården, Skov 1"/>
    <n v="9520"/>
    <m/>
    <s v="Skovgården 1"/>
    <x v="104"/>
    <x v="0"/>
    <x v="4"/>
    <n v="169800"/>
    <n v="12"/>
    <m/>
    <n v="0"/>
    <n v="1935"/>
    <n v="87.747403000000006"/>
    <n v="1"/>
    <x v="1"/>
    <n v="154440.67000000001"/>
    <n v="28571.53"/>
    <n v="0"/>
    <s v="977808/2000"/>
    <m/>
    <n v="169800"/>
    <n v="0"/>
    <n v="74437"/>
  </r>
  <r>
    <x v="14"/>
    <m/>
    <s v="Skovgården, Skov 1"/>
    <n v="9520"/>
    <m/>
    <s v="Skovgården 1"/>
    <x v="104"/>
    <x v="0"/>
    <x v="5"/>
    <n v="128630"/>
    <n v="12"/>
    <m/>
    <n v="0"/>
    <n v="1935"/>
    <n v="66.472015999999996"/>
    <n v="1"/>
    <x v="1"/>
    <n v="134845.35999999999"/>
    <n v="24946.38"/>
    <n v="0"/>
    <s v="977808/2000"/>
    <m/>
    <n v="128630"/>
    <n v="0"/>
    <n v="74437"/>
  </r>
  <r>
    <x v="14"/>
    <m/>
    <s v="Skovgården, Skov 1"/>
    <n v="9520"/>
    <m/>
    <s v="Skovgården 1"/>
    <x v="104"/>
    <x v="0"/>
    <x v="6"/>
    <n v="111150"/>
    <n v="12"/>
    <m/>
    <n v="0"/>
    <n v="1935"/>
    <n v="57.438892000000003"/>
    <n v="1"/>
    <x v="1"/>
    <n v="128041.38"/>
    <n v="23687.65"/>
    <n v="0"/>
    <s v="977808/2000"/>
    <m/>
    <n v="111150"/>
    <n v="0"/>
    <n v="74437"/>
  </r>
  <r>
    <x v="14"/>
    <s v="5864"/>
    <s v="Solbjerghaven Plejecenter"/>
    <n v="13297"/>
    <s v="1"/>
    <s v="Solbjerghaven Plejecenter"/>
    <x v="105"/>
    <x v="0"/>
    <x v="0"/>
    <n v="194830"/>
    <n v="5"/>
    <m/>
    <n v="0"/>
    <n v="1571"/>
    <n v="68.703844000000004"/>
    <n v="1"/>
    <x v="1"/>
    <n v="222646"/>
    <n v="7780.15"/>
    <n v="0"/>
    <s v="7031829"/>
    <m/>
    <n v="107940.61"/>
    <n v="0"/>
    <n v="90962"/>
  </r>
  <r>
    <x v="14"/>
    <s v="5864"/>
    <s v="Solbjerghaven Plejecenter"/>
    <n v="13297"/>
    <s v="1"/>
    <s v="Solbjerghaven Plejecenter"/>
    <x v="105"/>
    <x v="0"/>
    <x v="1"/>
    <n v="232419.67"/>
    <n v="12"/>
    <m/>
    <n v="0"/>
    <n v="1571"/>
    <n v="147.934358"/>
    <n v="1"/>
    <x v="1"/>
    <n v="243500.19"/>
    <n v="15584.01"/>
    <n v="0"/>
    <s v="7031829"/>
    <m/>
    <n v="232419.67"/>
    <n v="0"/>
    <n v="90962"/>
  </r>
  <r>
    <x v="14"/>
    <s v="5864"/>
    <s v="Solbjerghaven Plejecenter"/>
    <n v="13297"/>
    <s v="1"/>
    <s v="Solbjerghaven Plejecenter"/>
    <x v="105"/>
    <x v="0"/>
    <x v="2"/>
    <n v="245651.37"/>
    <n v="12"/>
    <m/>
    <n v="0"/>
    <n v="1571"/>
    <n v="156.356291"/>
    <n v="1"/>
    <x v="1"/>
    <n v="258012.75"/>
    <n v="47732.35"/>
    <n v="0"/>
    <s v="7031829"/>
    <m/>
    <n v="245651.37299999999"/>
    <n v="0"/>
    <n v="90962"/>
  </r>
  <r>
    <x v="14"/>
    <s v="5864"/>
    <s v="Solbjerghaven Plejecenter"/>
    <n v="13297"/>
    <s v="1"/>
    <s v="Solbjerghaven Plejecenter"/>
    <x v="105"/>
    <x v="0"/>
    <x v="3"/>
    <n v="30878.33"/>
    <n v="1"/>
    <m/>
    <n v="0"/>
    <n v="1571"/>
    <n v="19.653955"/>
    <n v="1"/>
    <x v="1"/>
    <n v="35488.11"/>
    <n v="6565.3"/>
    <n v="0"/>
    <s v="7031829"/>
    <m/>
    <n v="30878.33"/>
    <n v="0"/>
    <n v="90962"/>
  </r>
  <r>
    <x v="14"/>
    <s v="5864"/>
    <s v="Solbjerghaven Plejecenter"/>
    <n v="13297"/>
    <s v="1"/>
    <s v="Solbjerghaven Plejecenter"/>
    <x v="105"/>
    <x v="0"/>
    <x v="3"/>
    <n v="234636.59"/>
    <n v="5"/>
    <s v="2011-12-06"/>
    <n v="0"/>
    <n v="1571"/>
    <n v="149.34541999999999"/>
    <n v="1"/>
    <x v="5"/>
    <n v="273358.31"/>
    <n v="50571.29"/>
    <n v="0"/>
    <s v="7031829"/>
    <m/>
    <n v="234.63659000000001"/>
    <n v="0"/>
    <n v="89458"/>
  </r>
  <r>
    <x v="14"/>
    <s v="5864"/>
    <s v="Solbjerghaven Plejecenter"/>
    <n v="13297"/>
    <s v="1"/>
    <s v="Solbjerghaven Plejecenter"/>
    <x v="105"/>
    <x v="0"/>
    <x v="4"/>
    <n v="307106.57"/>
    <n v="1"/>
    <s v="2011-12-06"/>
    <n v="0"/>
    <n v="1571"/>
    <n v="195.47232500000001"/>
    <n v="1"/>
    <x v="5"/>
    <n v="401613.68"/>
    <n v="74298.53"/>
    <n v="0"/>
    <s v="7031829"/>
    <m/>
    <n v="307.10656999999998"/>
    <n v="0"/>
    <n v="89458"/>
  </r>
  <r>
    <x v="14"/>
    <s v="5864"/>
    <s v="Solbjerghaven Plejecenter"/>
    <n v="13297"/>
    <s v="1"/>
    <s v="Solbjerghaven Plejecenter"/>
    <x v="105"/>
    <x v="0"/>
    <x v="5"/>
    <n v="246217.34"/>
    <n v="1"/>
    <s v="2011-12-06"/>
    <n v="0"/>
    <n v="1571"/>
    <n v="156.71652900000001"/>
    <n v="1"/>
    <x v="5"/>
    <n v="356864.75"/>
    <n v="66019.97"/>
    <n v="0"/>
    <s v="7031829"/>
    <m/>
    <n v="246.21734000000001"/>
    <n v="0"/>
    <n v="89458"/>
  </r>
  <r>
    <x v="14"/>
    <s v="5864"/>
    <s v="Solbjerghaven Plejecenter"/>
    <n v="13297"/>
    <s v="1"/>
    <s v="Solbjerghaven Plejecenter"/>
    <x v="105"/>
    <x v="0"/>
    <x v="6"/>
    <n v="258469.56"/>
    <n v="1"/>
    <s v="2011-12-06"/>
    <n v="0"/>
    <n v="1571"/>
    <n v="164.515027"/>
    <n v="1"/>
    <x v="5"/>
    <n v="337982.56"/>
    <n v="62526.75"/>
    <n v="0"/>
    <s v="7031829"/>
    <m/>
    <n v="258.46956"/>
    <n v="0"/>
    <n v="89458"/>
  </r>
  <r>
    <x v="3"/>
    <s v="03971-3"/>
    <s v="Farum Vejgård, Stavnsholtvej 170"/>
    <n v="5428"/>
    <m/>
    <s v="Farum Vejgård"/>
    <x v="28"/>
    <x v="0"/>
    <x v="7"/>
    <n v="103001.96"/>
    <n v="12"/>
    <s v="2006-03-15"/>
    <n v="0"/>
    <n v="679"/>
    <n v="151.674215"/>
    <n v="1"/>
    <x v="4"/>
    <n v="122240.6"/>
    <n v="25851.63"/>
    <n v="0"/>
    <s v="1204444"/>
    <s v="98001985524"/>
    <n v="9537.2199999999993"/>
    <n v="0"/>
    <n v="57403"/>
  </r>
  <r>
    <x v="14"/>
    <s v="6388"/>
    <s v="Lillevang plejecenter"/>
    <n v="13266"/>
    <s v="0"/>
    <s v="Lillevang"/>
    <x v="102"/>
    <x v="0"/>
    <x v="7"/>
    <n v="1199.45"/>
    <n v="12"/>
    <s v="2012-01-01"/>
    <n v="0"/>
    <n v="1357"/>
    <n v="0.88383299999999998"/>
    <n v="3"/>
    <x v="0"/>
    <n v="1199.45"/>
    <n v="959.56"/>
    <n v="0"/>
    <s v="Bimåler til fællesbygn"/>
    <m/>
    <n v="1199.44093"/>
    <n v="0"/>
    <n v="89187"/>
  </r>
  <r>
    <x v="14"/>
    <m/>
    <s v="Skovgården, Skov 1"/>
    <n v="9951"/>
    <m/>
    <s v="Lilleskolen"/>
    <x v="104"/>
    <x v="0"/>
    <x v="1"/>
    <n v="3635.68"/>
    <n v="7"/>
    <s v="2014-12-10"/>
    <n v="0"/>
    <n v="0"/>
    <n v="36356.800000000003"/>
    <n v="2"/>
    <x v="2"/>
    <n v="3635.68"/>
    <n v="1090.7"/>
    <n v="0"/>
    <s v="Lilleskolen over superbest 696827"/>
    <s v="74114838777"/>
    <n v="3635.6618400000002"/>
    <n v="0"/>
    <n v="76303"/>
  </r>
  <r>
    <x v="14"/>
    <m/>
    <s v="Plejehjemmet Søndersø"/>
    <n v="10323"/>
    <m/>
    <s v="Plejehjemmet Søndersø"/>
    <x v="103"/>
    <x v="0"/>
    <x v="3"/>
    <n v="102465.44"/>
    <n v="12"/>
    <s v="2010-01-30"/>
    <n v="0"/>
    <n v="2114"/>
    <n v="48.467641"/>
    <n v="2"/>
    <x v="2"/>
    <n v="102465.44"/>
    <n v="48056.3"/>
    <n v="0"/>
    <s v="1100763-56808"/>
    <s v="74110515863"/>
    <n v="102465.442"/>
    <n v="0"/>
    <n v="84599"/>
  </r>
  <r>
    <x v="14"/>
    <m/>
    <s v="Plejehjemmet Søndersø"/>
    <n v="10323"/>
    <m/>
    <s v="Plejehjemmet Søndersø"/>
    <x v="103"/>
    <x v="0"/>
    <x v="4"/>
    <n v="1998.63"/>
    <n v="4"/>
    <s v="2010-10-31"/>
    <n v="0"/>
    <n v="2114"/>
    <n v="0.94538100000000003"/>
    <n v="3"/>
    <x v="0"/>
    <n v="1998.63"/>
    <n v="1598.9"/>
    <n v="0"/>
    <s v="00PC500645/501305"/>
    <m/>
    <n v="1998.6327799999999"/>
    <n v="0"/>
    <n v="77830"/>
  </r>
  <r>
    <x v="14"/>
    <m/>
    <s v="Plejehjemmet Søndersø"/>
    <n v="10323"/>
    <m/>
    <s v="Plejehjemmet Søndersø"/>
    <x v="103"/>
    <x v="0"/>
    <x v="4"/>
    <n v="297275.75"/>
    <n v="5"/>
    <s v="2011-12-30"/>
    <n v="0"/>
    <n v="2114"/>
    <n v="140.615746"/>
    <n v="1"/>
    <x v="4"/>
    <n v="274848.5"/>
    <n v="58125.36"/>
    <n v="0"/>
    <s v="99A368317"/>
    <s v="98000138945"/>
    <n v="27525.533329999998"/>
    <n v="0"/>
    <n v="77831"/>
  </r>
  <r>
    <x v="14"/>
    <m/>
    <s v="Skovgården, Skov 1"/>
    <n v="9520"/>
    <m/>
    <s v="Skovgården 1"/>
    <x v="104"/>
    <x v="0"/>
    <x v="1"/>
    <n v="76199.72"/>
    <n v="12"/>
    <m/>
    <n v="0"/>
    <n v="1935"/>
    <n v="39.377665"/>
    <n v="2"/>
    <x v="2"/>
    <n v="76199.72"/>
    <n v="22859.919999999998"/>
    <n v="0"/>
    <s v="6.885.808"/>
    <s v="74110486057"/>
    <n v="76199.717999999993"/>
    <n v="0"/>
    <n v="74434"/>
  </r>
  <r>
    <x v="14"/>
    <m/>
    <s v="Skovgården, Skov 1"/>
    <n v="10149"/>
    <m/>
    <s v="Skovgården 2"/>
    <x v="104"/>
    <x v="0"/>
    <x v="1"/>
    <n v="1221.8"/>
    <n v="7"/>
    <s v="2014-07-29"/>
    <n v="0"/>
    <n v="0"/>
    <n v="12218"/>
    <n v="2"/>
    <x v="2"/>
    <n v="1221.8"/>
    <n v="366.55"/>
    <n v="0"/>
    <m/>
    <m/>
    <n v="1221.79306"/>
    <n v="0"/>
    <n v="77092"/>
  </r>
  <r>
    <x v="14"/>
    <m/>
    <s v="Skovgården, Skov 1"/>
    <n v="14012"/>
    <s v="0"/>
    <s v="Skovgården 2A"/>
    <x v="104"/>
    <x v="0"/>
    <x v="1"/>
    <n v="964.65"/>
    <n v="7"/>
    <s v="2014-07-29"/>
    <n v="0"/>
    <n v="73"/>
    <n v="13.196306"/>
    <n v="2"/>
    <x v="2"/>
    <n v="964.65"/>
    <n v="289.39999999999998"/>
    <n v="0"/>
    <s v="58608"/>
    <s v="741 1236 0997"/>
    <n v="964.63823000000002"/>
    <n v="0"/>
    <n v="93107"/>
  </r>
  <r>
    <x v="14"/>
    <s v="5864"/>
    <s v="Solbjerghaven Plejecenter"/>
    <n v="13297"/>
    <s v="1"/>
    <s v="Solbjerghaven Plejecenter"/>
    <x v="105"/>
    <x v="0"/>
    <x v="1"/>
    <n v="61255.5"/>
    <n v="12"/>
    <m/>
    <n v="0"/>
    <n v="1571"/>
    <n v="38.988923999999997"/>
    <n v="2"/>
    <x v="2"/>
    <n v="61255.5"/>
    <n v="18376.650000000001"/>
    <n v="0"/>
    <s v="31029500?"/>
    <m/>
    <n v="61255.493999999999"/>
    <n v="0"/>
    <n v="90963"/>
  </r>
  <r>
    <x v="14"/>
    <m/>
    <s v="Skovgården, Skov 1"/>
    <n v="9520"/>
    <m/>
    <s v="Skovgården 1"/>
    <x v="104"/>
    <x v="0"/>
    <x v="7"/>
    <n v="458.1"/>
    <n v="12"/>
    <m/>
    <n v="0"/>
    <n v="1935"/>
    <n v="0.236731"/>
    <n v="3"/>
    <x v="0"/>
    <n v="458.1"/>
    <n v="366.48"/>
    <n v="0"/>
    <s v="BVK 01PC502536"/>
    <m/>
    <n v="458.10599999999999"/>
    <n v="0"/>
    <n v="74435"/>
  </r>
  <r>
    <x v="14"/>
    <m/>
    <s v="Skovgården, Skov 1"/>
    <n v="9520"/>
    <m/>
    <s v="Skovgården 1"/>
    <x v="104"/>
    <x v="0"/>
    <x v="7"/>
    <n v="125.5"/>
    <n v="12"/>
    <m/>
    <n v="0"/>
    <n v="1935"/>
    <n v="6.4853999999999995E-2"/>
    <n v="3"/>
    <x v="0"/>
    <n v="125.5"/>
    <n v="0"/>
    <n v="1"/>
    <s v="BVV"/>
    <m/>
    <n v="125.51600000000001"/>
    <n v="0"/>
    <n v="74436"/>
  </r>
  <r>
    <x v="14"/>
    <m/>
    <s v="Skovgården, Skov 1"/>
    <n v="9520"/>
    <m/>
    <s v="Skovgården 1"/>
    <x v="104"/>
    <x v="0"/>
    <x v="7"/>
    <n v="110660"/>
    <n v="12"/>
    <m/>
    <n v="0"/>
    <n v="1935"/>
    <n v="57.185675000000003"/>
    <n v="1"/>
    <x v="1"/>
    <n v="131436.28"/>
    <n v="8411.93"/>
    <n v="0"/>
    <s v="977808/2000"/>
    <m/>
    <n v="110660"/>
    <n v="0"/>
    <n v="74437"/>
  </r>
  <r>
    <x v="14"/>
    <m/>
    <s v="Plejehjemmet Søndersø"/>
    <n v="10323"/>
    <m/>
    <s v="Plejehjemmet Søndersø"/>
    <x v="103"/>
    <x v="0"/>
    <x v="7"/>
    <n v="99310.27"/>
    <n v="12"/>
    <s v="2010-01-30"/>
    <n v="0"/>
    <n v="2114"/>
    <n v="46.975199000000003"/>
    <n v="2"/>
    <x v="2"/>
    <n v="99310.27"/>
    <n v="29793.1"/>
    <n v="0"/>
    <s v="1100763-56808"/>
    <s v="74110515863"/>
    <n v="99310.284"/>
    <n v="0"/>
    <n v="84599"/>
  </r>
  <r>
    <x v="14"/>
    <s v="6388"/>
    <s v="Lillevang plejecenter"/>
    <n v="13266"/>
    <s v="0"/>
    <s v="Lillevang"/>
    <x v="102"/>
    <x v="0"/>
    <x v="7"/>
    <n v="145977.14000000001"/>
    <n v="12"/>
    <m/>
    <n v="0"/>
    <n v="1357"/>
    <n v="107.565499"/>
    <n v="2"/>
    <x v="2"/>
    <n v="145977.14000000001"/>
    <n v="43793.14"/>
    <n v="0"/>
    <s v="49425"/>
    <m/>
    <n v="145977.14000000001"/>
    <n v="0"/>
    <n v="93520"/>
  </r>
  <r>
    <x v="14"/>
    <m/>
    <s v="Skovgården, Skov 1"/>
    <n v="10149"/>
    <m/>
    <s v="Skovgården 2"/>
    <x v="104"/>
    <x v="0"/>
    <x v="7"/>
    <n v="593.02"/>
    <n v="2"/>
    <s v="2014-07-29"/>
    <n v="0"/>
    <n v="0"/>
    <n v="5930.2"/>
    <n v="2"/>
    <x v="2"/>
    <n v="593.02"/>
    <n v="177.9"/>
    <n v="0"/>
    <m/>
    <m/>
    <n v="593.02327000000002"/>
    <n v="0"/>
    <n v="77092"/>
  </r>
  <r>
    <x v="14"/>
    <m/>
    <s v="Skovgården, Skov 1"/>
    <n v="14012"/>
    <s v="0"/>
    <s v="Skovgården 2A"/>
    <x v="104"/>
    <x v="0"/>
    <x v="7"/>
    <n v="498.56"/>
    <n v="2"/>
    <s v="2014-07-29"/>
    <n v="0"/>
    <n v="73"/>
    <n v="6.820246"/>
    <n v="2"/>
    <x v="2"/>
    <n v="498.56"/>
    <n v="149.56"/>
    <n v="0"/>
    <s v="58608"/>
    <s v="741 1236 0997"/>
    <n v="498.54545000000002"/>
    <n v="0"/>
    <n v="93107"/>
  </r>
  <r>
    <x v="14"/>
    <s v="5864"/>
    <s v="Solbjerghaven Plejecenter"/>
    <n v="13297"/>
    <s v="1"/>
    <s v="Solbjerghaven Plejecenter"/>
    <x v="105"/>
    <x v="0"/>
    <x v="7"/>
    <n v="1017.12"/>
    <n v="12"/>
    <s v="2011-11-30"/>
    <n v="0"/>
    <n v="1571"/>
    <n v="0.647393"/>
    <n v="3"/>
    <x v="0"/>
    <n v="1017.12"/>
    <n v="813.7"/>
    <n v="0"/>
    <s v="00pc502508"/>
    <m/>
    <n v="1017.1238"/>
    <n v="0"/>
    <n v="89295"/>
  </r>
  <r>
    <x v="14"/>
    <s v="5864"/>
    <s v="Solbjerghaven Plejecenter"/>
    <n v="13297"/>
    <s v="1"/>
    <s v="Solbjerghaven Plejecenter"/>
    <x v="105"/>
    <x v="0"/>
    <x v="7"/>
    <n v="201130.01"/>
    <n v="12"/>
    <m/>
    <n v="0"/>
    <n v="1571"/>
    <n v="128.01859200000001"/>
    <n v="1"/>
    <x v="1"/>
    <n v="237543.7"/>
    <n v="15202.78"/>
    <n v="0"/>
    <s v="7031829"/>
    <m/>
    <n v="201130.01"/>
    <n v="0"/>
    <n v="90962"/>
  </r>
  <r>
    <x v="14"/>
    <m/>
    <s v="Skovgården, Skov 1"/>
    <n v="9951"/>
    <m/>
    <s v="Lilleskolen"/>
    <x v="104"/>
    <x v="0"/>
    <x v="7"/>
    <n v="3402.05"/>
    <n v="3"/>
    <s v="2014-12-10"/>
    <n v="0"/>
    <n v="0"/>
    <n v="34020.5"/>
    <n v="2"/>
    <x v="2"/>
    <n v="3402.05"/>
    <n v="1020.61"/>
    <n v="0"/>
    <s v="Lilleskolen over superbest 696827"/>
    <s v="74114838777"/>
    <n v="3402.0581499999998"/>
    <n v="0"/>
    <n v="76303"/>
  </r>
  <r>
    <x v="14"/>
    <m/>
    <s v="Skovgården, Skov 1"/>
    <n v="9520"/>
    <m/>
    <s v="Skovgården 1"/>
    <x v="104"/>
    <x v="0"/>
    <x v="7"/>
    <n v="69134.87"/>
    <n v="12"/>
    <m/>
    <n v="0"/>
    <n v="1935"/>
    <n v="35.726768"/>
    <n v="2"/>
    <x v="2"/>
    <n v="69134.87"/>
    <n v="20740.45"/>
    <n v="0"/>
    <s v="6.885.808"/>
    <s v="74110486057"/>
    <n v="69134.868000000002"/>
    <n v="0"/>
    <n v="74434"/>
  </r>
  <r>
    <x v="14"/>
    <s v="5864"/>
    <s v="Solbjerghaven Plejecenter"/>
    <n v="13297"/>
    <s v="1"/>
    <s v="Solbjerghaven Plejecenter"/>
    <x v="105"/>
    <x v="0"/>
    <x v="7"/>
    <n v="61434.17"/>
    <n v="12"/>
    <m/>
    <n v="0"/>
    <n v="1571"/>
    <n v="39.102646999999997"/>
    <n v="2"/>
    <x v="2"/>
    <n v="61434.17"/>
    <n v="18430.240000000002"/>
    <n v="0"/>
    <s v="31029500?"/>
    <m/>
    <n v="61434.175000000003"/>
    <n v="0"/>
    <n v="90963"/>
  </r>
  <r>
    <x v="14"/>
    <s v="6388"/>
    <s v="Lillevang plejecenter"/>
    <n v="13266"/>
    <s v="0"/>
    <s v="Lillevang"/>
    <x v="102"/>
    <x v="0"/>
    <x v="2"/>
    <n v="152088.21"/>
    <n v="12"/>
    <m/>
    <n v="0"/>
    <n v="1357"/>
    <n v="112.068535"/>
    <n v="2"/>
    <x v="2"/>
    <n v="152088.21"/>
    <n v="60835.28"/>
    <n v="0"/>
    <s v="49425"/>
    <m/>
    <n v="152088.21"/>
    <n v="0"/>
    <n v="93520"/>
  </r>
  <r>
    <x v="14"/>
    <s v="6388"/>
    <s v="Lillevang plejecenter"/>
    <n v="13266"/>
    <s v="0"/>
    <s v="Lillevang"/>
    <x v="102"/>
    <x v="0"/>
    <x v="3"/>
    <n v="139013.6"/>
    <n v="2"/>
    <s v="2011-11-29"/>
    <n v="0"/>
    <n v="1357"/>
    <n v="102.434308"/>
    <n v="2"/>
    <x v="2"/>
    <n v="139013.6"/>
    <n v="65197.38"/>
    <n v="0"/>
    <s v="49425"/>
    <s v="74111963243"/>
    <n v="139013.63808"/>
    <n v="0"/>
    <n v="89186"/>
  </r>
  <r>
    <x v="14"/>
    <s v="6388"/>
    <s v="Lillevang plejecenter"/>
    <n v="13266"/>
    <s v="0"/>
    <s v="Lillevang"/>
    <x v="102"/>
    <x v="0"/>
    <x v="3"/>
    <n v="12583.73"/>
    <n v="1"/>
    <m/>
    <n v="0"/>
    <n v="1357"/>
    <n v="9.2725139999999993"/>
    <n v="2"/>
    <x v="2"/>
    <n v="12583.73"/>
    <n v="5901.77"/>
    <n v="0"/>
    <s v="49425"/>
    <m/>
    <n v="12583.73"/>
    <n v="0"/>
    <n v="93520"/>
  </r>
  <r>
    <x v="14"/>
    <s v="6388"/>
    <s v="Lillevang plejecenter"/>
    <n v="13266"/>
    <s v="0"/>
    <s v="Lillevang"/>
    <x v="102"/>
    <x v="0"/>
    <x v="4"/>
    <n v="158033.66"/>
    <n v="1"/>
    <s v="2011-11-29"/>
    <n v="0"/>
    <n v="1357"/>
    <n v="116.449532"/>
    <n v="2"/>
    <x v="2"/>
    <n v="158033.66"/>
    <n v="74117.78"/>
    <n v="0"/>
    <s v="49425"/>
    <s v="74111963243"/>
    <n v="158033.67363"/>
    <n v="0"/>
    <n v="89186"/>
  </r>
  <r>
    <x v="14"/>
    <s v="6388"/>
    <s v="Lillevang plejecenter"/>
    <n v="13266"/>
    <s v="0"/>
    <s v="Lillevang"/>
    <x v="102"/>
    <x v="0"/>
    <x v="5"/>
    <n v="151931.51"/>
    <n v="1"/>
    <s v="2011-11-29"/>
    <n v="0"/>
    <n v="1357"/>
    <n v="111.953069"/>
    <n v="2"/>
    <x v="2"/>
    <n v="151931.51"/>
    <n v="71255.89"/>
    <n v="0"/>
    <s v="49425"/>
    <s v="74111963243"/>
    <n v="151931.53448999999"/>
    <n v="0"/>
    <n v="89186"/>
  </r>
  <r>
    <x v="14"/>
    <s v="6388"/>
    <s v="Lillevang plejecenter"/>
    <n v="13266"/>
    <s v="0"/>
    <s v="Lillevang"/>
    <x v="102"/>
    <x v="0"/>
    <x v="6"/>
    <n v="146941.92000000001"/>
    <n v="0"/>
    <s v="2011-11-29"/>
    <n v="0"/>
    <n v="1357"/>
    <n v="108.27641199999999"/>
    <n v="2"/>
    <x v="2"/>
    <n v="146941.92000000001"/>
    <n v="68915.77"/>
    <n v="0"/>
    <s v="49425"/>
    <s v="74111963243"/>
    <n v="146941.96158"/>
    <n v="0"/>
    <n v="89186"/>
  </r>
  <r>
    <x v="14"/>
    <m/>
    <s v="Plejehjemmet Søndersø"/>
    <n v="10323"/>
    <m/>
    <s v="Plejehjemmet Søndersø"/>
    <x v="103"/>
    <x v="0"/>
    <x v="4"/>
    <n v="99969.58"/>
    <n v="12"/>
    <s v="2010-01-30"/>
    <n v="0"/>
    <n v="2114"/>
    <n v="47.287063000000003"/>
    <n v="2"/>
    <x v="2"/>
    <n v="99969.58"/>
    <n v="46885.74"/>
    <n v="0"/>
    <s v="1100763-56808"/>
    <s v="74110515863"/>
    <n v="99969.591310000003"/>
    <n v="0"/>
    <n v="84599"/>
  </r>
  <r>
    <x v="14"/>
    <m/>
    <s v="Plejehjemmet Søndersø"/>
    <n v="10323"/>
    <m/>
    <s v="Plejehjemmet Søndersø"/>
    <x v="103"/>
    <x v="0"/>
    <x v="5"/>
    <n v="1877.8"/>
    <n v="7"/>
    <s v="2010-10-31"/>
    <n v="0"/>
    <n v="2114"/>
    <n v="0.88822599999999996"/>
    <n v="3"/>
    <x v="0"/>
    <n v="1877.8"/>
    <n v="1502.24"/>
    <n v="0"/>
    <s v="00PC500645/501305"/>
    <m/>
    <n v="1877.8005499999999"/>
    <n v="0"/>
    <n v="77830"/>
  </r>
  <r>
    <x v="14"/>
    <m/>
    <s v="Plejehjemmet Søndersø"/>
    <n v="10323"/>
    <m/>
    <s v="Plejehjemmet Søndersø"/>
    <x v="103"/>
    <x v="0"/>
    <x v="5"/>
    <n v="283348.93"/>
    <n v="7"/>
    <s v="2011-12-30"/>
    <n v="0"/>
    <n v="2114"/>
    <n v="134.02815799999999"/>
    <n v="1"/>
    <x v="4"/>
    <n v="380042.69"/>
    <n v="80371.990000000005"/>
    <n v="0"/>
    <s v="99A368317"/>
    <s v="98000138945"/>
    <n v="26236.011129999999"/>
    <n v="0"/>
    <n v="77831"/>
  </r>
  <r>
    <x v="14"/>
    <m/>
    <s v="Plejehjemmet Søndersø"/>
    <n v="10323"/>
    <m/>
    <s v="Plejehjemmet Søndersø"/>
    <x v="103"/>
    <x v="0"/>
    <x v="5"/>
    <n v="82447.22"/>
    <n v="8"/>
    <s v="2009-10-21"/>
    <n v="0"/>
    <n v="2114"/>
    <n v="38.998731999999997"/>
    <n v="2"/>
    <x v="2"/>
    <n v="82447.22"/>
    <n v="38667.74"/>
    <n v="0"/>
    <s v="532418"/>
    <m/>
    <n v="82447.222229999999"/>
    <n v="0"/>
    <n v="77829"/>
  </r>
  <r>
    <x v="14"/>
    <m/>
    <s v="Plejehjemmet Søndersø"/>
    <n v="10323"/>
    <m/>
    <s v="Plejehjemmet Søndersø"/>
    <x v="103"/>
    <x v="0"/>
    <x v="5"/>
    <n v="7666.93"/>
    <n v="1"/>
    <s v="2010-01-30"/>
    <n v="0"/>
    <n v="2114"/>
    <n v="3.6265689999999999"/>
    <n v="2"/>
    <x v="2"/>
    <n v="7666.93"/>
    <n v="3595.8"/>
    <n v="0"/>
    <s v="1100763-56808"/>
    <s v="74110515863"/>
    <n v="7666.9306900000001"/>
    <n v="0"/>
    <n v="84599"/>
  </r>
  <r>
    <x v="14"/>
    <m/>
    <s v="Plejehjemmet Søndersø"/>
    <n v="10323"/>
    <m/>
    <s v="Plejehjemmet Søndersø"/>
    <x v="103"/>
    <x v="0"/>
    <x v="6"/>
    <n v="1318.19"/>
    <n v="14"/>
    <s v="2010-10-31"/>
    <n v="0"/>
    <n v="2114"/>
    <n v="0.62352300000000005"/>
    <n v="3"/>
    <x v="0"/>
    <n v="1318.19"/>
    <n v="1054.53"/>
    <n v="0"/>
    <s v="00PC500645/501305"/>
    <m/>
    <n v="1318.18281"/>
    <n v="0"/>
    <n v="77830"/>
  </r>
  <r>
    <x v="14"/>
    <m/>
    <s v="Plejehjemmet Søndersø"/>
    <n v="10323"/>
    <m/>
    <s v="Plejehjemmet Søndersø"/>
    <x v="103"/>
    <x v="0"/>
    <x v="6"/>
    <n v="266704.56"/>
    <n v="12"/>
    <s v="2011-12-30"/>
    <n v="0"/>
    <n v="2114"/>
    <n v="126.155129"/>
    <n v="1"/>
    <x v="4"/>
    <n v="297984.33"/>
    <n v="63018.15"/>
    <n v="0"/>
    <s v="99A368317"/>
    <s v="98000138945"/>
    <n v="24694.86738"/>
    <n v="0"/>
    <n v="77831"/>
  </r>
  <r>
    <x v="14"/>
    <m/>
    <s v="Plejehjemmet Søndersø"/>
    <n v="10323"/>
    <m/>
    <s v="Plejehjemmet Søndersø"/>
    <x v="103"/>
    <x v="0"/>
    <x v="6"/>
    <n v="114924.07"/>
    <n v="12"/>
    <s v="2009-10-21"/>
    <n v="0"/>
    <n v="2114"/>
    <n v="54.360753000000003"/>
    <n v="2"/>
    <x v="2"/>
    <n v="114924.07"/>
    <n v="53899.38"/>
    <n v="0"/>
    <s v="532418"/>
    <m/>
    <n v="114924.0681"/>
    <n v="0"/>
    <n v="77829"/>
  </r>
  <r>
    <x v="14"/>
    <m/>
    <s v="Skovgården, Skov 1"/>
    <n v="10149"/>
    <m/>
    <s v="Skovgården 2"/>
    <x v="104"/>
    <x v="0"/>
    <x v="0"/>
    <n v="1157"/>
    <n v="2"/>
    <m/>
    <n v="0"/>
    <n v="0"/>
    <m/>
    <n v="2"/>
    <x v="2"/>
    <m/>
    <m/>
    <n v="0"/>
    <m/>
    <m/>
    <m/>
    <n v="0"/>
    <n v="77092"/>
  </r>
  <r>
    <x v="14"/>
    <m/>
    <s v="Skovgården, Skov 1"/>
    <n v="9951"/>
    <m/>
    <s v="Lilleskolen"/>
    <x v="104"/>
    <x v="0"/>
    <x v="2"/>
    <n v="4167.2299999999996"/>
    <n v="5"/>
    <s v="2014-12-10"/>
    <n v="0"/>
    <n v="0"/>
    <n v="41672.300000000003"/>
    <n v="2"/>
    <x v="2"/>
    <n v="4167.2299999999996"/>
    <n v="1666.89"/>
    <n v="0"/>
    <s v="Lilleskolen over superbest 696827"/>
    <s v="74114838777"/>
    <n v="4167.2211600000001"/>
    <n v="0"/>
    <n v="76303"/>
  </r>
  <r>
    <x v="14"/>
    <m/>
    <s v="Skovgården, Skov 1"/>
    <n v="9951"/>
    <m/>
    <s v="Lilleskolen"/>
    <x v="104"/>
    <x v="0"/>
    <x v="3"/>
    <n v="4095.25"/>
    <n v="4"/>
    <s v="2014-12-10"/>
    <n v="0"/>
    <n v="0"/>
    <n v="40952.5"/>
    <n v="2"/>
    <x v="2"/>
    <n v="4095.25"/>
    <n v="1920.68"/>
    <n v="0"/>
    <s v="Lilleskolen over superbest 696827"/>
    <s v="74114838777"/>
    <n v="4095.2352999999998"/>
    <n v="0"/>
    <n v="76303"/>
  </r>
  <r>
    <x v="14"/>
    <m/>
    <s v="Skovgården, Skov 1"/>
    <n v="9951"/>
    <m/>
    <s v="Lilleskolen"/>
    <x v="104"/>
    <x v="0"/>
    <x v="4"/>
    <n v="3534.62"/>
    <n v="4"/>
    <s v="2014-12-10"/>
    <n v="0"/>
    <n v="0"/>
    <n v="35346.199999999997"/>
    <n v="2"/>
    <x v="2"/>
    <n v="3534.62"/>
    <n v="1657.75"/>
    <n v="0"/>
    <s v="Lilleskolen over superbest 696827"/>
    <s v="74114838777"/>
    <n v="3534.6261399999999"/>
    <n v="0"/>
    <n v="76303"/>
  </r>
  <r>
    <x v="14"/>
    <m/>
    <s v="Skovgården, Skov 1"/>
    <n v="9951"/>
    <m/>
    <s v="Lilleskolen"/>
    <x v="104"/>
    <x v="0"/>
    <x v="5"/>
    <n v="3401.52"/>
    <n v="7"/>
    <s v="2014-12-10"/>
    <n v="0"/>
    <n v="0"/>
    <n v="34015.199999999997"/>
    <n v="2"/>
    <x v="2"/>
    <n v="3401.52"/>
    <n v="1595.32"/>
    <n v="0"/>
    <s v="Lilleskolen over superbest 696827"/>
    <s v="74114838777"/>
    <n v="3401.5307200000002"/>
    <n v="0"/>
    <n v="76303"/>
  </r>
  <r>
    <x v="14"/>
    <m/>
    <s v="Skovgården, Skov 1"/>
    <n v="9951"/>
    <m/>
    <s v="Lilleskolen"/>
    <x v="104"/>
    <x v="0"/>
    <x v="6"/>
    <n v="3328.23"/>
    <n v="9"/>
    <s v="2014-12-10"/>
    <n v="0"/>
    <n v="0"/>
    <n v="33282.300000000003"/>
    <n v="2"/>
    <x v="2"/>
    <n v="3328.23"/>
    <n v="1560.94"/>
    <n v="0"/>
    <s v="Lilleskolen over superbest 696827"/>
    <s v="74114838777"/>
    <n v="3328.21506"/>
    <n v="0"/>
    <n v="76303"/>
  </r>
  <r>
    <x v="14"/>
    <m/>
    <s v="Skovgården, Skov 1"/>
    <n v="14012"/>
    <s v="0"/>
    <s v="Skovgården 2A"/>
    <x v="104"/>
    <x v="0"/>
    <x v="0"/>
    <n v="0"/>
    <n v="2"/>
    <m/>
    <n v="0"/>
    <n v="73"/>
    <m/>
    <n v="2"/>
    <x v="2"/>
    <m/>
    <m/>
    <n v="0"/>
    <s v="58608"/>
    <s v="741 1236 0997"/>
    <m/>
    <n v="0"/>
    <n v="93107"/>
  </r>
  <r>
    <x v="14"/>
    <m/>
    <s v="Skovgården, Skov 1"/>
    <n v="9520"/>
    <m/>
    <s v="Skovgården 1"/>
    <x v="104"/>
    <x v="0"/>
    <x v="2"/>
    <n v="83634.899999999994"/>
    <n v="12"/>
    <m/>
    <n v="0"/>
    <n v="1935"/>
    <n v="43.219935999999997"/>
    <n v="2"/>
    <x v="2"/>
    <n v="83634.899999999994"/>
    <n v="33453.96"/>
    <n v="0"/>
    <s v="6.885.808"/>
    <s v="74110486057"/>
    <n v="83634.906000000003"/>
    <n v="0"/>
    <n v="74434"/>
  </r>
  <r>
    <x v="14"/>
    <m/>
    <s v="Skovgården, Skov 1"/>
    <n v="9520"/>
    <m/>
    <s v="Skovgården 1"/>
    <x v="104"/>
    <x v="0"/>
    <x v="3"/>
    <n v="77189.97"/>
    <n v="12"/>
    <m/>
    <n v="0"/>
    <n v="1935"/>
    <n v="39.889395"/>
    <n v="2"/>
    <x v="2"/>
    <n v="77189.97"/>
    <n v="36202.080000000002"/>
    <n v="0"/>
    <s v="6.885.808"/>
    <s v="74110486057"/>
    <n v="77189.964000000007"/>
    <n v="0"/>
    <n v="74434"/>
  </r>
  <r>
    <x v="14"/>
    <m/>
    <s v="Skovgården, Skov 1"/>
    <n v="9520"/>
    <m/>
    <s v="Skovgården 1"/>
    <x v="104"/>
    <x v="0"/>
    <x v="4"/>
    <n v="84537.99"/>
    <n v="12"/>
    <m/>
    <n v="0"/>
    <n v="1935"/>
    <n v="43.686625999999997"/>
    <n v="2"/>
    <x v="2"/>
    <n v="84537.99"/>
    <n v="39648.32"/>
    <n v="0"/>
    <s v="6.885.808"/>
    <s v="74110486057"/>
    <n v="84537.983999999997"/>
    <n v="0"/>
    <n v="74434"/>
  </r>
  <r>
    <x v="14"/>
    <m/>
    <s v="Skovgården, Skov 1"/>
    <n v="9520"/>
    <m/>
    <s v="Skovgården 1"/>
    <x v="104"/>
    <x v="0"/>
    <x v="5"/>
    <n v="84442.43"/>
    <n v="12"/>
    <m/>
    <n v="0"/>
    <n v="1935"/>
    <n v="43.637242999999998"/>
    <n v="2"/>
    <x v="2"/>
    <n v="84442.43"/>
    <n v="39603.5"/>
    <n v="0"/>
    <s v="6.885.808"/>
    <s v="74110486057"/>
    <n v="84442.422000000006"/>
    <n v="0"/>
    <n v="74434"/>
  </r>
  <r>
    <x v="14"/>
    <m/>
    <s v="Skovgården, Skov 1"/>
    <n v="9520"/>
    <m/>
    <s v="Skovgården 1"/>
    <x v="104"/>
    <x v="0"/>
    <x v="6"/>
    <n v="90784.09"/>
    <n v="12"/>
    <m/>
    <n v="0"/>
    <n v="1935"/>
    <n v="46.914417"/>
    <n v="2"/>
    <x v="2"/>
    <n v="90784.09"/>
    <n v="42577.74"/>
    <n v="0"/>
    <s v="6.885.808"/>
    <s v="74110486057"/>
    <n v="90784.092000000004"/>
    <n v="0"/>
    <n v="74434"/>
  </r>
  <r>
    <x v="14"/>
    <m/>
    <s v="Skovgården, Skov 1"/>
    <n v="9951"/>
    <m/>
    <s v="Lilleskolen"/>
    <x v="104"/>
    <x v="0"/>
    <x v="0"/>
    <n v="3745"/>
    <n v="3"/>
    <m/>
    <n v="0"/>
    <n v="0"/>
    <n v="0"/>
    <n v="2"/>
    <x v="2"/>
    <n v="0"/>
    <n v="0"/>
    <n v="0"/>
    <s v="Lilleskolen over superbest 696827"/>
    <s v="74114838777"/>
    <n v="0"/>
    <n v="0"/>
    <n v="76303"/>
  </r>
  <r>
    <x v="14"/>
    <m/>
    <s v="Skovgården, Skov 1"/>
    <n v="10149"/>
    <m/>
    <s v="Skovgården 2"/>
    <x v="104"/>
    <x v="0"/>
    <x v="2"/>
    <n v="1258.6600000000001"/>
    <n v="5"/>
    <s v="2014-07-29"/>
    <n v="0"/>
    <n v="0"/>
    <n v="12586.6"/>
    <n v="2"/>
    <x v="2"/>
    <n v="1258.6600000000001"/>
    <n v="503.47"/>
    <n v="0"/>
    <m/>
    <m/>
    <n v="1258.65428"/>
    <n v="0"/>
    <n v="77092"/>
  </r>
  <r>
    <x v="14"/>
    <m/>
    <s v="Skovgården, Skov 1"/>
    <n v="10149"/>
    <m/>
    <s v="Skovgården 2"/>
    <x v="104"/>
    <x v="0"/>
    <x v="3"/>
    <n v="1394.38"/>
    <n v="4"/>
    <s v="2014-07-29"/>
    <n v="0"/>
    <n v="0"/>
    <n v="13943.8"/>
    <n v="2"/>
    <x v="2"/>
    <n v="1394.38"/>
    <n v="653.97"/>
    <n v="0"/>
    <m/>
    <m/>
    <n v="1394.3725300000001"/>
    <n v="0"/>
    <n v="77092"/>
  </r>
  <r>
    <x v="14"/>
    <m/>
    <s v="Skovgården, Skov 1"/>
    <n v="10149"/>
    <m/>
    <s v="Skovgården 2"/>
    <x v="104"/>
    <x v="0"/>
    <x v="4"/>
    <n v="1477.35"/>
    <n v="4"/>
    <s v="2014-07-29"/>
    <n v="0"/>
    <n v="0"/>
    <n v="14773.5"/>
    <n v="2"/>
    <x v="2"/>
    <n v="1477.35"/>
    <n v="692.87"/>
    <n v="0"/>
    <m/>
    <m/>
    <n v="1477.3410699999999"/>
    <n v="0"/>
    <n v="77092"/>
  </r>
  <r>
    <x v="14"/>
    <m/>
    <s v="Skovgården, Skov 1"/>
    <n v="10149"/>
    <m/>
    <s v="Skovgården 2"/>
    <x v="104"/>
    <x v="0"/>
    <x v="5"/>
    <n v="1439.16"/>
    <n v="7"/>
    <s v="2014-07-29"/>
    <n v="0"/>
    <n v="0"/>
    <n v="14391.6"/>
    <n v="2"/>
    <x v="2"/>
    <n v="1439.16"/>
    <n v="674.98"/>
    <n v="0"/>
    <m/>
    <m/>
    <n v="1439.14913"/>
    <n v="0"/>
    <n v="77092"/>
  </r>
  <r>
    <x v="14"/>
    <m/>
    <s v="Skovgården, Skov 1"/>
    <n v="10149"/>
    <m/>
    <s v="Skovgården 2"/>
    <x v="104"/>
    <x v="0"/>
    <x v="6"/>
    <n v="1130.1300000000001"/>
    <n v="9"/>
    <s v="2014-07-29"/>
    <n v="0"/>
    <n v="0"/>
    <n v="11301.3"/>
    <n v="2"/>
    <x v="2"/>
    <n v="1130.1300000000001"/>
    <n v="530.03"/>
    <n v="0"/>
    <m/>
    <m/>
    <n v="1130.1182799999999"/>
    <n v="0"/>
    <n v="77092"/>
  </r>
  <r>
    <x v="14"/>
    <m/>
    <s v="Skovgården, Skov 1"/>
    <n v="9520"/>
    <m/>
    <s v="Skovgården 1"/>
    <x v="104"/>
    <x v="0"/>
    <x v="0"/>
    <n v="69031"/>
    <n v="12"/>
    <m/>
    <n v="0"/>
    <n v="1935"/>
    <m/>
    <n v="2"/>
    <x v="2"/>
    <m/>
    <m/>
    <n v="0"/>
    <s v="6.885.808"/>
    <s v="74110486057"/>
    <m/>
    <n v="0"/>
    <n v="74434"/>
  </r>
  <r>
    <x v="14"/>
    <m/>
    <s v="Skovgården, Skov 1"/>
    <n v="14012"/>
    <s v="0"/>
    <s v="Skovgården 2A"/>
    <x v="104"/>
    <x v="0"/>
    <x v="2"/>
    <n v="861.73"/>
    <n v="2"/>
    <s v="2014-07-29"/>
    <n v="0"/>
    <n v="73"/>
    <n v="11.788372000000001"/>
    <n v="2"/>
    <x v="2"/>
    <n v="861.73"/>
    <n v="344.68"/>
    <n v="0"/>
    <s v="58608"/>
    <s v="741 1236 0997"/>
    <n v="861.70024000000001"/>
    <n v="0"/>
    <n v="93107"/>
  </r>
  <r>
    <x v="14"/>
    <m/>
    <s v="Skovgården, Skov 1"/>
    <n v="14012"/>
    <s v="0"/>
    <s v="Skovgården 2A"/>
    <x v="104"/>
    <x v="0"/>
    <x v="3"/>
    <n v="877.86"/>
    <n v="0"/>
    <s v="2014-07-29"/>
    <n v="0"/>
    <n v="73"/>
    <n v="12.009028000000001"/>
    <n v="2"/>
    <x v="2"/>
    <n v="877.86"/>
    <n v="411.73"/>
    <n v="0"/>
    <s v="58608"/>
    <s v="741 1236 0997"/>
    <n v="877.82983999999999"/>
    <n v="0"/>
    <n v="93107"/>
  </r>
  <r>
    <x v="14"/>
    <m/>
    <s v="Skovgården, Skov 1"/>
    <n v="14012"/>
    <s v="0"/>
    <s v="Skovgården 2A"/>
    <x v="104"/>
    <x v="0"/>
    <x v="4"/>
    <n v="1393.39"/>
    <n v="1"/>
    <s v="2014-07-29"/>
    <n v="0"/>
    <n v="73"/>
    <n v="19.061422"/>
    <n v="2"/>
    <x v="2"/>
    <n v="1393.39"/>
    <n v="653.54"/>
    <n v="0"/>
    <s v="58608"/>
    <s v="741 1236 0997"/>
    <n v="1393.3958600000001"/>
    <n v="0"/>
    <n v="93107"/>
  </r>
  <r>
    <x v="14"/>
    <m/>
    <s v="Skovgården, Skov 1"/>
    <n v="14012"/>
    <s v="0"/>
    <s v="Skovgården 2A"/>
    <x v="104"/>
    <x v="0"/>
    <x v="5"/>
    <n v="1197.0899999999999"/>
    <n v="1"/>
    <s v="2014-07-29"/>
    <n v="0"/>
    <n v="73"/>
    <n v="16.376059999999999"/>
    <n v="2"/>
    <x v="2"/>
    <n v="1197.0899999999999"/>
    <n v="561.48"/>
    <n v="0"/>
    <s v="58608"/>
    <s v="741 1236 0997"/>
    <n v="1197.12706"/>
    <n v="0"/>
    <n v="93107"/>
  </r>
  <r>
    <x v="14"/>
    <m/>
    <s v="Skovgården, Skov 1"/>
    <n v="14012"/>
    <s v="0"/>
    <s v="Skovgården 2A"/>
    <x v="104"/>
    <x v="0"/>
    <x v="6"/>
    <n v="1061.4000000000001"/>
    <n v="0"/>
    <s v="2014-07-29"/>
    <n v="0"/>
    <n v="73"/>
    <n v="14.519835"/>
    <n v="2"/>
    <x v="2"/>
    <n v="1061.4000000000001"/>
    <n v="497.83"/>
    <n v="0"/>
    <s v="58608"/>
    <s v="741 1236 0997"/>
    <n v="1061.4500499999999"/>
    <n v="0"/>
    <n v="93107"/>
  </r>
  <r>
    <x v="14"/>
    <s v="6388"/>
    <s v="Lillevang plejecenter"/>
    <n v="13266"/>
    <s v="0"/>
    <s v="Lillevang"/>
    <x v="102"/>
    <x v="0"/>
    <x v="0"/>
    <n v="152847"/>
    <n v="5"/>
    <m/>
    <n v="0"/>
    <n v="1357"/>
    <n v="41.803882999999999"/>
    <n v="2"/>
    <x v="2"/>
    <n v="56732.05"/>
    <n v="17019.61"/>
    <n v="0"/>
    <s v="49425"/>
    <m/>
    <n v="56732.05"/>
    <n v="0"/>
    <n v="93520"/>
  </r>
  <r>
    <x v="14"/>
    <s v="5864"/>
    <s v="Solbjerghaven Plejecenter"/>
    <n v="13297"/>
    <s v="1"/>
    <s v="Solbjerghaven Plejecenter"/>
    <x v="105"/>
    <x v="0"/>
    <x v="0"/>
    <n v="60926"/>
    <n v="5"/>
    <m/>
    <n v="0"/>
    <n v="1571"/>
    <n v="15.167379"/>
    <n v="2"/>
    <x v="2"/>
    <n v="23829.47"/>
    <n v="7148.85"/>
    <n v="0"/>
    <s v="31029500?"/>
    <m/>
    <n v="23829.474999999999"/>
    <n v="0"/>
    <n v="90963"/>
  </r>
  <r>
    <x v="14"/>
    <s v="5864"/>
    <s v="Solbjerghaven Plejecenter"/>
    <n v="13297"/>
    <s v="1"/>
    <s v="Solbjerghaven Plejecenter"/>
    <x v="105"/>
    <x v="0"/>
    <x v="2"/>
    <n v="59058.559999999998"/>
    <n v="12"/>
    <m/>
    <n v="0"/>
    <n v="1571"/>
    <n v="37.590578999999998"/>
    <n v="2"/>
    <x v="2"/>
    <n v="59058.559999999998"/>
    <n v="23623.439999999999"/>
    <n v="0"/>
    <s v="31029500?"/>
    <m/>
    <n v="59058.55"/>
    <n v="0"/>
    <n v="90963"/>
  </r>
  <r>
    <x v="14"/>
    <s v="5864"/>
    <s v="Solbjerghaven Plejecenter"/>
    <n v="13297"/>
    <s v="1"/>
    <s v="Solbjerghaven Plejecenter"/>
    <x v="105"/>
    <x v="0"/>
    <x v="3"/>
    <n v="4822.1499999999996"/>
    <n v="1"/>
    <m/>
    <n v="0"/>
    <n v="1571"/>
    <n v="3.0692819999999998"/>
    <n v="2"/>
    <x v="2"/>
    <n v="4822.1499999999996"/>
    <n v="2261.59"/>
    <n v="0"/>
    <s v="31029500?"/>
    <m/>
    <n v="4822.1499999999996"/>
    <n v="0"/>
    <n v="90963"/>
  </r>
  <r>
    <x v="14"/>
    <s v="5864"/>
    <s v="Solbjerghaven Plejecenter"/>
    <n v="13297"/>
    <s v="1"/>
    <s v="Solbjerghaven Plejecenter"/>
    <x v="105"/>
    <x v="0"/>
    <x v="3"/>
    <n v="60087.73"/>
    <n v="3"/>
    <s v="2011-11-30"/>
    <n v="0"/>
    <n v="1571"/>
    <n v="38.245643000000001"/>
    <n v="2"/>
    <x v="2"/>
    <n v="60087.73"/>
    <n v="28181.13"/>
    <n v="0"/>
    <s v="732269-51096"/>
    <m/>
    <n v="60087.709069999997"/>
    <n v="0"/>
    <n v="89294"/>
  </r>
  <r>
    <x v="14"/>
    <s v="5864"/>
    <s v="Solbjerghaven Plejecenter"/>
    <n v="13297"/>
    <s v="1"/>
    <s v="Solbjerghaven Plejecenter"/>
    <x v="105"/>
    <x v="0"/>
    <x v="4"/>
    <n v="69238.320000000007"/>
    <n v="1"/>
    <s v="2011-11-30"/>
    <n v="0"/>
    <n v="1571"/>
    <n v="44.069963000000001"/>
    <n v="2"/>
    <x v="2"/>
    <n v="69238.320000000007"/>
    <n v="32472.77"/>
    <n v="0"/>
    <s v="732269-51096"/>
    <m/>
    <n v="69238.324789999999"/>
    <n v="0"/>
    <n v="89294"/>
  </r>
  <r>
    <x v="14"/>
    <s v="5864"/>
    <s v="Solbjerghaven Plejecenter"/>
    <n v="13297"/>
    <s v="1"/>
    <s v="Solbjerghaven Plejecenter"/>
    <x v="105"/>
    <x v="0"/>
    <x v="5"/>
    <n v="72149.25"/>
    <n v="2"/>
    <s v="2011-11-30"/>
    <n v="0"/>
    <n v="1571"/>
    <n v="45.922761000000001"/>
    <n v="2"/>
    <x v="2"/>
    <n v="72149.25"/>
    <n v="33838.04"/>
    <n v="0"/>
    <s v="732269-51096"/>
    <m/>
    <n v="72149.25765"/>
    <n v="0"/>
    <n v="89294"/>
  </r>
  <r>
    <x v="14"/>
    <s v="5864"/>
    <s v="Solbjerghaven Plejecenter"/>
    <n v="13297"/>
    <s v="1"/>
    <s v="Solbjerghaven Plejecenter"/>
    <x v="105"/>
    <x v="0"/>
    <x v="6"/>
    <n v="74970.539999999994"/>
    <n v="1"/>
    <s v="2011-11-30"/>
    <n v="0"/>
    <n v="1571"/>
    <n v="47.718502000000001"/>
    <n v="2"/>
    <x v="2"/>
    <n v="74970.539999999994"/>
    <n v="35161.22"/>
    <n v="0"/>
    <s v="732269-51096"/>
    <m/>
    <n v="74970.547460000002"/>
    <n v="0"/>
    <n v="89294"/>
  </r>
  <r>
    <x v="14"/>
    <s v="007378"/>
    <s v="Gedevasevang Plejehjem, Hestetang 30"/>
    <n v="13870"/>
    <s v="0"/>
    <s v="Gedevasevang plejehjem"/>
    <x v="106"/>
    <x v="1"/>
    <x v="0"/>
    <n v="923.58"/>
    <n v="5"/>
    <s v="2013-03-31"/>
    <n v="0"/>
    <n v="1104"/>
    <n v="0.83650000000000002"/>
    <n v="3"/>
    <x v="0"/>
    <n v="923.58"/>
    <n v="738.86"/>
    <n v="0"/>
    <s v="08GC378378"/>
    <m/>
    <n v="923.58600000000001"/>
    <n v="0"/>
    <n v="92221"/>
  </r>
  <r>
    <x v="14"/>
    <s v="007378"/>
    <s v="Gedevasevang Plejehjem, Hestetang 30"/>
    <n v="13870"/>
    <s v="0"/>
    <s v="Gedevasevang plejehjem"/>
    <x v="106"/>
    <x v="1"/>
    <x v="1"/>
    <n v="2207.9299999999998"/>
    <n v="11"/>
    <s v="2013-03-31"/>
    <n v="0"/>
    <n v="1104"/>
    <n v="1.9997549999999999"/>
    <n v="3"/>
    <x v="0"/>
    <n v="2207.9299999999998"/>
    <n v="1766.33"/>
    <n v="0"/>
    <s v="08GC378378"/>
    <m/>
    <n v="2207.9195"/>
    <n v="0"/>
    <n v="92221"/>
  </r>
  <r>
    <x v="14"/>
    <s v="007378"/>
    <s v="Gedevasevang Plejehjem, Hestetang 30"/>
    <n v="13870"/>
    <s v="0"/>
    <s v="Gedevasevang plejehjem"/>
    <x v="106"/>
    <x v="1"/>
    <x v="2"/>
    <n v="2434.6799999999998"/>
    <n v="1"/>
    <s v="2013-03-31"/>
    <n v="0"/>
    <n v="1104"/>
    <n v="2.2051259999999999"/>
    <n v="3"/>
    <x v="0"/>
    <n v="2434.6799999999998"/>
    <n v="1947.77"/>
    <n v="0"/>
    <s v="08GC378378"/>
    <m/>
    <n v="2434.6618600000002"/>
    <n v="0"/>
    <n v="92221"/>
  </r>
  <r>
    <x v="14"/>
    <s v="007378"/>
    <s v="Gedevasevang Plejehjem, Hestetang 30"/>
    <n v="13870"/>
    <s v="0"/>
    <s v="Gedevasevang plejehjem"/>
    <x v="106"/>
    <x v="1"/>
    <x v="3"/>
    <n v="2392.27"/>
    <n v="1"/>
    <s v="2013-03-31"/>
    <n v="0"/>
    <n v="1104"/>
    <n v="2.1667139999999998"/>
    <n v="3"/>
    <x v="0"/>
    <n v="2392.27"/>
    <n v="1913.86"/>
    <n v="0"/>
    <s v="08GC378378"/>
    <m/>
    <n v="2392.2749600000002"/>
    <n v="0"/>
    <n v="92221"/>
  </r>
  <r>
    <x v="14"/>
    <s v="007378"/>
    <s v="Gedevasevang Plejehjem, Hestetang 30"/>
    <n v="13870"/>
    <s v="0"/>
    <s v="Gedevasevang plejehjem"/>
    <x v="106"/>
    <x v="1"/>
    <x v="4"/>
    <n v="2458.3200000000002"/>
    <n v="3"/>
    <s v="2013-03-31"/>
    <n v="0"/>
    <n v="1104"/>
    <n v="2.226537"/>
    <n v="3"/>
    <x v="0"/>
    <n v="2458.3200000000002"/>
    <n v="1966.67"/>
    <n v="0"/>
    <s v="08GC378378"/>
    <m/>
    <n v="2458.3286899999998"/>
    <n v="0"/>
    <n v="92221"/>
  </r>
  <r>
    <x v="14"/>
    <s v="007378"/>
    <s v="Gedevasevang Plejehjem, Hestetang 30"/>
    <n v="13870"/>
    <s v="0"/>
    <s v="Gedevasevang plejehjem"/>
    <x v="106"/>
    <x v="1"/>
    <x v="5"/>
    <n v="2471.64"/>
    <n v="0"/>
    <s v="2013-03-31"/>
    <n v="0"/>
    <n v="1104"/>
    <n v="2.2386010000000001"/>
    <n v="3"/>
    <x v="0"/>
    <n v="2471.64"/>
    <n v="1977.34"/>
    <n v="0"/>
    <s v="08GC378378"/>
    <m/>
    <n v="2471.6307099999999"/>
    <n v="0"/>
    <n v="92221"/>
  </r>
  <r>
    <x v="14"/>
    <s v="007378"/>
    <s v="Gedevasevang Plejehjem, Hestetang 30"/>
    <n v="13870"/>
    <s v="0"/>
    <s v="Gedevasevang plejehjem"/>
    <x v="106"/>
    <x v="1"/>
    <x v="6"/>
    <n v="2478.42"/>
    <n v="1"/>
    <s v="2013-03-31"/>
    <n v="0"/>
    <n v="1104"/>
    <n v="2.244742"/>
    <n v="3"/>
    <x v="0"/>
    <n v="2478.42"/>
    <n v="1982.76"/>
    <n v="0"/>
    <s v="08GC378378"/>
    <m/>
    <n v="2478.4023000000002"/>
    <n v="0"/>
    <n v="92221"/>
  </r>
  <r>
    <x v="14"/>
    <s v="2447"/>
    <s v="Ryetbo Plejehjem"/>
    <n v="13869"/>
    <s v="2447"/>
    <s v="Ryetbo"/>
    <x v="107"/>
    <x v="1"/>
    <x v="0"/>
    <n v="609.16"/>
    <n v="5"/>
    <s v="2013-03-31"/>
    <n v="0"/>
    <n v="11569"/>
    <n v="5.2653999999999999E-2"/>
    <n v="3"/>
    <x v="0"/>
    <n v="609.16"/>
    <n v="487.32"/>
    <n v="0"/>
    <s v="08GC353143"/>
    <m/>
    <n v="609.15200000000004"/>
    <n v="0"/>
    <n v="92219"/>
  </r>
  <r>
    <x v="14"/>
    <s v="2447"/>
    <s v="Ryetbo Plejehjem"/>
    <n v="13869"/>
    <s v="2447"/>
    <s v="Ryetbo"/>
    <x v="107"/>
    <x v="1"/>
    <x v="1"/>
    <n v="1620.92"/>
    <n v="11"/>
    <s v="2013-03-31"/>
    <n v="0"/>
    <n v="11569"/>
    <n v="0.14010700000000001"/>
    <n v="3"/>
    <x v="0"/>
    <n v="1620.92"/>
    <n v="1296.74"/>
    <n v="0"/>
    <s v="08GC353143"/>
    <m/>
    <n v="1620.9269999999999"/>
    <n v="0"/>
    <n v="92219"/>
  </r>
  <r>
    <x v="14"/>
    <s v="2447"/>
    <s v="Ryetbo Plejehjem"/>
    <n v="13869"/>
    <s v="2447"/>
    <s v="Ryetbo"/>
    <x v="107"/>
    <x v="1"/>
    <x v="2"/>
    <n v="1856"/>
    <n v="1"/>
    <s v="2013-03-31"/>
    <n v="0"/>
    <n v="11569"/>
    <n v="0.16042699999999999"/>
    <n v="3"/>
    <x v="0"/>
    <n v="1856"/>
    <n v="1484.82"/>
    <n v="0"/>
    <s v="08GC353143"/>
    <m/>
    <n v="1856.01722"/>
    <n v="0"/>
    <n v="92219"/>
  </r>
  <r>
    <x v="14"/>
    <s v="2447"/>
    <s v="Ryetbo Plejehjem"/>
    <n v="13869"/>
    <s v="2447"/>
    <s v="Ryetbo"/>
    <x v="107"/>
    <x v="1"/>
    <x v="3"/>
    <n v="1624.98"/>
    <n v="1"/>
    <s v="2013-03-31"/>
    <n v="0"/>
    <n v="11569"/>
    <n v="0.140458"/>
    <n v="3"/>
    <x v="0"/>
    <n v="1624.98"/>
    <n v="1300.04"/>
    <n v="0"/>
    <s v="08GC353143"/>
    <m/>
    <n v="1625.01151"/>
    <n v="0"/>
    <n v="92219"/>
  </r>
  <r>
    <x v="14"/>
    <s v="2447"/>
    <s v="Ryetbo Plejehjem"/>
    <n v="13869"/>
    <s v="2447"/>
    <s v="Ryetbo"/>
    <x v="107"/>
    <x v="1"/>
    <x v="4"/>
    <n v="1627.41"/>
    <n v="1"/>
    <s v="2013-03-31"/>
    <n v="0"/>
    <n v="11569"/>
    <n v="0.14066799999999999"/>
    <n v="3"/>
    <x v="0"/>
    <n v="1627.41"/>
    <n v="1301.92"/>
    <n v="0"/>
    <s v="08GC353143"/>
    <m/>
    <n v="1627.4328399999999"/>
    <n v="0"/>
    <n v="92219"/>
  </r>
  <r>
    <x v="14"/>
    <s v="2447"/>
    <s v="Ryetbo Plejehjem"/>
    <n v="13869"/>
    <s v="2447"/>
    <s v="Ryetbo"/>
    <x v="107"/>
    <x v="1"/>
    <x v="5"/>
    <n v="1490.88"/>
    <n v="1"/>
    <s v="2013-03-31"/>
    <n v="0"/>
    <n v="11569"/>
    <n v="0.12886700000000001"/>
    <n v="3"/>
    <x v="0"/>
    <n v="1490.88"/>
    <n v="1192.69"/>
    <n v="0"/>
    <s v="08GC353143"/>
    <m/>
    <n v="1490.8716899999999"/>
    <n v="0"/>
    <n v="92219"/>
  </r>
  <r>
    <x v="14"/>
    <s v="2447"/>
    <s v="Ryetbo Plejehjem"/>
    <n v="13869"/>
    <s v="2447"/>
    <s v="Ryetbo"/>
    <x v="107"/>
    <x v="1"/>
    <x v="6"/>
    <n v="450.17"/>
    <n v="1"/>
    <s v="2013-03-31"/>
    <n v="0"/>
    <n v="11569"/>
    <n v="3.8911000000000001E-2"/>
    <n v="3"/>
    <x v="0"/>
    <n v="450.17"/>
    <n v="360.13"/>
    <n v="0"/>
    <s v="08GC353143"/>
    <m/>
    <n v="450.16667000000001"/>
    <n v="0"/>
    <n v="92219"/>
  </r>
  <r>
    <x v="14"/>
    <s v="007378"/>
    <s v="Gedevasevang Plejehjem, Hestetang 30"/>
    <n v="13870"/>
    <s v="0"/>
    <s v="Gedevasevang plejehjem"/>
    <x v="106"/>
    <x v="1"/>
    <x v="7"/>
    <n v="2445.0700000000002"/>
    <n v="12"/>
    <s v="2013-03-31"/>
    <n v="0"/>
    <n v="1104"/>
    <n v="2.2145359999999998"/>
    <n v="3"/>
    <x v="0"/>
    <n v="2445.0700000000002"/>
    <n v="1956.05"/>
    <n v="0"/>
    <s v="08GC378378"/>
    <m/>
    <n v="2445.0709999999999"/>
    <n v="0"/>
    <n v="92221"/>
  </r>
  <r>
    <x v="14"/>
    <s v="007378"/>
    <s v="Gedevasevang Plejehjem, Hestetang 30"/>
    <n v="13870"/>
    <s v="0"/>
    <s v="Gedevasevang plejehjem"/>
    <x v="106"/>
    <x v="1"/>
    <x v="7"/>
    <n v="133791.84"/>
    <n v="12"/>
    <s v="2013-03-31"/>
    <n v="0"/>
    <n v="1104"/>
    <n v="121.177284"/>
    <n v="1"/>
    <x v="6"/>
    <n v="158956.34"/>
    <n v="32415.75"/>
    <n v="0"/>
    <s v="1584004"/>
    <m/>
    <n v="11945.7"/>
    <n v="0"/>
    <n v="92669"/>
  </r>
  <r>
    <x v="14"/>
    <s v="007378"/>
    <s v="Gedevasevang Plejehjem, Hestetang 30"/>
    <n v="13870"/>
    <s v="0"/>
    <s v="Gedevasevang plejehjem"/>
    <x v="106"/>
    <x v="1"/>
    <x v="7"/>
    <n v="63094.03"/>
    <n v="12"/>
    <m/>
    <n v="0"/>
    <n v="1104"/>
    <n v="57.145212999999998"/>
    <n v="2"/>
    <x v="2"/>
    <n v="63094.03"/>
    <n v="18928.22"/>
    <n v="0"/>
    <s v="3107212"/>
    <m/>
    <n v="63094.031999999999"/>
    <n v="0"/>
    <n v="94115"/>
  </r>
  <r>
    <x v="14"/>
    <s v="007378"/>
    <s v="Gedevasevang Plejehjem, Hestetang 30"/>
    <n v="13870"/>
    <s v="0"/>
    <s v="Gedevasevang plejehjem"/>
    <x v="106"/>
    <x v="1"/>
    <x v="0"/>
    <n v="42528.639999999999"/>
    <n v="5"/>
    <s v="2013-03-31"/>
    <n v="0"/>
    <n v="1104"/>
    <n v="38.518828999999997"/>
    <n v="1"/>
    <x v="6"/>
    <n v="45050.37"/>
    <n v="9187.06"/>
    <n v="0"/>
    <s v="1584004"/>
    <m/>
    <n v="3797.2"/>
    <n v="0"/>
    <n v="92669"/>
  </r>
  <r>
    <x v="14"/>
    <s v="007378"/>
    <s v="Gedevasevang Plejehjem, Hestetang 30"/>
    <n v="13870"/>
    <s v="0"/>
    <s v="Gedevasevang plejehjem"/>
    <x v="106"/>
    <x v="1"/>
    <x v="1"/>
    <n v="291992.34000000003"/>
    <n v="10"/>
    <s v="2013-03-31"/>
    <n v="0"/>
    <n v="1104"/>
    <n v="264.46186"/>
    <n v="1"/>
    <x v="6"/>
    <n v="306769.46999999997"/>
    <n v="62559.06"/>
    <n v="0"/>
    <s v="1584004"/>
    <m/>
    <n v="26070.745459999998"/>
    <n v="0"/>
    <n v="92669"/>
  </r>
  <r>
    <x v="14"/>
    <s v="007378"/>
    <s v="Gedevasevang Plejehjem, Hestetang 30"/>
    <n v="13870"/>
    <s v="0"/>
    <s v="Gedevasevang plejehjem"/>
    <x v="106"/>
    <x v="1"/>
    <x v="2"/>
    <n v="491387.66"/>
    <n v="3"/>
    <s v="2013-03-31"/>
    <n v="0"/>
    <n v="1104"/>
    <n v="445.05720400000001"/>
    <n v="1"/>
    <x v="6"/>
    <n v="543535.74"/>
    <n v="110842.48"/>
    <n v="0"/>
    <s v="1584004"/>
    <m/>
    <n v="43873.898990000002"/>
    <n v="0"/>
    <n v="92669"/>
  </r>
  <r>
    <x v="14"/>
    <s v="007378"/>
    <s v="Gedevasevang Plejehjem, Hestetang 30"/>
    <n v="13870"/>
    <s v="0"/>
    <s v="Gedevasevang plejehjem"/>
    <x v="106"/>
    <x v="1"/>
    <x v="3"/>
    <n v="436345.22"/>
    <n v="1"/>
    <s v="2013-03-31"/>
    <n v="0"/>
    <n v="1104"/>
    <n v="395.20443799999998"/>
    <n v="1"/>
    <x v="6"/>
    <n v="505382.52"/>
    <n v="103061.91"/>
    <n v="0"/>
    <s v="1584004"/>
    <m/>
    <n v="38959.392140000004"/>
    <n v="0"/>
    <n v="92669"/>
  </r>
  <r>
    <x v="14"/>
    <s v="007378"/>
    <s v="Gedevasevang Plejehjem, Hestetang 30"/>
    <n v="13870"/>
    <s v="0"/>
    <s v="Gedevasevang plejehjem"/>
    <x v="106"/>
    <x v="1"/>
    <x v="4"/>
    <n v="488307.68"/>
    <n v="1"/>
    <s v="2013-03-31"/>
    <n v="0"/>
    <n v="1104"/>
    <n v="442.26762000000002"/>
    <n v="1"/>
    <x v="6"/>
    <n v="636520.61"/>
    <n v="129804.73"/>
    <n v="0"/>
    <s v="1584004"/>
    <m/>
    <n v="43598.899310000001"/>
    <n v="0"/>
    <n v="92669"/>
  </r>
  <r>
    <x v="14"/>
    <s v="007378"/>
    <s v="Gedevasevang Plejehjem, Hestetang 30"/>
    <n v="13870"/>
    <s v="0"/>
    <s v="Gedevasevang plejehjem"/>
    <x v="106"/>
    <x v="1"/>
    <x v="5"/>
    <n v="475182.12"/>
    <n v="1"/>
    <s v="2013-03-31"/>
    <n v="0"/>
    <n v="1104"/>
    <n v="430.37960299999997"/>
    <n v="1"/>
    <x v="6"/>
    <n v="676099.28"/>
    <n v="137875.96"/>
    <n v="0"/>
    <s v="1584004"/>
    <m/>
    <n v="42426.975189999997"/>
    <n v="0"/>
    <n v="92669"/>
  </r>
  <r>
    <x v="14"/>
    <s v="007378"/>
    <s v="Gedevasevang Plejehjem, Hestetang 30"/>
    <n v="13870"/>
    <s v="0"/>
    <s v="Gedevasevang plejehjem"/>
    <x v="106"/>
    <x v="1"/>
    <x v="6"/>
    <n v="462852.97"/>
    <n v="1"/>
    <s v="2013-03-31"/>
    <n v="0"/>
    <n v="1104"/>
    <n v="419.21290599999998"/>
    <n v="1"/>
    <x v="6"/>
    <n v="582026.59"/>
    <n v="118691.84"/>
    <n v="0"/>
    <s v="1584004"/>
    <m/>
    <n v="41326.159910000002"/>
    <n v="0"/>
    <n v="92669"/>
  </r>
  <r>
    <x v="14"/>
    <s v="2447"/>
    <s v="Ryetbo Plejehjem"/>
    <n v="13869"/>
    <s v="2447"/>
    <s v="Ryetbo"/>
    <x v="107"/>
    <x v="1"/>
    <x v="0"/>
    <n v="122180"/>
    <n v="5"/>
    <s v="2013-03-31"/>
    <n v="0"/>
    <n v="11569"/>
    <n v="10.560890000000001"/>
    <n v="1"/>
    <x v="5"/>
    <n v="137693.22"/>
    <n v="8812.36"/>
    <n v="0"/>
    <s v="6166427"/>
    <m/>
    <n v="122.18"/>
    <n v="0"/>
    <n v="93836"/>
  </r>
  <r>
    <x v="14"/>
    <s v="2447"/>
    <s v="Ryetbo Plejehjem"/>
    <n v="13869"/>
    <s v="2447"/>
    <s v="Ryetbo"/>
    <x v="107"/>
    <x v="1"/>
    <x v="1"/>
    <n v="194113.12"/>
    <n v="11"/>
    <s v="2013-03-31"/>
    <n v="0"/>
    <n v="11569"/>
    <n v="16.778583999999999"/>
    <n v="1"/>
    <x v="5"/>
    <n v="203997.98"/>
    <n v="13055.87"/>
    <n v="0"/>
    <s v="6166427"/>
    <m/>
    <n v="194.11312000000001"/>
    <n v="0"/>
    <n v="93836"/>
  </r>
  <r>
    <x v="14"/>
    <s v="2447"/>
    <s v="Ryetbo Plejehjem"/>
    <n v="13869"/>
    <s v="2447"/>
    <s v="Ryetbo"/>
    <x v="107"/>
    <x v="1"/>
    <x v="2"/>
    <n v="253349.34"/>
    <n v="1"/>
    <s v="2013-03-31"/>
    <n v="0"/>
    <n v="11569"/>
    <n v="21.898793999999999"/>
    <n v="1"/>
    <x v="5"/>
    <n v="273634.02"/>
    <n v="50622.3"/>
    <n v="0"/>
    <s v="6166427"/>
    <m/>
    <n v="253.34934000000001"/>
    <n v="0"/>
    <n v="93836"/>
  </r>
  <r>
    <x v="14"/>
    <s v="2447"/>
    <s v="Ryetbo Plejehjem"/>
    <n v="13869"/>
    <s v="2447"/>
    <s v="Ryetbo"/>
    <x v="107"/>
    <x v="1"/>
    <x v="3"/>
    <n v="240458.48"/>
    <n v="1"/>
    <s v="2013-03-31"/>
    <n v="0"/>
    <n v="11569"/>
    <n v="20.784545000000001"/>
    <n v="1"/>
    <x v="5"/>
    <n v="280015.58"/>
    <n v="51802.879999999997"/>
    <n v="0"/>
    <s v="6166427"/>
    <m/>
    <n v="240.45848000000001"/>
    <n v="0"/>
    <n v="93836"/>
  </r>
  <r>
    <x v="14"/>
    <s v="2447"/>
    <s v="Ryetbo Plejehjem"/>
    <n v="13869"/>
    <s v="2447"/>
    <s v="Ryetbo"/>
    <x v="107"/>
    <x v="1"/>
    <x v="4"/>
    <n v="255452.05"/>
    <n v="1"/>
    <s v="2013-03-31"/>
    <n v="0"/>
    <n v="11569"/>
    <n v="22.080545999999998"/>
    <n v="1"/>
    <x v="5"/>
    <n v="333548.14"/>
    <n v="61706.41"/>
    <n v="0"/>
    <s v="6166427"/>
    <m/>
    <n v="255.45205000000001"/>
    <n v="0"/>
    <n v="93836"/>
  </r>
  <r>
    <x v="14"/>
    <s v="2447"/>
    <s v="Ryetbo Plejehjem"/>
    <n v="13869"/>
    <s v="2447"/>
    <s v="Ryetbo"/>
    <x v="107"/>
    <x v="1"/>
    <x v="5"/>
    <n v="230628.6"/>
    <n v="1"/>
    <s v="2013-03-31"/>
    <n v="0"/>
    <n v="11569"/>
    <n v="19.934878000000001"/>
    <n v="1"/>
    <x v="5"/>
    <n v="321579.90999999997"/>
    <n v="59492.29"/>
    <n v="0"/>
    <s v="6166427"/>
    <m/>
    <n v="230.62860000000001"/>
    <n v="0"/>
    <n v="93836"/>
  </r>
  <r>
    <x v="14"/>
    <s v="2447"/>
    <s v="Ryetbo Plejehjem"/>
    <n v="13869"/>
    <s v="2447"/>
    <s v="Ryetbo"/>
    <x v="107"/>
    <x v="1"/>
    <x v="6"/>
    <n v="66108.39"/>
    <n v="2"/>
    <s v="2013-03-31"/>
    <n v="0"/>
    <n v="11569"/>
    <n v="5.7142200000000001"/>
    <n v="1"/>
    <x v="5"/>
    <n v="69064.22"/>
    <n v="12776.9"/>
    <n v="0"/>
    <s v="6166427"/>
    <m/>
    <n v="66.10839"/>
    <n v="0"/>
    <n v="93836"/>
  </r>
  <r>
    <x v="14"/>
    <m/>
    <s v="Skovgården, Skov 1"/>
    <n v="9520"/>
    <m/>
    <s v="Skovgården 1"/>
    <x v="104"/>
    <x v="1"/>
    <x v="0"/>
    <n v="78802.55"/>
    <n v="5"/>
    <m/>
    <n v="0"/>
    <n v="1935"/>
    <n v="40.722726999999999"/>
    <n v="1"/>
    <x v="3"/>
    <n v="89035.08"/>
    <n v="163.32"/>
    <n v="1"/>
    <s v="977808/2000"/>
    <m/>
    <n v="2258.6"/>
    <n v="74437"/>
    <n v="74438"/>
  </r>
  <r>
    <x v="14"/>
    <m/>
    <s v="Skovgården, Skov 1"/>
    <n v="9520"/>
    <m/>
    <s v="Skovgården 1"/>
    <x v="104"/>
    <x v="1"/>
    <x v="1"/>
    <n v="189979.51999999999"/>
    <n v="12"/>
    <m/>
    <n v="0"/>
    <n v="1935"/>
    <n v="98.175556"/>
    <n v="1"/>
    <x v="3"/>
    <n v="201897.65"/>
    <n v="370.36"/>
    <n v="1"/>
    <s v="977808/2000"/>
    <m/>
    <n v="5445.1"/>
    <n v="74437"/>
    <n v="74438"/>
  </r>
  <r>
    <x v="14"/>
    <m/>
    <s v="Skovgården, Skov 1"/>
    <n v="9520"/>
    <m/>
    <s v="Skovgården 1"/>
    <x v="104"/>
    <x v="1"/>
    <x v="2"/>
    <n v="173431.22"/>
    <n v="12"/>
    <m/>
    <n v="0"/>
    <n v="1935"/>
    <n v="89.623904999999993"/>
    <n v="1"/>
    <x v="3"/>
    <n v="182074.68"/>
    <n v="965.42"/>
    <n v="1"/>
    <s v="977808/2000"/>
    <m/>
    <n v="4970.8"/>
    <n v="74437"/>
    <n v="74438"/>
  </r>
  <r>
    <x v="14"/>
    <m/>
    <s v="Skovgården, Skov 1"/>
    <n v="9520"/>
    <m/>
    <s v="Skovgården 1"/>
    <x v="104"/>
    <x v="1"/>
    <x v="3"/>
    <n v="168382.62"/>
    <n v="12"/>
    <m/>
    <n v="0"/>
    <n v="1935"/>
    <n v="87.014944"/>
    <n v="1"/>
    <x v="3"/>
    <n v="182574.42"/>
    <n v="968.08"/>
    <n v="1"/>
    <s v="977808/2000"/>
    <m/>
    <n v="4826.1000000000004"/>
    <n v="74437"/>
    <n v="74438"/>
  </r>
  <r>
    <x v="14"/>
    <m/>
    <s v="Skovgården, Skov 1"/>
    <n v="9520"/>
    <m/>
    <s v="Skovgården 1"/>
    <x v="104"/>
    <x v="1"/>
    <x v="4"/>
    <n v="212794.09"/>
    <n v="12"/>
    <m/>
    <n v="0"/>
    <n v="1935"/>
    <n v="109.965422"/>
    <n v="1"/>
    <x v="3"/>
    <n v="194395.38"/>
    <n v="1030.76"/>
    <n v="1"/>
    <s v="977808/2000"/>
    <m/>
    <n v="6099"/>
    <n v="74437"/>
    <n v="74438"/>
  </r>
  <r>
    <x v="14"/>
    <m/>
    <s v="Skovgården, Skov 1"/>
    <n v="9520"/>
    <m/>
    <s v="Skovgården 1"/>
    <x v="104"/>
    <x v="1"/>
    <x v="5"/>
    <n v="169837.55"/>
    <n v="12"/>
    <m/>
    <n v="0"/>
    <n v="1935"/>
    <n v="87.766807"/>
    <n v="1"/>
    <x v="3"/>
    <n v="246455.24"/>
    <n v="1306.79"/>
    <n v="1"/>
    <s v="977808/2000"/>
    <m/>
    <n v="4867.8"/>
    <n v="74437"/>
    <n v="74438"/>
  </r>
  <r>
    <x v="14"/>
    <m/>
    <s v="Skovgården, Skov 1"/>
    <n v="9520"/>
    <m/>
    <s v="Skovgården 1"/>
    <x v="104"/>
    <x v="1"/>
    <x v="6"/>
    <n v="132742.5"/>
    <n v="12"/>
    <m/>
    <n v="0"/>
    <n v="1935"/>
    <n v="68.597229999999996"/>
    <n v="1"/>
    <x v="3"/>
    <n v="156053.45000000001"/>
    <n v="827.45"/>
    <n v="1"/>
    <s v="977808/2000"/>
    <m/>
    <n v="3804.6"/>
    <n v="74437"/>
    <n v="74438"/>
  </r>
  <r>
    <x v="14"/>
    <s v="2447"/>
    <s v="Ryetbo Plejehjem"/>
    <n v="13869"/>
    <s v="2447"/>
    <s v="Ryetbo"/>
    <x v="107"/>
    <x v="1"/>
    <x v="7"/>
    <n v="180060"/>
    <n v="12"/>
    <s v="2013-03-31"/>
    <n v="0"/>
    <n v="11569"/>
    <n v="15.563872"/>
    <n v="1"/>
    <x v="5"/>
    <n v="212357.7"/>
    <n v="13590.89"/>
    <n v="0"/>
    <s v="6166427"/>
    <m/>
    <n v="180.06"/>
    <n v="0"/>
    <n v="93836"/>
  </r>
  <r>
    <x v="14"/>
    <s v="2447"/>
    <s v="Ryetbo Plejehjem"/>
    <n v="13869"/>
    <s v="2447"/>
    <s v="Ryetbo"/>
    <x v="107"/>
    <x v="1"/>
    <x v="7"/>
    <n v="611997.68000000005"/>
    <n v="12"/>
    <s v="2013-03-31"/>
    <n v="0"/>
    <n v="11569"/>
    <n v="52.899332999999999"/>
    <n v="2"/>
    <x v="2"/>
    <n v="611997.68000000005"/>
    <n v="183599.31"/>
    <n v="0"/>
    <s v="139938"/>
    <s v="74110510271"/>
    <n v="611997.68000000005"/>
    <n v="0"/>
    <n v="92218"/>
  </r>
  <r>
    <x v="14"/>
    <s v="2447"/>
    <s v="Ryetbo Plejehjem"/>
    <n v="13869"/>
    <s v="2447"/>
    <s v="Ryetbo"/>
    <x v="107"/>
    <x v="1"/>
    <x v="7"/>
    <n v="1593.18"/>
    <n v="12"/>
    <s v="2013-03-31"/>
    <n v="0"/>
    <n v="11569"/>
    <n v="0.137709"/>
    <n v="3"/>
    <x v="0"/>
    <n v="1593.18"/>
    <n v="1274.56"/>
    <n v="0"/>
    <s v="08GC353143"/>
    <m/>
    <n v="1593.1869999999999"/>
    <n v="0"/>
    <n v="92219"/>
  </r>
  <r>
    <x v="14"/>
    <m/>
    <s v="Skovgården, Skov 1"/>
    <n v="9520"/>
    <m/>
    <s v="Skovgården 1"/>
    <x v="104"/>
    <x v="1"/>
    <x v="7"/>
    <n v="148547.69"/>
    <n v="12"/>
    <m/>
    <n v="0"/>
    <n v="1935"/>
    <n v="76.764864000000003"/>
    <n v="1"/>
    <x v="3"/>
    <n v="175358.79"/>
    <n v="321.64999999999998"/>
    <n v="1"/>
    <s v="977808/2000"/>
    <m/>
    <n v="4257.6000000000004"/>
    <n v="74437"/>
    <n v="74438"/>
  </r>
  <r>
    <x v="14"/>
    <s v="007378"/>
    <s v="Gedevasevang Plejehjem, Hestetang 30"/>
    <n v="13870"/>
    <s v="0"/>
    <s v="Gedevasevang plejehjem"/>
    <x v="106"/>
    <x v="1"/>
    <x v="0"/>
    <n v="0"/>
    <n v="5"/>
    <m/>
    <n v="0"/>
    <n v="1104"/>
    <n v="23.906312"/>
    <n v="2"/>
    <x v="2"/>
    <n v="26394.959999999999"/>
    <n v="7918.49"/>
    <n v="0"/>
    <s v="3107212"/>
    <m/>
    <n v="26394.954000000002"/>
    <n v="0"/>
    <n v="94115"/>
  </r>
  <r>
    <x v="14"/>
    <s v="007378"/>
    <s v="Gedevasevang Plejehjem, Hestetang 30"/>
    <n v="13870"/>
    <s v="0"/>
    <s v="Gedevasevang plejehjem"/>
    <x v="106"/>
    <x v="1"/>
    <x v="1"/>
    <n v="44687.08"/>
    <n v="9"/>
    <m/>
    <n v="0"/>
    <n v="1104"/>
    <n v="40.473761000000003"/>
    <n v="2"/>
    <x v="2"/>
    <n v="44687.08"/>
    <n v="13406.12"/>
    <n v="0"/>
    <s v="3107212"/>
    <m/>
    <n v="44687.088000000003"/>
    <n v="0"/>
    <n v="94115"/>
  </r>
  <r>
    <x v="14"/>
    <s v="007378"/>
    <s v="Gedevasevang Plejehjem, Hestetang 30"/>
    <n v="13870"/>
    <s v="0"/>
    <s v="Gedevasevang plejehjem"/>
    <x v="106"/>
    <x v="1"/>
    <x v="1"/>
    <n v="15396.8"/>
    <n v="1"/>
    <s v="2013-03-31"/>
    <n v="0"/>
    <n v="1104"/>
    <n v="13.945112999999999"/>
    <n v="2"/>
    <x v="2"/>
    <n v="15396.8"/>
    <n v="4619.04"/>
    <n v="0"/>
    <s v="3107212"/>
    <s v="74111786781"/>
    <n v="15396.796340000001"/>
    <n v="0"/>
    <n v="92220"/>
  </r>
  <r>
    <x v="14"/>
    <s v="007378"/>
    <s v="Gedevasevang Plejehjem, Hestetang 30"/>
    <n v="13870"/>
    <s v="0"/>
    <s v="Gedevasevang plejehjem"/>
    <x v="106"/>
    <x v="1"/>
    <x v="2"/>
    <n v="63332.81"/>
    <n v="1"/>
    <s v="2013-03-31"/>
    <n v="0"/>
    <n v="1104"/>
    <n v="57.361479000000003"/>
    <n v="2"/>
    <x v="2"/>
    <n v="63332.81"/>
    <n v="25333.1"/>
    <n v="0"/>
    <s v="3107212"/>
    <s v="74111786781"/>
    <n v="63332.816910000001"/>
    <n v="0"/>
    <n v="92220"/>
  </r>
  <r>
    <x v="14"/>
    <s v="007378"/>
    <s v="Gedevasevang Plejehjem, Hestetang 30"/>
    <n v="13870"/>
    <s v="0"/>
    <s v="Gedevasevang plejehjem"/>
    <x v="106"/>
    <x v="1"/>
    <x v="3"/>
    <n v="63921.13"/>
    <n v="1"/>
    <s v="2013-03-31"/>
    <n v="0"/>
    <n v="1104"/>
    <n v="57.894329999999997"/>
    <n v="2"/>
    <x v="2"/>
    <n v="63921.13"/>
    <n v="29979.01"/>
    <n v="0"/>
    <s v="3107212"/>
    <s v="74111786781"/>
    <n v="63921.136720000002"/>
    <n v="0"/>
    <n v="92220"/>
  </r>
  <r>
    <x v="14"/>
    <s v="007378"/>
    <s v="Gedevasevang Plejehjem, Hestetang 30"/>
    <n v="13870"/>
    <s v="0"/>
    <s v="Gedevasevang plejehjem"/>
    <x v="106"/>
    <x v="1"/>
    <x v="4"/>
    <n v="64759.38"/>
    <n v="5"/>
    <s v="2013-03-31"/>
    <n v="0"/>
    <n v="1104"/>
    <n v="58.653545000000001"/>
    <n v="2"/>
    <x v="2"/>
    <n v="64759.38"/>
    <n v="30372.15"/>
    <n v="0"/>
    <s v="3107212"/>
    <s v="74111786781"/>
    <n v="64759.38697"/>
    <n v="0"/>
    <n v="92220"/>
  </r>
  <r>
    <x v="14"/>
    <s v="007378"/>
    <s v="Gedevasevang Plejehjem, Hestetang 30"/>
    <n v="13870"/>
    <s v="0"/>
    <s v="Gedevasevang plejehjem"/>
    <x v="106"/>
    <x v="1"/>
    <x v="5"/>
    <n v="69390.03"/>
    <n v="1"/>
    <s v="2013-03-31"/>
    <n v="0"/>
    <n v="1104"/>
    <n v="62.847594999999998"/>
    <n v="2"/>
    <x v="2"/>
    <n v="69390.03"/>
    <n v="32543.919999999998"/>
    <n v="0"/>
    <s v="3107212"/>
    <s v="74111786781"/>
    <n v="69390.015700000004"/>
    <n v="0"/>
    <n v="92220"/>
  </r>
  <r>
    <x v="14"/>
    <s v="007378"/>
    <s v="Gedevasevang Plejehjem, Hestetang 30"/>
    <n v="13870"/>
    <s v="0"/>
    <s v="Gedevasevang plejehjem"/>
    <x v="106"/>
    <x v="1"/>
    <x v="6"/>
    <n v="62679.81"/>
    <n v="1"/>
    <s v="2013-03-31"/>
    <n v="0"/>
    <n v="1104"/>
    <n v="56.770048000000003"/>
    <n v="2"/>
    <x v="2"/>
    <n v="62679.81"/>
    <n v="29396.82"/>
    <n v="0"/>
    <s v="3107212"/>
    <s v="74111786781"/>
    <n v="62679.84734"/>
    <n v="0"/>
    <n v="92220"/>
  </r>
  <r>
    <x v="14"/>
    <s v="2447"/>
    <s v="Ryetbo Plejehjem"/>
    <n v="13869"/>
    <s v="2447"/>
    <s v="Ryetbo"/>
    <x v="107"/>
    <x v="1"/>
    <x v="0"/>
    <n v="0"/>
    <n v="5"/>
    <s v="2013-03-31"/>
    <n v="0"/>
    <n v="11569"/>
    <n v="21.379633999999999"/>
    <n v="2"/>
    <x v="2"/>
    <n v="247343.13"/>
    <n v="74202.95"/>
    <n v="0"/>
    <s v="139938"/>
    <s v="74110510271"/>
    <n v="247343.13"/>
    <n v="0"/>
    <n v="92218"/>
  </r>
  <r>
    <x v="14"/>
    <s v="2447"/>
    <s v="Ryetbo Plejehjem"/>
    <n v="13869"/>
    <s v="2447"/>
    <s v="Ryetbo"/>
    <x v="107"/>
    <x v="1"/>
    <x v="1"/>
    <n v="501064.93"/>
    <n v="11"/>
    <s v="2013-03-31"/>
    <n v="0"/>
    <n v="11569"/>
    <n v="43.310623"/>
    <n v="2"/>
    <x v="2"/>
    <n v="501064.93"/>
    <n v="150319.49"/>
    <n v="0"/>
    <s v="139938"/>
    <s v="74110510271"/>
    <n v="501064.93"/>
    <n v="0"/>
    <n v="92218"/>
  </r>
  <r>
    <x v="14"/>
    <s v="2447"/>
    <s v="Ryetbo Plejehjem"/>
    <n v="13869"/>
    <s v="2447"/>
    <s v="Ryetbo"/>
    <x v="107"/>
    <x v="1"/>
    <x v="1"/>
    <n v="114054.19"/>
    <n v="1"/>
    <s v="2013-03-06"/>
    <n v="0"/>
    <n v="11569"/>
    <n v="9.8585180000000001"/>
    <n v="2"/>
    <x v="2"/>
    <n v="114054.19"/>
    <n v="34216.26"/>
    <n v="0"/>
    <s v="NEDTAGET"/>
    <m/>
    <n v="114054.19355"/>
    <n v="0"/>
    <n v="94101"/>
  </r>
  <r>
    <x v="14"/>
    <s v="2447"/>
    <s v="Ryetbo Plejehjem"/>
    <n v="13869"/>
    <s v="2447"/>
    <s v="Ryetbo"/>
    <x v="107"/>
    <x v="1"/>
    <x v="2"/>
    <n v="640848.92000000004"/>
    <n v="1"/>
    <s v="2013-03-06"/>
    <n v="0"/>
    <n v="11569"/>
    <n v="55.393152000000001"/>
    <n v="2"/>
    <x v="2"/>
    <n v="640848.92000000004"/>
    <n v="256339.57"/>
    <n v="0"/>
    <s v="NEDTAGET"/>
    <m/>
    <n v="640848.92434000003"/>
    <n v="0"/>
    <n v="94101"/>
  </r>
  <r>
    <x v="14"/>
    <s v="2447"/>
    <s v="Ryetbo Plejehjem"/>
    <n v="13869"/>
    <s v="2447"/>
    <s v="Ryetbo"/>
    <x v="107"/>
    <x v="1"/>
    <x v="3"/>
    <n v="20180.77"/>
    <n v="1"/>
    <s v="2011-01-10"/>
    <n v="0"/>
    <n v="11569"/>
    <n v="1.7443679999999999"/>
    <n v="2"/>
    <x v="2"/>
    <n v="20180.77"/>
    <n v="9464.7800000000007"/>
    <n v="0"/>
    <s v="NEDTAGET"/>
    <m/>
    <n v="20180.769230000002"/>
    <n v="0"/>
    <n v="94102"/>
  </r>
  <r>
    <x v="14"/>
    <s v="2447"/>
    <s v="Ryetbo Plejehjem"/>
    <n v="13869"/>
    <s v="2447"/>
    <s v="Ryetbo"/>
    <x v="107"/>
    <x v="1"/>
    <x v="3"/>
    <n v="613576.9"/>
    <n v="2"/>
    <s v="2013-03-06"/>
    <n v="0"/>
    <n v="11569"/>
    <n v="53.035836000000003"/>
    <n v="2"/>
    <x v="2"/>
    <n v="613576.9"/>
    <n v="287767.55"/>
    <n v="0"/>
    <s v="NEDTAGET"/>
    <m/>
    <n v="613576.88214999996"/>
    <n v="0"/>
    <n v="94101"/>
  </r>
  <r>
    <x v="14"/>
    <s v="2447"/>
    <s v="Ryetbo Plejehjem"/>
    <n v="13869"/>
    <s v="2447"/>
    <s v="Ryetbo"/>
    <x v="107"/>
    <x v="1"/>
    <x v="4"/>
    <n v="695505.5"/>
    <n v="1"/>
    <s v="2011-01-10"/>
    <n v="0"/>
    <n v="11569"/>
    <n v="60.117511"/>
    <n v="2"/>
    <x v="2"/>
    <n v="695505.5"/>
    <n v="326192.11"/>
    <n v="0"/>
    <s v="NEDTAGET"/>
    <m/>
    <n v="695505.53212999995"/>
    <n v="0"/>
    <n v="94102"/>
  </r>
  <r>
    <x v="14"/>
    <s v="2447"/>
    <s v="Ryetbo Plejehjem"/>
    <n v="13869"/>
    <s v="2447"/>
    <s v="Ryetbo"/>
    <x v="107"/>
    <x v="1"/>
    <x v="5"/>
    <n v="656511.49"/>
    <n v="1"/>
    <s v="2011-01-10"/>
    <n v="0"/>
    <n v="11569"/>
    <n v="56.746980000000001"/>
    <n v="2"/>
    <x v="2"/>
    <n v="656511.49"/>
    <n v="307903.90000000002"/>
    <n v="0"/>
    <s v="NEDTAGET"/>
    <m/>
    <n v="656511.50687000004"/>
    <n v="0"/>
    <n v="94102"/>
  </r>
  <r>
    <x v="14"/>
    <s v="2447"/>
    <s v="Ryetbo Plejehjem"/>
    <n v="13869"/>
    <s v="2447"/>
    <s v="Ryetbo"/>
    <x v="107"/>
    <x v="1"/>
    <x v="6"/>
    <n v="647921.81000000006"/>
    <n v="1"/>
    <s v="2011-01-10"/>
    <n v="0"/>
    <n v="11569"/>
    <n v="56.004511999999998"/>
    <n v="2"/>
    <x v="2"/>
    <n v="647921.81000000006"/>
    <n v="303875.34999999998"/>
    <n v="0"/>
    <s v="NEDTAGET"/>
    <m/>
    <n v="647921.84857000003"/>
    <n v="0"/>
    <n v="94102"/>
  </r>
  <r>
    <x v="6"/>
    <m/>
    <s v="Hareskov gl. bibliotek, Hareskov Skole, POP13"/>
    <n v="10230"/>
    <m/>
    <s v="1.st. klasse huset, Hareskov Skole"/>
    <x v="108"/>
    <x v="0"/>
    <x v="7"/>
    <n v="125.3"/>
    <n v="12"/>
    <s v="2011-12-31"/>
    <n v="0"/>
    <n v="711"/>
    <n v="0.176205"/>
    <n v="3"/>
    <x v="0"/>
    <n v="125.3"/>
    <n v="100.24"/>
    <n v="0"/>
    <s v="42150"/>
    <m/>
    <n v="125.3"/>
    <n v="0"/>
    <n v="77502"/>
  </r>
  <r>
    <x v="6"/>
    <m/>
    <s v="Hareskov gl. bibliotek, Hareskov Skole, POP13"/>
    <n v="10230"/>
    <m/>
    <s v="1.st. klasse huset, Hareskov Skole"/>
    <x v="108"/>
    <x v="0"/>
    <x v="7"/>
    <n v="50389"/>
    <n v="12"/>
    <m/>
    <n v="0"/>
    <n v="711"/>
    <n v="70.860637999999994"/>
    <n v="1"/>
    <x v="1"/>
    <n v="59844.959999999999"/>
    <n v="11071.32"/>
    <n v="0"/>
    <s v="2729798/2006"/>
    <m/>
    <n v="50389.000099999997"/>
    <n v="0"/>
    <n v="90964"/>
  </r>
  <r>
    <x v="6"/>
    <m/>
    <s v="Egeskolen, Jon 150/286"/>
    <n v="9224"/>
    <m/>
    <s v="Egeskolen (under Jonstrup gl. seminarium)"/>
    <x v="109"/>
    <x v="0"/>
    <x v="1"/>
    <n v="84551.05"/>
    <n v="12"/>
    <m/>
    <n v="0"/>
    <n v="4404"/>
    <n v="19.198257999999999"/>
    <n v="2"/>
    <x v="2"/>
    <n v="84551.05"/>
    <n v="25365.32"/>
    <n v="0"/>
    <s v="459312"/>
    <s v="5713131 74113161562"/>
    <n v="84551.032999999996"/>
    <n v="0"/>
    <n v="72740"/>
  </r>
  <r>
    <x v="6"/>
    <m/>
    <s v="Egeskolen, Jon 150/286"/>
    <n v="9224"/>
    <m/>
    <s v="Egeskolen (under Jonstrup gl. seminarium)"/>
    <x v="109"/>
    <x v="0"/>
    <x v="0"/>
    <n v="0"/>
    <n v="5"/>
    <m/>
    <n v="0"/>
    <n v="4404"/>
    <n v="5.6309999999999997E-3"/>
    <n v="3"/>
    <x v="0"/>
    <n v="24.8"/>
    <n v="0"/>
    <n v="1"/>
    <s v="V.Vand"/>
    <m/>
    <n v="24.803999999999998"/>
    <n v="0"/>
    <n v="72741"/>
  </r>
  <r>
    <x v="6"/>
    <m/>
    <s v="Egeskolen, Jon 150/286"/>
    <n v="9224"/>
    <m/>
    <s v="Egeskolen (under Jonstrup gl. seminarium)"/>
    <x v="109"/>
    <x v="0"/>
    <x v="0"/>
    <n v="0"/>
    <n v="5"/>
    <m/>
    <n v="0"/>
    <n v="4404"/>
    <n v="1.8473E-2"/>
    <n v="3"/>
    <x v="0"/>
    <n v="81.36"/>
    <n v="0"/>
    <n v="1"/>
    <m/>
    <m/>
    <n v="81.36"/>
    <n v="0"/>
    <n v="77266"/>
  </r>
  <r>
    <x v="6"/>
    <m/>
    <s v="Egeskolen, Jon 150/286"/>
    <n v="9224"/>
    <m/>
    <s v="Egeskolen (under Jonstrup gl. seminarium)"/>
    <x v="109"/>
    <x v="0"/>
    <x v="0"/>
    <n v="329"/>
    <n v="5"/>
    <s v="2012-08-31"/>
    <n v="0"/>
    <n v="4404"/>
    <n v="3.1958E-2"/>
    <n v="3"/>
    <x v="0"/>
    <n v="140.75"/>
    <n v="112.59"/>
    <n v="0"/>
    <s v="Hovedmåler i brønd"/>
    <m/>
    <n v="140.74299999999999"/>
    <n v="0"/>
    <n v="77272"/>
  </r>
  <r>
    <x v="6"/>
    <m/>
    <s v="Egeskolen, Jon 150/286"/>
    <n v="9224"/>
    <m/>
    <s v="Egeskolen (under Jonstrup gl. seminarium)"/>
    <x v="109"/>
    <x v="0"/>
    <x v="1"/>
    <n v="88.62"/>
    <n v="12"/>
    <m/>
    <n v="0"/>
    <n v="4404"/>
    <n v="2.0122000000000001E-2"/>
    <n v="3"/>
    <x v="0"/>
    <n v="88.62"/>
    <n v="0"/>
    <n v="1"/>
    <s v="V.Vand"/>
    <m/>
    <n v="88.622"/>
    <n v="0"/>
    <n v="72741"/>
  </r>
  <r>
    <x v="6"/>
    <m/>
    <s v="Egeskolen, Jon 150/286"/>
    <n v="9224"/>
    <m/>
    <s v="Egeskolen (under Jonstrup gl. seminarium)"/>
    <x v="109"/>
    <x v="0"/>
    <x v="1"/>
    <n v="259.20999999999998"/>
    <n v="12"/>
    <m/>
    <n v="0"/>
    <n v="4404"/>
    <n v="5.8855999999999999E-2"/>
    <n v="3"/>
    <x v="0"/>
    <n v="259.20999999999998"/>
    <n v="0"/>
    <n v="1"/>
    <m/>
    <m/>
    <n v="259.20999999999998"/>
    <n v="0"/>
    <n v="77266"/>
  </r>
  <r>
    <x v="6"/>
    <m/>
    <s v="Egeskolen, Jon 150/286"/>
    <n v="9224"/>
    <m/>
    <s v="Egeskolen (under Jonstrup gl. seminarium)"/>
    <x v="109"/>
    <x v="0"/>
    <x v="1"/>
    <n v="443.03"/>
    <n v="12"/>
    <s v="2012-08-31"/>
    <n v="0"/>
    <n v="4404"/>
    <n v="0.100594"/>
    <n v="3"/>
    <x v="0"/>
    <n v="443.03"/>
    <n v="354.42"/>
    <n v="0"/>
    <s v="Hovedmåler i brønd"/>
    <m/>
    <n v="443.03199999999998"/>
    <n v="0"/>
    <n v="77272"/>
  </r>
  <r>
    <x v="6"/>
    <m/>
    <s v="Egeskolen, Jon 150/286"/>
    <n v="9224"/>
    <m/>
    <s v="Egeskolen (under Jonstrup gl. seminarium)"/>
    <x v="109"/>
    <x v="0"/>
    <x v="2"/>
    <n v="67.05"/>
    <n v="12"/>
    <m/>
    <n v="0"/>
    <n v="4404"/>
    <n v="1.5224E-2"/>
    <n v="3"/>
    <x v="0"/>
    <n v="67.05"/>
    <n v="0"/>
    <n v="1"/>
    <s v="V.Vand"/>
    <m/>
    <n v="67.061000000000007"/>
    <n v="0"/>
    <n v="72741"/>
  </r>
  <r>
    <x v="6"/>
    <m/>
    <s v="Egeskolen, Jon 150/286"/>
    <n v="9224"/>
    <m/>
    <s v="Egeskolen (under Jonstrup gl. seminarium)"/>
    <x v="109"/>
    <x v="0"/>
    <x v="2"/>
    <n v="240.27"/>
    <n v="12"/>
    <m/>
    <n v="0"/>
    <n v="4404"/>
    <n v="5.4554999999999999E-2"/>
    <n v="3"/>
    <x v="0"/>
    <n v="240.27"/>
    <n v="0"/>
    <n v="1"/>
    <m/>
    <m/>
    <n v="240.27"/>
    <n v="0"/>
    <n v="77266"/>
  </r>
  <r>
    <x v="6"/>
    <m/>
    <s v="Egeskolen, Jon 150/286"/>
    <n v="9224"/>
    <m/>
    <s v="Egeskolen (under Jonstrup gl. seminarium)"/>
    <x v="109"/>
    <x v="0"/>
    <x v="2"/>
    <n v="520.16"/>
    <n v="10"/>
    <s v="2012-08-31"/>
    <n v="0"/>
    <n v="4404"/>
    <n v="0.118108"/>
    <n v="3"/>
    <x v="0"/>
    <n v="520.16"/>
    <n v="416.13"/>
    <n v="0"/>
    <s v="Hovedmåler i brønd"/>
    <m/>
    <n v="520.16355999999996"/>
    <n v="0"/>
    <n v="77272"/>
  </r>
  <r>
    <x v="6"/>
    <m/>
    <s v="Egeskolen, Jon 150/286"/>
    <n v="9224"/>
    <m/>
    <s v="Egeskolen (under Jonstrup gl. seminarium)"/>
    <x v="109"/>
    <x v="0"/>
    <x v="3"/>
    <n v="12.51"/>
    <n v="12"/>
    <m/>
    <n v="0"/>
    <n v="4404"/>
    <n v="2.8400000000000001E-3"/>
    <n v="3"/>
    <x v="0"/>
    <n v="12.51"/>
    <n v="0"/>
    <n v="1"/>
    <s v="V.Vand"/>
    <m/>
    <n v="12.515000000000001"/>
    <n v="0"/>
    <n v="72741"/>
  </r>
  <r>
    <x v="6"/>
    <m/>
    <s v="Egeskolen, Jon 150/286"/>
    <n v="9224"/>
    <m/>
    <s v="Egeskolen (under Jonstrup gl. seminarium)"/>
    <x v="109"/>
    <x v="0"/>
    <x v="3"/>
    <n v="404.22"/>
    <n v="12"/>
    <m/>
    <n v="0"/>
    <n v="4404"/>
    <n v="9.1782000000000002E-2"/>
    <n v="3"/>
    <x v="0"/>
    <n v="404.22"/>
    <n v="0"/>
    <n v="1"/>
    <m/>
    <m/>
    <n v="404.22"/>
    <n v="0"/>
    <n v="77266"/>
  </r>
  <r>
    <x v="6"/>
    <m/>
    <s v="Egeskolen, Jon 150/286"/>
    <n v="9224"/>
    <m/>
    <s v="Egeskolen (under Jonstrup gl. seminarium)"/>
    <x v="109"/>
    <x v="0"/>
    <x v="3"/>
    <n v="531.49"/>
    <n v="11"/>
    <s v="2012-08-31"/>
    <n v="0"/>
    <n v="4404"/>
    <n v="0.12068"/>
    <n v="3"/>
    <x v="0"/>
    <n v="531.49"/>
    <n v="425.19"/>
    <n v="0"/>
    <s v="Hovedmåler i brønd"/>
    <m/>
    <n v="531.48562000000004"/>
    <n v="0"/>
    <n v="77272"/>
  </r>
  <r>
    <x v="6"/>
    <m/>
    <s v="Egeskolen, Jon 150/286"/>
    <n v="9224"/>
    <m/>
    <s v="Egeskolen (under Jonstrup gl. seminarium)"/>
    <x v="109"/>
    <x v="0"/>
    <x v="4"/>
    <n v="87.09"/>
    <n v="12"/>
    <m/>
    <n v="0"/>
    <n v="4404"/>
    <n v="1.9774E-2"/>
    <n v="3"/>
    <x v="0"/>
    <n v="87.09"/>
    <n v="0"/>
    <n v="1"/>
    <s v="V.Vand"/>
    <m/>
    <n v="87.081670000000003"/>
    <n v="0"/>
    <n v="72741"/>
  </r>
  <r>
    <x v="6"/>
    <m/>
    <s v="Egeskolen, Jon 150/286"/>
    <n v="9224"/>
    <m/>
    <s v="Egeskolen (under Jonstrup gl. seminarium)"/>
    <x v="109"/>
    <x v="0"/>
    <x v="4"/>
    <n v="245.15"/>
    <n v="12"/>
    <m/>
    <n v="0"/>
    <n v="4404"/>
    <n v="5.5663999999999998E-2"/>
    <n v="3"/>
    <x v="0"/>
    <n v="245.15"/>
    <n v="0"/>
    <n v="1"/>
    <m/>
    <m/>
    <n v="245.17751000000001"/>
    <n v="0"/>
    <n v="77266"/>
  </r>
  <r>
    <x v="6"/>
    <m/>
    <s v="Egeskolen, Jon 150/286"/>
    <n v="9224"/>
    <m/>
    <s v="Egeskolen (under Jonstrup gl. seminarium)"/>
    <x v="109"/>
    <x v="0"/>
    <x v="4"/>
    <n v="372.69"/>
    <n v="10"/>
    <s v="2012-08-31"/>
    <n v="0"/>
    <n v="4404"/>
    <n v="8.4623000000000004E-2"/>
    <n v="3"/>
    <x v="0"/>
    <n v="372.69"/>
    <n v="298.16000000000003"/>
    <n v="0"/>
    <s v="Hovedmåler i brønd"/>
    <m/>
    <n v="372.68383"/>
    <n v="0"/>
    <n v="77272"/>
  </r>
  <r>
    <x v="6"/>
    <m/>
    <s v="Egeskolen, Jon 150/286"/>
    <n v="9224"/>
    <m/>
    <s v="Egeskolen (under Jonstrup gl. seminarium)"/>
    <x v="109"/>
    <x v="0"/>
    <x v="5"/>
    <n v="91.55"/>
    <n v="12"/>
    <m/>
    <n v="0"/>
    <n v="4404"/>
    <n v="2.0787E-2"/>
    <n v="3"/>
    <x v="0"/>
    <n v="91.55"/>
    <n v="0"/>
    <n v="1"/>
    <s v="V.Vand"/>
    <m/>
    <n v="91.548299999999998"/>
    <n v="0"/>
    <n v="72741"/>
  </r>
  <r>
    <x v="6"/>
    <m/>
    <s v="Egeskolen, Jon 150/286"/>
    <n v="9224"/>
    <m/>
    <s v="Egeskolen (under Jonstrup gl. seminarium)"/>
    <x v="109"/>
    <x v="0"/>
    <x v="5"/>
    <n v="271.10000000000002"/>
    <n v="12"/>
    <m/>
    <n v="0"/>
    <n v="4404"/>
    <n v="6.1556E-2"/>
    <n v="3"/>
    <x v="0"/>
    <n v="271.10000000000002"/>
    <n v="0"/>
    <n v="1"/>
    <m/>
    <m/>
    <n v="271.11250999999999"/>
    <n v="0"/>
    <n v="77266"/>
  </r>
  <r>
    <x v="6"/>
    <m/>
    <s v="Egeskolen, Jon 150/286"/>
    <n v="9224"/>
    <m/>
    <s v="Egeskolen (under Jonstrup gl. seminarium)"/>
    <x v="109"/>
    <x v="0"/>
    <x v="5"/>
    <n v="534.73"/>
    <n v="8"/>
    <s v="2012-08-31"/>
    <n v="0"/>
    <n v="4404"/>
    <n v="0.121416"/>
    <n v="3"/>
    <x v="0"/>
    <n v="534.73"/>
    <n v="427.77"/>
    <n v="0"/>
    <s v="Hovedmåler i brønd"/>
    <m/>
    <n v="534.71982000000003"/>
    <n v="0"/>
    <n v="77272"/>
  </r>
  <r>
    <x v="6"/>
    <m/>
    <s v="Egeskolen, Jon 150/286"/>
    <n v="9224"/>
    <m/>
    <s v="Egeskolen (under Jonstrup gl. seminarium)"/>
    <x v="109"/>
    <x v="0"/>
    <x v="6"/>
    <n v="74.34"/>
    <n v="12"/>
    <m/>
    <n v="0"/>
    <n v="4404"/>
    <n v="1.6879000000000002E-2"/>
    <n v="3"/>
    <x v="0"/>
    <n v="74.34"/>
    <n v="0"/>
    <n v="1"/>
    <s v="V.Vand"/>
    <m/>
    <n v="74.34"/>
    <n v="0"/>
    <n v="72741"/>
  </r>
  <r>
    <x v="6"/>
    <m/>
    <s v="Egeskolen, Jon 150/286"/>
    <n v="9224"/>
    <m/>
    <s v="Egeskolen (under Jonstrup gl. seminarium)"/>
    <x v="109"/>
    <x v="0"/>
    <x v="6"/>
    <n v="7.66"/>
    <n v="12"/>
    <m/>
    <n v="0"/>
    <n v="4404"/>
    <n v="1.7390000000000001E-3"/>
    <n v="3"/>
    <x v="0"/>
    <n v="7.66"/>
    <n v="0"/>
    <n v="1"/>
    <m/>
    <m/>
    <n v="7.66"/>
    <n v="0"/>
    <n v="77266"/>
  </r>
  <r>
    <x v="6"/>
    <m/>
    <s v="Egeskolen, Jon 150/286"/>
    <n v="9224"/>
    <m/>
    <s v="Egeskolen (under Jonstrup gl. seminarium)"/>
    <x v="109"/>
    <x v="0"/>
    <x v="6"/>
    <n v="425.52"/>
    <n v="10"/>
    <s v="2012-08-31"/>
    <n v="0"/>
    <n v="4404"/>
    <n v="9.6618999999999997E-2"/>
    <n v="3"/>
    <x v="0"/>
    <n v="425.52"/>
    <n v="340.42"/>
    <n v="0"/>
    <s v="Hovedmåler i brønd"/>
    <m/>
    <n v="425.52614999999997"/>
    <n v="0"/>
    <n v="77272"/>
  </r>
  <r>
    <x v="6"/>
    <m/>
    <s v="Hareskov gl. bibliotek, Hareskov Skole, POP13"/>
    <n v="10230"/>
    <m/>
    <s v="1.st. klasse huset, Hareskov Skole"/>
    <x v="108"/>
    <x v="0"/>
    <x v="0"/>
    <n v="194"/>
    <n v="5"/>
    <s v="2011-12-31"/>
    <n v="0"/>
    <n v="711"/>
    <n v="5.8233E-2"/>
    <n v="3"/>
    <x v="0"/>
    <n v="41.41"/>
    <n v="33.130000000000003"/>
    <n v="0"/>
    <s v="42150"/>
    <m/>
    <n v="41.41"/>
    <n v="0"/>
    <n v="77502"/>
  </r>
  <r>
    <x v="6"/>
    <m/>
    <s v="Hareskov gl. bibliotek, Hareskov Skole, POP13"/>
    <n v="10230"/>
    <m/>
    <s v="1.st. klasse huset, Hareskov Skole"/>
    <x v="108"/>
    <x v="0"/>
    <x v="1"/>
    <n v="162.19999999999999"/>
    <n v="12"/>
    <s v="2011-12-31"/>
    <n v="0"/>
    <n v="711"/>
    <n v="0.22809699999999999"/>
    <n v="3"/>
    <x v="0"/>
    <n v="162.19999999999999"/>
    <n v="129.76"/>
    <n v="0"/>
    <s v="42150"/>
    <m/>
    <n v="162.19999999999999"/>
    <n v="0"/>
    <n v="77502"/>
  </r>
  <r>
    <x v="6"/>
    <m/>
    <s v="Hareskov gl. bibliotek, Hareskov Skole, POP13"/>
    <n v="10230"/>
    <m/>
    <s v="1.st. klasse huset, Hareskov Skole"/>
    <x v="108"/>
    <x v="0"/>
    <x v="2"/>
    <n v="154.1"/>
    <n v="12"/>
    <s v="2011-12-31"/>
    <n v="0"/>
    <n v="711"/>
    <n v="0.21670600000000001"/>
    <n v="3"/>
    <x v="0"/>
    <n v="154.1"/>
    <n v="123.28"/>
    <n v="0"/>
    <s v="42150"/>
    <m/>
    <n v="154.1"/>
    <n v="0"/>
    <n v="77502"/>
  </r>
  <r>
    <x v="6"/>
    <m/>
    <s v="Hareskov gl. bibliotek, Hareskov Skole, POP13"/>
    <n v="10230"/>
    <m/>
    <s v="1.st. klasse huset, Hareskov Skole"/>
    <x v="108"/>
    <x v="0"/>
    <x v="3"/>
    <n v="120.64"/>
    <n v="9"/>
    <s v="2011-12-31"/>
    <n v="0"/>
    <n v="711"/>
    <n v="0.169652"/>
    <n v="3"/>
    <x v="0"/>
    <n v="120.64"/>
    <n v="96.52"/>
    <n v="0"/>
    <s v="42150"/>
    <m/>
    <n v="120.63636"/>
    <n v="0"/>
    <n v="77502"/>
  </r>
  <r>
    <x v="6"/>
    <m/>
    <s v="Hareskov gl. bibliotek, Hareskov Skole, POP13"/>
    <n v="10230"/>
    <m/>
    <s v="1.st. klasse huset, Hareskov Skole"/>
    <x v="108"/>
    <x v="0"/>
    <x v="4"/>
    <n v="306.42"/>
    <n v="11"/>
    <s v="2011-12-31"/>
    <n v="0"/>
    <n v="711"/>
    <n v="0.43090899999999999"/>
    <n v="3"/>
    <x v="0"/>
    <n v="306.42"/>
    <n v="245.15"/>
    <n v="0"/>
    <s v="42150"/>
    <m/>
    <n v="306.42077999999998"/>
    <n v="0"/>
    <n v="77502"/>
  </r>
  <r>
    <x v="6"/>
    <m/>
    <s v="Hareskov gl. bibliotek, Hareskov Skole, POP13"/>
    <n v="10230"/>
    <m/>
    <s v="1.st. klasse huset, Hareskov Skole"/>
    <x v="108"/>
    <x v="0"/>
    <x v="5"/>
    <n v="159.51"/>
    <n v="12"/>
    <s v="2011-12-31"/>
    <n v="0"/>
    <n v="711"/>
    <n v="0.22431400000000001"/>
    <n v="3"/>
    <x v="0"/>
    <n v="159.51"/>
    <n v="127.62"/>
    <n v="0"/>
    <s v="42150"/>
    <m/>
    <n v="159.52350000000001"/>
    <n v="0"/>
    <n v="77502"/>
  </r>
  <r>
    <x v="6"/>
    <m/>
    <s v="Hareskov gl. bibliotek, Hareskov Skole, POP13"/>
    <n v="10230"/>
    <m/>
    <s v="1.st. klasse huset, Hareskov Skole"/>
    <x v="108"/>
    <x v="0"/>
    <x v="6"/>
    <n v="182.67"/>
    <n v="13"/>
    <s v="2011-12-31"/>
    <n v="0"/>
    <n v="711"/>
    <n v="0.25688299999999997"/>
    <n v="3"/>
    <x v="0"/>
    <n v="182.67"/>
    <n v="146.13999999999999"/>
    <n v="0"/>
    <s v="42150"/>
    <m/>
    <n v="182.67741000000001"/>
    <n v="0"/>
    <n v="77502"/>
  </r>
  <r>
    <x v="6"/>
    <m/>
    <s v="Hareskov Skole, POP 6-12"/>
    <n v="10991"/>
    <m/>
    <s v="Bygning 8, Svømmehal"/>
    <x v="110"/>
    <x v="0"/>
    <x v="0"/>
    <n v="898"/>
    <n v="3"/>
    <s v="2015-05-04"/>
    <n v="0"/>
    <n v="1475"/>
    <n v="0.250471"/>
    <n v="3"/>
    <x v="0"/>
    <n v="369.47"/>
    <n v="295.57"/>
    <n v="0"/>
    <s v="PC501303"/>
    <m/>
    <n v="369.46807999999999"/>
    <n v="0"/>
    <n v="79482"/>
  </r>
  <r>
    <x v="6"/>
    <m/>
    <s v="Hareskov Skole, POP 6-12"/>
    <n v="10991"/>
    <m/>
    <s v="Bygning 8, Svømmehal"/>
    <x v="110"/>
    <x v="0"/>
    <x v="0"/>
    <n v="166.74"/>
    <n v="3"/>
    <s v="2015-05-04"/>
    <n v="0"/>
    <n v="1475"/>
    <n v="0.113036"/>
    <n v="3"/>
    <x v="0"/>
    <n v="166.74"/>
    <n v="133.4"/>
    <n v="1"/>
    <s v="Bimåler 1"/>
    <m/>
    <n v="166.74467000000001"/>
    <n v="0"/>
    <n v="79717"/>
  </r>
  <r>
    <x v="6"/>
    <m/>
    <s v="Hareskov Skole, POP 6-12"/>
    <n v="10991"/>
    <m/>
    <s v="Bygning 8, Svømmehal"/>
    <x v="110"/>
    <x v="0"/>
    <x v="0"/>
    <n v="30"/>
    <n v="3"/>
    <s v="2015-05-04"/>
    <n v="0"/>
    <n v="1475"/>
    <n v="2.0337000000000001E-2"/>
    <n v="3"/>
    <x v="0"/>
    <n v="30"/>
    <n v="24"/>
    <n v="1"/>
    <s v="Bimåler 3"/>
    <m/>
    <n v="30"/>
    <n v="0"/>
    <n v="79718"/>
  </r>
  <r>
    <x v="6"/>
    <m/>
    <s v="Hareskov Skole, POP 6-12"/>
    <n v="10991"/>
    <m/>
    <s v="Bygning 8, Svømmehal"/>
    <x v="110"/>
    <x v="0"/>
    <x v="0"/>
    <n v="0"/>
    <n v="3"/>
    <s v="2015-05-04"/>
    <n v="0"/>
    <n v="1475"/>
    <n v="0"/>
    <n v="3"/>
    <x v="0"/>
    <n v="0"/>
    <n v="0"/>
    <n v="1"/>
    <s v="Bimåler 2"/>
    <m/>
    <n v="0"/>
    <n v="0"/>
    <n v="79719"/>
  </r>
  <r>
    <x v="6"/>
    <m/>
    <s v="Egeskolen, Jon 150/286"/>
    <n v="9224"/>
    <m/>
    <s v="Egeskolen (under Jonstrup gl. seminarium)"/>
    <x v="109"/>
    <x v="0"/>
    <x v="7"/>
    <n v="75.08"/>
    <n v="12"/>
    <m/>
    <n v="0"/>
    <n v="4404"/>
    <n v="1.7047E-2"/>
    <n v="3"/>
    <x v="0"/>
    <n v="75.08"/>
    <n v="0"/>
    <n v="1"/>
    <s v="V.Vand"/>
    <m/>
    <n v="75.078000000000003"/>
    <n v="0"/>
    <n v="72741"/>
  </r>
  <r>
    <x v="6"/>
    <m/>
    <s v="Hareskov Skole, POP 6-12"/>
    <n v="10991"/>
    <m/>
    <s v="Bygning 8, Svømmehal"/>
    <x v="110"/>
    <x v="0"/>
    <x v="1"/>
    <n v="864.86"/>
    <n v="11"/>
    <s v="2015-05-04"/>
    <n v="0"/>
    <n v="1475"/>
    <n v="0.58630599999999999"/>
    <n v="3"/>
    <x v="0"/>
    <n v="864.86"/>
    <n v="691.9"/>
    <n v="0"/>
    <s v="PC501303"/>
    <m/>
    <n v="864.87937999999997"/>
    <n v="0"/>
    <n v="79482"/>
  </r>
  <r>
    <x v="6"/>
    <m/>
    <s v="Hareskov Skole, POP 6-12"/>
    <n v="10991"/>
    <m/>
    <s v="Bygning 8, Svømmehal"/>
    <x v="110"/>
    <x v="0"/>
    <x v="1"/>
    <n v="347.56"/>
    <n v="11"/>
    <s v="2015-05-04"/>
    <n v="0"/>
    <n v="1475"/>
    <n v="0.23561699999999999"/>
    <n v="3"/>
    <x v="0"/>
    <n v="347.56"/>
    <n v="278.06"/>
    <n v="1"/>
    <s v="Bimåler 1"/>
    <m/>
    <n v="347.56099999999998"/>
    <n v="0"/>
    <n v="79717"/>
  </r>
  <r>
    <x v="6"/>
    <m/>
    <s v="Hareskov Skole, POP 6-12"/>
    <n v="10991"/>
    <m/>
    <s v="Bygning 8, Svømmehal"/>
    <x v="110"/>
    <x v="0"/>
    <x v="1"/>
    <n v="71.87"/>
    <n v="11"/>
    <s v="2015-05-04"/>
    <n v="0"/>
    <n v="1475"/>
    <n v="4.8722000000000001E-2"/>
    <n v="3"/>
    <x v="0"/>
    <n v="71.87"/>
    <n v="57.5"/>
    <n v="1"/>
    <s v="Bimåler 3"/>
    <m/>
    <n v="71.869569999999996"/>
    <n v="0"/>
    <n v="79718"/>
  </r>
  <r>
    <x v="6"/>
    <m/>
    <s v="Hareskov Skole, POP 6-12"/>
    <n v="10991"/>
    <m/>
    <s v="Bygning 8, Svømmehal"/>
    <x v="110"/>
    <x v="0"/>
    <x v="1"/>
    <n v="19"/>
    <n v="11"/>
    <s v="2015-05-04"/>
    <n v="0"/>
    <n v="1475"/>
    <n v="1.2880000000000001E-2"/>
    <n v="3"/>
    <x v="0"/>
    <n v="19"/>
    <n v="15.19"/>
    <n v="1"/>
    <s v="Bimåler 2"/>
    <m/>
    <n v="19"/>
    <n v="0"/>
    <n v="79719"/>
  </r>
  <r>
    <x v="6"/>
    <m/>
    <s v="Hareskov Skole, POP 6-12"/>
    <n v="10991"/>
    <m/>
    <s v="Bygning 8, Svømmehal"/>
    <x v="110"/>
    <x v="0"/>
    <x v="2"/>
    <n v="896.69"/>
    <n v="11"/>
    <s v="2015-05-04"/>
    <n v="0"/>
    <n v="1475"/>
    <n v="0.60788399999999998"/>
    <n v="3"/>
    <x v="0"/>
    <n v="896.69"/>
    <n v="717.37"/>
    <n v="0"/>
    <s v="PC501303"/>
    <m/>
    <n v="896.68894999999998"/>
    <n v="0"/>
    <n v="79482"/>
  </r>
  <r>
    <x v="6"/>
    <m/>
    <s v="Hareskov Skole, POP 6-12"/>
    <n v="10991"/>
    <m/>
    <s v="Bygning 8, Svømmehal"/>
    <x v="110"/>
    <x v="0"/>
    <x v="2"/>
    <n v="332.08"/>
    <n v="11"/>
    <s v="2015-05-04"/>
    <n v="0"/>
    <n v="1475"/>
    <n v="0.22512299999999999"/>
    <n v="3"/>
    <x v="0"/>
    <n v="332.08"/>
    <n v="265.66000000000003"/>
    <n v="1"/>
    <s v="Bimåler 1"/>
    <m/>
    <n v="332.0772"/>
    <n v="0"/>
    <n v="79717"/>
  </r>
  <r>
    <x v="6"/>
    <m/>
    <s v="Hareskov Skole, POP 6-12"/>
    <n v="10991"/>
    <m/>
    <s v="Bygning 8, Svømmehal"/>
    <x v="110"/>
    <x v="0"/>
    <x v="2"/>
    <n v="46.99"/>
    <n v="11"/>
    <s v="2015-05-04"/>
    <n v="0"/>
    <n v="1475"/>
    <n v="3.1855000000000001E-2"/>
    <n v="3"/>
    <x v="0"/>
    <n v="46.99"/>
    <n v="37.6"/>
    <n v="1"/>
    <s v="Bimåler 3"/>
    <m/>
    <n v="47"/>
    <n v="0"/>
    <n v="79718"/>
  </r>
  <r>
    <x v="6"/>
    <m/>
    <s v="Hareskov Skole, POP 6-12"/>
    <n v="10991"/>
    <m/>
    <s v="Bygning 8, Svømmehal"/>
    <x v="110"/>
    <x v="0"/>
    <x v="2"/>
    <n v="13.15"/>
    <n v="11"/>
    <s v="2015-05-04"/>
    <n v="0"/>
    <n v="1475"/>
    <n v="8.914E-3"/>
    <n v="3"/>
    <x v="0"/>
    <n v="13.15"/>
    <n v="10.51"/>
    <n v="1"/>
    <s v="Bimåler 2"/>
    <m/>
    <n v="13.142860000000001"/>
    <n v="0"/>
    <n v="79719"/>
  </r>
  <r>
    <x v="6"/>
    <m/>
    <s v="Hareskov Skole, POP 6-12"/>
    <n v="10991"/>
    <m/>
    <s v="Bygning 8, Svømmehal"/>
    <x v="110"/>
    <x v="0"/>
    <x v="3"/>
    <n v="1298.4000000000001"/>
    <n v="8"/>
    <s v="2015-05-04"/>
    <n v="0"/>
    <n v="1475"/>
    <n v="0.88021099999999997"/>
    <n v="3"/>
    <x v="0"/>
    <n v="1298.4000000000001"/>
    <n v="1038.73"/>
    <n v="0"/>
    <s v="PC501303"/>
    <m/>
    <n v="1298.3961200000001"/>
    <n v="0"/>
    <n v="79482"/>
  </r>
  <r>
    <x v="6"/>
    <m/>
    <s v="Hareskov Skole, POP 6-12"/>
    <n v="10991"/>
    <m/>
    <s v="Bygning 8, Svømmehal"/>
    <x v="110"/>
    <x v="0"/>
    <x v="3"/>
    <n v="380.9"/>
    <n v="8"/>
    <s v="2015-05-04"/>
    <n v="0"/>
    <n v="1475"/>
    <n v="0.25821899999999998"/>
    <n v="3"/>
    <x v="0"/>
    <n v="380.9"/>
    <n v="304.70999999999998"/>
    <n v="1"/>
    <s v="Bimåler 1"/>
    <m/>
    <n v="380.89936"/>
    <n v="0"/>
    <n v="79717"/>
  </r>
  <r>
    <x v="6"/>
    <m/>
    <s v="Hareskov Skole, POP 6-12"/>
    <n v="10991"/>
    <m/>
    <s v="Bygning 8, Svømmehal"/>
    <x v="110"/>
    <x v="0"/>
    <x v="3"/>
    <n v="63.19"/>
    <n v="8"/>
    <s v="2015-05-04"/>
    <n v="0"/>
    <n v="1475"/>
    <n v="4.2837E-2"/>
    <n v="3"/>
    <x v="0"/>
    <n v="63.19"/>
    <n v="50.55"/>
    <n v="1"/>
    <s v="Bimåler 3"/>
    <m/>
    <n v="63.181829999999998"/>
    <n v="0"/>
    <n v="79718"/>
  </r>
  <r>
    <x v="6"/>
    <m/>
    <s v="Hareskov Skole, POP 6-12"/>
    <n v="10991"/>
    <m/>
    <s v="Bygning 8, Svømmehal"/>
    <x v="110"/>
    <x v="0"/>
    <x v="3"/>
    <n v="337.68"/>
    <n v="8"/>
    <s v="2015-05-04"/>
    <n v="0"/>
    <n v="1475"/>
    <n v="0.22892000000000001"/>
    <n v="3"/>
    <x v="0"/>
    <n v="337.68"/>
    <n v="270.13"/>
    <n v="1"/>
    <s v="Bimåler 2"/>
    <m/>
    <n v="337.67532"/>
    <n v="0"/>
    <n v="79719"/>
  </r>
  <r>
    <x v="6"/>
    <m/>
    <s v="Hareskov Skole, POP 6-12"/>
    <n v="10991"/>
    <m/>
    <s v="Bygning 8, Svømmehal"/>
    <x v="110"/>
    <x v="0"/>
    <x v="4"/>
    <n v="967.96"/>
    <n v="12"/>
    <s v="2015-05-04"/>
    <n v="0"/>
    <n v="1475"/>
    <n v="0.65619899999999998"/>
    <n v="3"/>
    <x v="0"/>
    <n v="967.96"/>
    <n v="774.38"/>
    <n v="0"/>
    <s v="PC501303"/>
    <m/>
    <n v="967.96104000000003"/>
    <n v="0"/>
    <n v="79482"/>
  </r>
  <r>
    <x v="6"/>
    <m/>
    <s v="Hareskov Skole, POP 6-12"/>
    <n v="10991"/>
    <m/>
    <s v="Bygning 8, Svømmehal"/>
    <x v="110"/>
    <x v="0"/>
    <x v="4"/>
    <n v="374.63"/>
    <n v="12"/>
    <s v="2015-05-04"/>
    <n v="0"/>
    <n v="1475"/>
    <n v="0.253969"/>
    <n v="3"/>
    <x v="0"/>
    <n v="374.63"/>
    <n v="299.70999999999998"/>
    <n v="1"/>
    <s v="Bimåler 1"/>
    <m/>
    <n v="374.63637"/>
    <n v="0"/>
    <n v="79717"/>
  </r>
  <r>
    <x v="6"/>
    <m/>
    <s v="Hareskov Skole, POP 6-12"/>
    <n v="10991"/>
    <m/>
    <s v="Bygning 8, Svømmehal"/>
    <x v="110"/>
    <x v="0"/>
    <x v="4"/>
    <n v="53.93"/>
    <n v="12"/>
    <s v="2015-05-04"/>
    <n v="0"/>
    <n v="1475"/>
    <n v="3.6560000000000002E-2"/>
    <n v="3"/>
    <x v="0"/>
    <n v="53.93"/>
    <n v="43.14"/>
    <n v="1"/>
    <s v="Bimåler 3"/>
    <m/>
    <n v="53.932470000000002"/>
    <n v="0"/>
    <n v="79718"/>
  </r>
  <r>
    <x v="6"/>
    <m/>
    <s v="Hareskov Skole, POP 6-12"/>
    <n v="10991"/>
    <m/>
    <s v="Bygning 8, Svømmehal"/>
    <x v="110"/>
    <x v="0"/>
    <x v="4"/>
    <n v="27.18"/>
    <n v="12"/>
    <s v="2015-05-04"/>
    <n v="0"/>
    <n v="1475"/>
    <n v="1.8425E-2"/>
    <n v="3"/>
    <x v="0"/>
    <n v="27.18"/>
    <n v="21.75"/>
    <n v="1"/>
    <s v="Bimåler 2"/>
    <m/>
    <n v="27.181809999999999"/>
    <n v="0"/>
    <n v="79719"/>
  </r>
  <r>
    <x v="6"/>
    <m/>
    <s v="Hareskov Skole, POP 6-12"/>
    <n v="10991"/>
    <m/>
    <s v="Bygning 8, Svømmehal"/>
    <x v="110"/>
    <x v="0"/>
    <x v="5"/>
    <n v="927.79"/>
    <n v="11"/>
    <s v="2015-05-04"/>
    <n v="0"/>
    <n v="1475"/>
    <n v="0.62896700000000005"/>
    <n v="3"/>
    <x v="0"/>
    <n v="927.79"/>
    <n v="742.23"/>
    <n v="0"/>
    <s v="PC501303"/>
    <m/>
    <n v="927.79264000000001"/>
    <n v="0"/>
    <n v="79482"/>
  </r>
  <r>
    <x v="6"/>
    <m/>
    <s v="Hareskov Skole, POP 6-12"/>
    <n v="10991"/>
    <m/>
    <s v="Bygning 8, Svømmehal"/>
    <x v="110"/>
    <x v="0"/>
    <x v="5"/>
    <n v="325.20999999999998"/>
    <n v="11"/>
    <s v="2015-05-04"/>
    <n v="0"/>
    <n v="1475"/>
    <n v="0.220466"/>
    <n v="3"/>
    <x v="0"/>
    <n v="325.20999999999998"/>
    <n v="260.14999999999998"/>
    <n v="1"/>
    <s v="Bimåler 1"/>
    <m/>
    <n v="325.19355000000002"/>
    <n v="0"/>
    <n v="79717"/>
  </r>
  <r>
    <x v="6"/>
    <m/>
    <s v="Hareskov Skole, POP 6-12"/>
    <n v="10991"/>
    <m/>
    <s v="Bygning 8, Svømmehal"/>
    <x v="110"/>
    <x v="0"/>
    <x v="5"/>
    <n v="94.88"/>
    <n v="11"/>
    <s v="2015-05-04"/>
    <n v="0"/>
    <n v="1475"/>
    <n v="6.4321000000000003E-2"/>
    <n v="3"/>
    <x v="0"/>
    <n v="94.88"/>
    <n v="75.92"/>
    <n v="1"/>
    <s v="Bimåler 3"/>
    <m/>
    <n v="94.885720000000006"/>
    <n v="0"/>
    <n v="79718"/>
  </r>
  <r>
    <x v="6"/>
    <m/>
    <s v="Hareskov Skole, POP 6-12"/>
    <n v="10991"/>
    <m/>
    <s v="Bygning 8, Svømmehal"/>
    <x v="110"/>
    <x v="0"/>
    <x v="5"/>
    <n v="24.55"/>
    <n v="11"/>
    <s v="2015-05-04"/>
    <n v="0"/>
    <n v="1475"/>
    <n v="1.6642000000000001E-2"/>
    <n v="3"/>
    <x v="0"/>
    <n v="24.55"/>
    <n v="19.64"/>
    <n v="1"/>
    <s v="Bimåler 2"/>
    <m/>
    <n v="24.548390000000001"/>
    <n v="0"/>
    <n v="79719"/>
  </r>
  <r>
    <x v="6"/>
    <m/>
    <s v="Hareskov Skole, POP 6-12"/>
    <n v="10991"/>
    <m/>
    <s v="Bygning 8, Svømmehal"/>
    <x v="110"/>
    <x v="0"/>
    <x v="6"/>
    <n v="1449.66"/>
    <n v="12"/>
    <s v="2015-05-04"/>
    <n v="0"/>
    <n v="1475"/>
    <n v="0.98275299999999999"/>
    <n v="3"/>
    <x v="0"/>
    <n v="1449.66"/>
    <n v="1159.72"/>
    <n v="0"/>
    <s v="PC501303"/>
    <m/>
    <n v="1449.64516"/>
    <n v="0"/>
    <n v="79482"/>
  </r>
  <r>
    <x v="6"/>
    <m/>
    <s v="Hareskov Skole, POP 6-12"/>
    <n v="10991"/>
    <m/>
    <s v="Bygning 8, Svømmehal"/>
    <x v="110"/>
    <x v="0"/>
    <x v="6"/>
    <n v="283.87"/>
    <n v="12"/>
    <s v="2015-05-04"/>
    <n v="0"/>
    <n v="1475"/>
    <n v="0.192441"/>
    <n v="3"/>
    <x v="0"/>
    <n v="283.87"/>
    <n v="227.1"/>
    <n v="1"/>
    <s v="Bimåler 1"/>
    <m/>
    <n v="283.87097"/>
    <n v="0"/>
    <n v="79717"/>
  </r>
  <r>
    <x v="6"/>
    <m/>
    <s v="Hareskov Skole, POP 6-12"/>
    <n v="10991"/>
    <m/>
    <s v="Bygning 8, Svømmehal"/>
    <x v="110"/>
    <x v="0"/>
    <x v="6"/>
    <n v="119.91"/>
    <n v="12"/>
    <s v="2015-05-04"/>
    <n v="0"/>
    <n v="1475"/>
    <n v="8.1289E-2"/>
    <n v="3"/>
    <x v="0"/>
    <n v="119.91"/>
    <n v="95.92"/>
    <n v="1"/>
    <s v="Bimåler 3"/>
    <m/>
    <n v="119.90322999999999"/>
    <n v="0"/>
    <n v="79718"/>
  </r>
  <r>
    <x v="6"/>
    <m/>
    <s v="Hareskov Skole, POP 6-12"/>
    <n v="10991"/>
    <m/>
    <s v="Bygning 8, Svømmehal"/>
    <x v="110"/>
    <x v="0"/>
    <x v="6"/>
    <n v="82.45"/>
    <n v="12"/>
    <s v="2015-05-04"/>
    <n v="0"/>
    <n v="1475"/>
    <n v="5.5893999999999999E-2"/>
    <n v="3"/>
    <x v="0"/>
    <n v="82.45"/>
    <n v="65.97"/>
    <n v="1"/>
    <s v="Bimåler 2"/>
    <m/>
    <n v="82.451610000000002"/>
    <n v="0"/>
    <n v="79719"/>
  </r>
  <r>
    <x v="6"/>
    <m/>
    <s v="Hareskov Skole, POP 6-12"/>
    <n v="9220"/>
    <m/>
    <s v="Hareskov Skole"/>
    <x v="110"/>
    <x v="0"/>
    <x v="0"/>
    <n v="1005"/>
    <n v="5"/>
    <m/>
    <n v="0"/>
    <n v="7549"/>
    <n v="2.9550000000000002E-3"/>
    <n v="3"/>
    <x v="0"/>
    <n v="22.31"/>
    <n v="0"/>
    <n v="0"/>
    <s v="V.Vand"/>
    <m/>
    <n v="22.315999999999999"/>
    <n v="0"/>
    <n v="72733"/>
  </r>
  <r>
    <x v="6"/>
    <m/>
    <s v="Hareskov Skole, POP 6-12"/>
    <n v="9220"/>
    <m/>
    <s v="Hareskov Skole"/>
    <x v="110"/>
    <x v="0"/>
    <x v="0"/>
    <n v="0"/>
    <n v="5"/>
    <s v="2010-11-29"/>
    <n v="0"/>
    <n v="7549"/>
    <n v="5.7318000000000001E-2"/>
    <n v="3"/>
    <x v="0"/>
    <n v="432.7"/>
    <n v="346.16"/>
    <n v="0"/>
    <s v="Værksted nr 0223"/>
    <m/>
    <n v="432.7"/>
    <n v="0"/>
    <n v="77261"/>
  </r>
  <r>
    <x v="6"/>
    <m/>
    <s v="Hareskov Skole, POP 6-12"/>
    <n v="9220"/>
    <m/>
    <s v="Hareskov Skole"/>
    <x v="110"/>
    <x v="0"/>
    <x v="0"/>
    <n v="0"/>
    <n v="5"/>
    <s v="2012-05-31"/>
    <n v="0"/>
    <n v="7549"/>
    <n v="1.1990000000000001E-2"/>
    <n v="3"/>
    <x v="0"/>
    <n v="90.52"/>
    <n v="72.42"/>
    <n v="0"/>
    <s v="46349 Sløjd"/>
    <m/>
    <n v="90.519000000000005"/>
    <n v="0"/>
    <n v="79481"/>
  </r>
  <r>
    <x v="6"/>
    <m/>
    <s v="Egeskolen, Jon 150/286"/>
    <n v="9224"/>
    <m/>
    <s v="Egeskolen (under Jonstrup gl. seminarium)"/>
    <x v="109"/>
    <x v="0"/>
    <x v="7"/>
    <n v="215.73"/>
    <n v="12"/>
    <m/>
    <n v="0"/>
    <n v="4404"/>
    <n v="4.8982999999999999E-2"/>
    <n v="3"/>
    <x v="0"/>
    <n v="215.73"/>
    <n v="0"/>
    <n v="1"/>
    <m/>
    <m/>
    <n v="215.73"/>
    <n v="0"/>
    <n v="77266"/>
  </r>
  <r>
    <x v="6"/>
    <m/>
    <s v="Egeskolen, Jon 150/286"/>
    <n v="9224"/>
    <m/>
    <s v="Egeskolen (under Jonstrup gl. seminarium)"/>
    <x v="109"/>
    <x v="0"/>
    <x v="7"/>
    <n v="385.23"/>
    <n v="12"/>
    <s v="2012-08-31"/>
    <n v="0"/>
    <n v="4404"/>
    <n v="8.7470000000000006E-2"/>
    <n v="3"/>
    <x v="0"/>
    <n v="385.23"/>
    <n v="308.2"/>
    <n v="0"/>
    <s v="Hovedmåler i brønd"/>
    <m/>
    <n v="385.25200000000001"/>
    <n v="0"/>
    <n v="77272"/>
  </r>
  <r>
    <x v="6"/>
    <m/>
    <s v="Hareskov gl. bibliotek, Hareskov Skole, POP13"/>
    <n v="10230"/>
    <m/>
    <s v="1.st. klasse huset, Hareskov Skole"/>
    <x v="108"/>
    <x v="0"/>
    <x v="1"/>
    <n v="12593"/>
    <n v="12"/>
    <s v="2011-12-31"/>
    <n v="0"/>
    <n v="711"/>
    <n v="17.709181999999998"/>
    <n v="2"/>
    <x v="2"/>
    <n v="12593"/>
    <n v="3777.91"/>
    <n v="0"/>
    <s v="T 96163"/>
    <s v="74112041124"/>
    <n v="12593.002"/>
    <n v="0"/>
    <n v="77501"/>
  </r>
  <r>
    <x v="6"/>
    <m/>
    <s v="Hareskov Skole, POP 6-12"/>
    <n v="9220"/>
    <m/>
    <s v="Hareskov Skole"/>
    <x v="110"/>
    <x v="0"/>
    <x v="1"/>
    <n v="43.4"/>
    <n v="12"/>
    <m/>
    <n v="0"/>
    <n v="7549"/>
    <n v="5.7489999999999998E-3"/>
    <n v="3"/>
    <x v="0"/>
    <n v="43.4"/>
    <n v="0"/>
    <n v="0"/>
    <s v="V.Vand"/>
    <m/>
    <n v="43.384999999999998"/>
    <n v="0"/>
    <n v="72733"/>
  </r>
  <r>
    <x v="6"/>
    <m/>
    <s v="Hareskov Skole, POP 6-12"/>
    <n v="9220"/>
    <m/>
    <s v="Hareskov Skole"/>
    <x v="110"/>
    <x v="0"/>
    <x v="1"/>
    <n v="1278.9000000000001"/>
    <n v="12"/>
    <s v="2010-11-29"/>
    <n v="0"/>
    <n v="7549"/>
    <n v="0.16941000000000001"/>
    <n v="3"/>
    <x v="0"/>
    <n v="1278.9000000000001"/>
    <n v="1023.12"/>
    <n v="0"/>
    <s v="Værksted nr 0223"/>
    <m/>
    <n v="1278.9000000000001"/>
    <n v="0"/>
    <n v="77261"/>
  </r>
  <r>
    <x v="6"/>
    <m/>
    <s v="Hareskov Skole, POP 6-12"/>
    <n v="9220"/>
    <m/>
    <s v="Hareskov Skole"/>
    <x v="110"/>
    <x v="0"/>
    <x v="1"/>
    <n v="181.4"/>
    <n v="12"/>
    <s v="2012-05-31"/>
    <n v="0"/>
    <n v="7549"/>
    <n v="2.4028999999999998E-2"/>
    <n v="3"/>
    <x v="0"/>
    <n v="181.4"/>
    <n v="145.12"/>
    <n v="0"/>
    <s v="46349 Sløjd"/>
    <m/>
    <n v="181.4"/>
    <n v="0"/>
    <n v="79481"/>
  </r>
  <r>
    <x v="6"/>
    <m/>
    <s v="Hareskov Skole, POP 6-12"/>
    <n v="9220"/>
    <m/>
    <s v="Hareskov Skole"/>
    <x v="110"/>
    <x v="0"/>
    <x v="2"/>
    <n v="53.61"/>
    <n v="12"/>
    <m/>
    <n v="0"/>
    <n v="7549"/>
    <n v="7.1009999999999997E-3"/>
    <n v="3"/>
    <x v="0"/>
    <n v="53.61"/>
    <n v="0"/>
    <n v="0"/>
    <s v="V.Vand"/>
    <m/>
    <n v="53.600999999999999"/>
    <n v="0"/>
    <n v="72733"/>
  </r>
  <r>
    <x v="6"/>
    <m/>
    <s v="Hareskov Skole, POP 6-12"/>
    <n v="9220"/>
    <m/>
    <s v="Hareskov Skole"/>
    <x v="110"/>
    <x v="0"/>
    <x v="2"/>
    <n v="2364.09"/>
    <n v="12"/>
    <s v="2010-11-29"/>
    <n v="0"/>
    <n v="7549"/>
    <n v="0.31316100000000002"/>
    <n v="3"/>
    <x v="0"/>
    <n v="2364.09"/>
    <n v="1891.27"/>
    <n v="0"/>
    <s v="Værksted nr 0223"/>
    <m/>
    <n v="2364.09"/>
    <n v="0"/>
    <n v="77261"/>
  </r>
  <r>
    <x v="6"/>
    <m/>
    <s v="Hareskov Skole, POP 6-12"/>
    <n v="9220"/>
    <m/>
    <s v="Hareskov Skole"/>
    <x v="110"/>
    <x v="0"/>
    <x v="2"/>
    <n v="204.26"/>
    <n v="13"/>
    <s v="2012-05-31"/>
    <n v="0"/>
    <n v="7549"/>
    <n v="2.7057000000000001E-2"/>
    <n v="3"/>
    <x v="0"/>
    <n v="204.26"/>
    <n v="163.4"/>
    <n v="0"/>
    <s v="46349 Sløjd"/>
    <m/>
    <n v="204.26429999999999"/>
    <n v="0"/>
    <n v="79481"/>
  </r>
  <r>
    <x v="6"/>
    <m/>
    <s v="Hareskov Skole, POP 6-12"/>
    <n v="9220"/>
    <m/>
    <s v="Hareskov Skole"/>
    <x v="110"/>
    <x v="0"/>
    <x v="3"/>
    <n v="51.29"/>
    <n v="12"/>
    <m/>
    <n v="0"/>
    <n v="7549"/>
    <n v="6.7939999999999997E-3"/>
    <n v="3"/>
    <x v="0"/>
    <n v="51.29"/>
    <n v="0"/>
    <n v="0"/>
    <s v="V.Vand"/>
    <m/>
    <n v="51.29"/>
    <n v="0"/>
    <n v="72733"/>
  </r>
  <r>
    <x v="6"/>
    <m/>
    <s v="Hareskov Skole, POP 6-12"/>
    <n v="9220"/>
    <m/>
    <s v="Hareskov Skole"/>
    <x v="110"/>
    <x v="0"/>
    <x v="3"/>
    <n v="397.89"/>
    <n v="12"/>
    <s v="2010-11-29"/>
    <n v="0"/>
    <n v="7549"/>
    <n v="5.2706000000000003E-2"/>
    <n v="3"/>
    <x v="0"/>
    <n v="397.89"/>
    <n v="318.31"/>
    <n v="0"/>
    <s v="Værksted nr 0223"/>
    <m/>
    <n v="397.89"/>
    <n v="0"/>
    <n v="77261"/>
  </r>
  <r>
    <x v="6"/>
    <m/>
    <s v="Hareskov Skole, POP 6-12"/>
    <n v="9220"/>
    <m/>
    <s v="Hareskov Skole"/>
    <x v="110"/>
    <x v="0"/>
    <x v="3"/>
    <n v="191.79"/>
    <n v="8"/>
    <s v="2012-05-31"/>
    <n v="0"/>
    <n v="7549"/>
    <n v="2.5405E-2"/>
    <n v="3"/>
    <x v="0"/>
    <n v="191.79"/>
    <n v="153.44999999999999"/>
    <n v="0"/>
    <s v="46349 Sløjd"/>
    <m/>
    <n v="191.80843999999999"/>
    <n v="0"/>
    <n v="79481"/>
  </r>
  <r>
    <x v="6"/>
    <m/>
    <s v="Hareskov Skole, POP 6-12"/>
    <n v="9220"/>
    <m/>
    <s v="Hareskov Skole"/>
    <x v="110"/>
    <x v="0"/>
    <x v="4"/>
    <n v="6.9"/>
    <n v="12"/>
    <m/>
    <n v="0"/>
    <n v="7549"/>
    <n v="9.1399999999999999E-4"/>
    <n v="3"/>
    <x v="0"/>
    <n v="6.9"/>
    <n v="0"/>
    <n v="0"/>
    <s v="V.Vand"/>
    <m/>
    <n v="6.899"/>
    <n v="0"/>
    <n v="72733"/>
  </r>
  <r>
    <x v="6"/>
    <m/>
    <s v="Hareskov Skole, POP 6-12"/>
    <n v="9220"/>
    <m/>
    <s v="Hareskov Skole"/>
    <x v="110"/>
    <x v="0"/>
    <x v="4"/>
    <n v="542.9"/>
    <n v="9"/>
    <s v="2010-11-29"/>
    <n v="0"/>
    <n v="7549"/>
    <n v="7.1915000000000007E-2"/>
    <n v="3"/>
    <x v="0"/>
    <n v="542.9"/>
    <n v="434.32"/>
    <n v="0"/>
    <s v="Værksted nr 0223"/>
    <m/>
    <n v="542.90058999999997"/>
    <n v="0"/>
    <n v="77261"/>
  </r>
  <r>
    <x v="6"/>
    <m/>
    <s v="Hareskov Skole, POP 6-12"/>
    <n v="9220"/>
    <m/>
    <s v="Hareskov Skole"/>
    <x v="110"/>
    <x v="0"/>
    <x v="4"/>
    <n v="224.27"/>
    <n v="12"/>
    <s v="2012-05-31"/>
    <n v="0"/>
    <n v="7549"/>
    <n v="2.9707999999999998E-2"/>
    <n v="3"/>
    <x v="0"/>
    <n v="224.27"/>
    <n v="179.42"/>
    <n v="0"/>
    <s v="46349 Sløjd"/>
    <m/>
    <n v="224.27012999999999"/>
    <n v="0"/>
    <n v="79481"/>
  </r>
  <r>
    <x v="6"/>
    <m/>
    <s v="Hareskov Skole, POP 6-12"/>
    <n v="9220"/>
    <m/>
    <s v="Hareskov Skole"/>
    <x v="110"/>
    <x v="0"/>
    <x v="5"/>
    <n v="17.13"/>
    <n v="12"/>
    <m/>
    <n v="0"/>
    <n v="7549"/>
    <n v="2.2690000000000002E-3"/>
    <n v="3"/>
    <x v="0"/>
    <n v="17.13"/>
    <n v="0"/>
    <n v="0"/>
    <s v="V.Vand"/>
    <m/>
    <n v="17.123999999999999"/>
    <n v="0"/>
    <n v="72733"/>
  </r>
  <r>
    <x v="6"/>
    <m/>
    <s v="Hareskov Skole, POP 6-12"/>
    <n v="9220"/>
    <m/>
    <s v="Hareskov Skole"/>
    <x v="110"/>
    <x v="0"/>
    <x v="5"/>
    <n v="417.16"/>
    <n v="12"/>
    <s v="2010-11-29"/>
    <n v="0"/>
    <n v="7549"/>
    <n v="5.5259000000000003E-2"/>
    <n v="3"/>
    <x v="0"/>
    <n v="417.16"/>
    <n v="333.74"/>
    <n v="0"/>
    <s v="Værksted nr 0223"/>
    <m/>
    <n v="417.17457999999999"/>
    <n v="0"/>
    <n v="77261"/>
  </r>
  <r>
    <x v="6"/>
    <m/>
    <s v="Hareskov Skole, POP 6-12"/>
    <n v="9220"/>
    <m/>
    <s v="Hareskov Skole"/>
    <x v="110"/>
    <x v="0"/>
    <x v="5"/>
    <n v="272.83"/>
    <n v="11"/>
    <s v="2012-05-31"/>
    <n v="0"/>
    <n v="7549"/>
    <n v="3.6139999999999999E-2"/>
    <n v="3"/>
    <x v="0"/>
    <n v="272.83"/>
    <n v="218.29"/>
    <n v="0"/>
    <s v="46349 Sløjd"/>
    <m/>
    <n v="272.84424000000001"/>
    <n v="0"/>
    <n v="79481"/>
  </r>
  <r>
    <x v="6"/>
    <m/>
    <s v="Hareskov Skole, POP 6-12"/>
    <n v="9220"/>
    <m/>
    <s v="Hareskov Skole"/>
    <x v="110"/>
    <x v="0"/>
    <x v="6"/>
    <n v="30.7"/>
    <n v="12"/>
    <m/>
    <n v="0"/>
    <n v="7549"/>
    <n v="4.0660000000000002E-3"/>
    <n v="3"/>
    <x v="0"/>
    <n v="30.7"/>
    <n v="0"/>
    <n v="0"/>
    <s v="V.Vand"/>
    <m/>
    <n v="30.687999999999999"/>
    <n v="0"/>
    <n v="72733"/>
  </r>
  <r>
    <x v="6"/>
    <m/>
    <s v="Hareskov Skole, POP 6-12"/>
    <n v="9220"/>
    <m/>
    <s v="Hareskov Skole"/>
    <x v="110"/>
    <x v="0"/>
    <x v="6"/>
    <n v="501.98"/>
    <n v="12"/>
    <s v="2010-11-29"/>
    <n v="0"/>
    <n v="7549"/>
    <n v="6.6494999999999999E-2"/>
    <n v="3"/>
    <x v="0"/>
    <n v="501.98"/>
    <n v="401.61"/>
    <n v="0"/>
    <s v="Værksted nr 0223"/>
    <m/>
    <n v="502.00000999999997"/>
    <n v="0"/>
    <n v="77261"/>
  </r>
  <r>
    <x v="6"/>
    <m/>
    <s v="Hareskov Skole, POP 6-12"/>
    <n v="9220"/>
    <m/>
    <s v="Hareskov Skole"/>
    <x v="110"/>
    <x v="0"/>
    <x v="6"/>
    <n v="218.92"/>
    <n v="12"/>
    <s v="2012-05-31"/>
    <n v="0"/>
    <n v="7549"/>
    <n v="2.8999E-2"/>
    <n v="3"/>
    <x v="0"/>
    <n v="218.92"/>
    <n v="175.12"/>
    <n v="0"/>
    <s v="46349 Sløjd"/>
    <m/>
    <n v="218.90323000000001"/>
    <n v="0"/>
    <n v="79481"/>
  </r>
  <r>
    <x v="6"/>
    <m/>
    <s v="Hareskov Skole, POP 6-12"/>
    <n v="11000"/>
    <m/>
    <s v="POP-øst"/>
    <x v="110"/>
    <x v="0"/>
    <x v="0"/>
    <n v="285"/>
    <n v="5"/>
    <s v="2010-11-01"/>
    <n v="0"/>
    <n v="652"/>
    <n v="0.20208499999999999"/>
    <n v="3"/>
    <x v="0"/>
    <n v="131.78"/>
    <n v="105.42"/>
    <n v="0"/>
    <s v="Gl. fyrkælder"/>
    <m/>
    <n v="131.77799999999999"/>
    <n v="0"/>
    <n v="79480"/>
  </r>
  <r>
    <x v="4"/>
    <s v="00767-6"/>
    <s v="Sundhedshuset Gammelgårdsvej 88"/>
    <n v="5270"/>
    <m/>
    <s v="Milcon"/>
    <x v="99"/>
    <x v="0"/>
    <x v="7"/>
    <n v="130268.52"/>
    <n v="12"/>
    <m/>
    <n v="0"/>
    <n v="2625"/>
    <n v="49.624212"/>
    <n v="1"/>
    <x v="4"/>
    <n v="153760.47"/>
    <n v="32517.51"/>
    <n v="0"/>
    <s v="1206500"/>
    <s v="98002006662"/>
    <n v="12061.9"/>
    <n v="0"/>
    <n v="56823"/>
  </r>
  <r>
    <x v="6"/>
    <m/>
    <s v="Hareskov Skole, POP 6-12"/>
    <n v="11000"/>
    <m/>
    <s v="POP-øst"/>
    <x v="110"/>
    <x v="0"/>
    <x v="1"/>
    <n v="287.36"/>
    <n v="12"/>
    <s v="2010-11-01"/>
    <n v="0"/>
    <n v="652"/>
    <n v="0.440668"/>
    <n v="3"/>
    <x v="0"/>
    <n v="287.36"/>
    <n v="229.9"/>
    <n v="0"/>
    <s v="Gl. fyrkælder"/>
    <m/>
    <n v="287.37200000000001"/>
    <n v="0"/>
    <n v="79480"/>
  </r>
  <r>
    <x v="6"/>
    <m/>
    <s v="Hareskov Skole, POP 6-12"/>
    <n v="11000"/>
    <m/>
    <s v="POP-øst"/>
    <x v="110"/>
    <x v="0"/>
    <x v="2"/>
    <n v="61.61"/>
    <n v="12"/>
    <s v="2010-11-01"/>
    <n v="0"/>
    <n v="652"/>
    <n v="9.4478999999999994E-2"/>
    <n v="3"/>
    <x v="0"/>
    <n v="61.61"/>
    <n v="49.29"/>
    <n v="0"/>
    <s v="Gl. fyrkælder"/>
    <m/>
    <n v="61.603999999999999"/>
    <n v="0"/>
    <n v="79480"/>
  </r>
  <r>
    <x v="6"/>
    <m/>
    <s v="Hareskov Skole, POP 6-12"/>
    <n v="11000"/>
    <m/>
    <s v="POP-øst"/>
    <x v="110"/>
    <x v="0"/>
    <x v="3"/>
    <n v="10.35"/>
    <n v="12"/>
    <s v="2010-11-01"/>
    <n v="0"/>
    <n v="652"/>
    <n v="1.5871E-2"/>
    <n v="3"/>
    <x v="0"/>
    <n v="10.35"/>
    <n v="8.2899999999999991"/>
    <n v="0"/>
    <s v="Gl. fyrkælder"/>
    <m/>
    <n v="10.343"/>
    <n v="0"/>
    <n v="79480"/>
  </r>
  <r>
    <x v="6"/>
    <m/>
    <s v="Hareskov Skole, POP 6-12"/>
    <n v="11000"/>
    <m/>
    <s v="POP-øst"/>
    <x v="110"/>
    <x v="0"/>
    <x v="4"/>
    <n v="381.6"/>
    <n v="13"/>
    <s v="2010-11-01"/>
    <n v="0"/>
    <n v="652"/>
    <n v="0.58518599999999998"/>
    <n v="3"/>
    <x v="0"/>
    <n v="381.6"/>
    <n v="305.27999999999997"/>
    <n v="0"/>
    <s v="Gl. fyrkælder"/>
    <m/>
    <n v="381.60086000000001"/>
    <n v="0"/>
    <n v="79480"/>
  </r>
  <r>
    <x v="6"/>
    <m/>
    <s v="Hareskov Skole, POP 6-12"/>
    <n v="11000"/>
    <m/>
    <s v="POP-øst"/>
    <x v="110"/>
    <x v="0"/>
    <x v="5"/>
    <n v="446.55"/>
    <n v="11"/>
    <s v="2010-11-01"/>
    <n v="0"/>
    <n v="652"/>
    <n v="0.68478700000000003"/>
    <n v="3"/>
    <x v="0"/>
    <n v="446.55"/>
    <n v="357.24"/>
    <n v="0"/>
    <s v="Gl. fyrkælder"/>
    <m/>
    <n v="446.56038000000001"/>
    <n v="0"/>
    <n v="79480"/>
  </r>
  <r>
    <x v="6"/>
    <m/>
    <s v="Hareskov Skole, POP 6-12"/>
    <n v="11000"/>
    <m/>
    <s v="POP-øst"/>
    <x v="110"/>
    <x v="0"/>
    <x v="6"/>
    <n v="435.57"/>
    <n v="12"/>
    <s v="2010-11-01"/>
    <n v="0"/>
    <n v="652"/>
    <n v="0.66794900000000001"/>
    <n v="3"/>
    <x v="0"/>
    <n v="435.57"/>
    <n v="348.48"/>
    <n v="0"/>
    <s v="Gl. fyrkælder"/>
    <m/>
    <n v="435.58064999999999"/>
    <n v="0"/>
    <n v="79480"/>
  </r>
  <r>
    <x v="6"/>
    <m/>
    <s v="Lille Værløse skole"/>
    <n v="14252"/>
    <s v="0"/>
    <s v="Bygning A"/>
    <x v="111"/>
    <x v="0"/>
    <x v="0"/>
    <n v="878"/>
    <n v="5"/>
    <m/>
    <n v="0"/>
    <n v="3700"/>
    <n v="9.4797000000000006E-2"/>
    <n v="3"/>
    <x v="0"/>
    <n v="350.76"/>
    <n v="280.61"/>
    <n v="0"/>
    <s v="Byg A nr 378377"/>
    <m/>
    <n v="350.76600000000002"/>
    <n v="0"/>
    <n v="77354"/>
  </r>
  <r>
    <x v="6"/>
    <m/>
    <s v="Lille Værløse skole"/>
    <n v="14252"/>
    <s v="0"/>
    <s v="Bygning A"/>
    <x v="111"/>
    <x v="0"/>
    <x v="1"/>
    <n v="729.46"/>
    <n v="12"/>
    <m/>
    <n v="0"/>
    <n v="3700"/>
    <n v="0.19714599999999999"/>
    <n v="3"/>
    <x v="0"/>
    <n v="729.46"/>
    <n v="583.58000000000004"/>
    <n v="0"/>
    <s v="Byg A nr 378377"/>
    <m/>
    <n v="729.45699999999999"/>
    <n v="0"/>
    <n v="77354"/>
  </r>
  <r>
    <x v="6"/>
    <m/>
    <s v="Lille Værløse skole"/>
    <n v="14252"/>
    <s v="0"/>
    <s v="Bygning A"/>
    <x v="111"/>
    <x v="0"/>
    <x v="2"/>
    <n v="689.86"/>
    <n v="12"/>
    <m/>
    <n v="0"/>
    <n v="3700"/>
    <n v="0.186443"/>
    <n v="3"/>
    <x v="0"/>
    <n v="689.86"/>
    <n v="551.89"/>
    <n v="0"/>
    <s v="Byg A nr 378377"/>
    <m/>
    <n v="689.86300000000006"/>
    <n v="0"/>
    <n v="77354"/>
  </r>
  <r>
    <x v="6"/>
    <m/>
    <s v="Lille Værløse skole"/>
    <n v="14252"/>
    <s v="0"/>
    <s v="Bygning A"/>
    <x v="111"/>
    <x v="0"/>
    <x v="3"/>
    <n v="1022.21"/>
    <n v="12"/>
    <m/>
    <n v="0"/>
    <n v="3700"/>
    <n v="0.27626499999999998"/>
    <n v="3"/>
    <x v="0"/>
    <n v="1022.21"/>
    <n v="817.76"/>
    <n v="0"/>
    <s v="Byg A nr 378377"/>
    <m/>
    <n v="1022.206"/>
    <n v="0"/>
    <n v="77354"/>
  </r>
  <r>
    <x v="6"/>
    <m/>
    <s v="Lille Værløse skole"/>
    <n v="14252"/>
    <s v="0"/>
    <s v="Bygning A"/>
    <x v="111"/>
    <x v="0"/>
    <x v="4"/>
    <n v="1092.7"/>
    <n v="12"/>
    <m/>
    <n v="0"/>
    <n v="3700"/>
    <n v="0.29531600000000002"/>
    <n v="3"/>
    <x v="0"/>
    <n v="1092.7"/>
    <n v="874.15"/>
    <n v="0"/>
    <s v="Byg A nr 378377"/>
    <m/>
    <n v="1092.6808900000001"/>
    <n v="0"/>
    <n v="77354"/>
  </r>
  <r>
    <x v="6"/>
    <m/>
    <s v="Lille Værløse skole"/>
    <n v="14252"/>
    <s v="0"/>
    <s v="Bygning A"/>
    <x v="111"/>
    <x v="0"/>
    <x v="5"/>
    <n v="1748.76"/>
    <n v="12"/>
    <m/>
    <n v="0"/>
    <n v="3700"/>
    <n v="0.47262500000000002"/>
    <n v="3"/>
    <x v="0"/>
    <n v="1748.76"/>
    <n v="1399.02"/>
    <n v="0"/>
    <s v="Byg A nr 378377"/>
    <m/>
    <n v="1748.742"/>
    <n v="0"/>
    <n v="77354"/>
  </r>
  <r>
    <x v="6"/>
    <m/>
    <s v="Lille Værløse skole"/>
    <n v="14252"/>
    <s v="0"/>
    <s v="Bygning A"/>
    <x v="111"/>
    <x v="0"/>
    <x v="6"/>
    <n v="541.51"/>
    <n v="12"/>
    <m/>
    <n v="0"/>
    <n v="3700"/>
    <n v="0.14635000000000001"/>
    <n v="3"/>
    <x v="0"/>
    <n v="541.51"/>
    <n v="433.2"/>
    <n v="0"/>
    <s v="Byg A nr 378377"/>
    <m/>
    <n v="541.50300000000004"/>
    <n v="0"/>
    <n v="77354"/>
  </r>
  <r>
    <x v="6"/>
    <m/>
    <s v="Lille Værløse skole"/>
    <n v="14253"/>
    <s v="0"/>
    <s v="Bygning B+C"/>
    <x v="111"/>
    <x v="0"/>
    <x v="0"/>
    <n v="957"/>
    <n v="5"/>
    <s v="2011-08-30"/>
    <n v="0"/>
    <n v="6105"/>
    <n v="6.2979999999999994E-2"/>
    <n v="3"/>
    <x v="0"/>
    <n v="384.5"/>
    <n v="307.60000000000002"/>
    <n v="0"/>
    <s v="Byg B+C nr 40490"/>
    <m/>
    <n v="384.5"/>
    <n v="0"/>
    <n v="78672"/>
  </r>
  <r>
    <x v="6"/>
    <m/>
    <s v="Lille Værløse skole"/>
    <n v="14253"/>
    <s v="0"/>
    <s v="Bygning B+C"/>
    <x v="111"/>
    <x v="0"/>
    <x v="1"/>
    <n v="639.79999999999995"/>
    <n v="12"/>
    <s v="2011-08-30"/>
    <n v="0"/>
    <n v="6105"/>
    <n v="0.104797"/>
    <n v="3"/>
    <x v="0"/>
    <n v="639.79999999999995"/>
    <n v="511.84"/>
    <n v="0"/>
    <s v="Byg B+C nr 40490"/>
    <m/>
    <n v="639.79999999999995"/>
    <n v="0"/>
    <n v="78672"/>
  </r>
  <r>
    <x v="6"/>
    <m/>
    <s v="Lille Værløse skole"/>
    <n v="14253"/>
    <s v="0"/>
    <s v="Bygning B+C"/>
    <x v="111"/>
    <x v="0"/>
    <x v="2"/>
    <n v="1026"/>
    <n v="12"/>
    <s v="2011-08-30"/>
    <n v="0"/>
    <n v="6105"/>
    <n v="0.16805600000000001"/>
    <n v="3"/>
    <x v="0"/>
    <n v="1026"/>
    <n v="820.8"/>
    <n v="0"/>
    <s v="Byg B+C nr 40490"/>
    <m/>
    <n v="1026"/>
    <n v="0"/>
    <n v="78672"/>
  </r>
  <r>
    <x v="6"/>
    <m/>
    <s v="Lille Værløse skole"/>
    <n v="14253"/>
    <s v="0"/>
    <s v="Bygning B+C"/>
    <x v="111"/>
    <x v="0"/>
    <x v="3"/>
    <n v="1153.81"/>
    <n v="12"/>
    <s v="2011-08-30"/>
    <n v="0"/>
    <n v="6105"/>
    <n v="0.18899099999999999"/>
    <n v="3"/>
    <x v="0"/>
    <n v="1153.81"/>
    <n v="923.04"/>
    <n v="0"/>
    <s v="Byg B+C nr 40490"/>
    <m/>
    <n v="1153.80159"/>
    <n v="0"/>
    <n v="78672"/>
  </r>
  <r>
    <x v="6"/>
    <m/>
    <s v="Lille Værløse skole"/>
    <n v="14253"/>
    <s v="0"/>
    <s v="Bygning B+C"/>
    <x v="111"/>
    <x v="0"/>
    <x v="4"/>
    <n v="989.91"/>
    <n v="6"/>
    <s v="2011-08-30"/>
    <n v="0"/>
    <n v="6105"/>
    <n v="0.16214400000000001"/>
    <n v="3"/>
    <x v="0"/>
    <n v="989.91"/>
    <n v="791.91"/>
    <n v="0"/>
    <s v="Byg B+C nr 40490"/>
    <m/>
    <n v="989.90130999999997"/>
    <n v="0"/>
    <n v="78672"/>
  </r>
  <r>
    <x v="6"/>
    <m/>
    <s v="Lille Værløse skole"/>
    <n v="14253"/>
    <s v="0"/>
    <s v="Bygning B+C"/>
    <x v="111"/>
    <x v="0"/>
    <x v="5"/>
    <n v="1356.14"/>
    <n v="4"/>
    <s v="2011-08-30"/>
    <n v="0"/>
    <n v="6105"/>
    <n v="0.222132"/>
    <n v="3"/>
    <x v="0"/>
    <n v="1356.14"/>
    <n v="1084.9000000000001"/>
    <n v="0"/>
    <s v="Byg B+C nr 40490"/>
    <m/>
    <n v="1356.1442300000001"/>
    <n v="0"/>
    <n v="78672"/>
  </r>
  <r>
    <x v="6"/>
    <m/>
    <s v="Lille Værløse skole"/>
    <n v="14253"/>
    <s v="0"/>
    <s v="Bygning B+C"/>
    <x v="111"/>
    <x v="0"/>
    <x v="6"/>
    <n v="708.48"/>
    <n v="11"/>
    <s v="2011-08-30"/>
    <n v="0"/>
    <n v="6105"/>
    <n v="0.116047"/>
    <n v="3"/>
    <x v="0"/>
    <n v="708.48"/>
    <n v="566.77"/>
    <n v="0"/>
    <s v="Byg B+C nr 40490"/>
    <m/>
    <n v="708.45160999999996"/>
    <n v="0"/>
    <n v="78672"/>
  </r>
  <r>
    <x v="6"/>
    <m/>
    <s v="Lille Værløse skole"/>
    <n v="14254"/>
    <s v="0"/>
    <s v="Bygning D"/>
    <x v="111"/>
    <x v="0"/>
    <x v="0"/>
    <n v="537"/>
    <n v="5"/>
    <s v="2011-08-30"/>
    <n v="0"/>
    <n v="2840"/>
    <n v="0.107777"/>
    <n v="3"/>
    <x v="0"/>
    <n v="306.10000000000002"/>
    <n v="244.88"/>
    <n v="0"/>
    <s v="Byg D nr 40415"/>
    <m/>
    <n v="306.10000000000002"/>
    <n v="0"/>
    <n v="78673"/>
  </r>
  <r>
    <x v="6"/>
    <m/>
    <s v="Lille Værløse skole"/>
    <n v="14254"/>
    <s v="0"/>
    <s v="Bygning D"/>
    <x v="111"/>
    <x v="0"/>
    <x v="1"/>
    <n v="370"/>
    <n v="12"/>
    <s v="2011-08-30"/>
    <n v="0"/>
    <n v="2840"/>
    <n v="0.130277"/>
    <n v="3"/>
    <x v="0"/>
    <n v="370"/>
    <n v="296"/>
    <n v="0"/>
    <s v="Byg D nr 40415"/>
    <m/>
    <n v="370"/>
    <n v="0"/>
    <n v="78673"/>
  </r>
  <r>
    <x v="6"/>
    <m/>
    <s v="Lille Værløse skole"/>
    <n v="14254"/>
    <s v="0"/>
    <s v="Bygning D"/>
    <x v="111"/>
    <x v="0"/>
    <x v="2"/>
    <n v="341.7"/>
    <n v="12"/>
    <s v="2011-08-30"/>
    <n v="0"/>
    <n v="2840"/>
    <n v="0.120312"/>
    <n v="3"/>
    <x v="0"/>
    <n v="341.7"/>
    <n v="273.36"/>
    <n v="0"/>
    <s v="Byg D nr 40415"/>
    <m/>
    <n v="341.7"/>
    <n v="0"/>
    <n v="78673"/>
  </r>
  <r>
    <x v="6"/>
    <m/>
    <s v="Lille Værløse skole"/>
    <n v="14254"/>
    <s v="0"/>
    <s v="Bygning D"/>
    <x v="111"/>
    <x v="0"/>
    <x v="3"/>
    <n v="730.79"/>
    <n v="12"/>
    <s v="2011-08-30"/>
    <n v="0"/>
    <n v="2840"/>
    <n v="0.25731100000000001"/>
    <n v="3"/>
    <x v="0"/>
    <n v="730.79"/>
    <n v="584.62"/>
    <n v="0"/>
    <s v="Byg D nr 40415"/>
    <m/>
    <n v="730.77885000000003"/>
    <n v="0"/>
    <n v="78673"/>
  </r>
  <r>
    <x v="6"/>
    <m/>
    <s v="Lille Værløse skole"/>
    <n v="14254"/>
    <s v="0"/>
    <s v="Bygning D"/>
    <x v="111"/>
    <x v="0"/>
    <x v="4"/>
    <n v="905.64"/>
    <n v="5"/>
    <s v="2011-08-30"/>
    <n v="0"/>
    <n v="2840"/>
    <n v="0.31887599999999999"/>
    <n v="3"/>
    <x v="0"/>
    <n v="905.64"/>
    <n v="724.49"/>
    <n v="0"/>
    <s v="Byg D nr 40415"/>
    <m/>
    <n v="905.63401999999996"/>
    <n v="0"/>
    <n v="78673"/>
  </r>
  <r>
    <x v="6"/>
    <m/>
    <s v="Lille Værløse skole"/>
    <n v="14254"/>
    <s v="0"/>
    <s v="Bygning D"/>
    <x v="111"/>
    <x v="0"/>
    <x v="5"/>
    <n v="1291.95"/>
    <n v="4"/>
    <s v="2011-08-30"/>
    <n v="0"/>
    <n v="2840"/>
    <n v="0.45489499999999999"/>
    <n v="3"/>
    <x v="0"/>
    <n v="1291.95"/>
    <n v="1033.5899999999999"/>
    <n v="0"/>
    <s v="Byg D nr 40415"/>
    <m/>
    <n v="1291.9650799999999"/>
    <n v="0"/>
    <n v="78673"/>
  </r>
  <r>
    <x v="6"/>
    <m/>
    <s v="Lille Værløse skole"/>
    <n v="14254"/>
    <s v="0"/>
    <s v="Bygning D"/>
    <x v="111"/>
    <x v="0"/>
    <x v="6"/>
    <n v="754.98"/>
    <n v="11"/>
    <s v="2011-08-30"/>
    <n v="0"/>
    <n v="2840"/>
    <n v="0.26582800000000001"/>
    <n v="3"/>
    <x v="0"/>
    <n v="754.98"/>
    <n v="604.01"/>
    <n v="0"/>
    <s v="Byg D nr 40415"/>
    <m/>
    <n v="754.99999000000003"/>
    <n v="0"/>
    <n v="78673"/>
  </r>
  <r>
    <x v="6"/>
    <m/>
    <s v="Lillestjernen, LV 91-93"/>
    <n v="9518"/>
    <m/>
    <s v="Lillestjernen"/>
    <x v="86"/>
    <x v="0"/>
    <x v="0"/>
    <n v="440"/>
    <n v="5"/>
    <m/>
    <n v="0"/>
    <n v="2128"/>
    <n v="8.6551000000000003E-2"/>
    <n v="3"/>
    <x v="0"/>
    <n v="184.19"/>
    <n v="147.35"/>
    <n v="0"/>
    <m/>
    <m/>
    <n v="184.18299999999999"/>
    <n v="0"/>
    <n v="74429"/>
  </r>
  <r>
    <x v="6"/>
    <m/>
    <s v="Lillestjernen, LV 91-93"/>
    <n v="9518"/>
    <m/>
    <s v="Lillestjernen"/>
    <x v="86"/>
    <x v="0"/>
    <x v="1"/>
    <n v="297.25"/>
    <n v="12"/>
    <m/>
    <n v="0"/>
    <n v="2128"/>
    <n v="0.139678"/>
    <n v="3"/>
    <x v="0"/>
    <n v="297.25"/>
    <n v="237.8"/>
    <n v="0"/>
    <m/>
    <m/>
    <n v="297.24900000000002"/>
    <n v="0"/>
    <n v="74429"/>
  </r>
  <r>
    <x v="6"/>
    <m/>
    <s v="Lillestjernen, LV 91-93"/>
    <n v="9518"/>
    <m/>
    <s v="Lillestjernen"/>
    <x v="86"/>
    <x v="0"/>
    <x v="2"/>
    <n v="286.11"/>
    <n v="12"/>
    <m/>
    <n v="0"/>
    <n v="2128"/>
    <n v="0.13444300000000001"/>
    <n v="3"/>
    <x v="0"/>
    <n v="286.11"/>
    <n v="228.89"/>
    <n v="0"/>
    <m/>
    <m/>
    <n v="286.11700000000002"/>
    <n v="0"/>
    <n v="74429"/>
  </r>
  <r>
    <x v="6"/>
    <m/>
    <s v="Lillestjernen, LV 91-93"/>
    <n v="9518"/>
    <m/>
    <s v="Lillestjernen"/>
    <x v="86"/>
    <x v="0"/>
    <x v="3"/>
    <n v="301.13"/>
    <n v="12"/>
    <m/>
    <n v="0"/>
    <n v="2128"/>
    <n v="0.14150099999999999"/>
    <n v="3"/>
    <x v="0"/>
    <n v="301.13"/>
    <n v="240.9"/>
    <n v="0"/>
    <m/>
    <m/>
    <n v="301.13400000000001"/>
    <n v="0"/>
    <n v="74429"/>
  </r>
  <r>
    <x v="6"/>
    <m/>
    <s v="Lillestjernen, LV 91-93"/>
    <n v="9518"/>
    <m/>
    <s v="Lillestjernen"/>
    <x v="86"/>
    <x v="0"/>
    <x v="4"/>
    <n v="341.5"/>
    <n v="12"/>
    <m/>
    <n v="0"/>
    <n v="2128"/>
    <n v="0.160471"/>
    <n v="3"/>
    <x v="0"/>
    <n v="341.5"/>
    <n v="273.19"/>
    <n v="0"/>
    <m/>
    <m/>
    <n v="341.48500000000001"/>
    <n v="0"/>
    <n v="74429"/>
  </r>
  <r>
    <x v="6"/>
    <m/>
    <s v="Lillestjernen, LV 91-93"/>
    <n v="9518"/>
    <m/>
    <s v="Lillestjernen"/>
    <x v="86"/>
    <x v="0"/>
    <x v="5"/>
    <n v="321.75"/>
    <n v="12"/>
    <m/>
    <n v="0"/>
    <n v="2128"/>
    <n v="0.15119099999999999"/>
    <n v="3"/>
    <x v="0"/>
    <n v="321.75"/>
    <n v="257.41000000000003"/>
    <n v="0"/>
    <m/>
    <m/>
    <n v="321.75400000000002"/>
    <n v="0"/>
    <n v="74429"/>
  </r>
  <r>
    <x v="6"/>
    <m/>
    <s v="Lillestjernen, LV 91-93"/>
    <n v="9518"/>
    <m/>
    <s v="Lillestjernen"/>
    <x v="86"/>
    <x v="0"/>
    <x v="6"/>
    <n v="285.85000000000002"/>
    <n v="12"/>
    <m/>
    <n v="0"/>
    <n v="2128"/>
    <n v="0.134321"/>
    <n v="3"/>
    <x v="0"/>
    <n v="285.85000000000002"/>
    <n v="228.69"/>
    <n v="0"/>
    <m/>
    <m/>
    <n v="285.84199999999998"/>
    <n v="0"/>
    <n v="74429"/>
  </r>
  <r>
    <x v="6"/>
    <m/>
    <s v="Lillestjernen, LV 91-93"/>
    <n v="9519"/>
    <m/>
    <s v="Lillestjernen miniklub"/>
    <x v="86"/>
    <x v="0"/>
    <x v="0"/>
    <n v="161"/>
    <n v="5"/>
    <m/>
    <n v="0"/>
    <n v="353"/>
    <n v="0.20305799999999999"/>
    <n v="3"/>
    <x v="0"/>
    <n v="71.7"/>
    <n v="57.34"/>
    <n v="0"/>
    <m/>
    <m/>
    <n v="71.69"/>
    <n v="0"/>
    <n v="74432"/>
  </r>
  <r>
    <x v="6"/>
    <m/>
    <s v="Lillestjernen, LV 91-93"/>
    <n v="9519"/>
    <m/>
    <s v="Lillestjernen miniklub"/>
    <x v="86"/>
    <x v="0"/>
    <x v="1"/>
    <n v="155.94999999999999"/>
    <n v="12"/>
    <m/>
    <n v="0"/>
    <n v="353"/>
    <n v="0.44165900000000002"/>
    <n v="3"/>
    <x v="0"/>
    <n v="155.94999999999999"/>
    <n v="124.78"/>
    <n v="0"/>
    <m/>
    <m/>
    <n v="155.95400000000001"/>
    <n v="0"/>
    <n v="74432"/>
  </r>
  <r>
    <x v="6"/>
    <m/>
    <s v="Lillestjernen, LV 91-93"/>
    <n v="9519"/>
    <m/>
    <s v="Lillestjernen miniklub"/>
    <x v="86"/>
    <x v="0"/>
    <x v="2"/>
    <n v="271.42"/>
    <n v="12"/>
    <m/>
    <n v="0"/>
    <n v="353"/>
    <n v="0.76867700000000005"/>
    <n v="3"/>
    <x v="0"/>
    <n v="271.42"/>
    <n v="217.14"/>
    <n v="0"/>
    <m/>
    <m/>
    <n v="271.43"/>
    <n v="0"/>
    <n v="74432"/>
  </r>
  <r>
    <x v="6"/>
    <m/>
    <s v="Lillestjernen, LV 91-93"/>
    <n v="9519"/>
    <m/>
    <s v="Lillestjernen miniklub"/>
    <x v="86"/>
    <x v="0"/>
    <x v="3"/>
    <n v="221.53"/>
    <n v="12"/>
    <m/>
    <n v="0"/>
    <n v="353"/>
    <n v="0.627386"/>
    <n v="3"/>
    <x v="0"/>
    <n v="221.53"/>
    <n v="177.24"/>
    <n v="0"/>
    <m/>
    <m/>
    <n v="221.55"/>
    <n v="0"/>
    <n v="74432"/>
  </r>
  <r>
    <x v="6"/>
    <m/>
    <s v="Lillestjernen, LV 91-93"/>
    <n v="9519"/>
    <m/>
    <s v="Lillestjernen miniklub"/>
    <x v="86"/>
    <x v="0"/>
    <x v="4"/>
    <n v="184.39"/>
    <n v="12"/>
    <m/>
    <n v="0"/>
    <n v="353"/>
    <n v="0.52220299999999997"/>
    <n v="3"/>
    <x v="0"/>
    <n v="184.39"/>
    <n v="147.51"/>
    <n v="0"/>
    <m/>
    <m/>
    <n v="184.40299999999999"/>
    <n v="0"/>
    <n v="74432"/>
  </r>
  <r>
    <x v="6"/>
    <m/>
    <s v="Lillestjernen, LV 91-93"/>
    <n v="9519"/>
    <m/>
    <s v="Lillestjernen miniklub"/>
    <x v="86"/>
    <x v="0"/>
    <x v="5"/>
    <n v="212.17"/>
    <n v="12"/>
    <m/>
    <n v="0"/>
    <n v="353"/>
    <n v="0.60087699999999999"/>
    <n v="3"/>
    <x v="0"/>
    <n v="212.17"/>
    <n v="169.76"/>
    <n v="0"/>
    <m/>
    <m/>
    <n v="212.18"/>
    <n v="0"/>
    <n v="74432"/>
  </r>
  <r>
    <x v="6"/>
    <m/>
    <s v="Lillestjernen, LV 91-93"/>
    <n v="9519"/>
    <m/>
    <s v="Lillestjernen miniklub"/>
    <x v="86"/>
    <x v="0"/>
    <x v="6"/>
    <n v="242.93"/>
    <n v="12"/>
    <m/>
    <n v="0"/>
    <n v="353"/>
    <n v="0.68799200000000005"/>
    <n v="3"/>
    <x v="0"/>
    <n v="242.93"/>
    <n v="194.34"/>
    <n v="0"/>
    <m/>
    <m/>
    <n v="242.93199999999999"/>
    <n v="0"/>
    <n v="74432"/>
  </r>
  <r>
    <x v="6"/>
    <s v="5756"/>
    <s v="Lyngholmskolen, Hvile 1"/>
    <n v="5480"/>
    <m/>
    <s v="Bimåler"/>
    <x v="112"/>
    <x v="1"/>
    <x v="0"/>
    <n v="36.08"/>
    <n v="5"/>
    <s v="2005-07-01"/>
    <n v="0"/>
    <n v="0"/>
    <n v="360.8"/>
    <n v="3"/>
    <x v="0"/>
    <n v="36.08"/>
    <n v="28.87"/>
    <n v="1"/>
    <s v="BV01"/>
    <m/>
    <n v="36.085000000000001"/>
    <n v="0"/>
    <n v="57940"/>
  </r>
  <r>
    <x v="6"/>
    <s v="5756"/>
    <s v="Lyngholmskolen, Hvile 1"/>
    <n v="5480"/>
    <m/>
    <s v="Bimåler"/>
    <x v="112"/>
    <x v="1"/>
    <x v="1"/>
    <n v="242.06"/>
    <n v="12"/>
    <s v="2005-07-01"/>
    <n v="0"/>
    <n v="0"/>
    <n v="2420.6"/>
    <n v="3"/>
    <x v="0"/>
    <n v="242.06"/>
    <n v="193.64"/>
    <n v="1"/>
    <s v="BV01"/>
    <m/>
    <n v="242.054"/>
    <n v="0"/>
    <n v="57940"/>
  </r>
  <r>
    <x v="6"/>
    <s v="5756"/>
    <s v="Lyngholmskolen, Hvile 1"/>
    <n v="5480"/>
    <m/>
    <s v="Bimåler"/>
    <x v="112"/>
    <x v="1"/>
    <x v="2"/>
    <n v="274.8"/>
    <n v="12"/>
    <s v="2005-07-01"/>
    <n v="0"/>
    <n v="0"/>
    <n v="2748"/>
    <n v="3"/>
    <x v="0"/>
    <n v="274.8"/>
    <n v="219.86"/>
    <n v="1"/>
    <s v="BV01"/>
    <m/>
    <n v="274.822"/>
    <n v="0"/>
    <n v="57940"/>
  </r>
  <r>
    <x v="6"/>
    <s v="5756"/>
    <s v="Lyngholmskolen, Hvile 1"/>
    <n v="5480"/>
    <m/>
    <s v="Bimåler"/>
    <x v="112"/>
    <x v="1"/>
    <x v="3"/>
    <n v="266.54000000000002"/>
    <n v="12"/>
    <s v="2005-07-01"/>
    <n v="0"/>
    <n v="0"/>
    <n v="2665.4"/>
    <n v="3"/>
    <x v="0"/>
    <n v="266.54000000000002"/>
    <n v="213.23"/>
    <n v="1"/>
    <s v="BV01"/>
    <m/>
    <n v="266.54300000000001"/>
    <n v="0"/>
    <n v="57940"/>
  </r>
  <r>
    <x v="6"/>
    <s v="5756"/>
    <s v="Lyngholmskolen, Hvile 1"/>
    <n v="5480"/>
    <m/>
    <s v="Bimåler"/>
    <x v="112"/>
    <x v="1"/>
    <x v="4"/>
    <n v="290.62"/>
    <n v="12"/>
    <s v="2005-07-01"/>
    <n v="0"/>
    <n v="0"/>
    <n v="2906.2"/>
    <n v="3"/>
    <x v="0"/>
    <n v="290.62"/>
    <n v="232.48"/>
    <n v="1"/>
    <s v="BV01"/>
    <m/>
    <n v="290.608"/>
    <n v="0"/>
    <n v="57940"/>
  </r>
  <r>
    <x v="6"/>
    <s v="5756"/>
    <s v="Lyngholmskolen, Hvile 1"/>
    <n v="5480"/>
    <m/>
    <s v="Bimåler"/>
    <x v="112"/>
    <x v="1"/>
    <x v="5"/>
    <n v="277.94"/>
    <n v="12"/>
    <s v="2005-07-01"/>
    <n v="0"/>
    <n v="0"/>
    <n v="2779.4"/>
    <n v="3"/>
    <x v="0"/>
    <n v="277.94"/>
    <n v="222.35"/>
    <n v="1"/>
    <s v="BV01"/>
    <m/>
    <n v="277.93299999999999"/>
    <n v="0"/>
    <n v="57940"/>
  </r>
  <r>
    <x v="6"/>
    <s v="5756"/>
    <s v="Lyngholmskolen, Hvile 1"/>
    <n v="5480"/>
    <m/>
    <s v="Bimåler"/>
    <x v="112"/>
    <x v="1"/>
    <x v="6"/>
    <n v="298.05"/>
    <n v="12"/>
    <s v="2005-07-01"/>
    <n v="0"/>
    <n v="0"/>
    <n v="2980.5"/>
    <n v="3"/>
    <x v="0"/>
    <n v="298.05"/>
    <n v="238.45"/>
    <n v="1"/>
    <s v="BV01"/>
    <m/>
    <n v="298.03800000000001"/>
    <n v="0"/>
    <n v="57940"/>
  </r>
  <r>
    <x v="6"/>
    <s v="5756"/>
    <s v="Lyngholmskolen, Hvile 1"/>
    <n v="5481"/>
    <m/>
    <s v="Lyngholmskolen Diamanten"/>
    <x v="112"/>
    <x v="0"/>
    <x v="0"/>
    <n v="0"/>
    <n v="5"/>
    <s v="2005-07-01"/>
    <n v="0"/>
    <n v="1273"/>
    <n v="1.2716E-2"/>
    <n v="3"/>
    <x v="0"/>
    <n v="16.190000000000001"/>
    <n v="12.94"/>
    <n v="1"/>
    <s v="BV"/>
    <m/>
    <n v="16.18"/>
    <n v="0"/>
    <n v="57946"/>
  </r>
  <r>
    <x v="6"/>
    <s v="5756"/>
    <s v="Lyngholmskolen, Hvile 1"/>
    <n v="5481"/>
    <m/>
    <s v="Lyngholmskolen Diamanten"/>
    <x v="112"/>
    <x v="0"/>
    <x v="1"/>
    <n v="26.1"/>
    <n v="12"/>
    <s v="2005-07-01"/>
    <n v="0"/>
    <n v="1273"/>
    <n v="2.0500999999999998E-2"/>
    <n v="3"/>
    <x v="0"/>
    <n v="26.1"/>
    <n v="20.86"/>
    <n v="1"/>
    <s v="BV"/>
    <m/>
    <n v="26.091000000000001"/>
    <n v="0"/>
    <n v="57946"/>
  </r>
  <r>
    <x v="6"/>
    <s v="5756"/>
    <s v="Lyngholmskolen, Hvile 1"/>
    <n v="5481"/>
    <m/>
    <s v="Lyngholmskolen Diamanten"/>
    <x v="112"/>
    <x v="0"/>
    <x v="2"/>
    <n v="42.41"/>
    <n v="12"/>
    <s v="2005-07-01"/>
    <n v="0"/>
    <n v="1273"/>
    <n v="3.3312000000000001E-2"/>
    <n v="3"/>
    <x v="0"/>
    <n v="42.41"/>
    <n v="33.92"/>
    <n v="1"/>
    <s v="BV"/>
    <m/>
    <n v="42.399000000000001"/>
    <n v="0"/>
    <n v="57946"/>
  </r>
  <r>
    <x v="6"/>
    <s v="5756"/>
    <s v="Lyngholmskolen, Hvile 1"/>
    <n v="5481"/>
    <m/>
    <s v="Lyngholmskolen Diamanten"/>
    <x v="112"/>
    <x v="0"/>
    <x v="3"/>
    <n v="45.99"/>
    <n v="12"/>
    <s v="2005-07-01"/>
    <n v="0"/>
    <n v="1273"/>
    <n v="3.6124000000000003E-2"/>
    <n v="3"/>
    <x v="0"/>
    <n v="45.99"/>
    <n v="36.799999999999997"/>
    <n v="1"/>
    <s v="BV"/>
    <m/>
    <n v="46.018000000000001"/>
    <n v="0"/>
    <n v="57946"/>
  </r>
  <r>
    <x v="6"/>
    <s v="5756"/>
    <s v="Lyngholmskolen, Hvile 1"/>
    <n v="5481"/>
    <m/>
    <s v="Lyngholmskolen Diamanten"/>
    <x v="112"/>
    <x v="0"/>
    <x v="4"/>
    <n v="55.83"/>
    <n v="12"/>
    <s v="2005-07-01"/>
    <n v="0"/>
    <n v="1273"/>
    <n v="4.3853000000000003E-2"/>
    <n v="3"/>
    <x v="0"/>
    <n v="55.83"/>
    <n v="44.65"/>
    <n v="1"/>
    <s v="BV"/>
    <m/>
    <n v="55.829000000000001"/>
    <n v="0"/>
    <n v="57946"/>
  </r>
  <r>
    <x v="6"/>
    <s v="5756"/>
    <s v="Lyngholmskolen, Hvile 1"/>
    <n v="5481"/>
    <m/>
    <s v="Lyngholmskolen Diamanten"/>
    <x v="112"/>
    <x v="0"/>
    <x v="5"/>
    <n v="111.03"/>
    <n v="12"/>
    <s v="2005-07-01"/>
    <n v="0"/>
    <n v="1273"/>
    <n v="8.7211999999999998E-2"/>
    <n v="3"/>
    <x v="0"/>
    <n v="111.03"/>
    <n v="88.85"/>
    <n v="1"/>
    <s v="BV"/>
    <m/>
    <n v="111.059"/>
    <n v="0"/>
    <n v="57946"/>
  </r>
  <r>
    <x v="6"/>
    <s v="5756"/>
    <s v="Lyngholmskolen, Hvile 1"/>
    <n v="5481"/>
    <m/>
    <s v="Lyngholmskolen Diamanten"/>
    <x v="112"/>
    <x v="0"/>
    <x v="6"/>
    <n v="114.9"/>
    <n v="12"/>
    <s v="2005-07-01"/>
    <n v="0"/>
    <n v="1273"/>
    <n v="9.0251999999999999E-2"/>
    <n v="3"/>
    <x v="0"/>
    <n v="114.9"/>
    <n v="91.95"/>
    <n v="1"/>
    <s v="BV"/>
    <m/>
    <n v="114.905"/>
    <n v="0"/>
    <n v="57946"/>
  </r>
  <r>
    <x v="6"/>
    <s v="5756"/>
    <s v="Lyngholmskolen, Hvile 1"/>
    <n v="5479"/>
    <m/>
    <s v="Lyngholmskolenskolen"/>
    <x v="112"/>
    <x v="0"/>
    <x v="0"/>
    <n v="1335"/>
    <n v="5"/>
    <s v="2005-07-01"/>
    <n v="0"/>
    <n v="6089"/>
    <n v="0.13986399999999999"/>
    <n v="3"/>
    <x v="0"/>
    <n v="851.65"/>
    <n v="681.32"/>
    <n v="0"/>
    <s v="10012214 aut"/>
    <m/>
    <n v="851.66"/>
    <n v="0"/>
    <n v="57933"/>
  </r>
  <r>
    <x v="6"/>
    <s v="5756"/>
    <s v="Lyngholmskolen, Hvile 1"/>
    <n v="5479"/>
    <m/>
    <s v="Lyngholmskolenskolen"/>
    <x v="112"/>
    <x v="0"/>
    <x v="1"/>
    <n v="1104.99"/>
    <n v="12"/>
    <s v="2005-07-01"/>
    <n v="0"/>
    <n v="6089"/>
    <n v="0.18146999999999999"/>
    <n v="3"/>
    <x v="0"/>
    <n v="1104.99"/>
    <n v="883.99"/>
    <n v="0"/>
    <s v="10012214 aut"/>
    <m/>
    <n v="1104.9939999999999"/>
    <n v="0"/>
    <n v="57933"/>
  </r>
  <r>
    <x v="6"/>
    <s v="5756"/>
    <s v="Lyngholmskolen, Hvile 1"/>
    <n v="5479"/>
    <m/>
    <s v="Lyngholmskolenskolen"/>
    <x v="112"/>
    <x v="0"/>
    <x v="2"/>
    <n v="1240.31"/>
    <n v="12"/>
    <s v="2005-07-01"/>
    <n v="0"/>
    <n v="6089"/>
    <n v="0.20369300000000001"/>
    <n v="3"/>
    <x v="0"/>
    <n v="1240.31"/>
    <n v="992.23"/>
    <n v="0"/>
    <s v="10012214 aut"/>
    <m/>
    <n v="1240.2940000000001"/>
    <n v="0"/>
    <n v="57933"/>
  </r>
  <r>
    <x v="6"/>
    <s v="5756"/>
    <s v="Lyngholmskolen, Hvile 1"/>
    <n v="5479"/>
    <m/>
    <s v="Lyngholmskolenskolen"/>
    <x v="112"/>
    <x v="0"/>
    <x v="3"/>
    <n v="1247.25"/>
    <n v="12"/>
    <s v="2005-07-01"/>
    <n v="0"/>
    <n v="6089"/>
    <n v="0.20483299999999999"/>
    <n v="3"/>
    <x v="0"/>
    <n v="1247.25"/>
    <n v="997.8"/>
    <n v="0"/>
    <s v="10012214 aut"/>
    <m/>
    <n v="1247.2449999999999"/>
    <n v="0"/>
    <n v="57933"/>
  </r>
  <r>
    <x v="6"/>
    <s v="5756"/>
    <s v="Lyngholmskolen, Hvile 1"/>
    <n v="5479"/>
    <m/>
    <s v="Lyngholmskolenskolen"/>
    <x v="112"/>
    <x v="0"/>
    <x v="4"/>
    <n v="1429.95"/>
    <n v="12"/>
    <s v="2005-07-01"/>
    <n v="0"/>
    <n v="6089"/>
    <n v="0.23483699999999999"/>
    <n v="3"/>
    <x v="0"/>
    <n v="1429.95"/>
    <n v="1144.01"/>
    <n v="0"/>
    <s v="10012214 aut"/>
    <m/>
    <n v="1429.9690000000001"/>
    <n v="0"/>
    <n v="57933"/>
  </r>
  <r>
    <x v="6"/>
    <s v="5756"/>
    <s v="Lyngholmskolen, Hvile 1"/>
    <n v="5479"/>
    <m/>
    <s v="Lyngholmskolenskolen"/>
    <x v="112"/>
    <x v="0"/>
    <x v="5"/>
    <n v="1309.67"/>
    <n v="12"/>
    <s v="2005-07-01"/>
    <n v="0"/>
    <n v="6089"/>
    <n v="0.215084"/>
    <n v="3"/>
    <x v="0"/>
    <n v="1309.67"/>
    <n v="1047.75"/>
    <n v="0"/>
    <s v="10012214 aut"/>
    <m/>
    <n v="1309.6790000000001"/>
    <n v="0"/>
    <n v="57933"/>
  </r>
  <r>
    <x v="6"/>
    <s v="5756"/>
    <s v="Lyngholmskolen, Hvile 1"/>
    <n v="5479"/>
    <m/>
    <s v="Lyngholmskolenskolen"/>
    <x v="112"/>
    <x v="0"/>
    <x v="6"/>
    <n v="1042.7"/>
    <n v="12"/>
    <s v="2005-07-01"/>
    <n v="0"/>
    <n v="6089"/>
    <n v="0.17124"/>
    <n v="3"/>
    <x v="0"/>
    <n v="1042.7"/>
    <n v="834.16"/>
    <n v="0"/>
    <s v="10012214 aut"/>
    <m/>
    <n v="1042.7"/>
    <n v="0"/>
    <n v="57933"/>
  </r>
  <r>
    <x v="6"/>
    <m/>
    <s v="Solhøjskolen KV52"/>
    <n v="10161"/>
    <m/>
    <s v="Solhøjskolen"/>
    <x v="113"/>
    <x v="0"/>
    <x v="0"/>
    <n v="66"/>
    <n v="5"/>
    <m/>
    <n v="0"/>
    <n v="265"/>
    <m/>
    <n v="3"/>
    <x v="8"/>
    <m/>
    <n v="0"/>
    <n v="0"/>
    <s v="00AA389720"/>
    <m/>
    <n v="29761"/>
    <n v="0"/>
    <n v="92156"/>
  </r>
  <r>
    <x v="6"/>
    <m/>
    <s v="Solhøjskolen KV52"/>
    <n v="10161"/>
    <m/>
    <s v="Solhøjskolen"/>
    <x v="113"/>
    <x v="0"/>
    <x v="1"/>
    <n v="49.9"/>
    <n v="12"/>
    <m/>
    <n v="0"/>
    <n v="265"/>
    <n v="0.18823000000000001"/>
    <n v="3"/>
    <x v="8"/>
    <n v="49.9"/>
    <n v="0"/>
    <n v="0"/>
    <s v="00AA389720"/>
    <m/>
    <n v="49898"/>
    <n v="0"/>
    <n v="92156"/>
  </r>
  <r>
    <x v="6"/>
    <m/>
    <s v="Solhøjskolen KV52"/>
    <n v="10161"/>
    <m/>
    <s v="Solhøjskolen"/>
    <x v="113"/>
    <x v="0"/>
    <x v="2"/>
    <n v="39.81"/>
    <n v="12"/>
    <m/>
    <n v="0"/>
    <n v="265"/>
    <n v="0.150169"/>
    <n v="3"/>
    <x v="8"/>
    <n v="39.81"/>
    <n v="0"/>
    <n v="0"/>
    <s v="00AA389720"/>
    <m/>
    <n v="39799"/>
    <n v="0"/>
    <n v="92156"/>
  </r>
  <r>
    <x v="6"/>
    <m/>
    <s v="Solhøjskolen KV52"/>
    <n v="10161"/>
    <m/>
    <s v="Solhøjskolen"/>
    <x v="113"/>
    <x v="0"/>
    <x v="3"/>
    <n v="2.54"/>
    <n v="1"/>
    <m/>
    <n v="0"/>
    <n v="265"/>
    <n v="9.5809999999999992E-3"/>
    <n v="3"/>
    <x v="8"/>
    <n v="2.54"/>
    <n v="0"/>
    <n v="0"/>
    <s v="00AA389720"/>
    <m/>
    <n v="2543"/>
    <n v="0"/>
    <n v="92156"/>
  </r>
  <r>
    <x v="6"/>
    <m/>
    <s v="Solhøjskolen KV52"/>
    <n v="10161"/>
    <m/>
    <s v="Solhøjskolen"/>
    <x v="113"/>
    <x v="0"/>
    <x v="3"/>
    <n v="98.71"/>
    <n v="1"/>
    <s v="2011-11-30"/>
    <n v="0"/>
    <n v="265"/>
    <n v="0.37235000000000001"/>
    <n v="3"/>
    <x v="0"/>
    <n v="98.71"/>
    <n v="78.95"/>
    <n v="0"/>
    <s v="Afmeldt"/>
    <m/>
    <n v="98.703590000000005"/>
    <n v="0"/>
    <n v="77143"/>
  </r>
  <r>
    <x v="6"/>
    <m/>
    <s v="Solhøjskolen KV52"/>
    <n v="10161"/>
    <m/>
    <s v="Solhøjskolen"/>
    <x v="113"/>
    <x v="0"/>
    <x v="4"/>
    <n v="102.38"/>
    <n v="1"/>
    <s v="2011-11-30"/>
    <n v="0"/>
    <n v="265"/>
    <n v="0.38619300000000001"/>
    <n v="3"/>
    <x v="0"/>
    <n v="102.38"/>
    <n v="81.89"/>
    <n v="0"/>
    <s v="Afmeldt"/>
    <m/>
    <n v="102.38283"/>
    <n v="0"/>
    <n v="77143"/>
  </r>
  <r>
    <x v="6"/>
    <m/>
    <s v="Solhøjskolen KV52"/>
    <n v="10161"/>
    <m/>
    <s v="Solhøjskolen"/>
    <x v="113"/>
    <x v="0"/>
    <x v="5"/>
    <n v="34.97"/>
    <n v="4"/>
    <s v="2011-11-30"/>
    <n v="0"/>
    <n v="265"/>
    <n v="0.131912"/>
    <n v="3"/>
    <x v="0"/>
    <n v="34.97"/>
    <n v="27.98"/>
    <n v="0"/>
    <s v="Afmeldt"/>
    <m/>
    <n v="34.970709999999997"/>
    <n v="0"/>
    <n v="77143"/>
  </r>
  <r>
    <x v="6"/>
    <m/>
    <s v="Solhøjskolen KV52"/>
    <n v="10161"/>
    <m/>
    <s v="Solhøjskolen"/>
    <x v="113"/>
    <x v="0"/>
    <x v="6"/>
    <n v="265.22000000000003"/>
    <n v="6"/>
    <s v="2011-11-30"/>
    <n v="0"/>
    <n v="265"/>
    <n v="1.0004519999999999"/>
    <n v="3"/>
    <x v="0"/>
    <n v="265.22000000000003"/>
    <n v="212.17"/>
    <n v="0"/>
    <s v="Afmeldt"/>
    <m/>
    <n v="265.22856999999999"/>
    <n v="0"/>
    <n v="77143"/>
  </r>
  <r>
    <x v="6"/>
    <s v="02576-3"/>
    <s v="Solvangskolen Pedelbolig, Nord 60"/>
    <n v="6369"/>
    <m/>
    <s v="Solvangskolen Pedelbolig"/>
    <x v="52"/>
    <x v="0"/>
    <x v="0"/>
    <n v="12"/>
    <n v="5"/>
    <s v="2011-12-31"/>
    <n v="0"/>
    <n v="110"/>
    <n v="6.0581000000000003E-2"/>
    <n v="3"/>
    <x v="0"/>
    <n v="6.67"/>
    <n v="5.33"/>
    <n v="0"/>
    <s v="98393075"/>
    <m/>
    <n v="6.6669999999999998"/>
    <n v="0"/>
    <n v="62720"/>
  </r>
  <r>
    <x v="6"/>
    <s v="02576-3"/>
    <s v="Solvangskolen Pedelbolig, Nord 60"/>
    <n v="6369"/>
    <m/>
    <s v="Solvangskolen Pedelbolig"/>
    <x v="52"/>
    <x v="0"/>
    <x v="1"/>
    <n v="19.36"/>
    <n v="12"/>
    <s v="2011-12-31"/>
    <n v="0"/>
    <n v="110"/>
    <n v="0.17584"/>
    <n v="3"/>
    <x v="0"/>
    <n v="19.36"/>
    <n v="15.47"/>
    <n v="0"/>
    <s v="98393075"/>
    <m/>
    <n v="19.332999999999998"/>
    <n v="0"/>
    <n v="62720"/>
  </r>
  <r>
    <x v="6"/>
    <s v="02576-3"/>
    <s v="Solvangskolen Pedelbolig, Nord 60"/>
    <n v="6369"/>
    <m/>
    <s v="Solvangskolen Pedelbolig"/>
    <x v="52"/>
    <x v="0"/>
    <x v="2"/>
    <n v="11.65"/>
    <n v="12"/>
    <s v="2011-12-31"/>
    <n v="0"/>
    <n v="110"/>
    <n v="0.105812"/>
    <n v="3"/>
    <x v="0"/>
    <n v="11.65"/>
    <n v="9.33"/>
    <n v="0"/>
    <s v="98393075"/>
    <m/>
    <n v="11.656000000000001"/>
    <n v="0"/>
    <n v="62720"/>
  </r>
  <r>
    <x v="6"/>
    <s v="02576-3"/>
    <s v="Solvangskolen Pedelbolig, Nord 60"/>
    <n v="6369"/>
    <m/>
    <s v="Solvangskolen Pedelbolig"/>
    <x v="52"/>
    <x v="0"/>
    <x v="3"/>
    <n v="13.88"/>
    <n v="5"/>
    <s v="2011-12-31"/>
    <n v="0"/>
    <n v="110"/>
    <n v="0.12606700000000001"/>
    <n v="3"/>
    <x v="0"/>
    <n v="13.88"/>
    <n v="11.1"/>
    <n v="0"/>
    <s v="98393075"/>
    <m/>
    <n v="13.8718"/>
    <n v="0"/>
    <n v="62720"/>
  </r>
  <r>
    <x v="6"/>
    <s v="02576-3"/>
    <s v="Solvangskolen Pedelbolig, Nord 60"/>
    <n v="6369"/>
    <m/>
    <s v="Solvangskolen Pedelbolig"/>
    <x v="52"/>
    <x v="0"/>
    <x v="4"/>
    <n v="6.14"/>
    <n v="3"/>
    <s v="2011-12-31"/>
    <n v="0"/>
    <n v="110"/>
    <n v="5.5766999999999997E-2"/>
    <n v="3"/>
    <x v="0"/>
    <n v="6.14"/>
    <n v="4.8899999999999997"/>
    <n v="0"/>
    <s v="98393075"/>
    <m/>
    <n v="6.1281999999999996"/>
    <n v="0"/>
    <n v="62720"/>
  </r>
  <r>
    <x v="6"/>
    <s v="02576-3"/>
    <s v="Solvangskolen Pedelbolig, Nord 60"/>
    <n v="6369"/>
    <m/>
    <s v="Solvangskolen Pedelbolig"/>
    <x v="52"/>
    <x v="0"/>
    <x v="5"/>
    <n v="54"/>
    <n v="3"/>
    <s v="2011-12-31"/>
    <n v="0"/>
    <n v="110"/>
    <n v="0.49046299999999998"/>
    <n v="3"/>
    <x v="0"/>
    <n v="54"/>
    <n v="43.2"/>
    <n v="0"/>
    <s v="98393075"/>
    <m/>
    <n v="54"/>
    <n v="0"/>
    <n v="62720"/>
  </r>
  <r>
    <x v="6"/>
    <s v="02576-3"/>
    <s v="Solvangskolen Pedelbolig, Nord 60"/>
    <n v="6369"/>
    <m/>
    <s v="Solvangskolen Pedelbolig"/>
    <x v="52"/>
    <x v="0"/>
    <x v="6"/>
    <n v="13.25"/>
    <n v="10"/>
    <s v="2011-12-31"/>
    <n v="0"/>
    <n v="110"/>
    <n v="0.12034499999999999"/>
    <n v="3"/>
    <x v="0"/>
    <n v="13.25"/>
    <n v="10.6"/>
    <n v="0"/>
    <s v="98393075"/>
    <m/>
    <n v="13.24999"/>
    <n v="0"/>
    <n v="62720"/>
  </r>
  <r>
    <x v="6"/>
    <s v="02576-3"/>
    <s v="Solvangskolen, Nord 58"/>
    <n v="5474"/>
    <m/>
    <s v="Solvangskolen"/>
    <x v="52"/>
    <x v="0"/>
    <x v="0"/>
    <n v="1619"/>
    <n v="5"/>
    <s v="2005-06-01"/>
    <n v="0"/>
    <n v="10600"/>
    <n v="6.9767999999999997E-2"/>
    <n v="3"/>
    <x v="0"/>
    <n v="739.55"/>
    <n v="591.64"/>
    <n v="0"/>
    <s v="BK 1012217"/>
    <m/>
    <n v="739.55"/>
    <n v="0"/>
    <n v="57911"/>
  </r>
  <r>
    <x v="6"/>
    <s v="02576-3"/>
    <s v="Solvangskolen, Nord 58"/>
    <n v="5474"/>
    <m/>
    <s v="Solvangskolen"/>
    <x v="52"/>
    <x v="0"/>
    <x v="0"/>
    <n v="0"/>
    <n v="5"/>
    <s v="2005-07-01"/>
    <n v="0"/>
    <n v="10600"/>
    <n v="1.2253E-2"/>
    <n v="3"/>
    <x v="0"/>
    <n v="129.88999999999999"/>
    <n v="0"/>
    <n v="1"/>
    <s v="Varmt vand"/>
    <m/>
    <n v="129.88999999999999"/>
    <n v="0"/>
    <n v="58235"/>
  </r>
  <r>
    <x v="6"/>
    <s v="02576-3"/>
    <s v="Solvangskolen, Nord 58"/>
    <n v="5474"/>
    <m/>
    <s v="Solvangskolen"/>
    <x v="52"/>
    <x v="0"/>
    <x v="1"/>
    <n v="1351.56"/>
    <n v="12"/>
    <s v="2005-06-01"/>
    <n v="0"/>
    <n v="10600"/>
    <n v="0.12750400000000001"/>
    <n v="3"/>
    <x v="0"/>
    <n v="1351.56"/>
    <n v="1081.25"/>
    <n v="0"/>
    <s v="BK 1012217"/>
    <m/>
    <n v="1351.56"/>
    <n v="0"/>
    <n v="57911"/>
  </r>
  <r>
    <x v="6"/>
    <s v="02576-3"/>
    <s v="Solvangskolen, Nord 58"/>
    <n v="5474"/>
    <m/>
    <s v="Solvangskolen"/>
    <x v="52"/>
    <x v="0"/>
    <x v="1"/>
    <n v="294.49"/>
    <n v="12"/>
    <s v="2005-07-01"/>
    <n v="0"/>
    <n v="10600"/>
    <n v="2.7781E-2"/>
    <n v="3"/>
    <x v="0"/>
    <n v="294.49"/>
    <n v="0"/>
    <n v="1"/>
    <s v="Varmt vand"/>
    <m/>
    <n v="294.49"/>
    <n v="0"/>
    <n v="58235"/>
  </r>
  <r>
    <x v="6"/>
    <s v="02576-3"/>
    <s v="Solvangskolen, Nord 58"/>
    <n v="5474"/>
    <m/>
    <s v="Solvangskolen"/>
    <x v="52"/>
    <x v="0"/>
    <x v="2"/>
    <n v="1352.45"/>
    <n v="12"/>
    <s v="2005-06-01"/>
    <n v="0"/>
    <n v="10600"/>
    <n v="0.12758800000000001"/>
    <n v="3"/>
    <x v="0"/>
    <n v="1352.45"/>
    <n v="1081.96"/>
    <n v="0"/>
    <s v="BK 1012217"/>
    <m/>
    <n v="1352.45"/>
    <n v="0"/>
    <n v="57911"/>
  </r>
  <r>
    <x v="6"/>
    <s v="02576-3"/>
    <s v="Solvangskolen, Nord 58"/>
    <n v="5474"/>
    <m/>
    <s v="Solvangskolen"/>
    <x v="52"/>
    <x v="0"/>
    <x v="2"/>
    <n v="286.47000000000003"/>
    <n v="12"/>
    <s v="2005-07-01"/>
    <n v="0"/>
    <n v="10600"/>
    <n v="2.7025E-2"/>
    <n v="3"/>
    <x v="0"/>
    <n v="286.47000000000003"/>
    <n v="0"/>
    <n v="1"/>
    <s v="Varmt vand"/>
    <m/>
    <n v="286.47000000000003"/>
    <n v="0"/>
    <n v="58235"/>
  </r>
  <r>
    <x v="6"/>
    <s v="02576-3"/>
    <s v="Solvangskolen, Nord 58"/>
    <n v="5474"/>
    <m/>
    <s v="Solvangskolen"/>
    <x v="52"/>
    <x v="0"/>
    <x v="3"/>
    <n v="1339.23"/>
    <n v="12"/>
    <s v="2005-06-01"/>
    <n v="0"/>
    <n v="10600"/>
    <n v="0.12634100000000001"/>
    <n v="3"/>
    <x v="0"/>
    <n v="1339.23"/>
    <n v="1071.3800000000001"/>
    <n v="0"/>
    <s v="BK 1012217"/>
    <m/>
    <n v="1339.23"/>
    <n v="0"/>
    <n v="57911"/>
  </r>
  <r>
    <x v="6"/>
    <s v="02576-3"/>
    <s v="Solvangskolen, Nord 58"/>
    <n v="5474"/>
    <m/>
    <s v="Solvangskolen"/>
    <x v="52"/>
    <x v="0"/>
    <x v="3"/>
    <n v="286.44"/>
    <n v="12"/>
    <s v="2005-07-01"/>
    <n v="0"/>
    <n v="10600"/>
    <n v="2.7022000000000001E-2"/>
    <n v="3"/>
    <x v="0"/>
    <n v="286.44"/>
    <n v="0"/>
    <n v="1"/>
    <s v="Varmt vand"/>
    <m/>
    <n v="286.44"/>
    <n v="0"/>
    <n v="58235"/>
  </r>
  <r>
    <x v="6"/>
    <s v="02576-3"/>
    <s v="Solvangskolen, Nord 58"/>
    <n v="5474"/>
    <m/>
    <s v="Solvangskolen"/>
    <x v="52"/>
    <x v="0"/>
    <x v="4"/>
    <n v="1400.89"/>
    <n v="12"/>
    <s v="2005-06-01"/>
    <n v="0"/>
    <n v="10600"/>
    <n v="0.132158"/>
    <n v="3"/>
    <x v="0"/>
    <n v="1400.89"/>
    <n v="1120.71"/>
    <n v="0"/>
    <s v="BK 1012217"/>
    <m/>
    <n v="1400.89"/>
    <n v="0"/>
    <n v="57911"/>
  </r>
  <r>
    <x v="6"/>
    <s v="02576-3"/>
    <s v="Solvangskolen, Nord 58"/>
    <n v="5474"/>
    <m/>
    <s v="Solvangskolen"/>
    <x v="52"/>
    <x v="0"/>
    <x v="4"/>
    <n v="444.44"/>
    <n v="12"/>
    <s v="2005-07-01"/>
    <n v="0"/>
    <n v="10600"/>
    <n v="4.1926999999999999E-2"/>
    <n v="3"/>
    <x v="0"/>
    <n v="444.44"/>
    <n v="0"/>
    <n v="1"/>
    <s v="Varmt vand"/>
    <m/>
    <n v="444.44"/>
    <n v="0"/>
    <n v="58235"/>
  </r>
  <r>
    <x v="6"/>
    <s v="02576-3"/>
    <s v="Solvangskolen, Nord 58"/>
    <n v="5474"/>
    <m/>
    <s v="Solvangskolen"/>
    <x v="52"/>
    <x v="0"/>
    <x v="5"/>
    <n v="1539.18"/>
    <n v="12"/>
    <s v="2005-06-01"/>
    <n v="0"/>
    <n v="10600"/>
    <n v="0.145204"/>
    <n v="3"/>
    <x v="0"/>
    <n v="1539.18"/>
    <n v="1231.3399999999999"/>
    <n v="0"/>
    <s v="BK 1012217"/>
    <m/>
    <n v="1539.18"/>
    <n v="0"/>
    <n v="57911"/>
  </r>
  <r>
    <x v="6"/>
    <s v="02576-3"/>
    <s v="Solvangskolen, Nord 58"/>
    <n v="5474"/>
    <m/>
    <s v="Solvangskolen"/>
    <x v="52"/>
    <x v="0"/>
    <x v="5"/>
    <n v="456.52"/>
    <n v="12"/>
    <s v="2005-07-01"/>
    <n v="0"/>
    <n v="10600"/>
    <n v="4.3067000000000001E-2"/>
    <n v="3"/>
    <x v="0"/>
    <n v="456.52"/>
    <n v="0"/>
    <n v="1"/>
    <s v="Varmt vand"/>
    <m/>
    <n v="456.52"/>
    <n v="0"/>
    <n v="58235"/>
  </r>
  <r>
    <x v="6"/>
    <s v="02576-3"/>
    <s v="Solvangskolen, Nord 58"/>
    <n v="5474"/>
    <m/>
    <s v="Solvangskolen"/>
    <x v="52"/>
    <x v="0"/>
    <x v="6"/>
    <n v="1967.75"/>
    <n v="12"/>
    <s v="2005-06-01"/>
    <n v="0"/>
    <n v="10600"/>
    <n v="0.18563499999999999"/>
    <n v="3"/>
    <x v="0"/>
    <n v="1967.75"/>
    <n v="1574.21"/>
    <n v="0"/>
    <s v="BK 1012217"/>
    <m/>
    <n v="1967.75"/>
    <n v="0"/>
    <n v="57911"/>
  </r>
  <r>
    <x v="6"/>
    <s v="02576-3"/>
    <s v="Solvangskolen, Nord 58"/>
    <n v="5474"/>
    <m/>
    <s v="Solvangskolen"/>
    <x v="52"/>
    <x v="0"/>
    <x v="6"/>
    <n v="397.2"/>
    <n v="12"/>
    <s v="2005-07-01"/>
    <n v="0"/>
    <n v="10600"/>
    <n v="3.7470999999999997E-2"/>
    <n v="3"/>
    <x v="0"/>
    <n v="397.2"/>
    <n v="0"/>
    <n v="1"/>
    <s v="Varmt vand"/>
    <m/>
    <n v="397.2"/>
    <n v="0"/>
    <n v="58235"/>
  </r>
  <r>
    <x v="6"/>
    <s v="03953-5"/>
    <s v="Stavnsholtskolen"/>
    <n v="5473"/>
    <m/>
    <s v="Bimåler BV"/>
    <x v="114"/>
    <x v="1"/>
    <x v="0"/>
    <n v="8.2899999999999991"/>
    <n v="5"/>
    <m/>
    <n v="0"/>
    <n v="0"/>
    <n v="82.9"/>
    <n v="3"/>
    <x v="0"/>
    <n v="8.2899999999999991"/>
    <n v="6.63"/>
    <n v="1"/>
    <s v="BV01"/>
    <m/>
    <n v="8.2899999999999991"/>
    <n v="0"/>
    <n v="57899"/>
  </r>
  <r>
    <x v="6"/>
    <s v="03953-5"/>
    <s v="Stavnsholtskolen"/>
    <n v="5473"/>
    <m/>
    <s v="Bimåler BV"/>
    <x v="114"/>
    <x v="1"/>
    <x v="0"/>
    <n v="36.35"/>
    <n v="5"/>
    <m/>
    <n v="0"/>
    <n v="0"/>
    <n v="363.5"/>
    <n v="3"/>
    <x v="0"/>
    <n v="36.35"/>
    <n v="29.08"/>
    <n v="1"/>
    <s v="BV02"/>
    <m/>
    <n v="36.35"/>
    <n v="0"/>
    <n v="57900"/>
  </r>
  <r>
    <x v="6"/>
    <s v="03953-5"/>
    <s v="Stavnsholtskolen"/>
    <n v="5473"/>
    <m/>
    <s v="Bimåler BV"/>
    <x v="114"/>
    <x v="1"/>
    <x v="1"/>
    <n v="23.97"/>
    <n v="12"/>
    <m/>
    <n v="0"/>
    <n v="0"/>
    <n v="239.7"/>
    <n v="3"/>
    <x v="0"/>
    <n v="23.97"/>
    <n v="19.170000000000002"/>
    <n v="1"/>
    <s v="BV01"/>
    <m/>
    <n v="23.97"/>
    <n v="0"/>
    <n v="57899"/>
  </r>
  <r>
    <x v="6"/>
    <s v="03953-5"/>
    <s v="Stavnsholtskolen"/>
    <n v="5473"/>
    <m/>
    <s v="Bimåler BV"/>
    <x v="114"/>
    <x v="1"/>
    <x v="1"/>
    <n v="85.06"/>
    <n v="12"/>
    <m/>
    <n v="0"/>
    <n v="0"/>
    <n v="850.6"/>
    <n v="3"/>
    <x v="0"/>
    <n v="85.06"/>
    <n v="68.05"/>
    <n v="1"/>
    <s v="BV02"/>
    <m/>
    <n v="85.06"/>
    <n v="0"/>
    <n v="57900"/>
  </r>
  <r>
    <x v="6"/>
    <s v="03953-5"/>
    <s v="Stavnsholtskolen"/>
    <n v="5473"/>
    <m/>
    <s v="Bimåler BV"/>
    <x v="114"/>
    <x v="1"/>
    <x v="2"/>
    <n v="22.66"/>
    <n v="12"/>
    <m/>
    <n v="0"/>
    <n v="0"/>
    <n v="226.6"/>
    <n v="3"/>
    <x v="0"/>
    <n v="22.66"/>
    <n v="18.13"/>
    <n v="1"/>
    <s v="BV01"/>
    <m/>
    <n v="22.66"/>
    <n v="0"/>
    <n v="57899"/>
  </r>
  <r>
    <x v="6"/>
    <s v="03953-5"/>
    <s v="Stavnsholtskolen"/>
    <n v="5473"/>
    <m/>
    <s v="Bimåler BV"/>
    <x v="114"/>
    <x v="1"/>
    <x v="2"/>
    <n v="65.819999999999993"/>
    <n v="12"/>
    <m/>
    <n v="0"/>
    <n v="0"/>
    <n v="658.2"/>
    <n v="3"/>
    <x v="0"/>
    <n v="65.819999999999993"/>
    <n v="52.65"/>
    <n v="1"/>
    <s v="BV02"/>
    <m/>
    <n v="65.819999999999993"/>
    <n v="0"/>
    <n v="57900"/>
  </r>
  <r>
    <x v="6"/>
    <s v="03953-5"/>
    <s v="Stavnsholtskolen"/>
    <n v="5473"/>
    <m/>
    <s v="Bimåler BV"/>
    <x v="114"/>
    <x v="1"/>
    <x v="3"/>
    <n v="19.63"/>
    <n v="12"/>
    <m/>
    <n v="0"/>
    <n v="0"/>
    <n v="196.3"/>
    <n v="3"/>
    <x v="0"/>
    <n v="19.63"/>
    <n v="15.7"/>
    <n v="1"/>
    <s v="BV01"/>
    <m/>
    <n v="19.63"/>
    <n v="0"/>
    <n v="57899"/>
  </r>
  <r>
    <x v="6"/>
    <s v="03953-5"/>
    <s v="Stavnsholtskolen"/>
    <n v="5473"/>
    <m/>
    <s v="Bimåler BV"/>
    <x v="114"/>
    <x v="1"/>
    <x v="3"/>
    <n v="53.09"/>
    <n v="12"/>
    <m/>
    <n v="0"/>
    <n v="0"/>
    <n v="530.9"/>
    <n v="3"/>
    <x v="0"/>
    <n v="53.09"/>
    <n v="42.48"/>
    <n v="1"/>
    <s v="BV02"/>
    <m/>
    <n v="53.09"/>
    <n v="0"/>
    <n v="57900"/>
  </r>
  <r>
    <x v="6"/>
    <s v="03953-5"/>
    <s v="Stavnsholtskolen"/>
    <n v="5473"/>
    <m/>
    <s v="Bimåler BV"/>
    <x v="114"/>
    <x v="1"/>
    <x v="4"/>
    <n v="25.35"/>
    <n v="12"/>
    <m/>
    <n v="0"/>
    <n v="0"/>
    <n v="253.5"/>
    <n v="3"/>
    <x v="0"/>
    <n v="25.35"/>
    <n v="20.28"/>
    <n v="1"/>
    <s v="BV01"/>
    <m/>
    <n v="25.35"/>
    <n v="0"/>
    <n v="57899"/>
  </r>
  <r>
    <x v="6"/>
    <s v="03953-5"/>
    <s v="Stavnsholtskolen"/>
    <n v="5473"/>
    <m/>
    <s v="Bimåler BV"/>
    <x v="114"/>
    <x v="1"/>
    <x v="4"/>
    <n v="101.06"/>
    <n v="12"/>
    <m/>
    <n v="0"/>
    <n v="0"/>
    <n v="1010.6"/>
    <n v="3"/>
    <x v="0"/>
    <n v="101.06"/>
    <n v="80.849999999999994"/>
    <n v="1"/>
    <s v="BV02"/>
    <m/>
    <n v="101.06"/>
    <n v="0"/>
    <n v="57900"/>
  </r>
  <r>
    <x v="6"/>
    <s v="03953-5"/>
    <s v="Stavnsholtskolen"/>
    <n v="5473"/>
    <m/>
    <s v="Bimåler BV"/>
    <x v="114"/>
    <x v="1"/>
    <x v="5"/>
    <n v="29.8"/>
    <n v="12"/>
    <m/>
    <n v="0"/>
    <n v="0"/>
    <n v="298"/>
    <n v="3"/>
    <x v="0"/>
    <n v="29.8"/>
    <n v="23.85"/>
    <n v="1"/>
    <s v="BV01"/>
    <m/>
    <n v="29.8"/>
    <n v="0"/>
    <n v="57899"/>
  </r>
  <r>
    <x v="6"/>
    <s v="03953-5"/>
    <s v="Stavnsholtskolen"/>
    <n v="5473"/>
    <m/>
    <s v="Bimåler BV"/>
    <x v="114"/>
    <x v="1"/>
    <x v="5"/>
    <n v="65.7"/>
    <n v="12"/>
    <m/>
    <n v="0"/>
    <n v="0"/>
    <n v="657"/>
    <n v="3"/>
    <x v="0"/>
    <n v="65.7"/>
    <n v="52.56"/>
    <n v="1"/>
    <s v="BV02"/>
    <m/>
    <n v="65.7"/>
    <n v="0"/>
    <n v="57900"/>
  </r>
  <r>
    <x v="6"/>
    <s v="03953-5"/>
    <s v="Stavnsholtskolen"/>
    <n v="5473"/>
    <m/>
    <s v="Bimåler BV"/>
    <x v="114"/>
    <x v="1"/>
    <x v="6"/>
    <n v="30.86"/>
    <n v="12"/>
    <m/>
    <n v="0"/>
    <n v="0"/>
    <n v="308.60000000000002"/>
    <n v="3"/>
    <x v="0"/>
    <n v="30.86"/>
    <n v="24.69"/>
    <n v="1"/>
    <s v="BV01"/>
    <m/>
    <n v="30.86"/>
    <n v="0"/>
    <n v="57899"/>
  </r>
  <r>
    <x v="6"/>
    <s v="03953-5"/>
    <s v="Stavnsholtskolen"/>
    <n v="5473"/>
    <m/>
    <s v="Bimåler BV"/>
    <x v="114"/>
    <x v="1"/>
    <x v="6"/>
    <n v="88.68"/>
    <n v="12"/>
    <m/>
    <n v="0"/>
    <n v="0"/>
    <n v="886.8"/>
    <n v="3"/>
    <x v="0"/>
    <n v="88.68"/>
    <n v="70.94"/>
    <n v="1"/>
    <s v="BV02"/>
    <m/>
    <n v="88.68"/>
    <n v="0"/>
    <n v="57900"/>
  </r>
  <r>
    <x v="6"/>
    <s v="03953-5"/>
    <s v="Stavnsholtskolen"/>
    <n v="5471"/>
    <m/>
    <s v="Stavnholtskolen"/>
    <x v="114"/>
    <x v="0"/>
    <x v="0"/>
    <n v="1256"/>
    <n v="5"/>
    <s v="2005-06-01"/>
    <n v="0"/>
    <n v="8656"/>
    <n v="6.3768000000000005E-2"/>
    <n v="3"/>
    <x v="0"/>
    <n v="551.99"/>
    <n v="441.58"/>
    <n v="0"/>
    <s v="-10012206"/>
    <m/>
    <n v="551.99"/>
    <n v="0"/>
    <n v="57892"/>
  </r>
  <r>
    <x v="6"/>
    <s v="03953-5"/>
    <s v="Stavnsholtskolen"/>
    <n v="5471"/>
    <m/>
    <s v="Stavnholtskolen"/>
    <x v="114"/>
    <x v="0"/>
    <x v="1"/>
    <n v="1498.63"/>
    <n v="12"/>
    <s v="2005-06-01"/>
    <n v="0"/>
    <n v="8656"/>
    <n v="0.17312900000000001"/>
    <n v="3"/>
    <x v="0"/>
    <n v="1498.63"/>
    <n v="1198.9100000000001"/>
    <n v="0"/>
    <s v="-10012206"/>
    <m/>
    <n v="1498.63"/>
    <n v="0"/>
    <n v="57892"/>
  </r>
  <r>
    <x v="6"/>
    <s v="03953-5"/>
    <s v="Stavnsholtskolen"/>
    <n v="5471"/>
    <m/>
    <s v="Stavnholtskolen"/>
    <x v="114"/>
    <x v="0"/>
    <x v="2"/>
    <n v="1513.88"/>
    <n v="12"/>
    <s v="2005-06-01"/>
    <n v="0"/>
    <n v="8656"/>
    <n v="0.17489099999999999"/>
    <n v="3"/>
    <x v="0"/>
    <n v="1513.88"/>
    <n v="1211.0999999999999"/>
    <n v="0"/>
    <s v="-10012206"/>
    <m/>
    <n v="1513.88"/>
    <n v="0"/>
    <n v="57892"/>
  </r>
  <r>
    <x v="6"/>
    <s v="03953-5"/>
    <s v="Stavnsholtskolen"/>
    <n v="5471"/>
    <m/>
    <s v="Stavnholtskolen"/>
    <x v="114"/>
    <x v="0"/>
    <x v="3"/>
    <n v="1375.76"/>
    <n v="12"/>
    <s v="2005-06-01"/>
    <n v="0"/>
    <n v="8656"/>
    <n v="0.15893499999999999"/>
    <n v="3"/>
    <x v="0"/>
    <n v="1375.76"/>
    <n v="1100.5999999999999"/>
    <n v="0"/>
    <s v="-10012206"/>
    <m/>
    <n v="1375.76"/>
    <n v="0"/>
    <n v="57892"/>
  </r>
  <r>
    <x v="6"/>
    <s v="03953-5"/>
    <s v="Stavnsholtskolen"/>
    <n v="5471"/>
    <m/>
    <s v="Stavnholtskolen"/>
    <x v="114"/>
    <x v="0"/>
    <x v="4"/>
    <n v="1609.5"/>
    <n v="12"/>
    <s v="2005-06-01"/>
    <n v="0"/>
    <n v="8656"/>
    <n v="0.18593799999999999"/>
    <n v="3"/>
    <x v="0"/>
    <n v="1609.5"/>
    <n v="1287.5999999999999"/>
    <n v="0"/>
    <s v="-10012206"/>
    <m/>
    <n v="1609.5"/>
    <n v="0"/>
    <n v="57892"/>
  </r>
  <r>
    <x v="6"/>
    <s v="03953-5"/>
    <s v="Stavnsholtskolen"/>
    <n v="5471"/>
    <m/>
    <s v="Stavnholtskolen"/>
    <x v="114"/>
    <x v="0"/>
    <x v="5"/>
    <n v="1634.61"/>
    <n v="12"/>
    <s v="2005-06-01"/>
    <n v="0"/>
    <n v="8656"/>
    <n v="0.18883900000000001"/>
    <n v="3"/>
    <x v="0"/>
    <n v="1634.61"/>
    <n v="1307.69"/>
    <n v="0"/>
    <s v="-10012206"/>
    <m/>
    <n v="1634.61"/>
    <n v="0"/>
    <n v="57892"/>
  </r>
  <r>
    <x v="6"/>
    <s v="03953-5"/>
    <s v="Stavnsholtskolen"/>
    <n v="5471"/>
    <m/>
    <s v="Stavnholtskolen"/>
    <x v="114"/>
    <x v="0"/>
    <x v="6"/>
    <n v="1530.07"/>
    <n v="12"/>
    <s v="2005-06-01"/>
    <n v="0"/>
    <n v="8656"/>
    <n v="0.176762"/>
    <n v="3"/>
    <x v="0"/>
    <n v="1530.07"/>
    <n v="1224.05"/>
    <n v="0"/>
    <s v="-10012206"/>
    <m/>
    <n v="1530.07"/>
    <n v="0"/>
    <n v="57892"/>
  </r>
  <r>
    <x v="6"/>
    <m/>
    <s v="Syvstjerneskolen, Skov 1"/>
    <n v="9223"/>
    <m/>
    <s v="Syvstjerneskolen"/>
    <x v="40"/>
    <x v="0"/>
    <x v="0"/>
    <n v="1042"/>
    <n v="5"/>
    <m/>
    <n v="0"/>
    <n v="7936"/>
    <n v="5.4663999999999997E-2"/>
    <n v="3"/>
    <x v="0"/>
    <n v="433.82"/>
    <n v="347.04"/>
    <n v="0"/>
    <m/>
    <m/>
    <n v="433.81"/>
    <n v="0"/>
    <n v="72739"/>
  </r>
  <r>
    <x v="6"/>
    <m/>
    <s v="Syvstjerneskolen, Skov 1"/>
    <n v="9223"/>
    <m/>
    <s v="Syvstjerneskolen"/>
    <x v="40"/>
    <x v="0"/>
    <x v="1"/>
    <n v="1151.01"/>
    <n v="12"/>
    <m/>
    <n v="0"/>
    <n v="7936"/>
    <n v="0.145034"/>
    <n v="3"/>
    <x v="0"/>
    <n v="1151.01"/>
    <n v="920.8"/>
    <n v="0"/>
    <m/>
    <m/>
    <n v="1150.999"/>
    <n v="0"/>
    <n v="72739"/>
  </r>
  <r>
    <x v="6"/>
    <m/>
    <s v="Syvstjerneskolen, Skov 1"/>
    <n v="9223"/>
    <m/>
    <s v="Syvstjerneskolen"/>
    <x v="40"/>
    <x v="0"/>
    <x v="2"/>
    <n v="1165.83"/>
    <n v="12"/>
    <m/>
    <n v="0"/>
    <n v="7936"/>
    <n v="0.146902"/>
    <n v="3"/>
    <x v="0"/>
    <n v="1165.83"/>
    <n v="932.64"/>
    <n v="0"/>
    <m/>
    <m/>
    <n v="1165.8340000000001"/>
    <n v="0"/>
    <n v="72739"/>
  </r>
  <r>
    <x v="6"/>
    <m/>
    <s v="Syvstjerneskolen, Skov 1"/>
    <n v="9223"/>
    <m/>
    <s v="Syvstjerneskolen"/>
    <x v="40"/>
    <x v="0"/>
    <x v="3"/>
    <n v="1024.08"/>
    <n v="12"/>
    <m/>
    <n v="0"/>
    <n v="7936"/>
    <n v="0.12903999999999999"/>
    <n v="3"/>
    <x v="0"/>
    <n v="1024.08"/>
    <n v="819.25"/>
    <n v="0"/>
    <m/>
    <m/>
    <n v="1024.0740000000001"/>
    <n v="0"/>
    <n v="72739"/>
  </r>
  <r>
    <x v="6"/>
    <m/>
    <s v="Syvstjerneskolen, Skov 1"/>
    <n v="9223"/>
    <m/>
    <s v="Syvstjerneskolen"/>
    <x v="40"/>
    <x v="0"/>
    <x v="4"/>
    <n v="1198.06"/>
    <n v="12"/>
    <m/>
    <n v="0"/>
    <n v="7936"/>
    <n v="0.15096300000000001"/>
    <n v="3"/>
    <x v="0"/>
    <n v="1198.06"/>
    <n v="958.46"/>
    <n v="0"/>
    <m/>
    <m/>
    <n v="1198.0630000000001"/>
    <n v="0"/>
    <n v="72739"/>
  </r>
  <r>
    <x v="6"/>
    <m/>
    <s v="Syvstjerneskolen, Skov 1"/>
    <n v="9223"/>
    <m/>
    <s v="Syvstjerneskolen"/>
    <x v="40"/>
    <x v="0"/>
    <x v="5"/>
    <n v="1387.62"/>
    <n v="12"/>
    <m/>
    <n v="0"/>
    <n v="7936"/>
    <n v="0.174849"/>
    <n v="3"/>
    <x v="0"/>
    <n v="1387.62"/>
    <n v="1110.08"/>
    <n v="0"/>
    <m/>
    <m/>
    <n v="1387.614"/>
    <n v="0"/>
    <n v="72739"/>
  </r>
  <r>
    <x v="6"/>
    <m/>
    <s v="Syvstjerneskolen, Skov 1"/>
    <n v="9223"/>
    <m/>
    <s v="Syvstjerneskolen"/>
    <x v="40"/>
    <x v="0"/>
    <x v="6"/>
    <n v="1442.75"/>
    <n v="12"/>
    <m/>
    <n v="0"/>
    <n v="7936"/>
    <n v="0.18179500000000001"/>
    <n v="3"/>
    <x v="0"/>
    <n v="1442.75"/>
    <n v="1154.23"/>
    <n v="0"/>
    <m/>
    <m/>
    <n v="1442.77"/>
    <n v="0"/>
    <n v="72739"/>
  </r>
  <r>
    <x v="6"/>
    <m/>
    <s v="Søndersøskolen Pedelbolig KV48"/>
    <n v="10321"/>
    <m/>
    <s v="Søndersøskolen Pedelbolig"/>
    <x v="115"/>
    <x v="0"/>
    <x v="0"/>
    <n v="22"/>
    <n v="5"/>
    <s v="2012-01-25"/>
    <n v="0"/>
    <n v="126"/>
    <n v="7.034E-2"/>
    <n v="3"/>
    <x v="0"/>
    <n v="8.8699999999999992"/>
    <n v="7.1"/>
    <n v="0"/>
    <s v="07595918"/>
    <m/>
    <n v="8.8770000000000007"/>
    <n v="0"/>
    <n v="77809"/>
  </r>
  <r>
    <x v="6"/>
    <m/>
    <s v="Søndersøskolen Pedelbolig KV48"/>
    <n v="10321"/>
    <m/>
    <s v="Søndersøskolen Pedelbolig"/>
    <x v="115"/>
    <x v="0"/>
    <x v="1"/>
    <n v="16.579999999999998"/>
    <n v="12"/>
    <s v="2012-01-25"/>
    <n v="0"/>
    <n v="126"/>
    <n v="0.13148199999999999"/>
    <n v="3"/>
    <x v="0"/>
    <n v="16.579999999999998"/>
    <n v="13.27"/>
    <n v="0"/>
    <s v="07595918"/>
    <m/>
    <n v="16.596"/>
    <n v="0"/>
    <n v="77809"/>
  </r>
  <r>
    <x v="6"/>
    <m/>
    <s v="Søndersøskolen Pedelbolig KV48"/>
    <n v="10321"/>
    <m/>
    <s v="Søndersøskolen Pedelbolig"/>
    <x v="115"/>
    <x v="0"/>
    <x v="2"/>
    <n v="29.17"/>
    <n v="12"/>
    <s v="2012-01-25"/>
    <n v="0"/>
    <n v="126"/>
    <n v="0.231324"/>
    <n v="3"/>
    <x v="0"/>
    <n v="29.17"/>
    <n v="23.34"/>
    <n v="0"/>
    <s v="07595918"/>
    <m/>
    <n v="29.161180000000002"/>
    <n v="0"/>
    <n v="77809"/>
  </r>
  <r>
    <x v="6"/>
    <m/>
    <s v="Søndersøskolen Pedelbolig KV48"/>
    <n v="10321"/>
    <m/>
    <s v="Søndersøskolen Pedelbolig"/>
    <x v="115"/>
    <x v="0"/>
    <x v="3"/>
    <n v="46.18"/>
    <n v="4"/>
    <s v="2012-01-25"/>
    <n v="0"/>
    <n v="126"/>
    <n v="0.36621700000000001"/>
    <n v="3"/>
    <x v="0"/>
    <n v="46.18"/>
    <n v="36.96"/>
    <n v="0"/>
    <s v="07595918"/>
    <m/>
    <n v="46.181820000000002"/>
    <n v="0"/>
    <n v="77809"/>
  </r>
  <r>
    <x v="6"/>
    <m/>
    <s v="Søndersøskolen Pedelbolig KV48"/>
    <n v="10321"/>
    <m/>
    <s v="Søndersøskolen Pedelbolig"/>
    <x v="115"/>
    <x v="0"/>
    <x v="4"/>
    <n v="15.92"/>
    <n v="3"/>
    <s v="2012-01-25"/>
    <n v="0"/>
    <n v="126"/>
    <n v="0.126249"/>
    <n v="3"/>
    <x v="0"/>
    <n v="15.92"/>
    <n v="12.74"/>
    <n v="0"/>
    <s v="07595918"/>
    <m/>
    <n v="15.928129999999999"/>
    <n v="0"/>
    <n v="77809"/>
  </r>
  <r>
    <x v="6"/>
    <m/>
    <s v="Søndersøskolen Pedelbolig KV48"/>
    <n v="10321"/>
    <m/>
    <s v="Søndersøskolen Pedelbolig"/>
    <x v="115"/>
    <x v="0"/>
    <x v="5"/>
    <n v="20.079999999999998"/>
    <n v="4"/>
    <s v="2012-01-25"/>
    <n v="0"/>
    <n v="126"/>
    <n v="0.15923799999999999"/>
    <n v="3"/>
    <x v="0"/>
    <n v="20.079999999999998"/>
    <n v="16.059999999999999"/>
    <n v="0"/>
    <s v="07595918"/>
    <m/>
    <n v="20.071840000000002"/>
    <n v="0"/>
    <n v="77809"/>
  </r>
  <r>
    <x v="6"/>
    <m/>
    <s v="Søndersøskolen Pedelbolig KV48"/>
    <n v="10321"/>
    <m/>
    <s v="Søndersøskolen Pedelbolig"/>
    <x v="115"/>
    <x v="0"/>
    <x v="6"/>
    <n v="4.29"/>
    <n v="6"/>
    <s v="2012-01-25"/>
    <n v="0"/>
    <n v="126"/>
    <n v="3.4020000000000002E-2"/>
    <n v="3"/>
    <x v="0"/>
    <n v="4.29"/>
    <n v="3.42"/>
    <n v="0"/>
    <s v="07595918"/>
    <m/>
    <n v="4.2713799999999997"/>
    <n v="0"/>
    <n v="77809"/>
  </r>
  <r>
    <x v="6"/>
    <m/>
    <s v="Søndersøskolen, KV50"/>
    <n v="9222"/>
    <m/>
    <s v="Søndersøskolen"/>
    <x v="116"/>
    <x v="0"/>
    <x v="0"/>
    <n v="1734"/>
    <n v="5"/>
    <m/>
    <n v="0"/>
    <n v="11252"/>
    <n v="6.6655000000000006E-2"/>
    <n v="3"/>
    <x v="0"/>
    <n v="750.01"/>
    <n v="600"/>
    <n v="0"/>
    <m/>
    <m/>
    <n v="750.00900000000001"/>
    <n v="0"/>
    <n v="72737"/>
  </r>
  <r>
    <x v="6"/>
    <m/>
    <s v="Søndersøskolen, KV50"/>
    <n v="9222"/>
    <m/>
    <s v="Søndersøskolen"/>
    <x v="116"/>
    <x v="0"/>
    <x v="1"/>
    <n v="1777.58"/>
    <n v="12"/>
    <m/>
    <n v="0"/>
    <n v="11252"/>
    <n v="0.15797700000000001"/>
    <n v="3"/>
    <x v="0"/>
    <n v="1777.58"/>
    <n v="1422.06"/>
    <n v="0"/>
    <m/>
    <m/>
    <n v="1777.5889999999999"/>
    <n v="0"/>
    <n v="72737"/>
  </r>
  <r>
    <x v="6"/>
    <m/>
    <s v="Søndersøskolen, KV50"/>
    <n v="9222"/>
    <m/>
    <s v="Søndersøskolen"/>
    <x v="116"/>
    <x v="0"/>
    <x v="2"/>
    <n v="1652.64"/>
    <n v="12"/>
    <m/>
    <n v="0"/>
    <n v="11252"/>
    <n v="0.146873"/>
    <n v="3"/>
    <x v="0"/>
    <n v="1652.64"/>
    <n v="1322.12"/>
    <n v="0"/>
    <m/>
    <m/>
    <n v="1652.6479999999999"/>
    <n v="0"/>
    <n v="72737"/>
  </r>
  <r>
    <x v="6"/>
    <m/>
    <s v="Søndersøskolen, KV50"/>
    <n v="9222"/>
    <m/>
    <s v="Søndersøskolen"/>
    <x v="116"/>
    <x v="0"/>
    <x v="3"/>
    <n v="1979.08"/>
    <n v="12"/>
    <m/>
    <n v="0"/>
    <n v="11252"/>
    <n v="0.17588500000000001"/>
    <n v="3"/>
    <x v="0"/>
    <n v="1979.08"/>
    <n v="1583.27"/>
    <n v="0"/>
    <m/>
    <m/>
    <n v="1979.079"/>
    <n v="0"/>
    <n v="72737"/>
  </r>
  <r>
    <x v="6"/>
    <m/>
    <s v="Søndersøskolen, KV50"/>
    <n v="9222"/>
    <m/>
    <s v="Søndersøskolen"/>
    <x v="116"/>
    <x v="0"/>
    <x v="4"/>
    <n v="1620.74"/>
    <n v="12"/>
    <m/>
    <n v="0"/>
    <n v="11252"/>
    <n v="0.144038"/>
    <n v="3"/>
    <x v="0"/>
    <n v="1620.74"/>
    <n v="1296.5999999999999"/>
    <n v="0"/>
    <m/>
    <m/>
    <n v="1620.7360000000001"/>
    <n v="0"/>
    <n v="72737"/>
  </r>
  <r>
    <x v="6"/>
    <m/>
    <s v="Søndersøskolen, KV50"/>
    <n v="9222"/>
    <m/>
    <s v="Søndersøskolen"/>
    <x v="116"/>
    <x v="0"/>
    <x v="5"/>
    <n v="1623.84"/>
    <n v="12"/>
    <m/>
    <n v="0"/>
    <n v="11252"/>
    <n v="0.144314"/>
    <n v="3"/>
    <x v="0"/>
    <n v="1623.84"/>
    <n v="1299.0899999999999"/>
    <n v="0"/>
    <m/>
    <m/>
    <n v="1623.8489999999999"/>
    <n v="0"/>
    <n v="72737"/>
  </r>
  <r>
    <x v="6"/>
    <m/>
    <s v="Søndersøskolen, KV50"/>
    <n v="9222"/>
    <m/>
    <s v="Søndersøskolen"/>
    <x v="116"/>
    <x v="0"/>
    <x v="6"/>
    <n v="1691.63"/>
    <n v="12"/>
    <m/>
    <n v="0"/>
    <n v="11252"/>
    <n v="0.150339"/>
    <n v="3"/>
    <x v="0"/>
    <n v="1691.63"/>
    <n v="1353.31"/>
    <n v="0"/>
    <m/>
    <m/>
    <n v="1691.624"/>
    <n v="0"/>
    <n v="72737"/>
  </r>
  <r>
    <x v="6"/>
    <m/>
    <s v="Søndersøskolen Pedelbolig KV48"/>
    <n v="10321"/>
    <m/>
    <s v="Søndersøskolen Pedelbolig"/>
    <x v="115"/>
    <x v="0"/>
    <x v="7"/>
    <n v="28.37"/>
    <n v="12"/>
    <s v="2012-01-25"/>
    <n v="0"/>
    <n v="126"/>
    <n v="0.22498000000000001"/>
    <n v="3"/>
    <x v="0"/>
    <n v="28.37"/>
    <n v="22.69"/>
    <n v="0"/>
    <s v="07595918"/>
    <m/>
    <n v="28.381"/>
    <n v="0"/>
    <n v="77809"/>
  </r>
  <r>
    <x v="6"/>
    <m/>
    <s v="Søndersøskolen Pedelbolig KV48"/>
    <n v="10321"/>
    <m/>
    <s v="Søndersøskolen Pedelbolig"/>
    <x v="115"/>
    <x v="0"/>
    <x v="7"/>
    <n v="16772"/>
    <n v="12"/>
    <s v="2012-01-25"/>
    <n v="0"/>
    <n v="126"/>
    <n v="133.005551"/>
    <n v="1"/>
    <x v="1"/>
    <n v="20176.22"/>
    <n v="1291.28"/>
    <n v="0"/>
    <s v="4080356/2001"/>
    <m/>
    <n v="16772"/>
    <n v="0"/>
    <n v="77810"/>
  </r>
  <r>
    <x v="6"/>
    <m/>
    <s v="Hareskov Skole, POP 6-12"/>
    <n v="10991"/>
    <m/>
    <s v="Bygning 8, Svømmehal"/>
    <x v="110"/>
    <x v="0"/>
    <x v="1"/>
    <n v="63221.45"/>
    <n v="11"/>
    <s v="2015-05-04"/>
    <n v="0"/>
    <n v="1475"/>
    <n v="42.859093999999999"/>
    <n v="2"/>
    <x v="2"/>
    <n v="63221.45"/>
    <n v="18966.43"/>
    <n v="0"/>
    <s v="211700-210"/>
    <m/>
    <n v="63221.441800000001"/>
    <n v="0"/>
    <n v="79756"/>
  </r>
  <r>
    <x v="6"/>
    <m/>
    <s v="Hareskov Skole, POP 6-12"/>
    <n v="10991"/>
    <m/>
    <s v="Bygning 8, Svømmehal"/>
    <x v="110"/>
    <x v="0"/>
    <x v="7"/>
    <n v="849.75"/>
    <n v="9"/>
    <s v="2015-05-04"/>
    <n v="0"/>
    <n v="1475"/>
    <n v="0.57606199999999996"/>
    <n v="3"/>
    <x v="0"/>
    <n v="849.75"/>
    <n v="679.8"/>
    <n v="0"/>
    <s v="PC501303"/>
    <m/>
    <n v="849.74929999999995"/>
    <n v="0"/>
    <n v="79482"/>
  </r>
  <r>
    <x v="6"/>
    <m/>
    <s v="Hareskov Skole, POP 6-12"/>
    <n v="10991"/>
    <m/>
    <s v="Bygning 8, Svømmehal"/>
    <x v="110"/>
    <x v="0"/>
    <x v="7"/>
    <n v="344.08"/>
    <n v="10"/>
    <s v="2015-05-04"/>
    <n v="0"/>
    <n v="1475"/>
    <n v="0.23325799999999999"/>
    <n v="3"/>
    <x v="0"/>
    <n v="344.08"/>
    <n v="275.26"/>
    <n v="1"/>
    <s v="Bimåler 1"/>
    <m/>
    <n v="344.08139999999997"/>
    <n v="0"/>
    <n v="79717"/>
  </r>
  <r>
    <x v="6"/>
    <m/>
    <s v="Hareskov Skole, POP 6-12"/>
    <n v="10991"/>
    <m/>
    <s v="Bygning 8, Svømmehal"/>
    <x v="110"/>
    <x v="0"/>
    <x v="7"/>
    <n v="57.12"/>
    <n v="10"/>
    <s v="2015-05-04"/>
    <n v="0"/>
    <n v="1475"/>
    <n v="3.8721999999999999E-2"/>
    <n v="3"/>
    <x v="0"/>
    <n v="57.12"/>
    <n v="45.7"/>
    <n v="1"/>
    <s v="Bimåler 3"/>
    <m/>
    <n v="57.13044"/>
    <n v="0"/>
    <n v="79718"/>
  </r>
  <r>
    <x v="6"/>
    <m/>
    <s v="Hareskov Skole, POP 6-12"/>
    <n v="10991"/>
    <m/>
    <s v="Bygning 8, Svømmehal"/>
    <x v="110"/>
    <x v="0"/>
    <x v="7"/>
    <n v="0"/>
    <n v="10"/>
    <s v="2015-05-04"/>
    <n v="0"/>
    <n v="1475"/>
    <n v="0"/>
    <n v="3"/>
    <x v="0"/>
    <n v="0"/>
    <n v="0"/>
    <n v="1"/>
    <s v="Bimåler 2"/>
    <m/>
    <n v="0"/>
    <n v="0"/>
    <n v="79719"/>
  </r>
  <r>
    <x v="6"/>
    <m/>
    <s v="Hareskov Skole, POP 6-12"/>
    <n v="9220"/>
    <m/>
    <s v="Hareskov Skole"/>
    <x v="110"/>
    <x v="0"/>
    <x v="7"/>
    <n v="46.78"/>
    <n v="12"/>
    <m/>
    <n v="0"/>
    <n v="7549"/>
    <n v="6.1960000000000001E-3"/>
    <n v="3"/>
    <x v="0"/>
    <n v="46.78"/>
    <n v="0"/>
    <n v="0"/>
    <s v="V.Vand"/>
    <m/>
    <n v="46.779000000000003"/>
    <n v="0"/>
    <n v="72733"/>
  </r>
  <r>
    <x v="6"/>
    <m/>
    <s v="Hareskov Skole, POP 6-12"/>
    <n v="9220"/>
    <m/>
    <s v="Hareskov Skole"/>
    <x v="110"/>
    <x v="0"/>
    <x v="7"/>
    <n v="1255.9000000000001"/>
    <n v="12"/>
    <s v="2010-11-29"/>
    <n v="0"/>
    <n v="7549"/>
    <n v="0.16636400000000001"/>
    <n v="3"/>
    <x v="0"/>
    <n v="1255.9000000000001"/>
    <n v="1004.72"/>
    <n v="0"/>
    <s v="Værksted nr 0223"/>
    <m/>
    <n v="1255.9000000000001"/>
    <n v="0"/>
    <n v="77261"/>
  </r>
  <r>
    <x v="6"/>
    <m/>
    <s v="Hareskov Skole, POP 6-12"/>
    <n v="9220"/>
    <m/>
    <s v="Hareskov Skole"/>
    <x v="110"/>
    <x v="0"/>
    <x v="7"/>
    <n v="250.86"/>
    <n v="12"/>
    <s v="2012-05-31"/>
    <n v="0"/>
    <n v="7549"/>
    <n v="3.3230000000000003E-2"/>
    <n v="3"/>
    <x v="0"/>
    <n v="250.86"/>
    <n v="200.67"/>
    <n v="0"/>
    <s v="46349 Sløjd"/>
    <m/>
    <n v="250.852"/>
    <n v="0"/>
    <n v="79481"/>
  </r>
  <r>
    <x v="6"/>
    <m/>
    <s v="Hareskov Skole, POP 6-12"/>
    <n v="11000"/>
    <m/>
    <s v="POP-øst"/>
    <x v="110"/>
    <x v="0"/>
    <x v="7"/>
    <n v="303.51"/>
    <n v="12"/>
    <s v="2010-11-01"/>
    <n v="0"/>
    <n v="652"/>
    <n v="0.46543400000000001"/>
    <n v="3"/>
    <x v="0"/>
    <n v="303.51"/>
    <n v="242.8"/>
    <n v="0"/>
    <s v="Gl. fyrkælder"/>
    <m/>
    <n v="303.495"/>
    <n v="0"/>
    <n v="79480"/>
  </r>
  <r>
    <x v="6"/>
    <m/>
    <s v="Hareskov Skole, POP 6-12"/>
    <n v="9220"/>
    <m/>
    <s v="Hareskov Skole"/>
    <x v="110"/>
    <x v="0"/>
    <x v="1"/>
    <n v="58620"/>
    <n v="12"/>
    <m/>
    <n v="0"/>
    <n v="7549"/>
    <n v="7.7651640000000004"/>
    <n v="1"/>
    <x v="1"/>
    <n v="58620"/>
    <n v="10844.7"/>
    <n v="0"/>
    <s v="Pop vest"/>
    <m/>
    <n v="58620"/>
    <n v="0"/>
    <n v="77262"/>
  </r>
  <r>
    <x v="6"/>
    <m/>
    <s v="Hareskov Skole, POP 6-12"/>
    <n v="9220"/>
    <m/>
    <s v="Hareskov Skole"/>
    <x v="110"/>
    <x v="0"/>
    <x v="1"/>
    <n v="703141.52"/>
    <n v="12"/>
    <s v="2011-10-31"/>
    <n v="0"/>
    <n v="7549"/>
    <n v="93.142430000000004"/>
    <n v="1"/>
    <x v="5"/>
    <n v="738576.82"/>
    <n v="136636.74"/>
    <n v="0"/>
    <s v="Værksted hovedmåler 28434"/>
    <m/>
    <n v="-449617.29100000003"/>
    <n v="0"/>
    <n v="77263"/>
  </r>
  <r>
    <x v="6"/>
    <m/>
    <s v="Hareskov Skole, POP 6-12"/>
    <n v="11000"/>
    <m/>
    <s v="POP-øst"/>
    <x v="110"/>
    <x v="0"/>
    <x v="1"/>
    <n v="5659.85"/>
    <n v="12"/>
    <s v="2010-11-01"/>
    <n v="0"/>
    <n v="652"/>
    <n v="8.6794200000000004"/>
    <n v="1"/>
    <x v="5"/>
    <n v="5659.85"/>
    <n v="0.37"/>
    <n v="0"/>
    <s v="popgård, 1. KL hus, røde hus"/>
    <m/>
    <n v="-216577.69"/>
    <n v="0"/>
    <n v="80204"/>
  </r>
  <r>
    <x v="6"/>
    <m/>
    <s v="Hareskov Skole, POP 6-12"/>
    <n v="9220"/>
    <m/>
    <s v="Hareskov Skole"/>
    <x v="110"/>
    <x v="0"/>
    <x v="1"/>
    <n v="170431.86"/>
    <n v="12"/>
    <s v="2010-11-29"/>
    <n v="0"/>
    <n v="7549"/>
    <n v="22.576447000000002"/>
    <n v="2"/>
    <x v="2"/>
    <n v="170431.86"/>
    <n v="51129.56"/>
    <n v="0"/>
    <s v="Hovedmåler 577428"/>
    <m/>
    <n v="170431.8682"/>
    <n v="0"/>
    <n v="78606"/>
  </r>
  <r>
    <x v="6"/>
    <m/>
    <s v="Hareskov Skole, POP 6-12"/>
    <n v="11000"/>
    <m/>
    <s v="POP-øst"/>
    <x v="110"/>
    <x v="0"/>
    <x v="1"/>
    <n v="1896.06"/>
    <n v="12"/>
    <s v="2015-05-04"/>
    <n v="0"/>
    <n v="652"/>
    <n v="2.9076209999999998"/>
    <n v="2"/>
    <x v="2"/>
    <n v="1896.06"/>
    <n v="568.83000000000004"/>
    <n v="0"/>
    <s v="525766"/>
    <s v="74110490436"/>
    <n v="1896.05485"/>
    <n v="0"/>
    <n v="79720"/>
  </r>
  <r>
    <x v="6"/>
    <m/>
    <s v="Lille Værløse skole"/>
    <n v="14253"/>
    <s v="0"/>
    <s v="Bygning B+C"/>
    <x v="111"/>
    <x v="0"/>
    <x v="1"/>
    <n v="260471.35"/>
    <n v="12"/>
    <s v="2011-05-31"/>
    <n v="0"/>
    <n v="6105"/>
    <n v="42.664549999999998"/>
    <n v="2"/>
    <x v="2"/>
    <n v="260471.35"/>
    <n v="78141.38"/>
    <n v="0"/>
    <s v="384246"/>
    <s v="74110485968"/>
    <n v="260471.35"/>
    <n v="0"/>
    <n v="72734"/>
  </r>
  <r>
    <x v="6"/>
    <m/>
    <s v="Hareskov Skole, POP 6-12"/>
    <n v="11000"/>
    <m/>
    <s v="POP-øst"/>
    <x v="110"/>
    <x v="0"/>
    <x v="1"/>
    <n v="35315"/>
    <n v="12"/>
    <s v="2010-12-02"/>
    <n v="0"/>
    <n v="652"/>
    <n v="54.155804000000003"/>
    <n v="1"/>
    <x v="1"/>
    <n v="35315"/>
    <n v="2260.17"/>
    <n v="0"/>
    <s v="Ny Pop øst"/>
    <m/>
    <n v="35315"/>
    <n v="0"/>
    <n v="79521"/>
  </r>
  <r>
    <x v="6"/>
    <m/>
    <s v="Hareskov Skole, POP 6-12"/>
    <n v="10991"/>
    <m/>
    <s v="Bygning 8, Svømmehal"/>
    <x v="110"/>
    <x v="0"/>
    <x v="1"/>
    <n v="315730"/>
    <n v="12"/>
    <s v="2013-03-31"/>
    <n v="0"/>
    <n v="1475"/>
    <n v="214.039726"/>
    <n v="1"/>
    <x v="1"/>
    <n v="332973.82"/>
    <n v="61600.15"/>
    <n v="0"/>
    <s v="Svømmehal KWh"/>
    <m/>
    <n v="315729.99699999997"/>
    <n v="0"/>
    <n v="94185"/>
  </r>
  <r>
    <x v="6"/>
    <m/>
    <s v="Hareskov Skole, POP 6-12"/>
    <n v="9220"/>
    <m/>
    <s v="Hareskov Skole"/>
    <x v="110"/>
    <x v="0"/>
    <x v="1"/>
    <n v="69312.479999999996"/>
    <n v="12"/>
    <m/>
    <n v="0"/>
    <n v="7549"/>
    <n v="9.1815549999999995"/>
    <n v="1"/>
    <x v="3"/>
    <n v="69312.479999999996"/>
    <n v="367521.04"/>
    <n v="0"/>
    <s v="Pop vest"/>
    <m/>
    <n v="1986.6"/>
    <n v="77262"/>
    <n v="77265"/>
  </r>
  <r>
    <x v="6"/>
    <m/>
    <s v="Egeskolen, Jon 150/286"/>
    <n v="9224"/>
    <m/>
    <s v="Egeskolen (under Jonstrup gl. seminarium)"/>
    <x v="109"/>
    <x v="0"/>
    <x v="0"/>
    <n v="421876"/>
    <n v="5"/>
    <m/>
    <n v="0"/>
    <n v="4404"/>
    <n v="57.315945999999997"/>
    <n v="1"/>
    <x v="4"/>
    <n v="485000"/>
    <n v="60085.91"/>
    <n v="0"/>
    <m/>
    <s v="98001319152"/>
    <n v="23372.7"/>
    <n v="0"/>
    <n v="77267"/>
  </r>
  <r>
    <x v="6"/>
    <m/>
    <s v="Egeskolen, Jon 150/286"/>
    <n v="9224"/>
    <m/>
    <s v="Egeskolen (under Jonstrup gl. seminarium)"/>
    <x v="109"/>
    <x v="0"/>
    <x v="1"/>
    <n v="519220.8"/>
    <n v="12"/>
    <m/>
    <n v="0"/>
    <n v="4404"/>
    <n v="117.89487"/>
    <n v="1"/>
    <x v="4"/>
    <n v="541156.37"/>
    <n v="114444.56"/>
    <n v="0"/>
    <m/>
    <s v="98001319152"/>
    <n v="48076"/>
    <n v="0"/>
    <n v="77267"/>
  </r>
  <r>
    <x v="6"/>
    <m/>
    <s v="Egeskolen, Jon 150/286"/>
    <n v="9224"/>
    <m/>
    <s v="Egeskolen (under Jonstrup gl. seminarium)"/>
    <x v="109"/>
    <x v="0"/>
    <x v="2"/>
    <n v="542937.59999999998"/>
    <n v="12"/>
    <m/>
    <n v="0"/>
    <n v="4404"/>
    <n v="123.280034"/>
    <n v="1"/>
    <x v="4"/>
    <n v="572202.49"/>
    <n v="121010.23"/>
    <n v="0"/>
    <m/>
    <s v="98001319152"/>
    <n v="50272"/>
    <n v="0"/>
    <n v="77267"/>
  </r>
  <r>
    <x v="6"/>
    <m/>
    <s v="Egeskolen, Jon 150/286"/>
    <n v="9224"/>
    <m/>
    <s v="Egeskolen (under Jonstrup gl. seminarium)"/>
    <x v="109"/>
    <x v="0"/>
    <x v="3"/>
    <n v="514933.2"/>
    <n v="12"/>
    <m/>
    <n v="0"/>
    <n v="4404"/>
    <n v="116.921323"/>
    <n v="1"/>
    <x v="4"/>
    <n v="567606.04"/>
    <n v="120038.15"/>
    <n v="0"/>
    <m/>
    <s v="98001319152"/>
    <n v="47679"/>
    <n v="0"/>
    <n v="77267"/>
  </r>
  <r>
    <x v="6"/>
    <m/>
    <s v="Egeskolen, Jon 150/286"/>
    <n v="9224"/>
    <m/>
    <s v="Egeskolen (under Jonstrup gl. seminarium)"/>
    <x v="109"/>
    <x v="0"/>
    <x v="4"/>
    <n v="670544.87"/>
    <n v="12"/>
    <m/>
    <n v="0"/>
    <n v="4404"/>
    <n v="152.25468699999999"/>
    <n v="1"/>
    <x v="4"/>
    <n v="893369.63"/>
    <n v="188931.13"/>
    <n v="0"/>
    <m/>
    <s v="98001319152"/>
    <n v="62087.487999999998"/>
    <n v="0"/>
    <n v="77267"/>
  </r>
  <r>
    <x v="6"/>
    <m/>
    <s v="Egeskolen, Jon 150/286"/>
    <n v="9224"/>
    <m/>
    <s v="Egeskolen (under Jonstrup gl. seminarium)"/>
    <x v="109"/>
    <x v="0"/>
    <x v="5"/>
    <n v="493306.34"/>
    <n v="12"/>
    <m/>
    <n v="0"/>
    <n v="4404"/>
    <n v="112.01070300000001"/>
    <n v="1"/>
    <x v="4"/>
    <n v="526273.94999999995"/>
    <n v="111297.19"/>
    <n v="0"/>
    <m/>
    <s v="98001319152"/>
    <n v="45676.512999999999"/>
    <n v="0"/>
    <n v="77267"/>
  </r>
  <r>
    <x v="6"/>
    <m/>
    <s v="Egeskolen, Jon 150/286"/>
    <n v="9224"/>
    <m/>
    <s v="Egeskolen (under Jonstrup gl. seminarium)"/>
    <x v="109"/>
    <x v="0"/>
    <x v="6"/>
    <n v="221851.16"/>
    <n v="3"/>
    <s v="2008-04-01"/>
    <n v="0"/>
    <n v="4404"/>
    <n v="50.373778000000001"/>
    <n v="1"/>
    <x v="4"/>
    <n v="277073.8"/>
    <n v="58595.97"/>
    <n v="0"/>
    <s v="AFMELDT"/>
    <m/>
    <n v="20541.77419"/>
    <n v="0"/>
    <n v="77972"/>
  </r>
  <r>
    <x v="6"/>
    <m/>
    <s v="Egeskolen, Jon 150/286"/>
    <n v="9224"/>
    <m/>
    <s v="Egeskolen (under Jonstrup gl. seminarium)"/>
    <x v="109"/>
    <x v="0"/>
    <x v="6"/>
    <n v="318265.2"/>
    <n v="12"/>
    <m/>
    <n v="0"/>
    <n v="4404"/>
    <n v="72.265660999999994"/>
    <n v="1"/>
    <x v="4"/>
    <n v="353205.49"/>
    <n v="74696.41"/>
    <n v="0"/>
    <m/>
    <s v="98001319152"/>
    <n v="29469"/>
    <n v="0"/>
    <n v="77267"/>
  </r>
  <r>
    <x v="6"/>
    <m/>
    <s v="Hareskov gl. bibliotek, Hareskov Skole, POP13"/>
    <n v="10230"/>
    <m/>
    <s v="1.st. klasse huset, Hareskov Skole"/>
    <x v="108"/>
    <x v="0"/>
    <x v="0"/>
    <n v="45505"/>
    <n v="5"/>
    <m/>
    <n v="0"/>
    <n v="711"/>
    <n v="40.561101999999998"/>
    <n v="1"/>
    <x v="1"/>
    <n v="53668"/>
    <n v="6063.02"/>
    <n v="0"/>
    <s v="2729798/2006"/>
    <m/>
    <n v="28843"/>
    <n v="0"/>
    <n v="90964"/>
  </r>
  <r>
    <x v="6"/>
    <m/>
    <s v="Hareskov gl. bibliotek, Hareskov Skole, POP13"/>
    <n v="10230"/>
    <m/>
    <s v="1.st. klasse huset, Hareskov Skole"/>
    <x v="108"/>
    <x v="0"/>
    <x v="1"/>
    <n v="58396"/>
    <n v="12"/>
    <m/>
    <n v="0"/>
    <n v="711"/>
    <n v="82.120658000000006"/>
    <n v="1"/>
    <x v="1"/>
    <n v="60539.97"/>
    <n v="11199.88"/>
    <n v="0"/>
    <s v="2729798/2006"/>
    <m/>
    <n v="58396"/>
    <n v="0"/>
    <n v="90964"/>
  </r>
  <r>
    <x v="6"/>
    <m/>
    <s v="Hareskov gl. bibliotek, Hareskov Skole, POP13"/>
    <n v="10230"/>
    <m/>
    <s v="1.st. klasse huset, Hareskov Skole"/>
    <x v="108"/>
    <x v="0"/>
    <x v="2"/>
    <n v="59412"/>
    <n v="12"/>
    <m/>
    <n v="0"/>
    <n v="711"/>
    <n v="83.549430000000001"/>
    <n v="1"/>
    <x v="1"/>
    <n v="62221.61"/>
    <n v="11511"/>
    <n v="0"/>
    <s v="2729798/2006"/>
    <m/>
    <n v="59412.0003"/>
    <n v="0"/>
    <n v="90964"/>
  </r>
  <r>
    <x v="6"/>
    <m/>
    <s v="Hareskov gl. bibliotek, Hareskov Skole, POP13"/>
    <n v="10230"/>
    <m/>
    <s v="1.st. klasse huset, Hareskov Skole"/>
    <x v="108"/>
    <x v="0"/>
    <x v="3"/>
    <n v="55544.01"/>
    <n v="9"/>
    <s v="2011-12-31"/>
    <n v="0"/>
    <n v="711"/>
    <n v="78.109983999999997"/>
    <n v="1"/>
    <x v="5"/>
    <n v="64734.080000000002"/>
    <n v="11975.81"/>
    <n v="0"/>
    <s v="2729798/2006"/>
    <m/>
    <n v="55.54401"/>
    <n v="0"/>
    <n v="77565"/>
  </r>
  <r>
    <x v="6"/>
    <m/>
    <s v="Hareskov gl. bibliotek, Hareskov Skole, POP13"/>
    <n v="10230"/>
    <m/>
    <s v="1.st. klasse huset, Hareskov Skole"/>
    <x v="108"/>
    <x v="0"/>
    <x v="4"/>
    <n v="73418.740000000005"/>
    <n v="11"/>
    <s v="2011-12-31"/>
    <n v="0"/>
    <n v="711"/>
    <n v="103.24671600000001"/>
    <n v="1"/>
    <x v="5"/>
    <n v="66801.460000000006"/>
    <n v="12358.25"/>
    <n v="0"/>
    <s v="2729798/2006"/>
    <m/>
    <n v="73.41874"/>
    <n v="0"/>
    <n v="77565"/>
  </r>
  <r>
    <x v="6"/>
    <m/>
    <s v="Hareskov gl. bibliotek, Hareskov Skole, POP13"/>
    <n v="10230"/>
    <m/>
    <s v="1.st. klasse huset, Hareskov Skole"/>
    <x v="108"/>
    <x v="0"/>
    <x v="5"/>
    <n v="55067.57"/>
    <n v="12"/>
    <s v="2011-12-31"/>
    <n v="0"/>
    <n v="711"/>
    <n v="77.439980000000006"/>
    <n v="1"/>
    <x v="5"/>
    <n v="58053.08"/>
    <n v="10739.83"/>
    <n v="0"/>
    <s v="2729798/2006"/>
    <m/>
    <n v="55.067570000000003"/>
    <n v="0"/>
    <n v="77565"/>
  </r>
  <r>
    <x v="6"/>
    <m/>
    <s v="Hareskov gl. bibliotek, Hareskov Skole, POP13"/>
    <n v="10230"/>
    <m/>
    <s v="1.st. klasse huset, Hareskov Skole"/>
    <x v="108"/>
    <x v="0"/>
    <x v="6"/>
    <n v="57181.55"/>
    <n v="13"/>
    <s v="2011-12-31"/>
    <n v="0"/>
    <n v="711"/>
    <n v="80.412811000000005"/>
    <n v="1"/>
    <x v="5"/>
    <n v="65914.539999999994"/>
    <n v="12194.19"/>
    <n v="0"/>
    <s v="2729798/2006"/>
    <m/>
    <n v="57.181550000000001"/>
    <n v="0"/>
    <n v="77565"/>
  </r>
  <r>
    <x v="6"/>
    <m/>
    <s v="Hareskov Skole, POP 6-12"/>
    <n v="10991"/>
    <m/>
    <s v="Bygning 8, Svømmehal"/>
    <x v="110"/>
    <x v="0"/>
    <x v="7"/>
    <n v="383300"/>
    <n v="12"/>
    <s v="2013-03-31"/>
    <n v="0"/>
    <n v="1475"/>
    <n v="259.84679"/>
    <n v="1"/>
    <x v="1"/>
    <n v="446433.06"/>
    <n v="82590.13"/>
    <n v="0"/>
    <s v="Svømmehal KWh"/>
    <m/>
    <n v="383300.00300000003"/>
    <n v="0"/>
    <n v="94185"/>
  </r>
  <r>
    <x v="6"/>
    <m/>
    <s v="Hareskov Skole, POP 6-12"/>
    <n v="9220"/>
    <m/>
    <s v="Hareskov Skole"/>
    <x v="110"/>
    <x v="0"/>
    <x v="7"/>
    <n v="51295.28"/>
    <n v="12"/>
    <m/>
    <n v="0"/>
    <n v="7549"/>
    <n v="6.794886"/>
    <n v="1"/>
    <x v="3"/>
    <n v="51295.28"/>
    <n v="271987.01"/>
    <n v="0"/>
    <s v="Pop vest"/>
    <m/>
    <n v="1470.2"/>
    <n v="77262"/>
    <n v="77265"/>
  </r>
  <r>
    <x v="6"/>
    <m/>
    <s v="Hareskov Skole, POP 6-12"/>
    <n v="10991"/>
    <m/>
    <s v="Bygning 8, Svømmehal"/>
    <x v="110"/>
    <x v="0"/>
    <x v="2"/>
    <n v="248775.7"/>
    <n v="9"/>
    <s v="2012-10-12"/>
    <n v="0"/>
    <n v="1475"/>
    <n v="168.650057"/>
    <n v="1"/>
    <x v="5"/>
    <n v="248775.7"/>
    <n v="46023.519999999997"/>
    <n v="0"/>
    <s v="Svømmehal NEDTAGET"/>
    <m/>
    <n v="248.7757"/>
    <n v="0"/>
    <n v="79522"/>
  </r>
  <r>
    <x v="6"/>
    <m/>
    <s v="Hareskov Skole, POP 6-12"/>
    <n v="10991"/>
    <m/>
    <s v="Bygning 8, Svømmehal"/>
    <x v="110"/>
    <x v="0"/>
    <x v="3"/>
    <n v="397827.01"/>
    <n v="8"/>
    <s v="2012-10-12"/>
    <n v="0"/>
    <n v="1475"/>
    <n v="269.69494200000003"/>
    <n v="1"/>
    <x v="5"/>
    <n v="397827.01"/>
    <n v="73598.009999999995"/>
    <n v="0"/>
    <s v="Svømmehal NEDTAGET"/>
    <m/>
    <n v="397.82700999999997"/>
    <n v="0"/>
    <n v="79522"/>
  </r>
  <r>
    <x v="6"/>
    <m/>
    <s v="Hareskov Skole, POP 6-12"/>
    <n v="10991"/>
    <m/>
    <s v="Bygning 8, Svømmehal"/>
    <x v="110"/>
    <x v="0"/>
    <x v="4"/>
    <n v="449873.56"/>
    <n v="12"/>
    <s v="2012-10-12"/>
    <n v="0"/>
    <n v="1475"/>
    <n v="304.97834699999999"/>
    <n v="1"/>
    <x v="5"/>
    <n v="449873.56"/>
    <n v="83226.600000000006"/>
    <n v="0"/>
    <s v="Svømmehal NEDTAGET"/>
    <m/>
    <n v="449.87356"/>
    <n v="0"/>
    <n v="79522"/>
  </r>
  <r>
    <x v="6"/>
    <m/>
    <s v="Hareskov Skole, POP 6-12"/>
    <n v="10991"/>
    <m/>
    <s v="Bygning 8, Svømmehal"/>
    <x v="110"/>
    <x v="0"/>
    <x v="5"/>
    <n v="380427.6"/>
    <n v="11"/>
    <s v="2012-10-12"/>
    <n v="0"/>
    <n v="1475"/>
    <n v="257.89953200000002"/>
    <n v="1"/>
    <x v="5"/>
    <n v="380427.6"/>
    <n v="70379.100000000006"/>
    <n v="0"/>
    <s v="Svømmehal NEDTAGET"/>
    <m/>
    <n v="380.42759999999998"/>
    <n v="0"/>
    <n v="79522"/>
  </r>
  <r>
    <x v="6"/>
    <m/>
    <s v="Hareskov Skole, POP 6-12"/>
    <n v="10991"/>
    <m/>
    <s v="Bygning 8, Svømmehal"/>
    <x v="110"/>
    <x v="0"/>
    <x v="6"/>
    <n v="430283.55"/>
    <n v="12"/>
    <s v="2012-10-12"/>
    <n v="0"/>
    <n v="1475"/>
    <n v="291.69788399999999"/>
    <n v="1"/>
    <x v="5"/>
    <n v="430283.55"/>
    <n v="79602.45"/>
    <n v="0"/>
    <s v="Svømmehal NEDTAGET"/>
    <m/>
    <n v="430.28354999999999"/>
    <n v="0"/>
    <n v="79522"/>
  </r>
  <r>
    <x v="6"/>
    <m/>
    <s v="Hareskov Skole, POP 6-12"/>
    <n v="9220"/>
    <m/>
    <s v="Hareskov Skole"/>
    <x v="110"/>
    <x v="0"/>
    <x v="7"/>
    <n v="46620"/>
    <n v="12"/>
    <m/>
    <n v="0"/>
    <n v="7549"/>
    <n v="6.1755699999999996"/>
    <n v="1"/>
    <x v="1"/>
    <n v="46620"/>
    <n v="8624.7000000000007"/>
    <n v="0"/>
    <s v="Pop vest"/>
    <m/>
    <n v="46620"/>
    <n v="0"/>
    <n v="77262"/>
  </r>
  <r>
    <x v="6"/>
    <m/>
    <s v="Hareskov Skole, POP 6-12"/>
    <n v="11000"/>
    <m/>
    <s v="POP-øst"/>
    <x v="110"/>
    <x v="0"/>
    <x v="7"/>
    <n v="22869"/>
    <n v="12"/>
    <s v="2010-12-02"/>
    <n v="0"/>
    <n v="652"/>
    <n v="35.069774000000002"/>
    <n v="1"/>
    <x v="1"/>
    <n v="22869"/>
    <n v="1463.61"/>
    <n v="0"/>
    <s v="Ny Pop øst"/>
    <m/>
    <n v="22869"/>
    <n v="0"/>
    <n v="79521"/>
  </r>
  <r>
    <x v="6"/>
    <m/>
    <s v="Hareskov Skole, POP 6-12"/>
    <n v="9220"/>
    <m/>
    <s v="Hareskov Skole"/>
    <x v="110"/>
    <x v="0"/>
    <x v="7"/>
    <n v="560704.72"/>
    <n v="12"/>
    <s v="2011-10-31"/>
    <n v="0"/>
    <n v="7549"/>
    <n v="74.274378999999996"/>
    <n v="1"/>
    <x v="5"/>
    <n v="721807.82"/>
    <n v="133534.46"/>
    <n v="0"/>
    <s v="Værksted hovedmåler 28434"/>
    <m/>
    <n v="-469391.20069999999"/>
    <n v="0"/>
    <n v="77263"/>
  </r>
  <r>
    <x v="6"/>
    <m/>
    <s v="Hareskov Skole, POP 6-12"/>
    <n v="11000"/>
    <m/>
    <s v="POP-øst"/>
    <x v="110"/>
    <x v="0"/>
    <x v="7"/>
    <n v="14110.89"/>
    <n v="12"/>
    <s v="2010-11-01"/>
    <n v="0"/>
    <n v="652"/>
    <n v="21.639150000000001"/>
    <n v="1"/>
    <x v="5"/>
    <n v="14110.89"/>
    <n v="0.91"/>
    <n v="0"/>
    <s v="popgård, 1. KL hus, røde hus"/>
    <m/>
    <n v="-178706.10010000001"/>
    <n v="0"/>
    <n v="80204"/>
  </r>
  <r>
    <x v="6"/>
    <m/>
    <s v="Hareskov Skole, POP 6-12"/>
    <n v="10991"/>
    <m/>
    <s v="Bygning 8, Svømmehal"/>
    <x v="110"/>
    <x v="0"/>
    <x v="0"/>
    <n v="199590"/>
    <n v="5"/>
    <s v="2013-03-31"/>
    <n v="0"/>
    <n v="1475"/>
    <n v="135.30608000000001"/>
    <n v="1"/>
    <x v="1"/>
    <n v="221253.63"/>
    <n v="40931.919999999998"/>
    <n v="0"/>
    <s v="Svømmehal KWh"/>
    <m/>
    <n v="199590"/>
    <n v="0"/>
    <n v="94185"/>
  </r>
  <r>
    <x v="6"/>
    <m/>
    <s v="Hareskov Skole, POP 6-12"/>
    <n v="9220"/>
    <m/>
    <s v="Hareskov Skole"/>
    <x v="110"/>
    <x v="0"/>
    <x v="0"/>
    <n v="38218.51"/>
    <n v="5"/>
    <m/>
    <n v="0"/>
    <n v="7549"/>
    <n v="5.0626569999999997"/>
    <n v="1"/>
    <x v="3"/>
    <n v="38218.51"/>
    <n v="202649.03"/>
    <n v="0"/>
    <s v="Pop vest"/>
    <m/>
    <n v="1095.4000000000001"/>
    <n v="77262"/>
    <n v="77265"/>
  </r>
  <r>
    <x v="6"/>
    <m/>
    <s v="Hareskov Skole, POP 6-12"/>
    <n v="9220"/>
    <m/>
    <s v="Hareskov Skole"/>
    <x v="110"/>
    <x v="0"/>
    <x v="2"/>
    <n v="68480"/>
    <n v="12"/>
    <m/>
    <n v="0"/>
    <n v="7549"/>
    <n v="9.0712799999999998"/>
    <n v="1"/>
    <x v="1"/>
    <n v="68480"/>
    <n v="12668.8"/>
    <n v="0"/>
    <s v="Pop vest"/>
    <m/>
    <n v="68480"/>
    <n v="0"/>
    <n v="77262"/>
  </r>
  <r>
    <x v="6"/>
    <m/>
    <s v="Hareskov Skole, POP 6-12"/>
    <n v="9220"/>
    <m/>
    <s v="Hareskov Skole"/>
    <x v="110"/>
    <x v="0"/>
    <x v="2"/>
    <n v="56553.2"/>
    <n v="12"/>
    <m/>
    <n v="0"/>
    <n v="7549"/>
    <n v="7.4913829999999999"/>
    <n v="1"/>
    <x v="3"/>
    <n v="56553.2"/>
    <n v="299866.48"/>
    <n v="0"/>
    <s v="Pop vest"/>
    <m/>
    <n v="1620.9"/>
    <n v="77262"/>
    <n v="77265"/>
  </r>
  <r>
    <x v="6"/>
    <m/>
    <s v="Hareskov Skole, POP 6-12"/>
    <n v="9220"/>
    <m/>
    <s v="Hareskov Skole"/>
    <x v="110"/>
    <x v="0"/>
    <x v="2"/>
    <n v="823264.89"/>
    <n v="12"/>
    <s v="2011-10-31"/>
    <n v="0"/>
    <n v="7549"/>
    <n v="109.05470699999999"/>
    <n v="1"/>
    <x v="5"/>
    <n v="880499.33"/>
    <n v="162892.32"/>
    <n v="0"/>
    <s v="Værksted hovedmåler 28434"/>
    <m/>
    <n v="-130763.14399"/>
    <n v="0"/>
    <n v="77263"/>
  </r>
  <r>
    <x v="6"/>
    <m/>
    <s v="Hareskov Skole, POP 6-12"/>
    <n v="9220"/>
    <m/>
    <s v="Hareskov Skole"/>
    <x v="110"/>
    <x v="0"/>
    <x v="3"/>
    <n v="752523.9"/>
    <n v="9"/>
    <s v="2011-10-31"/>
    <n v="0"/>
    <n v="7549"/>
    <n v="99.683921999999995"/>
    <n v="1"/>
    <x v="5"/>
    <n v="933858.15"/>
    <n v="172763.76"/>
    <n v="0"/>
    <s v="Værksted hovedmåler 28434"/>
    <m/>
    <n v="-163799.24012999999"/>
    <n v="0"/>
    <n v="77263"/>
  </r>
  <r>
    <x v="6"/>
    <m/>
    <s v="Hareskov Skole, POP 6-12"/>
    <n v="9220"/>
    <m/>
    <s v="Hareskov Skole"/>
    <x v="110"/>
    <x v="0"/>
    <x v="3"/>
    <n v="51856.37"/>
    <n v="4"/>
    <s v="2011-08-01"/>
    <n v="0"/>
    <n v="7549"/>
    <n v="6.8692120000000001"/>
    <n v="1"/>
    <x v="5"/>
    <n v="51856.37"/>
    <n v="9.6"/>
    <n v="0"/>
    <s v="Pop Vest"/>
    <m/>
    <n v="51.856369999999998"/>
    <n v="0"/>
    <n v="79520"/>
  </r>
  <r>
    <x v="6"/>
    <m/>
    <s v="Hareskov Skole, POP 6-12"/>
    <n v="9220"/>
    <m/>
    <s v="Hareskov Skole"/>
    <x v="110"/>
    <x v="0"/>
    <x v="3"/>
    <n v="81370"/>
    <n v="12"/>
    <m/>
    <n v="0"/>
    <n v="7549"/>
    <n v="10.778767999999999"/>
    <n v="1"/>
    <x v="1"/>
    <n v="81370"/>
    <n v="15053.45"/>
    <n v="0"/>
    <s v="Pop vest"/>
    <m/>
    <n v="81370"/>
    <n v="0"/>
    <n v="77262"/>
  </r>
  <r>
    <x v="6"/>
    <m/>
    <s v="Hareskov Skole, POP 6-12"/>
    <n v="9220"/>
    <m/>
    <s v="Hareskov Skole"/>
    <x v="110"/>
    <x v="0"/>
    <x v="3"/>
    <n v="61280.82"/>
    <n v="12"/>
    <m/>
    <n v="0"/>
    <n v="7549"/>
    <n v="8.1176320000000004"/>
    <n v="1"/>
    <x v="3"/>
    <n v="61280.82"/>
    <n v="324934.15000000002"/>
    <n v="0"/>
    <s v="Pop vest"/>
    <m/>
    <n v="1756.4"/>
    <n v="77262"/>
    <n v="77265"/>
  </r>
  <r>
    <x v="6"/>
    <m/>
    <s v="Hareskov Skole, POP 6-12"/>
    <n v="9220"/>
    <m/>
    <s v="Hareskov Skole"/>
    <x v="110"/>
    <x v="0"/>
    <x v="4"/>
    <n v="821040.68"/>
    <n v="13"/>
    <s v="2011-10-31"/>
    <n v="0"/>
    <n v="7549"/>
    <n v="108.760074"/>
    <n v="1"/>
    <x v="5"/>
    <n v="713579.35"/>
    <n v="132012.21"/>
    <n v="0"/>
    <s v="Værksted hovedmåler 28434"/>
    <m/>
    <n v="-124860.03247999999"/>
    <n v="0"/>
    <n v="77263"/>
  </r>
  <r>
    <x v="6"/>
    <m/>
    <s v="Hareskov Skole, POP 6-12"/>
    <n v="9220"/>
    <m/>
    <s v="Hareskov Skole"/>
    <x v="110"/>
    <x v="0"/>
    <x v="4"/>
    <n v="84159.63"/>
    <n v="12"/>
    <s v="2011-08-01"/>
    <n v="0"/>
    <n v="7549"/>
    <n v="11.148299"/>
    <n v="1"/>
    <x v="5"/>
    <n v="84159.63"/>
    <n v="15.56"/>
    <n v="0"/>
    <s v="Pop Vest"/>
    <m/>
    <n v="84.159630000000007"/>
    <n v="0"/>
    <n v="79520"/>
  </r>
  <r>
    <x v="6"/>
    <m/>
    <s v="Hareskov Skole, POP 6-12"/>
    <n v="9220"/>
    <m/>
    <s v="Hareskov Skole"/>
    <x v="110"/>
    <x v="0"/>
    <x v="4"/>
    <n v="23010"/>
    <n v="12"/>
    <m/>
    <n v="0"/>
    <n v="7549"/>
    <n v="3.0480450000000001"/>
    <n v="1"/>
    <x v="1"/>
    <n v="23010"/>
    <n v="4256.8500000000004"/>
    <n v="0"/>
    <s v="Pop vest"/>
    <m/>
    <n v="23010"/>
    <n v="0"/>
    <n v="77262"/>
  </r>
  <r>
    <x v="6"/>
    <m/>
    <s v="Hareskov Skole, POP 6-12"/>
    <n v="9220"/>
    <m/>
    <s v="Hareskov Skole"/>
    <x v="110"/>
    <x v="0"/>
    <x v="4"/>
    <n v="16806.52"/>
    <n v="12"/>
    <m/>
    <n v="0"/>
    <n v="7549"/>
    <n v="2.2262940000000002"/>
    <n v="1"/>
    <x v="3"/>
    <n v="16806.52"/>
    <n v="89114.54"/>
    <n v="0"/>
    <s v="Pop vest"/>
    <m/>
    <n v="481.7"/>
    <n v="77262"/>
    <n v="77265"/>
  </r>
  <r>
    <x v="6"/>
    <m/>
    <s v="Hareskov Skole, POP 6-12"/>
    <n v="9220"/>
    <m/>
    <s v="Hareskov Skole"/>
    <x v="110"/>
    <x v="0"/>
    <x v="5"/>
    <n v="31120"/>
    <n v="12"/>
    <m/>
    <n v="0"/>
    <n v="7549"/>
    <n v="4.1223450000000001"/>
    <n v="1"/>
    <x v="1"/>
    <n v="31120"/>
    <n v="5757.2"/>
    <n v="0"/>
    <s v="Pop vest"/>
    <m/>
    <n v="31120"/>
    <n v="0"/>
    <n v="77262"/>
  </r>
  <r>
    <x v="6"/>
    <m/>
    <s v="Hareskov Skole, POP 6-12"/>
    <n v="9220"/>
    <m/>
    <s v="Hareskov Skole"/>
    <x v="110"/>
    <x v="0"/>
    <x v="5"/>
    <n v="18708.009999999998"/>
    <n v="12"/>
    <m/>
    <n v="0"/>
    <n v="7549"/>
    <n v="2.4781770000000001"/>
    <n v="1"/>
    <x v="3"/>
    <n v="18708.009999999998"/>
    <n v="99196.96"/>
    <n v="0"/>
    <s v="Pop vest"/>
    <m/>
    <n v="536.20000000000005"/>
    <n v="77262"/>
    <n v="77265"/>
  </r>
  <r>
    <x v="6"/>
    <m/>
    <s v="Hareskov Skole, POP 6-12"/>
    <n v="9220"/>
    <m/>
    <s v="Hareskov Skole"/>
    <x v="110"/>
    <x v="0"/>
    <x v="5"/>
    <n v="702998.53"/>
    <n v="11"/>
    <s v="2011-10-31"/>
    <n v="0"/>
    <n v="7549"/>
    <n v="93.123487999999995"/>
    <n v="1"/>
    <x v="5"/>
    <n v="766481.99"/>
    <n v="141799.20000000001"/>
    <n v="0"/>
    <s v="Værksted hovedmåler 28434"/>
    <m/>
    <n v="-102488.5102"/>
    <n v="0"/>
    <n v="77263"/>
  </r>
  <r>
    <x v="6"/>
    <m/>
    <s v="Hareskov Skole, POP 6-12"/>
    <n v="9220"/>
    <m/>
    <s v="Hareskov Skole"/>
    <x v="110"/>
    <x v="0"/>
    <x v="5"/>
    <n v="61012.7"/>
    <n v="11"/>
    <s v="2011-08-01"/>
    <n v="0"/>
    <n v="7549"/>
    <n v="8.0821149999999999"/>
    <n v="1"/>
    <x v="5"/>
    <n v="61012.7"/>
    <n v="11.28"/>
    <n v="0"/>
    <s v="Pop Vest"/>
    <m/>
    <n v="61.012700000000002"/>
    <n v="0"/>
    <n v="79520"/>
  </r>
  <r>
    <x v="6"/>
    <m/>
    <s v="Hareskov Skole, POP 6-12"/>
    <n v="9220"/>
    <m/>
    <s v="Hareskov Skole"/>
    <x v="110"/>
    <x v="0"/>
    <x v="6"/>
    <n v="48887.75"/>
    <n v="12"/>
    <s v="2011-08-01"/>
    <n v="0"/>
    <n v="7549"/>
    <n v="6.4759700000000002"/>
    <n v="1"/>
    <x v="5"/>
    <n v="48887.75"/>
    <n v="9.0500000000000007"/>
    <n v="0"/>
    <s v="Pop Vest"/>
    <m/>
    <n v="48.887749999999997"/>
    <n v="0"/>
    <n v="79520"/>
  </r>
  <r>
    <x v="6"/>
    <m/>
    <s v="Hareskov Skole, POP 6-12"/>
    <n v="9220"/>
    <m/>
    <s v="Hareskov Skole"/>
    <x v="110"/>
    <x v="0"/>
    <x v="6"/>
    <n v="17860"/>
    <n v="12"/>
    <m/>
    <n v="0"/>
    <n v="7549"/>
    <n v="2.3658440000000001"/>
    <n v="1"/>
    <x v="1"/>
    <n v="17860"/>
    <n v="3304.1"/>
    <n v="0"/>
    <s v="Pop vest"/>
    <m/>
    <n v="17860"/>
    <n v="0"/>
    <n v="77262"/>
  </r>
  <r>
    <x v="6"/>
    <m/>
    <s v="Hareskov Skole, POP 6-12"/>
    <n v="9220"/>
    <m/>
    <s v="Hareskov Skole"/>
    <x v="110"/>
    <x v="0"/>
    <x v="6"/>
    <n v="10774.04"/>
    <n v="12"/>
    <m/>
    <n v="0"/>
    <n v="7549"/>
    <n v="1.427195"/>
    <n v="1"/>
    <x v="3"/>
    <n v="10774.04"/>
    <n v="57128.04"/>
    <n v="0"/>
    <s v="Pop vest"/>
    <m/>
    <n v="308.8"/>
    <n v="77262"/>
    <n v="77265"/>
  </r>
  <r>
    <x v="6"/>
    <m/>
    <s v="Hareskov Skole, POP 6-12"/>
    <n v="9220"/>
    <m/>
    <s v="Hareskov Skole"/>
    <x v="110"/>
    <x v="0"/>
    <x v="6"/>
    <n v="978541.43"/>
    <n v="12"/>
    <s v="2011-10-31"/>
    <n v="0"/>
    <n v="7549"/>
    <n v="129.62358800000001"/>
    <n v="1"/>
    <x v="5"/>
    <n v="1143359.98"/>
    <n v="211521.63"/>
    <n v="0"/>
    <s v="Værksted hovedmåler 28434"/>
    <m/>
    <n v="-51993.854180000002"/>
    <n v="0"/>
    <n v="77263"/>
  </r>
  <r>
    <x v="6"/>
    <m/>
    <s v="Hareskov Skole, POP 6-12"/>
    <n v="9220"/>
    <m/>
    <s v="Hareskov Skole"/>
    <x v="110"/>
    <x v="0"/>
    <x v="0"/>
    <m/>
    <n v="5"/>
    <m/>
    <n v="0"/>
    <n v="7549"/>
    <n v="0"/>
    <n v="1"/>
    <x v="1"/>
    <n v="0"/>
    <n v="5762.75"/>
    <n v="0"/>
    <s v="Pop vest"/>
    <m/>
    <n v="31150"/>
    <n v="0"/>
    <n v="77262"/>
  </r>
  <r>
    <x v="6"/>
    <m/>
    <s v="Hareskov Skole, POP 6-12"/>
    <n v="9220"/>
    <m/>
    <s v="Hareskov Skole"/>
    <x v="110"/>
    <x v="0"/>
    <x v="0"/>
    <n v="682142"/>
    <n v="5"/>
    <s v="2011-10-31"/>
    <n v="0"/>
    <n v="7549"/>
    <n v="44.206128999999997"/>
    <n v="1"/>
    <x v="5"/>
    <n v="832816"/>
    <n v="75809.740000000005"/>
    <n v="0"/>
    <s v="Værksted hovedmåler 28434"/>
    <m/>
    <n v="-245592.351"/>
    <n v="0"/>
    <n v="77263"/>
  </r>
  <r>
    <x v="6"/>
    <m/>
    <s v="Hareskov Skole, POP 6-12"/>
    <n v="11000"/>
    <m/>
    <s v="POP-øst"/>
    <x v="110"/>
    <x v="0"/>
    <x v="0"/>
    <n v="35733"/>
    <n v="5"/>
    <s v="2010-12-02"/>
    <n v="0"/>
    <n v="652"/>
    <n v="22.042631"/>
    <n v="1"/>
    <x v="1"/>
    <n v="35733"/>
    <n v="919.93"/>
    <n v="0"/>
    <s v="Ny Pop øst"/>
    <m/>
    <n v="14374"/>
    <n v="0"/>
    <n v="79521"/>
  </r>
  <r>
    <x v="6"/>
    <m/>
    <s v="Hareskov Skole, POP 6-12"/>
    <n v="11000"/>
    <m/>
    <s v="POP-øst"/>
    <x v="110"/>
    <x v="0"/>
    <x v="0"/>
    <n v="0"/>
    <n v="5"/>
    <s v="2010-11-01"/>
    <n v="0"/>
    <n v="652"/>
    <n v="12.836865"/>
    <n v="1"/>
    <x v="5"/>
    <n v="0"/>
    <n v="0.52"/>
    <n v="0"/>
    <s v="popgård, 1. KL hus, røde hus"/>
    <m/>
    <n v="-98956.645000000004"/>
    <n v="0"/>
    <n v="80204"/>
  </r>
  <r>
    <x v="6"/>
    <m/>
    <s v="Hareskov Skole, POP 6-12"/>
    <n v="11000"/>
    <m/>
    <s v="POP-øst"/>
    <x v="110"/>
    <x v="0"/>
    <x v="2"/>
    <n v="-2519.09"/>
    <n v="12"/>
    <s v="2010-11-01"/>
    <n v="0"/>
    <n v="652"/>
    <n v="-3.8630420000000001"/>
    <n v="1"/>
    <x v="5"/>
    <n v="-2519.09"/>
    <n v="-0.47"/>
    <n v="0"/>
    <s v="popgård, 1. KL hus, røde hus"/>
    <m/>
    <n v="-194000.98373000001"/>
    <n v="0"/>
    <n v="80204"/>
  </r>
  <r>
    <x v="6"/>
    <m/>
    <s v="Hareskov Skole, POP 6-12"/>
    <n v="11000"/>
    <m/>
    <s v="POP-øst"/>
    <x v="110"/>
    <x v="0"/>
    <x v="2"/>
    <n v="31637"/>
    <n v="12"/>
    <s v="2010-12-02"/>
    <n v="0"/>
    <n v="652"/>
    <n v="48.515565000000002"/>
    <n v="1"/>
    <x v="1"/>
    <n v="31637"/>
    <n v="5852.84"/>
    <n v="0"/>
    <s v="Ny Pop øst"/>
    <m/>
    <n v="31637"/>
    <n v="0"/>
    <n v="79521"/>
  </r>
  <r>
    <x v="6"/>
    <m/>
    <s v="Hareskov Skole, POP 6-12"/>
    <n v="11000"/>
    <m/>
    <s v="POP-øst"/>
    <x v="110"/>
    <x v="0"/>
    <x v="3"/>
    <n v="37191"/>
    <n v="12"/>
    <s v="2010-12-02"/>
    <n v="0"/>
    <n v="652"/>
    <n v="57.032662999999999"/>
    <n v="1"/>
    <x v="1"/>
    <n v="37191"/>
    <n v="6880.34"/>
    <n v="0"/>
    <s v="Ny Pop øst"/>
    <m/>
    <n v="37191"/>
    <n v="0"/>
    <n v="79521"/>
  </r>
  <r>
    <x v="6"/>
    <m/>
    <s v="Hareskov Skole, POP 6-12"/>
    <n v="11000"/>
    <m/>
    <s v="POP-øst"/>
    <x v="110"/>
    <x v="0"/>
    <x v="3"/>
    <n v="-17818.52"/>
    <n v="12"/>
    <s v="2010-11-01"/>
    <n v="0"/>
    <n v="652"/>
    <n v="-27.324826999999999"/>
    <n v="1"/>
    <x v="5"/>
    <n v="-17818.52"/>
    <n v="-3.29"/>
    <n v="0"/>
    <s v="popgård, 1. KL hus, røde hus"/>
    <m/>
    <n v="-17.818519999999999"/>
    <n v="0"/>
    <n v="80204"/>
  </r>
  <r>
    <x v="6"/>
    <m/>
    <s v="Hareskov Skole, POP 6-12"/>
    <n v="11000"/>
    <m/>
    <s v="POP-øst"/>
    <x v="110"/>
    <x v="0"/>
    <x v="4"/>
    <n v="47485.02"/>
    <n v="9"/>
    <s v="2010-12-02"/>
    <n v="0"/>
    <n v="652"/>
    <n v="72.818616000000006"/>
    <n v="1"/>
    <x v="1"/>
    <n v="47485.02"/>
    <n v="8784.7099999999991"/>
    <n v="0"/>
    <s v="Ny Pop øst"/>
    <m/>
    <n v="47485.000010000003"/>
    <n v="0"/>
    <n v="79521"/>
  </r>
  <r>
    <x v="6"/>
    <m/>
    <s v="Hareskov Skole, POP 6-12"/>
    <n v="11000"/>
    <m/>
    <s v="POP-øst"/>
    <x v="110"/>
    <x v="0"/>
    <x v="4"/>
    <n v="33353.589999999997"/>
    <n v="12"/>
    <s v="2010-11-01"/>
    <n v="0"/>
    <n v="652"/>
    <n v="51.147967999999999"/>
    <n v="1"/>
    <x v="5"/>
    <n v="33353.589999999997"/>
    <n v="6.2"/>
    <n v="0"/>
    <s v="popgård, 1. KL hus, røde hus"/>
    <m/>
    <n v="33.353589999999997"/>
    <n v="0"/>
    <n v="80204"/>
  </r>
  <r>
    <x v="6"/>
    <m/>
    <s v="Hareskov Skole, POP 6-12"/>
    <n v="11000"/>
    <m/>
    <s v="POP-øst"/>
    <x v="110"/>
    <x v="0"/>
    <x v="5"/>
    <n v="67876.59"/>
    <n v="11"/>
    <s v="2010-11-01"/>
    <n v="0"/>
    <n v="652"/>
    <n v="104.089234"/>
    <n v="1"/>
    <x v="5"/>
    <n v="67876.59"/>
    <n v="12.54"/>
    <n v="0"/>
    <s v="popgård, 1. KL hus, røde hus"/>
    <m/>
    <n v="67.876589999999993"/>
    <n v="0"/>
    <n v="80204"/>
  </r>
  <r>
    <x v="6"/>
    <m/>
    <s v="Hareskov Skole, POP 6-12"/>
    <n v="11000"/>
    <m/>
    <s v="POP-øst"/>
    <x v="110"/>
    <x v="0"/>
    <x v="5"/>
    <n v="20657.650000000001"/>
    <n v="11"/>
    <s v="2010-12-02"/>
    <n v="0"/>
    <n v="652"/>
    <n v="31.678653000000001"/>
    <n v="1"/>
    <x v="1"/>
    <n v="20657.650000000001"/>
    <n v="3821.67"/>
    <n v="0"/>
    <s v="Ny Pop øst"/>
    <m/>
    <n v="20657.64515"/>
    <n v="0"/>
    <n v="79521"/>
  </r>
  <r>
    <x v="6"/>
    <m/>
    <s v="Hareskov Skole, POP 6-12"/>
    <n v="11000"/>
    <m/>
    <s v="POP-øst"/>
    <x v="110"/>
    <x v="0"/>
    <x v="6"/>
    <n v="-116295.28"/>
    <n v="7"/>
    <s v="2010-11-01"/>
    <n v="0"/>
    <n v="652"/>
    <n v="-178.339641"/>
    <n v="1"/>
    <x v="5"/>
    <n v="-116295.28"/>
    <n v="-21.49"/>
    <n v="0"/>
    <s v="popgård, 1. KL hus, røde hus"/>
    <m/>
    <n v="-116.29528000000001"/>
    <n v="0"/>
    <n v="80204"/>
  </r>
  <r>
    <x v="6"/>
    <m/>
    <s v="Hareskov Skole, POP 6-12"/>
    <n v="11000"/>
    <m/>
    <s v="POP-øst"/>
    <x v="110"/>
    <x v="0"/>
    <x v="6"/>
    <n v="34591.65"/>
    <n v="12"/>
    <s v="2010-12-02"/>
    <n v="0"/>
    <n v="652"/>
    <n v="53.046540999999998"/>
    <n v="1"/>
    <x v="1"/>
    <n v="34591.65"/>
    <n v="6399.46"/>
    <n v="0"/>
    <s v="Ny Pop øst"/>
    <m/>
    <n v="34591.645140000001"/>
    <n v="0"/>
    <n v="79521"/>
  </r>
  <r>
    <x v="6"/>
    <m/>
    <s v="Lille Værløse skole"/>
    <n v="14252"/>
    <s v="0"/>
    <s v="Bygning A"/>
    <x v="111"/>
    <x v="0"/>
    <x v="0"/>
    <n v="233150"/>
    <n v="5"/>
    <s v="2010-11-29"/>
    <n v="0"/>
    <n v="3700"/>
    <n v="40.328639000000003"/>
    <n v="1"/>
    <x v="5"/>
    <n v="272828"/>
    <n v="10859.07"/>
    <n v="0"/>
    <s v="Byg A 977804"/>
    <m/>
    <n v="149.22"/>
    <n v="0"/>
    <n v="79444"/>
  </r>
  <r>
    <x v="6"/>
    <m/>
    <s v="Lille Værløse skole"/>
    <n v="14252"/>
    <s v="0"/>
    <s v="Bygning A"/>
    <x v="111"/>
    <x v="0"/>
    <x v="1"/>
    <n v="262440"/>
    <n v="12"/>
    <s v="2010-11-29"/>
    <n v="0"/>
    <n v="3700"/>
    <n v="70.927812000000003"/>
    <n v="1"/>
    <x v="5"/>
    <n v="279051.15999999997"/>
    <n v="17859.27"/>
    <n v="0"/>
    <s v="Byg A 977804"/>
    <m/>
    <n v="262.44"/>
    <n v="0"/>
    <n v="79444"/>
  </r>
  <r>
    <x v="6"/>
    <m/>
    <s v="Lille Værløse skole"/>
    <n v="14252"/>
    <s v="0"/>
    <s v="Bygning A"/>
    <x v="111"/>
    <x v="0"/>
    <x v="2"/>
    <n v="332700"/>
    <n v="12"/>
    <s v="2010-11-29"/>
    <n v="0"/>
    <n v="3700"/>
    <n v="89.916488000000001"/>
    <n v="1"/>
    <x v="5"/>
    <n v="352367.15"/>
    <n v="65187.92"/>
    <n v="0"/>
    <s v="Byg A 977804"/>
    <m/>
    <n v="332.7"/>
    <n v="0"/>
    <n v="79444"/>
  </r>
  <r>
    <x v="6"/>
    <m/>
    <s v="Lille Værløse skole"/>
    <n v="14252"/>
    <s v="0"/>
    <s v="Bygning A"/>
    <x v="111"/>
    <x v="0"/>
    <x v="3"/>
    <n v="373500"/>
    <n v="12"/>
    <s v="2010-11-29"/>
    <n v="0"/>
    <n v="3700"/>
    <n v="100.943217"/>
    <n v="1"/>
    <x v="5"/>
    <n v="405751.59"/>
    <n v="75064.05"/>
    <n v="0"/>
    <s v="Byg A 977804"/>
    <m/>
    <n v="373.5"/>
    <n v="0"/>
    <n v="79444"/>
  </r>
  <r>
    <x v="6"/>
    <m/>
    <s v="Lille Værløse skole"/>
    <n v="14252"/>
    <s v="0"/>
    <s v="Bygning A"/>
    <x v="111"/>
    <x v="0"/>
    <x v="4"/>
    <n v="483073.32"/>
    <n v="8"/>
    <s v="2010-11-29"/>
    <n v="0"/>
    <n v="3700"/>
    <n v="130.556828"/>
    <n v="1"/>
    <x v="5"/>
    <n v="602624.80000000005"/>
    <n v="111485.58"/>
    <n v="0"/>
    <s v="Byg A 977804"/>
    <m/>
    <n v="483.07332000000002"/>
    <n v="0"/>
    <n v="79444"/>
  </r>
  <r>
    <x v="6"/>
    <m/>
    <s v="Lille Værløse skole"/>
    <n v="14252"/>
    <s v="0"/>
    <s v="Bygning A"/>
    <x v="111"/>
    <x v="0"/>
    <x v="5"/>
    <n v="388825.71"/>
    <n v="15"/>
    <s v="2010-11-29"/>
    <n v="0"/>
    <n v="3700"/>
    <n v="105.085189"/>
    <n v="1"/>
    <x v="5"/>
    <n v="425137.9"/>
    <n v="78650.5"/>
    <n v="0"/>
    <s v="Byg A 977804"/>
    <m/>
    <n v="388.82571000000002"/>
    <n v="0"/>
    <n v="79444"/>
  </r>
  <r>
    <x v="6"/>
    <m/>
    <s v="Lille Værløse skole"/>
    <n v="14252"/>
    <s v="0"/>
    <s v="Bygning A"/>
    <x v="111"/>
    <x v="0"/>
    <x v="6"/>
    <n v="320088.09000000003"/>
    <n v="14"/>
    <s v="2010-11-29"/>
    <n v="0"/>
    <n v="3700"/>
    <n v="86.507955999999993"/>
    <n v="1"/>
    <x v="5"/>
    <n v="368992.28"/>
    <n v="68263.55"/>
    <n v="0"/>
    <s v="Byg A 977804"/>
    <m/>
    <n v="320.08809000000002"/>
    <n v="0"/>
    <n v="79444"/>
  </r>
  <r>
    <x v="6"/>
    <m/>
    <s v="Lille Værløse skole"/>
    <n v="14253"/>
    <s v="0"/>
    <s v="Bygning B+C"/>
    <x v="111"/>
    <x v="0"/>
    <x v="0"/>
    <n v="418100"/>
    <n v="5"/>
    <m/>
    <n v="0"/>
    <n v="6105"/>
    <n v="40.195900999999999"/>
    <n v="1"/>
    <x v="5"/>
    <n v="484540"/>
    <n v="17684.75"/>
    <n v="0"/>
    <s v="Byg B+C 4507264"/>
    <m/>
    <n v="245.4"/>
    <n v="0"/>
    <n v="77355"/>
  </r>
  <r>
    <x v="6"/>
    <m/>
    <s v="Lille Værløse skole"/>
    <n v="14253"/>
    <s v="0"/>
    <s v="Bygning B+C"/>
    <x v="111"/>
    <x v="0"/>
    <x v="1"/>
    <n v="533000"/>
    <n v="12"/>
    <m/>
    <n v="0"/>
    <n v="6105"/>
    <n v="87.304057"/>
    <n v="1"/>
    <x v="5"/>
    <n v="555454.88"/>
    <n v="35549.129999999997"/>
    <n v="0"/>
    <s v="Byg B+C 4507264"/>
    <m/>
    <n v="533"/>
    <n v="0"/>
    <n v="77355"/>
  </r>
  <r>
    <x v="6"/>
    <m/>
    <s v="Lille Værløse skole"/>
    <n v="14253"/>
    <s v="0"/>
    <s v="Bygning B+C"/>
    <x v="111"/>
    <x v="0"/>
    <x v="2"/>
    <n v="598700"/>
    <n v="12"/>
    <m/>
    <n v="0"/>
    <n v="6105"/>
    <n v="98.065550999999999"/>
    <n v="1"/>
    <x v="5"/>
    <n v="630422.37"/>
    <n v="116628.13"/>
    <n v="0"/>
    <s v="Byg B+C 4507264"/>
    <m/>
    <n v="598.70000000000005"/>
    <n v="0"/>
    <n v="77355"/>
  </r>
  <r>
    <x v="6"/>
    <m/>
    <s v="Lille Værløse skole"/>
    <n v="14253"/>
    <s v="0"/>
    <s v="Bygning B+C"/>
    <x v="111"/>
    <x v="0"/>
    <x v="3"/>
    <n v="635200"/>
    <n v="12"/>
    <m/>
    <n v="0"/>
    <n v="6105"/>
    <n v="104.04415899999999"/>
    <n v="1"/>
    <x v="5"/>
    <n v="684232.47"/>
    <n v="126583.02"/>
    <n v="0"/>
    <s v="Byg B+C 4507264"/>
    <m/>
    <n v="635.20000000000005"/>
    <n v="0"/>
    <n v="77355"/>
  </r>
  <r>
    <x v="6"/>
    <m/>
    <s v="Lille Værløse skole"/>
    <n v="14253"/>
    <s v="0"/>
    <s v="Bygning B+C"/>
    <x v="111"/>
    <x v="0"/>
    <x v="4"/>
    <n v="755599.99"/>
    <n v="12"/>
    <m/>
    <n v="0"/>
    <n v="6105"/>
    <n v="123.76537399999999"/>
    <n v="1"/>
    <x v="5"/>
    <n v="683919.44"/>
    <n v="126525.09"/>
    <n v="0"/>
    <s v="Byg B+C 4507264"/>
    <m/>
    <n v="755.59999000000005"/>
    <n v="0"/>
    <n v="77355"/>
  </r>
  <r>
    <x v="6"/>
    <m/>
    <s v="Lille Værløse skole"/>
    <n v="14253"/>
    <s v="0"/>
    <s v="Bygning B+C"/>
    <x v="111"/>
    <x v="0"/>
    <x v="5"/>
    <n v="583600"/>
    <n v="12"/>
    <m/>
    <n v="0"/>
    <n v="6105"/>
    <n v="95.592208999999997"/>
    <n v="1"/>
    <x v="5"/>
    <n v="613801.06999999995"/>
    <n v="113553.19"/>
    <n v="0"/>
    <s v="Byg B+C 4507264"/>
    <m/>
    <n v="583.6"/>
    <n v="0"/>
    <n v="77355"/>
  </r>
  <r>
    <x v="6"/>
    <m/>
    <s v="Lille Værløse skole"/>
    <n v="14253"/>
    <s v="0"/>
    <s v="Bygning B+C"/>
    <x v="111"/>
    <x v="0"/>
    <x v="6"/>
    <n v="244600"/>
    <n v="12"/>
    <m/>
    <n v="0"/>
    <n v="6105"/>
    <n v="40.064863000000003"/>
    <n v="1"/>
    <x v="5"/>
    <n v="260570.95"/>
    <n v="48205.63"/>
    <n v="0"/>
    <s v="Byg B+C 4507264"/>
    <m/>
    <n v="244.6"/>
    <n v="0"/>
    <n v="77355"/>
  </r>
  <r>
    <x v="6"/>
    <m/>
    <s v="Lille Værløse skole"/>
    <n v="14254"/>
    <s v="0"/>
    <s v="Bygning D"/>
    <x v="111"/>
    <x v="0"/>
    <x v="0"/>
    <n v="243700"/>
    <n v="5"/>
    <m/>
    <n v="0"/>
    <n v="2840"/>
    <n v="54.748072000000001"/>
    <n v="1"/>
    <x v="1"/>
    <n v="281763"/>
    <n v="11218.72"/>
    <n v="0"/>
    <s v="Byg D."/>
    <m/>
    <n v="155490"/>
    <n v="0"/>
    <n v="77356"/>
  </r>
  <r>
    <x v="6"/>
    <m/>
    <s v="Lille Værløse skole"/>
    <n v="14254"/>
    <s v="0"/>
    <s v="Bygning D"/>
    <x v="111"/>
    <x v="0"/>
    <x v="1"/>
    <n v="311260"/>
    <n v="12"/>
    <m/>
    <n v="0"/>
    <n v="2840"/>
    <n v="109.59473199999999"/>
    <n v="1"/>
    <x v="1"/>
    <n v="324535.3"/>
    <n v="20770.25"/>
    <n v="0"/>
    <s v="Byg D."/>
    <m/>
    <n v="311260"/>
    <n v="0"/>
    <n v="77356"/>
  </r>
  <r>
    <x v="6"/>
    <m/>
    <s v="Lille Værløse skole"/>
    <n v="14254"/>
    <s v="0"/>
    <s v="Bygning D"/>
    <x v="111"/>
    <x v="0"/>
    <x v="2"/>
    <n v="373540"/>
    <n v="12"/>
    <m/>
    <n v="0"/>
    <n v="2840"/>
    <n v="131.523537"/>
    <n v="1"/>
    <x v="1"/>
    <n v="393763.8"/>
    <n v="72846.3"/>
    <n v="0"/>
    <s v="Byg D."/>
    <m/>
    <n v="373540"/>
    <n v="0"/>
    <n v="77356"/>
  </r>
  <r>
    <x v="6"/>
    <m/>
    <s v="Lille Værløse skole"/>
    <n v="14254"/>
    <s v="0"/>
    <s v="Bygning D"/>
    <x v="111"/>
    <x v="0"/>
    <x v="3"/>
    <n v="346880"/>
    <n v="12"/>
    <m/>
    <n v="0"/>
    <n v="2840"/>
    <n v="122.136544"/>
    <n v="1"/>
    <x v="1"/>
    <n v="379022.71"/>
    <n v="70119.22"/>
    <n v="0"/>
    <s v="Byg D."/>
    <m/>
    <n v="346880"/>
    <n v="0"/>
    <n v="77356"/>
  </r>
  <r>
    <x v="6"/>
    <m/>
    <s v="Lille Værløse skole"/>
    <n v="14254"/>
    <s v="0"/>
    <s v="Bygning D"/>
    <x v="111"/>
    <x v="0"/>
    <x v="4"/>
    <n v="451560"/>
    <n v="12"/>
    <m/>
    <n v="0"/>
    <n v="2840"/>
    <n v="158.99440100000001"/>
    <n v="1"/>
    <x v="1"/>
    <n v="414613.16"/>
    <n v="76703.429999999993"/>
    <n v="0"/>
    <s v="Byg D."/>
    <m/>
    <n v="451560"/>
    <n v="0"/>
    <n v="77356"/>
  </r>
  <r>
    <x v="6"/>
    <m/>
    <s v="Lille Værløse skole"/>
    <n v="14254"/>
    <s v="0"/>
    <s v="Bygning D"/>
    <x v="111"/>
    <x v="0"/>
    <x v="5"/>
    <n v="333340"/>
    <n v="12"/>
    <m/>
    <n v="0"/>
    <n v="2840"/>
    <n v="117.369106"/>
    <n v="1"/>
    <x v="1"/>
    <n v="348714.83"/>
    <n v="64512.26"/>
    <n v="0"/>
    <s v="Byg D."/>
    <m/>
    <n v="333340"/>
    <n v="0"/>
    <n v="77356"/>
  </r>
  <r>
    <x v="6"/>
    <m/>
    <s v="Lille Værløse skole"/>
    <n v="14254"/>
    <s v="0"/>
    <s v="Bygning D"/>
    <x v="111"/>
    <x v="0"/>
    <x v="6"/>
    <n v="138380"/>
    <n v="12"/>
    <m/>
    <n v="0"/>
    <n v="2840"/>
    <n v="48.723635999999999"/>
    <n v="1"/>
    <x v="1"/>
    <n v="150653.70000000001"/>
    <n v="27870.93"/>
    <n v="0"/>
    <s v="Byg D."/>
    <m/>
    <n v="138380"/>
    <n v="0"/>
    <n v="77356"/>
  </r>
  <r>
    <x v="6"/>
    <m/>
    <s v="Lillestjernen, LV 91-93"/>
    <n v="9518"/>
    <m/>
    <s v="Lillestjernen"/>
    <x v="86"/>
    <x v="0"/>
    <x v="0"/>
    <n v="183990"/>
    <n v="5"/>
    <m/>
    <n v="0"/>
    <n v="2128"/>
    <n v="47.487110000000001"/>
    <n v="1"/>
    <x v="4"/>
    <n v="210729"/>
    <n v="23985.65"/>
    <n v="0"/>
    <s v="1204726"/>
    <s v="98004940117"/>
    <n v="9357.16"/>
    <n v="0"/>
    <n v="74430"/>
  </r>
  <r>
    <x v="6"/>
    <m/>
    <s v="Lillestjernen, LV 91-93"/>
    <n v="9518"/>
    <m/>
    <s v="Lillestjernen"/>
    <x v="86"/>
    <x v="0"/>
    <x v="1"/>
    <n v="210828.96"/>
    <n v="12"/>
    <m/>
    <n v="0"/>
    <n v="2128"/>
    <n v="99.069102999999998"/>
    <n v="1"/>
    <x v="4"/>
    <n v="220130.75"/>
    <n v="46553.58"/>
    <n v="0"/>
    <s v="1204726"/>
    <s v="98004940117"/>
    <n v="19521.2"/>
    <n v="0"/>
    <n v="74430"/>
  </r>
  <r>
    <x v="6"/>
    <m/>
    <s v="Lillestjernen, LV 91-93"/>
    <n v="9518"/>
    <m/>
    <s v="Lillestjernen"/>
    <x v="86"/>
    <x v="0"/>
    <x v="2"/>
    <n v="199030.38"/>
    <n v="12"/>
    <m/>
    <n v="0"/>
    <n v="2128"/>
    <n v="93.524918"/>
    <n v="1"/>
    <x v="4"/>
    <n v="208055.05"/>
    <n v="43999.8"/>
    <n v="0"/>
    <s v="1204726"/>
    <s v="98004940117"/>
    <n v="18428.740000000002"/>
    <n v="0"/>
    <n v="74430"/>
  </r>
  <r>
    <x v="6"/>
    <m/>
    <s v="Lillestjernen, LV 91-93"/>
    <n v="9518"/>
    <m/>
    <s v="Lillestjernen"/>
    <x v="86"/>
    <x v="0"/>
    <x v="3"/>
    <n v="186639.35"/>
    <n v="12"/>
    <m/>
    <n v="0"/>
    <n v="2128"/>
    <n v="87.702340000000007"/>
    <n v="1"/>
    <x v="4"/>
    <n v="203763.53"/>
    <n v="43092.22"/>
    <n v="0"/>
    <s v="1204726"/>
    <s v="98004940117"/>
    <n v="17281.420020000001"/>
    <n v="0"/>
    <n v="74430"/>
  </r>
  <r>
    <x v="6"/>
    <m/>
    <s v="Lillestjernen, LV 91-93"/>
    <n v="9518"/>
    <m/>
    <s v="Lillestjernen"/>
    <x v="86"/>
    <x v="0"/>
    <x v="4"/>
    <n v="209524.09"/>
    <n v="12"/>
    <m/>
    <n v="0"/>
    <n v="2128"/>
    <n v="98.455940999999996"/>
    <n v="1"/>
    <x v="4"/>
    <n v="191478.73"/>
    <n v="40494.199999999997"/>
    <n v="0"/>
    <s v="1204726"/>
    <s v="98004940117"/>
    <n v="19400.38"/>
    <n v="0"/>
    <n v="74430"/>
  </r>
  <r>
    <x v="6"/>
    <m/>
    <s v="Lillestjernen, LV 91-93"/>
    <n v="9518"/>
    <m/>
    <s v="Lillestjernen"/>
    <x v="86"/>
    <x v="0"/>
    <x v="5"/>
    <n v="193870.35"/>
    <n v="12"/>
    <m/>
    <n v="0"/>
    <n v="2128"/>
    <n v="91.100206"/>
    <n v="1"/>
    <x v="4"/>
    <n v="206528.39"/>
    <n v="43676.93"/>
    <n v="0"/>
    <s v="1204726"/>
    <s v="98004940117"/>
    <n v="17950.96"/>
    <n v="0"/>
    <n v="74430"/>
  </r>
  <r>
    <x v="6"/>
    <m/>
    <s v="Lillestjernen, LV 91-93"/>
    <n v="9518"/>
    <m/>
    <s v="Lillestjernen"/>
    <x v="86"/>
    <x v="0"/>
    <x v="6"/>
    <n v="187620.09"/>
    <n v="12"/>
    <m/>
    <n v="0"/>
    <n v="2128"/>
    <n v="88.163191999999995"/>
    <n v="1"/>
    <x v="4"/>
    <n v="213117.84"/>
    <n v="45070.47"/>
    <n v="0"/>
    <s v="1204726"/>
    <s v="98004940117"/>
    <n v="17372.23"/>
    <n v="0"/>
    <n v="74430"/>
  </r>
  <r>
    <x v="6"/>
    <m/>
    <s v="Lillestjernen, LV 91-93"/>
    <n v="9519"/>
    <m/>
    <s v="Lillestjernen miniklub"/>
    <x v="86"/>
    <x v="0"/>
    <x v="0"/>
    <n v="68607"/>
    <n v="5"/>
    <m/>
    <n v="0"/>
    <n v="353"/>
    <n v="107.848286"/>
    <n v="1"/>
    <x v="4"/>
    <n v="79007"/>
    <n v="9079.8700000000008"/>
    <n v="0"/>
    <m/>
    <s v="98004940124"/>
    <n v="3526.04"/>
    <n v="0"/>
    <n v="74433"/>
  </r>
  <r>
    <x v="6"/>
    <m/>
    <s v="Lillestjernen, LV 91-93"/>
    <n v="9519"/>
    <m/>
    <s v="Lillestjernen miniklub"/>
    <x v="86"/>
    <x v="0"/>
    <x v="1"/>
    <n v="81793.039999999994"/>
    <n v="12"/>
    <m/>
    <n v="0"/>
    <n v="353"/>
    <n v="231.642707"/>
    <n v="1"/>
    <x v="4"/>
    <n v="85479.02"/>
    <n v="18077.22"/>
    <n v="0"/>
    <m/>
    <s v="98004940124"/>
    <n v="7573.43"/>
    <n v="0"/>
    <n v="74433"/>
  </r>
  <r>
    <x v="6"/>
    <m/>
    <s v="Lillestjernen, LV 91-93"/>
    <n v="9519"/>
    <m/>
    <s v="Lillestjernen miniklub"/>
    <x v="86"/>
    <x v="0"/>
    <x v="2"/>
    <n v="83111.199999999997"/>
    <n v="12"/>
    <m/>
    <n v="0"/>
    <n v="353"/>
    <n v="235.37581399999999"/>
    <n v="1"/>
    <x v="4"/>
    <n v="87188.96"/>
    <n v="18438.86"/>
    <n v="0"/>
    <m/>
    <s v="98004940124"/>
    <n v="7695.48"/>
    <n v="0"/>
    <n v="74433"/>
  </r>
  <r>
    <x v="6"/>
    <m/>
    <s v="Lillestjernen, LV 91-93"/>
    <n v="9519"/>
    <m/>
    <s v="Lillestjernen miniklub"/>
    <x v="86"/>
    <x v="0"/>
    <x v="3"/>
    <n v="76959.289999999994"/>
    <n v="12"/>
    <m/>
    <n v="0"/>
    <n v="353"/>
    <n v="217.95324199999999"/>
    <n v="1"/>
    <x v="4"/>
    <n v="83628.06"/>
    <n v="17685.77"/>
    <n v="0"/>
    <m/>
    <s v="98004940124"/>
    <n v="7125.86"/>
    <n v="0"/>
    <n v="74433"/>
  </r>
  <r>
    <x v="6"/>
    <m/>
    <s v="Lillestjernen, LV 91-93"/>
    <n v="9519"/>
    <m/>
    <s v="Lillestjernen miniklub"/>
    <x v="86"/>
    <x v="0"/>
    <x v="4"/>
    <n v="97736.22"/>
    <n v="12"/>
    <m/>
    <n v="0"/>
    <n v="353"/>
    <n v="276.79473200000001"/>
    <n v="1"/>
    <x v="4"/>
    <n v="88892.88"/>
    <n v="18799.2"/>
    <n v="0"/>
    <m/>
    <s v="98004940124"/>
    <n v="9049.65"/>
    <n v="0"/>
    <n v="74433"/>
  </r>
  <r>
    <x v="6"/>
    <m/>
    <s v="Lillestjernen, LV 91-93"/>
    <n v="9519"/>
    <m/>
    <s v="Lillestjernen miniklub"/>
    <x v="86"/>
    <x v="0"/>
    <x v="5"/>
    <n v="83365.41"/>
    <n v="12"/>
    <m/>
    <n v="0"/>
    <n v="353"/>
    <n v="236.09575100000001"/>
    <n v="1"/>
    <x v="4"/>
    <n v="88710.8"/>
    <n v="18760.71"/>
    <n v="0"/>
    <m/>
    <s v="98004940124"/>
    <n v="7719.02"/>
    <n v="0"/>
    <n v="74433"/>
  </r>
  <r>
    <x v="6"/>
    <m/>
    <s v="Lillestjernen, LV 91-93"/>
    <n v="9519"/>
    <m/>
    <s v="Lillestjernen miniklub"/>
    <x v="86"/>
    <x v="0"/>
    <x v="6"/>
    <n v="79167.14"/>
    <n v="12"/>
    <m/>
    <n v="0"/>
    <n v="353"/>
    <n v="224.20600300000001"/>
    <n v="1"/>
    <x v="4"/>
    <n v="92468.77"/>
    <n v="19555.43"/>
    <n v="0"/>
    <m/>
    <s v="98004940124"/>
    <n v="7330.2902000000004"/>
    <n v="0"/>
    <n v="74433"/>
  </r>
  <r>
    <x v="6"/>
    <s v="5756"/>
    <s v="Lyngholmskolen, Hvile 1"/>
    <n v="5481"/>
    <m/>
    <s v="Lyngholmskolen Diamanten"/>
    <x v="112"/>
    <x v="0"/>
    <x v="0"/>
    <n v="80390"/>
    <n v="5"/>
    <s v="2005-10-04"/>
    <n v="0"/>
    <n v="1273"/>
    <n v="34.969757999999999"/>
    <n v="1"/>
    <x v="1"/>
    <n v="95230"/>
    <n v="9446590.25"/>
    <n v="0"/>
    <s v="4106727"/>
    <m/>
    <n v="44520"/>
    <n v="0"/>
    <n v="57945"/>
  </r>
  <r>
    <x v="6"/>
    <s v="5756"/>
    <s v="Lyngholmskolen, Hvile 1"/>
    <n v="5481"/>
    <m/>
    <s v="Lyngholmskolen Diamanten"/>
    <x v="112"/>
    <x v="1"/>
    <x v="0"/>
    <n v="99338.81"/>
    <n v="5"/>
    <s v="2010-01-15"/>
    <n v="0"/>
    <n v="1273"/>
    <n v="78.029070000000004"/>
    <n v="1"/>
    <x v="3"/>
    <n v="108652.08"/>
    <n v="576114.5"/>
    <n v="1"/>
    <s v="4106727"/>
    <m/>
    <n v="2847.2"/>
    <n v="0"/>
    <n v="58125"/>
  </r>
  <r>
    <x v="6"/>
    <s v="5756"/>
    <s v="Lyngholmskolen, Hvile 1"/>
    <n v="5481"/>
    <m/>
    <s v="Lyngholmskolen Diamanten"/>
    <x v="112"/>
    <x v="0"/>
    <x v="1"/>
    <n v="84330"/>
    <n v="12"/>
    <s v="2005-10-04"/>
    <n v="0"/>
    <n v="1273"/>
    <n v="66.239885999999998"/>
    <n v="1"/>
    <x v="1"/>
    <n v="87435.1"/>
    <n v="16175.5"/>
    <n v="0"/>
    <s v="4106727"/>
    <m/>
    <n v="84330"/>
    <n v="0"/>
    <n v="57945"/>
  </r>
  <r>
    <x v="6"/>
    <s v="5756"/>
    <s v="Lyngholmskolen, Hvile 1"/>
    <n v="5481"/>
    <m/>
    <s v="Lyngholmskolen Diamanten"/>
    <x v="112"/>
    <x v="1"/>
    <x v="1"/>
    <n v="85400.25"/>
    <n v="12"/>
    <s v="2010-01-15"/>
    <n v="0"/>
    <n v="1273"/>
    <n v="67.080551"/>
    <n v="1"/>
    <x v="3"/>
    <n v="97321.5"/>
    <n v="516.03"/>
    <n v="1"/>
    <s v="4106727"/>
    <m/>
    <n v="2447.6999999999998"/>
    <n v="0"/>
    <n v="58125"/>
  </r>
  <r>
    <x v="6"/>
    <s v="5756"/>
    <s v="Lyngholmskolen, Hvile 1"/>
    <n v="5481"/>
    <m/>
    <s v="Lyngholmskolen Diamanten"/>
    <x v="112"/>
    <x v="0"/>
    <x v="2"/>
    <n v="100090"/>
    <n v="12"/>
    <s v="2005-10-04"/>
    <n v="0"/>
    <n v="1273"/>
    <n v="78.619118"/>
    <n v="1"/>
    <x v="1"/>
    <n v="106248.98"/>
    <n v="19656.07"/>
    <n v="0"/>
    <s v="4106727"/>
    <m/>
    <n v="100090"/>
    <n v="0"/>
    <n v="57945"/>
  </r>
  <r>
    <x v="6"/>
    <s v="5756"/>
    <s v="Lyngholmskolen, Hvile 1"/>
    <n v="5481"/>
    <m/>
    <s v="Lyngholmskolen Diamanten"/>
    <x v="112"/>
    <x v="1"/>
    <x v="2"/>
    <n v="85543.3"/>
    <n v="12"/>
    <s v="2010-01-15"/>
    <n v="0"/>
    <n v="1273"/>
    <n v="67.192914000000002"/>
    <n v="1"/>
    <x v="3"/>
    <n v="91451.9"/>
    <n v="484.91"/>
    <n v="1"/>
    <s v="4106727"/>
    <m/>
    <n v="2451.8000000000002"/>
    <n v="0"/>
    <n v="58125"/>
  </r>
  <r>
    <x v="6"/>
    <s v="5756"/>
    <s v="Lyngholmskolen, Hvile 1"/>
    <n v="5481"/>
    <m/>
    <s v="Lyngholmskolen Diamanten"/>
    <x v="112"/>
    <x v="0"/>
    <x v="3"/>
    <n v="115133.75999999999"/>
    <n v="12"/>
    <s v="2005-10-04"/>
    <n v="0"/>
    <n v="1273"/>
    <n v="90.435755"/>
    <n v="1"/>
    <x v="1"/>
    <n v="136919.22"/>
    <n v="25330.06"/>
    <n v="0"/>
    <s v="4106727"/>
    <m/>
    <n v="115133.773"/>
    <n v="0"/>
    <n v="57945"/>
  </r>
  <r>
    <x v="6"/>
    <s v="5756"/>
    <s v="Lyngholmskolen, Hvile 1"/>
    <n v="5481"/>
    <m/>
    <s v="Lyngholmskolen Diamanten"/>
    <x v="112"/>
    <x v="1"/>
    <x v="3"/>
    <n v="20326.919999999998"/>
    <n v="12"/>
    <s v="2010-01-15"/>
    <n v="0"/>
    <n v="1273"/>
    <n v="15.966475000000001"/>
    <n v="1"/>
    <x v="3"/>
    <n v="24186.91"/>
    <n v="128.24"/>
    <n v="1"/>
    <s v="4106727"/>
    <m/>
    <n v="582.6"/>
    <n v="0"/>
    <n v="58125"/>
  </r>
  <r>
    <x v="6"/>
    <s v="5756"/>
    <s v="Lyngholmskolen, Hvile 1"/>
    <n v="5481"/>
    <m/>
    <s v="Lyngholmskolen Diamanten"/>
    <x v="112"/>
    <x v="0"/>
    <x v="4"/>
    <n v="110531.22"/>
    <n v="12"/>
    <s v="2005-10-04"/>
    <n v="0"/>
    <n v="1273"/>
    <n v="86.820532"/>
    <n v="1"/>
    <x v="1"/>
    <n v="149226.06"/>
    <n v="27606.82"/>
    <n v="0"/>
    <s v="4106727"/>
    <m/>
    <n v="110531.242"/>
    <n v="0"/>
    <n v="57945"/>
  </r>
  <r>
    <x v="6"/>
    <s v="5756"/>
    <s v="Lyngholmskolen, Hvile 1"/>
    <n v="5481"/>
    <m/>
    <s v="Lyngholmskolen Diamanten"/>
    <x v="112"/>
    <x v="1"/>
    <x v="4"/>
    <n v="4278.05"/>
    <n v="13"/>
    <s v="2010-01-15"/>
    <n v="0"/>
    <n v="1273"/>
    <n v="3.3603399999999999"/>
    <n v="1"/>
    <x v="3"/>
    <n v="3690.83"/>
    <n v="19.57"/>
    <n v="1"/>
    <s v="4106727"/>
    <m/>
    <n v="122.61547"/>
    <n v="0"/>
    <n v="58125"/>
  </r>
  <r>
    <x v="6"/>
    <s v="5756"/>
    <s v="Lyngholmskolen, Hvile 1"/>
    <n v="5481"/>
    <m/>
    <s v="Lyngholmskolen Diamanten"/>
    <x v="112"/>
    <x v="0"/>
    <x v="5"/>
    <n v="104244.99"/>
    <n v="12"/>
    <s v="2005-10-04"/>
    <n v="0"/>
    <n v="1273"/>
    <n v="81.882796999999997"/>
    <n v="1"/>
    <x v="1"/>
    <n v="116587.47"/>
    <n v="21568.69"/>
    <n v="0"/>
    <s v="4106727"/>
    <m/>
    <n v="104244.993"/>
    <n v="0"/>
    <n v="57945"/>
  </r>
  <r>
    <x v="6"/>
    <s v="5756"/>
    <s v="Lyngholmskolen, Hvile 1"/>
    <n v="5481"/>
    <m/>
    <s v="Lyngholmskolen Diamanten"/>
    <x v="112"/>
    <x v="1"/>
    <x v="5"/>
    <n v="175952.37"/>
    <n v="12"/>
    <s v="2010-01-15"/>
    <n v="0"/>
    <n v="1273"/>
    <n v="138.20781500000001"/>
    <n v="1"/>
    <x v="3"/>
    <n v="252022.02"/>
    <n v="1336.32"/>
    <n v="1"/>
    <s v="4106727"/>
    <m/>
    <n v="5043.0605400000004"/>
    <n v="0"/>
    <n v="58125"/>
  </r>
  <r>
    <x v="6"/>
    <s v="5756"/>
    <s v="Lyngholmskolen, Hvile 1"/>
    <n v="5481"/>
    <m/>
    <s v="Lyngholmskolen Diamanten"/>
    <x v="112"/>
    <x v="0"/>
    <x v="6"/>
    <n v="101440"/>
    <n v="12"/>
    <s v="2005-10-04"/>
    <n v="0"/>
    <n v="1273"/>
    <n v="79.679522000000006"/>
    <n v="1"/>
    <x v="1"/>
    <n v="117088.86"/>
    <n v="21661.43"/>
    <n v="0"/>
    <s v="4106727"/>
    <m/>
    <n v="101440"/>
    <n v="0"/>
    <n v="57945"/>
  </r>
  <r>
    <x v="6"/>
    <s v="5756"/>
    <s v="Lyngholmskolen, Hvile 1"/>
    <n v="5481"/>
    <m/>
    <s v="Lyngholmskolen Diamanten"/>
    <x v="112"/>
    <x v="1"/>
    <x v="6"/>
    <n v="204920.07"/>
    <n v="12"/>
    <s v="2010-01-15"/>
    <n v="0"/>
    <n v="1273"/>
    <n v="160.96148700000001"/>
    <n v="1"/>
    <x v="3"/>
    <n v="255009.67"/>
    <n v="1352.16"/>
    <n v="1"/>
    <s v="4106727"/>
    <m/>
    <n v="5873.3187799999996"/>
    <n v="0"/>
    <n v="58125"/>
  </r>
  <r>
    <x v="6"/>
    <s v="5756"/>
    <s v="Lyngholmskolen, Hvile 1"/>
    <n v="5479"/>
    <m/>
    <s v="Lyngholmskolenskolen"/>
    <x v="112"/>
    <x v="0"/>
    <x v="0"/>
    <n v="394218"/>
    <n v="5"/>
    <s v="2005-10-03"/>
    <n v="0"/>
    <n v="6089"/>
    <n v="36.071012000000003"/>
    <n v="1"/>
    <x v="1"/>
    <n v="477072"/>
    <n v="48136648.5"/>
    <n v="0"/>
    <s v="4860464"/>
    <m/>
    <n v="296882.68"/>
    <n v="0"/>
    <n v="57932"/>
  </r>
  <r>
    <x v="6"/>
    <s v="5756"/>
    <s v="Lyngholmskolen, Hvile 1"/>
    <n v="5479"/>
    <m/>
    <s v="Lyngholmskolenskolen"/>
    <x v="112"/>
    <x v="1"/>
    <x v="0"/>
    <n v="202051.49"/>
    <n v="5"/>
    <s v="2005-10-03"/>
    <n v="0"/>
    <n v="6089"/>
    <n v="33.182487999999999"/>
    <n v="1"/>
    <x v="3"/>
    <n v="229062.61"/>
    <n v="1214576.75"/>
    <n v="1"/>
    <s v="4860464"/>
    <m/>
    <n v="5791.1"/>
    <n v="0"/>
    <n v="57937"/>
  </r>
  <r>
    <x v="6"/>
    <s v="5756"/>
    <s v="Lyngholmskolen, Hvile 1"/>
    <n v="5479"/>
    <m/>
    <s v="Lyngholmskolenskolen"/>
    <x v="112"/>
    <x v="0"/>
    <x v="1"/>
    <n v="504673.34"/>
    <n v="12"/>
    <s v="2005-10-03"/>
    <n v="0"/>
    <n v="6089"/>
    <n v="82.881433999999999"/>
    <n v="1"/>
    <x v="1"/>
    <n v="545553.12"/>
    <n v="100927.31"/>
    <n v="0"/>
    <s v="4860464"/>
    <m/>
    <n v="703840.63333999994"/>
    <n v="0"/>
    <n v="57932"/>
  </r>
  <r>
    <x v="6"/>
    <s v="5756"/>
    <s v="Lyngholmskolen, Hvile 1"/>
    <n v="5479"/>
    <m/>
    <s v="Lyngholmskolenskolen"/>
    <x v="112"/>
    <x v="1"/>
    <x v="1"/>
    <n v="547493.86"/>
    <n v="12"/>
    <s v="2005-10-03"/>
    <n v="0"/>
    <n v="6089"/>
    <n v="89.913757000000004"/>
    <n v="1"/>
    <x v="3"/>
    <n v="580976.53"/>
    <n v="3080.55"/>
    <n v="1"/>
    <s v="4860464"/>
    <m/>
    <n v="15691.9997"/>
    <n v="0"/>
    <n v="57937"/>
  </r>
  <r>
    <x v="6"/>
    <s v="5756"/>
    <s v="Lyngholmskolen, Hvile 1"/>
    <n v="5479"/>
    <m/>
    <s v="Lyngholmskolenskolen"/>
    <x v="112"/>
    <x v="1"/>
    <x v="2"/>
    <n v="677117.22"/>
    <n v="12"/>
    <s v="2005-10-03"/>
    <n v="0"/>
    <n v="6089"/>
    <n v="111.201527"/>
    <n v="1"/>
    <x v="3"/>
    <n v="726940.83"/>
    <n v="3854.51"/>
    <n v="1"/>
    <s v="4860464"/>
    <m/>
    <n v="19407.2"/>
    <n v="0"/>
    <n v="57937"/>
  </r>
  <r>
    <x v="6"/>
    <s v="5756"/>
    <s v="Lyngholmskolen, Hvile 1"/>
    <n v="5479"/>
    <m/>
    <s v="Lyngholmskolenskolen"/>
    <x v="112"/>
    <x v="0"/>
    <x v="2"/>
    <n v="517674.38"/>
    <n v="12"/>
    <s v="2005-10-03"/>
    <n v="0"/>
    <n v="6089"/>
    <n v="85.016566999999995"/>
    <n v="1"/>
    <x v="1"/>
    <n v="561994.4"/>
    <n v="103968.98"/>
    <n v="0"/>
    <s v="4860464"/>
    <m/>
    <n v="692315.18437999999"/>
    <n v="0"/>
    <n v="57932"/>
  </r>
  <r>
    <x v="6"/>
    <s v="5756"/>
    <s v="Lyngholmskolen, Hvile 1"/>
    <n v="5479"/>
    <m/>
    <s v="Lyngholmskolenskolen"/>
    <x v="112"/>
    <x v="1"/>
    <x v="3"/>
    <n v="708601.95"/>
    <n v="12"/>
    <s v="2005-10-03"/>
    <n v="0"/>
    <n v="6089"/>
    <n v="116.372197"/>
    <n v="1"/>
    <x v="3"/>
    <n v="783332.32"/>
    <n v="4153.5200000000004"/>
    <n v="1"/>
    <s v="4860464"/>
    <m/>
    <n v="20309.599999999999"/>
    <n v="0"/>
    <n v="57937"/>
  </r>
  <r>
    <x v="6"/>
    <s v="5756"/>
    <s v="Lyngholmskolen, Hvile 1"/>
    <n v="5479"/>
    <m/>
    <s v="Lyngholmskolenskolen"/>
    <x v="112"/>
    <x v="0"/>
    <x v="3"/>
    <n v="562862.32999999996"/>
    <n v="12"/>
    <s v="2005-10-03"/>
    <n v="0"/>
    <n v="6089"/>
    <n v="92.437687999999994"/>
    <n v="1"/>
    <x v="1"/>
    <n v="638261.54"/>
    <n v="118078.36"/>
    <n v="0"/>
    <s v="4860464"/>
    <m/>
    <n v="715267.44232999999"/>
    <n v="0"/>
    <n v="57932"/>
  </r>
  <r>
    <x v="6"/>
    <s v="5756"/>
    <s v="Lyngholmskolen, Hvile 1"/>
    <n v="5479"/>
    <m/>
    <s v="Lyngholmskolenskolen"/>
    <x v="112"/>
    <x v="0"/>
    <x v="4"/>
    <n v="614847.49"/>
    <n v="12"/>
    <s v="2005-10-03"/>
    <n v="0"/>
    <n v="6089"/>
    <n v="100.975101"/>
    <n v="1"/>
    <x v="1"/>
    <n v="537449.47"/>
    <n v="99428.13"/>
    <n v="0"/>
    <s v="4860464"/>
    <m/>
    <n v="812971.67749000003"/>
    <n v="0"/>
    <n v="57932"/>
  </r>
  <r>
    <x v="6"/>
    <s v="5756"/>
    <s v="Lyngholmskolen, Hvile 1"/>
    <n v="5479"/>
    <m/>
    <s v="Lyngholmskolenskolen"/>
    <x v="112"/>
    <x v="1"/>
    <x v="4"/>
    <n v="792247.24"/>
    <n v="12"/>
    <s v="2005-10-03"/>
    <n v="0"/>
    <n v="6089"/>
    <n v="130.10908599999999"/>
    <n v="1"/>
    <x v="3"/>
    <n v="713255.4"/>
    <n v="3781.95"/>
    <n v="1"/>
    <s v="4860464"/>
    <m/>
    <n v="22707"/>
    <n v="0"/>
    <n v="57937"/>
  </r>
  <r>
    <x v="6"/>
    <s v="5756"/>
    <s v="Lyngholmskolen, Hvile 1"/>
    <n v="5479"/>
    <m/>
    <s v="Lyngholmskolenskolen"/>
    <x v="112"/>
    <x v="0"/>
    <x v="5"/>
    <n v="575298.87"/>
    <n v="12"/>
    <s v="2005-10-03"/>
    <n v="0"/>
    <n v="6089"/>
    <n v="94.480114999999998"/>
    <n v="1"/>
    <x v="1"/>
    <n v="620827.46"/>
    <n v="114853.16"/>
    <n v="0"/>
    <s v="4860464"/>
    <m/>
    <n v="642672.55886999995"/>
    <n v="0"/>
    <n v="57932"/>
  </r>
  <r>
    <x v="6"/>
    <s v="5756"/>
    <s v="Lyngholmskolen, Hvile 1"/>
    <n v="5479"/>
    <m/>
    <s v="Lyngholmskolenskolen"/>
    <x v="112"/>
    <x v="1"/>
    <x v="5"/>
    <n v="582481.55000000005"/>
    <n v="12"/>
    <s v="2005-10-03"/>
    <n v="0"/>
    <n v="6089"/>
    <n v="95.659711000000001"/>
    <n v="1"/>
    <x v="3"/>
    <n v="633601.05000000005"/>
    <n v="3359.59"/>
    <n v="1"/>
    <s v="4860464"/>
    <m/>
    <n v="16694.8"/>
    <n v="0"/>
    <n v="57937"/>
  </r>
  <r>
    <x v="6"/>
    <s v="5756"/>
    <s v="Lyngholmskolen, Hvile 1"/>
    <n v="5479"/>
    <m/>
    <s v="Lyngholmskolenskolen"/>
    <x v="112"/>
    <x v="1"/>
    <x v="6"/>
    <n v="486720.74"/>
    <n v="12"/>
    <s v="2005-10-03"/>
    <n v="0"/>
    <n v="6089"/>
    <n v="79.933115999999998"/>
    <n v="1"/>
    <x v="3"/>
    <n v="562904.37"/>
    <n v="2984.73"/>
    <n v="1"/>
    <s v="4860464"/>
    <m/>
    <n v="13950.15"/>
    <n v="0"/>
    <n v="57937"/>
  </r>
  <r>
    <x v="6"/>
    <s v="5756"/>
    <s v="Lyngholmskolen, Hvile 1"/>
    <n v="5479"/>
    <m/>
    <s v="Lyngholmskolenskolen"/>
    <x v="112"/>
    <x v="0"/>
    <x v="6"/>
    <n v="569610"/>
    <n v="12"/>
    <s v="2005-10-03"/>
    <n v="0"/>
    <n v="6089"/>
    <n v="93.545844000000002"/>
    <n v="1"/>
    <x v="1"/>
    <n v="654694.76"/>
    <n v="121118.54"/>
    <n v="0"/>
    <s v="4860464"/>
    <m/>
    <n v="569610"/>
    <n v="0"/>
    <n v="57932"/>
  </r>
  <r>
    <x v="6"/>
    <m/>
    <s v="Solhøjskolen KV52"/>
    <n v="10161"/>
    <m/>
    <s v="Solhøjskolen"/>
    <x v="113"/>
    <x v="0"/>
    <x v="0"/>
    <n v="23014"/>
    <n v="5"/>
    <s v="2012-08-13"/>
    <n v="0"/>
    <n v="265"/>
    <n v="53.568463999999999"/>
    <n v="1"/>
    <x v="1"/>
    <n v="26255"/>
    <n v="1015.25"/>
    <n v="0"/>
    <s v="7260019"/>
    <m/>
    <n v="14201"/>
    <n v="0"/>
    <n v="77152"/>
  </r>
  <r>
    <x v="6"/>
    <m/>
    <s v="Solhøjskolen KV52"/>
    <n v="10161"/>
    <m/>
    <s v="Solhøjskolen"/>
    <x v="113"/>
    <x v="0"/>
    <x v="1"/>
    <n v="24789"/>
    <n v="12"/>
    <s v="2012-08-13"/>
    <n v="0"/>
    <n v="265"/>
    <n v="93.508110000000002"/>
    <n v="1"/>
    <x v="1"/>
    <n v="25761.84"/>
    <n v="1648.78"/>
    <n v="0"/>
    <s v="7260019"/>
    <m/>
    <n v="24789"/>
    <n v="0"/>
    <n v="77152"/>
  </r>
  <r>
    <x v="6"/>
    <m/>
    <s v="Solhøjskolen KV52"/>
    <n v="10161"/>
    <m/>
    <s v="Solhøjskolen"/>
    <x v="113"/>
    <x v="0"/>
    <x v="2"/>
    <n v="27464.51"/>
    <n v="7"/>
    <s v="2012-08-13"/>
    <n v="0"/>
    <n v="265"/>
    <n v="103.600565"/>
    <n v="1"/>
    <x v="1"/>
    <n v="28282.31"/>
    <n v="5232.24"/>
    <n v="0"/>
    <s v="7260019"/>
    <m/>
    <n v="27464.50001"/>
    <n v="0"/>
    <n v="77152"/>
  </r>
  <r>
    <x v="6"/>
    <m/>
    <s v="Solhøjskolen KV52"/>
    <n v="10161"/>
    <m/>
    <s v="Solhøjskolen"/>
    <x v="113"/>
    <x v="0"/>
    <x v="3"/>
    <n v="25886.91"/>
    <n v="4"/>
    <s v="2012-08-13"/>
    <n v="0"/>
    <n v="265"/>
    <n v="97.649602999999999"/>
    <n v="1"/>
    <x v="1"/>
    <n v="29500.55"/>
    <n v="5457.6"/>
    <n v="0"/>
    <s v="7260019"/>
    <m/>
    <n v="25886.899990000002"/>
    <n v="0"/>
    <n v="77152"/>
  </r>
  <r>
    <x v="6"/>
    <m/>
    <s v="Solhøjskolen KV52"/>
    <n v="10161"/>
    <m/>
    <s v="Solhøjskolen"/>
    <x v="113"/>
    <x v="0"/>
    <x v="4"/>
    <n v="25054.799999999999"/>
    <n v="7"/>
    <s v="2012-08-13"/>
    <n v="0"/>
    <n v="265"/>
    <n v="94.510750000000002"/>
    <n v="1"/>
    <x v="1"/>
    <n v="23173.5"/>
    <n v="4287.1000000000004"/>
    <n v="0"/>
    <s v="7260019"/>
    <m/>
    <n v="25054.80226"/>
    <n v="0"/>
    <n v="77152"/>
  </r>
  <r>
    <x v="6"/>
    <m/>
    <s v="Solhøjskolen KV52"/>
    <n v="10161"/>
    <m/>
    <s v="Solhøjskolen"/>
    <x v="113"/>
    <x v="0"/>
    <x v="5"/>
    <n v="27719.79"/>
    <n v="4"/>
    <s v="2012-08-13"/>
    <n v="0"/>
    <n v="265"/>
    <n v="104.563523"/>
    <n v="1"/>
    <x v="1"/>
    <n v="36503.449999999997"/>
    <n v="6753.15"/>
    <n v="0"/>
    <s v="7260019"/>
    <m/>
    <n v="27719.797760000001"/>
    <n v="0"/>
    <n v="77152"/>
  </r>
  <r>
    <x v="6"/>
    <m/>
    <s v="Solhøjskolen KV52"/>
    <n v="10161"/>
    <m/>
    <s v="Solhøjskolen"/>
    <x v="113"/>
    <x v="0"/>
    <x v="6"/>
    <n v="21255.67"/>
    <n v="6"/>
    <s v="2012-08-13"/>
    <n v="0"/>
    <n v="265"/>
    <n v="80.179817999999997"/>
    <n v="1"/>
    <x v="1"/>
    <n v="23631.53"/>
    <n v="4371.8500000000004"/>
    <n v="0"/>
    <s v="7260019"/>
    <m/>
    <n v="21255.670340000001"/>
    <n v="0"/>
    <n v="77152"/>
  </r>
  <r>
    <x v="6"/>
    <s v="02576-3"/>
    <s v="Solvangskolen Pedelbolig, Nord 60"/>
    <n v="6369"/>
    <m/>
    <s v="Solvangskolen Pedelbolig"/>
    <x v="52"/>
    <x v="0"/>
    <x v="0"/>
    <n v="14683"/>
    <n v="5"/>
    <s v="2013-05-07"/>
    <n v="0"/>
    <n v="110"/>
    <n v="73.378201000000004"/>
    <n v="1"/>
    <x v="4"/>
    <n v="17395"/>
    <n v="1935.51"/>
    <n v="0"/>
    <s v="1129273"/>
    <s v="98001998845"/>
    <n v="748.05"/>
    <n v="0"/>
    <n v="62719"/>
  </r>
  <r>
    <x v="6"/>
    <s v="02576-3"/>
    <s v="Solvangskolen Pedelbolig, Nord 60"/>
    <n v="6369"/>
    <m/>
    <s v="Solvangskolen Pedelbolig"/>
    <x v="52"/>
    <x v="0"/>
    <x v="1"/>
    <n v="26282.51"/>
    <n v="13"/>
    <s v="2013-05-07"/>
    <n v="0"/>
    <n v="110"/>
    <n v="238.71489500000001"/>
    <n v="1"/>
    <x v="4"/>
    <n v="26905.3"/>
    <n v="5689.99"/>
    <n v="0"/>
    <s v="1129273"/>
    <s v="98001998845"/>
    <n v="2433.5643799999998"/>
    <n v="0"/>
    <n v="62719"/>
  </r>
  <r>
    <x v="6"/>
    <s v="02576-3"/>
    <s v="Solvangskolen Pedelbolig, Nord 60"/>
    <n v="6369"/>
    <m/>
    <s v="Solvangskolen Pedelbolig"/>
    <x v="52"/>
    <x v="0"/>
    <x v="2"/>
    <n v="40326.46"/>
    <n v="12"/>
    <s v="2013-05-07"/>
    <n v="0"/>
    <n v="110"/>
    <n v="366.271207"/>
    <n v="1"/>
    <x v="4"/>
    <n v="43747.78"/>
    <n v="9251.86"/>
    <n v="0"/>
    <s v="1129273"/>
    <s v="98001998845"/>
    <n v="3733.9313099999999"/>
    <n v="0"/>
    <n v="62719"/>
  </r>
  <r>
    <x v="6"/>
    <s v="02576-3"/>
    <s v="Solvangskolen Pedelbolig, Nord 60"/>
    <n v="6369"/>
    <m/>
    <s v="Solvangskolen Pedelbolig"/>
    <x v="52"/>
    <x v="0"/>
    <x v="3"/>
    <n v="25591.34"/>
    <n v="5"/>
    <s v="2013-05-07"/>
    <n v="0"/>
    <n v="110"/>
    <n v="232.43723800000001"/>
    <n v="1"/>
    <x v="4"/>
    <n v="28458.71"/>
    <n v="6018.49"/>
    <n v="0"/>
    <s v="1129273"/>
    <s v="98001998845"/>
    <n v="2369.5686999999998"/>
    <n v="0"/>
    <n v="62719"/>
  </r>
  <r>
    <x v="6"/>
    <s v="02576-3"/>
    <s v="Solvangskolen Pedelbolig, Nord 60"/>
    <n v="6369"/>
    <m/>
    <s v="Solvangskolen Pedelbolig"/>
    <x v="52"/>
    <x v="0"/>
    <x v="4"/>
    <n v="29393.3"/>
    <n v="3"/>
    <s v="2013-05-07"/>
    <n v="0"/>
    <n v="110"/>
    <n v="266.96911799999998"/>
    <n v="1"/>
    <x v="4"/>
    <n v="36453.32"/>
    <n v="7709.2"/>
    <n v="0"/>
    <s v="1129273"/>
    <s v="98001998845"/>
    <n v="2721.6016100000002"/>
    <n v="0"/>
    <n v="62719"/>
  </r>
  <r>
    <x v="6"/>
    <s v="02576-3"/>
    <s v="Solvangskolen Pedelbolig, Nord 60"/>
    <n v="6369"/>
    <m/>
    <s v="Solvangskolen Pedelbolig"/>
    <x v="52"/>
    <x v="0"/>
    <x v="5"/>
    <n v="28566.71"/>
    <n v="3"/>
    <s v="2013-05-07"/>
    <n v="0"/>
    <n v="110"/>
    <n v="259.46148899999997"/>
    <n v="1"/>
    <x v="4"/>
    <n v="38911.86"/>
    <n v="8229.14"/>
    <n v="0"/>
    <s v="1129273"/>
    <s v="98001998845"/>
    <n v="2645.0653900000002"/>
    <n v="0"/>
    <n v="62719"/>
  </r>
  <r>
    <x v="6"/>
    <s v="02576-3"/>
    <s v="Solvangskolen Pedelbolig, Nord 60"/>
    <n v="6369"/>
    <m/>
    <s v="Solvangskolen Pedelbolig"/>
    <x v="52"/>
    <x v="0"/>
    <x v="6"/>
    <n v="27961.03"/>
    <n v="9"/>
    <s v="2013-05-07"/>
    <n v="0"/>
    <n v="110"/>
    <n v="253.960308"/>
    <n v="1"/>
    <x v="4"/>
    <n v="32700.52"/>
    <n v="6915.56"/>
    <n v="0"/>
    <s v="1129273"/>
    <s v="98001998845"/>
    <n v="2588.9836700000001"/>
    <n v="0"/>
    <n v="62719"/>
  </r>
  <r>
    <x v="6"/>
    <s v="02576-3"/>
    <s v="Solvangskolen, Nord 58"/>
    <n v="5474"/>
    <m/>
    <s v="Solvangskolen"/>
    <x v="52"/>
    <x v="0"/>
    <x v="0"/>
    <n v="1262380"/>
    <n v="5"/>
    <m/>
    <n v="0"/>
    <n v="10600"/>
    <n v="79.176497999999995"/>
    <n v="1"/>
    <x v="4"/>
    <n v="1441186"/>
    <n v="201590.15"/>
    <n v="0"/>
    <s v="6101943"/>
    <s v="980001304444"/>
    <n v="77711"/>
    <n v="0"/>
    <n v="57912"/>
  </r>
  <r>
    <x v="6"/>
    <s v="02576-3"/>
    <s v="Solvangskolen, Nord 58"/>
    <n v="5474"/>
    <m/>
    <s v="Solvangskolen"/>
    <x v="52"/>
    <x v="0"/>
    <x v="1"/>
    <n v="1350972"/>
    <n v="12"/>
    <m/>
    <n v="0"/>
    <n v="10600"/>
    <n v="127.448986"/>
    <n v="1"/>
    <x v="4"/>
    <n v="1413417.71"/>
    <n v="298911.68"/>
    <n v="0"/>
    <s v="6101943"/>
    <s v="980001304444"/>
    <n v="125090"/>
    <n v="0"/>
    <n v="57912"/>
  </r>
  <r>
    <x v="6"/>
    <s v="02576-3"/>
    <s v="Solvangskolen, Nord 58"/>
    <n v="5474"/>
    <m/>
    <s v="Solvangskolen"/>
    <x v="52"/>
    <x v="0"/>
    <x v="2"/>
    <n v="1500562.8"/>
    <n v="12"/>
    <m/>
    <n v="0"/>
    <n v="10600"/>
    <n v="141.56119200000001"/>
    <n v="1"/>
    <x v="4"/>
    <n v="1592487.41"/>
    <n v="336781.59"/>
    <n v="0"/>
    <s v="6101943"/>
    <s v="980001304444"/>
    <n v="138941"/>
    <n v="0"/>
    <n v="57912"/>
  </r>
  <r>
    <x v="6"/>
    <s v="02576-3"/>
    <s v="Solvangskolen, Nord 58"/>
    <n v="5474"/>
    <m/>
    <s v="Solvangskolen"/>
    <x v="52"/>
    <x v="0"/>
    <x v="3"/>
    <n v="1499461.2"/>
    <n v="12"/>
    <m/>
    <n v="0"/>
    <n v="10600"/>
    <n v="141.457269"/>
    <n v="1"/>
    <x v="4"/>
    <n v="1662630.78"/>
    <n v="351615.63"/>
    <n v="0"/>
    <s v="6101943"/>
    <s v="980001304444"/>
    <n v="138839"/>
    <n v="0"/>
    <n v="57912"/>
  </r>
  <r>
    <x v="6"/>
    <s v="02576-3"/>
    <s v="Solvangskolen, Nord 58"/>
    <n v="5474"/>
    <m/>
    <s v="Solvangskolen"/>
    <x v="52"/>
    <x v="0"/>
    <x v="4"/>
    <n v="1822316.4"/>
    <n v="12"/>
    <m/>
    <n v="0"/>
    <n v="10600"/>
    <n v="171.915019"/>
    <n v="1"/>
    <x v="4"/>
    <n v="1655607.97"/>
    <n v="350130.43"/>
    <n v="0"/>
    <s v="6101943"/>
    <s v="980001304444"/>
    <n v="168733"/>
    <n v="0"/>
    <n v="57912"/>
  </r>
  <r>
    <x v="6"/>
    <s v="02576-3"/>
    <s v="Solvangskolen, Nord 58"/>
    <n v="5474"/>
    <m/>
    <s v="Solvangskolen"/>
    <x v="52"/>
    <x v="0"/>
    <x v="5"/>
    <n v="1702944"/>
    <n v="12"/>
    <m/>
    <n v="0"/>
    <n v="10600"/>
    <n v="160.65357800000001"/>
    <n v="1"/>
    <x v="4"/>
    <n v="1884957.1"/>
    <n v="398633.53"/>
    <n v="0"/>
    <s v="6101943"/>
    <s v="980001304444"/>
    <n v="157680"/>
    <n v="0"/>
    <n v="57912"/>
  </r>
  <r>
    <x v="6"/>
    <s v="02576-3"/>
    <s v="Solvangskolen, Nord 58"/>
    <n v="5474"/>
    <m/>
    <s v="Solvangskolen"/>
    <x v="52"/>
    <x v="0"/>
    <x v="6"/>
    <n v="1725818.4"/>
    <n v="12"/>
    <m/>
    <n v="0"/>
    <n v="10600"/>
    <n v="162.81152"/>
    <n v="1"/>
    <x v="4"/>
    <n v="2041889.24"/>
    <n v="431821.77"/>
    <n v="0"/>
    <s v="6101943"/>
    <s v="980001304444"/>
    <n v="159798"/>
    <n v="0"/>
    <n v="57912"/>
  </r>
  <r>
    <x v="6"/>
    <s v="03953-5"/>
    <s v="Stavnsholtskolen"/>
    <n v="5471"/>
    <m/>
    <s v="Stavnholtskolen"/>
    <x v="114"/>
    <x v="0"/>
    <x v="0"/>
    <n v="0"/>
    <n v="5"/>
    <s v="2005-06-01"/>
    <n v="0"/>
    <n v="8656"/>
    <n v="25.307008"/>
    <n v="1"/>
    <x v="1"/>
    <n v="0"/>
    <n v="46134756.100000001"/>
    <n v="0"/>
    <s v="4202552"/>
    <m/>
    <n v="219060"/>
    <n v="0"/>
    <n v="57891"/>
  </r>
  <r>
    <x v="6"/>
    <s v="03953-5"/>
    <s v="Stavnsholtskolen"/>
    <n v="5471"/>
    <m/>
    <s v="Stavnholtskolen"/>
    <x v="114"/>
    <x v="1"/>
    <x v="0"/>
    <n v="235594.73"/>
    <n v="5"/>
    <s v="2005-06-01"/>
    <n v="0"/>
    <n v="8656"/>
    <n v="27.217191"/>
    <n v="1"/>
    <x v="3"/>
    <n v="267442.71999999997"/>
    <n v="1418082.64"/>
    <n v="1"/>
    <s v="4202552"/>
    <m/>
    <n v="6752.5"/>
    <n v="0"/>
    <n v="57897"/>
  </r>
  <r>
    <x v="6"/>
    <s v="03953-5"/>
    <s v="Stavnsholtskolen"/>
    <n v="5471"/>
    <m/>
    <s v="Stavnholtskolen"/>
    <x v="114"/>
    <x v="0"/>
    <x v="0"/>
    <n v="728030"/>
    <n v="5"/>
    <m/>
    <n v="0"/>
    <n v="8656"/>
    <n v="26.179226"/>
    <n v="1"/>
    <x v="1"/>
    <n v="855655"/>
    <n v="47995504.600000001"/>
    <n v="0"/>
    <s v="Ny ?"/>
    <m/>
    <n v="226610"/>
    <n v="0"/>
    <n v="90717"/>
  </r>
  <r>
    <x v="6"/>
    <s v="03953-5"/>
    <s v="Stavnsholtskolen"/>
    <n v="5471"/>
    <m/>
    <s v="Stavnholtskolen"/>
    <x v="114"/>
    <x v="0"/>
    <x v="1"/>
    <n v="425620"/>
    <n v="12"/>
    <s v="2005-06-01"/>
    <n v="0"/>
    <n v="8656"/>
    <n v="49.169949000000003"/>
    <n v="1"/>
    <x v="1"/>
    <n v="447792.12"/>
    <n v="82841.55"/>
    <n v="0"/>
    <s v="4202552"/>
    <m/>
    <n v="425620"/>
    <n v="0"/>
    <n v="57891"/>
  </r>
  <r>
    <x v="6"/>
    <s v="03953-5"/>
    <s v="Stavnsholtskolen"/>
    <n v="5471"/>
    <m/>
    <s v="Stavnholtskolen"/>
    <x v="114"/>
    <x v="0"/>
    <x v="1"/>
    <n v="379900"/>
    <n v="12"/>
    <m/>
    <n v="0"/>
    <n v="8656"/>
    <n v="43.888125000000002"/>
    <n v="1"/>
    <x v="1"/>
    <n v="397826.99"/>
    <n v="73597.990000000005"/>
    <n v="0"/>
    <s v="Ny ?"/>
    <m/>
    <n v="379900"/>
    <n v="0"/>
    <n v="90717"/>
  </r>
  <r>
    <x v="6"/>
    <s v="03953-5"/>
    <s v="Stavnsholtskolen"/>
    <n v="5471"/>
    <m/>
    <s v="Stavnholtskolen"/>
    <x v="114"/>
    <x v="1"/>
    <x v="1"/>
    <n v="476450.86"/>
    <n v="12"/>
    <s v="2005-06-01"/>
    <n v="0"/>
    <n v="8656"/>
    <n v="55.042208000000002"/>
    <n v="1"/>
    <x v="3"/>
    <n v="509547.78"/>
    <n v="2701.81"/>
    <n v="1"/>
    <s v="4202552"/>
    <m/>
    <n v="13655.7996"/>
    <n v="0"/>
    <n v="57897"/>
  </r>
  <r>
    <x v="6"/>
    <s v="03953-5"/>
    <s v="Stavnsholtskolen"/>
    <n v="5471"/>
    <m/>
    <s v="Stavnholtskolen"/>
    <x v="114"/>
    <x v="0"/>
    <x v="2"/>
    <n v="466880.03"/>
    <n v="12"/>
    <s v="2005-06-01"/>
    <n v="0"/>
    <n v="8656"/>
    <n v="53.936532999999997"/>
    <n v="1"/>
    <x v="1"/>
    <n v="489871.99"/>
    <n v="90626.33"/>
    <n v="0"/>
    <s v="4202552"/>
    <m/>
    <n v="466880.03"/>
    <n v="0"/>
    <n v="57891"/>
  </r>
  <r>
    <x v="6"/>
    <s v="03953-5"/>
    <s v="Stavnsholtskolen"/>
    <n v="5471"/>
    <m/>
    <s v="Stavnholtskolen"/>
    <x v="114"/>
    <x v="0"/>
    <x v="2"/>
    <n v="411970"/>
    <n v="12"/>
    <m/>
    <n v="0"/>
    <n v="8656"/>
    <n v="47.593026000000002"/>
    <n v="1"/>
    <x v="1"/>
    <n v="435398.58"/>
    <n v="80548.72"/>
    <n v="0"/>
    <s v="Ny ?"/>
    <m/>
    <n v="411970"/>
    <n v="0"/>
    <n v="90717"/>
  </r>
  <r>
    <x v="6"/>
    <s v="03953-5"/>
    <s v="Stavnsholtskolen"/>
    <n v="5471"/>
    <m/>
    <s v="Stavnholtskolen"/>
    <x v="114"/>
    <x v="1"/>
    <x v="2"/>
    <n v="474343.49"/>
    <n v="12"/>
    <s v="2005-06-01"/>
    <n v="0"/>
    <n v="8656"/>
    <n v="54.798752999999998"/>
    <n v="1"/>
    <x v="3"/>
    <n v="496722.33"/>
    <n v="2633.81"/>
    <n v="1"/>
    <s v="4202552"/>
    <m/>
    <n v="13595.3997"/>
    <n v="0"/>
    <n v="57897"/>
  </r>
  <r>
    <x v="6"/>
    <s v="03953-5"/>
    <s v="Stavnsholtskolen"/>
    <n v="5471"/>
    <m/>
    <s v="Stavnholtskolen"/>
    <x v="114"/>
    <x v="0"/>
    <x v="3"/>
    <n v="103630"/>
    <n v="2"/>
    <m/>
    <n v="0"/>
    <n v="8656"/>
    <n v="11.971904"/>
    <n v="1"/>
    <x v="1"/>
    <n v="121291.3"/>
    <n v="22438.89"/>
    <n v="0"/>
    <s v="Ny ?"/>
    <m/>
    <n v="103630"/>
    <n v="0"/>
    <n v="90717"/>
  </r>
  <r>
    <x v="6"/>
    <s v="03953-5"/>
    <s v="Stavnsholtskolen"/>
    <n v="5471"/>
    <m/>
    <s v="Stavnholtskolen"/>
    <x v="114"/>
    <x v="0"/>
    <x v="3"/>
    <n v="939210"/>
    <n v="12"/>
    <s v="2005-06-01"/>
    <n v="0"/>
    <n v="8656"/>
    <n v="108.502674"/>
    <n v="1"/>
    <x v="1"/>
    <n v="1009439.82"/>
    <n v="186746.35"/>
    <n v="0"/>
    <s v="4202552"/>
    <m/>
    <n v="939209.99699999997"/>
    <n v="0"/>
    <n v="57891"/>
  </r>
  <r>
    <x v="6"/>
    <s v="03953-5"/>
    <s v="Stavnsholtskolen"/>
    <n v="5471"/>
    <m/>
    <s v="Stavnholtskolen"/>
    <x v="114"/>
    <x v="1"/>
    <x v="3"/>
    <n v="990478.25"/>
    <n v="12"/>
    <s v="2005-06-01"/>
    <n v="0"/>
    <n v="8656"/>
    <n v="114.425462"/>
    <n v="1"/>
    <x v="3"/>
    <n v="1061880.25"/>
    <n v="5630.5"/>
    <n v="1"/>
    <s v="4202552"/>
    <m/>
    <n v="28388.599890000001"/>
    <n v="0"/>
    <n v="57897"/>
  </r>
  <r>
    <x v="6"/>
    <s v="03953-5"/>
    <s v="Stavnsholtskolen"/>
    <n v="5471"/>
    <m/>
    <s v="Stavnholtskolen"/>
    <x v="114"/>
    <x v="0"/>
    <x v="4"/>
    <n v="1414070"/>
    <n v="12"/>
    <s v="2005-06-01"/>
    <n v="0"/>
    <n v="8656"/>
    <n v="163.361097"/>
    <n v="1"/>
    <x v="1"/>
    <n v="1280697.02"/>
    <n v="236928.94"/>
    <n v="0"/>
    <s v="4202552"/>
    <m/>
    <n v="1414070"/>
    <n v="0"/>
    <n v="57891"/>
  </r>
  <r>
    <x v="6"/>
    <s v="03953-5"/>
    <s v="Stavnsholtskolen"/>
    <n v="5471"/>
    <m/>
    <s v="Stavnholtskolen"/>
    <x v="114"/>
    <x v="1"/>
    <x v="4"/>
    <n v="1657365.71"/>
    <n v="12"/>
    <s v="2005-06-01"/>
    <n v="0"/>
    <n v="8656"/>
    <n v="191.46794800000001"/>
    <n v="1"/>
    <x v="3"/>
    <n v="1525725"/>
    <n v="8089.98"/>
    <n v="1"/>
    <s v="4202552"/>
    <m/>
    <n v="47502.6"/>
    <n v="0"/>
    <n v="57897"/>
  </r>
  <r>
    <x v="6"/>
    <s v="03953-5"/>
    <s v="Stavnsholtskolen"/>
    <n v="5471"/>
    <m/>
    <s v="Stavnholtskolen"/>
    <x v="114"/>
    <x v="1"/>
    <x v="5"/>
    <n v="1054490.93"/>
    <n v="12"/>
    <s v="2005-06-01"/>
    <n v="0"/>
    <n v="8656"/>
    <n v="121.82055699999999"/>
    <n v="1"/>
    <x v="3"/>
    <n v="1118423.52"/>
    <n v="5930.3"/>
    <n v="1"/>
    <s v="4202552"/>
    <m/>
    <n v="30223.3"/>
    <n v="0"/>
    <n v="57897"/>
  </r>
  <r>
    <x v="6"/>
    <s v="03953-5"/>
    <s v="Stavnsholtskolen"/>
    <n v="5471"/>
    <m/>
    <s v="Stavnholtskolen"/>
    <x v="114"/>
    <x v="0"/>
    <x v="5"/>
    <n v="1111680"/>
    <n v="12"/>
    <s v="2005-06-01"/>
    <n v="0"/>
    <n v="8656"/>
    <n v="128.42735099999999"/>
    <n v="1"/>
    <x v="1"/>
    <n v="1182450.57"/>
    <n v="218753.36"/>
    <n v="0"/>
    <s v="4202552"/>
    <m/>
    <n v="1111680"/>
    <n v="0"/>
    <n v="57891"/>
  </r>
  <r>
    <x v="6"/>
    <s v="03953-5"/>
    <s v="Stavnsholtskolen"/>
    <n v="5471"/>
    <m/>
    <s v="Stavnholtskolen"/>
    <x v="114"/>
    <x v="0"/>
    <x v="6"/>
    <n v="1094870"/>
    <n v="12"/>
    <s v="2005-06-01"/>
    <n v="0"/>
    <n v="8656"/>
    <n v="126.48536799999999"/>
    <n v="1"/>
    <x v="1"/>
    <n v="1276347.55"/>
    <n v="236124.3"/>
    <n v="0"/>
    <s v="4202552"/>
    <m/>
    <n v="1094870"/>
    <n v="0"/>
    <n v="57891"/>
  </r>
  <r>
    <x v="6"/>
    <s v="03953-5"/>
    <s v="Stavnsholtskolen"/>
    <n v="5471"/>
    <m/>
    <s v="Stavnholtskolen"/>
    <x v="114"/>
    <x v="1"/>
    <x v="6"/>
    <n v="1033675.56"/>
    <n v="12"/>
    <s v="2005-06-01"/>
    <n v="0"/>
    <n v="8656"/>
    <n v="119.415852"/>
    <n v="1"/>
    <x v="3"/>
    <n v="1241307.19"/>
    <n v="6581.88"/>
    <n v="1"/>
    <s v="4202552"/>
    <m/>
    <n v="29626.7"/>
    <n v="0"/>
    <n v="57897"/>
  </r>
  <r>
    <x v="6"/>
    <m/>
    <s v="Syvstjerneskolen, Skov 1"/>
    <n v="9223"/>
    <m/>
    <s v="Syvstjerneskolen"/>
    <x v="40"/>
    <x v="0"/>
    <x v="0"/>
    <n v="0"/>
    <n v="10"/>
    <s v="2010-11-29"/>
    <n v="0"/>
    <n v="7936"/>
    <n v="0.607124"/>
    <n v="1"/>
    <x v="4"/>
    <n v="0"/>
    <n v="1152.93"/>
    <n v="0"/>
    <s v="AFMELDT"/>
    <s v="98001315369"/>
    <n v="446.13"/>
    <n v="0"/>
    <n v="77843"/>
  </r>
  <r>
    <x v="6"/>
    <m/>
    <s v="Syvstjerneskolen, Skov 1"/>
    <n v="9223"/>
    <m/>
    <s v="Syvstjerneskolen"/>
    <x v="40"/>
    <x v="0"/>
    <x v="0"/>
    <n v="752979"/>
    <n v="10"/>
    <m/>
    <n v="0"/>
    <n v="7936"/>
    <n v="56.215268999999999"/>
    <n v="1"/>
    <x v="5"/>
    <n v="875522"/>
    <n v="32516.29"/>
    <n v="0"/>
    <s v="65114949"/>
    <m/>
    <n v="446.13"/>
    <n v="0"/>
    <n v="92758"/>
  </r>
  <r>
    <x v="6"/>
    <m/>
    <s v="Syvstjerneskolen, Skov 1"/>
    <n v="9223"/>
    <m/>
    <s v="Syvstjerneskolen"/>
    <x v="40"/>
    <x v="0"/>
    <x v="1"/>
    <n v="817700"/>
    <n v="24"/>
    <m/>
    <n v="0"/>
    <n v="7936"/>
    <n v="103.03549599999999"/>
    <n v="1"/>
    <x v="5"/>
    <n v="856611.57"/>
    <n v="54823.13"/>
    <n v="0"/>
    <s v="65114949"/>
    <m/>
    <n v="817.7"/>
    <n v="0"/>
    <n v="92758"/>
  </r>
  <r>
    <x v="6"/>
    <m/>
    <s v="Syvstjerneskolen, Skov 1"/>
    <n v="9223"/>
    <m/>
    <s v="Syvstjerneskolen"/>
    <x v="40"/>
    <x v="0"/>
    <x v="1"/>
    <n v="8831.16"/>
    <n v="24"/>
    <s v="2010-11-29"/>
    <n v="0"/>
    <n v="7936"/>
    <n v="1.1127830000000001"/>
    <n v="1"/>
    <x v="4"/>
    <n v="9186.34"/>
    <n v="1942.75"/>
    <n v="0"/>
    <s v="AFMELDT"/>
    <s v="98001315369"/>
    <n v="817.7"/>
    <n v="0"/>
    <n v="77843"/>
  </r>
  <r>
    <x v="6"/>
    <m/>
    <s v="Syvstjerneskolen, Skov 1"/>
    <n v="9223"/>
    <m/>
    <s v="Syvstjerneskolen"/>
    <x v="40"/>
    <x v="0"/>
    <x v="2"/>
    <n v="308490"/>
    <n v="8"/>
    <m/>
    <n v="0"/>
    <n v="7936"/>
    <n v="38.871738000000001"/>
    <n v="1"/>
    <x v="5"/>
    <n v="300877.90000000002"/>
    <n v="19256.189999999999"/>
    <n v="0"/>
    <s v="65114949"/>
    <m/>
    <n v="308.49"/>
    <n v="0"/>
    <n v="92758"/>
  </r>
  <r>
    <x v="6"/>
    <m/>
    <s v="Syvstjerneskolen, Skov 1"/>
    <n v="9223"/>
    <m/>
    <s v="Syvstjerneskolen"/>
    <x v="40"/>
    <x v="0"/>
    <x v="2"/>
    <n v="259000"/>
    <n v="8"/>
    <s v="2012-09-06"/>
    <n v="0"/>
    <n v="7936"/>
    <n v="32.635677000000001"/>
    <n v="1"/>
    <x v="5"/>
    <n v="321940.77"/>
    <n v="20604.22"/>
    <n v="0"/>
    <s v="AFMELDT Mobilfyr"/>
    <m/>
    <n v="259"/>
    <n v="0"/>
    <n v="92946"/>
  </r>
  <r>
    <x v="6"/>
    <m/>
    <s v="Syvstjerneskolen, Skov 1"/>
    <n v="9223"/>
    <m/>
    <s v="Syvstjerneskolen"/>
    <x v="40"/>
    <x v="0"/>
    <x v="2"/>
    <n v="302656.93"/>
    <n v="24"/>
    <s v="2010-11-29"/>
    <n v="0"/>
    <n v="7936"/>
    <n v="38.136733"/>
    <n v="1"/>
    <x v="4"/>
    <n v="324895.94"/>
    <n v="68709.48"/>
    <n v="0"/>
    <s v="AFMELDT"/>
    <s v="98001315369"/>
    <n v="28023.79"/>
    <n v="0"/>
    <n v="77843"/>
  </r>
  <r>
    <x v="6"/>
    <m/>
    <s v="Syvstjerneskolen, Skov 1"/>
    <n v="9223"/>
    <m/>
    <s v="Syvstjerneskolen"/>
    <x v="40"/>
    <x v="0"/>
    <x v="3"/>
    <n v="843653.88"/>
    <n v="24"/>
    <s v="2010-11-29"/>
    <n v="0"/>
    <n v="7936"/>
    <n v="106.305853"/>
    <n v="1"/>
    <x v="4"/>
    <n v="917487.27"/>
    <n v="194031.56"/>
    <n v="0"/>
    <s v="AFMELDT"/>
    <s v="98001315369"/>
    <n v="78116.100000000006"/>
    <n v="0"/>
    <n v="77843"/>
  </r>
  <r>
    <x v="6"/>
    <m/>
    <s v="Syvstjerneskolen, Skov 1"/>
    <n v="9223"/>
    <m/>
    <s v="Syvstjerneskolen"/>
    <x v="40"/>
    <x v="0"/>
    <x v="4"/>
    <n v="1011639.31"/>
    <n v="6"/>
    <s v="2010-11-29"/>
    <n v="0"/>
    <n v="7936"/>
    <n v="127.473105"/>
    <n v="1"/>
    <x v="4"/>
    <n v="1265462.6599999999"/>
    <n v="267621.90000000002"/>
    <n v="0"/>
    <s v="AFMELDT"/>
    <s v="98001315369"/>
    <n v="93670.304239999998"/>
    <n v="0"/>
    <n v="77843"/>
  </r>
  <r>
    <x v="6"/>
    <m/>
    <s v="Syvstjerneskolen, Skov 1"/>
    <n v="9223"/>
    <m/>
    <s v="Syvstjerneskolen"/>
    <x v="40"/>
    <x v="0"/>
    <x v="5"/>
    <n v="968765.23"/>
    <n v="5"/>
    <s v="2010-11-29"/>
    <n v="0"/>
    <n v="7936"/>
    <n v="122.07069300000001"/>
    <n v="1"/>
    <x v="4"/>
    <n v="1304232.3899999999"/>
    <n v="275821"/>
    <n v="0"/>
    <s v="AFMELDT"/>
    <s v="98001315369"/>
    <n v="89700.482740000007"/>
    <n v="0"/>
    <n v="77843"/>
  </r>
  <r>
    <x v="6"/>
    <m/>
    <s v="Syvstjerneskolen, Skov 1"/>
    <n v="9223"/>
    <m/>
    <s v="Syvstjerneskolen"/>
    <x v="40"/>
    <x v="0"/>
    <x v="6"/>
    <n v="906743.93"/>
    <n v="1"/>
    <s v="2010-11-29"/>
    <n v="0"/>
    <n v="7936"/>
    <n v="114.255607"/>
    <n v="1"/>
    <x v="4"/>
    <n v="1146065.05"/>
    <n v="242371.52"/>
    <n v="0"/>
    <s v="AFMELDT"/>
    <s v="98001315369"/>
    <n v="83957.773050000003"/>
    <n v="0"/>
    <n v="77843"/>
  </r>
  <r>
    <x v="6"/>
    <m/>
    <s v="Søndersøskolen Pedelbolig KV48"/>
    <n v="10321"/>
    <m/>
    <s v="Søndersøskolen Pedelbolig"/>
    <x v="115"/>
    <x v="0"/>
    <x v="0"/>
    <n v="15902"/>
    <n v="5"/>
    <s v="2012-01-25"/>
    <n v="0"/>
    <n v="126"/>
    <n v="69.865185999999994"/>
    <n v="1"/>
    <x v="1"/>
    <n v="18233"/>
    <n v="634.91999999999996"/>
    <n v="0"/>
    <s v="4080356/2001"/>
    <m/>
    <n v="8810"/>
    <n v="0"/>
    <n v="77810"/>
  </r>
  <r>
    <x v="6"/>
    <m/>
    <s v="Søndersøskolen Pedelbolig KV48"/>
    <n v="10321"/>
    <m/>
    <s v="Søndersøskolen Pedelbolig"/>
    <x v="115"/>
    <x v="0"/>
    <x v="1"/>
    <n v="18108.03"/>
    <n v="12"/>
    <s v="2012-01-25"/>
    <n v="0"/>
    <n v="126"/>
    <n v="143.60055500000001"/>
    <n v="1"/>
    <x v="1"/>
    <n v="19005.64"/>
    <n v="1216.3699999999999"/>
    <n v="0"/>
    <s v="4080356/2001"/>
    <m/>
    <n v="18108.028999999999"/>
    <n v="0"/>
    <n v="77810"/>
  </r>
  <r>
    <x v="6"/>
    <m/>
    <s v="Søndersøskolen Pedelbolig KV48"/>
    <n v="10321"/>
    <m/>
    <s v="Søndersøskolen Pedelbolig"/>
    <x v="115"/>
    <x v="0"/>
    <x v="2"/>
    <n v="14529.88"/>
    <n v="12"/>
    <s v="2012-01-25"/>
    <n v="0"/>
    <n v="126"/>
    <n v="115.225059"/>
    <n v="1"/>
    <x v="1"/>
    <n v="14911.34"/>
    <n v="2758.6"/>
    <n v="0"/>
    <s v="4080356/2001"/>
    <m/>
    <n v="14529.88005"/>
    <n v="0"/>
    <n v="77810"/>
  </r>
  <r>
    <x v="6"/>
    <m/>
    <s v="Søndersøskolen Pedelbolig KV48"/>
    <n v="10321"/>
    <m/>
    <s v="Søndersøskolen Pedelbolig"/>
    <x v="115"/>
    <x v="0"/>
    <x v="3"/>
    <n v="7765.09"/>
    <n v="3"/>
    <s v="2012-01-25"/>
    <n v="0"/>
    <n v="126"/>
    <n v="61.578825999999999"/>
    <n v="1"/>
    <x v="1"/>
    <n v="9305.18"/>
    <n v="1721.46"/>
    <n v="0"/>
    <s v="4080356/2001"/>
    <m/>
    <n v="7765.0909000000001"/>
    <n v="0"/>
    <n v="77810"/>
  </r>
  <r>
    <x v="6"/>
    <m/>
    <s v="Søndersøskolen Pedelbolig KV48"/>
    <n v="10321"/>
    <m/>
    <s v="Søndersøskolen Pedelbolig"/>
    <x v="115"/>
    <x v="0"/>
    <x v="4"/>
    <n v="8812.7800000000007"/>
    <n v="3"/>
    <s v="2012-01-25"/>
    <n v="0"/>
    <n v="126"/>
    <n v="69.887231999999997"/>
    <n v="1"/>
    <x v="1"/>
    <n v="9641.08"/>
    <n v="1783.6"/>
    <n v="0"/>
    <s v="4080356/2001"/>
    <m/>
    <n v="8812.7724400000006"/>
    <n v="0"/>
    <n v="77810"/>
  </r>
  <r>
    <x v="6"/>
    <m/>
    <s v="Søndersøskolen Pedelbolig KV48"/>
    <n v="10321"/>
    <m/>
    <s v="Søndersøskolen Pedelbolig"/>
    <x v="115"/>
    <x v="0"/>
    <x v="5"/>
    <n v="10869.72"/>
    <n v="4"/>
    <s v="2012-01-25"/>
    <n v="0"/>
    <n v="126"/>
    <n v="86.199206000000004"/>
    <n v="1"/>
    <x v="1"/>
    <n v="16171.75"/>
    <n v="2991.77"/>
    <n v="0"/>
    <s v="4080356/2001"/>
    <m/>
    <n v="10869.72753"/>
    <n v="0"/>
    <n v="77810"/>
  </r>
  <r>
    <x v="6"/>
    <m/>
    <s v="Søndersøskolen Pedelbolig KV48"/>
    <n v="10321"/>
    <m/>
    <s v="Søndersøskolen Pedelbolig"/>
    <x v="115"/>
    <x v="0"/>
    <x v="6"/>
    <n v="5436.94"/>
    <n v="7"/>
    <s v="2012-01-25"/>
    <n v="0"/>
    <n v="126"/>
    <n v="43.116098000000001"/>
    <n v="1"/>
    <x v="1"/>
    <n v="5681.25"/>
    <n v="1051.05"/>
    <n v="0"/>
    <s v="4080356/2001"/>
    <m/>
    <n v="5436.9395699999995"/>
    <n v="0"/>
    <n v="77810"/>
  </r>
  <r>
    <x v="6"/>
    <m/>
    <s v="Søndersøskolen, KV50"/>
    <n v="9222"/>
    <m/>
    <s v="Søndersøskolen"/>
    <x v="116"/>
    <x v="1"/>
    <x v="0"/>
    <n v="399525.39"/>
    <n v="5"/>
    <m/>
    <n v="0"/>
    <n v="11252"/>
    <n v="35.506740000000001"/>
    <n v="1"/>
    <x v="3"/>
    <n v="456078.82"/>
    <n v="836.59"/>
    <n v="1"/>
    <m/>
    <m/>
    <n v="11451"/>
    <n v="74423"/>
    <n v="74422"/>
  </r>
  <r>
    <x v="6"/>
    <m/>
    <s v="Søndersøskolen, KV50"/>
    <n v="9222"/>
    <m/>
    <s v="Søndersøskolen"/>
    <x v="116"/>
    <x v="0"/>
    <x v="0"/>
    <n v="665200"/>
    <n v="5"/>
    <m/>
    <n v="0"/>
    <n v="11252"/>
    <n v="36.028829999999999"/>
    <n v="1"/>
    <x v="1"/>
    <n v="778236"/>
    <n v="29639.07"/>
    <n v="0"/>
    <m/>
    <m/>
    <n v="405400"/>
    <n v="0"/>
    <n v="74423"/>
  </r>
  <r>
    <x v="6"/>
    <m/>
    <s v="Søndersøskolen, KV50"/>
    <n v="9222"/>
    <m/>
    <s v="Søndersøskolen"/>
    <x v="116"/>
    <x v="1"/>
    <x v="1"/>
    <n v="957852.62"/>
    <n v="12"/>
    <m/>
    <n v="0"/>
    <n v="11252"/>
    <n v="85.126564000000002"/>
    <n v="1"/>
    <x v="3"/>
    <n v="1019473.36"/>
    <n v="1870.05"/>
    <n v="1"/>
    <m/>
    <m/>
    <n v="27453.5"/>
    <n v="74423"/>
    <n v="74422"/>
  </r>
  <r>
    <x v="6"/>
    <m/>
    <s v="Søndersøskolen, KV50"/>
    <n v="9222"/>
    <m/>
    <s v="Søndersøskolen"/>
    <x v="116"/>
    <x v="0"/>
    <x v="1"/>
    <n v="852250"/>
    <n v="12"/>
    <m/>
    <n v="0"/>
    <n v="11252"/>
    <n v="75.741416999999998"/>
    <n v="1"/>
    <x v="1"/>
    <n v="897627.06"/>
    <n v="57448.14"/>
    <n v="0"/>
    <m/>
    <m/>
    <n v="852250"/>
    <n v="0"/>
    <n v="74423"/>
  </r>
  <r>
    <x v="6"/>
    <m/>
    <s v="Søndersøskolen, KV50"/>
    <n v="9222"/>
    <m/>
    <s v="Søndersøskolen"/>
    <x v="116"/>
    <x v="1"/>
    <x v="2"/>
    <n v="1162255.68"/>
    <n v="12"/>
    <m/>
    <n v="0"/>
    <n v="11252"/>
    <n v="103.292334"/>
    <n v="1"/>
    <x v="3"/>
    <n v="1269699.8400000001"/>
    <n v="6732.45"/>
    <n v="1"/>
    <m/>
    <m/>
    <n v="33312"/>
    <n v="74423"/>
    <n v="74422"/>
  </r>
  <r>
    <x v="6"/>
    <m/>
    <s v="Søndersøskolen, KV50"/>
    <n v="9222"/>
    <m/>
    <s v="Søndersøskolen"/>
    <x v="116"/>
    <x v="0"/>
    <x v="2"/>
    <n v="861000"/>
    <n v="12"/>
    <m/>
    <n v="0"/>
    <n v="11252"/>
    <n v="76.519048999999995"/>
    <n v="1"/>
    <x v="1"/>
    <n v="918220.91"/>
    <n v="169870.87"/>
    <n v="0"/>
    <m/>
    <m/>
    <n v="861000"/>
    <n v="0"/>
    <n v="74423"/>
  </r>
  <r>
    <x v="6"/>
    <m/>
    <s v="Søndersøskolen, KV50"/>
    <n v="9222"/>
    <m/>
    <s v="Søndersøskolen"/>
    <x v="116"/>
    <x v="0"/>
    <x v="3"/>
    <n v="884427"/>
    <n v="12"/>
    <m/>
    <n v="0"/>
    <n v="11252"/>
    <n v="78.601061000000001"/>
    <n v="1"/>
    <x v="1"/>
    <n v="981624.53"/>
    <n v="181600.53"/>
    <n v="0"/>
    <m/>
    <m/>
    <n v="884427"/>
    <n v="0"/>
    <n v="74423"/>
  </r>
  <r>
    <x v="6"/>
    <m/>
    <s v="Søndersøskolen, KV50"/>
    <n v="9222"/>
    <m/>
    <s v="Søndersøskolen"/>
    <x v="116"/>
    <x v="1"/>
    <x v="3"/>
    <n v="1184082.8500000001"/>
    <n v="12"/>
    <m/>
    <n v="0"/>
    <n v="11252"/>
    <n v="105.23216499999999"/>
    <n v="1"/>
    <x v="3"/>
    <n v="1382331.48"/>
    <n v="7329.65"/>
    <n v="1"/>
    <m/>
    <m/>
    <n v="33937.599999999999"/>
    <n v="74423"/>
    <n v="74422"/>
  </r>
  <r>
    <x v="6"/>
    <m/>
    <s v="Søndersøskolen, KV50"/>
    <n v="9222"/>
    <m/>
    <s v="Søndersøskolen"/>
    <x v="116"/>
    <x v="0"/>
    <x v="4"/>
    <n v="1063897"/>
    <n v="12"/>
    <m/>
    <n v="0"/>
    <n v="11252"/>
    <n v="94.550972000000002"/>
    <n v="1"/>
    <x v="1"/>
    <n v="959992.23"/>
    <n v="177598.55"/>
    <n v="0"/>
    <m/>
    <m/>
    <n v="1063897"/>
    <n v="0"/>
    <n v="74423"/>
  </r>
  <r>
    <x v="6"/>
    <m/>
    <s v="Søndersøskolen, KV50"/>
    <n v="9222"/>
    <m/>
    <s v="Søndersøskolen"/>
    <x v="116"/>
    <x v="1"/>
    <x v="4"/>
    <n v="1152828.3799999999"/>
    <n v="12"/>
    <m/>
    <n v="0"/>
    <n v="11252"/>
    <n v="102.454508"/>
    <n v="1"/>
    <x v="3"/>
    <n v="1115953.51"/>
    <n v="5917.2"/>
    <n v="1"/>
    <m/>
    <m/>
    <n v="33041.800000000003"/>
    <n v="74423"/>
    <n v="74422"/>
  </r>
  <r>
    <x v="6"/>
    <m/>
    <s v="Søndersøskolen, KV50"/>
    <n v="9222"/>
    <m/>
    <s v="Søndersøskolen"/>
    <x v="116"/>
    <x v="0"/>
    <x v="5"/>
    <n v="956609"/>
    <n v="12"/>
    <m/>
    <n v="0"/>
    <n v="11252"/>
    <n v="85.016041000000001"/>
    <n v="1"/>
    <x v="1"/>
    <n v="1030945.48"/>
    <n v="190724.91"/>
    <n v="0"/>
    <m/>
    <m/>
    <n v="956609"/>
    <n v="0"/>
    <n v="74423"/>
  </r>
  <r>
    <x v="6"/>
    <m/>
    <s v="Søndersøskolen, KV50"/>
    <n v="9222"/>
    <m/>
    <s v="Søndersøskolen"/>
    <x v="116"/>
    <x v="1"/>
    <x v="5"/>
    <n v="951980.64"/>
    <n v="12"/>
    <m/>
    <n v="0"/>
    <n v="11252"/>
    <n v="84.604708000000002"/>
    <n v="1"/>
    <x v="3"/>
    <n v="1207709.7"/>
    <n v="6403.74"/>
    <n v="1"/>
    <m/>
    <m/>
    <n v="27285.200000000001"/>
    <n v="74423"/>
    <n v="74422"/>
  </r>
  <r>
    <x v="6"/>
    <m/>
    <s v="Søndersøskolen, KV50"/>
    <n v="9222"/>
    <m/>
    <s v="Søndersøskolen"/>
    <x v="116"/>
    <x v="0"/>
    <x v="6"/>
    <n v="780873"/>
    <n v="12"/>
    <m/>
    <n v="0"/>
    <n v="11252"/>
    <n v="69.397979000000007"/>
    <n v="1"/>
    <x v="1"/>
    <n v="914104.63"/>
    <n v="169109.35"/>
    <n v="0"/>
    <m/>
    <m/>
    <n v="780873"/>
    <n v="0"/>
    <n v="74423"/>
  </r>
  <r>
    <x v="6"/>
    <m/>
    <s v="Søndersøskolen, KV50"/>
    <n v="9222"/>
    <m/>
    <s v="Søndersøskolen"/>
    <x v="116"/>
    <x v="1"/>
    <x v="6"/>
    <n v="870725.3"/>
    <n v="12"/>
    <m/>
    <n v="0"/>
    <n v="11252"/>
    <n v="77.383358999999999"/>
    <n v="1"/>
    <x v="3"/>
    <n v="1043625.02"/>
    <n v="5533.7"/>
    <n v="1"/>
    <m/>
    <m/>
    <n v="24956.3"/>
    <n v="74423"/>
    <n v="74422"/>
  </r>
  <r>
    <x v="6"/>
    <m/>
    <s v="Lille Værløse skole"/>
    <n v="14252"/>
    <s v="0"/>
    <s v="Bygning A"/>
    <x v="111"/>
    <x v="0"/>
    <x v="7"/>
    <n v="244020"/>
    <n v="12"/>
    <s v="2010-11-29"/>
    <n v="0"/>
    <n v="3700"/>
    <n v="65.949567999999999"/>
    <n v="1"/>
    <x v="5"/>
    <n v="288921.83"/>
    <n v="18491.009999999998"/>
    <n v="0"/>
    <s v="Byg A 977804"/>
    <m/>
    <n v="244.02"/>
    <n v="0"/>
    <n v="79444"/>
  </r>
  <r>
    <x v="6"/>
    <m/>
    <s v="Lille Værløse skole"/>
    <n v="14253"/>
    <s v="0"/>
    <s v="Bygning B+C"/>
    <x v="111"/>
    <x v="0"/>
    <x v="7"/>
    <n v="446500"/>
    <n v="12"/>
    <m/>
    <n v="0"/>
    <n v="6105"/>
    <n v="73.135575000000003"/>
    <n v="1"/>
    <x v="5"/>
    <n v="533919.86"/>
    <n v="34170.85"/>
    <n v="0"/>
    <s v="Byg B+C 4507264"/>
    <m/>
    <n v="446.5"/>
    <n v="0"/>
    <n v="77355"/>
  </r>
  <r>
    <x v="6"/>
    <m/>
    <s v="Lille Værløse skole"/>
    <n v="14252"/>
    <s v="0"/>
    <s v="Bygning A"/>
    <x v="111"/>
    <x v="0"/>
    <x v="7"/>
    <n v="750.96"/>
    <n v="12"/>
    <m/>
    <n v="0"/>
    <n v="3700"/>
    <n v="0.202956"/>
    <n v="3"/>
    <x v="0"/>
    <n v="750.96"/>
    <n v="600.79"/>
    <n v="0"/>
    <s v="Byg A nr 378377"/>
    <m/>
    <n v="750.95699999999999"/>
    <n v="0"/>
    <n v="77354"/>
  </r>
  <r>
    <x v="6"/>
    <m/>
    <s v="Lille Værløse skole"/>
    <n v="14253"/>
    <s v="0"/>
    <s v="Bygning B+C"/>
    <x v="111"/>
    <x v="0"/>
    <x v="7"/>
    <n v="660.6"/>
    <n v="12"/>
    <s v="2011-08-30"/>
    <n v="0"/>
    <n v="6105"/>
    <n v="0.10820399999999999"/>
    <n v="3"/>
    <x v="0"/>
    <n v="660.6"/>
    <n v="528.48"/>
    <n v="0"/>
    <s v="Byg B+C nr 40490"/>
    <m/>
    <n v="660.6"/>
    <n v="0"/>
    <n v="78672"/>
  </r>
  <r>
    <x v="6"/>
    <m/>
    <s v="Lille Værløse skole"/>
    <n v="14254"/>
    <s v="0"/>
    <s v="Bygning D"/>
    <x v="111"/>
    <x v="0"/>
    <x v="7"/>
    <n v="337.8"/>
    <n v="12"/>
    <s v="2011-08-30"/>
    <n v="0"/>
    <n v="2840"/>
    <n v="0.118939"/>
    <n v="3"/>
    <x v="0"/>
    <n v="337.8"/>
    <n v="270.24"/>
    <n v="0"/>
    <s v="Byg D nr 40415"/>
    <m/>
    <n v="337.8"/>
    <n v="0"/>
    <n v="78673"/>
  </r>
  <r>
    <x v="6"/>
    <m/>
    <s v="Lille Værløse skole"/>
    <n v="14254"/>
    <s v="0"/>
    <s v="Bygning D"/>
    <x v="111"/>
    <x v="0"/>
    <x v="7"/>
    <n v="259670"/>
    <n v="12"/>
    <m/>
    <n v="0"/>
    <n v="2840"/>
    <n v="91.429879"/>
    <n v="1"/>
    <x v="1"/>
    <n v="308731.61"/>
    <n v="19758.82"/>
    <n v="0"/>
    <s v="Byg D."/>
    <m/>
    <n v="259670"/>
    <n v="0"/>
    <n v="77356"/>
  </r>
  <r>
    <x v="6"/>
    <m/>
    <s v="Lillestjernen, LV 91-93"/>
    <n v="9518"/>
    <m/>
    <s v="Lillestjernen"/>
    <x v="86"/>
    <x v="0"/>
    <x v="1"/>
    <n v="58118.17"/>
    <n v="12"/>
    <m/>
    <n v="0"/>
    <n v="2128"/>
    <n v="27.309885999999999"/>
    <n v="2"/>
    <x v="2"/>
    <n v="58118.17"/>
    <n v="17435.45"/>
    <n v="0"/>
    <s v="3108097"/>
    <s v="74110486019"/>
    <n v="58118.171999999999"/>
    <n v="0"/>
    <n v="74428"/>
  </r>
  <r>
    <x v="6"/>
    <m/>
    <s v="Lillestjernen, LV 91-93"/>
    <n v="9518"/>
    <m/>
    <s v="Lillestjernen"/>
    <x v="86"/>
    <x v="0"/>
    <x v="7"/>
    <n v="185515.49"/>
    <n v="12"/>
    <m/>
    <n v="0"/>
    <n v="2128"/>
    <n v="87.174234999999996"/>
    <n v="1"/>
    <x v="4"/>
    <n v="220801.42"/>
    <n v="46695.41"/>
    <n v="0"/>
    <s v="1204726"/>
    <s v="98004940117"/>
    <n v="17177.36"/>
    <n v="0"/>
    <n v="74430"/>
  </r>
  <r>
    <x v="9"/>
    <s v="06157-9"/>
    <s v="Furesøbad"/>
    <n v="5489"/>
    <m/>
    <s v="Furesøbad"/>
    <x v="53"/>
    <x v="0"/>
    <x v="7"/>
    <n v="201520.44"/>
    <n v="12"/>
    <m/>
    <n v="0"/>
    <n v="2801"/>
    <n v="71.943321999999995"/>
    <n v="1"/>
    <x v="4"/>
    <n v="237319.17"/>
    <n v="50188.61"/>
    <n v="0"/>
    <s v="-525481"/>
    <s v="98004940469"/>
    <n v="18659.3"/>
    <n v="0"/>
    <n v="58006"/>
  </r>
  <r>
    <x v="6"/>
    <m/>
    <s v="Lillestjernen, LV 91-93"/>
    <n v="9518"/>
    <m/>
    <s v="Lillestjernen"/>
    <x v="86"/>
    <x v="0"/>
    <x v="7"/>
    <n v="446.02"/>
    <n v="12"/>
    <m/>
    <n v="0"/>
    <n v="2128"/>
    <n v="0.20958599999999999"/>
    <n v="3"/>
    <x v="0"/>
    <n v="446.02"/>
    <n v="356.82"/>
    <n v="0"/>
    <m/>
    <m/>
    <n v="446.017"/>
    <n v="0"/>
    <n v="74429"/>
  </r>
  <r>
    <x v="6"/>
    <m/>
    <s v="Lillestjernen, LV 91-93"/>
    <n v="9519"/>
    <m/>
    <s v="Lillestjernen miniklub"/>
    <x v="86"/>
    <x v="0"/>
    <x v="7"/>
    <n v="162.49"/>
    <n v="12"/>
    <m/>
    <n v="0"/>
    <n v="353"/>
    <n v="0.46018100000000001"/>
    <n v="3"/>
    <x v="0"/>
    <n v="162.49"/>
    <n v="130.01"/>
    <n v="0"/>
    <m/>
    <m/>
    <n v="162.48599999999999"/>
    <n v="0"/>
    <n v="74432"/>
  </r>
  <r>
    <x v="6"/>
    <m/>
    <s v="Lillestjernen, LV 91-93"/>
    <n v="9519"/>
    <m/>
    <s v="Lillestjernen miniklub"/>
    <x v="86"/>
    <x v="0"/>
    <x v="1"/>
    <n v="9876.92"/>
    <n v="12"/>
    <m/>
    <n v="0"/>
    <n v="353"/>
    <n v="27.972019"/>
    <n v="2"/>
    <x v="2"/>
    <n v="9876.92"/>
    <n v="2963.07"/>
    <n v="1"/>
    <m/>
    <m/>
    <n v="9876.9233000000004"/>
    <n v="0"/>
    <n v="74431"/>
  </r>
  <r>
    <x v="6"/>
    <s v="5756"/>
    <s v="Lyngholmskolen, Hvile 1"/>
    <n v="5481"/>
    <m/>
    <s v="Lyngholmskolen Diamanten"/>
    <x v="112"/>
    <x v="0"/>
    <x v="1"/>
    <n v="38751.71"/>
    <n v="12"/>
    <s v="2005-07-01"/>
    <n v="0"/>
    <n v="1273"/>
    <n v="30.438856999999999"/>
    <n v="2"/>
    <x v="2"/>
    <n v="38751.71"/>
    <n v="15500.69"/>
    <n v="0"/>
    <s v="80018"/>
    <s v="74112176444"/>
    <n v="38751.72"/>
    <n v="0"/>
    <n v="57944"/>
  </r>
  <r>
    <x v="6"/>
    <s v="5756"/>
    <s v="Lyngholmskolen, Hvile 1"/>
    <n v="5481"/>
    <m/>
    <s v="Lyngholmskolen Diamanten"/>
    <x v="112"/>
    <x v="1"/>
    <x v="7"/>
    <n v="127714.85"/>
    <n v="12"/>
    <s v="2010-01-15"/>
    <n v="0"/>
    <n v="1273"/>
    <n v="100.318003"/>
    <n v="1"/>
    <x v="3"/>
    <n v="157779.35999999999"/>
    <n v="437250.56"/>
    <n v="1"/>
    <s v="4106727"/>
    <m/>
    <n v="3660.5001000000002"/>
    <n v="0"/>
    <n v="58125"/>
  </r>
  <r>
    <x v="6"/>
    <s v="5756"/>
    <s v="Lyngholmskolen, Hvile 1"/>
    <n v="5479"/>
    <m/>
    <s v="Lyngholmskolenskolen"/>
    <x v="112"/>
    <x v="1"/>
    <x v="7"/>
    <n v="455740.15999999997"/>
    <n v="12"/>
    <s v="2005-10-03"/>
    <n v="0"/>
    <n v="6089"/>
    <n v="74.845241000000001"/>
    <n v="1"/>
    <x v="3"/>
    <n v="552392.28"/>
    <n v="1083632.17"/>
    <n v="1"/>
    <s v="4860464"/>
    <m/>
    <n v="13062.2"/>
    <n v="0"/>
    <n v="57937"/>
  </r>
  <r>
    <x v="6"/>
    <s v="5756"/>
    <s v="Lyngholmskolen, Hvile 1"/>
    <n v="5480"/>
    <m/>
    <s v="Bimåler"/>
    <x v="112"/>
    <x v="1"/>
    <x v="7"/>
    <n v="120.95"/>
    <n v="12"/>
    <s v="2005-07-01"/>
    <n v="0"/>
    <n v="0"/>
    <n v="1209.5"/>
    <n v="3"/>
    <x v="0"/>
    <n v="120.95"/>
    <n v="96.75"/>
    <n v="1"/>
    <s v="BV01"/>
    <m/>
    <n v="120.944"/>
    <n v="0"/>
    <n v="57940"/>
  </r>
  <r>
    <x v="6"/>
    <s v="5756"/>
    <s v="Lyngholmskolen, Hvile 1"/>
    <n v="5481"/>
    <m/>
    <s v="Lyngholmskolen Diamanten"/>
    <x v="112"/>
    <x v="0"/>
    <x v="7"/>
    <n v="25.9"/>
    <n v="12"/>
    <s v="2005-07-01"/>
    <n v="0"/>
    <n v="1273"/>
    <n v="2.0344000000000001E-2"/>
    <n v="3"/>
    <x v="0"/>
    <n v="25.9"/>
    <n v="20.71"/>
    <n v="1"/>
    <s v="BV"/>
    <m/>
    <n v="25.891999999999999"/>
    <n v="0"/>
    <n v="57946"/>
  </r>
  <r>
    <x v="6"/>
    <s v="5756"/>
    <s v="Lyngholmskolen, Hvile 1"/>
    <n v="5479"/>
    <m/>
    <s v="Lyngholmskolenskolen"/>
    <x v="112"/>
    <x v="0"/>
    <x v="7"/>
    <n v="1381.41"/>
    <n v="12"/>
    <s v="2005-07-01"/>
    <n v="0"/>
    <n v="6089"/>
    <n v="0.22686600000000001"/>
    <n v="3"/>
    <x v="0"/>
    <n v="1381.41"/>
    <n v="1105.1199999999999"/>
    <n v="0"/>
    <s v="10012214 aut"/>
    <m/>
    <n v="1381.3979999999999"/>
    <n v="0"/>
    <n v="57933"/>
  </r>
  <r>
    <x v="6"/>
    <s v="5756"/>
    <s v="Lyngholmskolen, Hvile 1"/>
    <n v="5481"/>
    <m/>
    <s v="Lyngholmskolen Diamanten"/>
    <x v="112"/>
    <x v="0"/>
    <x v="7"/>
    <n v="55250"/>
    <n v="12"/>
    <s v="2005-10-04"/>
    <n v="0"/>
    <n v="1273"/>
    <n v="43.398004"/>
    <n v="1"/>
    <x v="1"/>
    <n v="66389.56"/>
    <n v="5196340.97"/>
    <n v="0"/>
    <s v="4106727"/>
    <m/>
    <n v="55250.002"/>
    <n v="0"/>
    <n v="57945"/>
  </r>
  <r>
    <x v="6"/>
    <s v="5756"/>
    <s v="Lyngholmskolen, Hvile 1"/>
    <n v="5479"/>
    <m/>
    <s v="Lyngholmskolenskolen"/>
    <x v="112"/>
    <x v="0"/>
    <x v="7"/>
    <n v="466093.5"/>
    <n v="12"/>
    <s v="2005-10-03"/>
    <n v="0"/>
    <n v="6089"/>
    <n v="76.545547999999997"/>
    <n v="1"/>
    <x v="1"/>
    <n v="584293.34"/>
    <n v="43319597"/>
    <n v="0"/>
    <s v="4860464"/>
    <m/>
    <n v="570505.48349999997"/>
    <n v="0"/>
    <n v="57932"/>
  </r>
  <r>
    <x v="6"/>
    <s v="5756"/>
    <s v="Lyngholmskolen, Hvile 1"/>
    <n v="5479"/>
    <m/>
    <s v="Lyngholmskolenskolen"/>
    <x v="112"/>
    <x v="0"/>
    <x v="1"/>
    <n v="92200.11"/>
    <n v="12"/>
    <s v="2005-07-01"/>
    <n v="0"/>
    <n v="6089"/>
    <n v="15.141828"/>
    <n v="2"/>
    <x v="2"/>
    <n v="92200.11"/>
    <n v="36880.04"/>
    <n v="0"/>
    <s v="1048860"/>
    <s v="741 1217 6437"/>
    <n v="92200.114400000006"/>
    <n v="0"/>
    <n v="57931"/>
  </r>
  <r>
    <x v="6"/>
    <s v="5756"/>
    <s v="Lyngholmskolen, Hvile 1"/>
    <n v="13265"/>
    <m/>
    <s v="Ny Lavenergi"/>
    <x v="112"/>
    <x v="0"/>
    <x v="1"/>
    <n v="159172.20000000001"/>
    <n v="12"/>
    <m/>
    <n v="0"/>
    <n v="3000"/>
    <n v="53.055630999999998"/>
    <n v="2"/>
    <x v="2"/>
    <n v="159172.20000000001"/>
    <n v="47751.66"/>
    <n v="0"/>
    <s v="1129519"/>
    <s v="74115744459"/>
    <n v="159172.20000000001"/>
    <n v="0"/>
    <n v="90713"/>
  </r>
  <r>
    <x v="6"/>
    <m/>
    <s v="Solhøjskolen KV52"/>
    <n v="10161"/>
    <m/>
    <s v="Solhøjskolen"/>
    <x v="113"/>
    <x v="0"/>
    <x v="1"/>
    <n v="6023.46"/>
    <n v="12"/>
    <s v="2011-11-30"/>
    <n v="0"/>
    <n v="265"/>
    <n v="22.721463"/>
    <n v="2"/>
    <x v="2"/>
    <n v="6023.46"/>
    <n v="1807.03"/>
    <n v="0"/>
    <s v="15887022"/>
    <m/>
    <n v="6023.442"/>
    <n v="0"/>
    <n v="77142"/>
  </r>
  <r>
    <x v="6"/>
    <m/>
    <s v="Solhøjskolen KV52"/>
    <n v="10161"/>
    <m/>
    <s v="Solhøjskolen"/>
    <x v="113"/>
    <x v="0"/>
    <x v="7"/>
    <n v="67.39"/>
    <n v="12"/>
    <m/>
    <n v="0"/>
    <n v="265"/>
    <n v="0.25420500000000001"/>
    <n v="3"/>
    <x v="8"/>
    <n v="67.39"/>
    <n v="0"/>
    <n v="0"/>
    <s v="00AA389720"/>
    <m/>
    <n v="67389.000230000005"/>
    <n v="0"/>
    <n v="92156"/>
  </r>
  <r>
    <x v="6"/>
    <m/>
    <s v="Solhøjskolen KV52"/>
    <n v="10161"/>
    <m/>
    <s v="Solhøjskolen"/>
    <x v="113"/>
    <x v="0"/>
    <x v="7"/>
    <n v="23963"/>
    <n v="12"/>
    <s v="2012-08-13"/>
    <n v="0"/>
    <n v="265"/>
    <n v="90.392303999999996"/>
    <n v="1"/>
    <x v="1"/>
    <n v="28152.75"/>
    <n v="1801.77"/>
    <n v="0"/>
    <s v="7260019"/>
    <m/>
    <n v="23962.999899999999"/>
    <n v="0"/>
    <n v="77152"/>
  </r>
  <r>
    <x v="6"/>
    <s v="02576-3"/>
    <s v="Solvangskolen Pedelbolig, Nord 60"/>
    <n v="6369"/>
    <m/>
    <s v="Solvangskolen Pedelbolig"/>
    <x v="52"/>
    <x v="0"/>
    <x v="1"/>
    <n v="1950.51"/>
    <n v="12"/>
    <s v="2012-01-25"/>
    <n v="0"/>
    <n v="110"/>
    <n v="17.715803000000001"/>
    <n v="2"/>
    <x v="2"/>
    <n v="1950.51"/>
    <n v="780.2"/>
    <n v="0"/>
    <s v="340199"/>
    <s v="74112645957"/>
    <n v="1950.501"/>
    <n v="0"/>
    <n v="62718"/>
  </r>
  <r>
    <x v="14"/>
    <s v="6388"/>
    <s v="Lillevang plejecenter"/>
    <n v="13266"/>
    <s v="0"/>
    <s v="Lillevang"/>
    <x v="102"/>
    <x v="0"/>
    <x v="7"/>
    <n v="259967.44"/>
    <n v="12"/>
    <s v="2012-01-26"/>
    <n v="0"/>
    <n v="1357"/>
    <n v="191.56100499999999"/>
    <n v="1"/>
    <x v="4"/>
    <n v="312957.95"/>
    <n v="66184.820000000007"/>
    <n v="0"/>
    <s v="1200501"/>
    <m/>
    <n v="24071.06"/>
    <n v="0"/>
    <n v="90993"/>
  </r>
  <r>
    <x v="14"/>
    <m/>
    <s v="Plejehjemmet Søndersø"/>
    <n v="10323"/>
    <m/>
    <s v="Plejehjemmet Søndersø"/>
    <x v="103"/>
    <x v="0"/>
    <x v="7"/>
    <n v="278683.52000000002"/>
    <n v="12"/>
    <s v="2011-12-30"/>
    <n v="0"/>
    <n v="2114"/>
    <n v="131.82135099999999"/>
    <n v="1"/>
    <x v="4"/>
    <n v="326354.89"/>
    <n v="69018.009999999995"/>
    <n v="0"/>
    <s v="99A368317"/>
    <s v="98000138945"/>
    <n v="25804.03"/>
    <n v="0"/>
    <n v="77831"/>
  </r>
  <r>
    <x v="6"/>
    <s v="02576-3"/>
    <s v="Solvangskolen Pedelbolig, Nord 60"/>
    <n v="6369"/>
    <m/>
    <s v="Solvangskolen Pedelbolig"/>
    <x v="52"/>
    <x v="0"/>
    <x v="7"/>
    <n v="13.38"/>
    <n v="12"/>
    <s v="2011-12-31"/>
    <n v="0"/>
    <n v="110"/>
    <n v="0.12152499999999999"/>
    <n v="3"/>
    <x v="0"/>
    <n v="13.38"/>
    <n v="10.68"/>
    <n v="0"/>
    <s v="98393075"/>
    <m/>
    <n v="13.358000000000001"/>
    <n v="0"/>
    <n v="62720"/>
  </r>
  <r>
    <x v="6"/>
    <s v="02576-3"/>
    <s v="Solvangskolen, Nord 58"/>
    <n v="5474"/>
    <m/>
    <s v="Solvangskolen"/>
    <x v="52"/>
    <x v="0"/>
    <x v="1"/>
    <n v="190219.44"/>
    <n v="12"/>
    <s v="2005-06-01"/>
    <n v="0"/>
    <n v="10600"/>
    <n v="17.945060000000002"/>
    <n v="2"/>
    <x v="2"/>
    <n v="190219.44"/>
    <n v="76087.77"/>
    <n v="0"/>
    <s v="70-007511 / 138425"/>
    <s v="74111462838 ??? 741 1600 8772"/>
    <n v="190219.44"/>
    <n v="0"/>
    <n v="57910"/>
  </r>
  <r>
    <x v="6"/>
    <s v="02576-3"/>
    <s v="Solvangskolen, Nord 58"/>
    <n v="5474"/>
    <m/>
    <s v="Solvangskolen"/>
    <x v="52"/>
    <x v="0"/>
    <x v="7"/>
    <n v="1743.44"/>
    <n v="12"/>
    <s v="2005-06-01"/>
    <n v="0"/>
    <n v="10600"/>
    <n v="0.16447300000000001"/>
    <n v="3"/>
    <x v="0"/>
    <n v="1743.44"/>
    <n v="1394.75"/>
    <n v="0"/>
    <s v="BK 1012217"/>
    <m/>
    <n v="1743.44"/>
    <n v="0"/>
    <n v="57911"/>
  </r>
  <r>
    <x v="6"/>
    <s v="02576-3"/>
    <s v="Solvangskolen, Nord 58"/>
    <n v="5474"/>
    <m/>
    <s v="Solvangskolen"/>
    <x v="52"/>
    <x v="0"/>
    <x v="7"/>
    <n v="317.54000000000002"/>
    <n v="12"/>
    <s v="2005-07-01"/>
    <n v="0"/>
    <n v="10600"/>
    <n v="2.9956E-2"/>
    <n v="3"/>
    <x v="0"/>
    <n v="317.54000000000002"/>
    <n v="0"/>
    <n v="1"/>
    <s v="Varmt vand"/>
    <m/>
    <n v="317.54000000000002"/>
    <n v="0"/>
    <n v="58235"/>
  </r>
  <r>
    <x v="6"/>
    <m/>
    <s v="Sprogskolen, Hvedemarken 3-5"/>
    <n v="5534"/>
    <m/>
    <s v="Sprogskolen"/>
    <x v="117"/>
    <x v="0"/>
    <x v="1"/>
    <n v="16773.95"/>
    <n v="12"/>
    <s v="2005-06-15"/>
    <n v="0"/>
    <n v="1021"/>
    <n v="16.427333000000001"/>
    <n v="2"/>
    <x v="2"/>
    <n v="16773.95"/>
    <n v="6709.58"/>
    <n v="0"/>
    <s v="BM 309000176879"/>
    <m/>
    <n v="16773.95"/>
    <n v="0"/>
    <n v="58251"/>
  </r>
  <r>
    <x v="6"/>
    <s v="03953-5"/>
    <s v="Stavnsholtskolen"/>
    <n v="5471"/>
    <m/>
    <s v="Stavnholtskolen"/>
    <x v="114"/>
    <x v="0"/>
    <x v="1"/>
    <n v="227324"/>
    <n v="12"/>
    <s v="2005-07-01"/>
    <n v="0"/>
    <n v="8656"/>
    <n v="26.261710999999998"/>
    <n v="2"/>
    <x v="2"/>
    <n v="227324"/>
    <n v="90929.59"/>
    <n v="0"/>
    <s v="1129239"/>
    <s v="74120010259"/>
    <n v="227324"/>
    <n v="0"/>
    <n v="57890"/>
  </r>
  <r>
    <x v="6"/>
    <s v="03953-5"/>
    <s v="Stavnsholtskolen"/>
    <n v="5471"/>
    <m/>
    <s v="Stavnholtskolen"/>
    <x v="114"/>
    <x v="1"/>
    <x v="7"/>
    <n v="421097.88"/>
    <n v="12"/>
    <s v="2005-06-01"/>
    <n v="0"/>
    <n v="8656"/>
    <n v="48.647528999999999"/>
    <n v="1"/>
    <x v="3"/>
    <n v="504819.51"/>
    <n v="1200570.5"/>
    <n v="1"/>
    <s v="4202552"/>
    <m/>
    <n v="12069.3"/>
    <n v="0"/>
    <n v="57897"/>
  </r>
  <r>
    <x v="6"/>
    <s v="03953-5"/>
    <s v="Stavnsholtskolen"/>
    <n v="5473"/>
    <m/>
    <s v="Bimåler BV"/>
    <x v="114"/>
    <x v="1"/>
    <x v="7"/>
    <n v="25.55"/>
    <n v="12"/>
    <m/>
    <n v="0"/>
    <n v="0"/>
    <n v="255.5"/>
    <n v="3"/>
    <x v="0"/>
    <n v="25.55"/>
    <n v="20.43"/>
    <n v="1"/>
    <s v="BV01"/>
    <m/>
    <n v="25.55"/>
    <n v="0"/>
    <n v="57899"/>
  </r>
  <r>
    <x v="6"/>
    <s v="03953-5"/>
    <s v="Stavnsholtskolen"/>
    <n v="5473"/>
    <m/>
    <s v="Bimåler BV"/>
    <x v="114"/>
    <x v="1"/>
    <x v="7"/>
    <n v="88.13"/>
    <n v="12"/>
    <m/>
    <n v="0"/>
    <n v="0"/>
    <n v="881.3"/>
    <n v="3"/>
    <x v="0"/>
    <n v="88.13"/>
    <n v="70.510000000000005"/>
    <n v="1"/>
    <s v="BV02"/>
    <m/>
    <n v="88.13"/>
    <n v="0"/>
    <n v="57900"/>
  </r>
  <r>
    <x v="6"/>
    <s v="03953-5"/>
    <s v="Stavnsholtskolen"/>
    <n v="5471"/>
    <m/>
    <s v="Stavnholtskolen"/>
    <x v="114"/>
    <x v="0"/>
    <x v="7"/>
    <n v="1530.31"/>
    <n v="12"/>
    <s v="2005-06-01"/>
    <n v="0"/>
    <n v="8656"/>
    <n v="0.176789"/>
    <n v="3"/>
    <x v="0"/>
    <n v="1530.31"/>
    <n v="1224.25"/>
    <n v="0"/>
    <s v="-10012206"/>
    <m/>
    <n v="1530.31"/>
    <n v="0"/>
    <n v="57892"/>
  </r>
  <r>
    <x v="6"/>
    <s v="03953-5"/>
    <s v="Stavnsholtskolen"/>
    <n v="5471"/>
    <m/>
    <s v="Stavnholtskolen"/>
    <x v="114"/>
    <x v="0"/>
    <x v="7"/>
    <n v="379350"/>
    <n v="12"/>
    <s v="2005-06-01"/>
    <n v="0"/>
    <n v="8656"/>
    <n v="43.824585999999996"/>
    <n v="1"/>
    <x v="1"/>
    <n v="461564.92"/>
    <n v="33779941.780000001"/>
    <n v="0"/>
    <s v="4202552"/>
    <m/>
    <n v="379350"/>
    <n v="0"/>
    <n v="57891"/>
  </r>
  <r>
    <x v="6"/>
    <s v="03953-5"/>
    <s v="Stavnsholtskolen"/>
    <n v="5471"/>
    <m/>
    <s v="Stavnholtskolen"/>
    <x v="114"/>
    <x v="0"/>
    <x v="7"/>
    <n v="357730"/>
    <n v="12"/>
    <m/>
    <n v="0"/>
    <n v="8656"/>
    <n v="41.326925000000003"/>
    <n v="1"/>
    <x v="1"/>
    <n v="431913.15"/>
    <n v="33543735"/>
    <n v="0"/>
    <s v="Ny ?"/>
    <m/>
    <n v="357730.00300000003"/>
    <n v="0"/>
    <n v="90717"/>
  </r>
  <r>
    <x v="6"/>
    <m/>
    <s v="Syvstjerneskolen, Skov 1"/>
    <n v="9223"/>
    <m/>
    <s v="Syvstjerneskolen"/>
    <x v="40"/>
    <x v="0"/>
    <x v="1"/>
    <n v="131570.67000000001"/>
    <n v="12"/>
    <m/>
    <n v="0"/>
    <n v="7936"/>
    <n v="16.578755999999998"/>
    <n v="2"/>
    <x v="2"/>
    <n v="131570.67000000001"/>
    <n v="39471.19"/>
    <n v="0"/>
    <m/>
    <m/>
    <n v="131570.67000000001"/>
    <n v="0"/>
    <n v="72738"/>
  </r>
  <r>
    <x v="6"/>
    <m/>
    <s v="Egeskolen, Jon 150/286"/>
    <n v="9224"/>
    <m/>
    <s v="Egeskolen (under Jonstrup gl. seminarium)"/>
    <x v="109"/>
    <x v="0"/>
    <x v="7"/>
    <n v="433244.15999999997"/>
    <n v="12"/>
    <m/>
    <n v="0"/>
    <n v="4404"/>
    <n v="98.372916000000004"/>
    <n v="1"/>
    <x v="4"/>
    <n v="514253.45"/>
    <n v="108755.08"/>
    <n v="0"/>
    <m/>
    <s v="98001319152"/>
    <n v="40115.199999999997"/>
    <n v="0"/>
    <n v="77267"/>
  </r>
  <r>
    <x v="6"/>
    <m/>
    <s v="Syvstjerneskolen, Skov 1"/>
    <n v="9223"/>
    <m/>
    <s v="Syvstjerneskolen"/>
    <x v="40"/>
    <x v="0"/>
    <x v="7"/>
    <n v="740390"/>
    <n v="24"/>
    <m/>
    <n v="0"/>
    <n v="7936"/>
    <n v="93.293935000000005"/>
    <n v="1"/>
    <x v="5"/>
    <n v="894514.33"/>
    <n v="57248.93"/>
    <n v="0"/>
    <s v="65114949"/>
    <m/>
    <n v="740.39"/>
    <n v="0"/>
    <n v="92758"/>
  </r>
  <r>
    <x v="6"/>
    <m/>
    <s v="Syvstjerneskolen, Skov 1"/>
    <n v="9223"/>
    <m/>
    <s v="Syvstjerneskolen"/>
    <x v="40"/>
    <x v="0"/>
    <x v="7"/>
    <n v="943.26"/>
    <n v="12"/>
    <m/>
    <n v="0"/>
    <n v="7936"/>
    <n v="0.118856"/>
    <n v="3"/>
    <x v="0"/>
    <n v="943.26"/>
    <n v="754.61"/>
    <n v="0"/>
    <m/>
    <m/>
    <n v="943.27499999999998"/>
    <n v="0"/>
    <n v="72739"/>
  </r>
  <r>
    <x v="6"/>
    <m/>
    <s v="Søndersøskolen Pedelbolig KV48"/>
    <n v="10321"/>
    <m/>
    <s v="Søndersøskolen Pedelbolig"/>
    <x v="115"/>
    <x v="0"/>
    <x v="1"/>
    <n v="2966.65"/>
    <n v="12"/>
    <s v="2012-01-25"/>
    <n v="0"/>
    <n v="126"/>
    <n v="23.526168999999999"/>
    <n v="2"/>
    <x v="2"/>
    <n v="2966.65"/>
    <n v="889.99"/>
    <n v="0"/>
    <s v="4148704"/>
    <s v="74112755489"/>
    <n v="2966.6464999999998"/>
    <n v="0"/>
    <n v="77808"/>
  </r>
  <r>
    <x v="6"/>
    <m/>
    <s v="Syvstjerneskolen, Skov 1"/>
    <n v="9223"/>
    <m/>
    <s v="Syvstjerneskolen"/>
    <x v="40"/>
    <x v="1"/>
    <x v="7"/>
    <n v="-1590.64"/>
    <n v="12"/>
    <m/>
    <n v="0"/>
    <n v="7936"/>
    <n v="-0.20043"/>
    <n v="2"/>
    <x v="9"/>
    <n v="-1590.64"/>
    <n v="-746.02"/>
    <n v="0"/>
    <s v="Solceller"/>
    <m/>
    <n v="1590.64"/>
    <n v="0"/>
    <n v="96367"/>
  </r>
  <r>
    <x v="6"/>
    <m/>
    <s v="Søndersøskolen, KV50"/>
    <n v="9222"/>
    <m/>
    <s v="Søndersøskolen"/>
    <x v="116"/>
    <x v="1"/>
    <x v="7"/>
    <n v="763515.31"/>
    <n v="12"/>
    <m/>
    <n v="0"/>
    <n v="11252"/>
    <n v="67.855361000000002"/>
    <n v="1"/>
    <x v="3"/>
    <n v="917751.24"/>
    <n v="1683.47"/>
    <n v="1"/>
    <m/>
    <m/>
    <n v="21883.5"/>
    <n v="74423"/>
    <n v="74422"/>
  </r>
  <r>
    <x v="6"/>
    <m/>
    <s v="Søndersøskolen, KV50"/>
    <n v="9222"/>
    <m/>
    <s v="Søndersøskolen"/>
    <x v="116"/>
    <x v="0"/>
    <x v="7"/>
    <n v="1709"/>
    <n v="12"/>
    <m/>
    <n v="0"/>
    <n v="11252"/>
    <n v="0.15188199999999999"/>
    <n v="3"/>
    <x v="0"/>
    <n v="1709"/>
    <n v="1367.21"/>
    <n v="0"/>
    <m/>
    <m/>
    <n v="1709.002"/>
    <n v="0"/>
    <n v="72737"/>
  </r>
  <r>
    <x v="6"/>
    <m/>
    <s v="Søndersøskolen, KV50"/>
    <n v="9222"/>
    <m/>
    <s v="Søndersøskolen"/>
    <x v="116"/>
    <x v="0"/>
    <x v="7"/>
    <n v="702150"/>
    <n v="12"/>
    <m/>
    <n v="0"/>
    <n v="11252"/>
    <n v="62.401685000000001"/>
    <n v="1"/>
    <x v="1"/>
    <n v="846112.91"/>
    <n v="54151.23"/>
    <n v="0"/>
    <m/>
    <m/>
    <n v="702150"/>
    <n v="0"/>
    <n v="74423"/>
  </r>
  <r>
    <x v="6"/>
    <m/>
    <s v="Søndersøskolen, KV50"/>
    <n v="9222"/>
    <m/>
    <s v="Søndersøskolen"/>
    <x v="116"/>
    <x v="0"/>
    <x v="1"/>
    <n v="236543.33"/>
    <n v="12"/>
    <m/>
    <n v="0"/>
    <n v="11252"/>
    <n v="21.022148999999999"/>
    <n v="2"/>
    <x v="2"/>
    <n v="236543.33"/>
    <n v="70962.990000000005"/>
    <n v="0"/>
    <s v="44614"/>
    <s v="74110485951"/>
    <n v="236543.33300000001"/>
    <n v="0"/>
    <n v="72736"/>
  </r>
  <r>
    <x v="6"/>
    <m/>
    <s v="Ungdomsskolen, Farum"/>
    <n v="5956"/>
    <m/>
    <s v="Ungdomsskolen 11A"/>
    <x v="118"/>
    <x v="0"/>
    <x v="1"/>
    <n v="14117.16"/>
    <n v="12"/>
    <m/>
    <n v="0"/>
    <n v="186"/>
    <n v="75.857924999999994"/>
    <n v="2"/>
    <x v="2"/>
    <n v="14117.16"/>
    <n v="4235.13"/>
    <n v="0"/>
    <s v="ny"/>
    <s v="74115167586"/>
    <n v="14117.149600000001"/>
    <n v="0"/>
    <n v="91057"/>
  </r>
  <r>
    <x v="6"/>
    <m/>
    <s v="Ungdomsskolen, Farum"/>
    <n v="5942"/>
    <m/>
    <s v="Ungdomsskolen 9A"/>
    <x v="118"/>
    <x v="0"/>
    <x v="1"/>
    <n v="4957"/>
    <n v="12"/>
    <m/>
    <n v="0"/>
    <n v="506"/>
    <n v="9.7945069999999994"/>
    <n v="2"/>
    <x v="2"/>
    <n v="4957"/>
    <n v="1487.11"/>
    <n v="0"/>
    <m/>
    <s v="74111907032"/>
    <n v="4956.9885999999997"/>
    <n v="0"/>
    <n v="91058"/>
  </r>
  <r>
    <x v="6"/>
    <m/>
    <s v="Egeskolen, Jon 150/286"/>
    <n v="9224"/>
    <m/>
    <s v="Egeskolen (under Jonstrup gl. seminarium)"/>
    <x v="109"/>
    <x v="0"/>
    <x v="2"/>
    <n v="90437.48"/>
    <n v="12"/>
    <m/>
    <n v="0"/>
    <n v="4404"/>
    <n v="20.534837"/>
    <n v="2"/>
    <x v="2"/>
    <n v="90437.48"/>
    <n v="36175"/>
    <n v="0"/>
    <s v="459312"/>
    <s v="5713131 74113161562"/>
    <n v="90437.47"/>
    <n v="0"/>
    <n v="72740"/>
  </r>
  <r>
    <x v="6"/>
    <m/>
    <s v="Egeskolen, Jon 150/286"/>
    <n v="9224"/>
    <m/>
    <s v="Egeskolen (under Jonstrup gl. seminarium)"/>
    <x v="109"/>
    <x v="0"/>
    <x v="3"/>
    <n v="118919.97"/>
    <n v="12"/>
    <m/>
    <n v="0"/>
    <n v="4404"/>
    <n v="27.002103999999999"/>
    <n v="2"/>
    <x v="2"/>
    <n v="118919.97"/>
    <n v="55773.47"/>
    <n v="0"/>
    <s v="459312"/>
    <s v="5713131 74113161562"/>
    <n v="118919.97100000001"/>
    <n v="0"/>
    <n v="72740"/>
  </r>
  <r>
    <x v="6"/>
    <m/>
    <s v="Egeskolen, Jon 150/286"/>
    <n v="9224"/>
    <m/>
    <s v="Egeskolen (under Jonstrup gl. seminarium)"/>
    <x v="109"/>
    <x v="0"/>
    <x v="4"/>
    <n v="108923.1"/>
    <n v="12"/>
    <m/>
    <n v="0"/>
    <n v="4404"/>
    <n v="24.732203999999999"/>
    <n v="2"/>
    <x v="2"/>
    <n v="108923.1"/>
    <n v="51084.94"/>
    <n v="0"/>
    <s v="459312"/>
    <s v="5713131 74113161562"/>
    <n v="108923.08900000001"/>
    <n v="0"/>
    <n v="72740"/>
  </r>
  <r>
    <x v="6"/>
    <m/>
    <s v="Egeskolen, Jon 150/286"/>
    <n v="9224"/>
    <m/>
    <s v="Egeskolen (under Jonstrup gl. seminarium)"/>
    <x v="109"/>
    <x v="0"/>
    <x v="5"/>
    <n v="102984.96000000001"/>
    <n v="12"/>
    <m/>
    <n v="0"/>
    <n v="4404"/>
    <n v="23.383883000000001"/>
    <n v="2"/>
    <x v="2"/>
    <n v="102984.96000000001"/>
    <n v="48299.97"/>
    <n v="0"/>
    <s v="459312"/>
    <s v="5713131 74113161562"/>
    <n v="102984.961"/>
    <n v="0"/>
    <n v="72740"/>
  </r>
  <r>
    <x v="6"/>
    <m/>
    <s v="Egeskolen, Jon 150/286"/>
    <n v="9224"/>
    <m/>
    <s v="Egeskolen (under Jonstrup gl. seminarium)"/>
    <x v="109"/>
    <x v="0"/>
    <x v="6"/>
    <n v="81710.399999999994"/>
    <n v="12"/>
    <m/>
    <n v="0"/>
    <n v="4404"/>
    <n v="18.553256999999999"/>
    <n v="2"/>
    <x v="2"/>
    <n v="81710.399999999994"/>
    <n v="38322.18"/>
    <n v="0"/>
    <s v="459312"/>
    <s v="5713131 74113161562"/>
    <n v="81710.404999999999"/>
    <n v="0"/>
    <n v="72740"/>
  </r>
  <r>
    <x v="6"/>
    <m/>
    <s v="Egeskolen, Jon 150/286"/>
    <n v="9224"/>
    <m/>
    <s v="Egeskolen (under Jonstrup gl. seminarium)"/>
    <x v="109"/>
    <x v="0"/>
    <x v="6"/>
    <n v="30153.67"/>
    <n v="3"/>
    <s v="2008-04-01"/>
    <n v="0"/>
    <n v="4404"/>
    <n v="6.8467260000000003"/>
    <n v="2"/>
    <x v="2"/>
    <n v="30153.67"/>
    <n v="14142.08"/>
    <n v="0"/>
    <s v="AFMELDT"/>
    <m/>
    <n v="30153.67742"/>
    <n v="0"/>
    <n v="77971"/>
  </r>
  <r>
    <x v="6"/>
    <m/>
    <s v="Hareskov gl. bibliotek, Hareskov Skole, POP13"/>
    <n v="10230"/>
    <m/>
    <s v="1.st. klasse huset, Hareskov Skole"/>
    <x v="108"/>
    <x v="0"/>
    <x v="7"/>
    <n v="15086.48"/>
    <n v="12"/>
    <s v="2011-12-31"/>
    <n v="0"/>
    <n v="711"/>
    <n v="21.215693000000002"/>
    <n v="2"/>
    <x v="2"/>
    <n v="15086.48"/>
    <n v="4525.9399999999996"/>
    <n v="0"/>
    <s v="T 96163"/>
    <s v="74112041124"/>
    <n v="15086.470600000001"/>
    <n v="0"/>
    <n v="77501"/>
  </r>
  <r>
    <x v="6"/>
    <m/>
    <s v="Egeskolen, Jon 150/286"/>
    <n v="9224"/>
    <m/>
    <s v="Egeskolen (under Jonstrup gl. seminarium)"/>
    <x v="109"/>
    <x v="0"/>
    <x v="7"/>
    <n v="86243.16"/>
    <n v="12"/>
    <m/>
    <n v="0"/>
    <n v="4404"/>
    <n v="19.582470000000001"/>
    <n v="2"/>
    <x v="2"/>
    <n v="86243.16"/>
    <n v="25872.94"/>
    <n v="0"/>
    <s v="459312"/>
    <s v="5713131 74113161562"/>
    <n v="86243.163"/>
    <n v="0"/>
    <n v="72740"/>
  </r>
  <r>
    <x v="6"/>
    <m/>
    <s v="Hareskov gl. bibliotek, Hareskov Skole, POP13"/>
    <n v="10230"/>
    <m/>
    <s v="1.st. klasse huset, Hareskov Skole"/>
    <x v="108"/>
    <x v="0"/>
    <x v="2"/>
    <n v="11867.13"/>
    <n v="12"/>
    <s v="2011-12-31"/>
    <n v="0"/>
    <n v="711"/>
    <n v="16.688412"/>
    <n v="2"/>
    <x v="2"/>
    <n v="11867.13"/>
    <n v="4746.8500000000004"/>
    <n v="0"/>
    <s v="T 96163"/>
    <s v="74112041124"/>
    <n v="11867.135"/>
    <n v="0"/>
    <n v="77501"/>
  </r>
  <r>
    <x v="6"/>
    <m/>
    <s v="Hareskov gl. bibliotek, Hareskov Skole, POP13"/>
    <n v="10230"/>
    <m/>
    <s v="1.st. klasse huset, Hareskov Skole"/>
    <x v="108"/>
    <x v="0"/>
    <x v="3"/>
    <n v="12006.28"/>
    <n v="10"/>
    <s v="2011-12-31"/>
    <n v="0"/>
    <n v="711"/>
    <n v="16.884094999999999"/>
    <n v="2"/>
    <x v="2"/>
    <n v="12006.28"/>
    <n v="5630.94"/>
    <n v="0"/>
    <s v="T 96163"/>
    <s v="74112041124"/>
    <n v="12006.27274"/>
    <n v="0"/>
    <n v="77501"/>
  </r>
  <r>
    <x v="6"/>
    <m/>
    <s v="Hareskov gl. bibliotek, Hareskov Skole, POP13"/>
    <n v="10230"/>
    <m/>
    <s v="1.st. klasse huset, Hareskov Skole"/>
    <x v="108"/>
    <x v="0"/>
    <x v="4"/>
    <n v="12242.7"/>
    <n v="11"/>
    <s v="2011-12-31"/>
    <n v="0"/>
    <n v="711"/>
    <n v="17.216564999999999"/>
    <n v="2"/>
    <x v="2"/>
    <n v="12242.7"/>
    <n v="5741.83"/>
    <n v="0"/>
    <s v="T 96163"/>
    <s v="74112041124"/>
    <n v="12242.698700000001"/>
    <n v="0"/>
    <n v="77501"/>
  </r>
  <r>
    <x v="6"/>
    <m/>
    <s v="Hareskov gl. bibliotek, Hareskov Skole, POP13"/>
    <n v="10230"/>
    <m/>
    <s v="1.st. klasse huset, Hareskov Skole"/>
    <x v="108"/>
    <x v="0"/>
    <x v="5"/>
    <n v="12565.03"/>
    <n v="14"/>
    <s v="2011-12-31"/>
    <n v="0"/>
    <n v="711"/>
    <n v="17.669848999999999"/>
    <n v="2"/>
    <x v="2"/>
    <n v="12565.03"/>
    <n v="5892.99"/>
    <n v="0"/>
    <s v="T 96163"/>
    <s v="74112041124"/>
    <n v="12565.028560000001"/>
    <n v="0"/>
    <n v="77501"/>
  </r>
  <r>
    <x v="6"/>
    <m/>
    <s v="Hareskov gl. bibliotek, Hareskov Skole, POP13"/>
    <n v="10230"/>
    <m/>
    <s v="1.st. klasse huset, Hareskov Skole"/>
    <x v="108"/>
    <x v="0"/>
    <x v="6"/>
    <n v="12884.55"/>
    <n v="9"/>
    <s v="2011-12-31"/>
    <n v="0"/>
    <n v="711"/>
    <n v="18.119181000000001"/>
    <n v="2"/>
    <x v="2"/>
    <n v="12884.55"/>
    <n v="6042.85"/>
    <n v="0"/>
    <s v="T 96163"/>
    <s v="74112041124"/>
    <n v="12884.5435"/>
    <n v="0"/>
    <n v="77501"/>
  </r>
  <r>
    <x v="6"/>
    <m/>
    <s v="Søndersøskolen Pedelbolig KV48"/>
    <n v="10321"/>
    <m/>
    <s v="Søndersøskolen Pedelbolig"/>
    <x v="115"/>
    <x v="0"/>
    <x v="7"/>
    <n v="5023.71"/>
    <n v="12"/>
    <s v="2012-01-25"/>
    <n v="0"/>
    <n v="126"/>
    <n v="39.839095"/>
    <n v="2"/>
    <x v="2"/>
    <n v="5023.71"/>
    <n v="1507.11"/>
    <n v="0"/>
    <s v="4148704"/>
    <s v="74112755489"/>
    <n v="5023.7110000000002"/>
    <n v="0"/>
    <n v="77808"/>
  </r>
  <r>
    <x v="6"/>
    <m/>
    <s v="Hareskov Skole, POP 6-12"/>
    <n v="10991"/>
    <m/>
    <s v="Bygning 8, Svømmehal"/>
    <x v="110"/>
    <x v="0"/>
    <x v="7"/>
    <n v="61236.36"/>
    <n v="10"/>
    <s v="2015-05-04"/>
    <n v="0"/>
    <n v="1475"/>
    <n v="41.513361000000003"/>
    <n v="2"/>
    <x v="2"/>
    <n v="61236.36"/>
    <n v="18370.900000000001"/>
    <n v="0"/>
    <s v="211700-210"/>
    <m/>
    <n v="61236.359850000001"/>
    <n v="0"/>
    <n v="79756"/>
  </r>
  <r>
    <x v="6"/>
    <m/>
    <s v="Hareskov Skole, POP 6-12"/>
    <n v="10991"/>
    <m/>
    <s v="Bygning 8, Svømmehal"/>
    <x v="110"/>
    <x v="0"/>
    <x v="2"/>
    <n v="60121.35"/>
    <n v="11"/>
    <s v="2015-05-04"/>
    <n v="0"/>
    <n v="1475"/>
    <n v="40.757474000000002"/>
    <n v="2"/>
    <x v="2"/>
    <n v="60121.35"/>
    <n v="24048.53"/>
    <n v="0"/>
    <s v="211700-210"/>
    <m/>
    <n v="60121.359450000004"/>
    <n v="0"/>
    <n v="79756"/>
  </r>
  <r>
    <x v="6"/>
    <m/>
    <s v="Hareskov Skole, POP 6-12"/>
    <n v="10991"/>
    <m/>
    <s v="Bygning 8, Svømmehal"/>
    <x v="110"/>
    <x v="0"/>
    <x v="3"/>
    <n v="53848.94"/>
    <n v="8"/>
    <s v="2015-05-04"/>
    <n v="0"/>
    <n v="1475"/>
    <n v="36.505279999999999"/>
    <n v="2"/>
    <x v="2"/>
    <n v="53848.94"/>
    <n v="25255.15"/>
    <n v="0"/>
    <s v="211700-210"/>
    <m/>
    <n v="53848.92209"/>
    <n v="0"/>
    <n v="79756"/>
  </r>
  <r>
    <x v="6"/>
    <m/>
    <s v="Hareskov Skole, POP 6-12"/>
    <n v="10991"/>
    <m/>
    <s v="Bygning 8, Svømmehal"/>
    <x v="110"/>
    <x v="0"/>
    <x v="4"/>
    <n v="72670.460000000006"/>
    <n v="12"/>
    <s v="2015-05-04"/>
    <n v="0"/>
    <n v="1475"/>
    <n v="49.264767999999997"/>
    <n v="2"/>
    <x v="2"/>
    <n v="72670.460000000006"/>
    <n v="34082.449999999997"/>
    <n v="0"/>
    <s v="211700-210"/>
    <m/>
    <n v="72670.449349999995"/>
    <n v="0"/>
    <n v="79756"/>
  </r>
  <r>
    <x v="6"/>
    <m/>
    <s v="Hareskov Skole, POP 6-12"/>
    <n v="10991"/>
    <m/>
    <s v="Bygning 8, Svømmehal"/>
    <x v="110"/>
    <x v="0"/>
    <x v="5"/>
    <n v="74017.78"/>
    <n v="11"/>
    <s v="2015-05-04"/>
    <n v="0"/>
    <n v="1475"/>
    <n v="50.178142999999999"/>
    <n v="2"/>
    <x v="2"/>
    <n v="74017.78"/>
    <n v="34714.36"/>
    <n v="0"/>
    <s v="211700-210"/>
    <m/>
    <n v="74017.785260000004"/>
    <n v="0"/>
    <n v="79756"/>
  </r>
  <r>
    <x v="6"/>
    <m/>
    <s v="Hareskov Skole, POP 6-12"/>
    <n v="10991"/>
    <m/>
    <s v="Bygning 8, Svømmehal"/>
    <x v="110"/>
    <x v="0"/>
    <x v="6"/>
    <n v="62175.19"/>
    <n v="13"/>
    <s v="2015-05-04"/>
    <n v="0"/>
    <n v="1475"/>
    <n v="42.149813000000002"/>
    <n v="2"/>
    <x v="2"/>
    <n v="62175.19"/>
    <n v="29160.2"/>
    <n v="0"/>
    <s v="211700-210"/>
    <m/>
    <n v="62175.19354"/>
    <n v="0"/>
    <n v="79756"/>
  </r>
  <r>
    <x v="6"/>
    <m/>
    <s v="Hareskov Skole, POP 6-12"/>
    <n v="9220"/>
    <m/>
    <s v="Hareskov Skole"/>
    <x v="110"/>
    <x v="0"/>
    <x v="7"/>
    <n v="174323.22"/>
    <n v="12"/>
    <s v="2010-11-29"/>
    <n v="0"/>
    <n v="7549"/>
    <n v="23.091919999999998"/>
    <n v="2"/>
    <x v="2"/>
    <n v="174323.22"/>
    <n v="52296.98"/>
    <n v="0"/>
    <s v="Hovedmåler 577428"/>
    <m/>
    <n v="174323.22115"/>
    <n v="0"/>
    <n v="78606"/>
  </r>
  <r>
    <x v="6"/>
    <m/>
    <s v="Hareskov Skole, POP 6-12"/>
    <n v="11000"/>
    <m/>
    <s v="POP-øst"/>
    <x v="110"/>
    <x v="0"/>
    <x v="7"/>
    <n v="2141.29"/>
    <n v="9"/>
    <s v="2015-05-04"/>
    <n v="0"/>
    <n v="652"/>
    <n v="3.2836829999999999"/>
    <n v="2"/>
    <x v="2"/>
    <n v="2141.29"/>
    <n v="642.4"/>
    <n v="0"/>
    <s v="525766"/>
    <s v="74110490436"/>
    <n v="2141.3000099999999"/>
    <n v="0"/>
    <n v="79720"/>
  </r>
  <r>
    <x v="6"/>
    <m/>
    <s v="Hareskov Skole, POP 6-12"/>
    <n v="9220"/>
    <m/>
    <s v="Hareskov Skole"/>
    <x v="110"/>
    <x v="0"/>
    <x v="2"/>
    <n v="162594.85"/>
    <n v="12"/>
    <s v="2010-11-29"/>
    <n v="0"/>
    <n v="7549"/>
    <n v="21.538309000000002"/>
    <n v="2"/>
    <x v="2"/>
    <n v="162594.85"/>
    <n v="65037.95"/>
    <n v="0"/>
    <s v="Hovedmåler 577428"/>
    <m/>
    <n v="162594.83055000001"/>
    <n v="0"/>
    <n v="78606"/>
  </r>
  <r>
    <x v="6"/>
    <m/>
    <s v="Hareskov Skole, POP 6-12"/>
    <n v="9220"/>
    <m/>
    <s v="Hareskov Skole"/>
    <x v="110"/>
    <x v="0"/>
    <x v="3"/>
    <n v="181504.63"/>
    <n v="12"/>
    <s v="2010-11-29"/>
    <n v="0"/>
    <n v="7549"/>
    <n v="24.043213999999999"/>
    <n v="2"/>
    <x v="2"/>
    <n v="181504.63"/>
    <n v="85125.69"/>
    <n v="0"/>
    <s v="Hovedmåler 577428"/>
    <m/>
    <n v="181504.65101"/>
    <n v="0"/>
    <n v="78606"/>
  </r>
  <r>
    <x v="6"/>
    <m/>
    <s v="Hareskov Skole, POP 6-12"/>
    <n v="9220"/>
    <m/>
    <s v="Hareskov Skole"/>
    <x v="110"/>
    <x v="0"/>
    <x v="4"/>
    <n v="218232.36"/>
    <n v="2"/>
    <s v="2010-11-29"/>
    <n v="0"/>
    <n v="7549"/>
    <n v="28.908394000000001"/>
    <n v="2"/>
    <x v="2"/>
    <n v="218232.36"/>
    <n v="102350.95"/>
    <n v="0"/>
    <s v="Hovedmåler 577428"/>
    <m/>
    <n v="218232.36191000001"/>
    <n v="0"/>
    <n v="78606"/>
  </r>
  <r>
    <x v="6"/>
    <m/>
    <s v="Hareskov Skole, POP 6-12"/>
    <n v="9220"/>
    <m/>
    <s v="Hareskov Skole"/>
    <x v="110"/>
    <x v="0"/>
    <x v="5"/>
    <n v="229054.33"/>
    <n v="1"/>
    <s v="2010-11-29"/>
    <n v="0"/>
    <n v="7549"/>
    <n v="30.341937999999999"/>
    <n v="2"/>
    <x v="2"/>
    <n v="229054.33"/>
    <n v="107426.42"/>
    <n v="0"/>
    <s v="Hovedmåler 577428"/>
    <m/>
    <n v="229054.32806"/>
    <n v="0"/>
    <n v="78606"/>
  </r>
  <r>
    <x v="6"/>
    <m/>
    <s v="Hareskov Skole, POP 6-12"/>
    <n v="9220"/>
    <m/>
    <s v="Hareskov Skole"/>
    <x v="110"/>
    <x v="0"/>
    <x v="6"/>
    <n v="248925.81"/>
    <n v="9"/>
    <s v="2010-11-29"/>
    <n v="0"/>
    <n v="7549"/>
    <n v="32.974235999999998"/>
    <n v="2"/>
    <x v="2"/>
    <n v="248925.81"/>
    <n v="116746.16"/>
    <n v="0"/>
    <s v="Hovedmåler 577428"/>
    <m/>
    <n v="248925.78236000001"/>
    <n v="0"/>
    <n v="78606"/>
  </r>
  <r>
    <x v="6"/>
    <m/>
    <s v="Lille Værløse skole"/>
    <n v="14253"/>
    <s v="0"/>
    <s v="Bygning B+C"/>
    <x v="111"/>
    <x v="0"/>
    <x v="7"/>
    <n v="256603.32"/>
    <n v="12"/>
    <s v="2011-05-31"/>
    <n v="0"/>
    <n v="6105"/>
    <n v="42.030977"/>
    <n v="2"/>
    <x v="2"/>
    <n v="256603.32"/>
    <n v="76981.009999999995"/>
    <n v="0"/>
    <s v="384246"/>
    <s v="74110485968"/>
    <n v="256603.32"/>
    <n v="0"/>
    <n v="72734"/>
  </r>
  <r>
    <x v="6"/>
    <m/>
    <s v="Lillestjernen, LV 91-93"/>
    <n v="9518"/>
    <m/>
    <s v="Lillestjernen"/>
    <x v="86"/>
    <x v="0"/>
    <x v="7"/>
    <n v="59331.39"/>
    <n v="12"/>
    <m/>
    <n v="0"/>
    <n v="2128"/>
    <n v="27.879981999999998"/>
    <n v="2"/>
    <x v="2"/>
    <n v="59331.39"/>
    <n v="17799.400000000001"/>
    <n v="0"/>
    <s v="3108097"/>
    <s v="74110486019"/>
    <n v="59331.396000000001"/>
    <n v="0"/>
    <n v="74428"/>
  </r>
  <r>
    <x v="6"/>
    <m/>
    <s v="Hareskov Skole, POP 6-12"/>
    <n v="11000"/>
    <m/>
    <s v="POP-øst"/>
    <x v="110"/>
    <x v="0"/>
    <x v="2"/>
    <n v="1952.57"/>
    <n v="11"/>
    <s v="2015-05-04"/>
    <n v="0"/>
    <n v="652"/>
    <n v="2.9942799999999998"/>
    <n v="2"/>
    <x v="2"/>
    <n v="1952.57"/>
    <n v="781.04"/>
    <n v="0"/>
    <s v="525766"/>
    <s v="74110490436"/>
    <n v="1952.57374"/>
    <n v="0"/>
    <n v="79720"/>
  </r>
  <r>
    <x v="6"/>
    <m/>
    <s v="Hareskov Skole, POP 6-12"/>
    <n v="11000"/>
    <m/>
    <s v="POP-øst"/>
    <x v="110"/>
    <x v="0"/>
    <x v="3"/>
    <n v="2098.98"/>
    <n v="8"/>
    <s v="2015-05-04"/>
    <n v="0"/>
    <n v="652"/>
    <n v="3.2187999999999999"/>
    <n v="2"/>
    <x v="2"/>
    <n v="2098.98"/>
    <n v="984.43"/>
    <n v="0"/>
    <s v="525766"/>
    <s v="74110490436"/>
    <n v="2098.9805200000001"/>
    <n v="0"/>
    <n v="79720"/>
  </r>
  <r>
    <x v="6"/>
    <m/>
    <s v="Hareskov Skole, POP 6-12"/>
    <n v="11000"/>
    <m/>
    <s v="POP-øst"/>
    <x v="110"/>
    <x v="0"/>
    <x v="4"/>
    <n v="4681.32"/>
    <n v="12"/>
    <s v="2015-05-04"/>
    <n v="0"/>
    <n v="652"/>
    <n v="7.1788369999999997"/>
    <n v="2"/>
    <x v="2"/>
    <n v="4681.32"/>
    <n v="2195.54"/>
    <n v="0"/>
    <s v="525766"/>
    <s v="74110490436"/>
    <n v="4681.3194800000001"/>
    <n v="0"/>
    <n v="79720"/>
  </r>
  <r>
    <x v="6"/>
    <m/>
    <s v="Hareskov Skole, POP 6-12"/>
    <n v="11000"/>
    <m/>
    <s v="POP-øst"/>
    <x v="110"/>
    <x v="0"/>
    <x v="5"/>
    <n v="5361.31"/>
    <n v="11"/>
    <s v="2015-05-04"/>
    <n v="0"/>
    <n v="652"/>
    <n v="8.2216070000000006"/>
    <n v="2"/>
    <x v="2"/>
    <n v="5361.31"/>
    <n v="2514.46"/>
    <n v="0"/>
    <s v="525766"/>
    <s v="74110490436"/>
    <n v="5361.3198199999997"/>
    <n v="0"/>
    <n v="79720"/>
  </r>
  <r>
    <x v="6"/>
    <m/>
    <s v="Hareskov Skole, POP 6-12"/>
    <n v="11000"/>
    <m/>
    <s v="POP-øst"/>
    <x v="110"/>
    <x v="0"/>
    <x v="6"/>
    <n v="5222.07"/>
    <n v="12"/>
    <s v="2015-05-04"/>
    <n v="0"/>
    <n v="652"/>
    <n v="8.0080810000000007"/>
    <n v="2"/>
    <x v="2"/>
    <n v="5222.07"/>
    <n v="2449.15"/>
    <n v="0"/>
    <s v="525766"/>
    <s v="74110490436"/>
    <n v="5222.0645100000002"/>
    <n v="0"/>
    <n v="79720"/>
  </r>
  <r>
    <x v="6"/>
    <m/>
    <s v="Lillestjernen, LV 91-93"/>
    <n v="9519"/>
    <m/>
    <s v="Lillestjernen miniklub"/>
    <x v="86"/>
    <x v="0"/>
    <x v="7"/>
    <n v="9780.8700000000008"/>
    <n v="12"/>
    <m/>
    <n v="0"/>
    <n v="353"/>
    <n v="27.7"/>
    <n v="2"/>
    <x v="2"/>
    <n v="9780.8700000000008"/>
    <n v="2934.26"/>
    <n v="1"/>
    <m/>
    <m/>
    <n v="9780.8588999999993"/>
    <n v="0"/>
    <n v="74431"/>
  </r>
  <r>
    <x v="6"/>
    <s v="5756"/>
    <s v="Lyngholmskolen, Hvile 1"/>
    <n v="5481"/>
    <m/>
    <s v="Lyngholmskolen Diamanten"/>
    <x v="112"/>
    <x v="0"/>
    <x v="7"/>
    <n v="38841.730000000003"/>
    <n v="12"/>
    <s v="2005-07-01"/>
    <n v="0"/>
    <n v="1273"/>
    <n v="30.509567000000001"/>
    <n v="2"/>
    <x v="2"/>
    <n v="38841.730000000003"/>
    <n v="15536.69"/>
    <n v="0"/>
    <s v="80018"/>
    <s v="74112176444"/>
    <n v="38841.72"/>
    <n v="0"/>
    <n v="57944"/>
  </r>
  <r>
    <x v="6"/>
    <m/>
    <s v="Lille Værløse skole"/>
    <n v="14253"/>
    <s v="0"/>
    <s v="Bygning B+C"/>
    <x v="111"/>
    <x v="0"/>
    <x v="2"/>
    <n v="319573.8"/>
    <n v="12"/>
    <s v="2011-05-31"/>
    <n v="0"/>
    <n v="6105"/>
    <n v="52.345382999999998"/>
    <n v="2"/>
    <x v="2"/>
    <n v="319573.8"/>
    <n v="127829.52"/>
    <n v="0"/>
    <s v="384246"/>
    <s v="74110485968"/>
    <n v="319573.8"/>
    <n v="0"/>
    <n v="72734"/>
  </r>
  <r>
    <x v="6"/>
    <m/>
    <s v="Lille Værløse skole"/>
    <n v="14253"/>
    <s v="0"/>
    <s v="Bygning B+C"/>
    <x v="111"/>
    <x v="0"/>
    <x v="3"/>
    <n v="366245.88"/>
    <n v="12"/>
    <s v="2011-05-31"/>
    <n v="0"/>
    <n v="6105"/>
    <n v="59.990152000000002"/>
    <n v="2"/>
    <x v="2"/>
    <n v="366245.88"/>
    <n v="171769.32"/>
    <n v="0"/>
    <s v="384246"/>
    <s v="74110485968"/>
    <n v="366245.87647000002"/>
    <n v="0"/>
    <n v="72734"/>
  </r>
  <r>
    <x v="6"/>
    <m/>
    <s v="Lille Værløse skole"/>
    <n v="14253"/>
    <s v="0"/>
    <s v="Bygning B+C"/>
    <x v="111"/>
    <x v="0"/>
    <x v="4"/>
    <n v="358148.07"/>
    <n v="5"/>
    <s v="2011-05-31"/>
    <n v="0"/>
    <n v="6105"/>
    <n v="58.663750999999998"/>
    <n v="2"/>
    <x v="2"/>
    <n v="358148.07"/>
    <n v="167971.44"/>
    <n v="0"/>
    <s v="384246"/>
    <s v="74110485968"/>
    <n v="358148.07971999998"/>
    <n v="0"/>
    <n v="72734"/>
  </r>
  <r>
    <x v="6"/>
    <m/>
    <s v="Lille Værløse skole"/>
    <n v="14253"/>
    <s v="0"/>
    <s v="Bygning B+C"/>
    <x v="111"/>
    <x v="0"/>
    <x v="5"/>
    <n v="372662.37"/>
    <n v="4"/>
    <s v="2011-05-31"/>
    <n v="0"/>
    <n v="6105"/>
    <n v="61.041156999999998"/>
    <n v="2"/>
    <x v="2"/>
    <n v="372662.37"/>
    <n v="174778.66"/>
    <n v="0"/>
    <s v="384246"/>
    <s v="74110485968"/>
    <n v="372662.3567"/>
    <n v="0"/>
    <n v="72734"/>
  </r>
  <r>
    <x v="6"/>
    <m/>
    <s v="Lille Værløse skole"/>
    <n v="14253"/>
    <s v="0"/>
    <s v="Bygning B+C"/>
    <x v="111"/>
    <x v="0"/>
    <x v="6"/>
    <n v="329525.78999999998"/>
    <n v="11"/>
    <s v="2011-05-31"/>
    <n v="0"/>
    <n v="6105"/>
    <n v="53.975493999999998"/>
    <n v="2"/>
    <x v="2"/>
    <n v="329525.78999999998"/>
    <n v="154547.60999999999"/>
    <n v="0"/>
    <s v="384246"/>
    <s v="74110485968"/>
    <n v="329525.80645999999"/>
    <n v="0"/>
    <n v="72734"/>
  </r>
  <r>
    <x v="6"/>
    <s v="5756"/>
    <s v="Lyngholmskolen, Hvile 1"/>
    <n v="5479"/>
    <m/>
    <s v="Lyngholmskolenskolen"/>
    <x v="112"/>
    <x v="0"/>
    <x v="7"/>
    <n v="87631.7"/>
    <n v="12"/>
    <s v="2005-07-01"/>
    <n v="0"/>
    <n v="6089"/>
    <n v="14.391567999999999"/>
    <n v="2"/>
    <x v="2"/>
    <n v="87631.7"/>
    <n v="35052.68"/>
    <n v="0"/>
    <s v="1048860"/>
    <s v="741 1217 6437"/>
    <n v="87631.712499999994"/>
    <n v="0"/>
    <n v="57931"/>
  </r>
  <r>
    <x v="6"/>
    <s v="5756"/>
    <s v="Lyngholmskolen, Hvile 1"/>
    <n v="13265"/>
    <m/>
    <s v="Ny Lavenergi"/>
    <x v="112"/>
    <x v="0"/>
    <x v="7"/>
    <n v="151054.75"/>
    <n v="12"/>
    <m/>
    <n v="0"/>
    <n v="3000"/>
    <n v="50.349905"/>
    <n v="2"/>
    <x v="2"/>
    <n v="151054.75"/>
    <n v="45316.43"/>
    <n v="0"/>
    <s v="1129519"/>
    <s v="74115744459"/>
    <n v="151054.75099999999"/>
    <n v="0"/>
    <n v="90713"/>
  </r>
  <r>
    <x v="6"/>
    <m/>
    <s v="Lillestjernen, LV 91-93"/>
    <n v="9518"/>
    <m/>
    <s v="Lillestjernen"/>
    <x v="86"/>
    <x v="0"/>
    <x v="2"/>
    <n v="59815.97"/>
    <n v="12"/>
    <m/>
    <n v="0"/>
    <n v="2128"/>
    <n v="28.107686999999999"/>
    <n v="2"/>
    <x v="2"/>
    <n v="59815.97"/>
    <n v="23926.41"/>
    <n v="0"/>
    <s v="3108097"/>
    <s v="74110486019"/>
    <n v="59815.98"/>
    <n v="0"/>
    <n v="74428"/>
  </r>
  <r>
    <x v="6"/>
    <m/>
    <s v="Lillestjernen, LV 91-93"/>
    <n v="9518"/>
    <m/>
    <s v="Lillestjernen"/>
    <x v="86"/>
    <x v="0"/>
    <x v="3"/>
    <n v="59206.21"/>
    <n v="12"/>
    <m/>
    <n v="0"/>
    <n v="2128"/>
    <n v="27.821159000000002"/>
    <n v="2"/>
    <x v="2"/>
    <n v="59206.21"/>
    <n v="27767.72"/>
    <n v="0"/>
    <s v="3108097"/>
    <s v="74110486019"/>
    <n v="59206.211499999998"/>
    <n v="0"/>
    <n v="74428"/>
  </r>
  <r>
    <x v="6"/>
    <m/>
    <s v="Lillestjernen, LV 91-93"/>
    <n v="9518"/>
    <m/>
    <s v="Lillestjernen"/>
    <x v="86"/>
    <x v="0"/>
    <x v="4"/>
    <n v="56026.2"/>
    <n v="12"/>
    <m/>
    <n v="0"/>
    <n v="2128"/>
    <n v="26.326864"/>
    <n v="2"/>
    <x v="2"/>
    <n v="56026.2"/>
    <n v="26276.29"/>
    <n v="0"/>
    <s v="3108097"/>
    <s v="74110486019"/>
    <n v="56026.2"/>
    <n v="0"/>
    <n v="74428"/>
  </r>
  <r>
    <x v="6"/>
    <m/>
    <s v="Lillestjernen, LV 91-93"/>
    <n v="9518"/>
    <m/>
    <s v="Lillestjernen"/>
    <x v="86"/>
    <x v="0"/>
    <x v="5"/>
    <n v="54486.32"/>
    <n v="12"/>
    <m/>
    <n v="0"/>
    <n v="2128"/>
    <n v="25.603269999999998"/>
    <n v="2"/>
    <x v="2"/>
    <n v="54486.32"/>
    <n v="25554.09"/>
    <n v="0"/>
    <s v="3108097"/>
    <s v="74110486019"/>
    <n v="54486.32"/>
    <n v="0"/>
    <n v="74428"/>
  </r>
  <r>
    <x v="6"/>
    <m/>
    <s v="Lillestjernen, LV 91-93"/>
    <n v="9518"/>
    <m/>
    <s v="Lillestjernen"/>
    <x v="86"/>
    <x v="0"/>
    <x v="6"/>
    <n v="54788.88"/>
    <n v="12"/>
    <m/>
    <n v="0"/>
    <n v="2128"/>
    <n v="25.745443999999999"/>
    <n v="2"/>
    <x v="2"/>
    <n v="54788.88"/>
    <n v="25696.01"/>
    <n v="0"/>
    <s v="3108097"/>
    <s v="74110486019"/>
    <n v="54788.88"/>
    <n v="0"/>
    <n v="74428"/>
  </r>
  <r>
    <x v="6"/>
    <m/>
    <s v="Solhøjskolen KV52"/>
    <n v="10161"/>
    <m/>
    <s v="Solhøjskolen"/>
    <x v="113"/>
    <x v="0"/>
    <x v="7"/>
    <n v="6127.19"/>
    <n v="12"/>
    <s v="2011-11-30"/>
    <n v="0"/>
    <n v="265"/>
    <n v="23.112749000000001"/>
    <n v="2"/>
    <x v="2"/>
    <n v="6127.19"/>
    <n v="1838.15"/>
    <n v="0"/>
    <s v="15887022"/>
    <m/>
    <n v="6127.1890000000003"/>
    <n v="0"/>
    <n v="77142"/>
  </r>
  <r>
    <x v="6"/>
    <s v="02576-3"/>
    <s v="Solvangskolen Pedelbolig, Nord 60"/>
    <n v="6369"/>
    <m/>
    <s v="Solvangskolen Pedelbolig"/>
    <x v="52"/>
    <x v="0"/>
    <x v="7"/>
    <n v="2568.38"/>
    <n v="12"/>
    <s v="2012-01-25"/>
    <n v="0"/>
    <n v="110"/>
    <n v="23.327701999999999"/>
    <n v="2"/>
    <x v="2"/>
    <n v="2568.38"/>
    <n v="1027.3499999999999"/>
    <n v="0"/>
    <s v="340199"/>
    <s v="74112645957"/>
    <n v="2568.39"/>
    <n v="0"/>
    <n v="62718"/>
  </r>
  <r>
    <x v="6"/>
    <m/>
    <s v="Lillestjernen, LV 91-93"/>
    <n v="9519"/>
    <m/>
    <s v="Lillestjernen miniklub"/>
    <x v="86"/>
    <x v="0"/>
    <x v="2"/>
    <n v="10974.2"/>
    <n v="12"/>
    <m/>
    <n v="0"/>
    <n v="353"/>
    <n v="31.07958"/>
    <n v="2"/>
    <x v="2"/>
    <n v="10974.2"/>
    <n v="4389.68"/>
    <n v="1"/>
    <m/>
    <m/>
    <n v="10974.2017"/>
    <n v="0"/>
    <n v="74431"/>
  </r>
  <r>
    <x v="6"/>
    <m/>
    <s v="Lillestjernen, LV 91-93"/>
    <n v="9519"/>
    <m/>
    <s v="Lillestjernen miniklub"/>
    <x v="86"/>
    <x v="0"/>
    <x v="3"/>
    <n v="9567.1200000000008"/>
    <n v="12"/>
    <m/>
    <n v="0"/>
    <n v="353"/>
    <n v="27.094646999999998"/>
    <n v="2"/>
    <x v="2"/>
    <n v="9567.1200000000008"/>
    <n v="4486.9799999999996"/>
    <n v="1"/>
    <m/>
    <m/>
    <n v="9567.1404000000002"/>
    <n v="0"/>
    <n v="74431"/>
  </r>
  <r>
    <x v="6"/>
    <m/>
    <s v="Lillestjernen, LV 91-93"/>
    <n v="9519"/>
    <m/>
    <s v="Lillestjernen miniklub"/>
    <x v="86"/>
    <x v="0"/>
    <x v="4"/>
    <n v="9022.5499999999993"/>
    <n v="12"/>
    <m/>
    <n v="0"/>
    <n v="353"/>
    <n v="25.552392999999999"/>
    <n v="2"/>
    <x v="2"/>
    <n v="9022.5499999999993"/>
    <n v="4231.58"/>
    <n v="1"/>
    <m/>
    <m/>
    <n v="9022.5499999999993"/>
    <n v="0"/>
    <n v="74431"/>
  </r>
  <r>
    <x v="6"/>
    <m/>
    <s v="Lillestjernen, LV 91-93"/>
    <n v="9519"/>
    <m/>
    <s v="Lillestjernen miniklub"/>
    <x v="86"/>
    <x v="0"/>
    <x v="5"/>
    <n v="7359.31"/>
    <n v="12"/>
    <m/>
    <n v="0"/>
    <n v="353"/>
    <n v="20.841999000000001"/>
    <n v="2"/>
    <x v="2"/>
    <n v="7359.31"/>
    <n v="3451.51"/>
    <n v="1"/>
    <m/>
    <m/>
    <n v="7359.3046000000004"/>
    <n v="0"/>
    <n v="74431"/>
  </r>
  <r>
    <x v="6"/>
    <m/>
    <s v="Lillestjernen, LV 91-93"/>
    <n v="9519"/>
    <m/>
    <s v="Lillestjernen miniklub"/>
    <x v="86"/>
    <x v="0"/>
    <x v="6"/>
    <n v="6825.05"/>
    <n v="12"/>
    <m/>
    <n v="0"/>
    <n v="353"/>
    <n v="19.328942999999999"/>
    <n v="2"/>
    <x v="2"/>
    <n v="6825.05"/>
    <n v="3200.95"/>
    <n v="1"/>
    <m/>
    <m/>
    <n v="6825.0438000000004"/>
    <n v="0"/>
    <n v="74431"/>
  </r>
  <r>
    <x v="6"/>
    <s v="02576-3"/>
    <s v="Solvangskolen, Nord 58"/>
    <n v="5474"/>
    <m/>
    <s v="Solvangskolen"/>
    <x v="52"/>
    <x v="0"/>
    <x v="7"/>
    <n v="185903.96"/>
    <n v="12"/>
    <s v="2005-06-01"/>
    <n v="0"/>
    <n v="10600"/>
    <n v="17.537942999999999"/>
    <n v="2"/>
    <x v="2"/>
    <n v="185903.96"/>
    <n v="74361.570000000007"/>
    <n v="0"/>
    <s v="70-007511 / 138425"/>
    <s v="74111462838 ??? 741 1600 8772"/>
    <n v="185903.96"/>
    <n v="0"/>
    <n v="57910"/>
  </r>
  <r>
    <x v="6"/>
    <m/>
    <s v="Sprogskolen, Hvedemarken 3-5"/>
    <n v="5534"/>
    <m/>
    <s v="Sprogskolen"/>
    <x v="117"/>
    <x v="0"/>
    <x v="7"/>
    <n v="20858.16"/>
    <n v="12"/>
    <s v="2005-06-15"/>
    <n v="0"/>
    <n v="1021"/>
    <n v="20.427147000000001"/>
    <n v="2"/>
    <x v="2"/>
    <n v="20858.16"/>
    <n v="8343.25"/>
    <n v="0"/>
    <s v="BM 309000176879"/>
    <m/>
    <n v="20858.16"/>
    <n v="0"/>
    <n v="58251"/>
  </r>
  <r>
    <x v="6"/>
    <s v="5756"/>
    <s v="Lyngholmskolen, Hvile 1"/>
    <n v="5481"/>
    <m/>
    <s v="Lyngholmskolen Diamanten"/>
    <x v="112"/>
    <x v="0"/>
    <x v="2"/>
    <n v="46931.62"/>
    <n v="12"/>
    <s v="2005-07-01"/>
    <n v="0"/>
    <n v="1273"/>
    <n v="36.864047999999997"/>
    <n v="2"/>
    <x v="2"/>
    <n v="46931.62"/>
    <n v="18772.63"/>
    <n v="0"/>
    <s v="80018"/>
    <s v="74112176444"/>
    <n v="46931.61"/>
    <n v="0"/>
    <n v="57944"/>
  </r>
  <r>
    <x v="6"/>
    <s v="5756"/>
    <s v="Lyngholmskolen, Hvile 1"/>
    <n v="5481"/>
    <m/>
    <s v="Lyngholmskolen Diamanten"/>
    <x v="112"/>
    <x v="0"/>
    <x v="3"/>
    <n v="51089.79"/>
    <n v="12"/>
    <s v="2005-07-01"/>
    <n v="0"/>
    <n v="1273"/>
    <n v="40.130225000000003"/>
    <n v="2"/>
    <x v="2"/>
    <n v="51089.79"/>
    <n v="23961.1"/>
    <n v="0"/>
    <s v="80018"/>
    <s v="74112176444"/>
    <n v="51089.775000000001"/>
    <n v="0"/>
    <n v="57944"/>
  </r>
  <r>
    <x v="6"/>
    <s v="5756"/>
    <s v="Lyngholmskolen, Hvile 1"/>
    <n v="5481"/>
    <m/>
    <s v="Lyngholmskolen Diamanten"/>
    <x v="112"/>
    <x v="0"/>
    <x v="4"/>
    <n v="60836.28"/>
    <n v="12"/>
    <s v="2005-07-01"/>
    <n v="0"/>
    <n v="1273"/>
    <n v="47.785938999999999"/>
    <n v="2"/>
    <x v="2"/>
    <n v="60836.28"/>
    <n v="28532.21"/>
    <n v="0"/>
    <s v="80018"/>
    <s v="74112176444"/>
    <n v="60836.28"/>
    <n v="0"/>
    <n v="57944"/>
  </r>
  <r>
    <x v="6"/>
    <s v="5756"/>
    <s v="Lyngholmskolen, Hvile 1"/>
    <n v="5481"/>
    <m/>
    <s v="Lyngholmskolen Diamanten"/>
    <x v="112"/>
    <x v="0"/>
    <x v="5"/>
    <n v="55630.99"/>
    <n v="12"/>
    <s v="2005-07-01"/>
    <n v="0"/>
    <n v="1273"/>
    <n v="43.697265999999999"/>
    <n v="2"/>
    <x v="2"/>
    <n v="55630.99"/>
    <n v="26090.95"/>
    <n v="0"/>
    <s v="80018"/>
    <s v="74112176444"/>
    <n v="55630.995000000003"/>
    <n v="0"/>
    <n v="57944"/>
  </r>
  <r>
    <x v="6"/>
    <s v="5756"/>
    <s v="Lyngholmskolen, Hvile 1"/>
    <n v="5481"/>
    <m/>
    <s v="Lyngholmskolen Diamanten"/>
    <x v="112"/>
    <x v="0"/>
    <x v="6"/>
    <n v="52911.32"/>
    <n v="12"/>
    <s v="2005-07-01"/>
    <n v="0"/>
    <n v="1273"/>
    <n v="41.561008000000001"/>
    <n v="2"/>
    <x v="2"/>
    <n v="52911.32"/>
    <n v="24815.4"/>
    <n v="0"/>
    <s v="80018"/>
    <s v="74112176444"/>
    <n v="52911.315000000002"/>
    <n v="0"/>
    <n v="57944"/>
  </r>
  <r>
    <x v="6"/>
    <s v="03953-5"/>
    <s v="Stavnsholtskolen"/>
    <n v="5471"/>
    <m/>
    <s v="Stavnholtskolen"/>
    <x v="114"/>
    <x v="0"/>
    <x v="7"/>
    <n v="239212.4"/>
    <n v="12"/>
    <s v="2005-07-01"/>
    <n v="0"/>
    <n v="8656"/>
    <n v="27.635124000000001"/>
    <n v="2"/>
    <x v="2"/>
    <n v="239212.4"/>
    <n v="95684.96"/>
    <n v="0"/>
    <s v="1129239"/>
    <s v="74120010259"/>
    <n v="239212.4"/>
    <n v="0"/>
    <n v="57890"/>
  </r>
  <r>
    <x v="6"/>
    <m/>
    <s v="Syvstjerneskolen, Skov 1"/>
    <n v="9223"/>
    <m/>
    <s v="Syvstjerneskolen"/>
    <x v="40"/>
    <x v="0"/>
    <x v="7"/>
    <n v="139222.93"/>
    <n v="12"/>
    <m/>
    <n v="0"/>
    <n v="7936"/>
    <n v="17.54299"/>
    <n v="2"/>
    <x v="2"/>
    <n v="139222.93"/>
    <n v="41766.870000000003"/>
    <n v="0"/>
    <m/>
    <m/>
    <n v="139222.93"/>
    <n v="0"/>
    <n v="72738"/>
  </r>
  <r>
    <x v="6"/>
    <s v="5756"/>
    <s v="Lyngholmskolen, Hvile 1"/>
    <n v="5479"/>
    <m/>
    <s v="Lyngholmskolenskolen"/>
    <x v="112"/>
    <x v="0"/>
    <x v="2"/>
    <n v="92315.3"/>
    <n v="12"/>
    <s v="2005-07-01"/>
    <n v="0"/>
    <n v="6089"/>
    <n v="15.160746"/>
    <n v="2"/>
    <x v="2"/>
    <n v="92315.3"/>
    <n v="36926.11"/>
    <n v="0"/>
    <s v="1048860"/>
    <s v="741 1217 6437"/>
    <n v="92315.296090000003"/>
    <n v="0"/>
    <n v="57931"/>
  </r>
  <r>
    <x v="6"/>
    <s v="5756"/>
    <s v="Lyngholmskolen, Hvile 1"/>
    <n v="5479"/>
    <m/>
    <s v="Lyngholmskolenskolen"/>
    <x v="112"/>
    <x v="0"/>
    <x v="3"/>
    <n v="105786.63"/>
    <n v="12"/>
    <s v="2005-07-01"/>
    <n v="0"/>
    <n v="6089"/>
    <n v="17.373114000000001"/>
    <n v="2"/>
    <x v="2"/>
    <n v="105786.63"/>
    <n v="49613.94"/>
    <n v="0"/>
    <s v="1048860"/>
    <s v="741 1217 6437"/>
    <n v="105786.61788999999"/>
    <n v="0"/>
    <n v="57931"/>
  </r>
  <r>
    <x v="6"/>
    <s v="5756"/>
    <s v="Lyngholmskolen, Hvile 1"/>
    <n v="5479"/>
    <m/>
    <s v="Lyngholmskolenskolen"/>
    <x v="112"/>
    <x v="0"/>
    <x v="4"/>
    <n v="118134.21"/>
    <n v="12"/>
    <s v="2005-07-01"/>
    <n v="0"/>
    <n v="6089"/>
    <n v="19.400931"/>
    <n v="2"/>
    <x v="2"/>
    <n v="118134.21"/>
    <n v="55404.94"/>
    <n v="0"/>
    <s v="1048860"/>
    <s v="741 1217 6437"/>
    <n v="118134.18795000001"/>
    <n v="0"/>
    <n v="57931"/>
  </r>
  <r>
    <x v="6"/>
    <s v="5756"/>
    <s v="Lyngholmskolen, Hvile 1"/>
    <n v="5479"/>
    <m/>
    <s v="Lyngholmskolenskolen"/>
    <x v="112"/>
    <x v="0"/>
    <x v="5"/>
    <n v="142863.92000000001"/>
    <n v="12"/>
    <s v="2005-07-01"/>
    <n v="0"/>
    <n v="6089"/>
    <n v="23.462239"/>
    <n v="2"/>
    <x v="2"/>
    <n v="142863.92000000001"/>
    <n v="67003.149999999994"/>
    <n v="0"/>
    <s v="1048860"/>
    <s v="741 1217 6437"/>
    <n v="142863.90932999999"/>
    <n v="0"/>
    <n v="57931"/>
  </r>
  <r>
    <x v="6"/>
    <s v="5756"/>
    <s v="Lyngholmskolen, Hvile 1"/>
    <n v="5479"/>
    <m/>
    <s v="Lyngholmskolenskolen"/>
    <x v="112"/>
    <x v="0"/>
    <x v="6"/>
    <n v="167829.08"/>
    <n v="12"/>
    <s v="2005-07-01"/>
    <n v="0"/>
    <n v="6089"/>
    <n v="27.562214000000001"/>
    <n v="2"/>
    <x v="2"/>
    <n v="167829.08"/>
    <n v="78711.839999999997"/>
    <n v="0"/>
    <s v="1048860"/>
    <s v="741 1217 6437"/>
    <n v="167829.08"/>
    <n v="0"/>
    <n v="57931"/>
  </r>
  <r>
    <x v="6"/>
    <m/>
    <s v="Søndersøskolen, KV50"/>
    <n v="9222"/>
    <m/>
    <s v="Søndersøskolen"/>
    <x v="116"/>
    <x v="0"/>
    <x v="7"/>
    <n v="247210.38"/>
    <n v="12"/>
    <m/>
    <n v="0"/>
    <n v="11252"/>
    <n v="21.970154000000001"/>
    <n v="2"/>
    <x v="2"/>
    <n v="247210.38"/>
    <n v="74163.14"/>
    <n v="0"/>
    <s v="44614"/>
    <s v="74110485951"/>
    <n v="247210.35800000001"/>
    <n v="0"/>
    <n v="72736"/>
  </r>
  <r>
    <x v="6"/>
    <m/>
    <s v="Ungdomsskolen, Farum"/>
    <n v="5956"/>
    <m/>
    <s v="Ungdomsskolen 11A"/>
    <x v="118"/>
    <x v="0"/>
    <x v="7"/>
    <n v="9754.02"/>
    <n v="12"/>
    <m/>
    <n v="0"/>
    <n v="186"/>
    <n v="52.412787999999999"/>
    <n v="2"/>
    <x v="2"/>
    <n v="9754.02"/>
    <n v="2926.22"/>
    <n v="0"/>
    <s v="ny"/>
    <s v="74115167586"/>
    <n v="9754.0329000000002"/>
    <n v="0"/>
    <n v="91057"/>
  </r>
  <r>
    <x v="6"/>
    <s v="5756"/>
    <s v="Lyngholmskolen, Hvile 1"/>
    <n v="13265"/>
    <m/>
    <s v="Ny Lavenergi"/>
    <x v="112"/>
    <x v="0"/>
    <x v="2"/>
    <n v="152591.16"/>
    <n v="12"/>
    <m/>
    <n v="0"/>
    <n v="3000"/>
    <n v="50.862023999999998"/>
    <n v="2"/>
    <x v="2"/>
    <n v="152591.16"/>
    <n v="61036.44"/>
    <n v="0"/>
    <s v="1129519"/>
    <s v="74115744459"/>
    <n v="152591.16"/>
    <n v="0"/>
    <n v="90713"/>
  </r>
  <r>
    <x v="6"/>
    <s v="5756"/>
    <s v="Lyngholmskolen, Hvile 1"/>
    <n v="13265"/>
    <m/>
    <s v="Ny Lavenergi"/>
    <x v="112"/>
    <x v="0"/>
    <x v="3"/>
    <n v="132369.60000000001"/>
    <n v="5"/>
    <s v="2011-11-30"/>
    <n v="0"/>
    <n v="3000"/>
    <n v="44.121729000000002"/>
    <n v="2"/>
    <x v="2"/>
    <n v="132369.60000000001"/>
    <n v="62081.34"/>
    <n v="0"/>
    <s v="3102337 afmeldt"/>
    <s v="74115744459"/>
    <n v="132369.61326000001"/>
    <n v="0"/>
    <n v="89185"/>
  </r>
  <r>
    <x v="6"/>
    <s v="5756"/>
    <s v="Lyngholmskolen, Hvile 1"/>
    <n v="13265"/>
    <m/>
    <s v="Ny Lavenergi"/>
    <x v="112"/>
    <x v="0"/>
    <x v="3"/>
    <n v="14665.02"/>
    <n v="1"/>
    <m/>
    <n v="0"/>
    <n v="3000"/>
    <n v="4.8881769999999998"/>
    <n v="2"/>
    <x v="2"/>
    <n v="14665.02"/>
    <n v="6877.89"/>
    <n v="0"/>
    <s v="1129519"/>
    <s v="74115744459"/>
    <n v="14665.02"/>
    <n v="0"/>
    <n v="90713"/>
  </r>
  <r>
    <x v="6"/>
    <s v="5756"/>
    <s v="Lyngholmskolen, Hvile 1"/>
    <n v="13265"/>
    <m/>
    <s v="Ny Lavenergi"/>
    <x v="112"/>
    <x v="0"/>
    <x v="4"/>
    <n v="68413.19"/>
    <n v="4"/>
    <s v="2011-11-30"/>
    <n v="0"/>
    <n v="3000"/>
    <n v="22.803636000000001"/>
    <n v="2"/>
    <x v="2"/>
    <n v="68413.19"/>
    <n v="32085.77"/>
    <n v="0"/>
    <s v="3102337 afmeldt"/>
    <s v="74115744459"/>
    <n v="68413.158150000003"/>
    <n v="0"/>
    <n v="89185"/>
  </r>
  <r>
    <x v="6"/>
    <s v="5756"/>
    <s v="Lyngholmskolen, Hvile 1"/>
    <n v="13265"/>
    <m/>
    <s v="Ny Lavenergi"/>
    <x v="112"/>
    <x v="0"/>
    <x v="5"/>
    <n v="1228.25"/>
    <n v="1"/>
    <s v="2011-11-30"/>
    <n v="0"/>
    <n v="3000"/>
    <n v="0.40940300000000002"/>
    <n v="2"/>
    <x v="2"/>
    <n v="1228.25"/>
    <n v="576.04"/>
    <n v="0"/>
    <s v="3102337 afmeldt"/>
    <s v="74115744459"/>
    <n v="1228.22855"/>
    <n v="0"/>
    <n v="89185"/>
  </r>
  <r>
    <x v="6"/>
    <m/>
    <s v="Ungdomsskolen, Farum"/>
    <n v="5942"/>
    <m/>
    <s v="Ungdomsskolen 9A"/>
    <x v="118"/>
    <x v="0"/>
    <x v="7"/>
    <n v="6942.41"/>
    <n v="12"/>
    <m/>
    <n v="0"/>
    <n v="506"/>
    <n v="13.717466"/>
    <n v="2"/>
    <x v="2"/>
    <n v="6942.41"/>
    <n v="2082.71"/>
    <n v="0"/>
    <m/>
    <s v="74111907032"/>
    <n v="6942.3977999999997"/>
    <n v="0"/>
    <n v="91058"/>
  </r>
  <r>
    <x v="6"/>
    <m/>
    <s v="Egeskolen, Jon 150/286"/>
    <n v="9224"/>
    <m/>
    <s v="Egeskolen (under Jonstrup gl. seminarium)"/>
    <x v="109"/>
    <x v="0"/>
    <x v="0"/>
    <n v="71615"/>
    <n v="5"/>
    <m/>
    <n v="0"/>
    <n v="4404"/>
    <n v="1.7333000000000001"/>
    <n v="2"/>
    <x v="2"/>
    <n v="7633.63"/>
    <n v="2290.09"/>
    <n v="0"/>
    <s v="459312"/>
    <s v="5713131 74113161562"/>
    <n v="7633.625"/>
    <n v="0"/>
    <n v="72740"/>
  </r>
  <r>
    <x v="6"/>
    <m/>
    <s v="Solhøjskolen KV52"/>
    <n v="10161"/>
    <m/>
    <s v="Solhøjskolen"/>
    <x v="113"/>
    <x v="0"/>
    <x v="2"/>
    <n v="4963.0200000000004"/>
    <n v="12"/>
    <s v="2011-11-30"/>
    <n v="0"/>
    <n v="265"/>
    <n v="18.721312000000001"/>
    <n v="2"/>
    <x v="2"/>
    <n v="4963.0200000000004"/>
    <n v="1985.21"/>
    <n v="0"/>
    <s v="15887022"/>
    <m/>
    <n v="4963.0129999999999"/>
    <n v="0"/>
    <n v="77142"/>
  </r>
  <r>
    <x v="6"/>
    <m/>
    <s v="Solhøjskolen KV52"/>
    <n v="10161"/>
    <m/>
    <s v="Solhøjskolen"/>
    <x v="113"/>
    <x v="0"/>
    <x v="3"/>
    <n v="5121.58"/>
    <n v="7"/>
    <s v="2011-11-30"/>
    <n v="0"/>
    <n v="265"/>
    <n v="19.319426"/>
    <n v="2"/>
    <x v="2"/>
    <n v="5121.58"/>
    <n v="2402.0100000000002"/>
    <n v="0"/>
    <s v="15887022"/>
    <m/>
    <n v="5121.5789999999997"/>
    <n v="0"/>
    <n v="77142"/>
  </r>
  <r>
    <x v="6"/>
    <m/>
    <s v="Solhøjskolen KV52"/>
    <n v="10161"/>
    <m/>
    <s v="Solhøjskolen"/>
    <x v="113"/>
    <x v="0"/>
    <x v="4"/>
    <n v="5789.27"/>
    <n v="7"/>
    <s v="2011-11-30"/>
    <n v="0"/>
    <n v="265"/>
    <n v="21.838061"/>
    <n v="2"/>
    <x v="2"/>
    <n v="5789.27"/>
    <n v="2715.17"/>
    <n v="0"/>
    <s v="15887022"/>
    <m/>
    <n v="5789.27556"/>
    <n v="0"/>
    <n v="77142"/>
  </r>
  <r>
    <x v="6"/>
    <m/>
    <s v="Solhøjskolen KV52"/>
    <n v="10161"/>
    <m/>
    <s v="Solhøjskolen"/>
    <x v="113"/>
    <x v="0"/>
    <x v="5"/>
    <n v="5002.12"/>
    <n v="4"/>
    <s v="2011-11-30"/>
    <n v="0"/>
    <n v="265"/>
    <n v="18.868804000000001"/>
    <n v="2"/>
    <x v="2"/>
    <n v="5002.12"/>
    <n v="2346"/>
    <n v="0"/>
    <s v="15887022"/>
    <m/>
    <n v="5002.1351500000001"/>
    <n v="0"/>
    <n v="77142"/>
  </r>
  <r>
    <x v="6"/>
    <m/>
    <s v="Solhøjskolen KV52"/>
    <n v="10161"/>
    <m/>
    <s v="Solhøjskolen"/>
    <x v="113"/>
    <x v="0"/>
    <x v="6"/>
    <n v="7047.75"/>
    <n v="6"/>
    <s v="2011-11-30"/>
    <n v="0"/>
    <n v="265"/>
    <n v="26.585249999999998"/>
    <n v="2"/>
    <x v="2"/>
    <n v="7047.75"/>
    <n v="3305.4"/>
    <n v="0"/>
    <s v="15887022"/>
    <m/>
    <n v="7047.7538500000001"/>
    <n v="0"/>
    <n v="77142"/>
  </r>
  <r>
    <x v="6"/>
    <m/>
    <s v="Hareskov gl. bibliotek, Hareskov Skole, POP13"/>
    <n v="10230"/>
    <m/>
    <s v="1.st. klasse huset, Hareskov Skole"/>
    <x v="108"/>
    <x v="0"/>
    <x v="0"/>
    <n v="11367"/>
    <n v="5"/>
    <s v="2011-12-31"/>
    <n v="0"/>
    <n v="711"/>
    <n v="6.5549280000000003"/>
    <n v="2"/>
    <x v="2"/>
    <n v="4661.21"/>
    <n v="1398.37"/>
    <n v="0"/>
    <s v="T 96163"/>
    <s v="74112041124"/>
    <n v="4661.223"/>
    <n v="0"/>
    <n v="77501"/>
  </r>
  <r>
    <x v="6"/>
    <m/>
    <s v="Hareskov Skole, POP 6-12"/>
    <n v="10991"/>
    <m/>
    <s v="Bygning 8, Svømmehal"/>
    <x v="110"/>
    <x v="0"/>
    <x v="0"/>
    <n v="60751"/>
    <n v="3"/>
    <s v="2015-05-04"/>
    <n v="0"/>
    <n v="1475"/>
    <n v="14.309911"/>
    <n v="2"/>
    <x v="2"/>
    <n v="21108.55"/>
    <n v="6332.57"/>
    <n v="0"/>
    <s v="211700-210"/>
    <m/>
    <n v="21108.553189999999"/>
    <n v="0"/>
    <n v="79756"/>
  </r>
  <r>
    <x v="6"/>
    <s v="02576-3"/>
    <s v="Solvangskolen Pedelbolig, Nord 60"/>
    <n v="6369"/>
    <m/>
    <s v="Solvangskolen Pedelbolig"/>
    <x v="52"/>
    <x v="0"/>
    <x v="2"/>
    <n v="1550.01"/>
    <n v="16"/>
    <s v="2012-01-25"/>
    <n v="0"/>
    <n v="110"/>
    <n v="14.078201"/>
    <n v="2"/>
    <x v="2"/>
    <n v="1550.01"/>
    <n v="620.01"/>
    <n v="0"/>
    <s v="340199"/>
    <s v="74112645957"/>
    <n v="1550.0344399999999"/>
    <n v="0"/>
    <n v="62718"/>
  </r>
  <r>
    <x v="6"/>
    <s v="02576-3"/>
    <s v="Solvangskolen Pedelbolig, Nord 60"/>
    <n v="6369"/>
    <m/>
    <s v="Solvangskolen Pedelbolig"/>
    <x v="52"/>
    <x v="0"/>
    <x v="3"/>
    <n v="2311.7800000000002"/>
    <n v="5"/>
    <s v="2012-01-25"/>
    <n v="0"/>
    <n v="110"/>
    <n v="20.997093"/>
    <n v="2"/>
    <x v="2"/>
    <n v="2311.7800000000002"/>
    <n v="1084.22"/>
    <n v="0"/>
    <s v="340199"/>
    <s v="74112645957"/>
    <n v="2311.7734999999998"/>
    <n v="0"/>
    <n v="62718"/>
  </r>
  <r>
    <x v="6"/>
    <s v="02576-3"/>
    <s v="Solvangskolen Pedelbolig, Nord 60"/>
    <n v="6369"/>
    <m/>
    <s v="Solvangskolen Pedelbolig"/>
    <x v="52"/>
    <x v="0"/>
    <x v="4"/>
    <n v="2856.28"/>
    <n v="3"/>
    <s v="2012-01-25"/>
    <n v="0"/>
    <n v="110"/>
    <n v="25.942596999999999"/>
    <n v="2"/>
    <x v="2"/>
    <n v="2856.28"/>
    <n v="1339.62"/>
    <n v="0"/>
    <s v="340199"/>
    <s v="74112645957"/>
    <n v="2856.28206"/>
    <n v="0"/>
    <n v="62718"/>
  </r>
  <r>
    <x v="6"/>
    <s v="02576-3"/>
    <s v="Solvangskolen Pedelbolig, Nord 60"/>
    <n v="6369"/>
    <m/>
    <s v="Solvangskolen Pedelbolig"/>
    <x v="52"/>
    <x v="0"/>
    <x v="5"/>
    <n v="3474.76"/>
    <n v="4"/>
    <s v="2012-01-25"/>
    <n v="0"/>
    <n v="110"/>
    <n v="31.560036"/>
    <n v="2"/>
    <x v="2"/>
    <n v="3474.76"/>
    <n v="1629.69"/>
    <n v="0"/>
    <s v="340199"/>
    <s v="74112645957"/>
    <n v="3474.7777700000001"/>
    <n v="0"/>
    <n v="62718"/>
  </r>
  <r>
    <x v="6"/>
    <s v="02576-3"/>
    <s v="Solvangskolen Pedelbolig, Nord 60"/>
    <n v="6369"/>
    <m/>
    <s v="Solvangskolen Pedelbolig"/>
    <x v="52"/>
    <x v="0"/>
    <x v="6"/>
    <n v="3231.22"/>
    <n v="10"/>
    <s v="2012-01-25"/>
    <n v="0"/>
    <n v="110"/>
    <n v="29.348047000000001"/>
    <n v="2"/>
    <x v="2"/>
    <n v="3231.22"/>
    <n v="1515.44"/>
    <n v="0"/>
    <s v="340199"/>
    <s v="74112645957"/>
    <n v="3231.2222200000001"/>
    <n v="0"/>
    <n v="62718"/>
  </r>
  <r>
    <x v="6"/>
    <m/>
    <s v="Hareskov Skole, POP 6-12"/>
    <n v="9220"/>
    <m/>
    <s v="Hareskov Skole"/>
    <x v="110"/>
    <x v="0"/>
    <x v="0"/>
    <n v="172284"/>
    <n v="5"/>
    <s v="2010-11-29"/>
    <n v="0"/>
    <n v="7549"/>
    <n v="11.215332"/>
    <n v="2"/>
    <x v="2"/>
    <n v="84665.67"/>
    <n v="25399.7"/>
    <n v="0"/>
    <s v="Hovedmåler 577428"/>
    <m/>
    <n v="84665.666509999995"/>
    <n v="0"/>
    <n v="78606"/>
  </r>
  <r>
    <x v="6"/>
    <m/>
    <s v="Hareskov Skole, POP 6-12"/>
    <n v="11000"/>
    <m/>
    <s v="POP-øst"/>
    <x v="110"/>
    <x v="0"/>
    <x v="0"/>
    <n v="2145"/>
    <n v="3"/>
    <s v="2015-05-04"/>
    <n v="0"/>
    <n v="652"/>
    <n v="1.318816"/>
    <n v="2"/>
    <x v="2"/>
    <n v="860"/>
    <n v="258"/>
    <n v="0"/>
    <s v="525766"/>
    <s v="74110490436"/>
    <n v="860"/>
    <n v="0"/>
    <n v="79720"/>
  </r>
  <r>
    <x v="6"/>
    <s v="02576-3"/>
    <s v="Solvangskolen, Nord 58"/>
    <n v="5474"/>
    <m/>
    <s v="Solvangskolen"/>
    <x v="52"/>
    <x v="0"/>
    <x v="2"/>
    <n v="179286.64"/>
    <n v="12"/>
    <s v="2005-06-01"/>
    <n v="0"/>
    <n v="10600"/>
    <n v="16.913674"/>
    <n v="2"/>
    <x v="2"/>
    <n v="179286.64"/>
    <n v="71714.649999999994"/>
    <n v="0"/>
    <s v="70-007511 / 138425"/>
    <s v="74111462838 ??? 741 1600 8772"/>
    <n v="179286.639"/>
    <n v="0"/>
    <n v="57910"/>
  </r>
  <r>
    <x v="6"/>
    <s v="02576-3"/>
    <s v="Solvangskolen, Nord 58"/>
    <n v="5474"/>
    <m/>
    <s v="Solvangskolen"/>
    <x v="52"/>
    <x v="0"/>
    <x v="3"/>
    <n v="213137.63"/>
    <n v="12"/>
    <s v="2005-06-01"/>
    <n v="0"/>
    <n v="10600"/>
    <n v="20.107133000000001"/>
    <n v="2"/>
    <x v="2"/>
    <n v="213137.63"/>
    <n v="99961.54"/>
    <n v="0"/>
    <s v="70-007511 / 138425"/>
    <s v="74111462838 ??? 741 1600 8772"/>
    <n v="213137.63"/>
    <n v="0"/>
    <n v="57910"/>
  </r>
  <r>
    <x v="6"/>
    <s v="02576-3"/>
    <s v="Solvangskolen, Nord 58"/>
    <n v="5474"/>
    <m/>
    <s v="Solvangskolen"/>
    <x v="52"/>
    <x v="0"/>
    <x v="4"/>
    <n v="233814.17"/>
    <n v="12"/>
    <s v="2005-06-01"/>
    <n v="0"/>
    <n v="10600"/>
    <n v="22.057732000000001"/>
    <n v="2"/>
    <x v="2"/>
    <n v="233814.17"/>
    <n v="109658.85"/>
    <n v="0"/>
    <s v="70-007511 / 138425"/>
    <s v="74111462838 ??? 741 1600 8772"/>
    <n v="233814.17"/>
    <n v="0"/>
    <n v="57910"/>
  </r>
  <r>
    <x v="6"/>
    <s v="02576-3"/>
    <s v="Solvangskolen, Nord 58"/>
    <n v="5474"/>
    <m/>
    <s v="Solvangskolen"/>
    <x v="52"/>
    <x v="0"/>
    <x v="5"/>
    <n v="249709.16"/>
    <n v="12"/>
    <s v="2005-06-01"/>
    <n v="0"/>
    <n v="10600"/>
    <n v="23.557245000000002"/>
    <n v="2"/>
    <x v="2"/>
    <n v="249709.16"/>
    <n v="117113.59"/>
    <n v="0"/>
    <s v="70-007511 / 138425"/>
    <s v="74111462838 ??? 741 1600 8772"/>
    <n v="249709.155"/>
    <n v="0"/>
    <n v="57910"/>
  </r>
  <r>
    <x v="6"/>
    <s v="02576-3"/>
    <s v="Solvangskolen, Nord 58"/>
    <n v="5474"/>
    <m/>
    <s v="Solvangskolen"/>
    <x v="52"/>
    <x v="0"/>
    <x v="6"/>
    <n v="253384.8"/>
    <n v="12"/>
    <s v="2005-06-01"/>
    <n v="0"/>
    <n v="10600"/>
    <n v="23.904"/>
    <n v="2"/>
    <x v="2"/>
    <n v="253384.8"/>
    <n v="118837.47"/>
    <n v="0"/>
    <s v="70-007511 / 138425"/>
    <s v="74111462838 ??? 741 1600 8772"/>
    <n v="253384.8"/>
    <n v="0"/>
    <n v="57910"/>
  </r>
  <r>
    <x v="6"/>
    <m/>
    <s v="Lille Værløse skole"/>
    <n v="14253"/>
    <s v="0"/>
    <s v="Bygning B+C"/>
    <x v="111"/>
    <x v="0"/>
    <x v="0"/>
    <n v="239967"/>
    <n v="5"/>
    <s v="2011-05-31"/>
    <n v="0"/>
    <n v="6105"/>
    <n v="16.757477999999999"/>
    <n v="2"/>
    <x v="2"/>
    <n v="102306.08"/>
    <n v="30691.83"/>
    <n v="0"/>
    <s v="384246"/>
    <s v="74110485968"/>
    <n v="102306.08"/>
    <n v="0"/>
    <n v="72734"/>
  </r>
  <r>
    <x v="6"/>
    <m/>
    <s v="Lillestjernen, LV 91-93"/>
    <n v="9518"/>
    <m/>
    <s v="Lillestjernen"/>
    <x v="86"/>
    <x v="0"/>
    <x v="0"/>
    <n v="53986"/>
    <n v="5"/>
    <m/>
    <n v="0"/>
    <n v="2128"/>
    <n v="11.04433"/>
    <n v="2"/>
    <x v="2"/>
    <n v="23503.439999999999"/>
    <n v="7051.04"/>
    <n v="0"/>
    <s v="3108097"/>
    <s v="74110486019"/>
    <n v="23503.439999999999"/>
    <n v="0"/>
    <n v="74428"/>
  </r>
  <r>
    <x v="6"/>
    <m/>
    <s v="Sprogskolen, Hvedemarken 3-5"/>
    <n v="5534"/>
    <m/>
    <s v="Sprogskolen"/>
    <x v="117"/>
    <x v="0"/>
    <x v="2"/>
    <n v="16000.57"/>
    <n v="12"/>
    <s v="2005-06-15"/>
    <n v="0"/>
    <n v="1021"/>
    <n v="15.669934"/>
    <n v="2"/>
    <x v="2"/>
    <n v="16000.57"/>
    <n v="6400.24"/>
    <n v="0"/>
    <s v="BM 309000176879"/>
    <m/>
    <n v="16000.57"/>
    <n v="0"/>
    <n v="58251"/>
  </r>
  <r>
    <x v="6"/>
    <m/>
    <s v="Sprogskolen, Hvedemarken 3-5"/>
    <n v="5534"/>
    <m/>
    <s v="Sprogskolen"/>
    <x v="117"/>
    <x v="0"/>
    <x v="3"/>
    <n v="17378.689999999999"/>
    <n v="12"/>
    <s v="2005-06-15"/>
    <n v="0"/>
    <n v="1021"/>
    <n v="17.019576000000001"/>
    <n v="2"/>
    <x v="2"/>
    <n v="17378.689999999999"/>
    <n v="8150.59"/>
    <n v="0"/>
    <s v="BM 309000176879"/>
    <m/>
    <n v="17378.689999999999"/>
    <n v="0"/>
    <n v="58251"/>
  </r>
  <r>
    <x v="6"/>
    <m/>
    <s v="Sprogskolen, Hvedemarken 3-5"/>
    <n v="5534"/>
    <m/>
    <s v="Sprogskolen"/>
    <x v="117"/>
    <x v="0"/>
    <x v="4"/>
    <n v="20724.22"/>
    <n v="12"/>
    <s v="2005-06-15"/>
    <n v="0"/>
    <n v="1021"/>
    <n v="20.295974000000001"/>
    <n v="2"/>
    <x v="2"/>
    <n v="20724.22"/>
    <n v="9719.66"/>
    <n v="0"/>
    <s v="BM 309000176879"/>
    <m/>
    <n v="20724.22"/>
    <n v="0"/>
    <n v="58251"/>
  </r>
  <r>
    <x v="6"/>
    <m/>
    <s v="Sprogskolen, Hvedemarken 3-5"/>
    <n v="5534"/>
    <m/>
    <s v="Sprogskolen"/>
    <x v="117"/>
    <x v="0"/>
    <x v="5"/>
    <n v="22612.33"/>
    <n v="12"/>
    <s v="2005-06-15"/>
    <n v="0"/>
    <n v="1021"/>
    <n v="22.145068999999999"/>
    <n v="2"/>
    <x v="2"/>
    <n v="22612.33"/>
    <n v="10605.17"/>
    <n v="0"/>
    <s v="BM 309000176879"/>
    <m/>
    <n v="22612.33"/>
    <n v="0"/>
    <n v="58251"/>
  </r>
  <r>
    <x v="6"/>
    <m/>
    <s v="Sprogskolen, Hvedemarken 3-5"/>
    <n v="5534"/>
    <m/>
    <s v="Sprogskolen"/>
    <x v="117"/>
    <x v="0"/>
    <x v="6"/>
    <n v="21267.87"/>
    <n v="12"/>
    <s v="2005-06-15"/>
    <n v="0"/>
    <n v="1021"/>
    <n v="20.828389999999999"/>
    <n v="2"/>
    <x v="2"/>
    <n v="21267.87"/>
    <n v="9974.64"/>
    <n v="0"/>
    <s v="BM 309000176879"/>
    <m/>
    <n v="21267.87"/>
    <n v="0"/>
    <n v="58251"/>
  </r>
  <r>
    <x v="6"/>
    <m/>
    <s v="Lillestjernen, LV 91-93"/>
    <n v="9519"/>
    <m/>
    <s v="Lillestjernen miniklub"/>
    <x v="86"/>
    <x v="0"/>
    <x v="0"/>
    <m/>
    <n v="5"/>
    <m/>
    <n v="0"/>
    <n v="353"/>
    <n v="11.273434999999999"/>
    <n v="2"/>
    <x v="2"/>
    <n v="3980.65"/>
    <n v="1194.2"/>
    <n v="1"/>
    <m/>
    <m/>
    <n v="3980.6500999999998"/>
    <n v="0"/>
    <n v="74431"/>
  </r>
  <r>
    <x v="6"/>
    <s v="5756"/>
    <s v="Lyngholmskolen, Hvile 1"/>
    <n v="5481"/>
    <m/>
    <s v="Lyngholmskolen Diamanten"/>
    <x v="112"/>
    <x v="0"/>
    <x v="0"/>
    <n v="42622"/>
    <n v="5"/>
    <s v="2005-07-01"/>
    <n v="0"/>
    <n v="1273"/>
    <n v="6.5381429999999998"/>
    <n v="2"/>
    <x v="2"/>
    <n v="8323.7099999999991"/>
    <n v="3329.49"/>
    <n v="0"/>
    <s v="80018"/>
    <s v="74112176444"/>
    <n v="8323.7099999999991"/>
    <n v="0"/>
    <n v="57944"/>
  </r>
  <r>
    <x v="6"/>
    <s v="03953-5"/>
    <s v="Stavnsholtskolen"/>
    <n v="5471"/>
    <m/>
    <s v="Stavnholtskolen"/>
    <x v="114"/>
    <x v="0"/>
    <x v="2"/>
    <n v="296276.99"/>
    <n v="12"/>
    <s v="2005-07-01"/>
    <n v="0"/>
    <n v="8656"/>
    <n v="34.227536999999998"/>
    <n v="2"/>
    <x v="2"/>
    <n v="296276.99"/>
    <n v="118510.78"/>
    <n v="0"/>
    <s v="1129239"/>
    <s v="74120010259"/>
    <n v="296276.99"/>
    <n v="0"/>
    <n v="57890"/>
  </r>
  <r>
    <x v="6"/>
    <s v="03953-5"/>
    <s v="Stavnsholtskolen"/>
    <n v="5471"/>
    <m/>
    <s v="Stavnholtskolen"/>
    <x v="114"/>
    <x v="0"/>
    <x v="3"/>
    <n v="423317.69"/>
    <n v="12"/>
    <s v="2005-07-01"/>
    <n v="0"/>
    <n v="8656"/>
    <n v="48.903973999999998"/>
    <n v="2"/>
    <x v="2"/>
    <n v="423317.69"/>
    <n v="198536"/>
    <n v="0"/>
    <s v="1129239"/>
    <s v="74120010259"/>
    <n v="423317.69099999999"/>
    <n v="0"/>
    <n v="57890"/>
  </r>
  <r>
    <x v="6"/>
    <s v="03953-5"/>
    <s v="Stavnsholtskolen"/>
    <n v="5471"/>
    <m/>
    <s v="Stavnholtskolen"/>
    <x v="114"/>
    <x v="0"/>
    <x v="4"/>
    <n v="587872.5"/>
    <n v="12"/>
    <s v="2005-07-01"/>
    <n v="0"/>
    <n v="8656"/>
    <n v="67.914244999999994"/>
    <n v="2"/>
    <x v="2"/>
    <n v="587872.5"/>
    <n v="275712.21000000002"/>
    <n v="0"/>
    <s v="1129239"/>
    <s v="74120010259"/>
    <n v="587872.5"/>
    <n v="0"/>
    <n v="57890"/>
  </r>
  <r>
    <x v="6"/>
    <s v="03953-5"/>
    <s v="Stavnsholtskolen"/>
    <n v="5471"/>
    <m/>
    <s v="Stavnholtskolen"/>
    <x v="114"/>
    <x v="0"/>
    <x v="5"/>
    <n v="584792.52"/>
    <n v="12"/>
    <s v="2005-07-01"/>
    <n v="0"/>
    <n v="8656"/>
    <n v="67.558429000000004"/>
    <n v="2"/>
    <x v="2"/>
    <n v="584792.52"/>
    <n v="274267.69"/>
    <n v="0"/>
    <s v="1129239"/>
    <s v="74120010259"/>
    <n v="584792.52"/>
    <n v="0"/>
    <n v="57890"/>
  </r>
  <r>
    <x v="6"/>
    <s v="03953-5"/>
    <s v="Stavnsholtskolen"/>
    <n v="5471"/>
    <m/>
    <s v="Stavnholtskolen"/>
    <x v="114"/>
    <x v="0"/>
    <x v="6"/>
    <n v="598843.44999999995"/>
    <n v="12"/>
    <s v="2005-07-01"/>
    <n v="0"/>
    <n v="8656"/>
    <n v="69.181668999999999"/>
    <n v="2"/>
    <x v="2"/>
    <n v="598843.44999999995"/>
    <n v="280857.58"/>
    <n v="0"/>
    <s v="1129239"/>
    <s v="74120010259"/>
    <n v="598843.44999999995"/>
    <n v="0"/>
    <n v="57890"/>
  </r>
  <r>
    <x v="6"/>
    <m/>
    <s v="Syvstjerneskolen, Skov 1"/>
    <n v="9223"/>
    <m/>
    <s v="Syvstjerneskolen"/>
    <x v="40"/>
    <x v="1"/>
    <x v="0"/>
    <n v="-602.84"/>
    <n v="5"/>
    <m/>
    <n v="0"/>
    <n v="7936"/>
    <n v="-7.5961000000000001E-2"/>
    <n v="2"/>
    <x v="9"/>
    <n v="-602.84"/>
    <n v="-282.73"/>
    <n v="0"/>
    <s v="Solceller"/>
    <m/>
    <n v="602.84"/>
    <n v="0"/>
    <n v="96367"/>
  </r>
  <r>
    <x v="6"/>
    <s v="5756"/>
    <s v="Lyngholmskolen, Hvile 1"/>
    <n v="5479"/>
    <m/>
    <s v="Lyngholmskolenskolen"/>
    <x v="112"/>
    <x v="0"/>
    <x v="0"/>
    <n v="79169"/>
    <n v="5"/>
    <s v="2005-07-01"/>
    <n v="0"/>
    <n v="6089"/>
    <n v="6.3139560000000001"/>
    <n v="2"/>
    <x v="2"/>
    <n v="38446.31"/>
    <n v="15378.53"/>
    <n v="0"/>
    <s v="1048860"/>
    <s v="741 1217 6437"/>
    <n v="38446.310859999998"/>
    <n v="0"/>
    <n v="57931"/>
  </r>
  <r>
    <x v="6"/>
    <s v="5756"/>
    <s v="Lyngholmskolen, Hvile 1"/>
    <n v="13265"/>
    <m/>
    <s v="Ny Lavenergi"/>
    <x v="112"/>
    <x v="0"/>
    <x v="0"/>
    <n v="135363"/>
    <n v="5"/>
    <m/>
    <n v="0"/>
    <n v="3000"/>
    <n v="18.651033999999999"/>
    <n v="2"/>
    <x v="2"/>
    <n v="55954.97"/>
    <n v="16786.5"/>
    <n v="0"/>
    <s v="1129519"/>
    <s v="74115744459"/>
    <n v="55954.968000000001"/>
    <n v="0"/>
    <n v="90713"/>
  </r>
  <r>
    <x v="6"/>
    <m/>
    <s v="Syvstjerneskolen, Skov 1"/>
    <n v="9223"/>
    <m/>
    <s v="Syvstjerneskolen"/>
    <x v="40"/>
    <x v="1"/>
    <x v="1"/>
    <n v="-427.87"/>
    <n v="12"/>
    <m/>
    <n v="0"/>
    <n v="7936"/>
    <n v="-5.3913999999999997E-2"/>
    <n v="2"/>
    <x v="9"/>
    <n v="-427.87"/>
    <n v="-200.68"/>
    <n v="0"/>
    <s v="Solceller"/>
    <m/>
    <n v="427.87"/>
    <n v="0"/>
    <n v="96367"/>
  </r>
  <r>
    <x v="6"/>
    <m/>
    <s v="Syvstjerneskolen, Skov 1"/>
    <n v="9223"/>
    <m/>
    <s v="Syvstjerneskolen"/>
    <x v="40"/>
    <x v="0"/>
    <x v="2"/>
    <n v="19556"/>
    <n v="3"/>
    <s v="2012-03-31"/>
    <n v="0"/>
    <n v="7936"/>
    <n v="2.4641820000000001"/>
    <n v="2"/>
    <x v="2"/>
    <n v="19556"/>
    <n v="7822.4"/>
    <n v="1"/>
    <s v="Bimåler Pavillion"/>
    <m/>
    <n v="19556"/>
    <n v="0"/>
    <n v="88836"/>
  </r>
  <r>
    <x v="6"/>
    <m/>
    <s v="Syvstjerneskolen, Skov 1"/>
    <n v="9223"/>
    <m/>
    <s v="Syvstjerneskolen"/>
    <x v="40"/>
    <x v="0"/>
    <x v="2"/>
    <n v="29.21"/>
    <n v="2"/>
    <s v="2012-02-08"/>
    <n v="0"/>
    <n v="7936"/>
    <n v="3.6800000000000001E-3"/>
    <n v="2"/>
    <x v="2"/>
    <n v="29.21"/>
    <n v="13.7"/>
    <n v="1"/>
    <s v="skurvogn"/>
    <m/>
    <n v="29.214289999999998"/>
    <n v="0"/>
    <n v="89644"/>
  </r>
  <r>
    <x v="6"/>
    <m/>
    <s v="Syvstjerneskolen, Skov 1"/>
    <n v="9223"/>
    <m/>
    <s v="Syvstjerneskolen"/>
    <x v="40"/>
    <x v="0"/>
    <x v="2"/>
    <n v="1081"/>
    <n v="2"/>
    <s v="2012-02-08"/>
    <n v="0"/>
    <n v="7936"/>
    <n v="0.136213"/>
    <n v="2"/>
    <x v="2"/>
    <n v="1081"/>
    <n v="432.4"/>
    <n v="1"/>
    <s v="BImåler nr 1"/>
    <m/>
    <n v="1081"/>
    <n v="0"/>
    <n v="90859"/>
  </r>
  <r>
    <x v="6"/>
    <m/>
    <s v="Syvstjerneskolen, Skov 1"/>
    <n v="9223"/>
    <m/>
    <s v="Syvstjerneskolen"/>
    <x v="40"/>
    <x v="0"/>
    <x v="2"/>
    <n v="950.27"/>
    <n v="2"/>
    <s v="2012-02-08"/>
    <n v="0"/>
    <n v="7936"/>
    <n v="0.11974"/>
    <n v="2"/>
    <x v="2"/>
    <n v="950.27"/>
    <n v="380.11"/>
    <n v="1"/>
    <s v="Bimåler nr 2 - byggestrøm"/>
    <m/>
    <n v="950.27026999999998"/>
    <n v="0"/>
    <n v="90860"/>
  </r>
  <r>
    <x v="6"/>
    <m/>
    <s v="Syvstjerneskolen, Skov 1"/>
    <n v="9223"/>
    <m/>
    <s v="Syvstjerneskolen"/>
    <x v="40"/>
    <x v="0"/>
    <x v="2"/>
    <n v="144451.42000000001"/>
    <n v="11"/>
    <m/>
    <n v="0"/>
    <n v="7936"/>
    <n v="18.201813999999999"/>
    <n v="2"/>
    <x v="2"/>
    <n v="144451.42000000001"/>
    <n v="57780.56"/>
    <n v="0"/>
    <m/>
    <m/>
    <n v="144451.41803"/>
    <n v="0"/>
    <n v="72738"/>
  </r>
  <r>
    <x v="6"/>
    <m/>
    <s v="Syvstjerneskolen, Skov 1"/>
    <n v="9223"/>
    <m/>
    <s v="Syvstjerneskolen"/>
    <x v="40"/>
    <x v="0"/>
    <x v="2"/>
    <n v="46.2"/>
    <n v="1"/>
    <s v="2012-01-04"/>
    <n v="0"/>
    <n v="7936"/>
    <n v="5.8209999999999998E-3"/>
    <n v="2"/>
    <x v="2"/>
    <n v="46.2"/>
    <n v="21.67"/>
    <n v="1"/>
    <s v="Fløj D byggemåler"/>
    <m/>
    <n v="46.2"/>
    <n v="0"/>
    <n v="89645"/>
  </r>
  <r>
    <x v="6"/>
    <m/>
    <s v="Syvstjerneskolen, Skov 1"/>
    <n v="9223"/>
    <m/>
    <s v="Syvstjerneskolen"/>
    <x v="40"/>
    <x v="0"/>
    <x v="2"/>
    <n v="741.41"/>
    <n v="2"/>
    <s v="2012-02-08"/>
    <n v="0"/>
    <n v="7936"/>
    <n v="9.3422000000000005E-2"/>
    <n v="2"/>
    <x v="2"/>
    <n v="741.41"/>
    <n v="296.56"/>
    <n v="1"/>
    <s v="Bimåler nr 3 byggestrøm"/>
    <m/>
    <n v="741.40540999999996"/>
    <n v="0"/>
    <n v="90861"/>
  </r>
  <r>
    <x v="6"/>
    <m/>
    <s v="Syvstjerneskolen, Skov 1"/>
    <n v="9223"/>
    <m/>
    <s v="Syvstjerneskolen"/>
    <x v="40"/>
    <x v="1"/>
    <x v="2"/>
    <n v="0"/>
    <n v="12"/>
    <m/>
    <n v="0"/>
    <n v="7936"/>
    <n v="0"/>
    <n v="2"/>
    <x v="9"/>
    <n v="0"/>
    <n v="0"/>
    <n v="0"/>
    <s v="Solceller"/>
    <m/>
    <n v="0"/>
    <n v="0"/>
    <n v="96367"/>
  </r>
  <r>
    <x v="6"/>
    <m/>
    <s v="Syvstjerneskolen, Skov 1"/>
    <n v="9223"/>
    <m/>
    <s v="Syvstjerneskolen"/>
    <x v="40"/>
    <x v="0"/>
    <x v="3"/>
    <n v="52492.71"/>
    <n v="4"/>
    <s v="2012-03-31"/>
    <n v="0"/>
    <n v="7936"/>
    <n v="6.6144210000000001"/>
    <n v="2"/>
    <x v="2"/>
    <n v="52492.71"/>
    <n v="24619.09"/>
    <n v="1"/>
    <s v="Bimåler Pavillion"/>
    <m/>
    <n v="52492.726410000003"/>
    <n v="0"/>
    <n v="88836"/>
  </r>
  <r>
    <x v="6"/>
    <m/>
    <s v="Syvstjerneskolen, Skov 1"/>
    <n v="9223"/>
    <m/>
    <s v="Syvstjerneskolen"/>
    <x v="40"/>
    <x v="0"/>
    <x v="3"/>
    <n v="8333.1299999999992"/>
    <n v="3"/>
    <s v="2012-02-08"/>
    <n v="0"/>
    <n v="7936"/>
    <n v="1.050028"/>
    <n v="2"/>
    <x v="2"/>
    <n v="8333.1299999999992"/>
    <n v="3908.24"/>
    <n v="1"/>
    <s v="skurvogn"/>
    <m/>
    <n v="8333.1345299999994"/>
    <n v="0"/>
    <n v="89644"/>
  </r>
  <r>
    <x v="6"/>
    <m/>
    <s v="Syvstjerneskolen, Skov 1"/>
    <n v="9223"/>
    <m/>
    <s v="Syvstjerneskolen"/>
    <x v="40"/>
    <x v="1"/>
    <x v="3"/>
    <n v="0"/>
    <n v="12"/>
    <m/>
    <n v="0"/>
    <n v="7936"/>
    <n v="0"/>
    <n v="2"/>
    <x v="9"/>
    <n v="0"/>
    <n v="0"/>
    <n v="0"/>
    <s v="Solceller"/>
    <m/>
    <n v="0"/>
    <n v="0"/>
    <n v="96367"/>
  </r>
  <r>
    <x v="6"/>
    <m/>
    <s v="Syvstjerneskolen, Skov 1"/>
    <n v="9223"/>
    <m/>
    <s v="Syvstjerneskolen"/>
    <x v="40"/>
    <x v="0"/>
    <x v="3"/>
    <n v="173155.25"/>
    <n v="12"/>
    <m/>
    <n v="0"/>
    <n v="7936"/>
    <n v="21.818681999999999"/>
    <n v="2"/>
    <x v="2"/>
    <n v="173155.25"/>
    <n v="81209.8"/>
    <n v="0"/>
    <m/>
    <m/>
    <n v="173155.25552000001"/>
    <n v="0"/>
    <n v="72738"/>
  </r>
  <r>
    <x v="6"/>
    <m/>
    <s v="Syvstjerneskolen, Skov 1"/>
    <n v="9223"/>
    <m/>
    <s v="Syvstjerneskolen"/>
    <x v="40"/>
    <x v="0"/>
    <x v="3"/>
    <n v="32954.54"/>
    <n v="3"/>
    <s v="2012-01-04"/>
    <n v="0"/>
    <n v="7936"/>
    <n v="4.1524850000000004"/>
    <n v="2"/>
    <x v="2"/>
    <n v="32954.54"/>
    <n v="15455.67"/>
    <n v="1"/>
    <s v="Fløj D byggemåler"/>
    <m/>
    <n v="32954.519209999999"/>
    <n v="0"/>
    <n v="89645"/>
  </r>
  <r>
    <x v="6"/>
    <m/>
    <s v="Syvstjerneskolen, Skov 1"/>
    <n v="9223"/>
    <m/>
    <s v="Syvstjerneskolen"/>
    <x v="40"/>
    <x v="0"/>
    <x v="3"/>
    <n v="10769.73"/>
    <n v="1"/>
    <s v="2012-02-08"/>
    <n v="0"/>
    <n v="7936"/>
    <n v="1.3570549999999999"/>
    <n v="2"/>
    <x v="2"/>
    <n v="10769.73"/>
    <n v="5051.01"/>
    <n v="1"/>
    <s v="Bimåler nr 2 - byggestrøm"/>
    <m/>
    <n v="10769.729729999999"/>
    <n v="0"/>
    <n v="90860"/>
  </r>
  <r>
    <x v="6"/>
    <m/>
    <s v="Syvstjerneskolen, Skov 1"/>
    <n v="9223"/>
    <m/>
    <s v="Syvstjerneskolen"/>
    <x v="40"/>
    <x v="0"/>
    <x v="3"/>
    <n v="8402.6"/>
    <n v="1"/>
    <s v="2012-02-08"/>
    <n v="0"/>
    <n v="7936"/>
    <n v="1.0587819999999999"/>
    <n v="2"/>
    <x v="2"/>
    <n v="8402.6"/>
    <n v="3940.82"/>
    <n v="1"/>
    <s v="Bimåler nr 3 byggestrøm"/>
    <m/>
    <n v="8402.5946000000004"/>
    <n v="0"/>
    <n v="90861"/>
  </r>
  <r>
    <x v="6"/>
    <m/>
    <s v="Syvstjerneskolen, Skov 1"/>
    <n v="9223"/>
    <m/>
    <s v="Syvstjerneskolen"/>
    <x v="40"/>
    <x v="1"/>
    <x v="4"/>
    <n v="0"/>
    <n v="12"/>
    <m/>
    <n v="0"/>
    <n v="7936"/>
    <n v="0"/>
    <n v="2"/>
    <x v="9"/>
    <n v="0"/>
    <n v="0"/>
    <n v="0"/>
    <s v="Solceller"/>
    <m/>
    <n v="0"/>
    <n v="0"/>
    <n v="96367"/>
  </r>
  <r>
    <x v="6"/>
    <m/>
    <s v="Syvstjerneskolen, Skov 1"/>
    <n v="9223"/>
    <m/>
    <s v="Syvstjerneskolen"/>
    <x v="40"/>
    <x v="0"/>
    <x v="4"/>
    <n v="197978.77"/>
    <n v="12"/>
    <m/>
    <n v="0"/>
    <n v="7936"/>
    <n v="24.946607"/>
    <n v="2"/>
    <x v="2"/>
    <n v="197978.77"/>
    <n v="92852.04"/>
    <n v="0"/>
    <m/>
    <m/>
    <n v="197978.76449"/>
    <n v="0"/>
    <n v="72738"/>
  </r>
  <r>
    <x v="6"/>
    <m/>
    <s v="Syvstjerneskolen, Skov 1"/>
    <n v="9223"/>
    <m/>
    <s v="Syvstjerneskolen"/>
    <x v="40"/>
    <x v="0"/>
    <x v="4"/>
    <n v="5077.2700000000004"/>
    <n v="1"/>
    <s v="2012-03-31"/>
    <n v="0"/>
    <n v="7936"/>
    <n v="0.639768"/>
    <n v="2"/>
    <x v="2"/>
    <n v="5077.2700000000004"/>
    <n v="2381.2399999999998"/>
    <n v="1"/>
    <s v="Bimåler Pavillion"/>
    <m/>
    <n v="5077.27358"/>
    <n v="0"/>
    <n v="88836"/>
  </r>
  <r>
    <x v="6"/>
    <m/>
    <s v="Syvstjerneskolen, Skov 1"/>
    <n v="9223"/>
    <m/>
    <s v="Syvstjerneskolen"/>
    <x v="40"/>
    <x v="0"/>
    <x v="4"/>
    <n v="721.65"/>
    <n v="1"/>
    <s v="2012-02-08"/>
    <n v="0"/>
    <n v="7936"/>
    <n v="9.0931999999999999E-2"/>
    <n v="2"/>
    <x v="2"/>
    <n v="721.65"/>
    <n v="338.45"/>
    <n v="1"/>
    <s v="skurvogn"/>
    <m/>
    <n v="721.65116"/>
    <n v="0"/>
    <n v="89644"/>
  </r>
  <r>
    <x v="6"/>
    <m/>
    <s v="Syvstjerneskolen, Skov 1"/>
    <n v="9223"/>
    <m/>
    <s v="Syvstjerneskolen"/>
    <x v="40"/>
    <x v="0"/>
    <x v="4"/>
    <n v="4036.28"/>
    <n v="1"/>
    <s v="2012-01-04"/>
    <n v="0"/>
    <n v="7936"/>
    <n v="0.50859699999999997"/>
    <n v="2"/>
    <x v="2"/>
    <n v="4036.28"/>
    <n v="1893.02"/>
    <n v="1"/>
    <s v="Fløj D byggemåler"/>
    <m/>
    <n v="4036.2807699999998"/>
    <n v="0"/>
    <n v="89645"/>
  </r>
  <r>
    <x v="6"/>
    <m/>
    <s v="Syvstjerneskolen, Skov 1"/>
    <n v="9223"/>
    <m/>
    <s v="Syvstjerneskolen"/>
    <x v="40"/>
    <x v="0"/>
    <x v="5"/>
    <n v="208336.01"/>
    <n v="12"/>
    <m/>
    <n v="0"/>
    <n v="7936"/>
    <n v="26.251685999999999"/>
    <n v="2"/>
    <x v="2"/>
    <n v="208336.01"/>
    <n v="97709.59"/>
    <n v="0"/>
    <m/>
    <m/>
    <n v="208336.01"/>
    <n v="0"/>
    <n v="72738"/>
  </r>
  <r>
    <x v="6"/>
    <m/>
    <s v="Syvstjerneskolen, Skov 1"/>
    <n v="9223"/>
    <m/>
    <s v="Syvstjerneskolen"/>
    <x v="40"/>
    <x v="1"/>
    <x v="5"/>
    <n v="0"/>
    <n v="12"/>
    <m/>
    <n v="0"/>
    <n v="7936"/>
    <n v="0"/>
    <n v="2"/>
    <x v="9"/>
    <n v="0"/>
    <n v="0"/>
    <n v="0"/>
    <s v="Solceller"/>
    <m/>
    <n v="0"/>
    <n v="0"/>
    <n v="96367"/>
  </r>
  <r>
    <x v="6"/>
    <m/>
    <s v="Syvstjerneskolen, Skov 1"/>
    <n v="9223"/>
    <m/>
    <s v="Syvstjerneskolen"/>
    <x v="40"/>
    <x v="0"/>
    <x v="6"/>
    <n v="206271.23"/>
    <n v="12"/>
    <m/>
    <n v="0"/>
    <n v="7936"/>
    <n v="25.991510000000002"/>
    <n v="2"/>
    <x v="2"/>
    <n v="206271.23"/>
    <n v="96741.2"/>
    <n v="0"/>
    <m/>
    <m/>
    <n v="206271.22500000001"/>
    <n v="0"/>
    <n v="72738"/>
  </r>
  <r>
    <x v="6"/>
    <m/>
    <s v="Syvstjerneskolen, Skov 1"/>
    <n v="9223"/>
    <m/>
    <s v="Syvstjerneskolen"/>
    <x v="40"/>
    <x v="1"/>
    <x v="6"/>
    <n v="0"/>
    <n v="12"/>
    <m/>
    <n v="0"/>
    <n v="7936"/>
    <n v="0"/>
    <n v="2"/>
    <x v="9"/>
    <n v="0"/>
    <n v="0"/>
    <n v="0"/>
    <s v="Solceller"/>
    <m/>
    <n v="0"/>
    <n v="0"/>
    <n v="96367"/>
  </r>
  <r>
    <x v="6"/>
    <m/>
    <s v="Solhøjskolen KV52"/>
    <n v="10161"/>
    <m/>
    <s v="Solhøjskolen"/>
    <x v="113"/>
    <x v="0"/>
    <x v="0"/>
    <n v="5404"/>
    <n v="5"/>
    <s v="2011-11-30"/>
    <n v="0"/>
    <n v="265"/>
    <n v="9.2687659999999994"/>
    <n v="2"/>
    <x v="2"/>
    <n v="2457.15"/>
    <n v="737.14"/>
    <n v="0"/>
    <s v="15887022"/>
    <m/>
    <n v="2457.1419999999998"/>
    <n v="0"/>
    <n v="77142"/>
  </r>
  <r>
    <x v="6"/>
    <s v="02576-3"/>
    <s v="Solvangskolen Pedelbolig, Nord 60"/>
    <n v="6369"/>
    <m/>
    <s v="Solvangskolen Pedelbolig"/>
    <x v="52"/>
    <x v="0"/>
    <x v="0"/>
    <n v="2832"/>
    <n v="5"/>
    <s v="2012-01-25"/>
    <n v="0"/>
    <n v="110"/>
    <n v="15.515077"/>
    <n v="2"/>
    <x v="2"/>
    <n v="1708.21"/>
    <n v="683.28"/>
    <n v="0"/>
    <s v="340199"/>
    <s v="74112645957"/>
    <n v="1708.1980000000001"/>
    <n v="0"/>
    <n v="62718"/>
  </r>
  <r>
    <x v="6"/>
    <m/>
    <s v="Søndersøskolen Pedelbolig KV48"/>
    <n v="10321"/>
    <m/>
    <s v="Søndersøskolen Pedelbolig"/>
    <x v="115"/>
    <x v="0"/>
    <x v="2"/>
    <n v="3340.51"/>
    <n v="15"/>
    <s v="2012-01-25"/>
    <n v="0"/>
    <n v="126"/>
    <n v="26.490959"/>
    <n v="2"/>
    <x v="2"/>
    <n v="3340.51"/>
    <n v="1336.2"/>
    <n v="0"/>
    <s v="4148704"/>
    <s v="74112755489"/>
    <n v="3340.5163899999998"/>
    <n v="0"/>
    <n v="77808"/>
  </r>
  <r>
    <x v="6"/>
    <m/>
    <s v="Søndersøskolen Pedelbolig KV48"/>
    <n v="10321"/>
    <m/>
    <s v="Søndersøskolen Pedelbolig"/>
    <x v="115"/>
    <x v="0"/>
    <x v="3"/>
    <n v="1450.17"/>
    <n v="5"/>
    <s v="2012-01-25"/>
    <n v="0"/>
    <n v="126"/>
    <n v="11.500158000000001"/>
    <n v="2"/>
    <x v="2"/>
    <n v="1450.17"/>
    <n v="680.14"/>
    <n v="0"/>
    <s v="4148704"/>
    <s v="74112755489"/>
    <n v="1450.1742899999999"/>
    <n v="0"/>
    <n v="77808"/>
  </r>
  <r>
    <x v="6"/>
    <m/>
    <s v="Søndersøskolen Pedelbolig KV48"/>
    <n v="10321"/>
    <m/>
    <s v="Søndersøskolen Pedelbolig"/>
    <x v="115"/>
    <x v="0"/>
    <x v="4"/>
    <n v="281.89"/>
    <n v="3"/>
    <s v="2012-01-25"/>
    <n v="0"/>
    <n v="126"/>
    <n v="2.2354479999999999"/>
    <n v="2"/>
    <x v="2"/>
    <n v="281.89"/>
    <n v="132.22999999999999"/>
    <n v="0"/>
    <s v="4148704"/>
    <s v="74112755489"/>
    <n v="281.89819999999997"/>
    <n v="0"/>
    <n v="77808"/>
  </r>
  <r>
    <x v="6"/>
    <m/>
    <s v="Søndersøskolen Pedelbolig KV48"/>
    <n v="10321"/>
    <m/>
    <s v="Søndersøskolen Pedelbolig"/>
    <x v="115"/>
    <x v="0"/>
    <x v="5"/>
    <n v="483.58"/>
    <n v="4"/>
    <s v="2012-01-25"/>
    <n v="0"/>
    <n v="126"/>
    <n v="3.834892"/>
    <n v="2"/>
    <x v="2"/>
    <n v="483.58"/>
    <n v="226.81"/>
    <n v="0"/>
    <s v="4148704"/>
    <s v="74112755489"/>
    <n v="483.60178000000002"/>
    <n v="0"/>
    <n v="77808"/>
  </r>
  <r>
    <x v="6"/>
    <m/>
    <s v="Søndersøskolen Pedelbolig KV48"/>
    <n v="10321"/>
    <m/>
    <s v="Søndersøskolen Pedelbolig"/>
    <x v="115"/>
    <x v="0"/>
    <x v="6"/>
    <n v="3704.38"/>
    <n v="7"/>
    <s v="2012-01-25"/>
    <n v="0"/>
    <n v="126"/>
    <n v="29.376525999999998"/>
    <n v="2"/>
    <x v="2"/>
    <n v="3704.38"/>
    <n v="1737.34"/>
    <n v="0"/>
    <s v="4148704"/>
    <s v="74112755489"/>
    <n v="3704.3791299999998"/>
    <n v="0"/>
    <n v="77808"/>
  </r>
  <r>
    <x v="6"/>
    <s v="02576-3"/>
    <s v="Solvangskolen, Nord 58"/>
    <n v="5474"/>
    <m/>
    <s v="Solvangskolen"/>
    <x v="52"/>
    <x v="0"/>
    <x v="0"/>
    <n v="200534"/>
    <n v="5"/>
    <s v="2005-06-01"/>
    <n v="0"/>
    <n v="10600"/>
    <n v="7.9411009999999997"/>
    <n v="2"/>
    <x v="2"/>
    <n v="84176.47"/>
    <n v="33670.589999999997"/>
    <n v="0"/>
    <s v="70-007511 / 138425"/>
    <s v="74111462838 ??? 741 1600 8772"/>
    <n v="84176.47"/>
    <n v="0"/>
    <n v="57910"/>
  </r>
  <r>
    <x v="6"/>
    <m/>
    <s v="Sprogskolen, Hvedemarken 3-5"/>
    <n v="5534"/>
    <m/>
    <s v="Sprogskolen"/>
    <x v="117"/>
    <x v="0"/>
    <x v="0"/>
    <n v="23285"/>
    <n v="5"/>
    <s v="2005-06-15"/>
    <n v="0"/>
    <n v="1021"/>
    <n v="9.3309949999999997"/>
    <n v="2"/>
    <x v="2"/>
    <n v="9527.8799999999992"/>
    <n v="3811.15"/>
    <n v="0"/>
    <s v="BM 309000176879"/>
    <m/>
    <n v="9527.8799999999992"/>
    <n v="0"/>
    <n v="58251"/>
  </r>
  <r>
    <x v="6"/>
    <m/>
    <s v="Søndersøskolen, KV50"/>
    <n v="9222"/>
    <m/>
    <s v="Søndersøskolen"/>
    <x v="116"/>
    <x v="0"/>
    <x v="2"/>
    <n v="267396.07"/>
    <n v="12"/>
    <m/>
    <n v="0"/>
    <n v="11252"/>
    <n v="23.764102999999999"/>
    <n v="2"/>
    <x v="2"/>
    <n v="267396.07"/>
    <n v="106958.42"/>
    <n v="0"/>
    <s v="44614"/>
    <s v="74110485951"/>
    <n v="267396.08500000002"/>
    <n v="0"/>
    <n v="72736"/>
  </r>
  <r>
    <x v="6"/>
    <m/>
    <s v="Søndersøskolen, KV50"/>
    <n v="9222"/>
    <m/>
    <s v="Søndersøskolen"/>
    <x v="116"/>
    <x v="0"/>
    <x v="3"/>
    <n v="319369.57"/>
    <n v="12"/>
    <m/>
    <n v="0"/>
    <n v="11252"/>
    <n v="28.383108"/>
    <n v="2"/>
    <x v="2"/>
    <n v="319369.57"/>
    <n v="149784.32000000001"/>
    <n v="0"/>
    <s v="44614"/>
    <s v="74110485951"/>
    <n v="319369.56400000001"/>
    <n v="0"/>
    <n v="72736"/>
  </r>
  <r>
    <x v="6"/>
    <m/>
    <s v="Søndersøskolen, KV50"/>
    <n v="9222"/>
    <m/>
    <s v="Søndersøskolen"/>
    <x v="116"/>
    <x v="0"/>
    <x v="4"/>
    <n v="387591.37"/>
    <n v="12"/>
    <m/>
    <n v="0"/>
    <n v="11252"/>
    <n v="34.446136000000003"/>
    <n v="2"/>
    <x v="2"/>
    <n v="387591.37"/>
    <n v="181780.36"/>
    <n v="0"/>
    <s v="44614"/>
    <s v="74110485951"/>
    <n v="387591.35544000001"/>
    <n v="0"/>
    <n v="72736"/>
  </r>
  <r>
    <x v="6"/>
    <m/>
    <s v="Søndersøskolen, KV50"/>
    <n v="9222"/>
    <m/>
    <s v="Søndersøskolen"/>
    <x v="116"/>
    <x v="0"/>
    <x v="5"/>
    <n v="568204.76"/>
    <n v="12"/>
    <m/>
    <n v="0"/>
    <n v="11252"/>
    <n v="50.497663000000003"/>
    <n v="2"/>
    <x v="2"/>
    <n v="568204.76"/>
    <n v="266488.03999999998"/>
    <n v="0"/>
    <s v="44614"/>
    <s v="74110485951"/>
    <n v="568204.73684999999"/>
    <n v="0"/>
    <n v="72736"/>
  </r>
  <r>
    <x v="6"/>
    <m/>
    <s v="Søndersøskolen, KV50"/>
    <n v="9222"/>
    <m/>
    <s v="Søndersøskolen"/>
    <x v="116"/>
    <x v="0"/>
    <x v="6"/>
    <n v="466601.06"/>
    <n v="12"/>
    <m/>
    <n v="0"/>
    <n v="11252"/>
    <n v="41.467908999999999"/>
    <n v="2"/>
    <x v="2"/>
    <n v="466601.06"/>
    <n v="218835.92"/>
    <n v="0"/>
    <s v="44614"/>
    <s v="74110485951"/>
    <n v="466601.08214999997"/>
    <n v="0"/>
    <n v="72736"/>
  </r>
  <r>
    <x v="6"/>
    <m/>
    <s v="Søndersøskolen, KV50"/>
    <n v="9222"/>
    <m/>
    <s v="Søndersøskolen"/>
    <x v="116"/>
    <x v="0"/>
    <x v="6"/>
    <n v="68741.039999999994"/>
    <n v="1"/>
    <s v="2008-01-28"/>
    <n v="0"/>
    <n v="11252"/>
    <n v="6.1091740000000003"/>
    <n v="2"/>
    <x v="2"/>
    <n v="68741.039999999994"/>
    <n v="32239.55"/>
    <n v="0"/>
    <m/>
    <m/>
    <n v="68741.035709999996"/>
    <n v="0"/>
    <n v="77715"/>
  </r>
  <r>
    <x v="6"/>
    <s v="03953-5"/>
    <s v="Stavnsholtskolen"/>
    <n v="5471"/>
    <m/>
    <s v="Stavnholtskolen"/>
    <x v="114"/>
    <x v="0"/>
    <x v="0"/>
    <n v="222433"/>
    <n v="5"/>
    <s v="2005-07-01"/>
    <n v="0"/>
    <n v="8656"/>
    <n v="11.475472"/>
    <n v="2"/>
    <x v="2"/>
    <n v="99332.84"/>
    <n v="39733.129999999997"/>
    <n v="0"/>
    <s v="1129239"/>
    <s v="74120010259"/>
    <n v="99332.84"/>
    <n v="0"/>
    <n v="57890"/>
  </r>
  <r>
    <x v="6"/>
    <m/>
    <s v="Syvstjerneskolen, Skov 1"/>
    <n v="9223"/>
    <m/>
    <s v="Syvstjerneskolen"/>
    <x v="40"/>
    <x v="0"/>
    <x v="0"/>
    <n v="134622"/>
    <n v="5"/>
    <m/>
    <n v="0"/>
    <n v="7936"/>
    <n v="7.2980549999999997"/>
    <n v="2"/>
    <x v="2"/>
    <n v="57918.1"/>
    <n v="17375.43"/>
    <n v="0"/>
    <m/>
    <m/>
    <n v="57918.1"/>
    <n v="0"/>
    <n v="72738"/>
  </r>
  <r>
    <x v="6"/>
    <m/>
    <s v="Ungdomsskolen, Farum"/>
    <n v="5956"/>
    <m/>
    <s v="Ungdomsskolen 11A"/>
    <x v="118"/>
    <x v="0"/>
    <x v="2"/>
    <n v="1061.05"/>
    <n v="1"/>
    <s v="2012-01-25"/>
    <n v="0"/>
    <n v="186"/>
    <n v="5.7015039999999999"/>
    <n v="2"/>
    <x v="2"/>
    <n v="1061.05"/>
    <n v="424.42"/>
    <n v="0"/>
    <s v="283402 afmeldt"/>
    <m/>
    <n v="1061.0526299999999"/>
    <n v="0"/>
    <n v="60013"/>
  </r>
  <r>
    <x v="6"/>
    <m/>
    <s v="Ungdomsskolen, Farum"/>
    <n v="5956"/>
    <m/>
    <s v="Ungdomsskolen 11A"/>
    <x v="118"/>
    <x v="0"/>
    <x v="2"/>
    <n v="14954.97"/>
    <n v="11"/>
    <m/>
    <n v="0"/>
    <n v="186"/>
    <n v="80.359859999999998"/>
    <n v="2"/>
    <x v="2"/>
    <n v="14954.97"/>
    <n v="5981.99"/>
    <n v="0"/>
    <s v="ny"/>
    <s v="74115167586"/>
    <n v="14954.9766"/>
    <n v="0"/>
    <n v="91057"/>
  </r>
  <r>
    <x v="6"/>
    <m/>
    <s v="Ungdomsskolen, Farum"/>
    <n v="5956"/>
    <m/>
    <s v="Ungdomsskolen 11A"/>
    <x v="118"/>
    <x v="0"/>
    <x v="3"/>
    <n v="19450.830000000002"/>
    <n v="3"/>
    <s v="2012-01-25"/>
    <n v="0"/>
    <n v="186"/>
    <n v="104.518162"/>
    <n v="2"/>
    <x v="2"/>
    <n v="19450.830000000002"/>
    <n v="9122.42"/>
    <n v="0"/>
    <s v="283402 afmeldt"/>
    <m/>
    <n v="19450.804499999998"/>
    <n v="0"/>
    <n v="60013"/>
  </r>
  <r>
    <x v="6"/>
    <m/>
    <s v="Ungdomsskolen, Farum"/>
    <n v="5956"/>
    <m/>
    <s v="Ungdomsskolen 11A"/>
    <x v="118"/>
    <x v="0"/>
    <x v="4"/>
    <n v="22283.279999999999"/>
    <n v="4"/>
    <s v="2012-01-25"/>
    <n v="0"/>
    <n v="186"/>
    <n v="119.73820499999999"/>
    <n v="2"/>
    <x v="2"/>
    <n v="22283.279999999999"/>
    <n v="10450.870000000001"/>
    <n v="0"/>
    <s v="283402 afmeldt"/>
    <m/>
    <n v="22283.30503"/>
    <n v="0"/>
    <n v="60013"/>
  </r>
  <r>
    <x v="6"/>
    <m/>
    <s v="Ungdomsskolen, Farum"/>
    <n v="5956"/>
    <m/>
    <s v="Ungdomsskolen 11A"/>
    <x v="118"/>
    <x v="0"/>
    <x v="5"/>
    <n v="20185.009999999998"/>
    <n v="3"/>
    <s v="2012-01-25"/>
    <n v="0"/>
    <n v="186"/>
    <n v="108.463245"/>
    <n v="2"/>
    <x v="2"/>
    <n v="20185.009999999998"/>
    <n v="9466.7900000000009"/>
    <n v="0"/>
    <s v="283402 afmeldt"/>
    <m/>
    <n v="20185.024389999999"/>
    <n v="0"/>
    <n v="60013"/>
  </r>
  <r>
    <x v="6"/>
    <m/>
    <s v="Ungdomsskolen, Farum"/>
    <n v="5956"/>
    <m/>
    <s v="Ungdomsskolen 11A"/>
    <x v="118"/>
    <x v="0"/>
    <x v="6"/>
    <n v="16721.919999999998"/>
    <n v="6"/>
    <s v="2012-01-25"/>
    <n v="0"/>
    <n v="186"/>
    <n v="89.854485999999994"/>
    <n v="2"/>
    <x v="2"/>
    <n v="16721.919999999998"/>
    <n v="7842.59"/>
    <n v="0"/>
    <s v="283402 afmeldt"/>
    <m/>
    <n v="16721.92772"/>
    <n v="0"/>
    <n v="60013"/>
  </r>
  <r>
    <x v="6"/>
    <m/>
    <s v="Søndersøskolen Pedelbolig KV48"/>
    <n v="10321"/>
    <m/>
    <s v="Søndersøskolen Pedelbolig"/>
    <x v="115"/>
    <x v="0"/>
    <x v="0"/>
    <n v="7452"/>
    <n v="5"/>
    <s v="2012-01-25"/>
    <n v="0"/>
    <n v="126"/>
    <n v="31.518239000000001"/>
    <n v="2"/>
    <x v="2"/>
    <n v="3974.45"/>
    <n v="1192.32"/>
    <n v="0"/>
    <s v="4148704"/>
    <s v="74112755489"/>
    <n v="3974.4358000000002"/>
    <n v="0"/>
    <n v="77808"/>
  </r>
  <r>
    <x v="6"/>
    <m/>
    <s v="Søndersøskolen, KV50"/>
    <n v="9222"/>
    <m/>
    <s v="Søndersøskolen"/>
    <x v="116"/>
    <x v="0"/>
    <x v="0"/>
    <n v="255333"/>
    <n v="5"/>
    <m/>
    <n v="0"/>
    <n v="11252"/>
    <n v="10.139962000000001"/>
    <n v="2"/>
    <x v="2"/>
    <n v="114095.87"/>
    <n v="34228.76"/>
    <n v="0"/>
    <s v="44614"/>
    <s v="74110485951"/>
    <n v="114095.878"/>
    <n v="0"/>
    <n v="72736"/>
  </r>
  <r>
    <x v="6"/>
    <m/>
    <s v="Ungdomsskolen, Farum"/>
    <n v="5942"/>
    <m/>
    <s v="Ungdomsskolen 9A"/>
    <x v="118"/>
    <x v="0"/>
    <x v="2"/>
    <n v="429"/>
    <n v="2"/>
    <s v="2012-02-13"/>
    <n v="0"/>
    <n v="506"/>
    <n v="0.84765800000000002"/>
    <n v="2"/>
    <x v="2"/>
    <n v="429"/>
    <n v="171.6"/>
    <n v="0"/>
    <s v="731877 afmeldt"/>
    <m/>
    <n v="429"/>
    <n v="0"/>
    <n v="59942"/>
  </r>
  <r>
    <x v="6"/>
    <m/>
    <s v="Ungdomsskolen, Farum"/>
    <n v="5942"/>
    <m/>
    <s v="Ungdomsskolen 9A"/>
    <x v="118"/>
    <x v="0"/>
    <x v="2"/>
    <n v="5386.1"/>
    <n v="11"/>
    <m/>
    <n v="0"/>
    <n v="506"/>
    <n v="10.642363"/>
    <n v="2"/>
    <x v="2"/>
    <n v="5386.1"/>
    <n v="2154.44"/>
    <n v="0"/>
    <m/>
    <s v="74111907032"/>
    <n v="5386.0956999999999"/>
    <n v="0"/>
    <n v="91058"/>
  </r>
  <r>
    <x v="6"/>
    <m/>
    <s v="Ungdomsskolen, Farum"/>
    <n v="5942"/>
    <m/>
    <s v="Ungdomsskolen 9A"/>
    <x v="118"/>
    <x v="0"/>
    <x v="3"/>
    <n v="2823.85"/>
    <n v="4"/>
    <s v="2012-02-13"/>
    <n v="0"/>
    <n v="506"/>
    <n v="5.5796279999999996"/>
    <n v="2"/>
    <x v="2"/>
    <n v="2823.85"/>
    <n v="1324.38"/>
    <n v="0"/>
    <s v="731877 afmeldt"/>
    <m/>
    <n v="2823.8571499999998"/>
    <n v="0"/>
    <n v="59942"/>
  </r>
  <r>
    <x v="6"/>
    <m/>
    <s v="Ungdomsskolen, Farum"/>
    <n v="5942"/>
    <m/>
    <s v="Ungdomsskolen 9A"/>
    <x v="118"/>
    <x v="0"/>
    <x v="4"/>
    <n v="3011.94"/>
    <n v="5"/>
    <s v="2012-02-13"/>
    <n v="0"/>
    <n v="506"/>
    <n v="5.9512739999999997"/>
    <n v="2"/>
    <x v="2"/>
    <n v="3011.94"/>
    <n v="1412.59"/>
    <n v="0"/>
    <s v="731877 afmeldt"/>
    <m/>
    <n v="3011.9397199999999"/>
    <n v="0"/>
    <n v="59942"/>
  </r>
  <r>
    <x v="6"/>
    <m/>
    <s v="Ungdomsskolen, Farum"/>
    <n v="5942"/>
    <m/>
    <s v="Ungdomsskolen 9A"/>
    <x v="118"/>
    <x v="0"/>
    <x v="5"/>
    <n v="2173.35"/>
    <n v="4"/>
    <s v="2012-02-13"/>
    <n v="0"/>
    <n v="506"/>
    <n v="4.2943090000000002"/>
    <n v="2"/>
    <x v="2"/>
    <n v="2173.35"/>
    <n v="1019.3"/>
    <n v="0"/>
    <s v="731877 afmeldt"/>
    <m/>
    <n v="2173.3523799999998"/>
    <n v="0"/>
    <n v="59942"/>
  </r>
  <r>
    <x v="6"/>
    <m/>
    <s v="Ungdomsskolen, Farum"/>
    <n v="5942"/>
    <m/>
    <s v="Ungdomsskolen 9A"/>
    <x v="118"/>
    <x v="0"/>
    <x v="6"/>
    <n v="2267.73"/>
    <n v="6"/>
    <s v="2012-02-13"/>
    <n v="0"/>
    <n v="506"/>
    <n v="4.4807940000000004"/>
    <n v="2"/>
    <x v="2"/>
    <n v="2267.73"/>
    <n v="1063.57"/>
    <n v="0"/>
    <s v="731877 afmeldt"/>
    <m/>
    <n v="2267.7364699999998"/>
    <n v="0"/>
    <n v="59942"/>
  </r>
  <r>
    <x v="6"/>
    <m/>
    <s v="Ungdomsskolen, Farum"/>
    <n v="5956"/>
    <m/>
    <s v="Ungdomsskolen 11A"/>
    <x v="118"/>
    <x v="0"/>
    <x v="0"/>
    <n v="15026"/>
    <n v="5"/>
    <m/>
    <n v="0"/>
    <n v="186"/>
    <n v="37.382320999999997"/>
    <n v="2"/>
    <x v="2"/>
    <n v="6956.85"/>
    <n v="2087.0500000000002"/>
    <n v="0"/>
    <s v="ny"/>
    <s v="74115167586"/>
    <n v="6956.8440000000001"/>
    <n v="0"/>
    <n v="91057"/>
  </r>
  <r>
    <x v="6"/>
    <m/>
    <s v="Ungdomsskolen, Farum"/>
    <n v="5942"/>
    <m/>
    <s v="Ungdomsskolen 9A"/>
    <x v="118"/>
    <x v="0"/>
    <x v="0"/>
    <n v="7111"/>
    <n v="5"/>
    <m/>
    <n v="0"/>
    <n v="506"/>
    <n v="5.7576960000000001"/>
    <n v="2"/>
    <x v="2"/>
    <n v="2913.97"/>
    <n v="874.18"/>
    <n v="0"/>
    <m/>
    <s v="74111907032"/>
    <n v="2913.9720000000002"/>
    <n v="0"/>
    <n v="91058"/>
  </r>
  <r>
    <x v="7"/>
    <m/>
    <s v="Ryetvej 17, gl"/>
    <n v="10165"/>
    <m/>
    <s v="Lynghuset gl"/>
    <x v="119"/>
    <x v="0"/>
    <x v="0"/>
    <n v="25"/>
    <n v="5"/>
    <s v="2012-05-31"/>
    <n v="0"/>
    <n v="168"/>
    <n v="8.0071000000000003E-2"/>
    <n v="3"/>
    <x v="0"/>
    <n v="13.46"/>
    <n v="10.76"/>
    <n v="0"/>
    <s v="11159195"/>
    <m/>
    <n v="13.454000000000001"/>
    <n v="0"/>
    <n v="77158"/>
  </r>
  <r>
    <x v="7"/>
    <m/>
    <s v="Ryetvej 17, gl"/>
    <n v="10165"/>
    <m/>
    <s v="Lynghuset gl"/>
    <x v="119"/>
    <x v="0"/>
    <x v="1"/>
    <n v="209.76"/>
    <n v="12"/>
    <s v="2012-05-31"/>
    <n v="0"/>
    <n v="168"/>
    <n v="1.2478279999999999"/>
    <n v="3"/>
    <x v="0"/>
    <n v="209.76"/>
    <n v="167.81"/>
    <n v="0"/>
    <s v="11159195"/>
    <m/>
    <n v="209.75800000000001"/>
    <n v="0"/>
    <n v="77158"/>
  </r>
  <r>
    <x v="7"/>
    <m/>
    <s v="Ryetvej 17, gl"/>
    <n v="10165"/>
    <m/>
    <s v="Lynghuset gl"/>
    <x v="119"/>
    <x v="0"/>
    <x v="2"/>
    <n v="164.39"/>
    <n v="12"/>
    <s v="2012-05-31"/>
    <n v="0"/>
    <n v="168"/>
    <n v="0.97792900000000005"/>
    <n v="3"/>
    <x v="0"/>
    <n v="164.39"/>
    <n v="131.5"/>
    <n v="0"/>
    <s v="11159195"/>
    <m/>
    <n v="164.37854999999999"/>
    <n v="0"/>
    <n v="77158"/>
  </r>
  <r>
    <x v="7"/>
    <m/>
    <s v="Ryetvej 17, gl"/>
    <n v="10165"/>
    <m/>
    <s v="Lynghuset gl"/>
    <x v="119"/>
    <x v="0"/>
    <x v="3"/>
    <n v="48.06"/>
    <n v="10"/>
    <s v="2012-05-31"/>
    <n v="0"/>
    <n v="168"/>
    <n v="0.28590100000000002"/>
    <n v="3"/>
    <x v="0"/>
    <n v="48.06"/>
    <n v="38.44"/>
    <n v="0"/>
    <s v="11159195"/>
    <m/>
    <n v="48.045450000000002"/>
    <n v="0"/>
    <n v="77158"/>
  </r>
  <r>
    <x v="7"/>
    <m/>
    <s v="Ryetvej 17, gl"/>
    <n v="10165"/>
    <m/>
    <s v="Lynghuset gl"/>
    <x v="119"/>
    <x v="0"/>
    <x v="4"/>
    <n v="1.19"/>
    <n v="3"/>
    <s v="2012-05-31"/>
    <n v="0"/>
    <n v="168"/>
    <n v="7.0790000000000002E-3"/>
    <n v="3"/>
    <x v="0"/>
    <n v="1.19"/>
    <n v="0.96"/>
    <n v="0"/>
    <s v="11159195"/>
    <m/>
    <n v="1.1927700000000001"/>
    <n v="0"/>
    <n v="77158"/>
  </r>
  <r>
    <x v="7"/>
    <m/>
    <s v="Ryetvej 17, gl"/>
    <n v="10165"/>
    <m/>
    <s v="Lynghuset gl"/>
    <x v="119"/>
    <x v="0"/>
    <x v="5"/>
    <n v="103.5"/>
    <n v="6"/>
    <s v="2012-05-31"/>
    <n v="0"/>
    <n v="168"/>
    <n v="0.61570400000000003"/>
    <n v="3"/>
    <x v="0"/>
    <n v="103.5"/>
    <n v="82.81"/>
    <n v="0"/>
    <s v="11159195"/>
    <m/>
    <n v="103.50167"/>
    <n v="0"/>
    <n v="77158"/>
  </r>
  <r>
    <x v="7"/>
    <m/>
    <s v="Ryetvej 17, gl"/>
    <n v="10165"/>
    <m/>
    <s v="Lynghuset gl"/>
    <x v="119"/>
    <x v="0"/>
    <x v="6"/>
    <n v="167.78"/>
    <n v="6"/>
    <s v="2012-05-31"/>
    <n v="0"/>
    <n v="168"/>
    <n v="0.99809599999999998"/>
    <n v="3"/>
    <x v="0"/>
    <n v="167.78"/>
    <n v="134.22"/>
    <n v="0"/>
    <s v="11159195"/>
    <m/>
    <n v="167.77807000000001"/>
    <n v="0"/>
    <n v="77158"/>
  </r>
  <r>
    <x v="7"/>
    <m/>
    <s v="Ryetvej 17, ny"/>
    <n v="10166"/>
    <m/>
    <s v="Lynghuset Børnehus, ny"/>
    <x v="119"/>
    <x v="0"/>
    <x v="0"/>
    <n v="10"/>
    <n v="5"/>
    <s v="2011-10-31"/>
    <n v="0"/>
    <n v="228"/>
    <n v="3.0688E-2"/>
    <n v="3"/>
    <x v="0"/>
    <n v="7"/>
    <n v="5.6"/>
    <n v="0"/>
    <s v="40460"/>
    <m/>
    <n v="7"/>
    <n v="0"/>
    <n v="77161"/>
  </r>
  <r>
    <x v="7"/>
    <m/>
    <s v="Ryetvej 17, ny"/>
    <n v="10166"/>
    <m/>
    <s v="Lynghuset Børnehus, ny"/>
    <x v="119"/>
    <x v="0"/>
    <x v="1"/>
    <n v="80.900000000000006"/>
    <n v="12"/>
    <s v="2011-10-31"/>
    <n v="0"/>
    <n v="228"/>
    <n v="0.35466900000000001"/>
    <n v="3"/>
    <x v="0"/>
    <n v="80.900000000000006"/>
    <n v="64.72"/>
    <n v="0"/>
    <s v="40460"/>
    <m/>
    <n v="80.900000000000006"/>
    <n v="0"/>
    <n v="77161"/>
  </r>
  <r>
    <x v="7"/>
    <m/>
    <s v="Ryetvej 17, ny"/>
    <n v="10166"/>
    <m/>
    <s v="Lynghuset Børnehus, ny"/>
    <x v="119"/>
    <x v="0"/>
    <x v="2"/>
    <n v="52.7"/>
    <n v="12"/>
    <s v="2011-10-31"/>
    <n v="0"/>
    <n v="228"/>
    <n v="0.23103899999999999"/>
    <n v="3"/>
    <x v="0"/>
    <n v="52.7"/>
    <n v="42.16"/>
    <n v="0"/>
    <s v="40460"/>
    <m/>
    <n v="52.7"/>
    <n v="0"/>
    <n v="77161"/>
  </r>
  <r>
    <x v="7"/>
    <m/>
    <s v="Ryetvej 17, ny"/>
    <n v="10166"/>
    <m/>
    <s v="Lynghuset Børnehus, ny"/>
    <x v="119"/>
    <x v="0"/>
    <x v="3"/>
    <n v="11.99"/>
    <n v="8"/>
    <s v="2011-10-31"/>
    <n v="0"/>
    <n v="228"/>
    <n v="5.2564E-2"/>
    <n v="3"/>
    <x v="0"/>
    <n v="11.99"/>
    <n v="9.61"/>
    <n v="0"/>
    <s v="40460"/>
    <m/>
    <n v="12.000019999999999"/>
    <n v="0"/>
    <n v="77161"/>
  </r>
  <r>
    <x v="7"/>
    <m/>
    <s v="Ryetvej 17, ny"/>
    <n v="10166"/>
    <m/>
    <s v="Lynghuset Børnehus, ny"/>
    <x v="119"/>
    <x v="0"/>
    <x v="4"/>
    <n v="1.59"/>
    <n v="3"/>
    <s v="2011-10-31"/>
    <n v="0"/>
    <n v="228"/>
    <n v="6.9699999999999996E-3"/>
    <n v="3"/>
    <x v="0"/>
    <n v="1.59"/>
    <n v="1.28"/>
    <n v="0"/>
    <s v="40460"/>
    <m/>
    <n v="1.5963700000000001"/>
    <n v="0"/>
    <n v="77161"/>
  </r>
  <r>
    <x v="7"/>
    <m/>
    <s v="Ryetvej 17, ny"/>
    <n v="10166"/>
    <m/>
    <s v="Lynghuset Børnehus, ny"/>
    <x v="119"/>
    <x v="0"/>
    <x v="5"/>
    <n v="44.59"/>
    <n v="6"/>
    <s v="2011-10-31"/>
    <n v="0"/>
    <n v="228"/>
    <n v="0.19548399999999999"/>
    <n v="3"/>
    <x v="0"/>
    <n v="44.59"/>
    <n v="35.68"/>
    <n v="0"/>
    <s v="40460"/>
    <m/>
    <n v="44.59807"/>
    <n v="0"/>
    <n v="77161"/>
  </r>
  <r>
    <x v="7"/>
    <m/>
    <s v="Ryetvej 17, ny"/>
    <n v="10166"/>
    <m/>
    <s v="Lynghuset Børnehus, ny"/>
    <x v="119"/>
    <x v="0"/>
    <x v="6"/>
    <n v="76.569999999999993"/>
    <n v="6"/>
    <s v="2011-10-31"/>
    <n v="0"/>
    <n v="228"/>
    <n v="0.33568599999999998"/>
    <n v="3"/>
    <x v="0"/>
    <n v="76.569999999999993"/>
    <n v="61.23"/>
    <n v="0"/>
    <s v="40460"/>
    <m/>
    <n v="76.574820000000003"/>
    <n v="0"/>
    <n v="77161"/>
  </r>
  <r>
    <x v="7"/>
    <m/>
    <s v="Spejderhus Søvej 18"/>
    <n v="10170"/>
    <m/>
    <s v="Spejderhus Søvej 18"/>
    <x v="120"/>
    <x v="0"/>
    <x v="0"/>
    <n v="20"/>
    <n v="5"/>
    <s v="2011-08-31"/>
    <n v="0"/>
    <n v="247"/>
    <n v="2.9947000000000001E-2"/>
    <n v="3"/>
    <x v="0"/>
    <n v="7.4"/>
    <n v="5.92"/>
    <n v="0"/>
    <s v="40910"/>
    <m/>
    <n v="7.4"/>
    <n v="0"/>
    <n v="77184"/>
  </r>
  <r>
    <x v="7"/>
    <m/>
    <s v="Spejderhus Søvej 18"/>
    <n v="10170"/>
    <m/>
    <s v="Spejderhus Søvej 18"/>
    <x v="120"/>
    <x v="0"/>
    <x v="1"/>
    <n v="25.8"/>
    <n v="12"/>
    <s v="2011-08-31"/>
    <n v="0"/>
    <n v="247"/>
    <n v="0.104411"/>
    <n v="3"/>
    <x v="0"/>
    <n v="25.8"/>
    <n v="20.64"/>
    <n v="0"/>
    <s v="40910"/>
    <m/>
    <n v="25.8"/>
    <n v="0"/>
    <n v="77184"/>
  </r>
  <r>
    <x v="7"/>
    <m/>
    <s v="Spejderhus Søvej 18"/>
    <n v="10170"/>
    <m/>
    <s v="Spejderhus Søvej 18"/>
    <x v="120"/>
    <x v="0"/>
    <x v="2"/>
    <n v="22.8"/>
    <n v="12"/>
    <s v="2011-08-31"/>
    <n v="0"/>
    <n v="247"/>
    <n v="9.2270000000000005E-2"/>
    <n v="3"/>
    <x v="0"/>
    <n v="22.8"/>
    <n v="18.239999999999998"/>
    <n v="0"/>
    <s v="40910"/>
    <m/>
    <n v="22.8"/>
    <n v="0"/>
    <n v="77184"/>
  </r>
  <r>
    <x v="7"/>
    <m/>
    <s v="Spejderhus Søvej 18"/>
    <n v="10170"/>
    <m/>
    <s v="Spejderhus Søvej 18"/>
    <x v="120"/>
    <x v="0"/>
    <x v="3"/>
    <n v="22.36"/>
    <n v="7"/>
    <s v="2011-08-31"/>
    <n v="0"/>
    <n v="247"/>
    <n v="9.0489E-2"/>
    <n v="3"/>
    <x v="0"/>
    <n v="22.36"/>
    <n v="17.87"/>
    <n v="0"/>
    <s v="40910"/>
    <m/>
    <n v="22.340589999999999"/>
    <n v="0"/>
    <n v="77184"/>
  </r>
  <r>
    <x v="7"/>
    <m/>
    <s v="Spejderhus Søvej 18"/>
    <n v="10170"/>
    <m/>
    <s v="Spejderhus Søvej 18"/>
    <x v="120"/>
    <x v="0"/>
    <x v="4"/>
    <n v="20.77"/>
    <n v="2"/>
    <s v="2011-08-31"/>
    <n v="0"/>
    <n v="247"/>
    <n v="8.4055000000000005E-2"/>
    <n v="3"/>
    <x v="0"/>
    <n v="20.77"/>
    <n v="16.649999999999999"/>
    <n v="0"/>
    <s v="40910"/>
    <m/>
    <n v="20.776289999999999"/>
    <n v="0"/>
    <n v="77184"/>
  </r>
  <r>
    <x v="7"/>
    <m/>
    <s v="Spejderhus Søvej 18"/>
    <n v="10170"/>
    <m/>
    <s v="Spejderhus Søvej 18"/>
    <x v="120"/>
    <x v="0"/>
    <x v="5"/>
    <n v="166.94"/>
    <n v="4"/>
    <s v="2011-08-31"/>
    <n v="0"/>
    <n v="247"/>
    <n v="0.67559599999999997"/>
    <n v="3"/>
    <x v="0"/>
    <n v="166.94"/>
    <n v="133.58000000000001"/>
    <n v="0"/>
    <s v="40910"/>
    <m/>
    <n v="166.94978"/>
    <n v="0"/>
    <n v="77184"/>
  </r>
  <r>
    <x v="7"/>
    <m/>
    <s v="Spejderhus Søvej 18"/>
    <n v="10170"/>
    <m/>
    <s v="Spejderhus Søvej 18"/>
    <x v="120"/>
    <x v="0"/>
    <x v="6"/>
    <n v="56.25"/>
    <n v="4"/>
    <s v="2011-08-31"/>
    <n v="0"/>
    <n v="247"/>
    <n v="0.22764000000000001"/>
    <n v="3"/>
    <x v="0"/>
    <n v="56.25"/>
    <n v="45"/>
    <n v="0"/>
    <s v="40910"/>
    <m/>
    <n v="56.257849999999998"/>
    <n v="0"/>
    <n v="77184"/>
  </r>
  <r>
    <x v="7"/>
    <m/>
    <s v="Spejderhus, Sandet 2"/>
    <n v="10202"/>
    <m/>
    <s v="Spejderhus, Sandet 2"/>
    <x v="50"/>
    <x v="0"/>
    <x v="0"/>
    <n v="6"/>
    <n v="5"/>
    <s v="2011-12-31"/>
    <n v="0"/>
    <n v="123"/>
    <n v="1.056E-2"/>
    <n v="3"/>
    <x v="0"/>
    <n v="1.3"/>
    <n v="1.05"/>
    <n v="0"/>
    <s v="00572/11131958"/>
    <m/>
    <n v="1.2989999999999999"/>
    <n v="0"/>
    <n v="77351"/>
  </r>
  <r>
    <x v="7"/>
    <m/>
    <s v="Spejderhus, Sandet 2"/>
    <n v="10202"/>
    <m/>
    <s v="Spejderhus, Sandet 2"/>
    <x v="50"/>
    <x v="0"/>
    <x v="1"/>
    <n v="9.26"/>
    <n v="12"/>
    <s v="2011-12-31"/>
    <n v="0"/>
    <n v="123"/>
    <n v="7.5222999999999998E-2"/>
    <n v="3"/>
    <x v="0"/>
    <n v="9.26"/>
    <n v="7.41"/>
    <n v="0"/>
    <s v="00572/11131958"/>
    <m/>
    <n v="9.2569999999999997"/>
    <n v="0"/>
    <n v="77351"/>
  </r>
  <r>
    <x v="7"/>
    <m/>
    <s v="Spejderhus, Sandet 2"/>
    <n v="10202"/>
    <m/>
    <s v="Spejderhus, Sandet 2"/>
    <x v="50"/>
    <x v="0"/>
    <x v="2"/>
    <n v="24.04"/>
    <n v="12"/>
    <s v="2011-12-31"/>
    <n v="0"/>
    <n v="123"/>
    <n v="0.19528799999999999"/>
    <n v="3"/>
    <x v="0"/>
    <n v="24.04"/>
    <n v="19.23"/>
    <n v="0"/>
    <s v="00572/11131958"/>
    <m/>
    <n v="24.038"/>
    <n v="0"/>
    <n v="77351"/>
  </r>
  <r>
    <x v="7"/>
    <m/>
    <s v="Spejderhus, Sandet 2"/>
    <n v="10202"/>
    <m/>
    <s v="Spejderhus, Sandet 2"/>
    <x v="50"/>
    <x v="0"/>
    <x v="3"/>
    <n v="53.27"/>
    <n v="5"/>
    <s v="2011-12-31"/>
    <n v="0"/>
    <n v="123"/>
    <n v="0.43273699999999998"/>
    <n v="3"/>
    <x v="0"/>
    <n v="53.27"/>
    <n v="42.64"/>
    <n v="0"/>
    <s v="00572/11131958"/>
    <m/>
    <n v="53.28078"/>
    <n v="0"/>
    <n v="77351"/>
  </r>
  <r>
    <x v="7"/>
    <m/>
    <s v="Spejderhus, Sandet 2"/>
    <n v="10202"/>
    <m/>
    <s v="Spejderhus, Sandet 2"/>
    <x v="50"/>
    <x v="0"/>
    <x v="4"/>
    <n v="6.98"/>
    <n v="2"/>
    <s v="2011-12-31"/>
    <n v="0"/>
    <n v="123"/>
    <n v="5.6701000000000001E-2"/>
    <n v="3"/>
    <x v="0"/>
    <n v="6.98"/>
    <n v="5.59"/>
    <n v="0"/>
    <s v="00572/11131958"/>
    <m/>
    <n v="6.9807699999999997"/>
    <n v="0"/>
    <n v="77351"/>
  </r>
  <r>
    <x v="7"/>
    <m/>
    <s v="Spejderhus, Sandet 2"/>
    <n v="10202"/>
    <m/>
    <s v="Spejderhus, Sandet 2"/>
    <x v="50"/>
    <x v="0"/>
    <x v="5"/>
    <n v="5.82"/>
    <n v="2"/>
    <s v="2011-12-31"/>
    <n v="0"/>
    <n v="123"/>
    <n v="4.7278000000000001E-2"/>
    <n v="3"/>
    <x v="0"/>
    <n v="5.82"/>
    <n v="4.6500000000000004"/>
    <n v="0"/>
    <s v="00572/11131958"/>
    <m/>
    <n v="5.8125299999999998"/>
    <n v="0"/>
    <n v="77351"/>
  </r>
  <r>
    <x v="7"/>
    <m/>
    <s v="Spejderhus, Sandet 2"/>
    <n v="10202"/>
    <m/>
    <s v="Spejderhus, Sandet 2"/>
    <x v="50"/>
    <x v="0"/>
    <x v="6"/>
    <n v="7.88"/>
    <n v="5"/>
    <s v="2011-12-31"/>
    <n v="0"/>
    <n v="123"/>
    <n v="6.4011999999999999E-2"/>
    <n v="3"/>
    <x v="0"/>
    <n v="7.88"/>
    <n v="6.32"/>
    <n v="0"/>
    <s v="00572/11131958"/>
    <m/>
    <n v="7.8929400000000003"/>
    <n v="0"/>
    <n v="77351"/>
  </r>
  <r>
    <x v="7"/>
    <m/>
    <s v="Ryetvej 17, gl"/>
    <n v="10165"/>
    <m/>
    <s v="Lynghuset gl"/>
    <x v="119"/>
    <x v="0"/>
    <x v="0"/>
    <n v="18531"/>
    <n v="5"/>
    <s v="2011-10-31"/>
    <n v="0"/>
    <n v="168"/>
    <n v="65.455085999999994"/>
    <n v="1"/>
    <x v="1"/>
    <n v="18531"/>
    <n v="704.19"/>
    <n v="0"/>
    <s v="4166242"/>
    <m/>
    <n v="11003"/>
    <n v="0"/>
    <n v="77179"/>
  </r>
  <r>
    <x v="7"/>
    <m/>
    <s v="Ryetvej 17, gl"/>
    <n v="10165"/>
    <m/>
    <s v="Lynghuset gl"/>
    <x v="119"/>
    <x v="0"/>
    <x v="1"/>
    <n v="17799"/>
    <n v="12"/>
    <s v="2011-10-31"/>
    <n v="0"/>
    <n v="168"/>
    <n v="105.883402"/>
    <n v="1"/>
    <x v="1"/>
    <n v="17799"/>
    <n v="1139.1300000000001"/>
    <n v="0"/>
    <s v="4166242"/>
    <m/>
    <n v="17799"/>
    <n v="0"/>
    <n v="77179"/>
  </r>
  <r>
    <x v="7"/>
    <m/>
    <s v="Ryetvej 17, gl"/>
    <n v="10165"/>
    <m/>
    <s v="Lynghuset gl"/>
    <x v="119"/>
    <x v="0"/>
    <x v="2"/>
    <n v="22487"/>
    <n v="12"/>
    <s v="2011-10-31"/>
    <n v="0"/>
    <n v="168"/>
    <n v="133.77156400000001"/>
    <n v="1"/>
    <x v="1"/>
    <n v="22487"/>
    <n v="4160.09"/>
    <n v="0"/>
    <s v="4166242"/>
    <m/>
    <n v="22487"/>
    <n v="0"/>
    <n v="77179"/>
  </r>
  <r>
    <x v="7"/>
    <m/>
    <s v="Ryetvej 17, gl"/>
    <n v="10165"/>
    <m/>
    <s v="Lynghuset gl"/>
    <x v="119"/>
    <x v="0"/>
    <x v="3"/>
    <n v="17844.009999999998"/>
    <n v="8"/>
    <s v="2011-10-31"/>
    <n v="0"/>
    <n v="168"/>
    <n v="106.15116"/>
    <n v="1"/>
    <x v="1"/>
    <n v="17844.009999999998"/>
    <n v="3301.12"/>
    <n v="0"/>
    <s v="4166242"/>
    <m/>
    <n v="17844.018189999999"/>
    <n v="0"/>
    <n v="77179"/>
  </r>
  <r>
    <x v="7"/>
    <m/>
    <s v="Ryetvej 17, gl"/>
    <n v="10165"/>
    <m/>
    <s v="Lynghuset gl"/>
    <x v="119"/>
    <x v="0"/>
    <x v="4"/>
    <n v="2323.0700000000002"/>
    <n v="3"/>
    <s v="2011-10-31"/>
    <n v="0"/>
    <n v="168"/>
    <n v="13.819571"/>
    <n v="1"/>
    <x v="1"/>
    <n v="2323.0700000000002"/>
    <n v="429.75"/>
    <n v="0"/>
    <s v="4166242"/>
    <m/>
    <n v="2323.0721800000001"/>
    <n v="0"/>
    <n v="77179"/>
  </r>
  <r>
    <x v="7"/>
    <m/>
    <s v="Ryetvej 17, gl"/>
    <n v="10165"/>
    <m/>
    <s v="Lynghuset gl"/>
    <x v="119"/>
    <x v="0"/>
    <x v="5"/>
    <n v="13800.9"/>
    <n v="6"/>
    <s v="2011-10-31"/>
    <n v="0"/>
    <n v="168"/>
    <n v="82.099345"/>
    <n v="1"/>
    <x v="1"/>
    <n v="13800.9"/>
    <n v="2553.15"/>
    <n v="0"/>
    <s v="4166242"/>
    <m/>
    <n v="13800.90964"/>
    <n v="0"/>
    <n v="77179"/>
  </r>
  <r>
    <x v="7"/>
    <m/>
    <s v="Ryetvej 17, gl"/>
    <n v="10165"/>
    <m/>
    <s v="Lynghuset gl"/>
    <x v="119"/>
    <x v="0"/>
    <x v="6"/>
    <n v="18175.11"/>
    <n v="5"/>
    <s v="2011-10-31"/>
    <n v="0"/>
    <n v="168"/>
    <n v="108.12081999999999"/>
    <n v="1"/>
    <x v="1"/>
    <n v="18175.11"/>
    <n v="3362.4"/>
    <n v="0"/>
    <s v="4166242"/>
    <m/>
    <n v="18175.10989"/>
    <n v="0"/>
    <n v="77179"/>
  </r>
  <r>
    <x v="7"/>
    <m/>
    <s v="Ryetvej 17, ny"/>
    <n v="10166"/>
    <m/>
    <s v="Lynghuset Børnehus, ny"/>
    <x v="119"/>
    <x v="0"/>
    <x v="0"/>
    <n v="13479"/>
    <n v="5"/>
    <s v="2011-10-31"/>
    <n v="0"/>
    <n v="228"/>
    <n v="26.391933000000002"/>
    <n v="1"/>
    <x v="1"/>
    <n v="16155"/>
    <n v="419.22"/>
    <n v="0"/>
    <s v="4166241"/>
    <m/>
    <n v="6020"/>
    <n v="0"/>
    <n v="77196"/>
  </r>
  <r>
    <x v="7"/>
    <m/>
    <s v="Ryetvej 17, ny"/>
    <n v="10166"/>
    <m/>
    <s v="Lynghuset Børnehus, ny"/>
    <x v="119"/>
    <x v="0"/>
    <x v="1"/>
    <n v="31007"/>
    <n v="12"/>
    <s v="2011-10-31"/>
    <n v="0"/>
    <n v="228"/>
    <n v="135.935992"/>
    <n v="1"/>
    <x v="1"/>
    <n v="32122.16"/>
    <n v="2055.81"/>
    <n v="0"/>
    <s v="4166241"/>
    <m/>
    <n v="31007"/>
    <n v="0"/>
    <n v="77196"/>
  </r>
  <r>
    <x v="7"/>
    <m/>
    <s v="Ryetvej 17, ny"/>
    <n v="10166"/>
    <m/>
    <s v="Lynghuset Børnehus, ny"/>
    <x v="119"/>
    <x v="0"/>
    <x v="2"/>
    <n v="33141"/>
    <n v="12"/>
    <s v="2011-10-31"/>
    <n v="0"/>
    <n v="228"/>
    <n v="145.291538"/>
    <n v="1"/>
    <x v="1"/>
    <n v="34740.18"/>
    <n v="6426.93"/>
    <n v="0"/>
    <s v="4166241"/>
    <m/>
    <n v="33141"/>
    <n v="0"/>
    <n v="77196"/>
  </r>
  <r>
    <x v="7"/>
    <m/>
    <s v="Ryetvej 17, ny"/>
    <n v="10166"/>
    <m/>
    <s v="Lynghuset Børnehus, ny"/>
    <x v="119"/>
    <x v="0"/>
    <x v="3"/>
    <n v="20681"/>
    <n v="9"/>
    <s v="2011-10-31"/>
    <n v="0"/>
    <n v="228"/>
    <n v="90.666374000000005"/>
    <n v="1"/>
    <x v="1"/>
    <n v="24409.75"/>
    <n v="4515.8100000000004"/>
    <n v="0"/>
    <s v="4166241"/>
    <m/>
    <n v="20680.99999"/>
    <n v="0"/>
    <n v="77196"/>
  </r>
  <r>
    <x v="7"/>
    <m/>
    <s v="Ryetvej 17, ny"/>
    <n v="10166"/>
    <m/>
    <s v="Lynghuset Børnehus, ny"/>
    <x v="119"/>
    <x v="0"/>
    <x v="4"/>
    <n v="19397.63"/>
    <n v="3"/>
    <s v="2011-10-31"/>
    <n v="0"/>
    <n v="228"/>
    <n v="85.040025999999997"/>
    <n v="1"/>
    <x v="1"/>
    <n v="25188.04"/>
    <n v="4659.78"/>
    <n v="0"/>
    <s v="4166241"/>
    <m/>
    <n v="19397.626509999998"/>
    <n v="0"/>
    <n v="77196"/>
  </r>
  <r>
    <x v="7"/>
    <m/>
    <s v="Ryetvej 17, ny"/>
    <n v="10166"/>
    <m/>
    <s v="Lynghuset Børnehus, ny"/>
    <x v="119"/>
    <x v="0"/>
    <x v="5"/>
    <n v="23293.16"/>
    <n v="6"/>
    <s v="2011-10-31"/>
    <n v="0"/>
    <n v="228"/>
    <n v="102.11819300000001"/>
    <n v="1"/>
    <x v="1"/>
    <n v="26103.87"/>
    <n v="4829.2"/>
    <n v="0"/>
    <s v="4166241"/>
    <m/>
    <n v="23293.179069999998"/>
    <n v="0"/>
    <n v="77196"/>
  </r>
  <r>
    <x v="7"/>
    <m/>
    <s v="Ryetvej 17, ny"/>
    <n v="10166"/>
    <m/>
    <s v="Lynghuset Børnehus, ny"/>
    <x v="119"/>
    <x v="0"/>
    <x v="6"/>
    <n v="21858.07"/>
    <n v="6"/>
    <s v="2011-10-31"/>
    <n v="0"/>
    <n v="228"/>
    <n v="95.826697999999993"/>
    <n v="1"/>
    <x v="1"/>
    <n v="24835.61"/>
    <n v="4594.59"/>
    <n v="0"/>
    <s v="4166241"/>
    <m/>
    <n v="21858.062569999998"/>
    <n v="0"/>
    <n v="77196"/>
  </r>
  <r>
    <x v="7"/>
    <m/>
    <s v="Spejderhus, Sandet 2"/>
    <n v="10202"/>
    <m/>
    <s v="Spejderhus, Sandet 2"/>
    <x v="50"/>
    <x v="0"/>
    <x v="0"/>
    <n v="9312"/>
    <n v="5"/>
    <s v="2013-05-07"/>
    <n v="0"/>
    <n v="123"/>
    <n v="46.302273999999997"/>
    <n v="1"/>
    <x v="4"/>
    <n v="10841"/>
    <n v="1371.99"/>
    <n v="0"/>
    <s v="02186"/>
    <s v="98003449000"/>
    <n v="527.76"/>
    <n v="0"/>
    <n v="77352"/>
  </r>
  <r>
    <x v="7"/>
    <m/>
    <s v="Spejderhus, Sandet 2"/>
    <n v="10202"/>
    <m/>
    <s v="Spejderhus, Sandet 2"/>
    <x v="50"/>
    <x v="0"/>
    <x v="1"/>
    <n v="22827.66"/>
    <n v="13"/>
    <s v="2013-05-07"/>
    <n v="0"/>
    <n v="123"/>
    <n v="185.439967"/>
    <n v="1"/>
    <x v="4"/>
    <n v="23840.52"/>
    <n v="5041.82"/>
    <n v="0"/>
    <s v="02186"/>
    <s v="98003449000"/>
    <n v="2113.6725200000001"/>
    <n v="0"/>
    <n v="77352"/>
  </r>
  <r>
    <x v="7"/>
    <m/>
    <s v="Spejderhus, Sandet 2"/>
    <n v="10202"/>
    <m/>
    <s v="Spejderhus, Sandet 2"/>
    <x v="50"/>
    <x v="0"/>
    <x v="2"/>
    <n v="35299.360000000001"/>
    <n v="12"/>
    <s v="2013-05-07"/>
    <n v="0"/>
    <n v="123"/>
    <n v="286.753533"/>
    <n v="1"/>
    <x v="4"/>
    <n v="38336.29"/>
    <n v="8107.42"/>
    <n v="0"/>
    <s v="02186"/>
    <s v="98003449000"/>
    <n v="3268.4582999999998"/>
    <n v="0"/>
    <n v="77352"/>
  </r>
  <r>
    <x v="7"/>
    <m/>
    <s v="Spejderhus, Sandet 2"/>
    <n v="10202"/>
    <m/>
    <s v="Spejderhus, Sandet 2"/>
    <x v="50"/>
    <x v="0"/>
    <x v="3"/>
    <n v="40495.67"/>
    <n v="12"/>
    <s v="2013-05-07"/>
    <n v="0"/>
    <n v="123"/>
    <n v="328.96563700000002"/>
    <n v="1"/>
    <x v="4"/>
    <n v="47304.92"/>
    <n v="10004.120000000001"/>
    <n v="0"/>
    <s v="02186"/>
    <s v="98003449000"/>
    <n v="3749.5999900000002"/>
    <n v="0"/>
    <n v="77352"/>
  </r>
  <r>
    <x v="7"/>
    <m/>
    <s v="Spejderhus, Sandet 2"/>
    <n v="10202"/>
    <m/>
    <s v="Spejderhus, Sandet 2"/>
    <x v="50"/>
    <x v="0"/>
    <x v="4"/>
    <n v="28178.29"/>
    <n v="8"/>
    <s v="2013-05-07"/>
    <n v="0"/>
    <n v="123"/>
    <n v="228.905686"/>
    <n v="1"/>
    <x v="4"/>
    <n v="25711.16"/>
    <n v="5437.42"/>
    <n v="0"/>
    <s v="02186"/>
    <s v="98003449000"/>
    <n v="2609.10068"/>
    <n v="0"/>
    <n v="77352"/>
  </r>
  <r>
    <x v="7"/>
    <m/>
    <s v="Spejderhus, Sandet 2"/>
    <n v="10202"/>
    <m/>
    <s v="Spejderhus, Sandet 2"/>
    <x v="50"/>
    <x v="0"/>
    <x v="5"/>
    <n v="20966.11"/>
    <n v="2"/>
    <s v="2013-05-07"/>
    <n v="0"/>
    <n v="123"/>
    <n v="170.31770900000001"/>
    <n v="1"/>
    <x v="4"/>
    <n v="28238.59"/>
    <n v="5971.92"/>
    <n v="0"/>
    <s v="02186"/>
    <s v="98003449000"/>
    <n v="1941.30882"/>
    <n v="0"/>
    <n v="77352"/>
  </r>
  <r>
    <x v="7"/>
    <m/>
    <s v="Spejderhus, Sandet 2"/>
    <n v="10202"/>
    <m/>
    <s v="Spejderhus, Sandet 2"/>
    <x v="50"/>
    <x v="0"/>
    <x v="6"/>
    <n v="17385.55"/>
    <n v="5"/>
    <s v="2013-05-07"/>
    <n v="0"/>
    <n v="123"/>
    <n v="141.231112"/>
    <n v="1"/>
    <x v="4"/>
    <n v="19971.91"/>
    <n v="4223.68"/>
    <n v="0"/>
    <s v="02186"/>
    <s v="98003449000"/>
    <n v="1609.7724900000001"/>
    <n v="0"/>
    <n v="77352"/>
  </r>
  <r>
    <x v="7"/>
    <m/>
    <s v="Ryetvej 17, gl"/>
    <n v="10165"/>
    <m/>
    <s v="Lynghuset gl"/>
    <x v="119"/>
    <x v="0"/>
    <x v="7"/>
    <n v="117.61"/>
    <n v="12"/>
    <s v="2012-05-31"/>
    <n v="0"/>
    <n v="168"/>
    <n v="0.69964300000000001"/>
    <n v="3"/>
    <x v="0"/>
    <n v="117.61"/>
    <n v="94.06"/>
    <n v="0"/>
    <s v="11159195"/>
    <m/>
    <n v="117.583"/>
    <n v="0"/>
    <n v="77158"/>
  </r>
  <r>
    <x v="7"/>
    <m/>
    <s v="Ryetvej 17, gl"/>
    <n v="10165"/>
    <m/>
    <s v="Lynghuset gl"/>
    <x v="119"/>
    <x v="0"/>
    <x v="7"/>
    <n v="12914"/>
    <n v="12"/>
    <s v="2011-10-31"/>
    <n v="0"/>
    <n v="168"/>
    <n v="76.823318999999998"/>
    <n v="1"/>
    <x v="1"/>
    <n v="12914"/>
    <n v="826.51"/>
    <n v="0"/>
    <s v="4166242"/>
    <m/>
    <n v="12914"/>
    <n v="0"/>
    <n v="77179"/>
  </r>
  <r>
    <x v="7"/>
    <m/>
    <s v="Ryetvej 17, gl"/>
    <n v="10165"/>
    <m/>
    <s v="Lynghuset gl"/>
    <x v="119"/>
    <x v="0"/>
    <x v="7"/>
    <n v="8003.22"/>
    <n v="12"/>
    <s v="2010-07-31"/>
    <n v="0"/>
    <n v="168"/>
    <n v="47.609875000000002"/>
    <n v="2"/>
    <x v="2"/>
    <n v="8003.22"/>
    <n v="2400.9699999999998"/>
    <n v="0"/>
    <s v="735127-36317"/>
    <m/>
    <n v="8003.2303599999996"/>
    <n v="0"/>
    <n v="77157"/>
  </r>
  <r>
    <x v="7"/>
    <m/>
    <s v="Ryetvej 17, ny"/>
    <n v="10166"/>
    <m/>
    <s v="Lynghuset Børnehus, ny"/>
    <x v="119"/>
    <x v="0"/>
    <x v="7"/>
    <n v="28.3"/>
    <n v="12"/>
    <s v="2011-10-31"/>
    <n v="0"/>
    <n v="228"/>
    <n v="0.124068"/>
    <n v="3"/>
    <x v="0"/>
    <n v="28.3"/>
    <n v="22.64"/>
    <n v="0"/>
    <s v="40460"/>
    <m/>
    <n v="28.3"/>
    <n v="0"/>
    <n v="77161"/>
  </r>
  <r>
    <x v="7"/>
    <m/>
    <s v="Ryetvej 17, ny"/>
    <n v="10166"/>
    <m/>
    <s v="Lynghuset Børnehus, ny"/>
    <x v="119"/>
    <x v="0"/>
    <x v="7"/>
    <n v="17102"/>
    <n v="12"/>
    <s v="2011-10-31"/>
    <n v="0"/>
    <n v="228"/>
    <n v="74.975887"/>
    <n v="1"/>
    <x v="1"/>
    <n v="21158.99"/>
    <n v="1354.16"/>
    <n v="0"/>
    <s v="4166241"/>
    <m/>
    <n v="17102"/>
    <n v="0"/>
    <n v="77196"/>
  </r>
  <r>
    <x v="7"/>
    <m/>
    <s v="Ryetvej 17, ny"/>
    <n v="10166"/>
    <m/>
    <s v="Lynghuset Børnehus, ny"/>
    <x v="119"/>
    <x v="0"/>
    <x v="7"/>
    <n v="7935.25"/>
    <n v="11"/>
    <s v="2010-07-31"/>
    <n v="0"/>
    <n v="228"/>
    <n v="34.788468999999999"/>
    <n v="2"/>
    <x v="2"/>
    <n v="7935.25"/>
    <n v="2380.56"/>
    <n v="0"/>
    <s v="1096149-3807"/>
    <m/>
    <n v="7935.26"/>
    <n v="0"/>
    <n v="77160"/>
  </r>
  <r>
    <x v="7"/>
    <m/>
    <s v="Spejderhus Søvej 18"/>
    <n v="10170"/>
    <m/>
    <s v="Spejderhus Søvej 18"/>
    <x v="120"/>
    <x v="0"/>
    <x v="7"/>
    <n v="16.899999999999999"/>
    <n v="12"/>
    <s v="2011-08-31"/>
    <n v="0"/>
    <n v="247"/>
    <n v="6.8392999999999995E-2"/>
    <n v="3"/>
    <x v="0"/>
    <n v="16.899999999999999"/>
    <n v="13.52"/>
    <n v="0"/>
    <s v="40910"/>
    <m/>
    <n v="16.899999999999999"/>
    <n v="0"/>
    <n v="77184"/>
  </r>
  <r>
    <x v="7"/>
    <m/>
    <s v="Spejderhus Søvej 18"/>
    <n v="10170"/>
    <m/>
    <s v="Spejderhus Søvej 18"/>
    <x v="120"/>
    <x v="0"/>
    <x v="7"/>
    <n v="14525.01"/>
    <n v="12"/>
    <s v="2010-07-31"/>
    <n v="0"/>
    <n v="247"/>
    <n v="58.781910000000003"/>
    <n v="2"/>
    <x v="2"/>
    <n v="14525.01"/>
    <n v="4357.51"/>
    <n v="0"/>
    <s v="4059892"/>
    <s v="74110497688"/>
    <n v="14525.009"/>
    <n v="0"/>
    <n v="77183"/>
  </r>
  <r>
    <x v="6"/>
    <s v="02576-3"/>
    <s v="Solvangskolen, Nord 58"/>
    <n v="5474"/>
    <m/>
    <s v="Solvangskolen"/>
    <x v="52"/>
    <x v="0"/>
    <x v="7"/>
    <n v="1265122.8"/>
    <n v="12"/>
    <m/>
    <n v="0"/>
    <n v="10600"/>
    <n v="119.350081"/>
    <n v="1"/>
    <x v="4"/>
    <n v="1542223.23"/>
    <n v="326151.65000000002"/>
    <n v="0"/>
    <s v="6101943"/>
    <s v="980001304444"/>
    <n v="117141"/>
    <n v="0"/>
    <n v="57912"/>
  </r>
  <r>
    <x v="7"/>
    <m/>
    <s v="Spejderhus, Sandet 2"/>
    <n v="10202"/>
    <m/>
    <s v="Spejderhus, Sandet 2"/>
    <x v="50"/>
    <x v="0"/>
    <x v="7"/>
    <n v="6.94"/>
    <n v="12"/>
    <s v="2011-12-31"/>
    <n v="0"/>
    <n v="123"/>
    <n v="5.6376000000000002E-2"/>
    <n v="3"/>
    <x v="0"/>
    <n v="6.94"/>
    <n v="5.55"/>
    <n v="0"/>
    <s v="00572/11131958"/>
    <m/>
    <n v="6.9450000000000003"/>
    <n v="0"/>
    <n v="77351"/>
  </r>
  <r>
    <x v="7"/>
    <m/>
    <s v="Spejderhus, Sandet 2"/>
    <n v="10202"/>
    <m/>
    <s v="Spejderhus, Sandet 2"/>
    <x v="50"/>
    <x v="0"/>
    <x v="7"/>
    <n v="1665.01"/>
    <n v="12"/>
    <s v="2010-07-31"/>
    <n v="0"/>
    <n v="123"/>
    <n v="13.52567"/>
    <n v="2"/>
    <x v="2"/>
    <n v="1665.01"/>
    <n v="499.5"/>
    <n v="0"/>
    <s v="335935"/>
    <s v="74114251200"/>
    <n v="1664.9929999999999"/>
    <n v="0"/>
    <n v="77350"/>
  </r>
  <r>
    <x v="7"/>
    <s v="10907"/>
    <s v="Spejderhytte Røde Orm, STA49B"/>
    <n v="13663"/>
    <s v="0"/>
    <s v="Spejderhytte Røde Orm"/>
    <x v="121"/>
    <x v="0"/>
    <x v="0"/>
    <n v="4413"/>
    <n v="4"/>
    <m/>
    <n v="0"/>
    <n v="74"/>
    <n v="0"/>
    <n v="2"/>
    <x v="2"/>
    <n v="0"/>
    <n v="0"/>
    <n v="0"/>
    <s v="58979"/>
    <s v="74112381589"/>
    <n v="0"/>
    <n v="0"/>
    <n v="91253"/>
  </r>
  <r>
    <x v="7"/>
    <s v="10907"/>
    <s v="Spejderhytte Røde Orm, STA49B"/>
    <n v="13663"/>
    <s v="0"/>
    <s v="Spejderhytte Røde Orm"/>
    <x v="121"/>
    <x v="0"/>
    <x v="7"/>
    <n v="948.03"/>
    <n v="4"/>
    <s v="2014-11-10"/>
    <n v="0"/>
    <n v="74"/>
    <n v="12.793927"/>
    <n v="2"/>
    <x v="2"/>
    <n v="948.03"/>
    <n v="284.39999999999998"/>
    <n v="0"/>
    <s v="58979"/>
    <s v="74112381589"/>
    <n v="948.03615000000002"/>
    <n v="0"/>
    <n v="91253"/>
  </r>
  <r>
    <x v="7"/>
    <m/>
    <s v="Ryetvej 17, gl"/>
    <n v="10165"/>
    <m/>
    <s v="Lynghuset gl"/>
    <x v="119"/>
    <x v="0"/>
    <x v="0"/>
    <n v="1748"/>
    <n v="5"/>
    <s v="2010-07-31"/>
    <n v="0"/>
    <n v="168"/>
    <n v="3.7161209999999998"/>
    <n v="2"/>
    <x v="2"/>
    <n v="624.67999999999995"/>
    <n v="187.4"/>
    <n v="0"/>
    <s v="735127-36317"/>
    <m/>
    <n v="624.68002999999999"/>
    <n v="0"/>
    <n v="77157"/>
  </r>
  <r>
    <x v="7"/>
    <m/>
    <s v="Ryetvej 17, gl"/>
    <n v="10165"/>
    <m/>
    <s v="Lynghuset gl"/>
    <x v="119"/>
    <x v="0"/>
    <x v="1"/>
    <n v="10504.58"/>
    <n v="12"/>
    <s v="2010-07-31"/>
    <n v="0"/>
    <n v="168"/>
    <n v="62.490065000000001"/>
    <n v="2"/>
    <x v="2"/>
    <n v="10504.58"/>
    <n v="3151.37"/>
    <n v="0"/>
    <s v="735127-36317"/>
    <m/>
    <n v="10504.586799999999"/>
    <n v="0"/>
    <n v="77157"/>
  </r>
  <r>
    <x v="7"/>
    <m/>
    <s v="Ryetvej 17, gl"/>
    <n v="10165"/>
    <m/>
    <s v="Lynghuset gl"/>
    <x v="119"/>
    <x v="0"/>
    <x v="2"/>
    <n v="13356.28"/>
    <n v="12"/>
    <s v="2010-07-31"/>
    <n v="0"/>
    <n v="168"/>
    <n v="79.454372000000006"/>
    <n v="2"/>
    <x v="2"/>
    <n v="13356.28"/>
    <n v="5342.5"/>
    <n v="0"/>
    <s v="735127-36317"/>
    <m/>
    <n v="13356.270500000001"/>
    <n v="0"/>
    <n v="77157"/>
  </r>
  <r>
    <x v="7"/>
    <m/>
    <s v="Ryetvej 17, gl"/>
    <n v="10165"/>
    <m/>
    <s v="Lynghuset gl"/>
    <x v="119"/>
    <x v="0"/>
    <x v="3"/>
    <n v="4128"/>
    <n v="12"/>
    <s v="2010-07-31"/>
    <n v="0"/>
    <n v="168"/>
    <n v="24.556811"/>
    <n v="2"/>
    <x v="2"/>
    <n v="4128"/>
    <n v="1936.04"/>
    <n v="0"/>
    <s v="735127-36317"/>
    <m/>
    <n v="4128.0065599999998"/>
    <n v="0"/>
    <n v="77157"/>
  </r>
  <r>
    <x v="7"/>
    <m/>
    <s v="Ryetvej 17, gl"/>
    <n v="10165"/>
    <m/>
    <s v="Lynghuset gl"/>
    <x v="119"/>
    <x v="0"/>
    <x v="4"/>
    <n v="1026.9000000000001"/>
    <n v="8"/>
    <s v="2010-07-31"/>
    <n v="0"/>
    <n v="168"/>
    <n v="6.1088630000000004"/>
    <n v="2"/>
    <x v="2"/>
    <n v="1026.9000000000001"/>
    <n v="481.62"/>
    <n v="0"/>
    <s v="735127-36317"/>
    <m/>
    <n v="1026.9001900000001"/>
    <n v="0"/>
    <n v="77157"/>
  </r>
  <r>
    <x v="7"/>
    <m/>
    <s v="Ryetvej 17, gl"/>
    <n v="10165"/>
    <m/>
    <s v="Lynghuset gl"/>
    <x v="119"/>
    <x v="0"/>
    <x v="5"/>
    <n v="5745.49"/>
    <n v="6"/>
    <s v="2010-07-31"/>
    <n v="0"/>
    <n v="168"/>
    <n v="34.179000000000002"/>
    <n v="2"/>
    <x v="2"/>
    <n v="5745.49"/>
    <n v="2694.63"/>
    <n v="0"/>
    <s v="735127-36317"/>
    <m/>
    <n v="5745.4775799999998"/>
    <n v="0"/>
    <n v="77157"/>
  </r>
  <r>
    <x v="7"/>
    <m/>
    <s v="Ryetvej 17, gl"/>
    <n v="10165"/>
    <m/>
    <s v="Lynghuset gl"/>
    <x v="119"/>
    <x v="0"/>
    <x v="6"/>
    <n v="9190.75"/>
    <n v="6"/>
    <s v="2010-07-31"/>
    <n v="0"/>
    <n v="168"/>
    <n v="54.674301"/>
    <n v="2"/>
    <x v="2"/>
    <n v="9190.75"/>
    <n v="4310.47"/>
    <n v="0"/>
    <s v="735127-36317"/>
    <m/>
    <n v="9190.75612"/>
    <n v="0"/>
    <n v="77157"/>
  </r>
  <r>
    <x v="7"/>
    <m/>
    <s v="Ryetvej 17, ny"/>
    <n v="10166"/>
    <m/>
    <s v="Lynghuset Børnehus, ny"/>
    <x v="119"/>
    <x v="0"/>
    <x v="0"/>
    <n v="6402"/>
    <n v="4"/>
    <s v="2010-07-31"/>
    <n v="0"/>
    <n v="228"/>
    <n v="25.487461"/>
    <n v="2"/>
    <x v="2"/>
    <n v="5813.69"/>
    <n v="1744.12"/>
    <n v="0"/>
    <s v="1096149-3807"/>
    <m/>
    <n v="5813.6949999999997"/>
    <n v="0"/>
    <n v="77160"/>
  </r>
  <r>
    <x v="7"/>
    <m/>
    <s v="Ryetvej 17, ny"/>
    <n v="10166"/>
    <m/>
    <s v="Lynghuset Børnehus, ny"/>
    <x v="119"/>
    <x v="0"/>
    <x v="1"/>
    <n v="4160.1899999999996"/>
    <n v="12"/>
    <s v="2010-07-31"/>
    <n v="0"/>
    <n v="228"/>
    <n v="18.238448000000002"/>
    <n v="2"/>
    <x v="2"/>
    <n v="4160.1899999999996"/>
    <n v="1248.07"/>
    <n v="0"/>
    <s v="1096149-3807"/>
    <m/>
    <n v="4160.1949999999997"/>
    <n v="0"/>
    <n v="77160"/>
  </r>
  <r>
    <x v="7"/>
    <m/>
    <s v="Ryetvej 17, ny"/>
    <n v="10166"/>
    <m/>
    <s v="Lynghuset Børnehus, ny"/>
    <x v="119"/>
    <x v="0"/>
    <x v="2"/>
    <n v="3164.27"/>
    <n v="12"/>
    <s v="2010-07-31"/>
    <n v="0"/>
    <n v="228"/>
    <n v="13.872292"/>
    <n v="2"/>
    <x v="2"/>
    <n v="3164.27"/>
    <n v="1265.7"/>
    <n v="0"/>
    <s v="1096149-3807"/>
    <m/>
    <n v="3164.2739999999999"/>
    <n v="0"/>
    <n v="77160"/>
  </r>
  <r>
    <x v="7"/>
    <m/>
    <s v="Ryetvej 17, ny"/>
    <n v="10166"/>
    <m/>
    <s v="Lynghuset Børnehus, ny"/>
    <x v="119"/>
    <x v="0"/>
    <x v="3"/>
    <n v="2034.61"/>
    <n v="12"/>
    <s v="2010-07-31"/>
    <n v="0"/>
    <n v="228"/>
    <n v="8.9198149999999998"/>
    <n v="2"/>
    <x v="2"/>
    <n v="2034.61"/>
    <n v="954.23"/>
    <n v="0"/>
    <s v="1096149-3807"/>
    <m/>
    <n v="2034.604"/>
    <n v="0"/>
    <n v="77160"/>
  </r>
  <r>
    <x v="7"/>
    <m/>
    <s v="Ryetvej 17, ny"/>
    <n v="10166"/>
    <m/>
    <s v="Lynghuset Børnehus, ny"/>
    <x v="119"/>
    <x v="0"/>
    <x v="4"/>
    <n v="1200.08"/>
    <n v="7"/>
    <s v="2010-07-31"/>
    <n v="0"/>
    <n v="228"/>
    <n v="5.2612009999999998"/>
    <n v="2"/>
    <x v="2"/>
    <n v="1200.08"/>
    <n v="562.83000000000004"/>
    <n v="0"/>
    <s v="1096149-3807"/>
    <m/>
    <n v="1200.0851299999999"/>
    <n v="0"/>
    <n v="77160"/>
  </r>
  <r>
    <x v="7"/>
    <m/>
    <s v="Ryetvej 17, ny"/>
    <n v="10166"/>
    <m/>
    <s v="Lynghuset Børnehus, ny"/>
    <x v="119"/>
    <x v="0"/>
    <x v="5"/>
    <n v="2390.1799999999998"/>
    <n v="5"/>
    <s v="2010-07-31"/>
    <n v="0"/>
    <n v="228"/>
    <n v="10.478649000000001"/>
    <n v="2"/>
    <x v="2"/>
    <n v="2390.1799999999998"/>
    <n v="1120.98"/>
    <n v="0"/>
    <s v="1096149-3807"/>
    <m/>
    <n v="2390.1671099999999"/>
    <n v="0"/>
    <n v="77160"/>
  </r>
  <r>
    <x v="7"/>
    <m/>
    <s v="Ryetvej 17, ny"/>
    <n v="10166"/>
    <m/>
    <s v="Lynghuset Børnehus, ny"/>
    <x v="119"/>
    <x v="0"/>
    <x v="6"/>
    <n v="3617.26"/>
    <n v="6"/>
    <s v="2010-07-31"/>
    <n v="0"/>
    <n v="228"/>
    <n v="15.858219999999999"/>
    <n v="2"/>
    <x v="2"/>
    <n v="3617.26"/>
    <n v="1696.51"/>
    <n v="0"/>
    <s v="1096149-3807"/>
    <m/>
    <n v="3617.2612800000002"/>
    <n v="0"/>
    <n v="77160"/>
  </r>
  <r>
    <x v="7"/>
    <m/>
    <s v="Spejderhus Søvej 18"/>
    <n v="10170"/>
    <m/>
    <s v="Spejderhus Søvej 18"/>
    <x v="120"/>
    <x v="0"/>
    <x v="0"/>
    <n v="15705"/>
    <n v="5"/>
    <s v="2010-07-31"/>
    <n v="0"/>
    <n v="247"/>
    <n v="41.794212000000002"/>
    <n v="2"/>
    <x v="2"/>
    <n v="10327.35"/>
    <n v="3098.21"/>
    <n v="0"/>
    <s v="4059892"/>
    <s v="74110497688"/>
    <n v="10327.356"/>
    <n v="0"/>
    <n v="77183"/>
  </r>
  <r>
    <x v="7"/>
    <m/>
    <s v="Spejderhus Søvej 18"/>
    <n v="10170"/>
    <m/>
    <s v="Spejderhus Søvej 18"/>
    <x v="120"/>
    <x v="0"/>
    <x v="1"/>
    <n v="15998.19"/>
    <n v="12"/>
    <s v="2010-07-31"/>
    <n v="0"/>
    <n v="247"/>
    <n v="64.743786999999998"/>
    <n v="2"/>
    <x v="2"/>
    <n v="15998.19"/>
    <n v="4799.45"/>
    <n v="0"/>
    <s v="4059892"/>
    <s v="74110497688"/>
    <n v="15998.174000000001"/>
    <n v="0"/>
    <n v="77183"/>
  </r>
  <r>
    <x v="7"/>
    <m/>
    <s v="Spejderhus Søvej 18"/>
    <n v="10170"/>
    <m/>
    <s v="Spejderhus Søvej 18"/>
    <x v="120"/>
    <x v="0"/>
    <x v="2"/>
    <n v="13306.81"/>
    <n v="12"/>
    <s v="2010-07-31"/>
    <n v="0"/>
    <n v="247"/>
    <n v="53.851922000000002"/>
    <n v="2"/>
    <x v="2"/>
    <n v="13306.81"/>
    <n v="5322.72"/>
    <n v="0"/>
    <s v="4059892"/>
    <s v="74110497688"/>
    <n v="13306.8051"/>
    <n v="0"/>
    <n v="77183"/>
  </r>
  <r>
    <x v="7"/>
    <m/>
    <s v="Spejderhus Søvej 18"/>
    <n v="10170"/>
    <m/>
    <s v="Spejderhus Søvej 18"/>
    <x v="120"/>
    <x v="0"/>
    <x v="3"/>
    <n v="16760.68"/>
    <n v="12"/>
    <s v="2010-07-31"/>
    <n v="0"/>
    <n v="247"/>
    <n v="67.829542000000004"/>
    <n v="2"/>
    <x v="2"/>
    <n v="16760.68"/>
    <n v="7860.75"/>
    <n v="0"/>
    <s v="4059892"/>
    <s v="74110497688"/>
    <n v="16760.691999999999"/>
    <n v="0"/>
    <n v="77183"/>
  </r>
  <r>
    <x v="7"/>
    <m/>
    <s v="Spejderhus Søvej 18"/>
    <n v="10170"/>
    <m/>
    <s v="Spejderhus Søvej 18"/>
    <x v="120"/>
    <x v="0"/>
    <x v="4"/>
    <n v="21589.57"/>
    <n v="8"/>
    <s v="2010-07-31"/>
    <n v="0"/>
    <n v="247"/>
    <n v="87.371791999999999"/>
    <n v="2"/>
    <x v="2"/>
    <n v="21589.57"/>
    <n v="10125.5"/>
    <n v="0"/>
    <s v="4059892"/>
    <s v="74110497688"/>
    <n v="21589.57115"/>
    <n v="0"/>
    <n v="77183"/>
  </r>
  <r>
    <x v="7"/>
    <m/>
    <s v="Spejderhus Søvej 18"/>
    <n v="10170"/>
    <m/>
    <s v="Spejderhus Søvej 18"/>
    <x v="120"/>
    <x v="0"/>
    <x v="5"/>
    <n v="24180.55"/>
    <n v="3"/>
    <s v="2010-07-31"/>
    <n v="0"/>
    <n v="247"/>
    <n v="97.857344999999995"/>
    <n v="2"/>
    <x v="2"/>
    <n v="24180.55"/>
    <n v="11340.66"/>
    <n v="0"/>
    <s v="4059892"/>
    <s v="74110497688"/>
    <n v="24180.542880000001"/>
    <n v="0"/>
    <n v="77183"/>
  </r>
  <r>
    <x v="7"/>
    <m/>
    <s v="Spejderhus Søvej 18"/>
    <n v="10170"/>
    <m/>
    <s v="Spejderhus Søvej 18"/>
    <x v="120"/>
    <x v="0"/>
    <x v="6"/>
    <n v="21214.46"/>
    <n v="6"/>
    <s v="2010-07-31"/>
    <n v="0"/>
    <n v="247"/>
    <n v="85.853742999999994"/>
    <n v="2"/>
    <x v="2"/>
    <n v="21214.46"/>
    <n v="9949.6"/>
    <n v="0"/>
    <s v="4059892"/>
    <s v="74110497688"/>
    <n v="21214.466039999999"/>
    <n v="0"/>
    <n v="77183"/>
  </r>
  <r>
    <x v="7"/>
    <m/>
    <s v="Spejderhus, Sandet 2"/>
    <n v="10202"/>
    <m/>
    <s v="Spejderhus, Sandet 2"/>
    <x v="50"/>
    <x v="0"/>
    <x v="0"/>
    <n v="1805"/>
    <n v="5"/>
    <s v="2010-07-31"/>
    <n v="0"/>
    <n v="123"/>
    <n v="9.1223390000000002"/>
    <n v="2"/>
    <x v="2"/>
    <n v="1122.96"/>
    <n v="336.9"/>
    <n v="0"/>
    <s v="335935"/>
    <s v="74114251200"/>
    <n v="1122.9670000000001"/>
    <n v="0"/>
    <n v="77350"/>
  </r>
  <r>
    <x v="7"/>
    <m/>
    <s v="Spejderhus, Sandet 2"/>
    <n v="10202"/>
    <m/>
    <s v="Spejderhus, Sandet 2"/>
    <x v="50"/>
    <x v="0"/>
    <x v="1"/>
    <n v="2835.17"/>
    <n v="12"/>
    <s v="2010-07-31"/>
    <n v="0"/>
    <n v="123"/>
    <n v="23.031437"/>
    <n v="2"/>
    <x v="2"/>
    <n v="2835.17"/>
    <n v="850.56"/>
    <n v="0"/>
    <s v="335935"/>
    <s v="74114251200"/>
    <n v="2835.1729999999998"/>
    <n v="0"/>
    <n v="77350"/>
  </r>
  <r>
    <x v="7"/>
    <m/>
    <s v="Spejderhus, Sandet 2"/>
    <n v="10202"/>
    <m/>
    <s v="Spejderhus, Sandet 2"/>
    <x v="50"/>
    <x v="0"/>
    <x v="2"/>
    <n v="2082.44"/>
    <n v="12"/>
    <s v="2010-07-31"/>
    <n v="0"/>
    <n v="123"/>
    <n v="16.916653"/>
    <n v="2"/>
    <x v="2"/>
    <n v="2082.44"/>
    <n v="832.97"/>
    <n v="0"/>
    <s v="335935"/>
    <s v="74114251200"/>
    <n v="2082.4279999999999"/>
    <n v="0"/>
    <n v="77350"/>
  </r>
  <r>
    <x v="7"/>
    <m/>
    <s v="Spejderhus, Sandet 2"/>
    <n v="10202"/>
    <m/>
    <s v="Spejderhus, Sandet 2"/>
    <x v="50"/>
    <x v="0"/>
    <x v="3"/>
    <n v="1890.7"/>
    <n v="12"/>
    <s v="2010-07-31"/>
    <n v="0"/>
    <n v="123"/>
    <n v="15.359057"/>
    <n v="2"/>
    <x v="2"/>
    <n v="1890.7"/>
    <n v="886.75"/>
    <n v="0"/>
    <s v="335935"/>
    <s v="74114251200"/>
    <n v="1890.7149999999999"/>
    <n v="0"/>
    <n v="77350"/>
  </r>
  <r>
    <x v="7"/>
    <m/>
    <s v="Spejderhus, Sandet 2"/>
    <n v="10202"/>
    <m/>
    <s v="Spejderhus, Sandet 2"/>
    <x v="50"/>
    <x v="0"/>
    <x v="4"/>
    <n v="2110.15"/>
    <n v="8"/>
    <s v="2010-07-31"/>
    <n v="0"/>
    <n v="123"/>
    <n v="17.141753999999999"/>
    <n v="2"/>
    <x v="2"/>
    <n v="2110.15"/>
    <n v="989.66"/>
    <n v="0"/>
    <s v="335935"/>
    <s v="74114251200"/>
    <n v="2110.1451499999998"/>
    <n v="0"/>
    <n v="77350"/>
  </r>
  <r>
    <x v="7"/>
    <m/>
    <s v="Spejderhus, Sandet 2"/>
    <n v="10202"/>
    <m/>
    <s v="Spejderhus, Sandet 2"/>
    <x v="50"/>
    <x v="0"/>
    <x v="5"/>
    <n v="2154.9"/>
    <n v="2"/>
    <s v="2010-07-31"/>
    <n v="0"/>
    <n v="123"/>
    <n v="17.505279999999999"/>
    <n v="2"/>
    <x v="2"/>
    <n v="2154.9"/>
    <n v="1010.66"/>
    <n v="0"/>
    <s v="335935"/>
    <s v="74114251200"/>
    <n v="2154.8693699999999"/>
    <n v="0"/>
    <n v="77350"/>
  </r>
  <r>
    <x v="7"/>
    <m/>
    <s v="Spejderhus, Sandet 2"/>
    <n v="10202"/>
    <m/>
    <s v="Spejderhus, Sandet 2"/>
    <x v="50"/>
    <x v="0"/>
    <x v="6"/>
    <n v="1482"/>
    <n v="7"/>
    <s v="2010-07-31"/>
    <n v="0"/>
    <n v="123"/>
    <n v="12.038992"/>
    <n v="2"/>
    <x v="2"/>
    <n v="1482"/>
    <n v="695.04"/>
    <n v="0"/>
    <s v="335935"/>
    <s v="74114251200"/>
    <n v="1481.9829"/>
    <n v="0"/>
    <n v="77350"/>
  </r>
  <r>
    <x v="7"/>
    <s v="10907"/>
    <s v="Spejderhytte Røde Orm, STA49B"/>
    <n v="13663"/>
    <s v="0"/>
    <s v="Spejderhytte Røde Orm"/>
    <x v="121"/>
    <x v="0"/>
    <x v="1"/>
    <n v="825.97"/>
    <n v="4"/>
    <s v="2014-11-10"/>
    <n v="0"/>
    <n v="74"/>
    <n v="11.146693000000001"/>
    <n v="2"/>
    <x v="2"/>
    <n v="825.97"/>
    <n v="247.78"/>
    <n v="0"/>
    <s v="58979"/>
    <s v="74112381589"/>
    <n v="825.96384999999998"/>
    <n v="0"/>
    <n v="91253"/>
  </r>
  <r>
    <x v="15"/>
    <s v="05148-9"/>
    <s v="Farum Svømmehal, Park 20"/>
    <n v="6339"/>
    <m/>
    <s v="Bimåler tribune"/>
    <x v="122"/>
    <x v="1"/>
    <x v="0"/>
    <n v="0"/>
    <n v="5"/>
    <s v="2015-05-04"/>
    <n v="0"/>
    <n v="0"/>
    <n v="0"/>
    <n v="3"/>
    <x v="0"/>
    <n v="0"/>
    <n v="0"/>
    <n v="1"/>
    <s v="Tribune"/>
    <m/>
    <n v="0"/>
    <n v="0"/>
    <n v="57739"/>
  </r>
  <r>
    <x v="15"/>
    <s v="05148-9"/>
    <s v="Farum Svømmehal, Park 20"/>
    <n v="6339"/>
    <m/>
    <s v="Bimåler tribune"/>
    <x v="122"/>
    <x v="1"/>
    <x v="1"/>
    <n v="5"/>
    <n v="11"/>
    <s v="2015-05-04"/>
    <n v="0"/>
    <n v="0"/>
    <n v="50"/>
    <n v="3"/>
    <x v="0"/>
    <n v="5"/>
    <n v="4.01"/>
    <n v="1"/>
    <s v="Tribune"/>
    <m/>
    <n v="5"/>
    <n v="0"/>
    <n v="57739"/>
  </r>
  <r>
    <x v="15"/>
    <s v="05148-9"/>
    <s v="Farum Svømmehal, Park 20"/>
    <n v="6339"/>
    <m/>
    <s v="Bimåler tribune"/>
    <x v="122"/>
    <x v="1"/>
    <x v="2"/>
    <n v="31.01"/>
    <n v="13"/>
    <s v="2015-05-04"/>
    <n v="0"/>
    <n v="0"/>
    <n v="310.10000000000002"/>
    <n v="3"/>
    <x v="0"/>
    <n v="31.01"/>
    <n v="24.79"/>
    <n v="1"/>
    <s v="Tribune"/>
    <m/>
    <n v="31"/>
    <n v="0"/>
    <n v="57739"/>
  </r>
  <r>
    <x v="15"/>
    <s v="05148-9"/>
    <s v="Farum Svømmehal, Park 20"/>
    <n v="6339"/>
    <m/>
    <s v="Bimåler tribune"/>
    <x v="122"/>
    <x v="1"/>
    <x v="3"/>
    <n v="8"/>
    <n v="12"/>
    <s v="2015-05-04"/>
    <n v="0"/>
    <n v="0"/>
    <n v="80"/>
    <n v="3"/>
    <x v="0"/>
    <n v="8"/>
    <n v="6.41"/>
    <n v="1"/>
    <s v="Tribune"/>
    <m/>
    <n v="8"/>
    <n v="0"/>
    <n v="57739"/>
  </r>
  <r>
    <x v="15"/>
    <s v="05148-9"/>
    <s v="Farum Svømmehal, Park 20"/>
    <n v="6339"/>
    <m/>
    <s v="Bimåler tribune"/>
    <x v="122"/>
    <x v="1"/>
    <x v="4"/>
    <n v="5"/>
    <n v="12"/>
    <s v="2015-05-04"/>
    <n v="0"/>
    <n v="0"/>
    <n v="50"/>
    <n v="3"/>
    <x v="0"/>
    <n v="5"/>
    <n v="4"/>
    <n v="1"/>
    <s v="Tribune"/>
    <m/>
    <n v="5"/>
    <n v="0"/>
    <n v="57739"/>
  </r>
  <r>
    <x v="15"/>
    <s v="05148-9"/>
    <s v="Farum Svømmehal, Park 20"/>
    <n v="6339"/>
    <m/>
    <s v="Bimåler tribune"/>
    <x v="122"/>
    <x v="1"/>
    <x v="5"/>
    <n v="10"/>
    <n v="12"/>
    <s v="2015-05-04"/>
    <n v="0"/>
    <n v="0"/>
    <n v="100"/>
    <n v="3"/>
    <x v="0"/>
    <n v="10"/>
    <n v="8"/>
    <n v="1"/>
    <s v="Tribune"/>
    <m/>
    <n v="10"/>
    <n v="0"/>
    <n v="57739"/>
  </r>
  <r>
    <x v="15"/>
    <s v="05148-9"/>
    <s v="Farum Svømmehal, Park 20"/>
    <n v="6339"/>
    <m/>
    <s v="Bimåler tribune"/>
    <x v="122"/>
    <x v="1"/>
    <x v="6"/>
    <n v="17"/>
    <n v="12"/>
    <s v="2015-05-04"/>
    <n v="0"/>
    <n v="0"/>
    <n v="170"/>
    <n v="3"/>
    <x v="0"/>
    <n v="17"/>
    <n v="13.61"/>
    <n v="1"/>
    <s v="Tribune"/>
    <m/>
    <n v="17"/>
    <n v="0"/>
    <n v="57739"/>
  </r>
  <r>
    <x v="15"/>
    <s v="05148-9"/>
    <s v="Farum Svømmehal, Park 20"/>
    <n v="5452"/>
    <m/>
    <s v="Bimåler vand"/>
    <x v="122"/>
    <x v="1"/>
    <x v="0"/>
    <n v="1809.34"/>
    <n v="5"/>
    <s v="2005-07-01"/>
    <n v="0"/>
    <n v="0"/>
    <n v="18093.400000000001"/>
    <n v="3"/>
    <x v="0"/>
    <n v="1809.34"/>
    <n v="0"/>
    <n v="1"/>
    <s v="VBV"/>
    <m/>
    <n v="1809.34"/>
    <n v="0"/>
    <n v="57547"/>
  </r>
  <r>
    <x v="15"/>
    <s v="05148-9"/>
    <s v="Farum Svømmehal, Park 20"/>
    <n v="5452"/>
    <m/>
    <s v="Bimåler vand"/>
    <x v="122"/>
    <x v="1"/>
    <x v="0"/>
    <n v="72.25"/>
    <n v="5"/>
    <s v="2015-05-04"/>
    <n v="0"/>
    <n v="0"/>
    <n v="722.5"/>
    <n v="3"/>
    <x v="0"/>
    <n v="72.25"/>
    <n v="57.8"/>
    <n v="1"/>
    <s v="Spæd VVB"/>
    <m/>
    <n v="72.250010000000003"/>
    <n v="0"/>
    <n v="57740"/>
  </r>
  <r>
    <x v="15"/>
    <s v="05148-9"/>
    <s v="Farum Svømmehal, Park 20"/>
    <n v="5452"/>
    <m/>
    <s v="Bimåler vand"/>
    <x v="122"/>
    <x v="1"/>
    <x v="0"/>
    <n v="163.44"/>
    <n v="5"/>
    <s v="2015-05-04"/>
    <n v="0"/>
    <n v="0"/>
    <n v="1634.4"/>
    <n v="3"/>
    <x v="0"/>
    <n v="163.44"/>
    <n v="130.75"/>
    <n v="1"/>
    <s v="Spæd TB"/>
    <m/>
    <n v="163.43751"/>
    <n v="0"/>
    <n v="57741"/>
  </r>
  <r>
    <x v="15"/>
    <s v="05148-9"/>
    <s v="Farum Svømmehal, Park 20"/>
    <n v="5452"/>
    <m/>
    <s v="Bimåler vand"/>
    <x v="122"/>
    <x v="1"/>
    <x v="0"/>
    <n v="208.72"/>
    <n v="5"/>
    <s v="2015-05-04"/>
    <n v="0"/>
    <n v="0"/>
    <n v="2087.1999999999998"/>
    <n v="3"/>
    <x v="0"/>
    <n v="208.72"/>
    <n v="166.97"/>
    <n v="1"/>
    <s v="Skylletank"/>
    <m/>
    <n v="208.71875"/>
    <n v="0"/>
    <n v="57742"/>
  </r>
  <r>
    <x v="15"/>
    <s v="05148-9"/>
    <s v="Farum Svømmehal, Park 20"/>
    <n v="5452"/>
    <m/>
    <s v="Bimåler vand"/>
    <x v="122"/>
    <x v="1"/>
    <x v="0"/>
    <n v="285.22000000000003"/>
    <n v="5"/>
    <s v="2015-05-04"/>
    <n v="0"/>
    <n v="0"/>
    <n v="2852.2"/>
    <n v="3"/>
    <x v="0"/>
    <n v="285.22000000000003"/>
    <n v="228.18"/>
    <n v="1"/>
    <s v="Spæd 50m"/>
    <m/>
    <n v="285.21875"/>
    <n v="0"/>
    <n v="57745"/>
  </r>
  <r>
    <x v="15"/>
    <s v="05148-9"/>
    <s v="Farum Svømmehal, Park 20"/>
    <n v="5452"/>
    <m/>
    <s v="Bimåler vand"/>
    <x v="122"/>
    <x v="1"/>
    <x v="1"/>
    <n v="4163.13"/>
    <n v="12"/>
    <s v="2005-07-01"/>
    <n v="0"/>
    <n v="0"/>
    <n v="41631.300000000003"/>
    <n v="3"/>
    <x v="0"/>
    <n v="4163.13"/>
    <n v="0"/>
    <n v="1"/>
    <s v="VBV"/>
    <m/>
    <n v="4163.13"/>
    <n v="0"/>
    <n v="57547"/>
  </r>
  <r>
    <x v="15"/>
    <s v="05148-9"/>
    <s v="Farum Svømmehal, Park 20"/>
    <n v="5452"/>
    <m/>
    <s v="Bimåler vand"/>
    <x v="122"/>
    <x v="1"/>
    <x v="1"/>
    <n v="0"/>
    <n v="11"/>
    <s v="2014-10-31"/>
    <n v="0"/>
    <n v="0"/>
    <n v="0"/>
    <n v="3"/>
    <x v="0"/>
    <n v="0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1"/>
    <n v="371.14"/>
    <n v="11"/>
    <s v="2015-05-04"/>
    <n v="0"/>
    <n v="0"/>
    <n v="3711.4"/>
    <n v="3"/>
    <x v="0"/>
    <n v="371.14"/>
    <n v="296.91000000000003"/>
    <n v="1"/>
    <s v="Spæd VVB"/>
    <m/>
    <n v="371.13686000000001"/>
    <n v="0"/>
    <n v="57740"/>
  </r>
  <r>
    <x v="15"/>
    <s v="05148-9"/>
    <s v="Farum Svømmehal, Park 20"/>
    <n v="5452"/>
    <m/>
    <s v="Bimåler vand"/>
    <x v="122"/>
    <x v="1"/>
    <x v="1"/>
    <n v="515.73"/>
    <n v="11"/>
    <s v="2015-05-04"/>
    <n v="0"/>
    <n v="0"/>
    <n v="5157.3"/>
    <n v="3"/>
    <x v="0"/>
    <n v="515.73"/>
    <n v="412.59"/>
    <n v="1"/>
    <s v="Spæd TB"/>
    <m/>
    <n v="515.73022000000003"/>
    <n v="0"/>
    <n v="57741"/>
  </r>
  <r>
    <x v="15"/>
    <s v="05148-9"/>
    <s v="Farum Svømmehal, Park 20"/>
    <n v="5452"/>
    <m/>
    <s v="Bimåler vand"/>
    <x v="122"/>
    <x v="1"/>
    <x v="1"/>
    <n v="700.48"/>
    <n v="11"/>
    <s v="2015-05-04"/>
    <n v="0"/>
    <n v="0"/>
    <n v="7004.8"/>
    <n v="3"/>
    <x v="0"/>
    <n v="700.48"/>
    <n v="560.4"/>
    <n v="1"/>
    <s v="Skylletank"/>
    <m/>
    <n v="700.47995000000003"/>
    <n v="0"/>
    <n v="57742"/>
  </r>
  <r>
    <x v="15"/>
    <s v="05148-9"/>
    <s v="Farum Svømmehal, Park 20"/>
    <n v="5452"/>
    <m/>
    <s v="Bimåler vand"/>
    <x v="122"/>
    <x v="1"/>
    <x v="1"/>
    <n v="708.84"/>
    <n v="11"/>
    <s v="2015-05-04"/>
    <n v="0"/>
    <n v="0"/>
    <n v="7088.4"/>
    <n v="3"/>
    <x v="0"/>
    <n v="708.84"/>
    <n v="567.08000000000004"/>
    <n v="1"/>
    <s v="Spæd 50m"/>
    <m/>
    <n v="708.83772999999997"/>
    <n v="0"/>
    <n v="57745"/>
  </r>
  <r>
    <x v="15"/>
    <s v="05148-9"/>
    <s v="Farum Svømmehal, Park 20"/>
    <n v="5452"/>
    <m/>
    <s v="Bimåler vand"/>
    <x v="122"/>
    <x v="1"/>
    <x v="2"/>
    <n v="4099.18"/>
    <n v="12"/>
    <s v="2005-07-01"/>
    <n v="0"/>
    <n v="0"/>
    <n v="40991.800000000003"/>
    <n v="3"/>
    <x v="0"/>
    <n v="4099.18"/>
    <n v="0"/>
    <n v="1"/>
    <s v="VBV"/>
    <m/>
    <n v="4099.18"/>
    <n v="0"/>
    <n v="57547"/>
  </r>
  <r>
    <x v="15"/>
    <s v="05148-9"/>
    <s v="Farum Svømmehal, Park 20"/>
    <n v="5452"/>
    <m/>
    <s v="Bimåler vand"/>
    <x v="122"/>
    <x v="1"/>
    <x v="2"/>
    <n v="0"/>
    <n v="13"/>
    <s v="2014-10-31"/>
    <n v="0"/>
    <n v="0"/>
    <n v="0"/>
    <n v="3"/>
    <x v="0"/>
    <n v="0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2"/>
    <n v="259.42"/>
    <n v="13"/>
    <s v="2015-05-04"/>
    <n v="0"/>
    <n v="0"/>
    <n v="2594.1999999999998"/>
    <n v="3"/>
    <x v="0"/>
    <n v="259.42"/>
    <n v="207.54"/>
    <n v="1"/>
    <s v="Spæd VVB"/>
    <m/>
    <n v="259.42424"/>
    <n v="0"/>
    <n v="57740"/>
  </r>
  <r>
    <x v="15"/>
    <s v="05148-9"/>
    <s v="Farum Svømmehal, Park 20"/>
    <n v="5452"/>
    <m/>
    <s v="Bimåler vand"/>
    <x v="122"/>
    <x v="1"/>
    <x v="2"/>
    <n v="516.17999999999995"/>
    <n v="13"/>
    <s v="2015-05-04"/>
    <n v="0"/>
    <n v="0"/>
    <n v="5161.8"/>
    <n v="3"/>
    <x v="0"/>
    <n v="516.17999999999995"/>
    <n v="412.95"/>
    <n v="1"/>
    <s v="Spæd TB"/>
    <m/>
    <n v="516.18182000000002"/>
    <n v="0"/>
    <n v="57741"/>
  </r>
  <r>
    <x v="15"/>
    <s v="05148-9"/>
    <s v="Farum Svømmehal, Park 20"/>
    <n v="5452"/>
    <m/>
    <s v="Bimåler vand"/>
    <x v="122"/>
    <x v="1"/>
    <x v="2"/>
    <n v="754.58"/>
    <n v="13"/>
    <s v="2015-05-04"/>
    <n v="0"/>
    <n v="0"/>
    <n v="7545.8"/>
    <n v="3"/>
    <x v="0"/>
    <n v="754.58"/>
    <n v="603.66"/>
    <n v="1"/>
    <s v="Skylletank"/>
    <m/>
    <n v="754.57574999999997"/>
    <n v="0"/>
    <n v="57742"/>
  </r>
  <r>
    <x v="15"/>
    <s v="05148-9"/>
    <s v="Farum Svømmehal, Park 20"/>
    <n v="5452"/>
    <m/>
    <s v="Bimåler vand"/>
    <x v="122"/>
    <x v="1"/>
    <x v="2"/>
    <n v="706.62"/>
    <n v="13"/>
    <s v="2015-05-04"/>
    <n v="0"/>
    <n v="0"/>
    <n v="7066.2"/>
    <n v="3"/>
    <x v="0"/>
    <n v="706.62"/>
    <n v="565.28"/>
    <n v="1"/>
    <s v="Spæd 50m"/>
    <m/>
    <n v="706.60607000000005"/>
    <n v="0"/>
    <n v="57745"/>
  </r>
  <r>
    <x v="15"/>
    <s v="05148-9"/>
    <s v="Farum Svømmehal, Park 20"/>
    <n v="5452"/>
    <m/>
    <s v="Bimåler vand"/>
    <x v="122"/>
    <x v="1"/>
    <x v="3"/>
    <n v="5630.71"/>
    <n v="12"/>
    <s v="2005-07-01"/>
    <n v="0"/>
    <n v="0"/>
    <n v="56307.1"/>
    <n v="3"/>
    <x v="0"/>
    <n v="5630.71"/>
    <n v="0"/>
    <n v="1"/>
    <s v="VBV"/>
    <m/>
    <n v="5630.71"/>
    <n v="0"/>
    <n v="57547"/>
  </r>
  <r>
    <x v="15"/>
    <s v="05148-9"/>
    <s v="Farum Svømmehal, Park 20"/>
    <n v="5452"/>
    <m/>
    <s v="Bimåler vand"/>
    <x v="122"/>
    <x v="1"/>
    <x v="3"/>
    <n v="0"/>
    <n v="12"/>
    <s v="2014-10-31"/>
    <n v="0"/>
    <n v="0"/>
    <n v="0"/>
    <n v="3"/>
    <x v="0"/>
    <n v="0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3"/>
    <n v="216.72"/>
    <n v="13"/>
    <s v="2015-05-04"/>
    <n v="0"/>
    <n v="0"/>
    <n v="2167.1999999999998"/>
    <n v="3"/>
    <x v="0"/>
    <n v="216.72"/>
    <n v="173.38"/>
    <n v="1"/>
    <s v="Spæd VVB"/>
    <m/>
    <n v="216.72727"/>
    <n v="0"/>
    <n v="57740"/>
  </r>
  <r>
    <x v="15"/>
    <s v="05148-9"/>
    <s v="Farum Svømmehal, Park 20"/>
    <n v="5452"/>
    <m/>
    <s v="Bimåler vand"/>
    <x v="122"/>
    <x v="1"/>
    <x v="3"/>
    <n v="499.13"/>
    <n v="12"/>
    <s v="2015-05-04"/>
    <n v="0"/>
    <n v="0"/>
    <n v="4991.3"/>
    <n v="3"/>
    <x v="0"/>
    <n v="499.13"/>
    <n v="399.31"/>
    <n v="1"/>
    <s v="Spæd TB"/>
    <m/>
    <n v="499.12121999999999"/>
    <n v="0"/>
    <n v="57741"/>
  </r>
  <r>
    <x v="15"/>
    <s v="05148-9"/>
    <s v="Farum Svømmehal, Park 20"/>
    <n v="5452"/>
    <m/>
    <s v="Bimåler vand"/>
    <x v="122"/>
    <x v="1"/>
    <x v="3"/>
    <n v="707.88"/>
    <n v="12"/>
    <s v="2015-05-04"/>
    <n v="0"/>
    <n v="0"/>
    <n v="7078.8"/>
    <n v="3"/>
    <x v="0"/>
    <n v="707.88"/>
    <n v="566.29999999999995"/>
    <n v="1"/>
    <s v="Skylletank"/>
    <m/>
    <n v="707.87879999999996"/>
    <n v="0"/>
    <n v="57742"/>
  </r>
  <r>
    <x v="15"/>
    <s v="05148-9"/>
    <s v="Farum Svømmehal, Park 20"/>
    <n v="5452"/>
    <m/>
    <s v="Bimåler vand"/>
    <x v="122"/>
    <x v="1"/>
    <x v="3"/>
    <n v="638.89"/>
    <n v="12"/>
    <s v="2015-05-04"/>
    <n v="0"/>
    <n v="0"/>
    <n v="6388.9"/>
    <n v="3"/>
    <x v="0"/>
    <n v="638.89"/>
    <n v="511.11"/>
    <n v="1"/>
    <s v="Spæd 50m"/>
    <m/>
    <n v="638.87878999999998"/>
    <n v="0"/>
    <n v="57745"/>
  </r>
  <r>
    <x v="15"/>
    <s v="05148-9"/>
    <s v="Farum Svømmehal, Park 20"/>
    <n v="5452"/>
    <m/>
    <s v="Bimåler vand"/>
    <x v="122"/>
    <x v="1"/>
    <x v="4"/>
    <n v="7005.5"/>
    <n v="12"/>
    <s v="2005-07-01"/>
    <n v="0"/>
    <n v="0"/>
    <n v="70055"/>
    <n v="3"/>
    <x v="0"/>
    <n v="7005.5"/>
    <n v="0"/>
    <n v="1"/>
    <s v="VBV"/>
    <m/>
    <n v="7005.5001000000002"/>
    <n v="0"/>
    <n v="57547"/>
  </r>
  <r>
    <x v="15"/>
    <s v="05148-9"/>
    <s v="Farum Svømmehal, Park 20"/>
    <n v="5452"/>
    <m/>
    <s v="Bimåler vand"/>
    <x v="122"/>
    <x v="1"/>
    <x v="4"/>
    <n v="0"/>
    <n v="12"/>
    <s v="2014-10-31"/>
    <n v="0"/>
    <n v="0"/>
    <n v="0"/>
    <n v="3"/>
    <x v="0"/>
    <n v="0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4"/>
    <n v="183.75"/>
    <n v="12"/>
    <s v="2015-05-04"/>
    <n v="0"/>
    <n v="0"/>
    <n v="1837.5"/>
    <n v="3"/>
    <x v="0"/>
    <n v="183.75"/>
    <n v="147.01"/>
    <n v="1"/>
    <s v="Spæd VVB"/>
    <m/>
    <n v="183.76383000000001"/>
    <n v="0"/>
    <n v="57740"/>
  </r>
  <r>
    <x v="15"/>
    <s v="05148-9"/>
    <s v="Farum Svømmehal, Park 20"/>
    <n v="5452"/>
    <m/>
    <s v="Bimåler vand"/>
    <x v="122"/>
    <x v="1"/>
    <x v="4"/>
    <n v="713.76"/>
    <n v="12"/>
    <s v="2015-05-04"/>
    <n v="0"/>
    <n v="0"/>
    <n v="7137.6"/>
    <n v="3"/>
    <x v="0"/>
    <n v="713.76"/>
    <n v="570.99"/>
    <n v="1"/>
    <s v="Spæd TB"/>
    <m/>
    <n v="713.75043000000005"/>
    <n v="0"/>
    <n v="57741"/>
  </r>
  <r>
    <x v="15"/>
    <s v="05148-9"/>
    <s v="Farum Svømmehal, Park 20"/>
    <n v="5452"/>
    <m/>
    <s v="Bimåler vand"/>
    <x v="122"/>
    <x v="1"/>
    <x v="4"/>
    <n v="879.88"/>
    <n v="12"/>
    <s v="2015-05-04"/>
    <n v="0"/>
    <n v="0"/>
    <n v="8798.7999999999993"/>
    <n v="3"/>
    <x v="0"/>
    <n v="879.88"/>
    <n v="703.92"/>
    <n v="1"/>
    <s v="Skylletank"/>
    <m/>
    <n v="879.89661000000001"/>
    <n v="0"/>
    <n v="57742"/>
  </r>
  <r>
    <x v="15"/>
    <s v="05148-9"/>
    <s v="Farum Svømmehal, Park 20"/>
    <n v="5452"/>
    <m/>
    <s v="Bimåler vand"/>
    <x v="122"/>
    <x v="1"/>
    <x v="4"/>
    <n v="651.9"/>
    <n v="12"/>
    <s v="2015-05-04"/>
    <n v="0"/>
    <n v="0"/>
    <n v="6519"/>
    <n v="3"/>
    <x v="0"/>
    <n v="651.9"/>
    <n v="521.52"/>
    <n v="1"/>
    <s v="Spæd 50m"/>
    <m/>
    <n v="651.91175999999996"/>
    <n v="0"/>
    <n v="57745"/>
  </r>
  <r>
    <x v="15"/>
    <s v="05148-9"/>
    <s v="Farum Svømmehal, Park 20"/>
    <n v="5452"/>
    <m/>
    <s v="Bimåler vand"/>
    <x v="122"/>
    <x v="1"/>
    <x v="5"/>
    <n v="3525.4"/>
    <n v="12"/>
    <s v="2005-07-01"/>
    <n v="0"/>
    <n v="0"/>
    <n v="35254"/>
    <n v="3"/>
    <x v="0"/>
    <n v="3525.4"/>
    <n v="0"/>
    <n v="1"/>
    <s v="VBV"/>
    <m/>
    <n v="3525.4"/>
    <n v="0"/>
    <n v="57547"/>
  </r>
  <r>
    <x v="15"/>
    <s v="05148-9"/>
    <s v="Farum Svømmehal, Park 20"/>
    <n v="5452"/>
    <m/>
    <s v="Bimåler vand"/>
    <x v="122"/>
    <x v="1"/>
    <x v="5"/>
    <n v="0"/>
    <n v="12"/>
    <s v="2014-10-31"/>
    <n v="0"/>
    <n v="0"/>
    <n v="0"/>
    <n v="3"/>
    <x v="0"/>
    <n v="0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5"/>
    <n v="159.78"/>
    <n v="12"/>
    <s v="2015-05-04"/>
    <n v="0"/>
    <n v="0"/>
    <n v="1597.8"/>
    <n v="3"/>
    <x v="0"/>
    <n v="159.78"/>
    <n v="127.82"/>
    <n v="1"/>
    <s v="Spæd VVB"/>
    <m/>
    <n v="159.76837"/>
    <n v="0"/>
    <n v="57740"/>
  </r>
  <r>
    <x v="15"/>
    <s v="05148-9"/>
    <s v="Farum Svømmehal, Park 20"/>
    <n v="5452"/>
    <m/>
    <s v="Bimåler vand"/>
    <x v="122"/>
    <x v="1"/>
    <x v="5"/>
    <n v="598.1"/>
    <n v="12"/>
    <s v="2015-05-04"/>
    <n v="0"/>
    <n v="0"/>
    <n v="5981"/>
    <n v="3"/>
    <x v="0"/>
    <n v="598.1"/>
    <n v="478.49"/>
    <n v="1"/>
    <s v="Spæd TB"/>
    <m/>
    <n v="598.10846000000004"/>
    <n v="0"/>
    <n v="57741"/>
  </r>
  <r>
    <x v="15"/>
    <s v="05148-9"/>
    <s v="Farum Svømmehal, Park 20"/>
    <n v="5452"/>
    <m/>
    <s v="Bimåler vand"/>
    <x v="122"/>
    <x v="1"/>
    <x v="5"/>
    <n v="804.5"/>
    <n v="12"/>
    <s v="2015-05-04"/>
    <n v="0"/>
    <n v="0"/>
    <n v="8045"/>
    <n v="3"/>
    <x v="0"/>
    <n v="804.5"/>
    <n v="643.6"/>
    <n v="1"/>
    <s v="Skylletank"/>
    <m/>
    <n v="804.49449000000004"/>
    <n v="0"/>
    <n v="57742"/>
  </r>
  <r>
    <x v="15"/>
    <s v="05148-9"/>
    <s v="Farum Svømmehal, Park 20"/>
    <n v="5452"/>
    <m/>
    <s v="Bimåler vand"/>
    <x v="122"/>
    <x v="1"/>
    <x v="5"/>
    <n v="797.47"/>
    <n v="12"/>
    <s v="2015-05-04"/>
    <n v="0"/>
    <n v="0"/>
    <n v="7974.7"/>
    <n v="3"/>
    <x v="0"/>
    <n v="797.47"/>
    <n v="637.96"/>
    <n v="1"/>
    <s v="Spæd 50m"/>
    <m/>
    <n v="797.46324000000004"/>
    <n v="0"/>
    <n v="57745"/>
  </r>
  <r>
    <x v="15"/>
    <s v="05148-9"/>
    <s v="Farum Svømmehal, Park 20"/>
    <n v="5452"/>
    <m/>
    <s v="Bimåler vand"/>
    <x v="122"/>
    <x v="1"/>
    <x v="6"/>
    <n v="4024"/>
    <n v="12"/>
    <s v="2005-07-01"/>
    <n v="0"/>
    <n v="0"/>
    <n v="40240"/>
    <n v="3"/>
    <x v="0"/>
    <n v="4024"/>
    <n v="0"/>
    <n v="1"/>
    <s v="VBV"/>
    <m/>
    <n v="4024"/>
    <n v="0"/>
    <n v="57547"/>
  </r>
  <r>
    <x v="15"/>
    <s v="05148-9"/>
    <s v="Farum Svømmehal, Park 20"/>
    <n v="5452"/>
    <m/>
    <s v="Bimåler vand"/>
    <x v="122"/>
    <x v="1"/>
    <x v="6"/>
    <n v="60.02"/>
    <n v="12"/>
    <s v="2014-10-31"/>
    <n v="0"/>
    <n v="0"/>
    <n v="600.20000000000005"/>
    <n v="3"/>
    <x v="0"/>
    <n v="60.02"/>
    <n v="48"/>
    <n v="1"/>
    <s v="Spejlbassin"/>
    <m/>
    <n v="60"/>
    <n v="0"/>
    <n v="57738"/>
  </r>
  <r>
    <x v="15"/>
    <s v="05148-9"/>
    <s v="Farum Svømmehal, Park 20"/>
    <n v="5452"/>
    <m/>
    <s v="Bimåler vand"/>
    <x v="122"/>
    <x v="1"/>
    <x v="6"/>
    <n v="134.94999999999999"/>
    <n v="12"/>
    <s v="2015-05-04"/>
    <n v="0"/>
    <n v="0"/>
    <n v="1349.5"/>
    <n v="3"/>
    <x v="0"/>
    <n v="134.94999999999999"/>
    <n v="107.96"/>
    <n v="1"/>
    <s v="Spæd VVB"/>
    <m/>
    <n v="134.95265000000001"/>
    <n v="0"/>
    <n v="57740"/>
  </r>
  <r>
    <x v="15"/>
    <s v="05148-9"/>
    <s v="Farum Svømmehal, Park 20"/>
    <n v="5452"/>
    <m/>
    <s v="Bimåler vand"/>
    <x v="122"/>
    <x v="1"/>
    <x v="6"/>
    <n v="523.11"/>
    <n v="12"/>
    <s v="2015-05-04"/>
    <n v="0"/>
    <n v="0"/>
    <n v="5231.1000000000004"/>
    <n v="3"/>
    <x v="0"/>
    <n v="523.11"/>
    <n v="418.51"/>
    <n v="1"/>
    <s v="Spæd TB"/>
    <m/>
    <n v="523.11081000000001"/>
    <n v="0"/>
    <n v="57741"/>
  </r>
  <r>
    <x v="15"/>
    <s v="05148-9"/>
    <s v="Farum Svømmehal, Park 20"/>
    <n v="5452"/>
    <m/>
    <s v="Bimåler vand"/>
    <x v="122"/>
    <x v="1"/>
    <x v="6"/>
    <n v="802.46"/>
    <n v="12"/>
    <s v="2015-05-04"/>
    <n v="0"/>
    <n v="0"/>
    <n v="8024.6"/>
    <n v="3"/>
    <x v="0"/>
    <n v="802.46"/>
    <n v="641.98"/>
    <n v="1"/>
    <s v="Skylletank"/>
    <m/>
    <n v="802.45737999999994"/>
    <n v="0"/>
    <n v="57742"/>
  </r>
  <r>
    <x v="15"/>
    <s v="05148-9"/>
    <s v="Farum Svømmehal, Park 20"/>
    <n v="5452"/>
    <m/>
    <s v="Bimåler vand"/>
    <x v="122"/>
    <x v="1"/>
    <x v="6"/>
    <n v="1330.17"/>
    <n v="12"/>
    <s v="2015-05-04"/>
    <n v="0"/>
    <n v="0"/>
    <n v="13301.7"/>
    <n v="3"/>
    <x v="0"/>
    <n v="1330.17"/>
    <n v="1064.1300000000001"/>
    <n v="1"/>
    <s v="Spæd 50m"/>
    <m/>
    <n v="1330.17047"/>
    <n v="0"/>
    <n v="57745"/>
  </r>
  <r>
    <x v="15"/>
    <s v="05148-9"/>
    <s v="Farum Svømmehal, Park 20"/>
    <n v="5454"/>
    <m/>
    <s v="Cafe"/>
    <x v="122"/>
    <x v="1"/>
    <x v="3"/>
    <n v="66.19"/>
    <n v="7"/>
    <s v="2011-06-30"/>
    <n v="0"/>
    <n v="50"/>
    <n v="1.3211569999999999"/>
    <n v="3"/>
    <x v="0"/>
    <n v="66.19"/>
    <n v="0"/>
    <n v="1"/>
    <s v="VBV 79054813"/>
    <m/>
    <n v="66.181820000000002"/>
    <n v="0"/>
    <n v="84285"/>
  </r>
  <r>
    <x v="15"/>
    <s v="05148-9"/>
    <s v="Farum Svømmehal, Park 20"/>
    <n v="5454"/>
    <m/>
    <s v="Cafe"/>
    <x v="122"/>
    <x v="1"/>
    <x v="4"/>
    <n v="66.819999999999993"/>
    <n v="10"/>
    <s v="2011-06-30"/>
    <n v="0"/>
    <n v="50"/>
    <n v="1.3337319999999999"/>
    <n v="3"/>
    <x v="0"/>
    <n v="66.819999999999993"/>
    <n v="0"/>
    <n v="1"/>
    <s v="VBV 79054813"/>
    <m/>
    <n v="66.818179999999998"/>
    <n v="0"/>
    <n v="84285"/>
  </r>
  <r>
    <x v="15"/>
    <s v="05148-9"/>
    <s v="Farum Svømmehal, Park 20"/>
    <n v="5449"/>
    <m/>
    <s v="Farum Svømmehal,Farum Park 20 st. th."/>
    <x v="122"/>
    <x v="0"/>
    <x v="0"/>
    <n v="11664"/>
    <n v="5"/>
    <s v="2005-07-01"/>
    <n v="0"/>
    <n v="7709"/>
    <n v="0.67926200000000003"/>
    <n v="3"/>
    <x v="0"/>
    <n v="5236.5"/>
    <n v="4189.2"/>
    <n v="0"/>
    <s v="10012225"/>
    <m/>
    <n v="5236.5"/>
    <n v="0"/>
    <n v="57535"/>
  </r>
  <r>
    <x v="15"/>
    <s v="05148-9"/>
    <s v="Farum Svømmehal, Park 20"/>
    <n v="5449"/>
    <m/>
    <s v="Farum Svømmehal,Farum Park 20 st. th."/>
    <x v="122"/>
    <x v="0"/>
    <x v="1"/>
    <n v="12138.7"/>
    <n v="12"/>
    <s v="2005-07-01"/>
    <n v="0"/>
    <n v="7709"/>
    <n v="1.5745929999999999"/>
    <n v="3"/>
    <x v="0"/>
    <n v="12138.7"/>
    <n v="9710.9599999999991"/>
    <n v="0"/>
    <s v="10012225"/>
    <m/>
    <n v="12138.7"/>
    <n v="0"/>
    <n v="57535"/>
  </r>
  <r>
    <x v="15"/>
    <s v="05148-9"/>
    <s v="Farum Svømmehal, Park 20"/>
    <n v="5449"/>
    <m/>
    <s v="Farum Svømmehal,Farum Park 20 st. th."/>
    <x v="122"/>
    <x v="0"/>
    <x v="2"/>
    <n v="11731.6"/>
    <n v="12"/>
    <s v="2005-07-01"/>
    <n v="0"/>
    <n v="7709"/>
    <n v="1.5217849999999999"/>
    <n v="3"/>
    <x v="0"/>
    <n v="11731.6"/>
    <n v="9385.2800000000007"/>
    <n v="0"/>
    <s v="10012225"/>
    <m/>
    <n v="11731.6"/>
    <n v="0"/>
    <n v="57535"/>
  </r>
  <r>
    <x v="15"/>
    <s v="05148-9"/>
    <s v="Farum Svømmehal, Park 20"/>
    <n v="5449"/>
    <m/>
    <s v="Farum Svømmehal,Farum Park 20 st. th."/>
    <x v="122"/>
    <x v="0"/>
    <x v="3"/>
    <n v="10732"/>
    <n v="12"/>
    <s v="2005-07-01"/>
    <n v="0"/>
    <n v="7709"/>
    <n v="1.39212"/>
    <n v="3"/>
    <x v="0"/>
    <n v="10732"/>
    <n v="8585.6"/>
    <n v="0"/>
    <s v="10012225"/>
    <m/>
    <n v="10732"/>
    <n v="0"/>
    <n v="57535"/>
  </r>
  <r>
    <x v="15"/>
    <s v="05148-9"/>
    <s v="Farum Svømmehal, Park 20"/>
    <n v="5449"/>
    <m/>
    <s v="Farum Svømmehal,Farum Park 20 st. th."/>
    <x v="122"/>
    <x v="0"/>
    <x v="4"/>
    <n v="11137"/>
    <n v="12"/>
    <s v="2005-07-01"/>
    <n v="0"/>
    <n v="7709"/>
    <n v="1.4446559999999999"/>
    <n v="3"/>
    <x v="0"/>
    <n v="11137"/>
    <n v="8909.6"/>
    <n v="0"/>
    <s v="10012225"/>
    <m/>
    <n v="11136.9998"/>
    <n v="0"/>
    <n v="57535"/>
  </r>
  <r>
    <x v="15"/>
    <s v="05148-9"/>
    <s v="Farum Svømmehal, Park 20"/>
    <n v="5449"/>
    <m/>
    <s v="Farum Svømmehal,Farum Park 20 st. th."/>
    <x v="122"/>
    <x v="0"/>
    <x v="5"/>
    <n v="9340.4"/>
    <n v="12"/>
    <s v="2005-07-01"/>
    <n v="0"/>
    <n v="7709"/>
    <n v="1.2116070000000001"/>
    <n v="3"/>
    <x v="0"/>
    <n v="9340.4"/>
    <n v="7472.32"/>
    <n v="0"/>
    <s v="10012225"/>
    <m/>
    <n v="9340.4"/>
    <n v="0"/>
    <n v="57535"/>
  </r>
  <r>
    <x v="15"/>
    <s v="05148-9"/>
    <s v="Farum Svømmehal, Park 20"/>
    <n v="5449"/>
    <m/>
    <s v="Farum Svømmehal,Farum Park 20 st. th."/>
    <x v="122"/>
    <x v="0"/>
    <x v="6"/>
    <n v="10220.200000000001"/>
    <n v="12"/>
    <s v="2005-07-01"/>
    <n v="0"/>
    <n v="7709"/>
    <n v="1.325731"/>
    <n v="3"/>
    <x v="0"/>
    <n v="10220.200000000001"/>
    <n v="8176.16"/>
    <n v="0"/>
    <s v="10012225"/>
    <m/>
    <n v="10220.200000000001"/>
    <n v="0"/>
    <n v="57535"/>
  </r>
  <r>
    <x v="15"/>
    <s v="05148-9"/>
    <s v="Farum Svømmehal, Park 20"/>
    <n v="5453"/>
    <m/>
    <s v="Swim-mix"/>
    <x v="122"/>
    <x v="1"/>
    <x v="0"/>
    <n v="211.21"/>
    <n v="5"/>
    <s v="2015-05-04"/>
    <n v="0"/>
    <n v="610"/>
    <n v="0.34618900000000002"/>
    <n v="3"/>
    <x v="0"/>
    <n v="211.21"/>
    <n v="0"/>
    <n v="1"/>
    <s v="VBV 29016080"/>
    <m/>
    <n v="211.21876"/>
    <n v="0"/>
    <n v="84286"/>
  </r>
  <r>
    <x v="15"/>
    <s v="05148-9"/>
    <s v="Farum Svømmehal, Park 20"/>
    <n v="5453"/>
    <m/>
    <s v="Swim-mix"/>
    <x v="122"/>
    <x v="1"/>
    <x v="1"/>
    <n v="452.05"/>
    <n v="11"/>
    <s v="2015-05-04"/>
    <n v="0"/>
    <n v="610"/>
    <n v="0.74094400000000005"/>
    <n v="3"/>
    <x v="0"/>
    <n v="452.05"/>
    <n v="0"/>
    <n v="1"/>
    <s v="VBV 29016080"/>
    <m/>
    <n v="452.04692999999997"/>
    <n v="0"/>
    <n v="84286"/>
  </r>
  <r>
    <x v="15"/>
    <s v="05148-9"/>
    <s v="Farum Svømmehal, Park 20"/>
    <n v="5453"/>
    <m/>
    <s v="Swim-mix"/>
    <x v="122"/>
    <x v="1"/>
    <x v="2"/>
    <n v="447.57"/>
    <n v="13"/>
    <s v="2015-05-04"/>
    <n v="0"/>
    <n v="610"/>
    <n v="0.73360099999999995"/>
    <n v="3"/>
    <x v="0"/>
    <n v="447.57"/>
    <n v="0"/>
    <n v="1"/>
    <s v="VBV 29016080"/>
    <m/>
    <n v="447.57576"/>
    <n v="0"/>
    <n v="84286"/>
  </r>
  <r>
    <x v="15"/>
    <s v="05148-9"/>
    <s v="Farum Svømmehal, Park 20"/>
    <n v="5453"/>
    <m/>
    <s v="Swim-mix"/>
    <x v="122"/>
    <x v="1"/>
    <x v="3"/>
    <n v="433.85"/>
    <n v="12"/>
    <s v="2015-05-04"/>
    <n v="0"/>
    <n v="610"/>
    <n v="0.71111199999999997"/>
    <n v="3"/>
    <x v="0"/>
    <n v="433.85"/>
    <n v="0"/>
    <n v="1"/>
    <s v="VBV 29016080"/>
    <m/>
    <n v="433.84848"/>
    <n v="0"/>
    <n v="84286"/>
  </r>
  <r>
    <x v="15"/>
    <s v="05148-9"/>
    <s v="Farum Svømmehal, Park 20"/>
    <n v="5453"/>
    <m/>
    <s v="Swim-mix"/>
    <x v="122"/>
    <x v="1"/>
    <x v="4"/>
    <n v="452.31"/>
    <n v="12"/>
    <s v="2015-05-04"/>
    <n v="0"/>
    <n v="610"/>
    <n v="0.74136999999999997"/>
    <n v="3"/>
    <x v="0"/>
    <n v="452.31"/>
    <n v="0"/>
    <n v="1"/>
    <s v="VBV 29016080"/>
    <m/>
    <n v="452.30302999999998"/>
    <n v="0"/>
    <n v="84286"/>
  </r>
  <r>
    <x v="15"/>
    <s v="190-001744"/>
    <s v="Værløse Svømmehal, KV60"/>
    <n v="8932"/>
    <s v="0"/>
    <s v="Bi-måler vand"/>
    <x v="123"/>
    <x v="1"/>
    <x v="0"/>
    <n v="0"/>
    <n v="5"/>
    <s v="2015-05-05"/>
    <n v="0"/>
    <n v="0"/>
    <n v="0"/>
    <n v="3"/>
    <x v="0"/>
    <n v="0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0"/>
    <n v="114.83"/>
    <n v="5"/>
    <s v="2015-05-05"/>
    <n v="0"/>
    <n v="0"/>
    <n v="1148.3"/>
    <n v="3"/>
    <x v="0"/>
    <n v="114.83"/>
    <n v="91.85"/>
    <n v="1"/>
    <s v="405303 KVM8 VVB"/>
    <m/>
    <n v="114.82353000000001"/>
    <n v="0"/>
    <n v="70972"/>
  </r>
  <r>
    <x v="15"/>
    <s v="190-001744"/>
    <s v="Værløse Svømmehal, KV60"/>
    <n v="8932"/>
    <s v="0"/>
    <s v="Bi-måler vand"/>
    <x v="123"/>
    <x v="1"/>
    <x v="0"/>
    <n v="677.94"/>
    <n v="5"/>
    <s v="2015-05-05"/>
    <n v="0"/>
    <n v="0"/>
    <n v="6779.4"/>
    <n v="3"/>
    <x v="0"/>
    <n v="677.94"/>
    <n v="542.35"/>
    <n v="1"/>
    <s v="KVM4 SKYLLETANK"/>
    <m/>
    <n v="677.94118000000003"/>
    <n v="0"/>
    <n v="70973"/>
  </r>
  <r>
    <x v="15"/>
    <s v="190-001744"/>
    <s v="Værløse Svømmehal, KV60"/>
    <n v="8932"/>
    <s v="0"/>
    <s v="Bi-måler vand"/>
    <x v="123"/>
    <x v="1"/>
    <x v="0"/>
    <n v="324.70999999999998"/>
    <n v="5"/>
    <s v="2015-05-05"/>
    <n v="0"/>
    <n v="0"/>
    <n v="3247.1"/>
    <n v="3"/>
    <x v="0"/>
    <n v="324.70999999999998"/>
    <n v="0"/>
    <n v="1"/>
    <s v="405503 KVM3 TB"/>
    <m/>
    <n v="324.70587999999998"/>
    <n v="0"/>
    <n v="70974"/>
  </r>
  <r>
    <x v="15"/>
    <s v="190-001744"/>
    <s v="Værløse Svømmehal, KV60"/>
    <n v="8932"/>
    <s v="0"/>
    <s v="Bi-måler vand"/>
    <x v="123"/>
    <x v="1"/>
    <x v="0"/>
    <n v="0"/>
    <n v="5"/>
    <s v="2015-05-05"/>
    <n v="0"/>
    <n v="0"/>
    <n v="0"/>
    <n v="3"/>
    <x v="0"/>
    <n v="0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0"/>
    <n v="165.76"/>
    <n v="5"/>
    <s v="2015-05-05"/>
    <n v="0"/>
    <n v="0"/>
    <n v="1657.6"/>
    <n v="3"/>
    <x v="0"/>
    <n v="165.76"/>
    <n v="0"/>
    <n v="1"/>
    <s v="405403 KVM6 25M"/>
    <m/>
    <n v="165.7647"/>
    <n v="0"/>
    <n v="70976"/>
  </r>
  <r>
    <x v="15"/>
    <s v="190-001744"/>
    <s v="Værløse Svømmehal, KV60"/>
    <n v="8932"/>
    <s v="0"/>
    <s v="Bi-måler vand"/>
    <x v="123"/>
    <x v="1"/>
    <x v="0"/>
    <n v="0"/>
    <n v="5"/>
    <s v="2015-05-05"/>
    <n v="0"/>
    <n v="0"/>
    <n v="0"/>
    <n v="3"/>
    <x v="0"/>
    <n v="0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1"/>
    <n v="0"/>
    <n v="11"/>
    <s v="2015-05-05"/>
    <n v="0"/>
    <n v="0"/>
    <n v="0"/>
    <n v="3"/>
    <x v="0"/>
    <n v="0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1"/>
    <n v="346.26"/>
    <n v="11"/>
    <s v="2015-05-05"/>
    <n v="0"/>
    <n v="0"/>
    <n v="3462.6"/>
    <n v="3"/>
    <x v="0"/>
    <n v="346.26"/>
    <n v="277"/>
    <n v="1"/>
    <s v="405303 KVM8 VVB"/>
    <m/>
    <n v="346.25000999999997"/>
    <n v="0"/>
    <n v="70972"/>
  </r>
  <r>
    <x v="15"/>
    <s v="190-001744"/>
    <s v="Værløse Svømmehal, KV60"/>
    <n v="8932"/>
    <s v="0"/>
    <s v="Bi-måler vand"/>
    <x v="123"/>
    <x v="1"/>
    <x v="1"/>
    <n v="1758.36"/>
    <n v="11"/>
    <s v="2015-05-05"/>
    <n v="0"/>
    <n v="0"/>
    <n v="17583.599999999999"/>
    <n v="3"/>
    <x v="0"/>
    <n v="1758.36"/>
    <n v="1406.69"/>
    <n v="1"/>
    <s v="KVM4 SKYLLETANK"/>
    <m/>
    <n v="1758.3588999999999"/>
    <n v="0"/>
    <n v="70973"/>
  </r>
  <r>
    <x v="15"/>
    <s v="190-001744"/>
    <s v="Værløse Svømmehal, KV60"/>
    <n v="8932"/>
    <s v="0"/>
    <s v="Bi-måler vand"/>
    <x v="123"/>
    <x v="1"/>
    <x v="1"/>
    <n v="1036.52"/>
    <n v="11"/>
    <s v="2015-05-05"/>
    <n v="0"/>
    <n v="0"/>
    <n v="10365.200000000001"/>
    <n v="3"/>
    <x v="0"/>
    <n v="1036.52"/>
    <n v="0"/>
    <n v="1"/>
    <s v="405503 KVM3 TB"/>
    <m/>
    <n v="1036.5104100000001"/>
    <n v="0"/>
    <n v="70974"/>
  </r>
  <r>
    <x v="15"/>
    <s v="190-001744"/>
    <s v="Værløse Svømmehal, KV60"/>
    <n v="8932"/>
    <s v="0"/>
    <s v="Bi-måler vand"/>
    <x v="123"/>
    <x v="1"/>
    <x v="1"/>
    <n v="0"/>
    <n v="11"/>
    <s v="2015-05-05"/>
    <n v="0"/>
    <n v="0"/>
    <n v="0"/>
    <n v="3"/>
    <x v="0"/>
    <n v="0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1"/>
    <n v="569.53"/>
    <n v="11"/>
    <s v="2015-05-05"/>
    <n v="0"/>
    <n v="0"/>
    <n v="5695.3"/>
    <n v="3"/>
    <x v="0"/>
    <n v="569.53"/>
    <n v="0"/>
    <n v="1"/>
    <s v="405403 KVM6 25M"/>
    <m/>
    <n v="569.53884000000005"/>
    <n v="0"/>
    <n v="70976"/>
  </r>
  <r>
    <x v="15"/>
    <s v="190-001744"/>
    <s v="Værløse Svømmehal, KV60"/>
    <n v="8932"/>
    <s v="0"/>
    <s v="Bi-måler vand"/>
    <x v="123"/>
    <x v="1"/>
    <x v="1"/>
    <n v="0"/>
    <n v="11"/>
    <s v="2015-05-05"/>
    <n v="0"/>
    <n v="0"/>
    <n v="0"/>
    <n v="3"/>
    <x v="0"/>
    <n v="0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2"/>
    <n v="0"/>
    <n v="12"/>
    <s v="2015-05-05"/>
    <n v="0"/>
    <n v="0"/>
    <n v="0"/>
    <n v="3"/>
    <x v="0"/>
    <n v="0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2"/>
    <n v="91.92"/>
    <n v="7"/>
    <s v="2012-07-31"/>
    <n v="0"/>
    <n v="0"/>
    <n v="919.2"/>
    <n v="3"/>
    <x v="0"/>
    <n v="91.92"/>
    <n v="73.52"/>
    <n v="1"/>
    <s v="3320905 KVM10"/>
    <m/>
    <n v="91.916669999999996"/>
    <n v="0"/>
    <n v="70971"/>
  </r>
  <r>
    <x v="15"/>
    <s v="190-001744"/>
    <s v="Værløse Svømmehal, KV60"/>
    <n v="8932"/>
    <s v="0"/>
    <s v="Bi-måler vand"/>
    <x v="123"/>
    <x v="1"/>
    <x v="2"/>
    <n v="366.41"/>
    <n v="12"/>
    <s v="2015-05-05"/>
    <n v="0"/>
    <n v="0"/>
    <n v="3664.1"/>
    <n v="3"/>
    <x v="0"/>
    <n v="366.41"/>
    <n v="293.14"/>
    <n v="1"/>
    <s v="405303 KVM8 VVB"/>
    <m/>
    <n v="366.41667000000001"/>
    <n v="0"/>
    <n v="70972"/>
  </r>
  <r>
    <x v="15"/>
    <s v="190-001744"/>
    <s v="Værløse Svømmehal, KV60"/>
    <n v="8932"/>
    <s v="0"/>
    <s v="Bi-måler vand"/>
    <x v="123"/>
    <x v="1"/>
    <x v="2"/>
    <n v="1610.16"/>
    <n v="12"/>
    <s v="2015-05-05"/>
    <n v="0"/>
    <n v="0"/>
    <n v="16101.6"/>
    <n v="3"/>
    <x v="0"/>
    <n v="1610.16"/>
    <n v="1288.1300000000001"/>
    <n v="1"/>
    <s v="KVM4 SKYLLETANK"/>
    <m/>
    <n v="1610.1515199999999"/>
    <n v="0"/>
    <n v="70973"/>
  </r>
  <r>
    <x v="15"/>
    <s v="190-001744"/>
    <s v="Værløse Svømmehal, KV60"/>
    <n v="8932"/>
    <s v="0"/>
    <s v="Bi-måler vand"/>
    <x v="123"/>
    <x v="1"/>
    <x v="2"/>
    <n v="996.17"/>
    <n v="12"/>
    <s v="2015-05-05"/>
    <n v="0"/>
    <n v="0"/>
    <n v="9961.7000000000007"/>
    <n v="3"/>
    <x v="0"/>
    <n v="996.17"/>
    <n v="0"/>
    <n v="1"/>
    <s v="405503 KVM3 TB"/>
    <m/>
    <n v="996.16666999999995"/>
    <n v="0"/>
    <n v="70974"/>
  </r>
  <r>
    <x v="15"/>
    <s v="190-001744"/>
    <s v="Værløse Svømmehal, KV60"/>
    <n v="8932"/>
    <s v="0"/>
    <s v="Bi-måler vand"/>
    <x v="123"/>
    <x v="1"/>
    <x v="2"/>
    <n v="15.99"/>
    <n v="12"/>
    <s v="2015-05-05"/>
    <n v="0"/>
    <n v="0"/>
    <n v="159.9"/>
    <n v="3"/>
    <x v="0"/>
    <n v="15.99"/>
    <n v="0"/>
    <n v="1"/>
    <s v="40061501 KVM5 TB"/>
    <m/>
    <n v="16.00001"/>
    <n v="0"/>
    <n v="70975"/>
  </r>
  <r>
    <x v="15"/>
    <s v="190-001744"/>
    <s v="Værløse Svømmehal, KV60"/>
    <n v="8932"/>
    <s v="0"/>
    <s v="Bi-måler vand"/>
    <x v="123"/>
    <x v="1"/>
    <x v="2"/>
    <n v="513.66999999999996"/>
    <n v="12"/>
    <s v="2015-05-05"/>
    <n v="0"/>
    <n v="0"/>
    <n v="5136.7"/>
    <n v="3"/>
    <x v="0"/>
    <n v="513.66999999999996"/>
    <n v="0"/>
    <n v="1"/>
    <s v="405403 KVM6 25M"/>
    <m/>
    <n v="513.65908000000002"/>
    <n v="0"/>
    <n v="70976"/>
  </r>
  <r>
    <x v="15"/>
    <s v="190-001744"/>
    <s v="Værløse Svømmehal, KV60"/>
    <n v="8932"/>
    <s v="0"/>
    <s v="Bi-måler vand"/>
    <x v="123"/>
    <x v="1"/>
    <x v="2"/>
    <n v="0"/>
    <n v="12"/>
    <s v="2015-05-05"/>
    <n v="0"/>
    <n v="0"/>
    <n v="0"/>
    <n v="3"/>
    <x v="0"/>
    <n v="0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3"/>
    <n v="11"/>
    <n v="12"/>
    <s v="2015-05-05"/>
    <n v="0"/>
    <n v="0"/>
    <n v="110"/>
    <n v="3"/>
    <x v="0"/>
    <n v="11"/>
    <n v="8.8000000000000007"/>
    <n v="1"/>
    <s v="400617 KVM9 VVB"/>
    <m/>
    <n v="11"/>
    <n v="0"/>
    <n v="70970"/>
  </r>
  <r>
    <x v="15"/>
    <s v="190-001744"/>
    <s v="Værløse Svømmehal, KV60"/>
    <n v="8932"/>
    <s v="0"/>
    <s v="Bi-måler vand"/>
    <x v="123"/>
    <x v="1"/>
    <x v="3"/>
    <n v="184.28"/>
    <n v="12"/>
    <s v="2012-07-31"/>
    <n v="0"/>
    <n v="0"/>
    <n v="1842.8"/>
    <n v="3"/>
    <x v="0"/>
    <n v="184.28"/>
    <n v="147.41999999999999"/>
    <n v="1"/>
    <s v="3320905 KVM10"/>
    <m/>
    <n v="184.28921"/>
    <n v="0"/>
    <n v="70971"/>
  </r>
  <r>
    <x v="15"/>
    <s v="190-001744"/>
    <s v="Værløse Svømmehal, KV60"/>
    <n v="8932"/>
    <s v="0"/>
    <s v="Bi-måler vand"/>
    <x v="123"/>
    <x v="1"/>
    <x v="3"/>
    <n v="361.41"/>
    <n v="12"/>
    <s v="2015-05-05"/>
    <n v="0"/>
    <n v="0"/>
    <n v="3614.1"/>
    <n v="3"/>
    <x v="0"/>
    <n v="361.41"/>
    <n v="289.11"/>
    <n v="1"/>
    <s v="405303 KVM8 VVB"/>
    <m/>
    <n v="361.40687000000003"/>
    <n v="0"/>
    <n v="70972"/>
  </r>
  <r>
    <x v="15"/>
    <s v="190-001744"/>
    <s v="Værløse Svømmehal, KV60"/>
    <n v="8932"/>
    <s v="0"/>
    <s v="Bi-måler vand"/>
    <x v="123"/>
    <x v="1"/>
    <x v="3"/>
    <n v="1670.92"/>
    <n v="12"/>
    <s v="2015-05-05"/>
    <n v="0"/>
    <n v="0"/>
    <n v="16709.2"/>
    <n v="3"/>
    <x v="0"/>
    <n v="1670.92"/>
    <n v="1336.74"/>
    <n v="1"/>
    <s v="KVM4 SKYLLETANK"/>
    <m/>
    <n v="1670.92157"/>
    <n v="0"/>
    <n v="70973"/>
  </r>
  <r>
    <x v="15"/>
    <s v="190-001744"/>
    <s v="Værløse Svømmehal, KV60"/>
    <n v="8932"/>
    <s v="0"/>
    <s v="Bi-måler vand"/>
    <x v="123"/>
    <x v="1"/>
    <x v="3"/>
    <n v="950.79"/>
    <n v="12"/>
    <s v="2015-05-05"/>
    <n v="0"/>
    <n v="0"/>
    <n v="9507.9"/>
    <n v="3"/>
    <x v="0"/>
    <n v="950.79"/>
    <n v="0"/>
    <n v="1"/>
    <s v="405503 KVM3 TB"/>
    <m/>
    <n v="950.78431999999998"/>
    <n v="0"/>
    <n v="70974"/>
  </r>
  <r>
    <x v="15"/>
    <s v="190-001744"/>
    <s v="Værløse Svømmehal, KV60"/>
    <n v="8932"/>
    <s v="0"/>
    <s v="Bi-måler vand"/>
    <x v="123"/>
    <x v="1"/>
    <x v="3"/>
    <n v="0"/>
    <n v="12"/>
    <s v="2015-05-05"/>
    <n v="0"/>
    <n v="0"/>
    <n v="0"/>
    <n v="3"/>
    <x v="0"/>
    <n v="0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3"/>
    <n v="465.2"/>
    <n v="12"/>
    <s v="2015-05-05"/>
    <n v="0"/>
    <n v="0"/>
    <n v="4652"/>
    <n v="3"/>
    <x v="0"/>
    <n v="465.2"/>
    <n v="0"/>
    <n v="1"/>
    <s v="405403 KVM6 25M"/>
    <m/>
    <n v="465.20100000000002"/>
    <n v="0"/>
    <n v="70976"/>
  </r>
  <r>
    <x v="15"/>
    <s v="190-001744"/>
    <s v="Værløse Svømmehal, KV60"/>
    <n v="8932"/>
    <s v="0"/>
    <s v="Bi-måler vand"/>
    <x v="123"/>
    <x v="1"/>
    <x v="3"/>
    <n v="0"/>
    <n v="12"/>
    <s v="2015-05-05"/>
    <n v="0"/>
    <n v="0"/>
    <n v="0"/>
    <n v="3"/>
    <x v="0"/>
    <n v="0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4"/>
    <n v="1"/>
    <n v="12"/>
    <s v="2015-05-05"/>
    <n v="0"/>
    <n v="0"/>
    <n v="10"/>
    <n v="3"/>
    <x v="0"/>
    <n v="1"/>
    <n v="0.8"/>
    <n v="1"/>
    <s v="400617 KVM9 VVB"/>
    <m/>
    <n v="1"/>
    <n v="0"/>
    <n v="70970"/>
  </r>
  <r>
    <x v="15"/>
    <s v="190-001744"/>
    <s v="Værløse Svømmehal, KV60"/>
    <n v="8932"/>
    <s v="0"/>
    <s v="Bi-måler vand"/>
    <x v="123"/>
    <x v="1"/>
    <x v="4"/>
    <n v="459.18"/>
    <n v="12"/>
    <s v="2012-07-31"/>
    <n v="0"/>
    <n v="0"/>
    <n v="4591.8"/>
    <n v="3"/>
    <x v="0"/>
    <n v="459.18"/>
    <n v="367.32"/>
    <n v="1"/>
    <s v="3320905 KVM10"/>
    <m/>
    <n v="459.16552999999999"/>
    <n v="0"/>
    <n v="70971"/>
  </r>
  <r>
    <x v="15"/>
    <s v="190-001744"/>
    <s v="Værløse Svømmehal, KV60"/>
    <n v="8932"/>
    <s v="0"/>
    <s v="Bi-måler vand"/>
    <x v="123"/>
    <x v="1"/>
    <x v="4"/>
    <n v="360.41"/>
    <n v="12"/>
    <s v="2015-05-05"/>
    <n v="0"/>
    <n v="0"/>
    <n v="3604.1"/>
    <n v="3"/>
    <x v="0"/>
    <n v="360.41"/>
    <n v="288.33"/>
    <n v="1"/>
    <s v="405303 KVM8 VVB"/>
    <m/>
    <n v="360.40503000000001"/>
    <n v="0"/>
    <n v="70972"/>
  </r>
  <r>
    <x v="15"/>
    <s v="190-001744"/>
    <s v="Værløse Svømmehal, KV60"/>
    <n v="8932"/>
    <s v="0"/>
    <s v="Bi-måler vand"/>
    <x v="123"/>
    <x v="1"/>
    <x v="4"/>
    <n v="1376.98"/>
    <n v="12"/>
    <s v="2015-05-05"/>
    <n v="0"/>
    <n v="0"/>
    <n v="13769.8"/>
    <n v="3"/>
    <x v="0"/>
    <n v="1376.98"/>
    <n v="1101.58"/>
    <n v="1"/>
    <s v="KVM4 SKYLLETANK"/>
    <m/>
    <n v="1376.9831899999999"/>
    <n v="0"/>
    <n v="70973"/>
  </r>
  <r>
    <x v="15"/>
    <s v="190-001744"/>
    <s v="Værløse Svømmehal, KV60"/>
    <n v="8932"/>
    <s v="0"/>
    <s v="Bi-måler vand"/>
    <x v="123"/>
    <x v="1"/>
    <x v="4"/>
    <n v="992.91"/>
    <n v="12"/>
    <s v="2015-05-05"/>
    <n v="0"/>
    <n v="0"/>
    <n v="9929.1"/>
    <n v="3"/>
    <x v="0"/>
    <n v="992.91"/>
    <n v="0"/>
    <n v="1"/>
    <s v="405503 KVM3 TB"/>
    <m/>
    <n v="992.89661999999998"/>
    <n v="0"/>
    <n v="70974"/>
  </r>
  <r>
    <x v="15"/>
    <s v="190-001744"/>
    <s v="Værløse Svømmehal, KV60"/>
    <n v="8932"/>
    <s v="0"/>
    <s v="Bi-måler vand"/>
    <x v="123"/>
    <x v="1"/>
    <x v="4"/>
    <n v="1"/>
    <n v="12"/>
    <s v="2015-05-05"/>
    <n v="0"/>
    <n v="0"/>
    <n v="10"/>
    <n v="3"/>
    <x v="0"/>
    <n v="1"/>
    <n v="0"/>
    <n v="1"/>
    <s v="40061501 KVM5 TB"/>
    <m/>
    <n v="1"/>
    <n v="0"/>
    <n v="70975"/>
  </r>
  <r>
    <x v="15"/>
    <s v="190-001744"/>
    <s v="Værløse Svømmehal, KV60"/>
    <n v="8932"/>
    <s v="0"/>
    <s v="Bi-måler vand"/>
    <x v="123"/>
    <x v="1"/>
    <x v="4"/>
    <n v="276.39999999999998"/>
    <n v="12"/>
    <s v="2015-05-05"/>
    <n v="0"/>
    <n v="0"/>
    <n v="2764"/>
    <n v="3"/>
    <x v="0"/>
    <n v="276.39999999999998"/>
    <n v="0"/>
    <n v="1"/>
    <s v="405403 KVM6 25M"/>
    <m/>
    <n v="276.41093000000001"/>
    <n v="0"/>
    <n v="70976"/>
  </r>
  <r>
    <x v="15"/>
    <s v="190-001744"/>
    <s v="Værløse Svømmehal, KV60"/>
    <n v="8932"/>
    <s v="0"/>
    <s v="Bi-måler vand"/>
    <x v="123"/>
    <x v="1"/>
    <x v="4"/>
    <n v="0"/>
    <n v="12"/>
    <s v="2015-05-05"/>
    <n v="0"/>
    <n v="0"/>
    <n v="0"/>
    <n v="3"/>
    <x v="0"/>
    <n v="0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5"/>
    <n v="0"/>
    <n v="11"/>
    <s v="2015-05-05"/>
    <n v="0"/>
    <n v="0"/>
    <n v="0"/>
    <n v="3"/>
    <x v="0"/>
    <n v="0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5"/>
    <n v="168.09"/>
    <n v="11"/>
    <s v="2012-07-31"/>
    <n v="0"/>
    <n v="0"/>
    <n v="1680.9"/>
    <n v="3"/>
    <x v="0"/>
    <n v="168.09"/>
    <n v="134.44999999999999"/>
    <n v="1"/>
    <s v="3320905 KVM10"/>
    <m/>
    <n v="168.08018000000001"/>
    <n v="0"/>
    <n v="70971"/>
  </r>
  <r>
    <x v="15"/>
    <s v="190-001744"/>
    <s v="Værløse Svømmehal, KV60"/>
    <n v="8932"/>
    <s v="0"/>
    <s v="Bi-måler vand"/>
    <x v="123"/>
    <x v="1"/>
    <x v="5"/>
    <n v="357.84"/>
    <n v="11"/>
    <s v="2015-05-05"/>
    <n v="0"/>
    <n v="0"/>
    <n v="3578.4"/>
    <n v="3"/>
    <x v="0"/>
    <n v="357.84"/>
    <n v="286.27"/>
    <n v="1"/>
    <s v="405303 KVM8 VVB"/>
    <m/>
    <n v="357.83593999999999"/>
    <n v="0"/>
    <n v="70972"/>
  </r>
  <r>
    <x v="15"/>
    <s v="190-001744"/>
    <s v="Værløse Svømmehal, KV60"/>
    <n v="8932"/>
    <s v="0"/>
    <s v="Bi-måler vand"/>
    <x v="123"/>
    <x v="1"/>
    <x v="5"/>
    <n v="1523.45"/>
    <n v="11"/>
    <s v="2015-05-05"/>
    <n v="0"/>
    <n v="0"/>
    <n v="15234.5"/>
    <n v="3"/>
    <x v="0"/>
    <n v="1523.45"/>
    <n v="1218.76"/>
    <n v="1"/>
    <s v="KVM4 SKYLLETANK"/>
    <m/>
    <n v="1523.4608499999999"/>
    <n v="0"/>
    <n v="70973"/>
  </r>
  <r>
    <x v="15"/>
    <s v="190-001744"/>
    <s v="Værløse Svømmehal, KV60"/>
    <n v="8932"/>
    <s v="0"/>
    <s v="Bi-måler vand"/>
    <x v="123"/>
    <x v="1"/>
    <x v="5"/>
    <n v="1044.6199999999999"/>
    <n v="11"/>
    <s v="2015-05-05"/>
    <n v="0"/>
    <n v="0"/>
    <n v="10446.200000000001"/>
    <n v="3"/>
    <x v="0"/>
    <n v="1044.6199999999999"/>
    <n v="0"/>
    <n v="1"/>
    <s v="405503 KVM3 TB"/>
    <m/>
    <n v="1044.61473"/>
    <n v="0"/>
    <n v="70974"/>
  </r>
  <r>
    <x v="15"/>
    <s v="190-001744"/>
    <s v="Værløse Svømmehal, KV60"/>
    <n v="8932"/>
    <s v="0"/>
    <s v="Bi-måler vand"/>
    <x v="123"/>
    <x v="1"/>
    <x v="5"/>
    <n v="0"/>
    <n v="11"/>
    <s v="2015-05-05"/>
    <n v="0"/>
    <n v="0"/>
    <n v="0"/>
    <n v="3"/>
    <x v="0"/>
    <n v="0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5"/>
    <n v="419.82"/>
    <n v="11"/>
    <s v="2015-05-05"/>
    <n v="0"/>
    <n v="0"/>
    <n v="4198.2"/>
    <n v="3"/>
    <x v="0"/>
    <n v="419.82"/>
    <n v="0"/>
    <n v="1"/>
    <s v="405403 KVM6 25M"/>
    <m/>
    <n v="419.81013000000002"/>
    <n v="0"/>
    <n v="70976"/>
  </r>
  <r>
    <x v="15"/>
    <s v="190-001744"/>
    <s v="Værløse Svømmehal, KV60"/>
    <n v="8932"/>
    <s v="0"/>
    <s v="Bi-måler vand"/>
    <x v="123"/>
    <x v="1"/>
    <x v="5"/>
    <n v="0"/>
    <n v="11"/>
    <s v="2015-05-05"/>
    <n v="0"/>
    <n v="0"/>
    <n v="0"/>
    <n v="3"/>
    <x v="0"/>
    <n v="0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3"/>
    <x v="1"/>
    <x v="6"/>
    <n v="3237.67"/>
    <n v="5"/>
    <s v="2008-05-01"/>
    <n v="0"/>
    <n v="0"/>
    <n v="32376.7"/>
    <n v="3"/>
    <x v="0"/>
    <n v="3237.67"/>
    <n v="2590.14"/>
    <n v="1"/>
    <s v="31828725 KVM2 BV"/>
    <m/>
    <n v="3237.6666700000001"/>
    <n v="0"/>
    <n v="70969"/>
  </r>
  <r>
    <x v="15"/>
    <s v="190-001744"/>
    <s v="Værløse Svømmehal, KV60"/>
    <n v="8932"/>
    <s v="0"/>
    <s v="Bi-måler vand"/>
    <x v="123"/>
    <x v="1"/>
    <x v="6"/>
    <n v="0"/>
    <n v="12"/>
    <s v="2015-05-05"/>
    <n v="0"/>
    <n v="0"/>
    <n v="0"/>
    <n v="3"/>
    <x v="0"/>
    <n v="0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6"/>
    <n v="223.56"/>
    <n v="12"/>
    <s v="2012-07-31"/>
    <n v="0"/>
    <n v="0"/>
    <n v="2235.6"/>
    <n v="3"/>
    <x v="0"/>
    <n v="223.56"/>
    <n v="178.85"/>
    <n v="1"/>
    <s v="3320905 KVM10"/>
    <m/>
    <n v="223.54838000000001"/>
    <n v="0"/>
    <n v="70971"/>
  </r>
  <r>
    <x v="15"/>
    <s v="190-001744"/>
    <s v="Værløse Svømmehal, KV60"/>
    <n v="8932"/>
    <s v="0"/>
    <s v="Bi-måler vand"/>
    <x v="123"/>
    <x v="1"/>
    <x v="6"/>
    <n v="332.65"/>
    <n v="12"/>
    <s v="2015-05-05"/>
    <n v="0"/>
    <n v="0"/>
    <n v="3326.5"/>
    <n v="3"/>
    <x v="0"/>
    <n v="332.65"/>
    <n v="266.12"/>
    <n v="1"/>
    <s v="405303 KVM8 VVB"/>
    <m/>
    <n v="332.66883999999999"/>
    <n v="0"/>
    <n v="70972"/>
  </r>
  <r>
    <x v="15"/>
    <s v="190-001744"/>
    <s v="Værløse Svømmehal, KV60"/>
    <n v="8932"/>
    <s v="0"/>
    <s v="Bi-måler vand"/>
    <x v="123"/>
    <x v="1"/>
    <x v="6"/>
    <n v="1381.16"/>
    <n v="12"/>
    <s v="2015-05-05"/>
    <n v="0"/>
    <n v="0"/>
    <n v="13811.6"/>
    <n v="3"/>
    <x v="0"/>
    <n v="1381.16"/>
    <n v="1104.93"/>
    <n v="1"/>
    <s v="KVM4 SKYLLETANK"/>
    <m/>
    <n v="1381.16776"/>
    <n v="0"/>
    <n v="70973"/>
  </r>
  <r>
    <x v="15"/>
    <s v="190-001744"/>
    <s v="Værløse Svømmehal, KV60"/>
    <n v="8932"/>
    <s v="0"/>
    <s v="Bi-måler vand"/>
    <x v="123"/>
    <x v="1"/>
    <x v="6"/>
    <n v="869.4"/>
    <n v="12"/>
    <s v="2015-05-05"/>
    <n v="0"/>
    <n v="0"/>
    <n v="8694"/>
    <n v="3"/>
    <x v="0"/>
    <n v="869.4"/>
    <n v="0"/>
    <n v="1"/>
    <s v="405503 KVM3 TB"/>
    <m/>
    <n v="869.40428999999995"/>
    <n v="0"/>
    <n v="70974"/>
  </r>
  <r>
    <x v="15"/>
    <s v="190-001744"/>
    <s v="Værløse Svømmehal, KV60"/>
    <n v="8932"/>
    <s v="0"/>
    <s v="Bi-måler vand"/>
    <x v="123"/>
    <x v="1"/>
    <x v="6"/>
    <n v="0"/>
    <n v="12"/>
    <s v="2015-05-05"/>
    <n v="0"/>
    <n v="0"/>
    <n v="0"/>
    <n v="3"/>
    <x v="0"/>
    <n v="0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3"/>
    <x v="1"/>
    <x v="6"/>
    <n v="361.24"/>
    <n v="12"/>
    <s v="2015-05-05"/>
    <n v="0"/>
    <n v="0"/>
    <n v="3612.4"/>
    <n v="3"/>
    <x v="0"/>
    <n v="361.24"/>
    <n v="0"/>
    <n v="1"/>
    <s v="405403 KVM6 25M"/>
    <m/>
    <n v="361.22795000000002"/>
    <n v="0"/>
    <n v="70976"/>
  </r>
  <r>
    <x v="15"/>
    <s v="190-001744"/>
    <s v="Værløse Svømmehal, KV60"/>
    <n v="8932"/>
    <s v="0"/>
    <s v="Bi-måler vand"/>
    <x v="123"/>
    <x v="1"/>
    <x v="6"/>
    <n v="0"/>
    <n v="12"/>
    <s v="2015-05-05"/>
    <n v="0"/>
    <n v="0"/>
    <n v="0"/>
    <n v="3"/>
    <x v="0"/>
    <n v="0"/>
    <n v="0"/>
    <n v="1"/>
    <s v="40061601 KVM7 25M"/>
    <m/>
    <n v="0"/>
    <n v="0"/>
    <n v="70977"/>
  </r>
  <r>
    <x v="15"/>
    <s v="190-001744"/>
    <s v="Værløse Svømmehal, KV60"/>
    <n v="8878"/>
    <m/>
    <s v="Værløse Svømmehal"/>
    <x v="123"/>
    <x v="0"/>
    <x v="0"/>
    <n v="0"/>
    <n v="5"/>
    <m/>
    <n v="0"/>
    <n v="3615"/>
    <n v="0.66205599999999998"/>
    <n v="3"/>
    <x v="0"/>
    <n v="2393.4"/>
    <n v="1914.72"/>
    <n v="1"/>
    <s v="31828725 BV"/>
    <m/>
    <n v="2393.4"/>
    <n v="0"/>
    <n v="76950"/>
  </r>
  <r>
    <x v="15"/>
    <s v="190-001744"/>
    <s v="Værløse Svømmehal, KV60"/>
    <n v="8878"/>
    <m/>
    <s v="Værløse Svømmehal"/>
    <x v="123"/>
    <x v="0"/>
    <x v="0"/>
    <n v="15021"/>
    <n v="5"/>
    <m/>
    <n v="0"/>
    <n v="3615"/>
    <n v="1.721689"/>
    <n v="3"/>
    <x v="0"/>
    <n v="6224.08"/>
    <n v="4979.2700000000004"/>
    <n v="0"/>
    <s v="31039727"/>
    <m/>
    <n v="6224.08"/>
    <n v="0"/>
    <n v="76951"/>
  </r>
  <r>
    <x v="15"/>
    <s v="190-001744"/>
    <s v="Værløse Svømmehal, KV60"/>
    <n v="8878"/>
    <m/>
    <s v="Værløse Svømmehal"/>
    <x v="123"/>
    <x v="0"/>
    <x v="1"/>
    <n v="4142.3999999999996"/>
    <n v="12"/>
    <m/>
    <n v="0"/>
    <n v="3615"/>
    <n v="1.1458600000000001"/>
    <n v="3"/>
    <x v="0"/>
    <n v="4142.3999999999996"/>
    <n v="3313.92"/>
    <n v="1"/>
    <s v="31828725 BV"/>
    <m/>
    <n v="4142.3999999999996"/>
    <n v="0"/>
    <n v="76950"/>
  </r>
  <r>
    <x v="15"/>
    <s v="190-001744"/>
    <s v="Værløse Svømmehal, KV60"/>
    <n v="8878"/>
    <m/>
    <s v="Værløse Svømmehal"/>
    <x v="123"/>
    <x v="0"/>
    <x v="1"/>
    <n v="12865.27"/>
    <n v="12"/>
    <m/>
    <n v="0"/>
    <n v="3615"/>
    <n v="3.5587589999999998"/>
    <n v="3"/>
    <x v="0"/>
    <n v="12865.27"/>
    <n v="10292.219999999999"/>
    <n v="0"/>
    <s v="31039727"/>
    <m/>
    <n v="12865.27"/>
    <n v="0"/>
    <n v="76951"/>
  </r>
  <r>
    <x v="15"/>
    <s v="190-001744"/>
    <s v="Værløse Svømmehal, KV60"/>
    <n v="8878"/>
    <m/>
    <s v="Værløse Svømmehal"/>
    <x v="123"/>
    <x v="0"/>
    <x v="2"/>
    <n v="7323"/>
    <n v="12"/>
    <m/>
    <n v="0"/>
    <n v="3615"/>
    <n v="2.0256699999999999"/>
    <n v="3"/>
    <x v="0"/>
    <n v="7323"/>
    <n v="5858.4"/>
    <n v="1"/>
    <s v="31828725 BV"/>
    <m/>
    <n v="7323"/>
    <n v="0"/>
    <n v="76950"/>
  </r>
  <r>
    <x v="15"/>
    <s v="190-001744"/>
    <s v="Værløse Svømmehal, KV60"/>
    <n v="8878"/>
    <m/>
    <s v="Værløse Svømmehal"/>
    <x v="123"/>
    <x v="0"/>
    <x v="2"/>
    <n v="14690"/>
    <n v="12"/>
    <m/>
    <n v="0"/>
    <n v="3615"/>
    <n v="4.0635110000000001"/>
    <n v="3"/>
    <x v="0"/>
    <n v="14690"/>
    <n v="11751.99"/>
    <n v="0"/>
    <s v="31039727"/>
    <m/>
    <n v="14690"/>
    <n v="0"/>
    <n v="76951"/>
  </r>
  <r>
    <x v="15"/>
    <s v="190-001744"/>
    <s v="Værløse Svømmehal, KV60"/>
    <n v="8878"/>
    <m/>
    <s v="Værløse Svømmehal"/>
    <x v="123"/>
    <x v="0"/>
    <x v="3"/>
    <n v="7531.9"/>
    <n v="12"/>
    <m/>
    <n v="0"/>
    <n v="3615"/>
    <n v="2.0834549999999998"/>
    <n v="3"/>
    <x v="0"/>
    <n v="7531.9"/>
    <n v="6025.52"/>
    <n v="1"/>
    <s v="31828725 BV"/>
    <m/>
    <n v="7531.9"/>
    <n v="0"/>
    <n v="76950"/>
  </r>
  <r>
    <x v="15"/>
    <s v="190-001744"/>
    <s v="Værløse Svømmehal, KV60"/>
    <n v="8878"/>
    <m/>
    <s v="Værløse Svømmehal"/>
    <x v="123"/>
    <x v="0"/>
    <x v="3"/>
    <n v="12110.78"/>
    <n v="12"/>
    <m/>
    <n v="0"/>
    <n v="3615"/>
    <n v="3.3500529999999999"/>
    <n v="3"/>
    <x v="0"/>
    <n v="12110.78"/>
    <n v="9688.6200000000008"/>
    <n v="0"/>
    <s v="31039727"/>
    <m/>
    <n v="12110.781000000001"/>
    <n v="0"/>
    <n v="76951"/>
  </r>
  <r>
    <x v="15"/>
    <s v="190-001744"/>
    <s v="Værløse Svømmehal, KV60"/>
    <n v="8878"/>
    <m/>
    <s v="Værløse Svømmehal"/>
    <x v="123"/>
    <x v="0"/>
    <x v="4"/>
    <n v="8587.2999999999993"/>
    <n v="12"/>
    <m/>
    <n v="0"/>
    <n v="3615"/>
    <n v="2.375397"/>
    <n v="3"/>
    <x v="0"/>
    <n v="8587.2999999999993"/>
    <n v="6869.84"/>
    <n v="1"/>
    <s v="31828725 BV"/>
    <m/>
    <n v="8587.2999999999993"/>
    <n v="0"/>
    <n v="76950"/>
  </r>
  <r>
    <x v="15"/>
    <s v="190-001744"/>
    <s v="Værløse Svømmehal, KV60"/>
    <n v="8878"/>
    <m/>
    <s v="Værløse Svømmehal"/>
    <x v="123"/>
    <x v="0"/>
    <x v="4"/>
    <n v="14794.59"/>
    <n v="12"/>
    <m/>
    <n v="0"/>
    <n v="3615"/>
    <n v="4.0924420000000001"/>
    <n v="3"/>
    <x v="0"/>
    <n v="14794.59"/>
    <n v="11835.66"/>
    <n v="0"/>
    <s v="31039727"/>
    <m/>
    <n v="14794.589"/>
    <n v="0"/>
    <n v="76951"/>
  </r>
  <r>
    <x v="15"/>
    <s v="190-001744"/>
    <s v="Værløse Svømmehal, KV60"/>
    <n v="8878"/>
    <m/>
    <s v="Værløse Svømmehal"/>
    <x v="123"/>
    <x v="0"/>
    <x v="5"/>
    <n v="3715.19"/>
    <n v="3"/>
    <s v="2009-04-01"/>
    <n v="0"/>
    <n v="3615"/>
    <n v="1.0276860000000001"/>
    <n v="3"/>
    <x v="0"/>
    <n v="3715.19"/>
    <n v="2972.15"/>
    <n v="0"/>
    <s v="261004"/>
    <m/>
    <n v="3715.19047"/>
    <n v="0"/>
    <n v="70699"/>
  </r>
  <r>
    <x v="15"/>
    <s v="190-001744"/>
    <s v="Værløse Svømmehal, KV60"/>
    <n v="8878"/>
    <m/>
    <s v="Værløse Svømmehal"/>
    <x v="123"/>
    <x v="0"/>
    <x v="5"/>
    <n v="7942.7"/>
    <n v="12"/>
    <m/>
    <n v="0"/>
    <n v="3615"/>
    <n v="2.1970890000000001"/>
    <n v="3"/>
    <x v="0"/>
    <n v="7942.7"/>
    <n v="6354.16"/>
    <n v="1"/>
    <s v="31828725 BV"/>
    <m/>
    <n v="7942.7"/>
    <n v="0"/>
    <n v="76950"/>
  </r>
  <r>
    <x v="15"/>
    <s v="190-001744"/>
    <s v="Værløse Svømmehal, KV60"/>
    <n v="8878"/>
    <m/>
    <s v="Værløse Svømmehal"/>
    <x v="123"/>
    <x v="0"/>
    <x v="5"/>
    <n v="10509.71"/>
    <n v="9"/>
    <m/>
    <n v="0"/>
    <n v="3615"/>
    <n v="2.9071690000000001"/>
    <n v="3"/>
    <x v="0"/>
    <n v="10509.71"/>
    <n v="8407.76"/>
    <n v="0"/>
    <s v="31039727"/>
    <m/>
    <n v="10509.71"/>
    <n v="0"/>
    <n v="76951"/>
  </r>
  <r>
    <x v="15"/>
    <s v="190-001744"/>
    <s v="Værløse Svømmehal, KV60"/>
    <n v="8878"/>
    <m/>
    <s v="Værløse Svømmehal"/>
    <x v="123"/>
    <x v="0"/>
    <x v="6"/>
    <n v="13576.95"/>
    <n v="10"/>
    <s v="2009-04-01"/>
    <n v="0"/>
    <n v="3615"/>
    <n v="3.7556219999999998"/>
    <n v="3"/>
    <x v="0"/>
    <n v="13576.95"/>
    <n v="10861.55"/>
    <n v="0"/>
    <s v="261004"/>
    <m/>
    <n v="13576.942859999999"/>
    <n v="0"/>
    <n v="70699"/>
  </r>
  <r>
    <x v="15"/>
    <s v="190-001744"/>
    <s v="Værløse Svømmehal, KV60"/>
    <n v="8878"/>
    <m/>
    <s v="Værløse Svømmehal"/>
    <x v="123"/>
    <x v="0"/>
    <x v="6"/>
    <n v="4559.1000000000004"/>
    <n v="8"/>
    <m/>
    <n v="0"/>
    <n v="3615"/>
    <n v="1.261126"/>
    <n v="3"/>
    <x v="0"/>
    <n v="4559.1000000000004"/>
    <n v="3647.28"/>
    <n v="1"/>
    <s v="31828725 BV"/>
    <m/>
    <n v="4559.1000000000004"/>
    <n v="0"/>
    <n v="76950"/>
  </r>
  <r>
    <x v="15"/>
    <s v="05148-9"/>
    <s v="Farum Svømmehal, Park 20"/>
    <n v="6339"/>
    <m/>
    <s v="Bimåler tribune"/>
    <x v="122"/>
    <x v="1"/>
    <x v="7"/>
    <n v="9.01"/>
    <n v="12"/>
    <s v="2015-05-04"/>
    <n v="0"/>
    <n v="0"/>
    <n v="90.1"/>
    <n v="3"/>
    <x v="0"/>
    <n v="9.01"/>
    <n v="7.21"/>
    <n v="1"/>
    <s v="Tribune"/>
    <m/>
    <n v="9"/>
    <n v="0"/>
    <n v="57739"/>
  </r>
  <r>
    <x v="15"/>
    <s v="05148-9"/>
    <s v="Farum Svømmehal, Park 20"/>
    <n v="5452"/>
    <m/>
    <s v="Bimåler vand"/>
    <x v="122"/>
    <x v="1"/>
    <x v="7"/>
    <n v="3927.85"/>
    <n v="12"/>
    <s v="2005-07-01"/>
    <n v="0"/>
    <n v="0"/>
    <n v="39278.5"/>
    <n v="3"/>
    <x v="0"/>
    <n v="3927.85"/>
    <n v="0"/>
    <n v="1"/>
    <s v="VBV"/>
    <m/>
    <n v="3927.85"/>
    <n v="0"/>
    <n v="57547"/>
  </r>
  <r>
    <x v="15"/>
    <s v="05148-9"/>
    <s v="Farum Svømmehal, Park 20"/>
    <n v="5452"/>
    <m/>
    <s v="Bimåler vand"/>
    <x v="122"/>
    <x v="1"/>
    <x v="7"/>
    <n v="0"/>
    <n v="11"/>
    <s v="2014-10-31"/>
    <n v="0"/>
    <n v="0"/>
    <n v="0"/>
    <n v="3"/>
    <x v="0"/>
    <n v="0"/>
    <n v="0"/>
    <n v="1"/>
    <s v="Spejlbassin"/>
    <m/>
    <n v="0"/>
    <n v="0"/>
    <n v="57738"/>
  </r>
  <r>
    <x v="15"/>
    <s v="05148-9"/>
    <s v="Farum Svømmehal, Park 20"/>
    <n v="5452"/>
    <m/>
    <s v="Bimåler vand"/>
    <x v="122"/>
    <x v="1"/>
    <x v="7"/>
    <n v="235.49"/>
    <n v="12"/>
    <s v="2015-05-04"/>
    <n v="0"/>
    <n v="0"/>
    <n v="2354.9"/>
    <n v="3"/>
    <x v="0"/>
    <n v="235.49"/>
    <n v="188.4"/>
    <n v="1"/>
    <s v="Spæd VVB"/>
    <m/>
    <n v="235.49193"/>
    <n v="0"/>
    <n v="57740"/>
  </r>
  <r>
    <x v="15"/>
    <s v="05148-9"/>
    <s v="Farum Svømmehal, Park 20"/>
    <n v="5452"/>
    <m/>
    <s v="Bimåler vand"/>
    <x v="122"/>
    <x v="1"/>
    <x v="7"/>
    <n v="551.02"/>
    <n v="12"/>
    <s v="2015-05-04"/>
    <n v="0"/>
    <n v="0"/>
    <n v="5510.2"/>
    <n v="3"/>
    <x v="0"/>
    <n v="551.02"/>
    <n v="440.8"/>
    <n v="1"/>
    <s v="Spæd TB"/>
    <m/>
    <n v="551.01412000000005"/>
    <n v="0"/>
    <n v="57741"/>
  </r>
  <r>
    <x v="15"/>
    <s v="05148-9"/>
    <s v="Farum Svømmehal, Park 20"/>
    <n v="5452"/>
    <m/>
    <s v="Bimåler vand"/>
    <x v="122"/>
    <x v="1"/>
    <x v="7"/>
    <n v="732.86"/>
    <n v="12"/>
    <s v="2015-05-04"/>
    <n v="0"/>
    <n v="0"/>
    <n v="7328.6"/>
    <n v="3"/>
    <x v="0"/>
    <n v="732.86"/>
    <n v="586.29999999999995"/>
    <n v="1"/>
    <s v="Skylletank"/>
    <m/>
    <n v="732.86189000000002"/>
    <n v="0"/>
    <n v="57742"/>
  </r>
  <r>
    <x v="15"/>
    <s v="05148-9"/>
    <s v="Farum Svømmehal, Park 20"/>
    <n v="5452"/>
    <m/>
    <s v="Bimåler vand"/>
    <x v="122"/>
    <x v="1"/>
    <x v="7"/>
    <n v="1857.46"/>
    <n v="12"/>
    <s v="2015-05-04"/>
    <n v="0"/>
    <n v="0"/>
    <n v="18574.599999999999"/>
    <n v="3"/>
    <x v="0"/>
    <n v="1857.46"/>
    <n v="1485.97"/>
    <n v="1"/>
    <s v="Spæd 50m"/>
    <m/>
    <n v="1857.45868"/>
    <n v="0"/>
    <n v="57745"/>
  </r>
  <r>
    <x v="15"/>
    <s v="05148-9"/>
    <s v="Farum Svømmehal, Park 20"/>
    <n v="5449"/>
    <m/>
    <s v="Farum Svømmehal,Farum Park 20 st. th."/>
    <x v="122"/>
    <x v="0"/>
    <x v="7"/>
    <n v="14332.4"/>
    <n v="12"/>
    <s v="2005-07-01"/>
    <n v="0"/>
    <n v="7709"/>
    <n v="1.8591530000000001"/>
    <n v="3"/>
    <x v="0"/>
    <n v="14332.4"/>
    <n v="11465.92"/>
    <n v="0"/>
    <s v="10012225"/>
    <m/>
    <n v="14332.4"/>
    <n v="0"/>
    <n v="57535"/>
  </r>
  <r>
    <x v="15"/>
    <s v="05148-9"/>
    <s v="Farum Svømmehal, Park 20"/>
    <n v="5453"/>
    <m/>
    <s v="Swim-mix"/>
    <x v="122"/>
    <x v="1"/>
    <x v="7"/>
    <n v="473"/>
    <n v="12"/>
    <s v="2015-05-04"/>
    <n v="0"/>
    <n v="610"/>
    <n v="0.77528200000000003"/>
    <n v="3"/>
    <x v="0"/>
    <n v="473"/>
    <n v="0"/>
    <n v="1"/>
    <s v="VBV 29016080"/>
    <m/>
    <n v="473.00706000000002"/>
    <n v="0"/>
    <n v="84286"/>
  </r>
  <r>
    <x v="15"/>
    <s v="05148-9"/>
    <s v="Farum Svømmehal, Park 20"/>
    <n v="5450"/>
    <m/>
    <s v="Bimåler Varme"/>
    <x v="122"/>
    <x v="1"/>
    <x v="7"/>
    <n v="141320.34"/>
    <n v="12"/>
    <s v="2015-05-04"/>
    <n v="0"/>
    <n v="0"/>
    <n v="1413203.4"/>
    <n v="1"/>
    <x v="1"/>
    <n v="141320.34"/>
    <n v="13212162.24"/>
    <n v="1"/>
    <s v="01/4087189 VVB"/>
    <m/>
    <n v="141320.3377"/>
    <n v="0"/>
    <n v="57557"/>
  </r>
  <r>
    <x v="15"/>
    <s v="05148-9"/>
    <s v="Farum Svømmehal, Park 20"/>
    <n v="5450"/>
    <m/>
    <s v="Bimåler Varme"/>
    <x v="122"/>
    <x v="1"/>
    <x v="7"/>
    <n v="115462.39999999999"/>
    <n v="12"/>
    <s v="2015-05-04"/>
    <n v="0"/>
    <n v="0"/>
    <n v="1154624"/>
    <n v="1"/>
    <x v="1"/>
    <n v="115462.39999999999"/>
    <n v="10622099.449999999"/>
    <n v="1"/>
    <s v="01/4087187 VE12"/>
    <m/>
    <n v="115462.40222"/>
    <n v="0"/>
    <n v="57626"/>
  </r>
  <r>
    <x v="15"/>
    <s v="05148-9"/>
    <s v="Farum Svømmehal, Park 20"/>
    <n v="5450"/>
    <m/>
    <s v="Bimåler Varme"/>
    <x v="122"/>
    <x v="1"/>
    <x v="7"/>
    <n v="548012.62"/>
    <n v="11"/>
    <s v="2015-05-04"/>
    <n v="0"/>
    <n v="0"/>
    <n v="5480126.2000000002"/>
    <n v="1"/>
    <x v="1"/>
    <n v="548012.62"/>
    <n v="47483904.579999998"/>
    <n v="1"/>
    <s v="859208 VE 1&amp;2"/>
    <m/>
    <n v="548012.62095999997"/>
    <n v="0"/>
    <n v="57632"/>
  </r>
  <r>
    <x v="15"/>
    <s v="05148-9"/>
    <s v="Farum Svømmehal, Park 20"/>
    <n v="5450"/>
    <m/>
    <s v="Bimåler Varme"/>
    <x v="122"/>
    <x v="1"/>
    <x v="7"/>
    <n v="24166.55"/>
    <n v="12"/>
    <s v="2015-05-04"/>
    <n v="0"/>
    <n v="0"/>
    <n v="241665.5"/>
    <n v="1"/>
    <x v="1"/>
    <n v="24166.55"/>
    <n v="44771.57"/>
    <n v="1"/>
    <s v="4169401 RA10"/>
    <m/>
    <n v="24166.54537"/>
    <n v="0"/>
    <n v="57634"/>
  </r>
  <r>
    <x v="15"/>
    <s v="05148-9"/>
    <s v="Farum Svømmehal, Park 20"/>
    <n v="5450"/>
    <m/>
    <s v="Bimåler Varme"/>
    <x v="122"/>
    <x v="1"/>
    <x v="7"/>
    <n v="4657.03"/>
    <n v="12"/>
    <s v="2015-05-04"/>
    <n v="0"/>
    <n v="0"/>
    <n v="46570.3"/>
    <n v="1"/>
    <x v="1"/>
    <n v="4657.03"/>
    <n v="335435.84999999998"/>
    <n v="1"/>
    <s v="01/4087190 TB"/>
    <m/>
    <n v="4657.0161200000002"/>
    <n v="0"/>
    <n v="57559"/>
  </r>
  <r>
    <x v="15"/>
    <s v="05148-9"/>
    <s v="Farum Svømmehal, Park 20"/>
    <n v="5450"/>
    <m/>
    <s v="Bimåler Varme"/>
    <x v="122"/>
    <x v="1"/>
    <x v="7"/>
    <n v="86167.13"/>
    <n v="12"/>
    <s v="2015-05-04"/>
    <n v="0"/>
    <n v="0"/>
    <n v="861671.3"/>
    <n v="1"/>
    <x v="1"/>
    <n v="86167.13"/>
    <n v="6741064.9199999999"/>
    <n v="1"/>
    <s v="01/4087186 VE11"/>
    <m/>
    <n v="86167.145170000003"/>
    <n v="0"/>
    <n v="57561"/>
  </r>
  <r>
    <x v="15"/>
    <s v="05148-9"/>
    <s v="Farum Svømmehal, Park 20"/>
    <n v="5450"/>
    <m/>
    <s v="Bimåler Varme"/>
    <x v="122"/>
    <x v="1"/>
    <x v="7"/>
    <n v="9807.93"/>
    <n v="12"/>
    <s v="2015-05-04"/>
    <n v="0"/>
    <n v="0"/>
    <n v="98079.3"/>
    <n v="1"/>
    <x v="1"/>
    <n v="9807.93"/>
    <n v="734127.28"/>
    <n v="1"/>
    <s v="01/4087188 RA 01"/>
    <m/>
    <n v="9807.92238"/>
    <n v="0"/>
    <n v="57628"/>
  </r>
  <r>
    <x v="15"/>
    <s v="05148-9"/>
    <s v="Farum Svømmehal, Park 20"/>
    <n v="5450"/>
    <m/>
    <s v="Bimåler Varme"/>
    <x v="122"/>
    <x v="1"/>
    <x v="7"/>
    <n v="269085.56"/>
    <n v="11"/>
    <s v="2015-05-04"/>
    <n v="0"/>
    <n v="0"/>
    <n v="2690855.6"/>
    <n v="1"/>
    <x v="1"/>
    <n v="269085.56"/>
    <n v="24754809.52"/>
    <n v="1"/>
    <s v="859209 VBV"/>
    <m/>
    <n v="269085.56452000001"/>
    <n v="0"/>
    <n v="57630"/>
  </r>
  <r>
    <x v="15"/>
    <s v="05148-9"/>
    <s v="Farum Svømmehal, Park 20"/>
    <n v="5450"/>
    <m/>
    <s v="Bimåler Varme"/>
    <x v="122"/>
    <x v="1"/>
    <x v="7"/>
    <n v="9345.1"/>
    <n v="12"/>
    <s v="2015-05-04"/>
    <n v="0"/>
    <n v="0"/>
    <n v="93451"/>
    <n v="1"/>
    <x v="1"/>
    <n v="9345.1"/>
    <n v="644191.98"/>
    <n v="1"/>
    <s v="4169400 VE09"/>
    <m/>
    <n v="9345.1038200000003"/>
    <n v="0"/>
    <n v="57636"/>
  </r>
  <r>
    <x v="15"/>
    <s v="05148-9"/>
    <s v="Farum Svømmehal, Park 20"/>
    <n v="5450"/>
    <m/>
    <s v="Bimåler Varme"/>
    <x v="122"/>
    <x v="1"/>
    <x v="7"/>
    <n v="2641.4"/>
    <n v="12"/>
    <s v="2015-05-04"/>
    <n v="0"/>
    <n v="0"/>
    <n v="26414"/>
    <n v="1"/>
    <x v="1"/>
    <n v="2641.4"/>
    <n v="128201.36"/>
    <n v="1"/>
    <s v="4169399 VE08"/>
    <m/>
    <n v="2641.41129"/>
    <n v="0"/>
    <n v="57638"/>
  </r>
  <r>
    <x v="15"/>
    <s v="05148-9"/>
    <s v="Farum Svømmehal, Park 20"/>
    <n v="5449"/>
    <m/>
    <s v="Farum Svømmehal,Farum Park 20 st. th."/>
    <x v="122"/>
    <x v="0"/>
    <x v="7"/>
    <n v="1480800"/>
    <n v="12"/>
    <s v="2005-07-01"/>
    <n v="0"/>
    <n v="7709"/>
    <n v="192.08467899999999"/>
    <n v="1"/>
    <x v="1"/>
    <n v="1645752.38"/>
    <n v="138735554.68000001"/>
    <n v="0"/>
    <s v="69291280"/>
    <m/>
    <n v="1480800"/>
    <n v="0"/>
    <n v="57534"/>
  </r>
  <r>
    <x v="15"/>
    <s v="05148-9"/>
    <s v="Farum Svømmehal, Park 20"/>
    <n v="5453"/>
    <m/>
    <s v="Swim-mix"/>
    <x v="122"/>
    <x v="1"/>
    <x v="7"/>
    <n v="27761.26"/>
    <n v="12"/>
    <s v="2015-05-04"/>
    <n v="0"/>
    <n v="610"/>
    <n v="45.502802000000003"/>
    <n v="1"/>
    <x v="1"/>
    <n v="32837.96"/>
    <n v="2960839.96"/>
    <n v="1"/>
    <s v="8545882"/>
    <m/>
    <n v="27761.251"/>
    <n v="0"/>
    <n v="84287"/>
  </r>
  <r>
    <x v="15"/>
    <s v="05148-9"/>
    <s v="Farum Svømmehal, Park 20"/>
    <n v="5449"/>
    <m/>
    <s v="Farum Svømmehal,Farum Park 20 st. th."/>
    <x v="122"/>
    <x v="0"/>
    <x v="7"/>
    <n v="444492.65"/>
    <n v="12"/>
    <m/>
    <n v="0"/>
    <n v="7709"/>
    <n v="57.658175999999997"/>
    <n v="2"/>
    <x v="2"/>
    <n v="444492.65"/>
    <n v="177797.06"/>
    <n v="0"/>
    <s v="103229/48646 GL hal"/>
    <s v="74112152523"/>
    <n v="444492.65"/>
    <n v="0"/>
    <n v="57533"/>
  </r>
  <r>
    <x v="15"/>
    <s v="05148-9"/>
    <s v="Farum Svømmehal, Park 20"/>
    <n v="5449"/>
    <m/>
    <s v="Farum Svømmehal,Farum Park 20 st. th."/>
    <x v="122"/>
    <x v="0"/>
    <x v="7"/>
    <n v="22234.12"/>
    <n v="12"/>
    <s v="2005-07-01"/>
    <n v="0"/>
    <n v="7709"/>
    <n v="2.8841389999999998"/>
    <n v="2"/>
    <x v="2"/>
    <n v="22234.12"/>
    <n v="8893.6299999999992"/>
    <n v="0"/>
    <s v="800307 TB"/>
    <s v="74114782704"/>
    <n v="22234.095000000001"/>
    <n v="0"/>
    <n v="57542"/>
  </r>
  <r>
    <x v="15"/>
    <s v="05148-9"/>
    <s v="Farum Svømmehal, Park 20"/>
    <n v="5449"/>
    <m/>
    <s v="Farum Svømmehal,Farum Park 20 st. th."/>
    <x v="122"/>
    <x v="0"/>
    <x v="7"/>
    <n v="115921.14"/>
    <n v="12"/>
    <m/>
    <n v="0"/>
    <n v="7709"/>
    <n v="15.036922000000001"/>
    <n v="2"/>
    <x v="2"/>
    <n v="115921.14"/>
    <n v="46368.45"/>
    <n v="0"/>
    <s v="104167/800287  kæl"/>
    <s v="74114782704"/>
    <n v="115921.13499999999"/>
    <n v="0"/>
    <n v="57544"/>
  </r>
  <r>
    <x v="15"/>
    <s v="05148-9"/>
    <s v="Farum Svømmehal, Park 20"/>
    <n v="5451"/>
    <m/>
    <s v="Bimåler saunaer"/>
    <x v="122"/>
    <x v="1"/>
    <x v="7"/>
    <n v="25535.16"/>
    <n v="12"/>
    <s v="2015-05-04"/>
    <n v="0"/>
    <n v="0"/>
    <n v="255351.6"/>
    <n v="2"/>
    <x v="2"/>
    <n v="25535.16"/>
    <n v="10214.08"/>
    <n v="1"/>
    <s v="106980 FB gang"/>
    <m/>
    <n v="25535.15424"/>
    <n v="0"/>
    <n v="57640"/>
  </r>
  <r>
    <x v="15"/>
    <s v="05148-9"/>
    <s v="Farum Svømmehal, Park 20"/>
    <n v="5451"/>
    <m/>
    <s v="Bimåler saunaer"/>
    <x v="122"/>
    <x v="1"/>
    <x v="7"/>
    <n v="35134.67"/>
    <n v="12"/>
    <s v="2015-05-04"/>
    <n v="0"/>
    <n v="0"/>
    <n v="351346.7"/>
    <n v="2"/>
    <x v="2"/>
    <n v="35134.67"/>
    <n v="14053.86"/>
    <n v="1"/>
    <s v="Dame sauna"/>
    <m/>
    <n v="35134.666669999999"/>
    <n v="0"/>
    <n v="61886"/>
  </r>
  <r>
    <x v="15"/>
    <s v="05148-9"/>
    <s v="Farum Svømmehal, Park 20"/>
    <n v="5451"/>
    <m/>
    <s v="Bimåler saunaer"/>
    <x v="122"/>
    <x v="1"/>
    <x v="7"/>
    <n v="1675.49"/>
    <n v="12"/>
    <s v="2015-05-04"/>
    <n v="0"/>
    <n v="0"/>
    <n v="16754.900000000001"/>
    <n v="2"/>
    <x v="2"/>
    <n v="1675.49"/>
    <n v="670.2"/>
    <n v="1"/>
    <s v="Pige sauna"/>
    <m/>
    <n v="1675.5"/>
    <n v="0"/>
    <n v="61888"/>
  </r>
  <r>
    <x v="15"/>
    <s v="05148-9"/>
    <s v="Farum Svømmehal, Park 20"/>
    <n v="5451"/>
    <m/>
    <s v="Bimåler saunaer"/>
    <x v="122"/>
    <x v="1"/>
    <x v="7"/>
    <n v="35669.870000000003"/>
    <n v="12"/>
    <s v="2015-05-04"/>
    <n v="0"/>
    <n v="0"/>
    <n v="356698.7"/>
    <n v="2"/>
    <x v="2"/>
    <n v="35669.870000000003"/>
    <n v="16729.169999999998"/>
    <n v="1"/>
    <s v="Herre sauna"/>
    <m/>
    <n v="35669.86666"/>
    <n v="0"/>
    <n v="68520"/>
  </r>
  <r>
    <x v="15"/>
    <s v="05148-9"/>
    <s v="Farum Svømmehal, Park 20"/>
    <n v="5451"/>
    <m/>
    <s v="Bimåler saunaer"/>
    <x v="122"/>
    <x v="1"/>
    <x v="7"/>
    <n v="159.6"/>
    <n v="12"/>
    <s v="2015-05-04"/>
    <n v="0"/>
    <n v="0"/>
    <n v="1596"/>
    <n v="2"/>
    <x v="2"/>
    <n v="159.6"/>
    <n v="74.849999999999994"/>
    <n v="1"/>
    <s v="Drenge sauna"/>
    <m/>
    <n v="159.6"/>
    <n v="0"/>
    <n v="68519"/>
  </r>
  <r>
    <x v="15"/>
    <s v="05148-9"/>
    <s v="Farum Svømmehal, Park 20"/>
    <n v="6339"/>
    <m/>
    <s v="Bimåler tribune"/>
    <x v="122"/>
    <x v="1"/>
    <x v="7"/>
    <n v="1330"/>
    <n v="12"/>
    <s v="2015-05-04"/>
    <n v="0"/>
    <n v="0"/>
    <n v="13300"/>
    <n v="2"/>
    <x v="2"/>
    <n v="1330"/>
    <n v="532"/>
    <n v="1"/>
    <s v="Tribune"/>
    <m/>
    <n v="1330"/>
    <n v="0"/>
    <n v="62513"/>
  </r>
  <r>
    <x v="15"/>
    <s v="05148-9"/>
    <s v="Farum Svømmehal, Park 20"/>
    <n v="5449"/>
    <m/>
    <s v="Farum Svømmehal,Farum Park 20 st. th."/>
    <x v="122"/>
    <x v="1"/>
    <x v="7"/>
    <n v="1213816.1299999999"/>
    <n v="12"/>
    <s v="2005-07-01"/>
    <n v="0"/>
    <n v="7709"/>
    <n v="157.45237800000001"/>
    <n v="1"/>
    <x v="3"/>
    <n v="1338890.55"/>
    <n v="3202226.15"/>
    <n v="1"/>
    <s v="01/4081529"/>
    <m/>
    <n v="34789.800000000003"/>
    <n v="57534"/>
    <n v="57554"/>
  </r>
  <r>
    <x v="15"/>
    <s v="05148-9"/>
    <s v="Farum Svømmehal, Park 20"/>
    <n v="5454"/>
    <m/>
    <s v="Cafe"/>
    <x v="122"/>
    <x v="1"/>
    <x v="7"/>
    <n v="20886.98"/>
    <n v="12"/>
    <s v="2015-05-04"/>
    <n v="0"/>
    <n v="50"/>
    <n v="416.90578799999997"/>
    <n v="2"/>
    <x v="2"/>
    <n v="20886.98"/>
    <n v="8354.7900000000009"/>
    <n v="1"/>
    <s v="3184256"/>
    <m/>
    <n v="20886.96875"/>
    <n v="0"/>
    <n v="57747"/>
  </r>
  <r>
    <x v="15"/>
    <s v="05148-9"/>
    <s v="Farum Svømmehal, Park 20"/>
    <n v="5454"/>
    <m/>
    <s v="Cafe"/>
    <x v="122"/>
    <x v="1"/>
    <x v="7"/>
    <n v="1095.75"/>
    <n v="12"/>
    <s v="2015-05-04"/>
    <n v="0"/>
    <n v="50"/>
    <n v="21.871257"/>
    <n v="2"/>
    <x v="2"/>
    <n v="1095.75"/>
    <n v="438.29"/>
    <n v="1"/>
    <s v="138873"/>
    <m/>
    <n v="1095.7570599999999"/>
    <n v="0"/>
    <n v="57748"/>
  </r>
  <r>
    <x v="15"/>
    <s v="05148-9"/>
    <s v="Farum Svømmehal, Park 20"/>
    <n v="5453"/>
    <m/>
    <s v="Swim-mix"/>
    <x v="122"/>
    <x v="1"/>
    <x v="7"/>
    <n v="29218.67"/>
    <n v="12"/>
    <s v="2015-05-04"/>
    <n v="0"/>
    <n v="610"/>
    <n v="47.891607"/>
    <n v="2"/>
    <x v="2"/>
    <n v="29218.67"/>
    <n v="11687.46"/>
    <n v="1"/>
    <s v="swimmix"/>
    <m/>
    <n v="29218.66835"/>
    <n v="0"/>
    <n v="57556"/>
  </r>
  <r>
    <x v="15"/>
    <s v="05148-9"/>
    <s v="Farum Svømmehal, Park 20"/>
    <n v="5450"/>
    <m/>
    <s v="Bimåler Varme"/>
    <x v="122"/>
    <x v="1"/>
    <x v="0"/>
    <n v="33889.5"/>
    <n v="5"/>
    <s v="2015-05-04"/>
    <n v="0"/>
    <n v="0"/>
    <n v="338895"/>
    <n v="1"/>
    <x v="1"/>
    <n v="33889.5"/>
    <n v="6269557.5"/>
    <n v="1"/>
    <s v="01/4087186 VE11"/>
    <m/>
    <n v="33889.500010000003"/>
    <n v="0"/>
    <n v="57561"/>
  </r>
  <r>
    <x v="15"/>
    <s v="05148-9"/>
    <s v="Farum Svømmehal, Park 20"/>
    <n v="5450"/>
    <m/>
    <s v="Bimåler Varme"/>
    <x v="122"/>
    <x v="1"/>
    <x v="0"/>
    <n v="99942.5"/>
    <n v="5"/>
    <s v="2015-05-04"/>
    <n v="0"/>
    <n v="0"/>
    <n v="999425"/>
    <n v="1"/>
    <x v="1"/>
    <n v="99942.5"/>
    <n v="18489362.5"/>
    <n v="1"/>
    <s v="859209 VBV"/>
    <m/>
    <n v="99942.5"/>
    <n v="0"/>
    <n v="57630"/>
  </r>
  <r>
    <x v="15"/>
    <s v="05148-9"/>
    <s v="Farum Svømmehal, Park 20"/>
    <n v="5450"/>
    <m/>
    <s v="Bimåler Varme"/>
    <x v="122"/>
    <x v="1"/>
    <x v="0"/>
    <n v="266461.24"/>
    <n v="5"/>
    <s v="2015-05-04"/>
    <n v="0"/>
    <n v="0"/>
    <n v="2664612.4"/>
    <n v="1"/>
    <x v="1"/>
    <n v="266461.24"/>
    <n v="49295329.399999999"/>
    <n v="1"/>
    <s v="859208 VE 1&amp;2"/>
    <m/>
    <n v="266461.25"/>
    <n v="0"/>
    <n v="57632"/>
  </r>
  <r>
    <x v="15"/>
    <s v="05148-9"/>
    <s v="Farum Svømmehal, Park 20"/>
    <n v="5450"/>
    <m/>
    <s v="Bimåler Varme"/>
    <x v="122"/>
    <x v="1"/>
    <x v="0"/>
    <n v="1387.76"/>
    <n v="5"/>
    <s v="2015-05-04"/>
    <n v="0"/>
    <n v="0"/>
    <n v="13877.6"/>
    <n v="1"/>
    <x v="1"/>
    <n v="1387.76"/>
    <n v="256735.6"/>
    <n v="1"/>
    <s v="4169399 VE08"/>
    <m/>
    <n v="1387.75"/>
    <n v="0"/>
    <n v="57638"/>
  </r>
  <r>
    <x v="15"/>
    <s v="05148-9"/>
    <s v="Farum Svømmehal, Park 20"/>
    <n v="5450"/>
    <m/>
    <s v="Bimåler Varme"/>
    <x v="122"/>
    <x v="1"/>
    <x v="0"/>
    <n v="57359.48"/>
    <n v="5"/>
    <s v="2015-05-04"/>
    <n v="0"/>
    <n v="0"/>
    <n v="573594.80000000005"/>
    <n v="1"/>
    <x v="1"/>
    <n v="57359.48"/>
    <n v="10611503.800000001"/>
    <n v="1"/>
    <s v="01/4087189 VVB"/>
    <m/>
    <n v="57359.468739999997"/>
    <n v="0"/>
    <n v="57557"/>
  </r>
  <r>
    <x v="15"/>
    <s v="05148-9"/>
    <s v="Farum Svømmehal, Park 20"/>
    <n v="5450"/>
    <m/>
    <s v="Bimåler Varme"/>
    <x v="122"/>
    <x v="1"/>
    <x v="0"/>
    <n v="1027.5"/>
    <n v="5"/>
    <s v="2015-05-04"/>
    <n v="0"/>
    <n v="0"/>
    <n v="10275"/>
    <n v="1"/>
    <x v="1"/>
    <n v="1027.5"/>
    <n v="190087.5"/>
    <n v="1"/>
    <s v="01/4087190 TB"/>
    <m/>
    <n v="1027.50001"/>
    <n v="0"/>
    <n v="57559"/>
  </r>
  <r>
    <x v="15"/>
    <s v="05148-9"/>
    <s v="Farum Svømmehal, Park 20"/>
    <n v="5450"/>
    <m/>
    <s v="Bimåler Varme"/>
    <x v="122"/>
    <x v="1"/>
    <x v="0"/>
    <n v="54257.47"/>
    <n v="5"/>
    <s v="2015-05-04"/>
    <n v="0"/>
    <n v="0"/>
    <n v="542574.69999999995"/>
    <n v="1"/>
    <x v="1"/>
    <n v="54257.47"/>
    <n v="10037631.949999999"/>
    <n v="1"/>
    <s v="01/4087187 VE12"/>
    <m/>
    <n v="54257.46875"/>
    <n v="0"/>
    <n v="57626"/>
  </r>
  <r>
    <x v="15"/>
    <s v="05148-9"/>
    <s v="Farum Svømmehal, Park 20"/>
    <n v="5450"/>
    <m/>
    <s v="Bimåler Varme"/>
    <x v="122"/>
    <x v="1"/>
    <x v="0"/>
    <n v="7248.6"/>
    <n v="5"/>
    <s v="2015-05-04"/>
    <n v="0"/>
    <n v="0"/>
    <n v="72486"/>
    <n v="1"/>
    <x v="1"/>
    <n v="7248.6"/>
    <n v="1340991"/>
    <n v="1"/>
    <s v="01/4087188 RA 01"/>
    <m/>
    <n v="7248.5937599999997"/>
    <n v="0"/>
    <n v="57628"/>
  </r>
  <r>
    <x v="15"/>
    <s v="05148-9"/>
    <s v="Farum Svømmehal, Park 20"/>
    <n v="5450"/>
    <m/>
    <s v="Bimåler Varme"/>
    <x v="122"/>
    <x v="1"/>
    <x v="0"/>
    <n v="24751.91"/>
    <n v="5"/>
    <s v="2015-05-04"/>
    <n v="0"/>
    <n v="0"/>
    <n v="247519.1"/>
    <n v="1"/>
    <x v="1"/>
    <n v="24751.91"/>
    <n v="4579103.3499999996"/>
    <n v="1"/>
    <s v="4169401 RA10"/>
    <m/>
    <n v="24751.90624"/>
    <n v="0"/>
    <n v="57634"/>
  </r>
  <r>
    <x v="15"/>
    <s v="05148-9"/>
    <s v="Farum Svømmehal, Park 20"/>
    <n v="5450"/>
    <m/>
    <s v="Bimåler Varme"/>
    <x v="122"/>
    <x v="1"/>
    <x v="0"/>
    <n v="5041.21"/>
    <n v="5"/>
    <s v="2015-05-04"/>
    <n v="0"/>
    <n v="0"/>
    <n v="50412.1"/>
    <n v="1"/>
    <x v="1"/>
    <n v="5041.21"/>
    <n v="932623.85"/>
    <n v="1"/>
    <s v="4169400 VE09"/>
    <m/>
    <n v="5041.2187599999997"/>
    <n v="0"/>
    <n v="57636"/>
  </r>
  <r>
    <x v="15"/>
    <s v="05148-9"/>
    <s v="Farum Svømmehal, Park 20"/>
    <n v="5450"/>
    <m/>
    <s v="Bimåler Varme"/>
    <x v="122"/>
    <x v="1"/>
    <x v="1"/>
    <n v="158122.99"/>
    <n v="11"/>
    <s v="2015-05-04"/>
    <n v="0"/>
    <n v="0"/>
    <n v="1581229.9"/>
    <n v="1"/>
    <x v="1"/>
    <n v="158122.99"/>
    <n v="29252.77"/>
    <n v="1"/>
    <s v="01/4087189 VVB"/>
    <m/>
    <n v="158122.98143000001"/>
    <n v="0"/>
    <n v="57557"/>
  </r>
  <r>
    <x v="15"/>
    <s v="05148-9"/>
    <s v="Farum Svømmehal, Park 20"/>
    <n v="5450"/>
    <m/>
    <s v="Bimåler Varme"/>
    <x v="122"/>
    <x v="1"/>
    <x v="1"/>
    <n v="127572.59"/>
    <n v="11"/>
    <s v="2015-05-04"/>
    <n v="0"/>
    <n v="0"/>
    <n v="1275725.8999999999"/>
    <n v="1"/>
    <x v="1"/>
    <n v="127572.59"/>
    <n v="23600.94"/>
    <n v="1"/>
    <s v="01/4087187 VE12"/>
    <m/>
    <n v="127572.58357"/>
    <n v="0"/>
    <n v="57626"/>
  </r>
  <r>
    <x v="15"/>
    <s v="05148-9"/>
    <s v="Farum Svømmehal, Park 20"/>
    <n v="5450"/>
    <m/>
    <s v="Bimåler Varme"/>
    <x v="122"/>
    <x v="1"/>
    <x v="1"/>
    <n v="459253.1"/>
    <n v="11"/>
    <s v="2015-05-04"/>
    <n v="0"/>
    <n v="0"/>
    <n v="4592531"/>
    <n v="1"/>
    <x v="1"/>
    <n v="459253.1"/>
    <n v="84961.81"/>
    <n v="1"/>
    <s v="859208 VE 1&amp;2"/>
    <m/>
    <n v="459253.09872000001"/>
    <n v="0"/>
    <n v="57632"/>
  </r>
  <r>
    <x v="15"/>
    <s v="05148-9"/>
    <s v="Farum Svømmehal, Park 20"/>
    <n v="5450"/>
    <m/>
    <s v="Bimåler Varme"/>
    <x v="122"/>
    <x v="1"/>
    <x v="1"/>
    <n v="41258.22"/>
    <n v="11"/>
    <s v="2015-05-04"/>
    <n v="0"/>
    <n v="0"/>
    <n v="412582.2"/>
    <n v="1"/>
    <x v="1"/>
    <n v="41258.22"/>
    <n v="7632.78"/>
    <n v="1"/>
    <s v="4169401 RA10"/>
    <m/>
    <n v="41258.215040000003"/>
    <n v="0"/>
    <n v="57634"/>
  </r>
  <r>
    <x v="15"/>
    <s v="05148-9"/>
    <s v="Farum Svømmehal, Park 20"/>
    <n v="5450"/>
    <m/>
    <s v="Bimåler Varme"/>
    <x v="122"/>
    <x v="1"/>
    <x v="1"/>
    <n v="5634.87"/>
    <n v="11"/>
    <s v="2015-05-04"/>
    <n v="0"/>
    <n v="0"/>
    <n v="56348.7"/>
    <n v="1"/>
    <x v="1"/>
    <n v="5634.87"/>
    <n v="1042.46"/>
    <n v="1"/>
    <s v="01/4087190 TB"/>
    <m/>
    <n v="5634.8778199999997"/>
    <n v="0"/>
    <n v="57559"/>
  </r>
  <r>
    <x v="15"/>
    <s v="05148-9"/>
    <s v="Farum Svømmehal, Park 20"/>
    <n v="5450"/>
    <m/>
    <s v="Bimåler Varme"/>
    <x v="122"/>
    <x v="1"/>
    <x v="1"/>
    <n v="116409.13"/>
    <n v="11"/>
    <s v="2015-05-04"/>
    <n v="0"/>
    <n v="0"/>
    <n v="1164091.3"/>
    <n v="1"/>
    <x v="1"/>
    <n v="116409.13"/>
    <n v="21535.69"/>
    <n v="1"/>
    <s v="01/4087186 VE11"/>
    <m/>
    <n v="116409.11242"/>
    <n v="0"/>
    <n v="57561"/>
  </r>
  <r>
    <x v="15"/>
    <s v="05148-9"/>
    <s v="Farum Svømmehal, Park 20"/>
    <n v="5450"/>
    <m/>
    <s v="Bimåler Varme"/>
    <x v="122"/>
    <x v="1"/>
    <x v="1"/>
    <n v="14669.97"/>
    <n v="11"/>
    <s v="2015-05-04"/>
    <n v="0"/>
    <n v="0"/>
    <n v="146699.70000000001"/>
    <n v="1"/>
    <x v="1"/>
    <n v="14669.97"/>
    <n v="2713.93"/>
    <n v="1"/>
    <s v="01/4087188 RA 01"/>
    <m/>
    <n v="14669.968720000001"/>
    <n v="0"/>
    <n v="57628"/>
  </r>
  <r>
    <x v="15"/>
    <s v="05148-9"/>
    <s v="Farum Svømmehal, Park 20"/>
    <n v="5450"/>
    <m/>
    <s v="Bimåler Varme"/>
    <x v="122"/>
    <x v="1"/>
    <x v="1"/>
    <n v="270402.53999999998"/>
    <n v="11"/>
    <s v="2015-05-04"/>
    <n v="0"/>
    <n v="0"/>
    <n v="2704025.4"/>
    <n v="1"/>
    <x v="1"/>
    <n v="270402.53999999998"/>
    <n v="50024.47"/>
    <n v="1"/>
    <s v="859209 VBV"/>
    <m/>
    <n v="270402.54155999998"/>
    <n v="0"/>
    <n v="57630"/>
  </r>
  <r>
    <x v="15"/>
    <s v="05148-9"/>
    <s v="Farum Svømmehal, Park 20"/>
    <n v="5450"/>
    <m/>
    <s v="Bimåler Varme"/>
    <x v="122"/>
    <x v="1"/>
    <x v="1"/>
    <n v="9304.01"/>
    <n v="11"/>
    <s v="2015-05-04"/>
    <n v="0"/>
    <n v="0"/>
    <n v="93040.1"/>
    <n v="1"/>
    <x v="1"/>
    <n v="9304.01"/>
    <n v="1721.24"/>
    <n v="1"/>
    <s v="4169400 VE09"/>
    <m/>
    <n v="9304.0107499999995"/>
    <n v="0"/>
    <n v="57636"/>
  </r>
  <r>
    <x v="15"/>
    <s v="05148-9"/>
    <s v="Farum Svømmehal, Park 20"/>
    <n v="5450"/>
    <m/>
    <s v="Bimåler Varme"/>
    <x v="122"/>
    <x v="1"/>
    <x v="1"/>
    <n v="11693.17"/>
    <n v="11"/>
    <s v="2015-05-04"/>
    <n v="0"/>
    <n v="0"/>
    <n v="116931.7"/>
    <n v="1"/>
    <x v="1"/>
    <n v="11693.17"/>
    <n v="2163.23"/>
    <n v="1"/>
    <s v="4169399 VE08"/>
    <m/>
    <n v="11693.17203"/>
    <n v="0"/>
    <n v="57638"/>
  </r>
  <r>
    <x v="15"/>
    <s v="05148-9"/>
    <s v="Farum Svømmehal, Park 20"/>
    <n v="5450"/>
    <m/>
    <s v="Bimåler Varme"/>
    <x v="122"/>
    <x v="1"/>
    <x v="2"/>
    <n v="166100.92000000001"/>
    <n v="13"/>
    <s v="2015-05-04"/>
    <n v="0"/>
    <n v="0"/>
    <n v="1661009.2"/>
    <n v="1"/>
    <x v="1"/>
    <n v="166100.92000000001"/>
    <n v="30728.66"/>
    <n v="1"/>
    <s v="01/4087189 VVB"/>
    <m/>
    <n v="166100.90908000001"/>
    <n v="0"/>
    <n v="57557"/>
  </r>
  <r>
    <x v="15"/>
    <s v="05148-9"/>
    <s v="Farum Svømmehal, Park 20"/>
    <n v="5450"/>
    <m/>
    <s v="Bimåler Varme"/>
    <x v="122"/>
    <x v="1"/>
    <x v="2"/>
    <n v="17292.43"/>
    <n v="13"/>
    <s v="2015-05-04"/>
    <n v="0"/>
    <n v="0"/>
    <n v="172924.3"/>
    <n v="1"/>
    <x v="1"/>
    <n v="17292.43"/>
    <n v="3199.1"/>
    <n v="1"/>
    <s v="01/4087190 TB"/>
    <m/>
    <n v="17292.42424"/>
    <n v="0"/>
    <n v="57559"/>
  </r>
  <r>
    <x v="15"/>
    <s v="05148-9"/>
    <s v="Farum Svømmehal, Park 20"/>
    <n v="5450"/>
    <m/>
    <s v="Bimåler Varme"/>
    <x v="122"/>
    <x v="1"/>
    <x v="2"/>
    <n v="116777.99"/>
    <n v="13"/>
    <s v="2015-05-04"/>
    <n v="0"/>
    <n v="0"/>
    <n v="1167779.8999999999"/>
    <n v="1"/>
    <x v="1"/>
    <n v="116777.99"/>
    <n v="21603.91"/>
    <n v="1"/>
    <s v="01/4087187 VE12"/>
    <m/>
    <n v="116777.99999"/>
    <n v="0"/>
    <n v="57626"/>
  </r>
  <r>
    <x v="15"/>
    <s v="05148-9"/>
    <s v="Farum Svømmehal, Park 20"/>
    <n v="5450"/>
    <m/>
    <s v="Bimåler Varme"/>
    <x v="122"/>
    <x v="1"/>
    <x v="2"/>
    <n v="14851.93"/>
    <n v="13"/>
    <s v="2015-05-04"/>
    <n v="0"/>
    <n v="0"/>
    <n v="148519.29999999999"/>
    <n v="1"/>
    <x v="1"/>
    <n v="14851.93"/>
    <n v="2747.61"/>
    <n v="1"/>
    <s v="01/4087188 RA 01"/>
    <m/>
    <n v="14851.93939"/>
    <n v="0"/>
    <n v="57628"/>
  </r>
  <r>
    <x v="15"/>
    <s v="05148-9"/>
    <s v="Farum Svømmehal, Park 20"/>
    <n v="5450"/>
    <m/>
    <s v="Bimåler Varme"/>
    <x v="122"/>
    <x v="1"/>
    <x v="2"/>
    <n v="39845.480000000003"/>
    <n v="13"/>
    <s v="2015-05-04"/>
    <n v="0"/>
    <n v="0"/>
    <n v="398454.8"/>
    <n v="1"/>
    <x v="1"/>
    <n v="39845.480000000003"/>
    <n v="7371.4"/>
    <n v="1"/>
    <s v="4169401 RA10"/>
    <m/>
    <n v="39845.484850000001"/>
    <n v="0"/>
    <n v="57634"/>
  </r>
  <r>
    <x v="15"/>
    <s v="05148-9"/>
    <s v="Farum Svømmehal, Park 20"/>
    <n v="5450"/>
    <m/>
    <s v="Bimåler Varme"/>
    <x v="122"/>
    <x v="1"/>
    <x v="2"/>
    <n v="6226.97"/>
    <n v="13"/>
    <s v="2015-05-04"/>
    <n v="0"/>
    <n v="0"/>
    <n v="62269.7"/>
    <n v="1"/>
    <x v="1"/>
    <n v="6226.97"/>
    <n v="1151.98"/>
    <n v="1"/>
    <s v="4169400 VE09"/>
    <m/>
    <n v="6226.9696999999996"/>
    <n v="0"/>
    <n v="57636"/>
  </r>
  <r>
    <x v="15"/>
    <s v="05148-9"/>
    <s v="Farum Svømmehal, Park 20"/>
    <n v="5450"/>
    <m/>
    <s v="Bimåler Varme"/>
    <x v="122"/>
    <x v="1"/>
    <x v="2"/>
    <n v="119114.66"/>
    <n v="13"/>
    <s v="2015-05-04"/>
    <n v="0"/>
    <n v="0"/>
    <n v="1191146.6000000001"/>
    <n v="1"/>
    <x v="1"/>
    <n v="119114.66"/>
    <n v="22036.22"/>
    <n v="1"/>
    <s v="01/4087186 VE11"/>
    <m/>
    <n v="119114.66665"/>
    <n v="0"/>
    <n v="57561"/>
  </r>
  <r>
    <x v="15"/>
    <s v="05148-9"/>
    <s v="Farum Svømmehal, Park 20"/>
    <n v="5450"/>
    <m/>
    <s v="Bimåler Varme"/>
    <x v="122"/>
    <x v="1"/>
    <x v="2"/>
    <n v="271053.03000000003"/>
    <n v="13"/>
    <s v="2015-05-04"/>
    <n v="0"/>
    <n v="0"/>
    <n v="2710530.3"/>
    <n v="1"/>
    <x v="1"/>
    <n v="271053.03000000003"/>
    <n v="50144.81"/>
    <n v="1"/>
    <s v="859209 VBV"/>
    <m/>
    <n v="271053.03029999998"/>
    <n v="0"/>
    <n v="57630"/>
  </r>
  <r>
    <x v="15"/>
    <s v="05148-9"/>
    <s v="Farum Svømmehal, Park 20"/>
    <n v="5450"/>
    <m/>
    <s v="Bimåler Varme"/>
    <x v="122"/>
    <x v="1"/>
    <x v="2"/>
    <n v="389674.23999999999"/>
    <n v="13"/>
    <s v="2015-05-04"/>
    <n v="0"/>
    <n v="0"/>
    <n v="3896742.4"/>
    <n v="1"/>
    <x v="1"/>
    <n v="389674.23999999999"/>
    <n v="72089.73"/>
    <n v="1"/>
    <s v="859208 VE 1&amp;2"/>
    <m/>
    <n v="389674.24242000002"/>
    <n v="0"/>
    <n v="57632"/>
  </r>
  <r>
    <x v="15"/>
    <s v="05148-9"/>
    <s v="Farum Svømmehal, Park 20"/>
    <n v="5450"/>
    <m/>
    <s v="Bimåler Varme"/>
    <x v="122"/>
    <x v="1"/>
    <x v="2"/>
    <n v="10780.33"/>
    <n v="13"/>
    <s v="2015-05-04"/>
    <n v="0"/>
    <n v="0"/>
    <n v="107803.3"/>
    <n v="1"/>
    <x v="1"/>
    <n v="10780.33"/>
    <n v="1994.35"/>
    <n v="1"/>
    <s v="4169399 VE08"/>
    <m/>
    <n v="10780.333339999999"/>
    <n v="0"/>
    <n v="57638"/>
  </r>
  <r>
    <x v="15"/>
    <s v="05148-9"/>
    <s v="Farum Svømmehal, Park 20"/>
    <n v="5450"/>
    <m/>
    <s v="Bimåler Varme"/>
    <x v="122"/>
    <x v="1"/>
    <x v="3"/>
    <n v="143361.88"/>
    <n v="12"/>
    <s v="2015-05-04"/>
    <n v="0"/>
    <n v="0"/>
    <n v="1433618.8"/>
    <n v="1"/>
    <x v="1"/>
    <n v="143361.88"/>
    <n v="26521.95"/>
    <n v="1"/>
    <s v="01/4087189 VVB"/>
    <m/>
    <n v="143361.87878999999"/>
    <n v="0"/>
    <n v="57557"/>
  </r>
  <r>
    <x v="15"/>
    <s v="05148-9"/>
    <s v="Farum Svømmehal, Park 20"/>
    <n v="5450"/>
    <m/>
    <s v="Bimåler Varme"/>
    <x v="122"/>
    <x v="1"/>
    <x v="3"/>
    <n v="8430.6"/>
    <n v="12"/>
    <s v="2015-05-04"/>
    <n v="0"/>
    <n v="0"/>
    <n v="84306"/>
    <n v="1"/>
    <x v="1"/>
    <n v="8430.6"/>
    <n v="1559.67"/>
    <n v="1"/>
    <s v="01/4087190 TB"/>
    <m/>
    <n v="8430.6060799999996"/>
    <n v="0"/>
    <n v="57559"/>
  </r>
  <r>
    <x v="15"/>
    <s v="05148-9"/>
    <s v="Farum Svømmehal, Park 20"/>
    <n v="5450"/>
    <m/>
    <s v="Bimåler Varme"/>
    <x v="122"/>
    <x v="1"/>
    <x v="3"/>
    <n v="121794.79"/>
    <n v="12"/>
    <s v="2015-05-04"/>
    <n v="0"/>
    <n v="0"/>
    <n v="1217947.8999999999"/>
    <n v="1"/>
    <x v="1"/>
    <n v="121794.79"/>
    <n v="22532.05"/>
    <n v="1"/>
    <s v="01/4087187 VE12"/>
    <m/>
    <n v="121794.78789000001"/>
    <n v="0"/>
    <n v="57626"/>
  </r>
  <r>
    <x v="15"/>
    <s v="05148-9"/>
    <s v="Farum Svømmehal, Park 20"/>
    <n v="5450"/>
    <m/>
    <s v="Bimåler Varme"/>
    <x v="122"/>
    <x v="1"/>
    <x v="3"/>
    <n v="10064.43"/>
    <n v="12"/>
    <s v="2015-05-04"/>
    <n v="0"/>
    <n v="0"/>
    <n v="100644.3"/>
    <n v="1"/>
    <x v="1"/>
    <n v="10064.43"/>
    <n v="1861.93"/>
    <n v="1"/>
    <s v="01/4087188 RA 01"/>
    <m/>
    <n v="10064.42425"/>
    <n v="0"/>
    <n v="57628"/>
  </r>
  <r>
    <x v="15"/>
    <s v="05148-9"/>
    <s v="Farum Svømmehal, Park 20"/>
    <n v="5450"/>
    <m/>
    <s v="Bimåler Varme"/>
    <x v="122"/>
    <x v="1"/>
    <x v="3"/>
    <n v="39577.86"/>
    <n v="12"/>
    <s v="2015-05-04"/>
    <n v="0"/>
    <n v="0"/>
    <n v="395778.6"/>
    <n v="1"/>
    <x v="1"/>
    <n v="39577.86"/>
    <n v="7321.91"/>
    <n v="1"/>
    <s v="4169401 RA10"/>
    <m/>
    <n v="39577.848489999997"/>
    <n v="0"/>
    <n v="57634"/>
  </r>
  <r>
    <x v="15"/>
    <s v="05148-9"/>
    <s v="Farum Svømmehal, Park 20"/>
    <n v="5450"/>
    <m/>
    <s v="Bimåler Varme"/>
    <x v="122"/>
    <x v="1"/>
    <x v="3"/>
    <n v="1376.44"/>
    <n v="12"/>
    <s v="2015-05-04"/>
    <n v="0"/>
    <n v="0"/>
    <n v="13764.4"/>
    <n v="1"/>
    <x v="1"/>
    <n v="1376.44"/>
    <n v="254.65"/>
    <n v="1"/>
    <s v="4169400 VE09"/>
    <m/>
    <n v="1376.45454"/>
    <n v="0"/>
    <n v="57636"/>
  </r>
  <r>
    <x v="15"/>
    <s v="05148-9"/>
    <s v="Farum Svømmehal, Park 20"/>
    <n v="5450"/>
    <m/>
    <s v="Bimåler Varme"/>
    <x v="122"/>
    <x v="1"/>
    <x v="3"/>
    <n v="120547.45"/>
    <n v="12"/>
    <s v="2015-05-04"/>
    <n v="0"/>
    <n v="0"/>
    <n v="1205474.5"/>
    <n v="1"/>
    <x v="1"/>
    <n v="120547.45"/>
    <n v="22301.27"/>
    <n v="1"/>
    <s v="01/4087186 VE11"/>
    <m/>
    <n v="120547.45456"/>
    <n v="0"/>
    <n v="57561"/>
  </r>
  <r>
    <x v="15"/>
    <s v="05148-9"/>
    <s v="Farum Svømmehal, Park 20"/>
    <n v="5450"/>
    <m/>
    <s v="Bimåler Varme"/>
    <x v="122"/>
    <x v="1"/>
    <x v="3"/>
    <n v="216851.22"/>
    <n v="12"/>
    <s v="2015-05-04"/>
    <n v="0"/>
    <n v="0"/>
    <n v="2168512.2000000002"/>
    <n v="1"/>
    <x v="1"/>
    <n v="216851.22"/>
    <n v="40117.49"/>
    <n v="1"/>
    <s v="859209 VBV"/>
    <m/>
    <n v="216851.21212000001"/>
    <n v="0"/>
    <n v="57630"/>
  </r>
  <r>
    <x v="15"/>
    <s v="05148-9"/>
    <s v="Farum Svømmehal, Park 20"/>
    <n v="5450"/>
    <m/>
    <s v="Bimåler Varme"/>
    <x v="122"/>
    <x v="1"/>
    <x v="3"/>
    <n v="338765.76"/>
    <n v="12"/>
    <s v="2015-05-04"/>
    <n v="0"/>
    <n v="0"/>
    <n v="3387657.6"/>
    <n v="1"/>
    <x v="1"/>
    <n v="338765.76"/>
    <n v="62671.66"/>
    <n v="1"/>
    <s v="859208 VE 1&amp;2"/>
    <m/>
    <n v="338765.75757999998"/>
    <n v="0"/>
    <n v="57632"/>
  </r>
  <r>
    <x v="15"/>
    <s v="05148-9"/>
    <s v="Farum Svømmehal, Park 20"/>
    <n v="5450"/>
    <m/>
    <s v="Bimåler Varme"/>
    <x v="122"/>
    <x v="1"/>
    <x v="3"/>
    <n v="713.27"/>
    <n v="12"/>
    <s v="2015-05-04"/>
    <n v="0"/>
    <n v="0"/>
    <n v="7132.7"/>
    <n v="1"/>
    <x v="1"/>
    <n v="713.27"/>
    <n v="131.97"/>
    <n v="1"/>
    <s v="4169399 VE08"/>
    <m/>
    <n v="713.27274"/>
    <n v="0"/>
    <n v="57638"/>
  </r>
  <r>
    <x v="15"/>
    <s v="05148-9"/>
    <s v="Farum Svømmehal, Park 20"/>
    <n v="5450"/>
    <m/>
    <s v="Bimåler Varme"/>
    <x v="122"/>
    <x v="1"/>
    <x v="4"/>
    <n v="10769.94"/>
    <n v="12"/>
    <s v="2015-05-04"/>
    <n v="0"/>
    <n v="0"/>
    <n v="107699.4"/>
    <n v="1"/>
    <x v="1"/>
    <n v="10769.94"/>
    <n v="1992.41"/>
    <n v="1"/>
    <s v="01/4087190 TB"/>
    <m/>
    <n v="10769.928690000001"/>
    <n v="0"/>
    <n v="57559"/>
  </r>
  <r>
    <x v="15"/>
    <s v="05148-9"/>
    <s v="Farum Svømmehal, Park 20"/>
    <n v="5450"/>
    <m/>
    <s v="Bimåler Varme"/>
    <x v="122"/>
    <x v="1"/>
    <x v="4"/>
    <n v="133525.03"/>
    <n v="12"/>
    <s v="2015-05-04"/>
    <n v="0"/>
    <n v="0"/>
    <n v="1335250.3"/>
    <n v="1"/>
    <x v="1"/>
    <n v="133525.03"/>
    <n v="24702.13"/>
    <n v="1"/>
    <s v="01/4087186 VE11"/>
    <m/>
    <n v="133525.03296000001"/>
    <n v="0"/>
    <n v="57561"/>
  </r>
  <r>
    <x v="15"/>
    <s v="05148-9"/>
    <s v="Farum Svømmehal, Park 20"/>
    <n v="5450"/>
    <m/>
    <s v="Bimåler Varme"/>
    <x v="122"/>
    <x v="1"/>
    <x v="4"/>
    <n v="10618.31"/>
    <n v="12"/>
    <s v="2015-05-04"/>
    <n v="0"/>
    <n v="0"/>
    <n v="106183.1"/>
    <n v="1"/>
    <x v="1"/>
    <n v="10618.31"/>
    <n v="1964.4"/>
    <n v="1"/>
    <s v="01/4087188 RA 01"/>
    <m/>
    <n v="10618.298559999999"/>
    <n v="0"/>
    <n v="57628"/>
  </r>
  <r>
    <x v="15"/>
    <s v="05148-9"/>
    <s v="Farum Svømmehal, Park 20"/>
    <n v="5450"/>
    <m/>
    <s v="Bimåler Varme"/>
    <x v="122"/>
    <x v="1"/>
    <x v="4"/>
    <n v="180137.22"/>
    <n v="12"/>
    <s v="2015-05-04"/>
    <n v="0"/>
    <n v="0"/>
    <n v="1801372.2"/>
    <n v="1"/>
    <x v="1"/>
    <n v="180137.22"/>
    <n v="33325.39"/>
    <n v="1"/>
    <s v="859209 VBV"/>
    <m/>
    <n v="180137.21033"/>
    <n v="0"/>
    <n v="57630"/>
  </r>
  <r>
    <x v="15"/>
    <s v="05148-9"/>
    <s v="Farum Svømmehal, Park 20"/>
    <n v="5450"/>
    <m/>
    <s v="Bimåler Varme"/>
    <x v="122"/>
    <x v="1"/>
    <x v="4"/>
    <n v="3770.35"/>
    <n v="10"/>
    <s v="2015-05-04"/>
    <n v="0"/>
    <n v="0"/>
    <n v="37703.5"/>
    <n v="1"/>
    <x v="1"/>
    <n v="3770.35"/>
    <n v="697.52"/>
    <n v="1"/>
    <s v="4169400 VE09"/>
    <m/>
    <n v="3770.3600799999999"/>
    <n v="0"/>
    <n v="57636"/>
  </r>
  <r>
    <x v="15"/>
    <s v="05148-9"/>
    <s v="Farum Svømmehal, Park 20"/>
    <n v="5450"/>
    <m/>
    <s v="Bimåler Varme"/>
    <x v="122"/>
    <x v="1"/>
    <x v="4"/>
    <n v="3534.18"/>
    <n v="11"/>
    <s v="2015-05-04"/>
    <n v="0"/>
    <n v="0"/>
    <n v="35341.800000000003"/>
    <n v="1"/>
    <x v="1"/>
    <n v="3534.18"/>
    <n v="653.83000000000004"/>
    <n v="1"/>
    <s v="4169399 VE08"/>
    <m/>
    <n v="3534.1782699999999"/>
    <n v="0"/>
    <n v="57638"/>
  </r>
  <r>
    <x v="15"/>
    <s v="05148-9"/>
    <s v="Farum Svømmehal, Park 20"/>
    <n v="5450"/>
    <m/>
    <s v="Bimåler Varme"/>
    <x v="122"/>
    <x v="1"/>
    <x v="4"/>
    <n v="129715.67"/>
    <n v="12"/>
    <s v="2015-05-04"/>
    <n v="0"/>
    <n v="0"/>
    <n v="1297156.7"/>
    <n v="1"/>
    <x v="1"/>
    <n v="129715.67"/>
    <n v="23997.38"/>
    <n v="1"/>
    <s v="01/4087189 VVB"/>
    <m/>
    <n v="129715.65951"/>
    <n v="0"/>
    <n v="57557"/>
  </r>
  <r>
    <x v="15"/>
    <s v="05148-9"/>
    <s v="Farum Svømmehal, Park 20"/>
    <n v="5450"/>
    <m/>
    <s v="Bimåler Varme"/>
    <x v="122"/>
    <x v="1"/>
    <x v="4"/>
    <n v="94554.71"/>
    <n v="12"/>
    <s v="2015-05-04"/>
    <n v="0"/>
    <n v="0"/>
    <n v="945547.1"/>
    <n v="1"/>
    <x v="1"/>
    <n v="94554.71"/>
    <n v="17492.63"/>
    <n v="1"/>
    <s v="01/4087187 VE12"/>
    <m/>
    <n v="94554.698759999999"/>
    <n v="0"/>
    <n v="57626"/>
  </r>
  <r>
    <x v="15"/>
    <s v="05148-9"/>
    <s v="Farum Svømmehal, Park 20"/>
    <n v="5450"/>
    <m/>
    <s v="Bimåler Varme"/>
    <x v="122"/>
    <x v="1"/>
    <x v="4"/>
    <n v="421641.27"/>
    <n v="12"/>
    <s v="2015-05-04"/>
    <n v="0"/>
    <n v="0"/>
    <n v="4216412.7"/>
    <n v="1"/>
    <x v="1"/>
    <n v="421641.27"/>
    <n v="78003.63"/>
    <n v="1"/>
    <s v="859208 VE 1&amp;2"/>
    <m/>
    <n v="421641.26559000002"/>
    <n v="0"/>
    <n v="57632"/>
  </r>
  <r>
    <x v="15"/>
    <s v="05148-9"/>
    <s v="Farum Svømmehal, Park 20"/>
    <n v="5450"/>
    <m/>
    <s v="Bimåler Varme"/>
    <x v="122"/>
    <x v="1"/>
    <x v="4"/>
    <n v="41339.75"/>
    <n v="11"/>
    <s v="2015-05-04"/>
    <n v="0"/>
    <n v="0"/>
    <n v="413397.5"/>
    <n v="1"/>
    <x v="1"/>
    <n v="41339.75"/>
    <n v="7647.86"/>
    <n v="1"/>
    <s v="4169401 RA10"/>
    <m/>
    <n v="41339.735269999997"/>
    <n v="0"/>
    <n v="57634"/>
  </r>
  <r>
    <x v="15"/>
    <s v="05148-9"/>
    <s v="Farum Svømmehal, Park 20"/>
    <n v="5450"/>
    <m/>
    <s v="Bimåler Varme"/>
    <x v="122"/>
    <x v="1"/>
    <x v="5"/>
    <n v="4577.6400000000003"/>
    <n v="12"/>
    <s v="2015-05-04"/>
    <n v="0"/>
    <n v="0"/>
    <n v="45776.4"/>
    <n v="1"/>
    <x v="1"/>
    <n v="4577.6400000000003"/>
    <n v="846.87"/>
    <n v="1"/>
    <s v="01/4087190 TB"/>
    <m/>
    <n v="4577.6470499999996"/>
    <n v="0"/>
    <n v="57559"/>
  </r>
  <r>
    <x v="15"/>
    <s v="05148-9"/>
    <s v="Farum Svømmehal, Park 20"/>
    <n v="5450"/>
    <m/>
    <s v="Bimåler Varme"/>
    <x v="122"/>
    <x v="1"/>
    <x v="5"/>
    <n v="140836.72"/>
    <n v="13"/>
    <s v="2015-05-04"/>
    <n v="0"/>
    <n v="0"/>
    <n v="1408367.2"/>
    <n v="1"/>
    <x v="1"/>
    <n v="140836.72"/>
    <n v="26054.799999999999"/>
    <n v="1"/>
    <s v="01/4087186 VE11"/>
    <m/>
    <n v="140836.71325"/>
    <n v="0"/>
    <n v="57561"/>
  </r>
  <r>
    <x v="15"/>
    <s v="05148-9"/>
    <s v="Farum Svømmehal, Park 20"/>
    <n v="5450"/>
    <m/>
    <s v="Bimåler Varme"/>
    <x v="122"/>
    <x v="1"/>
    <x v="5"/>
    <n v="6086.23"/>
    <n v="12"/>
    <s v="2015-05-04"/>
    <n v="0"/>
    <n v="0"/>
    <n v="60862.3"/>
    <n v="1"/>
    <x v="1"/>
    <n v="6086.23"/>
    <n v="1125.94"/>
    <n v="1"/>
    <s v="01/4087188 RA 01"/>
    <m/>
    <n v="6086.22793"/>
    <n v="0"/>
    <n v="57628"/>
  </r>
  <r>
    <x v="15"/>
    <s v="05148-9"/>
    <s v="Farum Svømmehal, Park 20"/>
    <n v="5450"/>
    <m/>
    <s v="Bimåler Varme"/>
    <x v="122"/>
    <x v="1"/>
    <x v="5"/>
    <n v="185567.01"/>
    <n v="12"/>
    <s v="2015-05-04"/>
    <n v="0"/>
    <n v="0"/>
    <n v="1855670.1"/>
    <n v="1"/>
    <x v="1"/>
    <n v="185567.01"/>
    <n v="34329.89"/>
    <n v="1"/>
    <s v="859209 VBV"/>
    <m/>
    <n v="185567.0037"/>
    <n v="0"/>
    <n v="57630"/>
  </r>
  <r>
    <x v="15"/>
    <s v="05148-9"/>
    <s v="Farum Svømmehal, Park 20"/>
    <n v="5450"/>
    <m/>
    <s v="Bimåler Varme"/>
    <x v="122"/>
    <x v="1"/>
    <x v="5"/>
    <n v="7013.94"/>
    <n v="13"/>
    <s v="2015-05-04"/>
    <n v="0"/>
    <n v="0"/>
    <n v="70139.399999999994"/>
    <n v="1"/>
    <x v="1"/>
    <n v="7013.94"/>
    <n v="1297.5899999999999"/>
    <n v="1"/>
    <s v="4169400 VE09"/>
    <m/>
    <n v="7013.9448499999999"/>
    <n v="0"/>
    <n v="57636"/>
  </r>
  <r>
    <x v="15"/>
    <s v="05148-9"/>
    <s v="Farum Svømmehal, Park 20"/>
    <n v="5450"/>
    <m/>
    <s v="Bimåler Varme"/>
    <x v="122"/>
    <x v="1"/>
    <x v="5"/>
    <n v="4524.6099999999997"/>
    <n v="12"/>
    <s v="2015-05-04"/>
    <n v="0"/>
    <n v="0"/>
    <n v="45246.1"/>
    <n v="1"/>
    <x v="1"/>
    <n v="4524.6099999999997"/>
    <n v="837.05"/>
    <n v="1"/>
    <s v="4169399 VE08"/>
    <m/>
    <n v="4524.6010999999999"/>
    <n v="0"/>
    <n v="57638"/>
  </r>
  <r>
    <x v="15"/>
    <s v="05148-9"/>
    <s v="Farum Svømmehal, Park 20"/>
    <n v="5450"/>
    <m/>
    <s v="Bimåler Varme"/>
    <x v="122"/>
    <x v="1"/>
    <x v="5"/>
    <n v="102626.16"/>
    <n v="13"/>
    <s v="2015-05-04"/>
    <n v="0"/>
    <n v="0"/>
    <n v="1026261.6"/>
    <n v="1"/>
    <x v="1"/>
    <n v="102626.16"/>
    <n v="18985.849999999999"/>
    <n v="1"/>
    <s v="01/4087189 VVB"/>
    <m/>
    <n v="102626.17096"/>
    <n v="0"/>
    <n v="57557"/>
  </r>
  <r>
    <x v="15"/>
    <s v="05148-9"/>
    <s v="Farum Svømmehal, Park 20"/>
    <n v="5450"/>
    <m/>
    <s v="Bimåler Varme"/>
    <x v="122"/>
    <x v="1"/>
    <x v="5"/>
    <n v="74152.97"/>
    <n v="12"/>
    <s v="2015-05-04"/>
    <n v="0"/>
    <n v="0"/>
    <n v="741529.7"/>
    <n v="1"/>
    <x v="1"/>
    <n v="74152.97"/>
    <n v="13718.31"/>
    <n v="1"/>
    <s v="01/4087187 VE12"/>
    <m/>
    <n v="74152.965070000006"/>
    <n v="0"/>
    <n v="57626"/>
  </r>
  <r>
    <x v="15"/>
    <s v="05148-9"/>
    <s v="Farum Svømmehal, Park 20"/>
    <n v="5450"/>
    <m/>
    <s v="Bimåler Varme"/>
    <x v="122"/>
    <x v="1"/>
    <x v="5"/>
    <n v="426388.65"/>
    <n v="12"/>
    <s v="2015-05-04"/>
    <n v="0"/>
    <n v="0"/>
    <n v="4263886.5"/>
    <n v="1"/>
    <x v="1"/>
    <n v="426388.65"/>
    <n v="78881.89"/>
    <n v="1"/>
    <s v="859208 VE 1&amp;2"/>
    <m/>
    <n v="426388.63971000002"/>
    <n v="0"/>
    <n v="57632"/>
  </r>
  <r>
    <x v="15"/>
    <s v="05148-9"/>
    <s v="Farum Svømmehal, Park 20"/>
    <n v="5450"/>
    <m/>
    <s v="Bimåler Varme"/>
    <x v="122"/>
    <x v="1"/>
    <x v="5"/>
    <n v="37928.120000000003"/>
    <n v="12"/>
    <s v="2015-05-04"/>
    <n v="0"/>
    <n v="0"/>
    <n v="379281.2"/>
    <n v="1"/>
    <x v="1"/>
    <n v="37928.120000000003"/>
    <n v="7016.69"/>
    <n v="1"/>
    <s v="4169401 RA10"/>
    <m/>
    <n v="37928.139719999999"/>
    <n v="0"/>
    <n v="57634"/>
  </r>
  <r>
    <x v="15"/>
    <s v="05148-9"/>
    <s v="Farum Svømmehal, Park 20"/>
    <n v="5450"/>
    <m/>
    <s v="Bimåler Varme"/>
    <x v="122"/>
    <x v="1"/>
    <x v="6"/>
    <n v="97920.75"/>
    <n v="13"/>
    <s v="2015-05-04"/>
    <n v="0"/>
    <n v="0"/>
    <n v="979207.5"/>
    <n v="1"/>
    <x v="1"/>
    <n v="97920.75"/>
    <n v="18115.34"/>
    <n v="1"/>
    <s v="01/4087186 VE11"/>
    <m/>
    <n v="97920.738639999996"/>
    <n v="0"/>
    <n v="57561"/>
  </r>
  <r>
    <x v="15"/>
    <s v="05148-9"/>
    <s v="Farum Svømmehal, Park 20"/>
    <n v="5450"/>
    <m/>
    <s v="Bimåler Varme"/>
    <x v="122"/>
    <x v="1"/>
    <x v="6"/>
    <n v="200817.6"/>
    <n v="12"/>
    <s v="2015-05-04"/>
    <n v="0"/>
    <n v="0"/>
    <n v="2008176"/>
    <n v="1"/>
    <x v="1"/>
    <n v="200817.6"/>
    <n v="37151.26"/>
    <n v="1"/>
    <s v="859209 VBV"/>
    <m/>
    <n v="200817.60415999999"/>
    <n v="0"/>
    <n v="57630"/>
  </r>
  <r>
    <x v="15"/>
    <s v="05148-9"/>
    <s v="Farum Svømmehal, Park 20"/>
    <n v="5450"/>
    <m/>
    <s v="Bimåler Varme"/>
    <x v="122"/>
    <x v="1"/>
    <x v="6"/>
    <n v="430569.19"/>
    <n v="12"/>
    <s v="2015-05-04"/>
    <n v="0"/>
    <n v="0"/>
    <n v="4305691.9000000004"/>
    <n v="1"/>
    <x v="1"/>
    <n v="430569.19"/>
    <n v="79655.289999999994"/>
    <n v="1"/>
    <s v="859208 VE 1&amp;2"/>
    <m/>
    <n v="430569.18560000003"/>
    <n v="0"/>
    <n v="57632"/>
  </r>
  <r>
    <x v="15"/>
    <s v="05148-9"/>
    <s v="Farum Svømmehal, Park 20"/>
    <n v="5450"/>
    <m/>
    <s v="Bimåler Varme"/>
    <x v="122"/>
    <x v="1"/>
    <x v="6"/>
    <n v="5144.5200000000004"/>
    <n v="12"/>
    <s v="2015-05-04"/>
    <n v="0"/>
    <n v="0"/>
    <n v="51445.2"/>
    <n v="1"/>
    <x v="1"/>
    <n v="5144.5200000000004"/>
    <n v="951.74"/>
    <n v="1"/>
    <s v="4169399 VE08"/>
    <m/>
    <n v="5144.5236800000002"/>
    <n v="0"/>
    <n v="57638"/>
  </r>
  <r>
    <x v="15"/>
    <s v="05148-9"/>
    <s v="Farum Svømmehal, Park 20"/>
    <n v="5450"/>
    <m/>
    <s v="Bimåler Varme"/>
    <x v="122"/>
    <x v="1"/>
    <x v="6"/>
    <n v="136430.82"/>
    <n v="12"/>
    <s v="2015-05-04"/>
    <n v="0"/>
    <n v="0"/>
    <n v="1364308.2"/>
    <n v="1"/>
    <x v="1"/>
    <n v="136430.82"/>
    <n v="25239.68"/>
    <n v="1"/>
    <s v="01/4087189 VVB"/>
    <m/>
    <n v="136430.83616000001"/>
    <n v="0"/>
    <n v="57557"/>
  </r>
  <r>
    <x v="15"/>
    <s v="05148-9"/>
    <s v="Farum Svømmehal, Park 20"/>
    <n v="5450"/>
    <m/>
    <s v="Bimåler Varme"/>
    <x v="122"/>
    <x v="1"/>
    <x v="6"/>
    <n v="7071.82"/>
    <n v="12"/>
    <s v="2015-05-04"/>
    <n v="0"/>
    <n v="0"/>
    <n v="70718.2"/>
    <n v="1"/>
    <x v="1"/>
    <n v="7071.82"/>
    <n v="1308.28"/>
    <n v="1"/>
    <s v="01/4087190 TB"/>
    <m/>
    <n v="7071.8181800000002"/>
    <n v="0"/>
    <n v="57559"/>
  </r>
  <r>
    <x v="15"/>
    <s v="05148-9"/>
    <s v="Farum Svømmehal, Park 20"/>
    <n v="5450"/>
    <m/>
    <s v="Bimåler Varme"/>
    <x v="122"/>
    <x v="1"/>
    <x v="6"/>
    <n v="92195.6"/>
    <n v="12"/>
    <s v="2015-05-04"/>
    <n v="0"/>
    <n v="0"/>
    <n v="921956"/>
    <n v="1"/>
    <x v="1"/>
    <n v="92195.6"/>
    <n v="17056.189999999999"/>
    <n v="1"/>
    <s v="01/4087187 VE12"/>
    <m/>
    <n v="92195.608900000007"/>
    <n v="0"/>
    <n v="57626"/>
  </r>
  <r>
    <x v="15"/>
    <s v="05148-9"/>
    <s v="Farum Svømmehal, Park 20"/>
    <n v="5450"/>
    <m/>
    <s v="Bimåler Varme"/>
    <x v="122"/>
    <x v="1"/>
    <x v="6"/>
    <n v="8347.9500000000007"/>
    <n v="12"/>
    <s v="2015-05-04"/>
    <n v="0"/>
    <n v="0"/>
    <n v="83479.5"/>
    <n v="1"/>
    <x v="1"/>
    <n v="8347.9500000000007"/>
    <n v="1544.36"/>
    <n v="1"/>
    <s v="01/4087188 RA 01"/>
    <m/>
    <n v="8347.9583299999995"/>
    <n v="0"/>
    <n v="57628"/>
  </r>
  <r>
    <x v="15"/>
    <s v="05148-9"/>
    <s v="Farum Svømmehal, Park 20"/>
    <n v="5450"/>
    <m/>
    <s v="Bimåler Varme"/>
    <x v="122"/>
    <x v="1"/>
    <x v="6"/>
    <n v="36840.68"/>
    <n v="12"/>
    <s v="2015-05-04"/>
    <n v="0"/>
    <n v="0"/>
    <n v="368406.8"/>
    <n v="1"/>
    <x v="1"/>
    <n v="36840.68"/>
    <n v="6815.52"/>
    <n v="1"/>
    <s v="4169401 RA10"/>
    <m/>
    <n v="36840.670449999998"/>
    <n v="0"/>
    <n v="57634"/>
  </r>
  <r>
    <x v="15"/>
    <s v="05148-9"/>
    <s v="Farum Svømmehal, Park 20"/>
    <n v="5450"/>
    <m/>
    <s v="Bimåler Varme"/>
    <x v="122"/>
    <x v="1"/>
    <x v="6"/>
    <n v="8439.61"/>
    <n v="12"/>
    <s v="2015-05-04"/>
    <n v="0"/>
    <n v="0"/>
    <n v="84396.1"/>
    <n v="1"/>
    <x v="1"/>
    <n v="8439.61"/>
    <n v="1561.34"/>
    <n v="1"/>
    <s v="4169400 VE09"/>
    <m/>
    <n v="8439.6041700000005"/>
    <n v="0"/>
    <n v="57636"/>
  </r>
  <r>
    <x v="15"/>
    <s v="05148-9"/>
    <s v="Farum Svømmehal, Park 20"/>
    <n v="5449"/>
    <m/>
    <s v="Farum Svømmehal,Farum Park 20 st. th."/>
    <x v="122"/>
    <x v="0"/>
    <x v="0"/>
    <n v="1526640"/>
    <n v="5"/>
    <s v="2005-07-01"/>
    <n v="0"/>
    <n v="7709"/>
    <n v="99.544692999999995"/>
    <n v="1"/>
    <x v="1"/>
    <n v="1663752"/>
    <n v="153935059"/>
    <n v="0"/>
    <s v="69291280"/>
    <m/>
    <n v="767400"/>
    <n v="0"/>
    <n v="57534"/>
  </r>
  <r>
    <x v="15"/>
    <s v="05148-9"/>
    <s v="Farum Svømmehal, Park 20"/>
    <n v="5449"/>
    <m/>
    <s v="Farum Svømmehal,Farum Park 20 st. th."/>
    <x v="122"/>
    <x v="1"/>
    <x v="0"/>
    <n v="622339.9"/>
    <n v="5"/>
    <s v="2005-07-01"/>
    <n v="0"/>
    <n v="7709"/>
    <n v="80.727957000000004"/>
    <n v="1"/>
    <x v="3"/>
    <n v="673977.12"/>
    <n v="3573682.06"/>
    <n v="1"/>
    <s v="01/4081529"/>
    <m/>
    <n v="17837.2"/>
    <n v="57534"/>
    <n v="57554"/>
  </r>
  <r>
    <x v="15"/>
    <s v="05148-9"/>
    <s v="Farum Svømmehal, Park 20"/>
    <n v="5449"/>
    <m/>
    <s v="Farum Svømmehal,Farum Park 20 st. th."/>
    <x v="122"/>
    <x v="1"/>
    <x v="1"/>
    <n v="1078685.3899999999"/>
    <n v="12"/>
    <s v="2005-07-01"/>
    <n v="0"/>
    <n v="7709"/>
    <n v="139.92364699999999"/>
    <n v="1"/>
    <x v="3"/>
    <n v="1109749.6100000001"/>
    <n v="5884.31"/>
    <n v="1"/>
    <s v="01/4081529"/>
    <m/>
    <n v="30916.75"/>
    <n v="57534"/>
    <n v="57554"/>
  </r>
  <r>
    <x v="15"/>
    <s v="05148-9"/>
    <s v="Farum Svømmehal, Park 20"/>
    <n v="5449"/>
    <m/>
    <s v="Farum Svømmehal,Farum Park 20 st. th."/>
    <x v="122"/>
    <x v="0"/>
    <x v="1"/>
    <n v="1400275"/>
    <n v="12"/>
    <s v="2005-07-01"/>
    <n v="0"/>
    <n v="7709"/>
    <n v="181.639231"/>
    <n v="1"/>
    <x v="1"/>
    <n v="1444354.88"/>
    <n v="267205.65999999997"/>
    <n v="0"/>
    <s v="69291280"/>
    <m/>
    <n v="1400275"/>
    <n v="0"/>
    <n v="57534"/>
  </r>
  <r>
    <x v="15"/>
    <s v="05148-9"/>
    <s v="Farum Svømmehal, Park 20"/>
    <n v="5449"/>
    <m/>
    <s v="Farum Svømmehal,Farum Park 20 st. th."/>
    <x v="122"/>
    <x v="1"/>
    <x v="2"/>
    <n v="1166486.1000000001"/>
    <n v="12"/>
    <s v="2005-07-01"/>
    <n v="0"/>
    <n v="7709"/>
    <n v="151.31287599999999"/>
    <n v="1"/>
    <x v="3"/>
    <n v="1201893"/>
    <n v="6372.9"/>
    <n v="1"/>
    <s v="01/4081529"/>
    <m/>
    <n v="33433.25"/>
    <n v="57534"/>
    <n v="57554"/>
  </r>
  <r>
    <x v="15"/>
    <s v="05148-9"/>
    <s v="Farum Svømmehal, Park 20"/>
    <n v="5449"/>
    <m/>
    <s v="Farum Svømmehal,Farum Park 20 st. th."/>
    <x v="122"/>
    <x v="0"/>
    <x v="2"/>
    <n v="1531145"/>
    <n v="12"/>
    <s v="2005-07-01"/>
    <n v="0"/>
    <n v="7709"/>
    <n v="198.615272"/>
    <n v="1"/>
    <x v="1"/>
    <n v="1582818.84"/>
    <n v="292821.48"/>
    <n v="0"/>
    <s v="69291280"/>
    <m/>
    <n v="1531145"/>
    <n v="0"/>
    <n v="57534"/>
  </r>
  <r>
    <x v="15"/>
    <s v="05148-9"/>
    <s v="Farum Svømmehal, Park 20"/>
    <n v="5449"/>
    <m/>
    <s v="Farum Svømmehal,Farum Park 20 st. th."/>
    <x v="122"/>
    <x v="1"/>
    <x v="3"/>
    <n v="1045771.9"/>
    <n v="12"/>
    <s v="2005-07-01"/>
    <n v="0"/>
    <n v="7709"/>
    <n v="135.654213"/>
    <n v="1"/>
    <x v="3"/>
    <n v="1103266.3"/>
    <n v="5849.94"/>
    <n v="1"/>
    <s v="01/4081529"/>
    <m/>
    <n v="29973.4"/>
    <n v="57534"/>
    <n v="57554"/>
  </r>
  <r>
    <x v="15"/>
    <s v="05148-9"/>
    <s v="Farum Svømmehal, Park 20"/>
    <n v="5449"/>
    <m/>
    <s v="Farum Svømmehal,Farum Park 20 st. th."/>
    <x v="122"/>
    <x v="0"/>
    <x v="3"/>
    <n v="1391490"/>
    <n v="12"/>
    <s v="2005-07-01"/>
    <n v="0"/>
    <n v="7709"/>
    <n v="180.49966900000001"/>
    <n v="1"/>
    <x v="1"/>
    <n v="1471162.23"/>
    <n v="272165.01"/>
    <n v="0"/>
    <s v="69291280"/>
    <m/>
    <n v="1391490"/>
    <n v="0"/>
    <n v="57534"/>
  </r>
  <r>
    <x v="15"/>
    <s v="05148-9"/>
    <s v="Farum Svømmehal, Park 20"/>
    <n v="5449"/>
    <m/>
    <s v="Farum Svømmehal,Farum Park 20 st. th."/>
    <x v="122"/>
    <x v="1"/>
    <x v="4"/>
    <n v="1156306.93"/>
    <n v="12"/>
    <s v="2005-07-01"/>
    <n v="0"/>
    <n v="7709"/>
    <n v="149.992467"/>
    <n v="1"/>
    <x v="3"/>
    <n v="1091174.6299999999"/>
    <n v="5785.81"/>
    <n v="1"/>
    <s v="01/4081529"/>
    <m/>
    <n v="33141.5"/>
    <n v="57534"/>
    <n v="57554"/>
  </r>
  <r>
    <x v="15"/>
    <s v="05148-9"/>
    <s v="Farum Svømmehal, Park 20"/>
    <n v="5449"/>
    <m/>
    <s v="Farum Svømmehal,Farum Park 20 st. th."/>
    <x v="122"/>
    <x v="0"/>
    <x v="4"/>
    <n v="1492670"/>
    <n v="12"/>
    <s v="2005-07-01"/>
    <n v="0"/>
    <n v="7709"/>
    <n v="193.62441699999999"/>
    <n v="1"/>
    <x v="1"/>
    <n v="1409205.35"/>
    <n v="260702.98"/>
    <n v="0"/>
    <s v="69291280"/>
    <m/>
    <n v="1492670"/>
    <n v="0"/>
    <n v="57534"/>
  </r>
  <r>
    <x v="15"/>
    <s v="05148-9"/>
    <s v="Farum Svømmehal, Park 20"/>
    <n v="5449"/>
    <m/>
    <s v="Farum Svømmehal,Farum Park 20 st. th."/>
    <x v="122"/>
    <x v="0"/>
    <x v="5"/>
    <n v="1413930"/>
    <n v="12"/>
    <s v="2005-07-01"/>
    <n v="0"/>
    <n v="7709"/>
    <n v="183.41051400000001"/>
    <n v="1"/>
    <x v="1"/>
    <n v="1482594.14"/>
    <n v="274279.92"/>
    <n v="0"/>
    <s v="69291280"/>
    <m/>
    <n v="1413930"/>
    <n v="0"/>
    <n v="57534"/>
  </r>
  <r>
    <x v="15"/>
    <s v="05148-9"/>
    <s v="Farum Svømmehal, Park 20"/>
    <n v="5449"/>
    <m/>
    <s v="Farum Svømmehal,Farum Park 20 st. th."/>
    <x v="122"/>
    <x v="1"/>
    <x v="5"/>
    <n v="1202208.23"/>
    <n v="12"/>
    <s v="2005-07-01"/>
    <n v="0"/>
    <n v="7709"/>
    <n v="155.94663800000001"/>
    <n v="1"/>
    <x v="3"/>
    <n v="1258229.8999999999"/>
    <n v="6671.63"/>
    <n v="1"/>
    <s v="01/4081529"/>
    <m/>
    <n v="34457.1"/>
    <n v="57534"/>
    <n v="57554"/>
  </r>
  <r>
    <x v="15"/>
    <s v="05148-9"/>
    <s v="Farum Svømmehal, Park 20"/>
    <n v="5449"/>
    <m/>
    <s v="Farum Svømmehal,Farum Park 20 st. th."/>
    <x v="122"/>
    <x v="0"/>
    <x v="6"/>
    <n v="1474380"/>
    <n v="12"/>
    <s v="2005-07-01"/>
    <n v="0"/>
    <n v="7709"/>
    <n v="191.25189700000001"/>
    <n v="1"/>
    <x v="1"/>
    <n v="1618985.05"/>
    <n v="299512.24"/>
    <n v="0"/>
    <s v="69291280"/>
    <m/>
    <n v="1474380"/>
    <n v="0"/>
    <n v="57534"/>
  </r>
  <r>
    <x v="15"/>
    <s v="05148-9"/>
    <s v="Farum Svømmehal, Park 20"/>
    <n v="5449"/>
    <m/>
    <s v="Farum Svømmehal,Farum Park 20 st. th."/>
    <x v="122"/>
    <x v="1"/>
    <x v="6"/>
    <n v="1216237.49"/>
    <n v="12"/>
    <s v="2005-07-01"/>
    <n v="0"/>
    <n v="7709"/>
    <n v="157.766469"/>
    <n v="1"/>
    <x v="3"/>
    <n v="1329199.71"/>
    <n v="7047.92"/>
    <n v="1"/>
    <s v="01/4081529"/>
    <m/>
    <n v="34859.199999999997"/>
    <n v="57534"/>
    <n v="57554"/>
  </r>
  <r>
    <x v="15"/>
    <s v="05148-9"/>
    <s v="Farum Svømmehal, Park 20"/>
    <n v="5453"/>
    <m/>
    <s v="Swim-mix"/>
    <x v="122"/>
    <x v="1"/>
    <x v="0"/>
    <n v="12455.77"/>
    <n v="5"/>
    <s v="2015-05-04"/>
    <n v="0"/>
    <n v="610"/>
    <n v="20.415948"/>
    <n v="1"/>
    <x v="1"/>
    <n v="13820.69"/>
    <n v="2556827.65"/>
    <n v="1"/>
    <s v="8545882"/>
    <m/>
    <n v="12455.78125"/>
    <n v="0"/>
    <n v="84287"/>
  </r>
  <r>
    <x v="15"/>
    <s v="05148-9"/>
    <s v="Farum Svømmehal, Park 20"/>
    <n v="5453"/>
    <m/>
    <s v="Swim-mix"/>
    <x v="122"/>
    <x v="1"/>
    <x v="1"/>
    <n v="26693.19"/>
    <n v="11"/>
    <s v="2015-05-04"/>
    <n v="0"/>
    <n v="610"/>
    <n v="43.752155000000002"/>
    <n v="1"/>
    <x v="1"/>
    <n v="30782.57"/>
    <n v="5694.78"/>
    <n v="1"/>
    <s v="8545882"/>
    <m/>
    <n v="26693.17986"/>
    <n v="0"/>
    <n v="84287"/>
  </r>
  <r>
    <x v="15"/>
    <s v="05148-9"/>
    <s v="Farum Svømmehal, Park 20"/>
    <n v="5453"/>
    <m/>
    <s v="Swim-mix"/>
    <x v="122"/>
    <x v="1"/>
    <x v="2"/>
    <n v="26513.32"/>
    <n v="13"/>
    <s v="2015-05-04"/>
    <n v="0"/>
    <n v="610"/>
    <n v="43.457334000000003"/>
    <n v="1"/>
    <x v="1"/>
    <n v="28632.639999999999"/>
    <n v="5297.06"/>
    <n v="1"/>
    <s v="8545882"/>
    <m/>
    <n v="26513.303029999999"/>
    <n v="0"/>
    <n v="84287"/>
  </r>
  <r>
    <x v="15"/>
    <s v="05148-9"/>
    <s v="Farum Svømmehal, Park 20"/>
    <n v="5453"/>
    <m/>
    <s v="Swim-mix"/>
    <x v="122"/>
    <x v="1"/>
    <x v="3"/>
    <n v="24797.919999999998"/>
    <n v="12"/>
    <s v="2015-05-04"/>
    <n v="0"/>
    <n v="610"/>
    <n v="40.645663999999996"/>
    <n v="1"/>
    <x v="1"/>
    <n v="27752.3"/>
    <n v="5134.17"/>
    <n v="1"/>
    <s v="8545882"/>
    <m/>
    <n v="24797.909100000001"/>
    <n v="0"/>
    <n v="84287"/>
  </r>
  <r>
    <x v="15"/>
    <s v="05148-9"/>
    <s v="Farum Svømmehal, Park 20"/>
    <n v="5453"/>
    <m/>
    <s v="Swim-mix"/>
    <x v="122"/>
    <x v="1"/>
    <x v="4"/>
    <n v="25018.57"/>
    <n v="12"/>
    <s v="2015-05-04"/>
    <n v="0"/>
    <n v="610"/>
    <n v="41.007325999999999"/>
    <n v="1"/>
    <x v="1"/>
    <n v="23266.84"/>
    <n v="4304.3599999999997"/>
    <n v="1"/>
    <s v="8545882"/>
    <m/>
    <n v="25018.575769999999"/>
    <n v="0"/>
    <n v="84287"/>
  </r>
  <r>
    <x v="15"/>
    <s v="190-001744"/>
    <s v="Værløse Svømmehal, KV60"/>
    <n v="8880"/>
    <s v="0"/>
    <s v="BI-måler varme"/>
    <x v="123"/>
    <x v="1"/>
    <x v="0"/>
    <n v="40803.230000000003"/>
    <n v="5"/>
    <s v="2015-05-05"/>
    <n v="0"/>
    <n v="0"/>
    <n v="408032.3"/>
    <n v="1"/>
    <x v="1"/>
    <n v="46163.51"/>
    <n v="5816.59"/>
    <n v="1"/>
    <s v="4372271-ME2 VE02"/>
    <m/>
    <n v="40803.235289999997"/>
    <n v="0"/>
    <n v="70702"/>
  </r>
  <r>
    <x v="15"/>
    <s v="190-001744"/>
    <s v="Værløse Svømmehal, KV60"/>
    <n v="8880"/>
    <s v="0"/>
    <s v="BI-måler varme"/>
    <x v="123"/>
    <x v="1"/>
    <x v="0"/>
    <n v="253911.18"/>
    <n v="5"/>
    <s v="2015-05-05"/>
    <n v="0"/>
    <n v="0"/>
    <n v="2539111.7999999998"/>
    <n v="1"/>
    <x v="1"/>
    <n v="286581.36"/>
    <n v="18341.2"/>
    <n v="1"/>
    <s v="4372281 ME1 VE01"/>
    <m/>
    <n v="253911.17647000001"/>
    <n v="0"/>
    <n v="70979"/>
  </r>
  <r>
    <x v="15"/>
    <s v="190-001744"/>
    <s v="Værløse Svømmehal, KV60"/>
    <n v="8880"/>
    <s v="0"/>
    <s v="BI-måler varme"/>
    <x v="123"/>
    <x v="1"/>
    <x v="0"/>
    <n v="3957.71"/>
    <n v="5"/>
    <s v="2015-05-06"/>
    <n v="0"/>
    <n v="0"/>
    <n v="39577.1"/>
    <n v="1"/>
    <x v="1"/>
    <n v="4569.9399999999996"/>
    <n v="292.47000000000003"/>
    <n v="1"/>
    <s v="4372267 ME5 VE05"/>
    <m/>
    <n v="3957.7058900000002"/>
    <n v="0"/>
    <n v="70982"/>
  </r>
  <r>
    <x v="15"/>
    <s v="190-001744"/>
    <s v="Værløse Svømmehal, KV60"/>
    <n v="8880"/>
    <s v="0"/>
    <s v="BI-måler varme"/>
    <x v="123"/>
    <x v="1"/>
    <x v="0"/>
    <n v="35893.18"/>
    <n v="5"/>
    <s v="2015-05-05"/>
    <n v="0"/>
    <n v="0"/>
    <n v="358931.8"/>
    <n v="1"/>
    <x v="1"/>
    <n v="39787.410000000003"/>
    <n v="2546.38"/>
    <n v="1"/>
    <s v="4372275 ME11 VVB"/>
    <m/>
    <n v="35893.176460000002"/>
    <n v="0"/>
    <n v="70987"/>
  </r>
  <r>
    <x v="15"/>
    <s v="190-001744"/>
    <s v="Værløse Svømmehal, KV60"/>
    <n v="8880"/>
    <s v="0"/>
    <s v="BI-måler varme"/>
    <x v="123"/>
    <x v="1"/>
    <x v="0"/>
    <n v="3232.76"/>
    <n v="5"/>
    <s v="2015-05-05"/>
    <n v="0"/>
    <n v="0"/>
    <n v="32327.599999999999"/>
    <n v="1"/>
    <x v="1"/>
    <n v="3729.56"/>
    <n v="238.69"/>
    <n v="1"/>
    <s v="4376015 ME10 GV01"/>
    <m/>
    <n v="3232.7647099999999"/>
    <n v="0"/>
    <n v="70988"/>
  </r>
  <r>
    <x v="15"/>
    <s v="190-001744"/>
    <s v="Værløse Svømmehal, KV60"/>
    <n v="8880"/>
    <s v="0"/>
    <s v="BI-måler varme"/>
    <x v="123"/>
    <x v="1"/>
    <x v="0"/>
    <n v="12103.53"/>
    <n v="5"/>
    <s v="2015-05-05"/>
    <n v="0"/>
    <n v="0"/>
    <n v="121035.3"/>
    <n v="1"/>
    <x v="1"/>
    <n v="13212.9"/>
    <n v="845.61"/>
    <n v="1"/>
    <s v="4378476 ME8 25M"/>
    <m/>
    <n v="12103.529420000001"/>
    <n v="0"/>
    <n v="70978"/>
  </r>
  <r>
    <x v="15"/>
    <s v="190-001744"/>
    <s v="Værløse Svømmehal, KV60"/>
    <n v="8880"/>
    <s v="0"/>
    <s v="BI-måler varme"/>
    <x v="123"/>
    <x v="1"/>
    <x v="0"/>
    <n v="7700.99"/>
    <n v="5"/>
    <s v="2015-05-05"/>
    <n v="0"/>
    <n v="0"/>
    <n v="77009.899999999994"/>
    <n v="1"/>
    <x v="1"/>
    <n v="8838.4"/>
    <n v="565.66999999999996"/>
    <n v="1"/>
    <s v="4376014 ME7 RA01"/>
    <m/>
    <n v="7701.0000099999997"/>
    <n v="0"/>
    <n v="70981"/>
  </r>
  <r>
    <x v="15"/>
    <s v="190-001744"/>
    <s v="Værløse Svømmehal, KV60"/>
    <n v="8880"/>
    <s v="0"/>
    <s v="BI-måler varme"/>
    <x v="123"/>
    <x v="1"/>
    <x v="0"/>
    <n v="7.71"/>
    <n v="5"/>
    <s v="2015-05-05"/>
    <n v="0"/>
    <n v="0"/>
    <n v="77.099999999999994"/>
    <n v="1"/>
    <x v="1"/>
    <n v="8.64"/>
    <n v="0.56000000000000005"/>
    <n v="1"/>
    <s v="4372265 ME4 VE04"/>
    <m/>
    <n v="7.7058799999999996"/>
    <n v="0"/>
    <n v="70983"/>
  </r>
  <r>
    <x v="15"/>
    <s v="190-001744"/>
    <s v="Værløse Svømmehal, KV60"/>
    <n v="8880"/>
    <s v="0"/>
    <s v="BI-måler varme"/>
    <x v="123"/>
    <x v="1"/>
    <x v="0"/>
    <n v="3915.88"/>
    <n v="5"/>
    <s v="2015-05-05"/>
    <n v="0"/>
    <n v="0"/>
    <n v="39158.800000000003"/>
    <n v="1"/>
    <x v="1"/>
    <n v="4472.45"/>
    <n v="286.23"/>
    <n v="1"/>
    <s v="4372274 ME3 VE03"/>
    <m/>
    <n v="3915.8823499999999"/>
    <n v="0"/>
    <n v="70984"/>
  </r>
  <r>
    <x v="15"/>
    <s v="190-001744"/>
    <s v="Værløse Svømmehal, KV60"/>
    <n v="8880"/>
    <s v="0"/>
    <s v="BI-måler varme"/>
    <x v="123"/>
    <x v="1"/>
    <x v="0"/>
    <n v="42951.64"/>
    <n v="5"/>
    <s v="2015-05-05"/>
    <n v="0"/>
    <n v="0"/>
    <n v="429516.4"/>
    <n v="1"/>
    <x v="1"/>
    <n v="47455.89"/>
    <n v="3037.17"/>
    <n v="1"/>
    <s v="4372276 ME9 TB"/>
    <m/>
    <n v="42951.647069999999"/>
    <n v="0"/>
    <n v="70986"/>
  </r>
  <r>
    <x v="15"/>
    <s v="190-001744"/>
    <s v="Værløse Svømmehal, KV60"/>
    <n v="8880"/>
    <s v="0"/>
    <s v="BI-måler varme"/>
    <x v="123"/>
    <x v="1"/>
    <x v="0"/>
    <n v="36002.94"/>
    <n v="4"/>
    <s v="2015-03-31"/>
    <n v="0"/>
    <n v="0"/>
    <n v="360029.4"/>
    <n v="1"/>
    <x v="10"/>
    <n v="39855.97"/>
    <n v="0"/>
    <n v="1"/>
    <s v="69298140 Recool"/>
    <m/>
    <n v="36002.941180000002"/>
    <n v="0"/>
    <n v="95759"/>
  </r>
  <r>
    <x v="15"/>
    <s v="190-001744"/>
    <s v="Værløse Svømmehal, KV60"/>
    <n v="8880"/>
    <s v="0"/>
    <s v="BI-måler varme"/>
    <x v="123"/>
    <x v="1"/>
    <x v="1"/>
    <n v="553589.18000000005"/>
    <n v="11"/>
    <s v="2015-05-05"/>
    <n v="0"/>
    <n v="0"/>
    <n v="5535891.7999999998"/>
    <n v="1"/>
    <x v="1"/>
    <n v="640761.97"/>
    <n v="41008.76"/>
    <n v="1"/>
    <s v="4372281 ME1 VE01"/>
    <m/>
    <n v="553589.16668000002"/>
    <n v="0"/>
    <n v="70979"/>
  </r>
  <r>
    <x v="15"/>
    <s v="190-001744"/>
    <s v="Værløse Svømmehal, KV60"/>
    <n v="8880"/>
    <s v="0"/>
    <s v="BI-måler varme"/>
    <x v="123"/>
    <x v="1"/>
    <x v="1"/>
    <n v="17421.46"/>
    <n v="11"/>
    <s v="2015-05-05"/>
    <n v="0"/>
    <n v="0"/>
    <n v="174214.6"/>
    <n v="1"/>
    <x v="1"/>
    <n v="18145.72"/>
    <n v="1161.33"/>
    <n v="1"/>
    <s v="4376014 ME7 RA01"/>
    <m/>
    <n v="17421.464019999999"/>
    <n v="0"/>
    <n v="70981"/>
  </r>
  <r>
    <x v="15"/>
    <s v="190-001744"/>
    <s v="Værløse Svømmehal, KV60"/>
    <n v="8880"/>
    <s v="0"/>
    <s v="BI-måler varme"/>
    <x v="123"/>
    <x v="1"/>
    <x v="1"/>
    <n v="11106.97"/>
    <n v="11"/>
    <s v="2015-05-06"/>
    <n v="0"/>
    <n v="0"/>
    <n v="111069.7"/>
    <n v="1"/>
    <x v="1"/>
    <n v="11320.65"/>
    <n v="724.52"/>
    <n v="1"/>
    <s v="4372267 ME5 VE05"/>
    <m/>
    <n v="11106.984839999999"/>
    <n v="0"/>
    <n v="70982"/>
  </r>
  <r>
    <x v="15"/>
    <s v="190-001744"/>
    <s v="Værløse Svømmehal, KV60"/>
    <n v="8880"/>
    <s v="0"/>
    <s v="BI-måler varme"/>
    <x v="123"/>
    <x v="1"/>
    <x v="1"/>
    <n v="4486.04"/>
    <n v="11"/>
    <s v="2015-05-05"/>
    <n v="0"/>
    <n v="0"/>
    <n v="44860.4"/>
    <n v="1"/>
    <x v="1"/>
    <n v="4656.66"/>
    <n v="298.01"/>
    <n v="1"/>
    <s v="4372274 ME3 VE03"/>
    <m/>
    <n v="4486.0397700000003"/>
    <n v="0"/>
    <n v="70984"/>
  </r>
  <r>
    <x v="15"/>
    <s v="190-001744"/>
    <s v="Værløse Svømmehal, KV60"/>
    <n v="8880"/>
    <s v="0"/>
    <s v="BI-måler varme"/>
    <x v="123"/>
    <x v="1"/>
    <x v="1"/>
    <n v="178973.97"/>
    <n v="11"/>
    <s v="2015-05-05"/>
    <n v="0"/>
    <n v="0"/>
    <n v="1789739.7"/>
    <n v="1"/>
    <x v="1"/>
    <n v="244974.22"/>
    <n v="15678.35"/>
    <n v="1"/>
    <s v="4372275 ME11 VVB"/>
    <m/>
    <n v="178973.96591"/>
    <n v="0"/>
    <n v="70987"/>
  </r>
  <r>
    <x v="15"/>
    <s v="190-001744"/>
    <s v="Værløse Svømmehal, KV60"/>
    <n v="8880"/>
    <s v="0"/>
    <s v="BI-måler varme"/>
    <x v="123"/>
    <x v="1"/>
    <x v="1"/>
    <n v="92095.19"/>
    <n v="11"/>
    <s v="2015-05-05"/>
    <n v="0"/>
    <n v="0"/>
    <n v="920951.9"/>
    <n v="1"/>
    <x v="1"/>
    <n v="101547.43"/>
    <n v="12794.98"/>
    <n v="1"/>
    <s v="4372271-ME2 VE02"/>
    <m/>
    <n v="92095.195070000002"/>
    <n v="0"/>
    <n v="70702"/>
  </r>
  <r>
    <x v="15"/>
    <s v="190-001744"/>
    <s v="Værløse Svømmehal, KV60"/>
    <n v="8880"/>
    <s v="0"/>
    <s v="BI-måler varme"/>
    <x v="123"/>
    <x v="1"/>
    <x v="1"/>
    <n v="31493.67"/>
    <n v="11"/>
    <s v="2015-05-05"/>
    <n v="0"/>
    <n v="0"/>
    <n v="314936.7"/>
    <n v="1"/>
    <x v="1"/>
    <n v="37143.89"/>
    <n v="2377.2199999999998"/>
    <n v="1"/>
    <s v="4378476 ME8 25M"/>
    <m/>
    <n v="31493.67424"/>
    <n v="0"/>
    <n v="70978"/>
  </r>
  <r>
    <x v="15"/>
    <s v="190-001744"/>
    <s v="Værløse Svømmehal, KV60"/>
    <n v="8880"/>
    <s v="0"/>
    <s v="BI-måler varme"/>
    <x v="123"/>
    <x v="1"/>
    <x v="1"/>
    <n v="389.65"/>
    <n v="11"/>
    <s v="2015-05-05"/>
    <n v="0"/>
    <n v="0"/>
    <n v="3896.5"/>
    <n v="1"/>
    <x v="1"/>
    <n v="443.15"/>
    <n v="28.37"/>
    <n v="1"/>
    <s v="4372265 ME4 VE04"/>
    <m/>
    <n v="389.65719000000001"/>
    <n v="0"/>
    <n v="70983"/>
  </r>
  <r>
    <x v="15"/>
    <s v="190-001744"/>
    <s v="Værløse Svømmehal, KV60"/>
    <n v="8880"/>
    <s v="0"/>
    <s v="BI-måler varme"/>
    <x v="123"/>
    <x v="1"/>
    <x v="1"/>
    <n v="215232.45"/>
    <n v="11"/>
    <s v="2015-05-05"/>
    <n v="0"/>
    <n v="0"/>
    <n v="2152324.5"/>
    <n v="1"/>
    <x v="1"/>
    <n v="301002"/>
    <n v="19264.13"/>
    <n v="1"/>
    <s v="4372276 ME9 TB"/>
    <m/>
    <n v="215232.44792000001"/>
    <n v="0"/>
    <n v="70986"/>
  </r>
  <r>
    <x v="15"/>
    <s v="190-001744"/>
    <s v="Værløse Svømmehal, KV60"/>
    <n v="8880"/>
    <s v="0"/>
    <s v="BI-måler varme"/>
    <x v="123"/>
    <x v="1"/>
    <x v="1"/>
    <n v="7750.54"/>
    <n v="11"/>
    <s v="2015-05-05"/>
    <n v="0"/>
    <n v="0"/>
    <n v="77505.399999999994"/>
    <n v="1"/>
    <x v="1"/>
    <n v="8006.61"/>
    <n v="512.42999999999995"/>
    <n v="1"/>
    <s v="4376015 ME10 GV01"/>
    <m/>
    <n v="7750.55681"/>
    <n v="0"/>
    <n v="70988"/>
  </r>
  <r>
    <x v="15"/>
    <s v="190-001744"/>
    <s v="Værløse Svømmehal, KV60"/>
    <n v="8880"/>
    <s v="0"/>
    <s v="BI-måler varme"/>
    <x v="123"/>
    <x v="1"/>
    <x v="2"/>
    <n v="59988.4"/>
    <n v="12"/>
    <s v="2015-05-05"/>
    <n v="0"/>
    <n v="0"/>
    <n v="599884"/>
    <n v="1"/>
    <x v="1"/>
    <n v="68722.350000000006"/>
    <n v="12713.64"/>
    <n v="1"/>
    <s v="4378476 ME8 25M"/>
    <m/>
    <n v="59988.409110000001"/>
    <n v="0"/>
    <n v="70978"/>
  </r>
  <r>
    <x v="15"/>
    <s v="190-001744"/>
    <s v="Værløse Svømmehal, KV60"/>
    <n v="8880"/>
    <s v="0"/>
    <s v="BI-måler varme"/>
    <x v="123"/>
    <x v="1"/>
    <x v="2"/>
    <n v="490173.35"/>
    <n v="12"/>
    <s v="2015-05-05"/>
    <n v="0"/>
    <n v="0"/>
    <n v="4901733.5"/>
    <n v="1"/>
    <x v="1"/>
    <n v="518417.95"/>
    <n v="95907.31"/>
    <n v="1"/>
    <s v="4372281 ME1 VE01"/>
    <m/>
    <n v="490173.33332999999"/>
    <n v="0"/>
    <n v="70979"/>
  </r>
  <r>
    <x v="15"/>
    <s v="190-001744"/>
    <s v="Værløse Svømmehal, KV60"/>
    <n v="8880"/>
    <s v="0"/>
    <s v="BI-måler varme"/>
    <x v="123"/>
    <x v="1"/>
    <x v="2"/>
    <n v="17727.189999999999"/>
    <n v="12"/>
    <s v="2015-05-05"/>
    <n v="0"/>
    <n v="0"/>
    <n v="177271.9"/>
    <n v="1"/>
    <x v="1"/>
    <n v="18818.04"/>
    <n v="3481.35"/>
    <n v="1"/>
    <s v="4376014 ME7 RA01"/>
    <m/>
    <n v="17727.181809999998"/>
    <n v="0"/>
    <n v="70981"/>
  </r>
  <r>
    <x v="15"/>
    <s v="190-001744"/>
    <s v="Værløse Svømmehal, KV60"/>
    <n v="8880"/>
    <s v="0"/>
    <s v="BI-måler varme"/>
    <x v="123"/>
    <x v="1"/>
    <x v="2"/>
    <n v="6429.44"/>
    <n v="12"/>
    <s v="2015-05-05"/>
    <n v="0"/>
    <n v="0"/>
    <n v="64294.400000000001"/>
    <n v="1"/>
    <x v="1"/>
    <n v="6629.03"/>
    <n v="1226.3800000000001"/>
    <n v="1"/>
    <s v="4372274 ME3 VE03"/>
    <m/>
    <n v="6429.4394000000002"/>
    <n v="0"/>
    <n v="70984"/>
  </r>
  <r>
    <x v="15"/>
    <s v="190-001744"/>
    <s v="Værløse Svømmehal, KV60"/>
    <n v="8880"/>
    <s v="0"/>
    <s v="BI-måler varme"/>
    <x v="123"/>
    <x v="1"/>
    <x v="2"/>
    <n v="224952.42"/>
    <n v="12"/>
    <s v="2015-05-05"/>
    <n v="0"/>
    <n v="0"/>
    <n v="2249524.2000000002"/>
    <n v="1"/>
    <x v="1"/>
    <n v="249199.4"/>
    <n v="46101.89"/>
    <n v="1"/>
    <s v="4372276 ME9 TB"/>
    <m/>
    <n v="224952.41665999999"/>
    <n v="0"/>
    <n v="70986"/>
  </r>
  <r>
    <x v="15"/>
    <s v="190-001744"/>
    <s v="Værløse Svømmehal, KV60"/>
    <n v="8880"/>
    <s v="0"/>
    <s v="BI-måler varme"/>
    <x v="123"/>
    <x v="1"/>
    <x v="2"/>
    <n v="185957.23"/>
    <n v="12"/>
    <s v="2015-05-05"/>
    <n v="0"/>
    <n v="0"/>
    <n v="1859572.3"/>
    <n v="1"/>
    <x v="1"/>
    <n v="205784.13"/>
    <n v="38070.050000000003"/>
    <n v="1"/>
    <s v="4372275 ME11 VVB"/>
    <m/>
    <n v="185957.24243000001"/>
    <n v="0"/>
    <n v="70987"/>
  </r>
  <r>
    <x v="15"/>
    <s v="190-001744"/>
    <s v="Værløse Svømmehal, KV60"/>
    <n v="8880"/>
    <s v="0"/>
    <s v="BI-måler varme"/>
    <x v="123"/>
    <x v="1"/>
    <x v="2"/>
    <n v="101170.09"/>
    <n v="12"/>
    <s v="2015-05-05"/>
    <n v="0"/>
    <n v="0"/>
    <n v="1011700.9"/>
    <n v="1"/>
    <x v="1"/>
    <n v="107597.31"/>
    <n v="13557.25"/>
    <n v="1"/>
    <s v="4372271-ME2 VE02"/>
    <m/>
    <n v="101170.07576000001"/>
    <n v="0"/>
    <n v="70702"/>
  </r>
  <r>
    <x v="15"/>
    <s v="190-001744"/>
    <s v="Værløse Svømmehal, KV60"/>
    <n v="8880"/>
    <s v="0"/>
    <s v="BI-måler varme"/>
    <x v="123"/>
    <x v="1"/>
    <x v="2"/>
    <n v="1143"/>
    <n v="7"/>
    <s v="2012-07-31"/>
    <n v="0"/>
    <n v="0"/>
    <n v="11430"/>
    <n v="1"/>
    <x v="1"/>
    <n v="1196.1500000000001"/>
    <n v="221.28"/>
    <n v="1"/>
    <s v="4375566 ME13 BV02"/>
    <m/>
    <n v="1142.99999"/>
    <n v="0"/>
    <n v="70980"/>
  </r>
  <r>
    <x v="15"/>
    <s v="190-001744"/>
    <s v="Værløse Svømmehal, KV60"/>
    <n v="8880"/>
    <s v="0"/>
    <s v="BI-måler varme"/>
    <x v="123"/>
    <x v="1"/>
    <x v="2"/>
    <n v="7256.53"/>
    <n v="12"/>
    <s v="2015-05-06"/>
    <n v="0"/>
    <n v="0"/>
    <n v="72565.3"/>
    <n v="1"/>
    <x v="1"/>
    <n v="7821.23"/>
    <n v="1446.92"/>
    <n v="1"/>
    <s v="4372267 ME5 VE05"/>
    <m/>
    <n v="7256.5151400000004"/>
    <n v="0"/>
    <n v="70982"/>
  </r>
  <r>
    <x v="15"/>
    <s v="190-001744"/>
    <s v="Værløse Svømmehal, KV60"/>
    <n v="8880"/>
    <s v="0"/>
    <s v="BI-måler varme"/>
    <x v="123"/>
    <x v="1"/>
    <x v="2"/>
    <n v="830.61"/>
    <n v="12"/>
    <s v="2015-05-05"/>
    <n v="0"/>
    <n v="0"/>
    <n v="8306.1"/>
    <n v="1"/>
    <x v="1"/>
    <n v="862.67"/>
    <n v="159.59"/>
    <n v="1"/>
    <s v="4372265 ME4 VE04"/>
    <m/>
    <n v="830.61364000000003"/>
    <n v="0"/>
    <n v="70983"/>
  </r>
  <r>
    <x v="15"/>
    <s v="190-001744"/>
    <s v="Værløse Svømmehal, KV60"/>
    <n v="8880"/>
    <s v="0"/>
    <s v="BI-måler varme"/>
    <x v="123"/>
    <x v="1"/>
    <x v="2"/>
    <n v="217462.5"/>
    <n v="8"/>
    <s v="2012-08-28"/>
    <n v="0"/>
    <n v="0"/>
    <n v="2174625"/>
    <n v="1"/>
    <x v="1"/>
    <n v="241689.15"/>
    <n v="44712.5"/>
    <n v="1"/>
    <s v="4378475 ME12 BV01"/>
    <m/>
    <n v="217462.5"/>
    <n v="0"/>
    <n v="70985"/>
  </r>
  <r>
    <x v="15"/>
    <s v="190-001744"/>
    <s v="Værløse Svømmehal, KV60"/>
    <n v="8880"/>
    <s v="0"/>
    <s v="BI-måler varme"/>
    <x v="123"/>
    <x v="1"/>
    <x v="2"/>
    <n v="3432.31"/>
    <n v="12"/>
    <s v="2015-05-05"/>
    <n v="0"/>
    <n v="0"/>
    <n v="34323.1"/>
    <n v="1"/>
    <x v="1"/>
    <n v="3724.63"/>
    <n v="689.05"/>
    <n v="1"/>
    <s v="4376015 ME10 GV01"/>
    <m/>
    <n v="3432.3182000000002"/>
    <n v="0"/>
    <n v="70988"/>
  </r>
  <r>
    <x v="15"/>
    <s v="190-001744"/>
    <s v="Værløse Svømmehal, KV60"/>
    <n v="8880"/>
    <s v="0"/>
    <s v="BI-måler varme"/>
    <x v="123"/>
    <x v="1"/>
    <x v="3"/>
    <n v="23407.69"/>
    <n v="12"/>
    <s v="2015-05-05"/>
    <n v="0"/>
    <n v="0"/>
    <n v="234076.9"/>
    <n v="1"/>
    <x v="1"/>
    <n v="25792.97"/>
    <n v="4771.7"/>
    <n v="1"/>
    <s v="4378476 ME8 25M"/>
    <m/>
    <n v="23407.696090000001"/>
    <n v="0"/>
    <n v="70978"/>
  </r>
  <r>
    <x v="15"/>
    <s v="190-001744"/>
    <s v="Værløse Svømmehal, KV60"/>
    <n v="8880"/>
    <s v="0"/>
    <s v="BI-måler varme"/>
    <x v="123"/>
    <x v="1"/>
    <x v="3"/>
    <n v="17572.8"/>
    <n v="12"/>
    <s v="2015-05-05"/>
    <n v="0"/>
    <n v="0"/>
    <n v="175728"/>
    <n v="1"/>
    <x v="1"/>
    <n v="19213.53"/>
    <n v="3554.52"/>
    <n v="1"/>
    <s v="4376014 ME7 RA01"/>
    <m/>
    <n v="17572.784309999999"/>
    <n v="0"/>
    <n v="70981"/>
  </r>
  <r>
    <x v="15"/>
    <s v="190-001744"/>
    <s v="Værløse Svømmehal, KV60"/>
    <n v="8880"/>
    <s v="0"/>
    <s v="BI-måler varme"/>
    <x v="123"/>
    <x v="1"/>
    <x v="3"/>
    <n v="147.97999999999999"/>
    <n v="12"/>
    <s v="2015-05-05"/>
    <n v="0"/>
    <n v="0"/>
    <n v="1479.8"/>
    <n v="1"/>
    <x v="1"/>
    <n v="159.04"/>
    <n v="29.42"/>
    <n v="1"/>
    <s v="4372265 ME4 VE04"/>
    <m/>
    <n v="147.97548"/>
    <n v="0"/>
    <n v="70983"/>
  </r>
  <r>
    <x v="15"/>
    <s v="190-001744"/>
    <s v="Værløse Svømmehal, KV60"/>
    <n v="8880"/>
    <s v="0"/>
    <s v="BI-måler varme"/>
    <x v="123"/>
    <x v="1"/>
    <x v="3"/>
    <n v="1851.39"/>
    <n v="12"/>
    <s v="2015-05-05"/>
    <n v="0"/>
    <n v="0"/>
    <n v="18513.900000000001"/>
    <n v="1"/>
    <x v="1"/>
    <n v="1950.9"/>
    <n v="360.92"/>
    <n v="1"/>
    <s v="4372274 ME3 VE03"/>
    <m/>
    <n v="1851.3921499999999"/>
    <n v="0"/>
    <n v="70984"/>
  </r>
  <r>
    <x v="15"/>
    <s v="190-001744"/>
    <s v="Værløse Svømmehal, KV60"/>
    <n v="8880"/>
    <s v="0"/>
    <s v="BI-måler varme"/>
    <x v="123"/>
    <x v="1"/>
    <x v="3"/>
    <n v="177365.59"/>
    <n v="12"/>
    <s v="2015-05-05"/>
    <n v="0"/>
    <n v="0"/>
    <n v="1773655.9"/>
    <n v="1"/>
    <x v="1"/>
    <n v="204500.14"/>
    <n v="37832.51"/>
    <n v="1"/>
    <s v="4372276 ME9 TB"/>
    <m/>
    <n v="177365.59314000001"/>
    <n v="0"/>
    <n v="70986"/>
  </r>
  <r>
    <x v="15"/>
    <s v="190-001744"/>
    <s v="Værløse Svømmehal, KV60"/>
    <n v="8880"/>
    <s v="0"/>
    <s v="BI-måler varme"/>
    <x v="123"/>
    <x v="1"/>
    <x v="3"/>
    <n v="112914.04"/>
    <n v="12"/>
    <s v="2015-05-05"/>
    <n v="0"/>
    <n v="0"/>
    <n v="1129140.3999999999"/>
    <n v="1"/>
    <x v="1"/>
    <n v="127313.9"/>
    <n v="16041.54"/>
    <n v="1"/>
    <s v="4372271-ME2 VE02"/>
    <m/>
    <n v="112914.049"/>
    <n v="0"/>
    <n v="70702"/>
  </r>
  <r>
    <x v="15"/>
    <s v="190-001744"/>
    <s v="Værløse Svømmehal, KV60"/>
    <n v="8880"/>
    <s v="0"/>
    <s v="BI-måler varme"/>
    <x v="123"/>
    <x v="1"/>
    <x v="3"/>
    <n v="522839.42"/>
    <n v="12"/>
    <s v="2015-05-05"/>
    <n v="0"/>
    <n v="0"/>
    <n v="5228394.2"/>
    <n v="1"/>
    <x v="1"/>
    <n v="585183.72"/>
    <n v="108259"/>
    <n v="1"/>
    <s v="4372281 ME1 VE01"/>
    <m/>
    <n v="522839.41175000003"/>
    <n v="0"/>
    <n v="70979"/>
  </r>
  <r>
    <x v="15"/>
    <s v="190-001744"/>
    <s v="Værløse Svømmehal, KV60"/>
    <n v="8880"/>
    <s v="0"/>
    <s v="BI-måler varme"/>
    <x v="123"/>
    <x v="1"/>
    <x v="3"/>
    <n v="5180.01"/>
    <n v="12"/>
    <s v="2012-07-31"/>
    <n v="0"/>
    <n v="0"/>
    <n v="51800.1"/>
    <n v="1"/>
    <x v="1"/>
    <n v="6300.12"/>
    <n v="1165.52"/>
    <n v="1"/>
    <s v="4375566 ME13 BV02"/>
    <m/>
    <n v="5179.9999900000003"/>
    <n v="0"/>
    <n v="70980"/>
  </r>
  <r>
    <x v="15"/>
    <s v="190-001744"/>
    <s v="Værløse Svømmehal, KV60"/>
    <n v="8880"/>
    <s v="0"/>
    <s v="BI-måler varme"/>
    <x v="123"/>
    <x v="1"/>
    <x v="3"/>
    <n v="1991.12"/>
    <n v="12"/>
    <s v="2015-05-06"/>
    <n v="0"/>
    <n v="0"/>
    <n v="19911.2"/>
    <n v="1"/>
    <x v="1"/>
    <n v="2048.34"/>
    <n v="378.94"/>
    <n v="1"/>
    <s v="4372267 ME5 VE05"/>
    <m/>
    <n v="1991.1176499999999"/>
    <n v="0"/>
    <n v="70982"/>
  </r>
  <r>
    <x v="15"/>
    <s v="190-001744"/>
    <s v="Værløse Svømmehal, KV60"/>
    <n v="8880"/>
    <s v="0"/>
    <s v="BI-måler varme"/>
    <x v="123"/>
    <x v="1"/>
    <x v="3"/>
    <n v="218746.91"/>
    <n v="12"/>
    <s v="2012-08-28"/>
    <n v="0"/>
    <n v="0"/>
    <n v="2187469.1"/>
    <n v="1"/>
    <x v="1"/>
    <n v="246979.6"/>
    <n v="45691.21"/>
    <n v="1"/>
    <s v="4378475 ME12 BV01"/>
    <m/>
    <n v="218746.91175999999"/>
    <n v="0"/>
    <n v="70985"/>
  </r>
  <r>
    <x v="15"/>
    <s v="190-001744"/>
    <s v="Værløse Svømmehal, KV60"/>
    <n v="8880"/>
    <s v="0"/>
    <s v="BI-måler varme"/>
    <x v="123"/>
    <x v="1"/>
    <x v="3"/>
    <n v="160725.97"/>
    <n v="12"/>
    <s v="2015-05-05"/>
    <n v="0"/>
    <n v="0"/>
    <n v="1607259.7"/>
    <n v="1"/>
    <x v="1"/>
    <n v="186832.45"/>
    <n v="34564.019999999997"/>
    <n v="1"/>
    <s v="4372275 ME11 VVB"/>
    <m/>
    <n v="160725.9902"/>
    <n v="0"/>
    <n v="70987"/>
  </r>
  <r>
    <x v="15"/>
    <s v="190-001744"/>
    <s v="Værløse Svømmehal, KV60"/>
    <n v="8880"/>
    <s v="0"/>
    <s v="BI-måler varme"/>
    <x v="123"/>
    <x v="1"/>
    <x v="3"/>
    <n v="4540.6099999999997"/>
    <n v="12"/>
    <s v="2015-05-05"/>
    <n v="0"/>
    <n v="0"/>
    <n v="45406.1"/>
    <n v="1"/>
    <x v="1"/>
    <n v="4936.96"/>
    <n v="913.34"/>
    <n v="1"/>
    <s v="4376015 ME10 GV01"/>
    <m/>
    <n v="4540.5882300000003"/>
    <n v="0"/>
    <n v="70988"/>
  </r>
  <r>
    <x v="15"/>
    <s v="190-001744"/>
    <s v="Værløse Svømmehal, KV60"/>
    <n v="8880"/>
    <s v="0"/>
    <s v="BI-måler varme"/>
    <x v="123"/>
    <x v="1"/>
    <x v="4"/>
    <n v="130096.99"/>
    <n v="12"/>
    <s v="2015-05-05"/>
    <n v="0"/>
    <n v="0"/>
    <n v="1300969.8999999999"/>
    <n v="1"/>
    <x v="1"/>
    <n v="123580.02"/>
    <n v="15571.07"/>
    <n v="1"/>
    <s v="4372271-ME2 VE02"/>
    <m/>
    <n v="130096.97477"/>
    <n v="0"/>
    <n v="70702"/>
  </r>
  <r>
    <x v="15"/>
    <s v="190-001744"/>
    <s v="Værløse Svømmehal, KV60"/>
    <n v="8880"/>
    <s v="0"/>
    <s v="BI-måler varme"/>
    <x v="123"/>
    <x v="1"/>
    <x v="4"/>
    <n v="19701.48"/>
    <n v="12"/>
    <s v="2015-05-05"/>
    <n v="0"/>
    <n v="0"/>
    <n v="197014.8"/>
    <n v="1"/>
    <x v="1"/>
    <n v="61100.89"/>
    <n v="11303.66"/>
    <n v="1"/>
    <s v="4378476 ME8 25M"/>
    <m/>
    <n v="19701.470590000001"/>
    <n v="0"/>
    <n v="70978"/>
  </r>
  <r>
    <x v="15"/>
    <s v="190-001744"/>
    <s v="Værløse Svømmehal, KV60"/>
    <n v="8880"/>
    <s v="0"/>
    <s v="BI-måler varme"/>
    <x v="123"/>
    <x v="1"/>
    <x v="4"/>
    <n v="10344.290000000001"/>
    <n v="12"/>
    <s v="2012-07-31"/>
    <n v="0"/>
    <n v="0"/>
    <n v="103442.9"/>
    <n v="1"/>
    <x v="1"/>
    <n v="12879.67"/>
    <n v="2382.75"/>
    <n v="1"/>
    <s v="4375566 ME13 BV02"/>
    <m/>
    <n v="10344.28571"/>
    <n v="0"/>
    <n v="70980"/>
  </r>
  <r>
    <x v="15"/>
    <s v="190-001744"/>
    <s v="Værløse Svømmehal, KV60"/>
    <n v="8880"/>
    <s v="0"/>
    <s v="BI-måler varme"/>
    <x v="123"/>
    <x v="1"/>
    <x v="4"/>
    <n v="17627.46"/>
    <n v="12"/>
    <s v="2015-05-05"/>
    <n v="0"/>
    <n v="0"/>
    <n v="176274.6"/>
    <n v="1"/>
    <x v="1"/>
    <n v="15824.41"/>
    <n v="2927.52"/>
    <n v="1"/>
    <s v="4376014 ME7 RA01"/>
    <m/>
    <n v="17627.45377"/>
    <n v="0"/>
    <n v="70981"/>
  </r>
  <r>
    <x v="15"/>
    <s v="190-001744"/>
    <s v="Værløse Svømmehal, KV60"/>
    <n v="8880"/>
    <s v="0"/>
    <s v="BI-måler varme"/>
    <x v="123"/>
    <x v="1"/>
    <x v="4"/>
    <n v="547.44000000000005"/>
    <n v="12"/>
    <s v="2015-05-05"/>
    <n v="0"/>
    <n v="0"/>
    <n v="5474.4"/>
    <n v="1"/>
    <x v="1"/>
    <n v="506.19"/>
    <n v="93.65"/>
    <n v="1"/>
    <s v="4372265 ME4 VE04"/>
    <m/>
    <n v="547.44115999999997"/>
    <n v="0"/>
    <n v="70983"/>
  </r>
  <r>
    <x v="15"/>
    <s v="190-001744"/>
    <s v="Værløse Svømmehal, KV60"/>
    <n v="8880"/>
    <s v="0"/>
    <s v="BI-måler varme"/>
    <x v="123"/>
    <x v="1"/>
    <x v="4"/>
    <n v="206137.76"/>
    <n v="12"/>
    <s v="2015-05-05"/>
    <n v="0"/>
    <n v="0"/>
    <n v="2061377.6"/>
    <n v="1"/>
    <x v="1"/>
    <n v="276928.15000000002"/>
    <n v="51231.71"/>
    <n v="1"/>
    <s v="4372276 ME9 TB"/>
    <m/>
    <n v="206137.75211"/>
    <n v="0"/>
    <n v="70986"/>
  </r>
  <r>
    <x v="15"/>
    <s v="190-001744"/>
    <s v="Værløse Svømmehal, KV60"/>
    <n v="8880"/>
    <s v="0"/>
    <s v="BI-måler varme"/>
    <x v="123"/>
    <x v="1"/>
    <x v="4"/>
    <n v="4851.91"/>
    <n v="12"/>
    <s v="2015-05-05"/>
    <n v="0"/>
    <n v="0"/>
    <n v="48519.1"/>
    <n v="1"/>
    <x v="1"/>
    <n v="4360.3100000000004"/>
    <n v="806.66"/>
    <n v="1"/>
    <s v="4376015 ME10 GV01"/>
    <m/>
    <n v="4851.91176"/>
    <n v="0"/>
    <n v="70988"/>
  </r>
  <r>
    <x v="15"/>
    <s v="190-001744"/>
    <s v="Værløse Svømmehal, KV60"/>
    <n v="8880"/>
    <s v="0"/>
    <s v="BI-måler varme"/>
    <x v="123"/>
    <x v="1"/>
    <x v="4"/>
    <n v="452172.02"/>
    <n v="12"/>
    <s v="2015-05-05"/>
    <n v="0"/>
    <n v="0"/>
    <n v="4521720.2"/>
    <n v="1"/>
    <x v="1"/>
    <n v="416333.09"/>
    <n v="77021.61"/>
    <n v="1"/>
    <s v="4372281 ME1 VE01"/>
    <m/>
    <n v="452172.01681"/>
    <n v="0"/>
    <n v="70979"/>
  </r>
  <r>
    <x v="15"/>
    <s v="190-001744"/>
    <s v="Værløse Svømmehal, KV60"/>
    <n v="8880"/>
    <s v="0"/>
    <s v="BI-måler varme"/>
    <x v="123"/>
    <x v="1"/>
    <x v="4"/>
    <n v="4460.0200000000004"/>
    <n v="12"/>
    <s v="2015-05-06"/>
    <n v="0"/>
    <n v="0"/>
    <n v="44600.2"/>
    <n v="1"/>
    <x v="1"/>
    <n v="3992.56"/>
    <n v="738.61"/>
    <n v="1"/>
    <s v="4372267 ME5 VE05"/>
    <m/>
    <n v="4460.0252099999998"/>
    <n v="0"/>
    <n v="70982"/>
  </r>
  <r>
    <x v="15"/>
    <s v="190-001744"/>
    <s v="Værløse Svømmehal, KV60"/>
    <n v="8880"/>
    <s v="0"/>
    <s v="BI-måler varme"/>
    <x v="123"/>
    <x v="1"/>
    <x v="4"/>
    <n v="10598.73"/>
    <n v="12"/>
    <s v="2015-05-05"/>
    <n v="0"/>
    <n v="0"/>
    <n v="105987.3"/>
    <n v="1"/>
    <x v="1"/>
    <n v="10021.06"/>
    <n v="1853.9"/>
    <n v="1"/>
    <s v="4372274 ME3 VE03"/>
    <m/>
    <n v="10598.72689"/>
    <n v="0"/>
    <n v="70984"/>
  </r>
  <r>
    <x v="15"/>
    <s v="190-001744"/>
    <s v="Værløse Svømmehal, KV60"/>
    <n v="8880"/>
    <s v="0"/>
    <s v="BI-måler varme"/>
    <x v="123"/>
    <x v="1"/>
    <x v="4"/>
    <n v="264363.45"/>
    <n v="12"/>
    <s v="2012-08-28"/>
    <n v="0"/>
    <n v="0"/>
    <n v="2643634.5"/>
    <n v="1"/>
    <x v="1"/>
    <n v="290811.59999999998"/>
    <n v="53800.13"/>
    <n v="1"/>
    <s v="4378475 ME12 BV01"/>
    <m/>
    <n v="264363.44537999999"/>
    <n v="0"/>
    <n v="70985"/>
  </r>
  <r>
    <x v="15"/>
    <s v="190-001744"/>
    <s v="Værløse Svømmehal, KV60"/>
    <n v="8880"/>
    <s v="0"/>
    <s v="BI-måler varme"/>
    <x v="123"/>
    <x v="1"/>
    <x v="4"/>
    <n v="163841.54"/>
    <n v="13"/>
    <s v="2015-05-05"/>
    <n v="0"/>
    <n v="0"/>
    <n v="1638415.4"/>
    <n v="1"/>
    <x v="1"/>
    <n v="200717.67"/>
    <n v="37132.769999999997"/>
    <n v="1"/>
    <s v="4372275 ME11 VVB"/>
    <m/>
    <n v="163841.53361000001"/>
    <n v="0"/>
    <n v="70987"/>
  </r>
  <r>
    <x v="15"/>
    <s v="190-001744"/>
    <s v="Værløse Svømmehal, KV60"/>
    <n v="8880"/>
    <s v="0"/>
    <s v="BI-måler varme"/>
    <x v="123"/>
    <x v="1"/>
    <x v="5"/>
    <n v="157073.26999999999"/>
    <n v="11"/>
    <s v="2015-05-05"/>
    <n v="0"/>
    <n v="0"/>
    <n v="1570732.7"/>
    <n v="1"/>
    <x v="1"/>
    <n v="194207.38"/>
    <n v="24470.13"/>
    <n v="1"/>
    <s v="4372271-ME2 VE02"/>
    <m/>
    <n v="157073.27187999999"/>
    <n v="0"/>
    <n v="70702"/>
  </r>
  <r>
    <x v="15"/>
    <s v="190-001744"/>
    <s v="Værløse Svømmehal, KV60"/>
    <n v="8880"/>
    <s v="0"/>
    <s v="BI-måler varme"/>
    <x v="123"/>
    <x v="1"/>
    <x v="5"/>
    <n v="16529.03"/>
    <n v="10"/>
    <s v="2015-05-05"/>
    <n v="0"/>
    <n v="0"/>
    <n v="165290.29999999999"/>
    <n v="1"/>
    <x v="1"/>
    <n v="21889.52"/>
    <n v="4049.56"/>
    <n v="1"/>
    <s v="4378476 ME8 25M"/>
    <m/>
    <n v="16529.03225"/>
    <n v="0"/>
    <n v="70978"/>
  </r>
  <r>
    <x v="15"/>
    <s v="190-001744"/>
    <s v="Værløse Svømmehal, KV60"/>
    <n v="8880"/>
    <s v="0"/>
    <s v="BI-måler varme"/>
    <x v="123"/>
    <x v="1"/>
    <x v="5"/>
    <n v="11486.09"/>
    <n v="11"/>
    <s v="2012-07-31"/>
    <n v="0"/>
    <n v="0"/>
    <n v="114860.9"/>
    <n v="1"/>
    <x v="1"/>
    <n v="16049.87"/>
    <n v="2969.21"/>
    <n v="1"/>
    <s v="4375566 ME13 BV02"/>
    <m/>
    <n v="11486.1014"/>
    <n v="0"/>
    <n v="70980"/>
  </r>
  <r>
    <x v="15"/>
    <s v="190-001744"/>
    <s v="Værløse Svømmehal, KV60"/>
    <n v="8880"/>
    <s v="0"/>
    <s v="BI-måler varme"/>
    <x v="123"/>
    <x v="1"/>
    <x v="5"/>
    <n v="1352.26"/>
    <n v="10"/>
    <s v="2015-05-05"/>
    <n v="0"/>
    <n v="0"/>
    <n v="13522.6"/>
    <n v="1"/>
    <x v="1"/>
    <n v="1578.49"/>
    <n v="292.02999999999997"/>
    <n v="1"/>
    <s v="4372265 ME4 VE04"/>
    <m/>
    <n v="1352.2580599999999"/>
    <n v="0"/>
    <n v="70983"/>
  </r>
  <r>
    <x v="15"/>
    <s v="190-001744"/>
    <s v="Værløse Svømmehal, KV60"/>
    <n v="8880"/>
    <s v="0"/>
    <s v="BI-måler varme"/>
    <x v="123"/>
    <x v="1"/>
    <x v="5"/>
    <n v="234805.53"/>
    <n v="11"/>
    <s v="2012-08-28"/>
    <n v="0"/>
    <n v="0"/>
    <n v="2348055.2999999998"/>
    <n v="1"/>
    <x v="1"/>
    <n v="309396.53999999998"/>
    <n v="57238.35"/>
    <n v="1"/>
    <s v="4378475 ME12 BV01"/>
    <m/>
    <n v="234805.52997"/>
    <n v="0"/>
    <n v="70985"/>
  </r>
  <r>
    <x v="15"/>
    <s v="190-001744"/>
    <s v="Værløse Svømmehal, KV60"/>
    <n v="8880"/>
    <s v="0"/>
    <s v="BI-måler varme"/>
    <x v="123"/>
    <x v="1"/>
    <x v="5"/>
    <n v="223473.75"/>
    <n v="11"/>
    <s v="2015-05-05"/>
    <n v="0"/>
    <n v="0"/>
    <n v="2234737.5"/>
    <n v="1"/>
    <x v="1"/>
    <n v="315659.94"/>
    <n v="58397.08"/>
    <n v="1"/>
    <s v="4372276 ME9 TB"/>
    <m/>
    <n v="223473.73271000001"/>
    <n v="0"/>
    <n v="70986"/>
  </r>
  <r>
    <x v="15"/>
    <s v="190-001744"/>
    <s v="Værløse Svømmehal, KV60"/>
    <n v="8880"/>
    <s v="0"/>
    <s v="BI-måler varme"/>
    <x v="123"/>
    <x v="1"/>
    <x v="5"/>
    <n v="3403.61"/>
    <n v="11"/>
    <s v="2015-05-05"/>
    <n v="0"/>
    <n v="0"/>
    <n v="34036.1"/>
    <n v="1"/>
    <x v="1"/>
    <n v="3569.61"/>
    <n v="660.39"/>
    <n v="1"/>
    <s v="4376015 ME10 GV01"/>
    <m/>
    <n v="3403.6129000000001"/>
    <n v="0"/>
    <n v="70988"/>
  </r>
  <r>
    <x v="15"/>
    <s v="190-001744"/>
    <s v="Værløse Svømmehal, KV60"/>
    <n v="8880"/>
    <s v="0"/>
    <s v="BI-måler varme"/>
    <x v="123"/>
    <x v="1"/>
    <x v="5"/>
    <n v="326054.36"/>
    <n v="11"/>
    <s v="2015-05-05"/>
    <n v="0"/>
    <n v="0"/>
    <n v="3260543.6"/>
    <n v="1"/>
    <x v="1"/>
    <n v="359070.38"/>
    <n v="66428.02"/>
    <n v="1"/>
    <s v="4372281 ME1 VE01"/>
    <m/>
    <n v="326054.37790000002"/>
    <n v="0"/>
    <n v="70979"/>
  </r>
  <r>
    <x v="15"/>
    <s v="190-001744"/>
    <s v="Værløse Svømmehal, KV60"/>
    <n v="8880"/>
    <s v="0"/>
    <s v="BI-måler varme"/>
    <x v="123"/>
    <x v="1"/>
    <x v="5"/>
    <n v="11164.98"/>
    <n v="11"/>
    <s v="2015-05-05"/>
    <n v="0"/>
    <n v="0"/>
    <n v="111649.8"/>
    <n v="1"/>
    <x v="1"/>
    <n v="12233.52"/>
    <n v="2263.19"/>
    <n v="1"/>
    <s v="4376014 ME7 RA01"/>
    <m/>
    <n v="11164.97695"/>
    <n v="0"/>
    <n v="70981"/>
  </r>
  <r>
    <x v="15"/>
    <s v="190-001744"/>
    <s v="Værløse Svømmehal, KV60"/>
    <n v="8880"/>
    <s v="0"/>
    <s v="BI-måler varme"/>
    <x v="123"/>
    <x v="1"/>
    <x v="5"/>
    <n v="6219.64"/>
    <n v="10"/>
    <s v="2015-05-06"/>
    <n v="0"/>
    <n v="0"/>
    <n v="62196.4"/>
    <n v="1"/>
    <x v="1"/>
    <n v="6469.79"/>
    <n v="1196.9100000000001"/>
    <n v="1"/>
    <s v="4372267 ME5 VE05"/>
    <m/>
    <n v="6219.6313300000002"/>
    <n v="0"/>
    <n v="70982"/>
  </r>
  <r>
    <x v="15"/>
    <s v="190-001744"/>
    <s v="Værløse Svømmehal, KV60"/>
    <n v="8880"/>
    <s v="0"/>
    <s v="BI-måler varme"/>
    <x v="123"/>
    <x v="1"/>
    <x v="5"/>
    <n v="6843.64"/>
    <n v="11"/>
    <s v="2015-05-05"/>
    <n v="0"/>
    <n v="0"/>
    <n v="68436.399999999994"/>
    <n v="1"/>
    <x v="1"/>
    <n v="7134.74"/>
    <n v="1319.95"/>
    <n v="1"/>
    <s v="4372274 ME3 VE03"/>
    <m/>
    <n v="6843.6497900000004"/>
    <n v="0"/>
    <n v="70984"/>
  </r>
  <r>
    <x v="15"/>
    <s v="190-001744"/>
    <s v="Værløse Svømmehal, KV60"/>
    <n v="8880"/>
    <s v="0"/>
    <s v="BI-måler varme"/>
    <x v="123"/>
    <x v="1"/>
    <x v="5"/>
    <n v="163573.26"/>
    <n v="11"/>
    <s v="2015-05-05"/>
    <n v="0"/>
    <n v="0"/>
    <n v="1635732.6"/>
    <n v="1"/>
    <x v="1"/>
    <n v="227414.94"/>
    <n v="42071.78"/>
    <n v="1"/>
    <s v="4372275 ME11 VVB"/>
    <m/>
    <n v="163573.27189"/>
    <n v="0"/>
    <n v="70987"/>
  </r>
  <r>
    <x v="15"/>
    <s v="190-001744"/>
    <s v="Værløse Svømmehal, KV60"/>
    <n v="8880"/>
    <s v="0"/>
    <s v="BI-måler varme"/>
    <x v="123"/>
    <x v="1"/>
    <x v="6"/>
    <n v="119350.56"/>
    <n v="12"/>
    <s v="2015-05-05"/>
    <n v="0"/>
    <n v="0"/>
    <n v="1193505.6000000001"/>
    <n v="1"/>
    <x v="1"/>
    <n v="135861.69"/>
    <n v="17118.57"/>
    <n v="1"/>
    <s v="4372271-ME2 VE02"/>
    <m/>
    <n v="119350.53762"/>
    <n v="0"/>
    <n v="70702"/>
  </r>
  <r>
    <x v="15"/>
    <s v="190-001744"/>
    <s v="Værløse Svømmehal, KV60"/>
    <n v="8880"/>
    <s v="0"/>
    <s v="BI-måler varme"/>
    <x v="123"/>
    <x v="1"/>
    <x v="6"/>
    <n v="9906.27"/>
    <n v="12"/>
    <s v="2012-07-31"/>
    <n v="0"/>
    <n v="0"/>
    <n v="99062.7"/>
    <n v="1"/>
    <x v="1"/>
    <n v="11778.38"/>
    <n v="2179.0100000000002"/>
    <n v="1"/>
    <s v="4375566 ME13 BV02"/>
    <m/>
    <n v="9906.2795900000001"/>
    <n v="0"/>
    <n v="70980"/>
  </r>
  <r>
    <x v="15"/>
    <s v="190-001744"/>
    <s v="Værløse Svømmehal, KV60"/>
    <n v="8880"/>
    <s v="0"/>
    <s v="BI-måler varme"/>
    <x v="123"/>
    <x v="1"/>
    <x v="6"/>
    <n v="4720.62"/>
    <n v="12"/>
    <s v="2015-05-06"/>
    <n v="0"/>
    <n v="0"/>
    <n v="47206.2"/>
    <n v="1"/>
    <x v="1"/>
    <n v="5403.14"/>
    <n v="999.58"/>
    <n v="1"/>
    <s v="4372267 ME5 VE05"/>
    <m/>
    <n v="4720.6258099999995"/>
    <n v="0"/>
    <n v="70982"/>
  </r>
  <r>
    <x v="15"/>
    <s v="190-001744"/>
    <s v="Værløse Svømmehal, KV60"/>
    <n v="8880"/>
    <s v="0"/>
    <s v="BI-måler varme"/>
    <x v="123"/>
    <x v="1"/>
    <x v="6"/>
    <n v="4926.47"/>
    <n v="12"/>
    <s v="2015-05-05"/>
    <n v="0"/>
    <n v="0"/>
    <n v="49264.7"/>
    <n v="1"/>
    <x v="1"/>
    <n v="5707.68"/>
    <n v="1055.92"/>
    <n v="1"/>
    <s v="4372265 ME4 VE04"/>
    <m/>
    <n v="4926.4752699999999"/>
    <n v="0"/>
    <n v="70983"/>
  </r>
  <r>
    <x v="15"/>
    <s v="190-001744"/>
    <s v="Værløse Svømmehal, KV60"/>
    <n v="8880"/>
    <s v="0"/>
    <s v="BI-måler varme"/>
    <x v="123"/>
    <x v="1"/>
    <x v="6"/>
    <n v="229605.62"/>
    <n v="12"/>
    <s v="2012-08-28"/>
    <n v="0"/>
    <n v="0"/>
    <n v="2296056.2000000002"/>
    <n v="1"/>
    <x v="1"/>
    <n v="275518.52"/>
    <n v="50970.93"/>
    <n v="1"/>
    <s v="4378475 ME12 BV01"/>
    <m/>
    <n v="229605.61290000001"/>
    <n v="0"/>
    <n v="70985"/>
  </r>
  <r>
    <x v="15"/>
    <s v="190-001744"/>
    <s v="Værløse Svømmehal, KV60"/>
    <n v="8880"/>
    <s v="0"/>
    <s v="BI-måler varme"/>
    <x v="123"/>
    <x v="1"/>
    <x v="6"/>
    <n v="3551.33"/>
    <n v="12"/>
    <s v="2015-05-05"/>
    <n v="0"/>
    <n v="0"/>
    <n v="35513.300000000003"/>
    <n v="1"/>
    <x v="1"/>
    <n v="4161.84"/>
    <n v="769.92"/>
    <n v="1"/>
    <s v="4376015 ME10 GV01"/>
    <m/>
    <n v="3551.32042"/>
    <n v="0"/>
    <n v="70988"/>
  </r>
  <r>
    <x v="15"/>
    <s v="190-001744"/>
    <s v="Værløse Svømmehal, KV60"/>
    <n v="8880"/>
    <s v="0"/>
    <s v="BI-måler varme"/>
    <x v="123"/>
    <x v="1"/>
    <x v="6"/>
    <n v="19604.3"/>
    <n v="12"/>
    <s v="2015-05-05"/>
    <n v="0"/>
    <n v="0"/>
    <n v="196043"/>
    <n v="1"/>
    <x v="1"/>
    <n v="24621.42"/>
    <n v="4554.95"/>
    <n v="1"/>
    <s v="4378476 ME8 25M"/>
    <m/>
    <n v="19604.301070000001"/>
    <n v="0"/>
    <n v="70978"/>
  </r>
  <r>
    <x v="15"/>
    <s v="190-001744"/>
    <s v="Værløse Svømmehal, KV60"/>
    <n v="8880"/>
    <s v="0"/>
    <s v="BI-måler varme"/>
    <x v="123"/>
    <x v="1"/>
    <x v="6"/>
    <n v="273190.88"/>
    <n v="12"/>
    <s v="2015-05-05"/>
    <n v="0"/>
    <n v="0"/>
    <n v="2731908.8"/>
    <n v="1"/>
    <x v="1"/>
    <n v="315650.84999999998"/>
    <n v="58395.4"/>
    <n v="1"/>
    <s v="4372281 ME1 VE01"/>
    <m/>
    <n v="273190.86021000001"/>
    <n v="0"/>
    <n v="70979"/>
  </r>
  <r>
    <x v="15"/>
    <s v="190-001744"/>
    <s v="Værløse Svømmehal, KV60"/>
    <n v="8880"/>
    <s v="0"/>
    <s v="BI-måler varme"/>
    <x v="123"/>
    <x v="1"/>
    <x v="6"/>
    <n v="17388.580000000002"/>
    <n v="11"/>
    <s v="2015-05-05"/>
    <n v="0"/>
    <n v="0"/>
    <n v="173885.8"/>
    <n v="1"/>
    <x v="1"/>
    <n v="20230.55"/>
    <n v="3742.65"/>
    <n v="1"/>
    <s v="4376014 ME7 RA01"/>
    <m/>
    <n v="17388.58495"/>
    <n v="0"/>
    <n v="70981"/>
  </r>
  <r>
    <x v="15"/>
    <s v="190-001744"/>
    <s v="Værløse Svømmehal, KV60"/>
    <n v="8880"/>
    <s v="0"/>
    <s v="BI-måler varme"/>
    <x v="123"/>
    <x v="1"/>
    <x v="6"/>
    <n v="1158.05"/>
    <n v="12"/>
    <s v="2015-05-05"/>
    <n v="0"/>
    <n v="0"/>
    <n v="11580.5"/>
    <n v="1"/>
    <x v="1"/>
    <n v="1257.28"/>
    <n v="232.59"/>
    <n v="1"/>
    <s v="4372274 ME3 VE03"/>
    <m/>
    <n v="1158.0645300000001"/>
    <n v="0"/>
    <n v="70984"/>
  </r>
  <r>
    <x v="15"/>
    <s v="190-001744"/>
    <s v="Værløse Svømmehal, KV60"/>
    <n v="8880"/>
    <s v="0"/>
    <s v="BI-måler varme"/>
    <x v="123"/>
    <x v="1"/>
    <x v="6"/>
    <n v="222566.85"/>
    <n v="12"/>
    <s v="2015-05-05"/>
    <n v="0"/>
    <n v="0"/>
    <n v="2225668.5"/>
    <n v="1"/>
    <x v="1"/>
    <n v="269113.03000000003"/>
    <n v="49785.89"/>
    <n v="1"/>
    <s v="4372276 ME9 TB"/>
    <m/>
    <n v="222566.83869999999"/>
    <n v="0"/>
    <n v="70986"/>
  </r>
  <r>
    <x v="15"/>
    <s v="190-001744"/>
    <s v="Værløse Svømmehal, KV60"/>
    <n v="8880"/>
    <s v="0"/>
    <s v="BI-måler varme"/>
    <x v="123"/>
    <x v="1"/>
    <x v="6"/>
    <n v="147429.13"/>
    <n v="12"/>
    <s v="2015-05-05"/>
    <n v="0"/>
    <n v="0"/>
    <n v="1474291.3"/>
    <n v="1"/>
    <x v="1"/>
    <n v="176443.51"/>
    <n v="32642.05"/>
    <n v="1"/>
    <s v="4372275 ME11 VVB"/>
    <m/>
    <n v="147429.13764"/>
    <n v="0"/>
    <n v="70987"/>
  </r>
  <r>
    <x v="15"/>
    <s v="190-001744"/>
    <s v="Værløse Svømmehal, KV60"/>
    <n v="8878"/>
    <m/>
    <s v="Værløse Svømmehal"/>
    <x v="123"/>
    <x v="1"/>
    <x v="0"/>
    <n v="675993.75"/>
    <n v="5"/>
    <m/>
    <n v="0"/>
    <n v="3615"/>
    <n v="186.991715"/>
    <n v="1"/>
    <x v="3"/>
    <n v="734439.46"/>
    <n v="1347.21"/>
    <n v="1"/>
    <m/>
    <m/>
    <n v="19375"/>
    <n v="76948"/>
    <n v="76949"/>
  </r>
  <r>
    <x v="15"/>
    <s v="190-001744"/>
    <s v="Værløse Svømmehal, KV60"/>
    <n v="8878"/>
    <m/>
    <s v="Værløse Svømmehal"/>
    <x v="123"/>
    <x v="0"/>
    <x v="0"/>
    <n v="1268400"/>
    <n v="5"/>
    <m/>
    <n v="0"/>
    <n v="3615"/>
    <n v="166.60673199999999"/>
    <n v="1"/>
    <x v="5"/>
    <n v="1359686"/>
    <n v="41663.370000000003"/>
    <n v="0"/>
    <s v="25496/2002"/>
    <m/>
    <n v="602.29999999999995"/>
    <n v="0"/>
    <n v="76948"/>
  </r>
  <r>
    <x v="15"/>
    <s v="190-001744"/>
    <s v="Værløse Svømmehal, KV60"/>
    <n v="8878"/>
    <m/>
    <s v="Værløse Svømmehal"/>
    <x v="123"/>
    <x v="1"/>
    <x v="1"/>
    <n v="1453726.75"/>
    <n v="12"/>
    <m/>
    <n v="0"/>
    <n v="3615"/>
    <n v="402.12628899999999"/>
    <n v="1"/>
    <x v="3"/>
    <n v="1538712.46"/>
    <n v="2822.5"/>
    <n v="1"/>
    <m/>
    <m/>
    <n v="41666"/>
    <n v="76948"/>
    <n v="76949"/>
  </r>
  <r>
    <x v="15"/>
    <s v="190-001744"/>
    <s v="Værløse Svømmehal, KV60"/>
    <n v="8878"/>
    <m/>
    <s v="Værløse Svømmehal"/>
    <x v="123"/>
    <x v="0"/>
    <x v="1"/>
    <n v="1376800"/>
    <n v="12"/>
    <m/>
    <n v="0"/>
    <n v="3615"/>
    <n v="380.84700199999997"/>
    <n v="1"/>
    <x v="5"/>
    <n v="1472330.67"/>
    <n v="94229.16"/>
    <n v="0"/>
    <s v="25496/2002"/>
    <m/>
    <n v="1376.8"/>
    <n v="0"/>
    <n v="76948"/>
  </r>
  <r>
    <x v="15"/>
    <s v="190-001744"/>
    <s v="Værløse Svømmehal, KV60"/>
    <n v="8878"/>
    <m/>
    <s v="Værløse Svømmehal"/>
    <x v="123"/>
    <x v="1"/>
    <x v="2"/>
    <n v="1653262.65"/>
    <n v="12"/>
    <m/>
    <n v="0"/>
    <n v="3615"/>
    <n v="457.321415"/>
    <n v="1"/>
    <x v="3"/>
    <n v="1713592.28"/>
    <n v="9086.1200000000008"/>
    <n v="1"/>
    <m/>
    <m/>
    <n v="47385"/>
    <n v="76948"/>
    <n v="76949"/>
  </r>
  <r>
    <x v="15"/>
    <s v="190-001744"/>
    <s v="Værløse Svømmehal, KV60"/>
    <n v="8878"/>
    <m/>
    <s v="Værløse Svømmehal"/>
    <x v="123"/>
    <x v="0"/>
    <x v="2"/>
    <n v="1374400"/>
    <n v="12"/>
    <m/>
    <n v="0"/>
    <n v="3615"/>
    <n v="380.18311999999997"/>
    <n v="1"/>
    <x v="5"/>
    <n v="1418072.83"/>
    <n v="262343.49"/>
    <n v="0"/>
    <s v="25496/2002"/>
    <m/>
    <n v="1374.4"/>
    <n v="0"/>
    <n v="76948"/>
  </r>
  <r>
    <x v="15"/>
    <s v="190-001744"/>
    <s v="Værløse Svømmehal, KV60"/>
    <n v="8878"/>
    <m/>
    <s v="Værløse Svømmehal"/>
    <x v="123"/>
    <x v="1"/>
    <x v="3"/>
    <n v="1407916.17"/>
    <n v="12"/>
    <m/>
    <n v="0"/>
    <n v="3615"/>
    <n v="389.45427999999998"/>
    <n v="1"/>
    <x v="3"/>
    <n v="1486302.59"/>
    <n v="7880.93"/>
    <n v="1"/>
    <m/>
    <m/>
    <n v="40353"/>
    <n v="76948"/>
    <n v="76949"/>
  </r>
  <r>
    <x v="15"/>
    <s v="190-001744"/>
    <s v="Værløse Svømmehal, KV60"/>
    <n v="8878"/>
    <m/>
    <s v="Værløse Svømmehal"/>
    <x v="123"/>
    <x v="0"/>
    <x v="3"/>
    <n v="1283000"/>
    <n v="12"/>
    <m/>
    <n v="0"/>
    <n v="3615"/>
    <n v="354.90027900000001"/>
    <n v="1"/>
    <x v="5"/>
    <n v="1353337.2"/>
    <n v="250367.38"/>
    <n v="0"/>
    <s v="25496/2002"/>
    <m/>
    <n v="1283"/>
    <n v="0"/>
    <n v="76948"/>
  </r>
  <r>
    <x v="15"/>
    <s v="190-001744"/>
    <s v="Værløse Svømmehal, KV60"/>
    <n v="8878"/>
    <m/>
    <s v="Værløse Svømmehal"/>
    <x v="123"/>
    <x v="1"/>
    <x v="4"/>
    <n v="1541893.77"/>
    <n v="12"/>
    <m/>
    <n v="0"/>
    <n v="3615"/>
    <n v="426.51483200000001"/>
    <n v="1"/>
    <x v="3"/>
    <n v="1531389.06"/>
    <n v="8120.01"/>
    <n v="1"/>
    <m/>
    <m/>
    <n v="44193"/>
    <n v="76948"/>
    <n v="76949"/>
  </r>
  <r>
    <x v="15"/>
    <s v="190-001744"/>
    <s v="Værløse Svømmehal, KV60"/>
    <n v="8878"/>
    <m/>
    <s v="Værløse Svømmehal"/>
    <x v="123"/>
    <x v="0"/>
    <x v="4"/>
    <n v="1308100"/>
    <n v="12"/>
    <m/>
    <n v="0"/>
    <n v="3615"/>
    <n v="361.84337900000003"/>
    <n v="1"/>
    <x v="5"/>
    <n v="1270657.57"/>
    <n v="235071.65"/>
    <n v="0"/>
    <s v="25496/2002"/>
    <m/>
    <n v="1308.0999999999999"/>
    <n v="0"/>
    <n v="76948"/>
  </r>
  <r>
    <x v="15"/>
    <s v="190-001744"/>
    <s v="Værløse Svømmehal, KV60"/>
    <n v="8878"/>
    <m/>
    <s v="Værløse Svømmehal"/>
    <x v="123"/>
    <x v="1"/>
    <x v="5"/>
    <n v="1347172.68"/>
    <n v="12"/>
    <m/>
    <n v="0"/>
    <n v="3615"/>
    <n v="372.651567"/>
    <n v="1"/>
    <x v="3"/>
    <n v="1472977.51"/>
    <n v="7810.27"/>
    <n v="1"/>
    <m/>
    <m/>
    <n v="38612"/>
    <n v="76948"/>
    <n v="76949"/>
  </r>
  <r>
    <x v="15"/>
    <s v="190-001744"/>
    <s v="Værløse Svømmehal, KV60"/>
    <n v="8878"/>
    <m/>
    <s v="Værløse Svømmehal"/>
    <x v="123"/>
    <x v="0"/>
    <x v="5"/>
    <n v="1184100"/>
    <n v="12"/>
    <m/>
    <n v="0"/>
    <n v="3615"/>
    <n v="327.54280599999998"/>
    <n v="1"/>
    <x v="5"/>
    <n v="1283197.5900000001"/>
    <n v="237391.54"/>
    <n v="0"/>
    <s v="25496/2002"/>
    <m/>
    <n v="1184.0999999999999"/>
    <n v="0"/>
    <n v="76948"/>
  </r>
  <r>
    <x v="15"/>
    <s v="190-001744"/>
    <s v="Værløse Svømmehal, KV60"/>
    <n v="8878"/>
    <m/>
    <s v="Værløse Svømmehal"/>
    <x v="123"/>
    <x v="0"/>
    <x v="6"/>
    <n v="442526.66"/>
    <n v="5"/>
    <s v="2008-05-01"/>
    <n v="0"/>
    <n v="3615"/>
    <n v="122.41062700000001"/>
    <n v="1"/>
    <x v="1"/>
    <n v="507852.49"/>
    <n v="93952.71"/>
    <n v="0"/>
    <s v="25496/2002"/>
    <m/>
    <n v="442526.66665999999"/>
    <n v="0"/>
    <n v="70700"/>
  </r>
  <r>
    <x v="15"/>
    <s v="190-001744"/>
    <s v="Værløse Svømmehal, KV60"/>
    <n v="8878"/>
    <m/>
    <s v="Værløse Svømmehal"/>
    <x v="123"/>
    <x v="1"/>
    <x v="6"/>
    <n v="655897.11"/>
    <n v="12"/>
    <m/>
    <n v="0"/>
    <n v="3615"/>
    <n v="181.43263200000001"/>
    <n v="1"/>
    <x v="3"/>
    <n v="726288.46"/>
    <n v="3851.06"/>
    <n v="1"/>
    <m/>
    <m/>
    <n v="18799"/>
    <n v="76948"/>
    <n v="76949"/>
  </r>
  <r>
    <x v="15"/>
    <s v="190-001744"/>
    <s v="Værløse Svømmehal, KV60"/>
    <n v="8878"/>
    <m/>
    <s v="Værløse Svømmehal"/>
    <x v="123"/>
    <x v="0"/>
    <x v="6"/>
    <n v="633200"/>
    <n v="8"/>
    <m/>
    <n v="0"/>
    <n v="3615"/>
    <n v="175.154214"/>
    <n v="1"/>
    <x v="5"/>
    <n v="667461.11"/>
    <n v="123480.3"/>
    <n v="0"/>
    <s v="25496/2002"/>
    <m/>
    <n v="633.20000000000005"/>
    <n v="0"/>
    <n v="76948"/>
  </r>
  <r>
    <x v="15"/>
    <s v="05148-9"/>
    <s v="Farum Svømmehal, Park 20"/>
    <n v="5451"/>
    <m/>
    <s v="Bimåler saunaer"/>
    <x v="122"/>
    <x v="1"/>
    <x v="0"/>
    <n v="9151.7800000000007"/>
    <n v="5"/>
    <s v="2015-05-04"/>
    <n v="0"/>
    <n v="0"/>
    <n v="91517.8"/>
    <n v="2"/>
    <x v="2"/>
    <n v="9151.7800000000007"/>
    <n v="3660.72"/>
    <n v="1"/>
    <s v="106980 FB gang"/>
    <m/>
    <n v="9151.78125"/>
    <n v="0"/>
    <n v="57640"/>
  </r>
  <r>
    <x v="15"/>
    <s v="05148-9"/>
    <s v="Farum Svømmehal, Park 20"/>
    <n v="5451"/>
    <m/>
    <s v="Bimåler saunaer"/>
    <x v="122"/>
    <x v="1"/>
    <x v="0"/>
    <n v="12684.01"/>
    <n v="5"/>
    <s v="2015-05-04"/>
    <n v="0"/>
    <n v="0"/>
    <n v="126840.1"/>
    <n v="2"/>
    <x v="2"/>
    <n v="12684.01"/>
    <n v="5073.6099999999997"/>
    <n v="1"/>
    <s v="Dame sauna"/>
    <m/>
    <n v="12684.00001"/>
    <n v="0"/>
    <n v="61886"/>
  </r>
  <r>
    <x v="15"/>
    <s v="05148-9"/>
    <s v="Farum Svømmehal, Park 20"/>
    <n v="5451"/>
    <m/>
    <s v="Bimåler saunaer"/>
    <x v="122"/>
    <x v="1"/>
    <x v="0"/>
    <n v="388.49"/>
    <n v="5"/>
    <s v="2015-05-04"/>
    <n v="0"/>
    <n v="0"/>
    <n v="3884.9"/>
    <n v="2"/>
    <x v="2"/>
    <n v="388.49"/>
    <n v="155.4"/>
    <n v="1"/>
    <s v="Pige sauna"/>
    <m/>
    <n v="388.5"/>
    <n v="0"/>
    <n v="61888"/>
  </r>
  <r>
    <x v="15"/>
    <s v="05148-9"/>
    <s v="Farum Svømmehal, Park 20"/>
    <n v="5451"/>
    <m/>
    <s v="Bimåler saunaer"/>
    <x v="122"/>
    <x v="1"/>
    <x v="0"/>
    <n v="13136"/>
    <n v="5"/>
    <s v="2015-05-04"/>
    <n v="0"/>
    <n v="0"/>
    <n v="131360"/>
    <n v="2"/>
    <x v="2"/>
    <n v="13136"/>
    <n v="6160.79"/>
    <n v="1"/>
    <s v="Herre sauna"/>
    <m/>
    <n v="13136"/>
    <n v="0"/>
    <n v="68520"/>
  </r>
  <r>
    <x v="15"/>
    <s v="05148-9"/>
    <s v="Farum Svømmehal, Park 20"/>
    <n v="5451"/>
    <m/>
    <s v="Bimåler saunaer"/>
    <x v="122"/>
    <x v="1"/>
    <x v="0"/>
    <n v="130"/>
    <n v="5"/>
    <s v="2015-05-04"/>
    <n v="0"/>
    <n v="0"/>
    <n v="1300"/>
    <n v="2"/>
    <x v="2"/>
    <n v="130"/>
    <n v="60.97"/>
    <n v="1"/>
    <s v="Drenge sauna"/>
    <m/>
    <n v="130"/>
    <n v="0"/>
    <n v="68519"/>
  </r>
  <r>
    <x v="15"/>
    <s v="05148-9"/>
    <s v="Farum Svømmehal, Park 20"/>
    <n v="5451"/>
    <m/>
    <s v="Bimåler saunaer"/>
    <x v="122"/>
    <x v="1"/>
    <x v="1"/>
    <n v="25897.5"/>
    <n v="11"/>
    <s v="2015-05-04"/>
    <n v="0"/>
    <n v="0"/>
    <n v="258975"/>
    <n v="2"/>
    <x v="2"/>
    <n v="25897.5"/>
    <n v="10358.99"/>
    <n v="1"/>
    <s v="106980 FB gang"/>
    <m/>
    <n v="25897.48876"/>
    <n v="0"/>
    <n v="57640"/>
  </r>
  <r>
    <x v="15"/>
    <s v="05148-9"/>
    <s v="Farum Svømmehal, Park 20"/>
    <n v="5451"/>
    <m/>
    <s v="Bimåler saunaer"/>
    <x v="122"/>
    <x v="1"/>
    <x v="1"/>
    <n v="1621.35"/>
    <n v="12"/>
    <s v="2015-05-04"/>
    <n v="0"/>
    <n v="0"/>
    <n v="16213.5"/>
    <n v="2"/>
    <x v="2"/>
    <n v="1621.35"/>
    <n v="648.54"/>
    <n v="1"/>
    <s v="Pige sauna"/>
    <m/>
    <n v="1621.3333399999999"/>
    <n v="0"/>
    <n v="61888"/>
  </r>
  <r>
    <x v="15"/>
    <s v="05148-9"/>
    <s v="Farum Svømmehal, Park 20"/>
    <n v="5451"/>
    <m/>
    <s v="Bimåler saunaer"/>
    <x v="122"/>
    <x v="1"/>
    <x v="1"/>
    <n v="33257.660000000003"/>
    <n v="12"/>
    <s v="2015-05-04"/>
    <n v="0"/>
    <n v="0"/>
    <n v="332576.59999999998"/>
    <n v="2"/>
    <x v="2"/>
    <n v="33257.660000000003"/>
    <n v="15597.82"/>
    <n v="1"/>
    <s v="Herre sauna"/>
    <m/>
    <n v="33257.648500000003"/>
    <n v="0"/>
    <n v="68520"/>
  </r>
  <r>
    <x v="15"/>
    <s v="05148-9"/>
    <s v="Farum Svømmehal, Park 20"/>
    <n v="5451"/>
    <m/>
    <s v="Bimåler saunaer"/>
    <x v="122"/>
    <x v="1"/>
    <x v="1"/>
    <n v="24976.5"/>
    <n v="12"/>
    <s v="2015-05-04"/>
    <n v="0"/>
    <n v="0"/>
    <n v="249765"/>
    <n v="2"/>
    <x v="2"/>
    <n v="24976.5"/>
    <n v="9990.58"/>
    <n v="1"/>
    <s v="Dame sauna"/>
    <m/>
    <n v="24976.484840000001"/>
    <n v="0"/>
    <n v="61886"/>
  </r>
  <r>
    <x v="15"/>
    <s v="05148-9"/>
    <s v="Farum Svømmehal, Park 20"/>
    <n v="5451"/>
    <m/>
    <s v="Bimåler saunaer"/>
    <x v="122"/>
    <x v="1"/>
    <x v="1"/>
    <n v="1045.18"/>
    <n v="12"/>
    <s v="2015-05-04"/>
    <n v="0"/>
    <n v="0"/>
    <n v="10451.799999999999"/>
    <n v="2"/>
    <x v="2"/>
    <n v="1045.18"/>
    <n v="490.19"/>
    <n v="1"/>
    <s v="Drenge sauna"/>
    <m/>
    <n v="1045.18788"/>
    <n v="0"/>
    <n v="68519"/>
  </r>
  <r>
    <x v="15"/>
    <s v="05148-9"/>
    <s v="Farum Svømmehal, Park 20"/>
    <n v="5451"/>
    <m/>
    <s v="Bimåler saunaer"/>
    <x v="122"/>
    <x v="1"/>
    <x v="2"/>
    <n v="2915.4"/>
    <n v="13"/>
    <s v="2015-05-04"/>
    <n v="0"/>
    <n v="0"/>
    <n v="29154"/>
    <n v="2"/>
    <x v="2"/>
    <n v="2915.4"/>
    <n v="1166.1500000000001"/>
    <n v="1"/>
    <s v="Pige sauna"/>
    <m/>
    <n v="2915.3939300000002"/>
    <n v="0"/>
    <n v="61888"/>
  </r>
  <r>
    <x v="15"/>
    <s v="05148-9"/>
    <s v="Farum Svømmehal, Park 20"/>
    <n v="5451"/>
    <m/>
    <s v="Bimåler saunaer"/>
    <x v="122"/>
    <x v="1"/>
    <x v="2"/>
    <n v="2755.39"/>
    <n v="13"/>
    <s v="2015-05-04"/>
    <n v="0"/>
    <n v="0"/>
    <n v="27553.9"/>
    <n v="2"/>
    <x v="2"/>
    <n v="2755.39"/>
    <n v="1292.27"/>
    <n v="1"/>
    <s v="Drenge sauna"/>
    <m/>
    <n v="2755.3939500000001"/>
    <n v="0"/>
    <n v="68519"/>
  </r>
  <r>
    <x v="15"/>
    <s v="05148-9"/>
    <s v="Farum Svømmehal, Park 20"/>
    <n v="5451"/>
    <m/>
    <s v="Bimåler saunaer"/>
    <x v="122"/>
    <x v="1"/>
    <x v="2"/>
    <n v="28401.93"/>
    <n v="13"/>
    <s v="2015-05-04"/>
    <n v="0"/>
    <n v="0"/>
    <n v="284019.3"/>
    <n v="2"/>
    <x v="2"/>
    <n v="28401.93"/>
    <n v="13320.51"/>
    <n v="1"/>
    <s v="Herre sauna"/>
    <m/>
    <n v="28401.939399999999"/>
    <n v="0"/>
    <n v="68520"/>
  </r>
  <r>
    <x v="15"/>
    <s v="05148-9"/>
    <s v="Farum Svømmehal, Park 20"/>
    <n v="5451"/>
    <m/>
    <s v="Bimåler saunaer"/>
    <x v="122"/>
    <x v="1"/>
    <x v="2"/>
    <n v="20370.64"/>
    <n v="13"/>
    <s v="2015-05-04"/>
    <n v="0"/>
    <n v="0"/>
    <n v="203706.4"/>
    <n v="2"/>
    <x v="2"/>
    <n v="20370.64"/>
    <n v="8148.26"/>
    <n v="1"/>
    <s v="106980 FB gang"/>
    <m/>
    <n v="20370.63636"/>
    <n v="0"/>
    <n v="57640"/>
  </r>
  <r>
    <x v="15"/>
    <s v="05148-9"/>
    <s v="Farum Svømmehal, Park 20"/>
    <n v="5451"/>
    <m/>
    <s v="Bimåler saunaer"/>
    <x v="122"/>
    <x v="1"/>
    <x v="2"/>
    <n v="23081.21"/>
    <n v="13"/>
    <s v="2015-05-04"/>
    <n v="0"/>
    <n v="0"/>
    <n v="230812.1"/>
    <n v="2"/>
    <x v="2"/>
    <n v="23081.21"/>
    <n v="9232.5"/>
    <n v="1"/>
    <s v="Dame sauna"/>
    <m/>
    <n v="23081.21213"/>
    <n v="0"/>
    <n v="61886"/>
  </r>
  <r>
    <x v="15"/>
    <s v="05148-9"/>
    <s v="Farum Svømmehal, Park 20"/>
    <n v="5451"/>
    <m/>
    <s v="Bimåler saunaer"/>
    <x v="122"/>
    <x v="1"/>
    <x v="3"/>
    <n v="3963.16"/>
    <n v="12"/>
    <s v="2015-05-04"/>
    <n v="0"/>
    <n v="0"/>
    <n v="39631.599999999999"/>
    <n v="2"/>
    <x v="2"/>
    <n v="3963.16"/>
    <n v="1858.71"/>
    <n v="1"/>
    <s v="Drenge sauna"/>
    <m/>
    <n v="3963.1515100000001"/>
    <n v="0"/>
    <n v="68519"/>
  </r>
  <r>
    <x v="15"/>
    <s v="05148-9"/>
    <s v="Farum Svømmehal, Park 20"/>
    <n v="5451"/>
    <m/>
    <s v="Bimåler saunaer"/>
    <x v="122"/>
    <x v="1"/>
    <x v="3"/>
    <n v="16267.89"/>
    <n v="12"/>
    <s v="2015-05-04"/>
    <n v="0"/>
    <n v="0"/>
    <n v="162678.9"/>
    <n v="2"/>
    <x v="2"/>
    <n v="16267.89"/>
    <n v="7629.63"/>
    <n v="1"/>
    <s v="106980 FB gang"/>
    <m/>
    <n v="16267.878790000001"/>
    <n v="0"/>
    <n v="57640"/>
  </r>
  <r>
    <x v="15"/>
    <s v="05148-9"/>
    <s v="Farum Svømmehal, Park 20"/>
    <n v="5451"/>
    <m/>
    <s v="Bimåler saunaer"/>
    <x v="122"/>
    <x v="1"/>
    <x v="3"/>
    <n v="22533.32"/>
    <n v="12"/>
    <s v="2015-05-04"/>
    <n v="0"/>
    <n v="0"/>
    <n v="225333.2"/>
    <n v="2"/>
    <x v="2"/>
    <n v="22533.32"/>
    <n v="10568.12"/>
    <n v="1"/>
    <s v="Dame sauna"/>
    <m/>
    <n v="22533.333340000001"/>
    <n v="0"/>
    <n v="61886"/>
  </r>
  <r>
    <x v="15"/>
    <s v="05148-9"/>
    <s v="Farum Svømmehal, Park 20"/>
    <n v="5451"/>
    <m/>
    <s v="Bimåler saunaer"/>
    <x v="122"/>
    <x v="1"/>
    <x v="3"/>
    <n v="3705.69"/>
    <n v="12"/>
    <s v="2015-05-04"/>
    <n v="0"/>
    <n v="0"/>
    <n v="37056.9"/>
    <n v="2"/>
    <x v="2"/>
    <n v="3705.69"/>
    <n v="1737.97"/>
    <n v="1"/>
    <s v="Pige sauna"/>
    <m/>
    <n v="3705.69697"/>
    <n v="0"/>
    <n v="61888"/>
  </r>
  <r>
    <x v="15"/>
    <s v="05148-9"/>
    <s v="Farum Svømmehal, Park 20"/>
    <n v="5451"/>
    <m/>
    <s v="Bimåler saunaer"/>
    <x v="122"/>
    <x v="1"/>
    <x v="3"/>
    <n v="27433.71"/>
    <n v="12"/>
    <s v="2015-05-04"/>
    <n v="0"/>
    <n v="0"/>
    <n v="274337.09999999998"/>
    <n v="2"/>
    <x v="2"/>
    <n v="27433.71"/>
    <n v="12866.41"/>
    <n v="1"/>
    <s v="Herre sauna"/>
    <m/>
    <n v="27433.696980000001"/>
    <n v="0"/>
    <n v="68520"/>
  </r>
  <r>
    <x v="15"/>
    <s v="05148-9"/>
    <s v="Farum Svømmehal, Park 20"/>
    <n v="5451"/>
    <m/>
    <s v="Bimåler saunaer"/>
    <x v="122"/>
    <x v="1"/>
    <x v="4"/>
    <n v="4460.6099999999997"/>
    <n v="13"/>
    <s v="2015-05-04"/>
    <n v="0"/>
    <n v="0"/>
    <n v="44606.1"/>
    <n v="2"/>
    <x v="2"/>
    <n v="4460.6099999999997"/>
    <n v="2092.0100000000002"/>
    <n v="1"/>
    <s v="Drenge sauna"/>
    <m/>
    <n v="4460.6060500000003"/>
    <n v="0"/>
    <n v="68519"/>
  </r>
  <r>
    <x v="15"/>
    <s v="05148-9"/>
    <s v="Farum Svømmehal, Park 20"/>
    <n v="5451"/>
    <m/>
    <s v="Bimåler saunaer"/>
    <x v="122"/>
    <x v="1"/>
    <x v="4"/>
    <n v="18686.810000000001"/>
    <n v="12"/>
    <s v="2015-05-04"/>
    <n v="0"/>
    <n v="0"/>
    <n v="186868.1"/>
    <n v="2"/>
    <x v="2"/>
    <n v="18686.810000000001"/>
    <n v="8764.1299999999992"/>
    <n v="1"/>
    <s v="106980 FB gang"/>
    <m/>
    <n v="18686.82532"/>
    <n v="0"/>
    <n v="57640"/>
  </r>
  <r>
    <x v="15"/>
    <s v="05148-9"/>
    <s v="Farum Svømmehal, Park 20"/>
    <n v="5451"/>
    <m/>
    <s v="Bimåler saunaer"/>
    <x v="122"/>
    <x v="1"/>
    <x v="4"/>
    <n v="22351.51"/>
    <n v="14"/>
    <s v="2015-05-04"/>
    <n v="0"/>
    <n v="0"/>
    <n v="223515.1"/>
    <n v="2"/>
    <x v="2"/>
    <n v="22351.51"/>
    <n v="10482.85"/>
    <n v="1"/>
    <s v="Dame sauna"/>
    <m/>
    <n v="22351.515149999999"/>
    <n v="0"/>
    <n v="61886"/>
  </r>
  <r>
    <x v="15"/>
    <s v="05148-9"/>
    <s v="Farum Svømmehal, Park 20"/>
    <n v="5451"/>
    <m/>
    <s v="Bimåler saunaer"/>
    <x v="122"/>
    <x v="1"/>
    <x v="4"/>
    <n v="4038.79"/>
    <n v="13"/>
    <s v="2015-05-04"/>
    <n v="0"/>
    <n v="0"/>
    <n v="40387.9"/>
    <n v="2"/>
    <x v="2"/>
    <n v="4038.79"/>
    <n v="1894.18"/>
    <n v="1"/>
    <s v="Pige sauna"/>
    <m/>
    <n v="4038.7878799999999"/>
    <n v="0"/>
    <n v="61888"/>
  </r>
  <r>
    <x v="15"/>
    <s v="05148-9"/>
    <s v="Farum Svømmehal, Park 20"/>
    <n v="5451"/>
    <m/>
    <s v="Bimåler saunaer"/>
    <x v="122"/>
    <x v="1"/>
    <x v="4"/>
    <n v="36349.57"/>
    <n v="14"/>
    <s v="2015-05-04"/>
    <n v="0"/>
    <n v="0"/>
    <n v="363495.7"/>
    <n v="2"/>
    <x v="2"/>
    <n v="36349.57"/>
    <n v="17047.96"/>
    <n v="1"/>
    <s v="Herre sauna"/>
    <m/>
    <n v="36349.575750000004"/>
    <n v="0"/>
    <n v="68520"/>
  </r>
  <r>
    <x v="15"/>
    <s v="05148-9"/>
    <s v="Farum Svømmehal, Park 20"/>
    <n v="5451"/>
    <m/>
    <s v="Bimåler saunaer"/>
    <x v="122"/>
    <x v="1"/>
    <x v="5"/>
    <n v="24160.29"/>
    <n v="12"/>
    <s v="2015-05-04"/>
    <n v="0"/>
    <n v="0"/>
    <n v="241602.9"/>
    <n v="2"/>
    <x v="2"/>
    <n v="24160.29"/>
    <n v="11331.16"/>
    <n v="1"/>
    <s v="Dame sauna"/>
    <m/>
    <n v="24160.28787"/>
    <n v="0"/>
    <n v="61886"/>
  </r>
  <r>
    <x v="15"/>
    <s v="05148-9"/>
    <s v="Farum Svømmehal, Park 20"/>
    <n v="5451"/>
    <m/>
    <s v="Bimåler saunaer"/>
    <x v="122"/>
    <x v="1"/>
    <x v="5"/>
    <n v="6143.57"/>
    <n v="12"/>
    <s v="2015-05-04"/>
    <n v="0"/>
    <n v="0"/>
    <n v="61435.7"/>
    <n v="2"/>
    <x v="2"/>
    <n v="6143.57"/>
    <n v="2881.33"/>
    <n v="1"/>
    <s v="Drenge sauna"/>
    <m/>
    <n v="6143.5605999999998"/>
    <n v="0"/>
    <n v="68519"/>
  </r>
  <r>
    <x v="15"/>
    <s v="05148-9"/>
    <s v="Farum Svømmehal, Park 20"/>
    <n v="5451"/>
    <m/>
    <s v="Bimåler saunaer"/>
    <x v="122"/>
    <x v="1"/>
    <x v="5"/>
    <n v="20689.77"/>
    <n v="12"/>
    <s v="2015-05-04"/>
    <n v="0"/>
    <n v="0"/>
    <n v="206897.7"/>
    <n v="2"/>
    <x v="2"/>
    <n v="20689.77"/>
    <n v="9703.52"/>
    <n v="1"/>
    <s v="106980 FB gang"/>
    <m/>
    <n v="20689.766540000001"/>
    <n v="0"/>
    <n v="57640"/>
  </r>
  <r>
    <x v="15"/>
    <s v="05148-9"/>
    <s v="Farum Svømmehal, Park 20"/>
    <n v="5451"/>
    <m/>
    <s v="Bimåler saunaer"/>
    <x v="122"/>
    <x v="1"/>
    <x v="5"/>
    <n v="5188.29"/>
    <n v="12"/>
    <s v="2015-05-04"/>
    <n v="0"/>
    <n v="0"/>
    <n v="51882.9"/>
    <n v="2"/>
    <x v="2"/>
    <n v="5188.29"/>
    <n v="2433.3000000000002"/>
    <n v="1"/>
    <s v="Pige sauna"/>
    <m/>
    <n v="5188.2878799999999"/>
    <n v="0"/>
    <n v="61888"/>
  </r>
  <r>
    <x v="15"/>
    <s v="05148-9"/>
    <s v="Farum Svømmehal, Park 20"/>
    <n v="5451"/>
    <m/>
    <s v="Bimåler saunaer"/>
    <x v="122"/>
    <x v="1"/>
    <x v="5"/>
    <n v="29639.759999999998"/>
    <n v="12"/>
    <s v="2015-05-04"/>
    <n v="0"/>
    <n v="0"/>
    <n v="296397.59999999998"/>
    <n v="2"/>
    <x v="2"/>
    <n v="29639.759999999998"/>
    <n v="13901.05"/>
    <n v="1"/>
    <s v="Herre sauna"/>
    <m/>
    <n v="29639.77274"/>
    <n v="0"/>
    <n v="68520"/>
  </r>
  <r>
    <x v="15"/>
    <s v="05148-9"/>
    <s v="Farum Svømmehal, Park 20"/>
    <n v="5451"/>
    <m/>
    <s v="Bimåler saunaer"/>
    <x v="122"/>
    <x v="1"/>
    <x v="6"/>
    <n v="18813.36"/>
    <n v="12"/>
    <s v="2015-05-04"/>
    <n v="0"/>
    <n v="0"/>
    <n v="188133.6"/>
    <n v="2"/>
    <x v="2"/>
    <n v="18813.36"/>
    <n v="8823.48"/>
    <n v="1"/>
    <s v="106980 FB gang"/>
    <m/>
    <n v="18813.377840000001"/>
    <n v="0"/>
    <n v="57640"/>
  </r>
  <r>
    <x v="15"/>
    <s v="05148-9"/>
    <s v="Farum Svømmehal, Park 20"/>
    <n v="5451"/>
    <m/>
    <s v="Bimåler saunaer"/>
    <x v="122"/>
    <x v="1"/>
    <x v="6"/>
    <n v="24497.65"/>
    <n v="12"/>
    <s v="2015-05-04"/>
    <n v="0"/>
    <n v="0"/>
    <n v="244976.5"/>
    <n v="2"/>
    <x v="2"/>
    <n v="24497.65"/>
    <n v="11489.38"/>
    <n v="1"/>
    <s v="Dame sauna"/>
    <m/>
    <n v="24497.651519999999"/>
    <n v="0"/>
    <n v="61886"/>
  </r>
  <r>
    <x v="15"/>
    <s v="05148-9"/>
    <s v="Farum Svømmehal, Park 20"/>
    <n v="5451"/>
    <m/>
    <s v="Bimåler saunaer"/>
    <x v="122"/>
    <x v="1"/>
    <x v="6"/>
    <n v="13853.53"/>
    <n v="12"/>
    <s v="2015-05-04"/>
    <n v="0"/>
    <n v="0"/>
    <n v="138535.29999999999"/>
    <n v="2"/>
    <x v="2"/>
    <n v="13853.53"/>
    <n v="6497.32"/>
    <n v="1"/>
    <s v="Drenge sauna"/>
    <m/>
    <n v="13853.53031"/>
    <n v="0"/>
    <n v="68519"/>
  </r>
  <r>
    <x v="15"/>
    <s v="05148-9"/>
    <s v="Farum Svømmehal, Park 20"/>
    <n v="5451"/>
    <m/>
    <s v="Bimåler saunaer"/>
    <x v="122"/>
    <x v="1"/>
    <x v="6"/>
    <n v="12321.03"/>
    <n v="12"/>
    <s v="2015-05-04"/>
    <n v="0"/>
    <n v="0"/>
    <n v="123210.3"/>
    <n v="2"/>
    <x v="2"/>
    <n v="12321.03"/>
    <n v="5778.56"/>
    <n v="1"/>
    <s v="Pige sauna"/>
    <m/>
    <n v="12321.04545"/>
    <n v="0"/>
    <n v="61888"/>
  </r>
  <r>
    <x v="15"/>
    <s v="05148-9"/>
    <s v="Farum Svømmehal, Park 20"/>
    <n v="5451"/>
    <m/>
    <s v="Bimåler saunaer"/>
    <x v="122"/>
    <x v="1"/>
    <x v="6"/>
    <n v="30234.639999999999"/>
    <n v="12"/>
    <s v="2015-05-04"/>
    <n v="0"/>
    <n v="0"/>
    <n v="302346.40000000002"/>
    <n v="2"/>
    <x v="2"/>
    <n v="30234.639999999999"/>
    <n v="14180.05"/>
    <n v="1"/>
    <s v="Herre sauna"/>
    <m/>
    <n v="30234.65151"/>
    <n v="0"/>
    <n v="68520"/>
  </r>
  <r>
    <x v="15"/>
    <s v="05148-9"/>
    <s v="Farum Svømmehal, Park 20"/>
    <n v="6339"/>
    <m/>
    <s v="Bimåler tribune"/>
    <x v="122"/>
    <x v="1"/>
    <x v="0"/>
    <n v="82"/>
    <n v="5"/>
    <s v="2015-05-04"/>
    <n v="0"/>
    <n v="0"/>
    <n v="820"/>
    <n v="2"/>
    <x v="2"/>
    <n v="82"/>
    <n v="32.79"/>
    <n v="1"/>
    <s v="Tribune"/>
    <m/>
    <n v="81.999989999999997"/>
    <n v="0"/>
    <n v="62513"/>
  </r>
  <r>
    <x v="15"/>
    <s v="05148-9"/>
    <s v="Farum Svømmehal, Park 20"/>
    <n v="6339"/>
    <m/>
    <s v="Bimåler tribune"/>
    <x v="122"/>
    <x v="1"/>
    <x v="1"/>
    <n v="606"/>
    <n v="11"/>
    <s v="2015-05-04"/>
    <n v="0"/>
    <n v="0"/>
    <n v="6060"/>
    <n v="2"/>
    <x v="2"/>
    <n v="606"/>
    <n v="242.41"/>
    <n v="1"/>
    <s v="Tribune"/>
    <m/>
    <n v="606"/>
    <n v="0"/>
    <n v="62513"/>
  </r>
  <r>
    <x v="15"/>
    <s v="05148-9"/>
    <s v="Farum Svømmehal, Park 20"/>
    <n v="6339"/>
    <m/>
    <s v="Bimåler tribune"/>
    <x v="122"/>
    <x v="1"/>
    <x v="2"/>
    <n v="1428.01"/>
    <n v="13"/>
    <s v="2015-05-04"/>
    <n v="0"/>
    <n v="0"/>
    <n v="14280.1"/>
    <n v="2"/>
    <x v="2"/>
    <n v="1428.01"/>
    <n v="571.20000000000005"/>
    <n v="1"/>
    <s v="Tribune"/>
    <m/>
    <n v="1428"/>
    <n v="0"/>
    <n v="62513"/>
  </r>
  <r>
    <x v="15"/>
    <s v="05148-9"/>
    <s v="Farum Svømmehal, Park 20"/>
    <n v="6339"/>
    <m/>
    <s v="Bimåler tribune"/>
    <x v="122"/>
    <x v="1"/>
    <x v="3"/>
    <n v="983.01"/>
    <n v="12"/>
    <s v="2015-05-04"/>
    <n v="0"/>
    <n v="0"/>
    <n v="9830.1"/>
    <n v="2"/>
    <x v="2"/>
    <n v="983.01"/>
    <n v="461.03"/>
    <n v="1"/>
    <s v="Tribune"/>
    <m/>
    <n v="983"/>
    <n v="0"/>
    <n v="62513"/>
  </r>
  <r>
    <x v="15"/>
    <s v="05148-9"/>
    <s v="Farum Svømmehal, Park 20"/>
    <n v="6339"/>
    <m/>
    <s v="Bimåler tribune"/>
    <x v="122"/>
    <x v="1"/>
    <x v="4"/>
    <n v="1096"/>
    <n v="12"/>
    <s v="2015-05-04"/>
    <n v="0"/>
    <n v="0"/>
    <n v="10960"/>
    <n v="2"/>
    <x v="2"/>
    <n v="1096"/>
    <n v="514.02"/>
    <n v="1"/>
    <s v="Tribune"/>
    <m/>
    <n v="1096"/>
    <n v="0"/>
    <n v="62513"/>
  </r>
  <r>
    <x v="15"/>
    <s v="05148-9"/>
    <s v="Farum Svømmehal, Park 20"/>
    <n v="6339"/>
    <m/>
    <s v="Bimåler tribune"/>
    <x v="122"/>
    <x v="1"/>
    <x v="5"/>
    <n v="2291"/>
    <n v="12"/>
    <s v="2015-05-04"/>
    <n v="0"/>
    <n v="0"/>
    <n v="22910"/>
    <n v="2"/>
    <x v="2"/>
    <n v="2291"/>
    <n v="1074.49"/>
    <n v="1"/>
    <s v="Tribune"/>
    <m/>
    <n v="2291"/>
    <n v="0"/>
    <n v="62513"/>
  </r>
  <r>
    <x v="15"/>
    <s v="05148-9"/>
    <s v="Farum Svømmehal, Park 20"/>
    <n v="6339"/>
    <m/>
    <s v="Bimåler tribune"/>
    <x v="122"/>
    <x v="1"/>
    <x v="6"/>
    <n v="2192"/>
    <n v="12"/>
    <s v="2015-05-04"/>
    <n v="0"/>
    <n v="0"/>
    <n v="21920"/>
    <n v="2"/>
    <x v="2"/>
    <n v="2192"/>
    <n v="1028.04"/>
    <n v="1"/>
    <s v="Tribune"/>
    <m/>
    <n v="2191.9999899999998"/>
    <n v="0"/>
    <n v="62513"/>
  </r>
  <r>
    <x v="15"/>
    <s v="05148-9"/>
    <s v="Farum Svømmehal, Park 20"/>
    <n v="5454"/>
    <m/>
    <s v="Cafe"/>
    <x v="122"/>
    <x v="1"/>
    <x v="0"/>
    <n v="8509.0400000000009"/>
    <n v="5"/>
    <s v="2015-05-04"/>
    <n v="0"/>
    <n v="50"/>
    <n v="169.841117"/>
    <n v="2"/>
    <x v="2"/>
    <n v="8509.0400000000009"/>
    <n v="3403.61"/>
    <n v="1"/>
    <s v="3184256"/>
    <m/>
    <n v="8509.03125"/>
    <n v="0"/>
    <n v="57747"/>
  </r>
  <r>
    <x v="15"/>
    <s v="05148-9"/>
    <s v="Farum Svømmehal, Park 20"/>
    <n v="5454"/>
    <m/>
    <s v="Cafe"/>
    <x v="122"/>
    <x v="1"/>
    <x v="0"/>
    <n v="307.47000000000003"/>
    <n v="5"/>
    <s v="2015-05-04"/>
    <n v="0"/>
    <n v="50"/>
    <n v="6.1371250000000002"/>
    <n v="2"/>
    <x v="2"/>
    <n v="307.47000000000003"/>
    <n v="122.98"/>
    <n v="1"/>
    <s v="138873"/>
    <m/>
    <n v="307.46875"/>
    <n v="0"/>
    <n v="57748"/>
  </r>
  <r>
    <x v="15"/>
    <s v="05148-9"/>
    <s v="Farum Svømmehal, Park 20"/>
    <n v="5454"/>
    <m/>
    <s v="Cafe"/>
    <x v="122"/>
    <x v="1"/>
    <x v="1"/>
    <n v="17960.02"/>
    <n v="11"/>
    <s v="2015-05-04"/>
    <n v="0"/>
    <n v="50"/>
    <n v="358.48343299999999"/>
    <n v="2"/>
    <x v="2"/>
    <n v="17960.02"/>
    <n v="7184.01"/>
    <n v="1"/>
    <s v="3184256"/>
    <m/>
    <n v="17960.030299999999"/>
    <n v="0"/>
    <n v="57747"/>
  </r>
  <r>
    <x v="15"/>
    <s v="05148-9"/>
    <s v="Farum Svømmehal, Park 20"/>
    <n v="5454"/>
    <m/>
    <s v="Cafe"/>
    <x v="122"/>
    <x v="1"/>
    <x v="1"/>
    <n v="925.79"/>
    <n v="11"/>
    <s v="2015-05-04"/>
    <n v="0"/>
    <n v="50"/>
    <n v="18.478842"/>
    <n v="2"/>
    <x v="2"/>
    <n v="925.79"/>
    <n v="370.31"/>
    <n v="1"/>
    <s v="138873"/>
    <m/>
    <n v="925.77418999999998"/>
    <n v="0"/>
    <n v="57748"/>
  </r>
  <r>
    <x v="15"/>
    <s v="05148-9"/>
    <s v="Farum Svømmehal, Park 20"/>
    <n v="5454"/>
    <m/>
    <s v="Cafe"/>
    <x v="122"/>
    <x v="1"/>
    <x v="2"/>
    <n v="309"/>
    <n v="13"/>
    <s v="2015-05-04"/>
    <n v="0"/>
    <n v="50"/>
    <n v="6.1676640000000003"/>
    <n v="2"/>
    <x v="2"/>
    <n v="309"/>
    <n v="123.6"/>
    <n v="1"/>
    <s v="138873"/>
    <m/>
    <n v="309"/>
    <n v="0"/>
    <n v="57748"/>
  </r>
  <r>
    <x v="15"/>
    <s v="05148-9"/>
    <s v="Farum Svømmehal, Park 20"/>
    <n v="5454"/>
    <m/>
    <s v="Cafe"/>
    <x v="122"/>
    <x v="1"/>
    <x v="2"/>
    <n v="12221.36"/>
    <n v="12"/>
    <s v="2015-05-04"/>
    <n v="0"/>
    <n v="50"/>
    <n v="243.93932100000001"/>
    <n v="2"/>
    <x v="2"/>
    <n v="12221.36"/>
    <n v="4888.54"/>
    <n v="1"/>
    <s v="3184256"/>
    <m/>
    <n v="12221.36363"/>
    <n v="0"/>
    <n v="57747"/>
  </r>
  <r>
    <x v="15"/>
    <s v="05148-9"/>
    <s v="Farum Svømmehal, Park 20"/>
    <n v="5454"/>
    <m/>
    <s v="Cafe"/>
    <x v="122"/>
    <x v="1"/>
    <x v="3"/>
    <n v="0"/>
    <n v="12"/>
    <s v="2015-05-04"/>
    <n v="0"/>
    <n v="50"/>
    <n v="0"/>
    <n v="2"/>
    <x v="2"/>
    <n v="0"/>
    <n v="0"/>
    <n v="1"/>
    <s v="138873"/>
    <m/>
    <n v="0"/>
    <n v="0"/>
    <n v="57748"/>
  </r>
  <r>
    <x v="15"/>
    <s v="05148-9"/>
    <s v="Farum Svømmehal, Park 20"/>
    <n v="5454"/>
    <m/>
    <s v="Cafe"/>
    <x v="122"/>
    <x v="1"/>
    <x v="3"/>
    <n v="7544.64"/>
    <n v="13"/>
    <s v="2015-05-04"/>
    <n v="0"/>
    <n v="50"/>
    <n v="150.59161599999999"/>
    <n v="2"/>
    <x v="2"/>
    <n v="7544.64"/>
    <n v="3538.44"/>
    <n v="1"/>
    <s v="3184256"/>
    <m/>
    <n v="7544.6363700000002"/>
    <n v="0"/>
    <n v="57747"/>
  </r>
  <r>
    <x v="15"/>
    <s v="05148-9"/>
    <s v="Farum Svømmehal, Park 20"/>
    <n v="5454"/>
    <m/>
    <s v="Cafe"/>
    <x v="122"/>
    <x v="1"/>
    <x v="4"/>
    <n v="0.09"/>
    <n v="12"/>
    <s v="2015-05-04"/>
    <n v="0"/>
    <n v="50"/>
    <n v="1.7960000000000001E-3"/>
    <n v="2"/>
    <x v="2"/>
    <n v="0.09"/>
    <n v="0.04"/>
    <n v="1"/>
    <s v="138873"/>
    <m/>
    <n v="8.8239999999999999E-2"/>
    <n v="0"/>
    <n v="57748"/>
  </r>
  <r>
    <x v="15"/>
    <s v="05148-9"/>
    <s v="Farum Svømmehal, Park 20"/>
    <n v="5454"/>
    <m/>
    <s v="Cafe"/>
    <x v="122"/>
    <x v="1"/>
    <x v="4"/>
    <n v="12856.6"/>
    <n v="12"/>
    <s v="2015-05-04"/>
    <n v="0"/>
    <n v="50"/>
    <n v="256.618762"/>
    <n v="2"/>
    <x v="2"/>
    <n v="12856.6"/>
    <n v="6029.75"/>
    <n v="1"/>
    <s v="3184256"/>
    <m/>
    <n v="12856.58733"/>
    <n v="0"/>
    <n v="57747"/>
  </r>
  <r>
    <x v="15"/>
    <s v="05148-9"/>
    <s v="Farum Svømmehal, Park 20"/>
    <n v="5454"/>
    <m/>
    <s v="Cafe"/>
    <x v="122"/>
    <x v="1"/>
    <x v="5"/>
    <n v="14396.54"/>
    <n v="13"/>
    <s v="2015-05-04"/>
    <n v="0"/>
    <n v="50"/>
    <n v="287.356087"/>
    <n v="2"/>
    <x v="2"/>
    <n v="14396.54"/>
    <n v="6751.97"/>
    <n v="1"/>
    <s v="3184256"/>
    <m/>
    <n v="14396.5386"/>
    <n v="0"/>
    <n v="57747"/>
  </r>
  <r>
    <x v="15"/>
    <s v="05148-9"/>
    <s v="Farum Svømmehal, Park 20"/>
    <n v="5454"/>
    <m/>
    <s v="Cafe"/>
    <x v="122"/>
    <x v="1"/>
    <x v="5"/>
    <n v="0.91"/>
    <n v="13"/>
    <s v="2015-05-04"/>
    <n v="0"/>
    <n v="50"/>
    <n v="1.8162999999999999E-2"/>
    <n v="2"/>
    <x v="2"/>
    <n v="0.91"/>
    <n v="0.43"/>
    <n v="1"/>
    <s v="138873"/>
    <m/>
    <n v="0.91176000000000001"/>
    <n v="0"/>
    <n v="57748"/>
  </r>
  <r>
    <x v="15"/>
    <s v="05148-9"/>
    <s v="Farum Svømmehal, Park 20"/>
    <n v="5454"/>
    <m/>
    <s v="Cafe"/>
    <x v="122"/>
    <x v="1"/>
    <x v="6"/>
    <n v="294.89"/>
    <n v="12"/>
    <s v="2015-05-04"/>
    <n v="0"/>
    <n v="50"/>
    <n v="5.8860270000000003"/>
    <n v="2"/>
    <x v="2"/>
    <n v="294.89"/>
    <n v="138.29"/>
    <n v="1"/>
    <s v="138873"/>
    <m/>
    <n v="294.87878000000001"/>
    <n v="0"/>
    <n v="57748"/>
  </r>
  <r>
    <x v="15"/>
    <s v="05148-9"/>
    <s v="Farum Svømmehal, Park 20"/>
    <n v="5454"/>
    <m/>
    <s v="Cafe"/>
    <x v="122"/>
    <x v="1"/>
    <x v="6"/>
    <n v="26202.14"/>
    <n v="12"/>
    <s v="2015-05-04"/>
    <n v="0"/>
    <n v="50"/>
    <n v="522.99680599999999"/>
    <n v="2"/>
    <x v="2"/>
    <n v="26202.14"/>
    <n v="12288.8"/>
    <n v="1"/>
    <s v="3184256"/>
    <m/>
    <n v="26202.146789999999"/>
    <n v="0"/>
    <n v="57747"/>
  </r>
  <r>
    <x v="15"/>
    <s v="05148-9"/>
    <s v="Farum Svømmehal, Park 20"/>
    <n v="5449"/>
    <m/>
    <s v="Farum Svømmehal,Farum Park 20 st. th."/>
    <x v="122"/>
    <x v="0"/>
    <x v="0"/>
    <n v="581319"/>
    <n v="5"/>
    <m/>
    <n v="0"/>
    <n v="7709"/>
    <n v="24.101029"/>
    <n v="2"/>
    <x v="2"/>
    <n v="185797.25"/>
    <n v="74318.899999999994"/>
    <n v="0"/>
    <s v="103229/48646 GL hal"/>
    <s v="74112152523"/>
    <n v="185797.25"/>
    <n v="0"/>
    <n v="57533"/>
  </r>
  <r>
    <x v="15"/>
    <s v="05148-9"/>
    <s v="Farum Svømmehal, Park 20"/>
    <n v="5449"/>
    <m/>
    <s v="Farum Svømmehal,Farum Park 20 st. th."/>
    <x v="122"/>
    <x v="0"/>
    <x v="0"/>
    <n v="0"/>
    <n v="5"/>
    <m/>
    <n v="0"/>
    <n v="7709"/>
    <n v="6.261476"/>
    <n v="2"/>
    <x v="2"/>
    <n v="48270.35"/>
    <n v="19308.150000000001"/>
    <n v="0"/>
    <s v="104167/800287  kæl"/>
    <s v="74114782704"/>
    <n v="48270.345000000001"/>
    <n v="0"/>
    <n v="57544"/>
  </r>
  <r>
    <x v="15"/>
    <s v="05148-9"/>
    <s v="Farum Svømmehal, Park 20"/>
    <n v="5449"/>
    <m/>
    <s v="Farum Svømmehal,Farum Park 20 st. th."/>
    <x v="122"/>
    <x v="0"/>
    <x v="0"/>
    <n v="0"/>
    <n v="5"/>
    <s v="2005-07-01"/>
    <n v="0"/>
    <n v="7709"/>
    <n v="1.401621"/>
    <n v="2"/>
    <x v="2"/>
    <n v="10805.24"/>
    <n v="4322.1000000000004"/>
    <n v="0"/>
    <s v="800307 TB"/>
    <s v="74114782704"/>
    <n v="10805.25"/>
    <n v="0"/>
    <n v="57542"/>
  </r>
  <r>
    <x v="15"/>
    <s v="05148-9"/>
    <s v="Farum Svømmehal, Park 20"/>
    <n v="5449"/>
    <m/>
    <s v="Farum Svømmehal,Farum Park 20 st. th."/>
    <x v="122"/>
    <x v="0"/>
    <x v="1"/>
    <n v="427718.65"/>
    <n v="12"/>
    <m/>
    <n v="0"/>
    <n v="7709"/>
    <n v="55.482306000000001"/>
    <n v="2"/>
    <x v="2"/>
    <n v="427718.65"/>
    <n v="171087.46"/>
    <n v="0"/>
    <s v="103229/48646 GL hal"/>
    <s v="74112152523"/>
    <n v="427718.65"/>
    <n v="0"/>
    <n v="57533"/>
  </r>
  <r>
    <x v="15"/>
    <s v="05148-9"/>
    <s v="Farum Svømmehal, Park 20"/>
    <n v="5449"/>
    <m/>
    <s v="Farum Svømmehal,Farum Park 20 st. th."/>
    <x v="122"/>
    <x v="0"/>
    <x v="1"/>
    <n v="22762.48"/>
    <n v="12"/>
    <s v="2005-07-01"/>
    <n v="0"/>
    <n v="7709"/>
    <n v="2.9526759999999999"/>
    <n v="2"/>
    <x v="2"/>
    <n v="22762.48"/>
    <n v="9104.98"/>
    <n v="0"/>
    <s v="800307 TB"/>
    <s v="74114782704"/>
    <n v="22762.5"/>
    <n v="0"/>
    <n v="57542"/>
  </r>
  <r>
    <x v="15"/>
    <s v="05148-9"/>
    <s v="Farum Svømmehal, Park 20"/>
    <n v="5449"/>
    <m/>
    <s v="Farum Svømmehal,Farum Park 20 st. th."/>
    <x v="122"/>
    <x v="0"/>
    <x v="1"/>
    <n v="110680.69"/>
    <n v="12"/>
    <m/>
    <n v="0"/>
    <n v="7709"/>
    <n v="14.357148"/>
    <n v="2"/>
    <x v="2"/>
    <n v="110680.69"/>
    <n v="44272.28"/>
    <n v="0"/>
    <s v="104167/800287  kæl"/>
    <s v="74114782704"/>
    <n v="110680.69"/>
    <n v="0"/>
    <n v="57544"/>
  </r>
  <r>
    <x v="15"/>
    <s v="05148-9"/>
    <s v="Farum Svømmehal, Park 20"/>
    <n v="5449"/>
    <m/>
    <s v="Farum Svømmehal,Farum Park 20 st. th."/>
    <x v="122"/>
    <x v="0"/>
    <x v="2"/>
    <n v="20801.86"/>
    <n v="12"/>
    <s v="2005-07-01"/>
    <n v="0"/>
    <n v="7709"/>
    <n v="2.6983510000000002"/>
    <n v="2"/>
    <x v="2"/>
    <n v="20801.86"/>
    <n v="8320.75"/>
    <n v="0"/>
    <s v="800307 TB"/>
    <s v="74114782704"/>
    <n v="20801.865000000002"/>
    <n v="0"/>
    <n v="57542"/>
  </r>
  <r>
    <x v="15"/>
    <s v="05148-9"/>
    <s v="Farum Svømmehal, Park 20"/>
    <n v="5449"/>
    <m/>
    <s v="Farum Svømmehal,Farum Park 20 st. th."/>
    <x v="122"/>
    <x v="0"/>
    <x v="2"/>
    <n v="422386.95"/>
    <n v="12"/>
    <m/>
    <n v="0"/>
    <n v="7709"/>
    <n v="54.790694999999999"/>
    <n v="2"/>
    <x v="2"/>
    <n v="422386.95"/>
    <n v="168954.78"/>
    <n v="0"/>
    <s v="103229/48646 GL hal"/>
    <s v="74112152523"/>
    <n v="422386.95"/>
    <n v="0"/>
    <n v="57533"/>
  </r>
  <r>
    <x v="15"/>
    <s v="05148-9"/>
    <s v="Farum Svømmehal, Park 20"/>
    <n v="5449"/>
    <m/>
    <s v="Farum Svømmehal,Farum Park 20 st. th."/>
    <x v="122"/>
    <x v="0"/>
    <x v="2"/>
    <n v="120790.39999999999"/>
    <n v="12"/>
    <m/>
    <n v="0"/>
    <n v="7709"/>
    <n v="15.668547"/>
    <n v="2"/>
    <x v="2"/>
    <n v="120790.39999999999"/>
    <n v="48316.160000000003"/>
    <n v="0"/>
    <s v="104167/800287  kæl"/>
    <s v="74114782704"/>
    <n v="120790.405"/>
    <n v="0"/>
    <n v="57544"/>
  </r>
  <r>
    <x v="15"/>
    <s v="05148-9"/>
    <s v="Farum Svømmehal, Park 20"/>
    <n v="5449"/>
    <m/>
    <s v="Farum Svømmehal,Farum Park 20 st. th."/>
    <x v="122"/>
    <x v="0"/>
    <x v="3"/>
    <n v="19999.259999999998"/>
    <n v="12"/>
    <s v="2005-07-01"/>
    <n v="0"/>
    <n v="7709"/>
    <n v="2.5942400000000001"/>
    <n v="2"/>
    <x v="2"/>
    <n v="19999.259999999998"/>
    <n v="9379.64"/>
    <n v="0"/>
    <s v="800307 TB"/>
    <s v="74114782704"/>
    <n v="19999.244999999999"/>
    <n v="0"/>
    <n v="57542"/>
  </r>
  <r>
    <x v="15"/>
    <s v="05148-9"/>
    <s v="Farum Svømmehal, Park 20"/>
    <n v="5449"/>
    <m/>
    <s v="Farum Svømmehal,Farum Park 20 st. th."/>
    <x v="122"/>
    <x v="0"/>
    <x v="3"/>
    <n v="455875.7"/>
    <n v="12"/>
    <m/>
    <n v="0"/>
    <n v="7709"/>
    <n v="59.134748999999999"/>
    <n v="2"/>
    <x v="2"/>
    <n v="455875.7"/>
    <n v="213805.71"/>
    <n v="0"/>
    <s v="103229/48646 GL hal"/>
    <s v="74112152523"/>
    <n v="455875.7"/>
    <n v="0"/>
    <n v="57533"/>
  </r>
  <r>
    <x v="15"/>
    <s v="05148-9"/>
    <s v="Farum Svømmehal, Park 20"/>
    <n v="5449"/>
    <m/>
    <s v="Farum Svømmehal,Farum Park 20 st. th."/>
    <x v="122"/>
    <x v="0"/>
    <x v="3"/>
    <n v="125866.47"/>
    <n v="12"/>
    <m/>
    <n v="0"/>
    <n v="7709"/>
    <n v="16.326999000000001"/>
    <n v="2"/>
    <x v="2"/>
    <n v="125866.47"/>
    <n v="59031.37"/>
    <n v="0"/>
    <s v="104167/800287  kæl"/>
    <s v="74114782704"/>
    <n v="125866.47500000001"/>
    <n v="0"/>
    <n v="57544"/>
  </r>
  <r>
    <x v="15"/>
    <s v="05148-9"/>
    <s v="Farum Svømmehal, Park 20"/>
    <n v="5449"/>
    <m/>
    <s v="Farum Svømmehal,Farum Park 20 st. th."/>
    <x v="122"/>
    <x v="0"/>
    <x v="4"/>
    <n v="26659.46"/>
    <n v="12"/>
    <s v="2005-07-01"/>
    <n v="0"/>
    <n v="7709"/>
    <n v="3.45818"/>
    <n v="2"/>
    <x v="2"/>
    <n v="26659.46"/>
    <n v="12503.28"/>
    <n v="0"/>
    <s v="800307 TB"/>
    <s v="74114782704"/>
    <n v="26659.455000000002"/>
    <n v="0"/>
    <n v="57542"/>
  </r>
  <r>
    <x v="15"/>
    <s v="05148-9"/>
    <s v="Farum Svømmehal, Park 20"/>
    <n v="5449"/>
    <m/>
    <s v="Farum Svømmehal,Farum Park 20 st. th."/>
    <x v="122"/>
    <x v="0"/>
    <x v="4"/>
    <n v="156734.53"/>
    <n v="12"/>
    <m/>
    <n v="0"/>
    <n v="7709"/>
    <n v="20.331105999999998"/>
    <n v="2"/>
    <x v="2"/>
    <n v="156734.53"/>
    <n v="73508.5"/>
    <n v="0"/>
    <s v="104167/800287  kæl"/>
    <s v="74114782704"/>
    <n v="156734.52499999999"/>
    <n v="0"/>
    <n v="57544"/>
  </r>
  <r>
    <x v="15"/>
    <s v="05148-9"/>
    <s v="Farum Svømmehal, Park 20"/>
    <n v="5449"/>
    <m/>
    <s v="Farum Svømmehal,Farum Park 20 st. th."/>
    <x v="122"/>
    <x v="0"/>
    <x v="4"/>
    <n v="577249.9"/>
    <n v="12"/>
    <m/>
    <n v="0"/>
    <n v="7709"/>
    <n v="74.879025999999996"/>
    <n v="2"/>
    <x v="2"/>
    <n v="577249.9"/>
    <n v="270730.21000000002"/>
    <n v="0"/>
    <s v="103229/48646 GL hal"/>
    <s v="74112152523"/>
    <n v="577249.9"/>
    <n v="0"/>
    <n v="57533"/>
  </r>
  <r>
    <x v="15"/>
    <s v="05148-9"/>
    <s v="Farum Svømmehal, Park 20"/>
    <n v="5449"/>
    <m/>
    <s v="Farum Svømmehal,Farum Park 20 st. th."/>
    <x v="122"/>
    <x v="0"/>
    <x v="5"/>
    <n v="611497.69999999995"/>
    <n v="12"/>
    <m/>
    <n v="0"/>
    <n v="7709"/>
    <n v="79.321541999999994"/>
    <n v="2"/>
    <x v="2"/>
    <n v="611497.69999999995"/>
    <n v="286792.42"/>
    <n v="0"/>
    <s v="103229/48646 GL hal"/>
    <s v="74112152523"/>
    <n v="611497.69999999995"/>
    <n v="0"/>
    <n v="57533"/>
  </r>
  <r>
    <x v="15"/>
    <s v="05148-9"/>
    <s v="Farum Svømmehal, Park 20"/>
    <n v="5449"/>
    <m/>
    <s v="Farum Svømmehal,Farum Park 20 st. th."/>
    <x v="122"/>
    <x v="0"/>
    <x v="5"/>
    <n v="40448.160000000003"/>
    <n v="12"/>
    <s v="2005-07-01"/>
    <n v="0"/>
    <n v="7709"/>
    <n v="5.2468070000000004"/>
    <n v="2"/>
    <x v="2"/>
    <n v="40448.160000000003"/>
    <n v="18970.18"/>
    <n v="0"/>
    <s v="800307 TB"/>
    <s v="74114782704"/>
    <n v="40448.160000000003"/>
    <n v="0"/>
    <n v="57542"/>
  </r>
  <r>
    <x v="15"/>
    <s v="05148-9"/>
    <s v="Farum Svømmehal, Park 20"/>
    <n v="5449"/>
    <m/>
    <s v="Farum Svømmehal,Farum Park 20 st. th."/>
    <x v="122"/>
    <x v="0"/>
    <x v="5"/>
    <n v="151971.21"/>
    <n v="12"/>
    <m/>
    <n v="0"/>
    <n v="7709"/>
    <n v="19.713222999999999"/>
    <n v="2"/>
    <x v="2"/>
    <n v="151971.21"/>
    <n v="71274.490000000005"/>
    <n v="0"/>
    <s v="104167/800287  kæl"/>
    <s v="74114782704"/>
    <n v="151971.21"/>
    <n v="0"/>
    <n v="57544"/>
  </r>
  <r>
    <x v="15"/>
    <s v="05148-9"/>
    <s v="Farum Svømmehal, Park 20"/>
    <n v="5449"/>
    <m/>
    <s v="Farum Svømmehal,Farum Park 20 st. th."/>
    <x v="122"/>
    <x v="0"/>
    <x v="6"/>
    <n v="43668.82"/>
    <n v="12"/>
    <s v="2005-07-01"/>
    <n v="0"/>
    <n v="7709"/>
    <n v="5.6645799999999999"/>
    <n v="2"/>
    <x v="2"/>
    <n v="43668.82"/>
    <n v="20480.66"/>
    <n v="0"/>
    <s v="800307 TB"/>
    <s v="74114782704"/>
    <n v="43668.794999999998"/>
    <n v="0"/>
    <n v="57542"/>
  </r>
  <r>
    <x v="15"/>
    <s v="05148-9"/>
    <s v="Farum Svømmehal, Park 20"/>
    <n v="5449"/>
    <m/>
    <s v="Farum Svømmehal,Farum Park 20 st. th."/>
    <x v="122"/>
    <x v="0"/>
    <x v="6"/>
    <n v="649559.6"/>
    <n v="12"/>
    <m/>
    <n v="0"/>
    <n v="7709"/>
    <n v="84.258810999999994"/>
    <n v="2"/>
    <x v="2"/>
    <n v="649559.6"/>
    <n v="304643.46000000002"/>
    <n v="0"/>
    <s v="103229/48646 GL hal"/>
    <s v="74112152523"/>
    <n v="649559.6"/>
    <n v="0"/>
    <n v="57533"/>
  </r>
  <r>
    <x v="15"/>
    <s v="05148-9"/>
    <s v="Farum Svømmehal, Park 20"/>
    <n v="5449"/>
    <m/>
    <s v="Farum Svømmehal,Farum Park 20 st. th."/>
    <x v="122"/>
    <x v="0"/>
    <x v="6"/>
    <n v="165455.15"/>
    <n v="12"/>
    <m/>
    <n v="0"/>
    <n v="7709"/>
    <n v="21.462316999999999"/>
    <n v="2"/>
    <x v="2"/>
    <n v="165455.15"/>
    <n v="77598.48"/>
    <n v="0"/>
    <s v="104167/800287  kæl"/>
    <s v="74114782704"/>
    <n v="165455.15"/>
    <n v="0"/>
    <n v="57544"/>
  </r>
  <r>
    <x v="15"/>
    <s v="05148-9"/>
    <s v="Farum Svømmehal, Park 20"/>
    <n v="5453"/>
    <m/>
    <s v="Swim-mix"/>
    <x v="122"/>
    <x v="1"/>
    <x v="0"/>
    <n v="11018.72"/>
    <n v="5"/>
    <s v="2015-05-04"/>
    <n v="0"/>
    <n v="610"/>
    <n v="18.060514000000001"/>
    <n v="2"/>
    <x v="2"/>
    <n v="11018.72"/>
    <n v="4407.4799999999996"/>
    <n v="1"/>
    <s v="swimmix"/>
    <m/>
    <n v="11018.71875"/>
    <n v="0"/>
    <n v="57556"/>
  </r>
  <r>
    <x v="15"/>
    <s v="05148-9"/>
    <s v="Farum Svømmehal, Park 20"/>
    <n v="5453"/>
    <m/>
    <s v="Swim-mix"/>
    <x v="122"/>
    <x v="1"/>
    <x v="1"/>
    <n v="20837.95"/>
    <n v="11"/>
    <s v="2015-05-04"/>
    <n v="0"/>
    <n v="610"/>
    <n v="34.154974000000003"/>
    <n v="2"/>
    <x v="2"/>
    <n v="20837.95"/>
    <n v="8335.18"/>
    <n v="1"/>
    <s v="swimmix"/>
    <m/>
    <n v="20837.946240000001"/>
    <n v="0"/>
    <n v="57556"/>
  </r>
  <r>
    <x v="15"/>
    <s v="05148-9"/>
    <s v="Farum Svømmehal, Park 20"/>
    <n v="5453"/>
    <m/>
    <s v="Swim-mix"/>
    <x v="122"/>
    <x v="1"/>
    <x v="2"/>
    <n v="23652.61"/>
    <n v="13"/>
    <s v="2015-05-04"/>
    <n v="0"/>
    <n v="610"/>
    <n v="38.768414999999997"/>
    <n v="2"/>
    <x v="2"/>
    <n v="23652.61"/>
    <n v="9461.0499999999993"/>
    <n v="1"/>
    <s v="swimmix"/>
    <m/>
    <n v="23652.606059999998"/>
    <n v="0"/>
    <n v="57556"/>
  </r>
  <r>
    <x v="15"/>
    <s v="05148-9"/>
    <s v="Farum Svømmehal, Park 20"/>
    <n v="5453"/>
    <m/>
    <s v="Swim-mix"/>
    <x v="122"/>
    <x v="1"/>
    <x v="3"/>
    <n v="23841.46"/>
    <n v="12"/>
    <s v="2015-05-04"/>
    <n v="0"/>
    <n v="610"/>
    <n v="39.077953999999998"/>
    <n v="2"/>
    <x v="2"/>
    <n v="23841.46"/>
    <n v="11181.64"/>
    <n v="1"/>
    <s v="swimmix"/>
    <m/>
    <n v="23841.454539999999"/>
    <n v="0"/>
    <n v="57556"/>
  </r>
  <r>
    <x v="15"/>
    <s v="05148-9"/>
    <s v="Farum Svømmehal, Park 20"/>
    <n v="5453"/>
    <m/>
    <s v="Swim-mix"/>
    <x v="122"/>
    <x v="1"/>
    <x v="4"/>
    <n v="24729.85"/>
    <n v="12"/>
    <s v="2015-05-04"/>
    <n v="0"/>
    <n v="610"/>
    <n v="40.534092000000001"/>
    <n v="2"/>
    <x v="2"/>
    <n v="24729.85"/>
    <n v="11598.3"/>
    <n v="1"/>
    <s v="swimmix"/>
    <m/>
    <n v="24729.841349999999"/>
    <n v="0"/>
    <n v="57556"/>
  </r>
  <r>
    <x v="15"/>
    <s v="05148-9"/>
    <s v="Farum Svømmehal, Park 20"/>
    <n v="5453"/>
    <m/>
    <s v="Swim-mix"/>
    <x v="122"/>
    <x v="1"/>
    <x v="5"/>
    <n v="27566.76"/>
    <n v="12"/>
    <s v="2015-05-04"/>
    <n v="0"/>
    <n v="610"/>
    <n v="45.184002"/>
    <n v="2"/>
    <x v="2"/>
    <n v="27566.76"/>
    <n v="12928.81"/>
    <n v="1"/>
    <s v="swimmix"/>
    <m/>
    <n v="27566.764709999999"/>
    <n v="0"/>
    <n v="57556"/>
  </r>
  <r>
    <x v="15"/>
    <s v="05148-9"/>
    <s v="Farum Svømmehal, Park 20"/>
    <n v="5453"/>
    <m/>
    <s v="Swim-mix"/>
    <x v="122"/>
    <x v="1"/>
    <x v="6"/>
    <n v="27271.24"/>
    <n v="12"/>
    <s v="2015-05-04"/>
    <n v="0"/>
    <n v="610"/>
    <n v="44.699623000000003"/>
    <n v="2"/>
    <x v="2"/>
    <n v="27271.24"/>
    <n v="12790.23"/>
    <n v="1"/>
    <s v="swimmix"/>
    <m/>
    <n v="27271.242440000002"/>
    <n v="0"/>
    <n v="57556"/>
  </r>
  <r>
    <x v="15"/>
    <s v="190-001744"/>
    <s v="Værløse Svømmehal, KV60"/>
    <n v="8933"/>
    <s v="0"/>
    <s v="Bi-måler El"/>
    <x v="123"/>
    <x v="1"/>
    <x v="0"/>
    <n v="16111.06"/>
    <n v="5"/>
    <s v="2015-05-05"/>
    <n v="0"/>
    <n v="0"/>
    <n v="161110.6"/>
    <n v="2"/>
    <x v="2"/>
    <n v="16111.06"/>
    <n v="4833.32"/>
    <n v="1"/>
    <s v="ELM8 TB"/>
    <m/>
    <n v="16111.05882"/>
    <n v="0"/>
    <n v="70990"/>
  </r>
  <r>
    <x v="15"/>
    <s v="190-001744"/>
    <s v="Værløse Svømmehal, KV60"/>
    <n v="8933"/>
    <s v="0"/>
    <s v="Bi-måler El"/>
    <x v="123"/>
    <x v="1"/>
    <x v="0"/>
    <n v="2163.88"/>
    <n v="5"/>
    <s v="2015-05-05"/>
    <n v="0"/>
    <n v="0"/>
    <n v="21638.799999999999"/>
    <n v="2"/>
    <x v="2"/>
    <n v="2163.88"/>
    <n v="649.16999999999996"/>
    <n v="1"/>
    <s v="ELM11 RELAX"/>
    <m/>
    <n v="2163.8823499999999"/>
    <n v="0"/>
    <n v="70996"/>
  </r>
  <r>
    <x v="15"/>
    <s v="190-001744"/>
    <s v="Værløse Svømmehal, KV60"/>
    <n v="8933"/>
    <s v="0"/>
    <s v="Bi-måler El"/>
    <x v="123"/>
    <x v="1"/>
    <x v="0"/>
    <n v="3424.06"/>
    <n v="5"/>
    <s v="2015-05-05"/>
    <n v="0"/>
    <n v="0"/>
    <n v="34240.6"/>
    <n v="2"/>
    <x v="2"/>
    <n v="3424.06"/>
    <n v="1027.22"/>
    <n v="1"/>
    <s v="ELM12 OMKL."/>
    <m/>
    <n v="3424.0588200000002"/>
    <n v="0"/>
    <n v="70998"/>
  </r>
  <r>
    <x v="15"/>
    <s v="190-001744"/>
    <s v="Værløse Svømmehal, KV60"/>
    <n v="8933"/>
    <s v="0"/>
    <s v="Bi-måler El"/>
    <x v="123"/>
    <x v="1"/>
    <x v="0"/>
    <n v="19581.29"/>
    <n v="5"/>
    <s v="2015-05-05"/>
    <n v="0"/>
    <n v="0"/>
    <n v="195812.9"/>
    <n v="2"/>
    <x v="2"/>
    <n v="19581.29"/>
    <n v="5874.38"/>
    <n v="1"/>
    <s v="Recool"/>
    <m/>
    <n v="19581.294119999999"/>
    <n v="0"/>
    <n v="95931"/>
  </r>
  <r>
    <x v="15"/>
    <s v="190-001744"/>
    <s v="Værløse Svømmehal, KV60"/>
    <n v="8933"/>
    <s v="0"/>
    <s v="Bi-måler El"/>
    <x v="123"/>
    <x v="1"/>
    <x v="0"/>
    <n v="10308.709999999999"/>
    <n v="5"/>
    <s v="2015-05-05"/>
    <n v="0"/>
    <n v="0"/>
    <n v="103087.1"/>
    <n v="2"/>
    <x v="2"/>
    <n v="10308.709999999999"/>
    <n v="3092.62"/>
    <n v="1"/>
    <s v="ELM9 VVB"/>
    <m/>
    <n v="10308.70588"/>
    <n v="0"/>
    <n v="70992"/>
  </r>
  <r>
    <x v="15"/>
    <s v="190-001744"/>
    <s v="Værløse Svømmehal, KV60"/>
    <n v="8933"/>
    <s v="0"/>
    <s v="Bi-måler El"/>
    <x v="123"/>
    <x v="1"/>
    <x v="0"/>
    <n v="2361.11"/>
    <n v="5"/>
    <s v="2015-05-05"/>
    <n v="0"/>
    <n v="0"/>
    <n v="23611.1"/>
    <n v="2"/>
    <x v="2"/>
    <n v="2361.11"/>
    <n v="708.34"/>
    <n v="1"/>
    <s v="ELM10 LYS"/>
    <m/>
    <n v="2361.1176399999999"/>
    <n v="0"/>
    <n v="70994"/>
  </r>
  <r>
    <x v="15"/>
    <s v="190-001744"/>
    <s v="Værløse Svømmehal, KV60"/>
    <n v="8933"/>
    <s v="0"/>
    <s v="Bi-måler El"/>
    <x v="123"/>
    <x v="1"/>
    <x v="0"/>
    <n v="1107.53"/>
    <n v="5"/>
    <s v="2015-05-05"/>
    <n v="0"/>
    <n v="0"/>
    <n v="11075.3"/>
    <n v="2"/>
    <x v="2"/>
    <n v="1107.53"/>
    <n v="332.26"/>
    <n v="1"/>
    <s v="ELM6 VE05"/>
    <m/>
    <n v="1107.5294100000001"/>
    <n v="0"/>
    <n v="70997"/>
  </r>
  <r>
    <x v="15"/>
    <s v="190-001744"/>
    <s v="Værløse Svømmehal, KV60"/>
    <n v="8933"/>
    <s v="0"/>
    <s v="Bi-måler El"/>
    <x v="123"/>
    <x v="1"/>
    <x v="0"/>
    <n v="23190.59"/>
    <n v="5"/>
    <s v="2015-05-05"/>
    <n v="0"/>
    <n v="0"/>
    <n v="231905.9"/>
    <n v="2"/>
    <x v="2"/>
    <n v="23190.59"/>
    <n v="6957.18"/>
    <n v="1"/>
    <s v="ELM2 VE01"/>
    <m/>
    <n v="23190.588230000001"/>
    <n v="0"/>
    <n v="77913"/>
  </r>
  <r>
    <x v="15"/>
    <s v="190-001744"/>
    <s v="Værløse Svømmehal, KV60"/>
    <n v="8933"/>
    <s v="0"/>
    <s v="Bi-måler El"/>
    <x v="123"/>
    <x v="1"/>
    <x v="1"/>
    <n v="47160.66"/>
    <n v="11"/>
    <s v="2015-05-05"/>
    <n v="0"/>
    <n v="0"/>
    <n v="471606.6"/>
    <n v="2"/>
    <x v="2"/>
    <n v="47160.66"/>
    <n v="14148.21"/>
    <n v="1"/>
    <s v="ELM8 TB"/>
    <m/>
    <n v="47160.661939999998"/>
    <n v="0"/>
    <n v="70990"/>
  </r>
  <r>
    <x v="15"/>
    <s v="190-001744"/>
    <s v="Værløse Svømmehal, KV60"/>
    <n v="8933"/>
    <s v="0"/>
    <s v="Bi-måler El"/>
    <x v="123"/>
    <x v="1"/>
    <x v="1"/>
    <n v="25372.35"/>
    <n v="11"/>
    <s v="2015-05-05"/>
    <n v="0"/>
    <n v="0"/>
    <n v="253723.5"/>
    <n v="2"/>
    <x v="2"/>
    <n v="25372.35"/>
    <n v="7611.71"/>
    <n v="1"/>
    <s v="ELM9 VVB"/>
    <m/>
    <n v="25372.354179999998"/>
    <n v="0"/>
    <n v="70992"/>
  </r>
  <r>
    <x v="15"/>
    <s v="190-001744"/>
    <s v="Værløse Svømmehal, KV60"/>
    <n v="8933"/>
    <s v="0"/>
    <s v="Bi-måler El"/>
    <x v="123"/>
    <x v="1"/>
    <x v="1"/>
    <n v="8492.92"/>
    <n v="11"/>
    <s v="2014-07-02"/>
    <n v="0"/>
    <n v="0"/>
    <n v="84929.2"/>
    <n v="2"/>
    <x v="2"/>
    <n v="8492.92"/>
    <n v="2547.87"/>
    <n v="1"/>
    <s v="ELM4 VE03"/>
    <m/>
    <n v="8492.9261299999998"/>
    <n v="0"/>
    <n v="70993"/>
  </r>
  <r>
    <x v="15"/>
    <s v="190-001744"/>
    <s v="Værløse Svømmehal, KV60"/>
    <n v="8933"/>
    <s v="0"/>
    <s v="Bi-måler El"/>
    <x v="123"/>
    <x v="1"/>
    <x v="1"/>
    <n v="9983.56"/>
    <n v="11"/>
    <s v="2015-05-05"/>
    <n v="0"/>
    <n v="0"/>
    <n v="99835.6"/>
    <n v="2"/>
    <x v="2"/>
    <n v="9983.56"/>
    <n v="2995.06"/>
    <n v="1"/>
    <s v="ELM12 OMKL."/>
    <m/>
    <n v="9983.5558700000001"/>
    <n v="0"/>
    <n v="70998"/>
  </r>
  <r>
    <x v="15"/>
    <s v="190-001744"/>
    <s v="Værløse Svømmehal, KV60"/>
    <n v="8933"/>
    <s v="0"/>
    <s v="Bi-måler El"/>
    <x v="123"/>
    <x v="1"/>
    <x v="1"/>
    <n v="66477.67"/>
    <n v="11"/>
    <s v="2015-05-05"/>
    <n v="0"/>
    <n v="0"/>
    <n v="664776.69999999995"/>
    <n v="2"/>
    <x v="2"/>
    <n v="66477.67"/>
    <n v="19943.310000000001"/>
    <n v="1"/>
    <s v="ELM2 VE01"/>
    <m/>
    <n v="66477.662880000003"/>
    <n v="0"/>
    <n v="77913"/>
  </r>
  <r>
    <x v="15"/>
    <s v="190-001744"/>
    <s v="Værløse Svømmehal, KV60"/>
    <n v="8933"/>
    <s v="0"/>
    <s v="Bi-måler El"/>
    <x v="123"/>
    <x v="1"/>
    <x v="1"/>
    <n v="16695.740000000002"/>
    <n v="11"/>
    <s v="2014-02-03"/>
    <n v="0"/>
    <n v="0"/>
    <n v="166957.4"/>
    <n v="2"/>
    <x v="2"/>
    <n v="16695.740000000002"/>
    <n v="5008.7299999999996"/>
    <n v="1"/>
    <s v="ELM3 VE02"/>
    <m/>
    <n v="16695.727279999999"/>
    <n v="0"/>
    <n v="70991"/>
  </r>
  <r>
    <x v="15"/>
    <s v="190-001744"/>
    <s v="Værløse Svømmehal, KV60"/>
    <n v="8933"/>
    <s v="0"/>
    <s v="Bi-måler El"/>
    <x v="123"/>
    <x v="1"/>
    <x v="1"/>
    <n v="6644.32"/>
    <n v="11"/>
    <s v="2015-05-05"/>
    <n v="0"/>
    <n v="0"/>
    <n v="66443.199999999997"/>
    <n v="2"/>
    <x v="2"/>
    <n v="6644.32"/>
    <n v="1993.29"/>
    <n v="1"/>
    <s v="ELM10 LYS"/>
    <m/>
    <n v="6644.3191399999996"/>
    <n v="0"/>
    <n v="70994"/>
  </r>
  <r>
    <x v="15"/>
    <s v="190-001744"/>
    <s v="Værløse Svømmehal, KV60"/>
    <n v="8933"/>
    <s v="0"/>
    <s v="Bi-måler El"/>
    <x v="123"/>
    <x v="1"/>
    <x v="1"/>
    <n v="5050.92"/>
    <n v="11"/>
    <s v="2015-05-05"/>
    <n v="0"/>
    <n v="0"/>
    <n v="50509.2"/>
    <n v="2"/>
    <x v="2"/>
    <n v="5050.92"/>
    <n v="1515.31"/>
    <n v="1"/>
    <s v="ELM11 RELAX"/>
    <m/>
    <n v="5050.9346699999996"/>
    <n v="0"/>
    <n v="70996"/>
  </r>
  <r>
    <x v="15"/>
    <s v="190-001744"/>
    <s v="Værløse Svømmehal, KV60"/>
    <n v="8933"/>
    <s v="0"/>
    <s v="Bi-måler El"/>
    <x v="123"/>
    <x v="1"/>
    <x v="1"/>
    <n v="3352.58"/>
    <n v="11"/>
    <s v="2015-05-05"/>
    <n v="0"/>
    <n v="0"/>
    <n v="33525.800000000003"/>
    <n v="2"/>
    <x v="2"/>
    <n v="3352.58"/>
    <n v="1005.77"/>
    <n v="1"/>
    <s v="ELM6 VE05"/>
    <m/>
    <n v="3352.5691400000001"/>
    <n v="0"/>
    <n v="70997"/>
  </r>
  <r>
    <x v="15"/>
    <s v="190-001744"/>
    <s v="Værløse Svømmehal, KV60"/>
    <n v="8933"/>
    <s v="0"/>
    <s v="Bi-måler El"/>
    <x v="123"/>
    <x v="1"/>
    <x v="1"/>
    <n v="53348.68"/>
    <n v="11"/>
    <s v="2014-02-03"/>
    <n v="0"/>
    <n v="0"/>
    <n v="533486.80000000005"/>
    <n v="2"/>
    <x v="2"/>
    <n v="53348.68"/>
    <n v="16004.59"/>
    <n v="1"/>
    <s v="ELM7 25M.BASS"/>
    <m/>
    <n v="53348.678019999999"/>
    <n v="0"/>
    <n v="70999"/>
  </r>
  <r>
    <x v="15"/>
    <s v="190-001744"/>
    <s v="Værløse Svømmehal, KV60"/>
    <n v="8933"/>
    <s v="0"/>
    <s v="Bi-måler El"/>
    <x v="123"/>
    <x v="1"/>
    <x v="2"/>
    <n v="47395.35"/>
    <n v="12"/>
    <s v="2015-05-05"/>
    <n v="0"/>
    <n v="0"/>
    <n v="473953.5"/>
    <n v="2"/>
    <x v="2"/>
    <n v="47395.35"/>
    <n v="18958.13"/>
    <n v="1"/>
    <s v="ELM8 TB"/>
    <m/>
    <n v="47395.348480000001"/>
    <n v="0"/>
    <n v="70990"/>
  </r>
  <r>
    <x v="15"/>
    <s v="190-001744"/>
    <s v="Værløse Svømmehal, KV60"/>
    <n v="8933"/>
    <s v="0"/>
    <s v="Bi-måler El"/>
    <x v="123"/>
    <x v="1"/>
    <x v="2"/>
    <n v="19488.09"/>
    <n v="12"/>
    <s v="2015-05-05"/>
    <n v="0"/>
    <n v="0"/>
    <n v="194880.9"/>
    <n v="2"/>
    <x v="2"/>
    <n v="19488.09"/>
    <n v="7795.22"/>
    <n v="1"/>
    <s v="ELM9 VVB"/>
    <m/>
    <n v="19488.083340000001"/>
    <n v="0"/>
    <n v="70992"/>
  </r>
  <r>
    <x v="15"/>
    <s v="190-001744"/>
    <s v="Værløse Svømmehal, KV60"/>
    <n v="8933"/>
    <s v="0"/>
    <s v="Bi-måler El"/>
    <x v="123"/>
    <x v="1"/>
    <x v="2"/>
    <n v="2167.4299999999998"/>
    <n v="4"/>
    <s v="2012-05-08"/>
    <n v="0"/>
    <n v="0"/>
    <n v="21674.3"/>
    <n v="2"/>
    <x v="2"/>
    <n v="2167.4299999999998"/>
    <n v="866.97"/>
    <n v="1"/>
    <s v="ELM5 VE04"/>
    <m/>
    <n v="2167.4166599999999"/>
    <n v="0"/>
    <n v="70995"/>
  </r>
  <r>
    <x v="15"/>
    <s v="190-001744"/>
    <s v="Værløse Svømmehal, KV60"/>
    <n v="8933"/>
    <s v="0"/>
    <s v="Bi-måler El"/>
    <x v="123"/>
    <x v="1"/>
    <x v="2"/>
    <n v="2661.6"/>
    <n v="12"/>
    <s v="2015-05-05"/>
    <n v="0"/>
    <n v="0"/>
    <n v="26616"/>
    <n v="2"/>
    <x v="2"/>
    <n v="2661.6"/>
    <n v="1064.67"/>
    <n v="1"/>
    <s v="ELM6 VE05"/>
    <m/>
    <n v="2661.6288100000002"/>
    <n v="0"/>
    <n v="70997"/>
  </r>
  <r>
    <x v="15"/>
    <s v="190-001744"/>
    <s v="Værløse Svømmehal, KV60"/>
    <n v="8933"/>
    <s v="0"/>
    <s v="Bi-måler El"/>
    <x v="123"/>
    <x v="1"/>
    <x v="2"/>
    <n v="12370.19"/>
    <n v="12"/>
    <s v="2015-05-05"/>
    <n v="0"/>
    <n v="0"/>
    <n v="123701.9"/>
    <n v="2"/>
    <x v="2"/>
    <n v="12370.19"/>
    <n v="4948.1000000000004"/>
    <n v="1"/>
    <s v="ELM12 OMKL."/>
    <m/>
    <n v="12370.20455"/>
    <n v="0"/>
    <n v="70998"/>
  </r>
  <r>
    <x v="15"/>
    <s v="190-001744"/>
    <s v="Værløse Svømmehal, KV60"/>
    <n v="8933"/>
    <s v="0"/>
    <s v="Bi-måler El"/>
    <x v="123"/>
    <x v="1"/>
    <x v="2"/>
    <n v="57464.79"/>
    <n v="12"/>
    <s v="2015-05-05"/>
    <n v="0"/>
    <n v="0"/>
    <n v="574647.9"/>
    <n v="2"/>
    <x v="2"/>
    <n v="57464.79"/>
    <n v="22985.91"/>
    <n v="1"/>
    <s v="ELM2 VE01"/>
    <m/>
    <n v="57464.795460000001"/>
    <n v="0"/>
    <n v="77913"/>
  </r>
  <r>
    <x v="15"/>
    <s v="190-001744"/>
    <s v="Værløse Svømmehal, KV60"/>
    <n v="8933"/>
    <s v="0"/>
    <s v="Bi-måler El"/>
    <x v="123"/>
    <x v="1"/>
    <x v="2"/>
    <n v="21296.44"/>
    <n v="12"/>
    <s v="2014-02-03"/>
    <n v="0"/>
    <n v="0"/>
    <n v="212964.4"/>
    <n v="2"/>
    <x v="2"/>
    <n v="21296.44"/>
    <n v="8518.57"/>
    <n v="1"/>
    <s v="ELM3 VE02"/>
    <m/>
    <n v="21296.43939"/>
    <n v="0"/>
    <n v="70991"/>
  </r>
  <r>
    <x v="15"/>
    <s v="190-001744"/>
    <s v="Værløse Svømmehal, KV60"/>
    <n v="8933"/>
    <s v="0"/>
    <s v="Bi-måler El"/>
    <x v="123"/>
    <x v="1"/>
    <x v="2"/>
    <n v="11750.4"/>
    <n v="12"/>
    <s v="2014-07-02"/>
    <n v="0"/>
    <n v="0"/>
    <n v="117504"/>
    <n v="2"/>
    <x v="2"/>
    <n v="11750.4"/>
    <n v="4700.16"/>
    <n v="1"/>
    <s v="ELM4 VE03"/>
    <m/>
    <n v="11750.38636"/>
    <n v="0"/>
    <n v="70993"/>
  </r>
  <r>
    <x v="15"/>
    <s v="190-001744"/>
    <s v="Værløse Svømmehal, KV60"/>
    <n v="8933"/>
    <s v="0"/>
    <s v="Bi-måler El"/>
    <x v="123"/>
    <x v="1"/>
    <x v="2"/>
    <n v="8292.7000000000007"/>
    <n v="12"/>
    <s v="2015-05-05"/>
    <n v="0"/>
    <n v="0"/>
    <n v="82927"/>
    <n v="2"/>
    <x v="2"/>
    <n v="8292.7000000000007"/>
    <n v="3317.09"/>
    <n v="1"/>
    <s v="ELM10 LYS"/>
    <m/>
    <n v="8292.7121200000001"/>
    <n v="0"/>
    <n v="70994"/>
  </r>
  <r>
    <x v="15"/>
    <s v="190-001744"/>
    <s v="Værløse Svømmehal, KV60"/>
    <n v="8933"/>
    <s v="0"/>
    <s v="Bi-måler El"/>
    <x v="123"/>
    <x v="1"/>
    <x v="2"/>
    <n v="5957.32"/>
    <n v="12"/>
    <s v="2015-05-05"/>
    <n v="0"/>
    <n v="0"/>
    <n v="59573.2"/>
    <n v="2"/>
    <x v="2"/>
    <n v="5957.32"/>
    <n v="2382.92"/>
    <n v="1"/>
    <s v="ELM11 RELAX"/>
    <m/>
    <n v="5957.3257599999997"/>
    <n v="0"/>
    <n v="70996"/>
  </r>
  <r>
    <x v="15"/>
    <s v="190-001744"/>
    <s v="Værløse Svømmehal, KV60"/>
    <n v="8933"/>
    <s v="0"/>
    <s v="Bi-måler El"/>
    <x v="123"/>
    <x v="1"/>
    <x v="2"/>
    <n v="50010.77"/>
    <n v="12"/>
    <s v="2014-02-03"/>
    <n v="0"/>
    <n v="0"/>
    <n v="500107.7"/>
    <n v="2"/>
    <x v="2"/>
    <n v="50010.77"/>
    <n v="20004.32"/>
    <n v="1"/>
    <s v="ELM7 25M.BASS"/>
    <m/>
    <n v="50010.780299999999"/>
    <n v="0"/>
    <n v="70999"/>
  </r>
  <r>
    <x v="15"/>
    <s v="190-001744"/>
    <s v="Værløse Svømmehal, KV60"/>
    <n v="8933"/>
    <s v="0"/>
    <s v="Bi-måler El"/>
    <x v="123"/>
    <x v="1"/>
    <x v="3"/>
    <n v="22085.51"/>
    <n v="12"/>
    <s v="2015-05-05"/>
    <n v="0"/>
    <n v="0"/>
    <n v="220855.1"/>
    <n v="2"/>
    <x v="2"/>
    <n v="22085.51"/>
    <n v="10358.1"/>
    <n v="1"/>
    <s v="ELM9 VVB"/>
    <m/>
    <n v="22085.507150000001"/>
    <n v="0"/>
    <n v="70992"/>
  </r>
  <r>
    <x v="15"/>
    <s v="190-001744"/>
    <s v="Værløse Svømmehal, KV60"/>
    <n v="8933"/>
    <s v="0"/>
    <s v="Bi-måler El"/>
    <x v="123"/>
    <x v="1"/>
    <x v="3"/>
    <n v="10376.84"/>
    <n v="12"/>
    <s v="2015-05-05"/>
    <n v="0"/>
    <n v="0"/>
    <n v="103768.4"/>
    <n v="2"/>
    <x v="2"/>
    <n v="10376.84"/>
    <n v="4866.74"/>
    <n v="1"/>
    <s v="ELM10 LYS"/>
    <m/>
    <n v="10376.842860000001"/>
    <n v="0"/>
    <n v="70994"/>
  </r>
  <r>
    <x v="15"/>
    <s v="190-001744"/>
    <s v="Værløse Svømmehal, KV60"/>
    <n v="8933"/>
    <s v="0"/>
    <s v="Bi-måler El"/>
    <x v="123"/>
    <x v="1"/>
    <x v="3"/>
    <n v="5471.94"/>
    <n v="12"/>
    <s v="2012-05-08"/>
    <n v="0"/>
    <n v="0"/>
    <n v="54719.4"/>
    <n v="2"/>
    <x v="2"/>
    <n v="5471.94"/>
    <n v="2566.3200000000002"/>
    <n v="1"/>
    <s v="ELM5 VE04"/>
    <m/>
    <n v="5471.9362899999996"/>
    <n v="0"/>
    <n v="70995"/>
  </r>
  <r>
    <x v="15"/>
    <s v="190-001744"/>
    <s v="Værløse Svømmehal, KV60"/>
    <n v="8933"/>
    <s v="0"/>
    <s v="Bi-måler El"/>
    <x v="123"/>
    <x v="1"/>
    <x v="3"/>
    <n v="2762.63"/>
    <n v="12"/>
    <s v="2015-05-05"/>
    <n v="0"/>
    <n v="0"/>
    <n v="27626.3"/>
    <n v="2"/>
    <x v="2"/>
    <n v="2762.63"/>
    <n v="1295.6600000000001"/>
    <n v="1"/>
    <s v="ELM6 VE05"/>
    <m/>
    <n v="2762.6127499999998"/>
    <n v="0"/>
    <n v="70997"/>
  </r>
  <r>
    <x v="15"/>
    <s v="190-001744"/>
    <s v="Værløse Svømmehal, KV60"/>
    <n v="8933"/>
    <s v="0"/>
    <s v="Bi-måler El"/>
    <x v="123"/>
    <x v="1"/>
    <x v="3"/>
    <n v="54162.42"/>
    <n v="12"/>
    <s v="2015-05-05"/>
    <n v="0"/>
    <n v="0"/>
    <n v="541624.19999999995"/>
    <n v="2"/>
    <x v="2"/>
    <n v="54162.42"/>
    <n v="25402.18"/>
    <n v="1"/>
    <s v="ELM2 VE01"/>
    <m/>
    <n v="54162.416680000002"/>
    <n v="0"/>
    <n v="77913"/>
  </r>
  <r>
    <x v="15"/>
    <s v="190-001744"/>
    <s v="Værløse Svømmehal, KV60"/>
    <n v="8933"/>
    <s v="0"/>
    <s v="Bi-måler El"/>
    <x v="123"/>
    <x v="1"/>
    <x v="3"/>
    <n v="54823.11"/>
    <n v="12"/>
    <s v="2015-05-05"/>
    <n v="0"/>
    <n v="0"/>
    <n v="548231.1"/>
    <n v="2"/>
    <x v="2"/>
    <n v="54823.11"/>
    <n v="25712.04"/>
    <n v="1"/>
    <s v="ELM8 TB"/>
    <m/>
    <n v="54823.127460000003"/>
    <n v="0"/>
    <n v="70990"/>
  </r>
  <r>
    <x v="15"/>
    <s v="190-001744"/>
    <s v="Værløse Svømmehal, KV60"/>
    <n v="8933"/>
    <s v="0"/>
    <s v="Bi-måler El"/>
    <x v="123"/>
    <x v="1"/>
    <x v="3"/>
    <n v="22596.69"/>
    <n v="12"/>
    <s v="2014-02-03"/>
    <n v="0"/>
    <n v="0"/>
    <n v="225966.9"/>
    <n v="2"/>
    <x v="2"/>
    <n v="22596.69"/>
    <n v="10597.85"/>
    <n v="1"/>
    <s v="ELM3 VE02"/>
    <m/>
    <n v="22596.686259999999"/>
    <n v="0"/>
    <n v="70991"/>
  </r>
  <r>
    <x v="15"/>
    <s v="190-001744"/>
    <s v="Værløse Svømmehal, KV60"/>
    <n v="8933"/>
    <s v="0"/>
    <s v="Bi-måler El"/>
    <x v="123"/>
    <x v="1"/>
    <x v="3"/>
    <n v="10529.6"/>
    <n v="12"/>
    <s v="2014-07-02"/>
    <n v="0"/>
    <n v="0"/>
    <n v="105296"/>
    <n v="2"/>
    <x v="2"/>
    <n v="10529.6"/>
    <n v="4938.38"/>
    <n v="1"/>
    <s v="ELM4 VE03"/>
    <m/>
    <n v="10529.602929999999"/>
    <n v="0"/>
    <n v="70993"/>
  </r>
  <r>
    <x v="15"/>
    <s v="190-001744"/>
    <s v="Værløse Svømmehal, KV60"/>
    <n v="8933"/>
    <s v="0"/>
    <s v="Bi-måler El"/>
    <x v="123"/>
    <x v="1"/>
    <x v="3"/>
    <n v="8770.6200000000008"/>
    <n v="12"/>
    <s v="2015-05-05"/>
    <n v="0"/>
    <n v="0"/>
    <n v="87706.2"/>
    <n v="2"/>
    <x v="2"/>
    <n v="8770.6200000000008"/>
    <n v="4113.41"/>
    <n v="1"/>
    <s v="ELM11 RELAX"/>
    <m/>
    <n v="8770.6127500000002"/>
    <n v="0"/>
    <n v="70996"/>
  </r>
  <r>
    <x v="15"/>
    <s v="190-001744"/>
    <s v="Værløse Svømmehal, KV60"/>
    <n v="8933"/>
    <s v="0"/>
    <s v="Bi-måler El"/>
    <x v="123"/>
    <x v="1"/>
    <x v="3"/>
    <n v="20103.439999999999"/>
    <n v="12"/>
    <s v="2015-05-05"/>
    <n v="0"/>
    <n v="0"/>
    <n v="201034.4"/>
    <n v="2"/>
    <x v="2"/>
    <n v="20103.439999999999"/>
    <n v="9428.51"/>
    <n v="1"/>
    <s v="ELM12 OMKL."/>
    <m/>
    <n v="20103.436290000001"/>
    <n v="0"/>
    <n v="70998"/>
  </r>
  <r>
    <x v="15"/>
    <s v="190-001744"/>
    <s v="Værløse Svømmehal, KV60"/>
    <n v="8933"/>
    <s v="0"/>
    <s v="Bi-måler El"/>
    <x v="123"/>
    <x v="1"/>
    <x v="3"/>
    <n v="55305.06"/>
    <n v="12"/>
    <s v="2014-02-03"/>
    <n v="0"/>
    <n v="0"/>
    <n v="553050.6"/>
    <n v="2"/>
    <x v="2"/>
    <n v="55305.06"/>
    <n v="25938.06"/>
    <n v="1"/>
    <s v="ELM7 25M.BASS"/>
    <m/>
    <n v="55305.063719999998"/>
    <n v="0"/>
    <n v="70999"/>
  </r>
  <r>
    <x v="15"/>
    <s v="190-001744"/>
    <s v="Værløse Svømmehal, KV60"/>
    <n v="8933"/>
    <s v="0"/>
    <s v="Bi-måler El"/>
    <x v="123"/>
    <x v="1"/>
    <x v="4"/>
    <n v="21222.34"/>
    <n v="12"/>
    <s v="2014-02-03"/>
    <n v="0"/>
    <n v="0"/>
    <n v="212223.4"/>
    <n v="2"/>
    <x v="2"/>
    <n v="21222.34"/>
    <n v="9953.2900000000009"/>
    <n v="1"/>
    <s v="ELM3 VE02"/>
    <m/>
    <n v="21222.34706"/>
    <n v="0"/>
    <n v="70991"/>
  </r>
  <r>
    <x v="15"/>
    <s v="190-001744"/>
    <s v="Værløse Svømmehal, KV60"/>
    <n v="8933"/>
    <s v="0"/>
    <s v="Bi-måler El"/>
    <x v="123"/>
    <x v="1"/>
    <x v="4"/>
    <n v="22305.22"/>
    <n v="14"/>
    <s v="2015-05-05"/>
    <n v="0"/>
    <n v="0"/>
    <n v="223052.2"/>
    <n v="2"/>
    <x v="2"/>
    <n v="22305.22"/>
    <n v="10461.15"/>
    <n v="1"/>
    <s v="ELM9 VVB"/>
    <m/>
    <n v="22305.199990000001"/>
    <n v="0"/>
    <n v="70992"/>
  </r>
  <r>
    <x v="15"/>
    <s v="190-001744"/>
    <s v="Værløse Svømmehal, KV60"/>
    <n v="8933"/>
    <s v="0"/>
    <s v="Bi-måler El"/>
    <x v="123"/>
    <x v="1"/>
    <x v="4"/>
    <n v="28071.31"/>
    <n v="14"/>
    <s v="2015-05-05"/>
    <n v="0"/>
    <n v="0"/>
    <n v="280713.09999999998"/>
    <n v="2"/>
    <x v="2"/>
    <n v="28071.31"/>
    <n v="13165.45"/>
    <n v="1"/>
    <s v="ELM10 LYS"/>
    <m/>
    <n v="28071.314289999998"/>
    <n v="0"/>
    <n v="70994"/>
  </r>
  <r>
    <x v="15"/>
    <s v="190-001744"/>
    <s v="Værløse Svømmehal, KV60"/>
    <n v="8933"/>
    <s v="0"/>
    <s v="Bi-måler El"/>
    <x v="123"/>
    <x v="1"/>
    <x v="4"/>
    <n v="2341.29"/>
    <n v="12"/>
    <s v="2015-05-05"/>
    <n v="0"/>
    <n v="0"/>
    <n v="23412.9"/>
    <n v="2"/>
    <x v="2"/>
    <n v="2341.29"/>
    <n v="1098.05"/>
    <n v="1"/>
    <s v="ELM6 VE05"/>
    <m/>
    <n v="2341.28487"/>
    <n v="0"/>
    <n v="70997"/>
  </r>
  <r>
    <x v="15"/>
    <s v="190-001744"/>
    <s v="Værløse Svømmehal, KV60"/>
    <n v="8933"/>
    <s v="0"/>
    <s v="Bi-måler El"/>
    <x v="123"/>
    <x v="1"/>
    <x v="4"/>
    <n v="51514.879999999997"/>
    <n v="12"/>
    <s v="2014-02-03"/>
    <n v="0"/>
    <n v="0"/>
    <n v="515148.79999999999"/>
    <n v="2"/>
    <x v="2"/>
    <n v="51514.879999999997"/>
    <n v="24160.48"/>
    <n v="1"/>
    <s v="ELM7 25M.BASS"/>
    <m/>
    <n v="51514.881500000003"/>
    <n v="0"/>
    <n v="70999"/>
  </r>
  <r>
    <x v="15"/>
    <s v="190-001744"/>
    <s v="Værløse Svømmehal, KV60"/>
    <n v="8933"/>
    <s v="0"/>
    <s v="Bi-måler El"/>
    <x v="123"/>
    <x v="1"/>
    <x v="4"/>
    <n v="50543.360000000001"/>
    <n v="12"/>
    <s v="2015-05-05"/>
    <n v="0"/>
    <n v="0"/>
    <n v="505433.59999999998"/>
    <n v="2"/>
    <x v="2"/>
    <n v="50543.360000000001"/>
    <n v="23704.83"/>
    <n v="1"/>
    <s v="ELM8 TB"/>
    <m/>
    <n v="50543.36303"/>
    <n v="0"/>
    <n v="70990"/>
  </r>
  <r>
    <x v="15"/>
    <s v="190-001744"/>
    <s v="Værløse Svømmehal, KV60"/>
    <n v="8933"/>
    <s v="0"/>
    <s v="Bi-måler El"/>
    <x v="123"/>
    <x v="1"/>
    <x v="4"/>
    <n v="12955.66"/>
    <n v="12"/>
    <s v="2014-07-02"/>
    <n v="0"/>
    <n v="0"/>
    <n v="129556.6"/>
    <n v="2"/>
    <x v="2"/>
    <n v="12955.66"/>
    <n v="6076.21"/>
    <n v="1"/>
    <s v="ELM4 VE03"/>
    <m/>
    <n v="12955.675649999999"/>
    <n v="0"/>
    <n v="70993"/>
  </r>
  <r>
    <x v="15"/>
    <s v="190-001744"/>
    <s v="Værløse Svømmehal, KV60"/>
    <n v="8933"/>
    <s v="0"/>
    <s v="Bi-måler El"/>
    <x v="123"/>
    <x v="1"/>
    <x v="4"/>
    <n v="5444"/>
    <n v="12"/>
    <s v="2012-05-08"/>
    <n v="0"/>
    <n v="0"/>
    <n v="54440"/>
    <n v="2"/>
    <x v="2"/>
    <n v="5444"/>
    <n v="2553.2399999999998"/>
    <n v="1"/>
    <s v="ELM5 VE04"/>
    <m/>
    <n v="5443.98992"/>
    <n v="0"/>
    <n v="70995"/>
  </r>
  <r>
    <x v="15"/>
    <s v="190-001744"/>
    <s v="Værløse Svømmehal, KV60"/>
    <n v="8933"/>
    <s v="0"/>
    <s v="Bi-måler El"/>
    <x v="123"/>
    <x v="1"/>
    <x v="4"/>
    <n v="11011.25"/>
    <n v="12"/>
    <s v="2015-05-05"/>
    <n v="0"/>
    <n v="0"/>
    <n v="110112.5"/>
    <n v="2"/>
    <x v="2"/>
    <n v="11011.25"/>
    <n v="5164.29"/>
    <n v="1"/>
    <s v="ELM11 RELAX"/>
    <m/>
    <n v="11011.256299999999"/>
    <n v="0"/>
    <n v="70996"/>
  </r>
  <r>
    <x v="15"/>
    <s v="190-001744"/>
    <s v="Værløse Svømmehal, KV60"/>
    <n v="8933"/>
    <s v="0"/>
    <s v="Bi-måler El"/>
    <x v="123"/>
    <x v="1"/>
    <x v="4"/>
    <n v="28107.98"/>
    <n v="12"/>
    <s v="2015-05-05"/>
    <n v="0"/>
    <n v="0"/>
    <n v="281079.8"/>
    <n v="2"/>
    <x v="2"/>
    <n v="28107.98"/>
    <n v="13182.63"/>
    <n v="1"/>
    <s v="ELM12 OMKL."/>
    <m/>
    <n v="28107.975630000001"/>
    <n v="0"/>
    <n v="70998"/>
  </r>
  <r>
    <x v="15"/>
    <s v="190-001744"/>
    <s v="Værløse Svømmehal, KV60"/>
    <n v="8933"/>
    <s v="0"/>
    <s v="Bi-måler El"/>
    <x v="123"/>
    <x v="1"/>
    <x v="4"/>
    <n v="60316.4"/>
    <n v="12"/>
    <s v="2015-05-05"/>
    <n v="0"/>
    <n v="0"/>
    <n v="603164"/>
    <n v="2"/>
    <x v="2"/>
    <n v="60316.4"/>
    <n v="28288.38"/>
    <n v="1"/>
    <s v="ELM2 VE01"/>
    <m/>
    <n v="60316.4"/>
    <n v="0"/>
    <n v="77913"/>
  </r>
  <r>
    <x v="15"/>
    <s v="190-001744"/>
    <s v="Værløse Svømmehal, KV60"/>
    <n v="8933"/>
    <s v="0"/>
    <s v="Bi-måler El"/>
    <x v="123"/>
    <x v="1"/>
    <x v="5"/>
    <n v="19453.330000000002"/>
    <n v="11"/>
    <s v="2014-02-03"/>
    <n v="0"/>
    <n v="0"/>
    <n v="194533.3"/>
    <n v="2"/>
    <x v="2"/>
    <n v="19453.330000000002"/>
    <n v="9123.61"/>
    <n v="1"/>
    <s v="ELM3 VE02"/>
    <m/>
    <n v="19453.31612"/>
    <n v="0"/>
    <n v="70991"/>
  </r>
  <r>
    <x v="15"/>
    <s v="190-001744"/>
    <s v="Værløse Svømmehal, KV60"/>
    <n v="8933"/>
    <s v="0"/>
    <s v="Bi-måler El"/>
    <x v="123"/>
    <x v="1"/>
    <x v="5"/>
    <n v="39054.18"/>
    <n v="11"/>
    <s v="2015-05-05"/>
    <n v="0"/>
    <n v="0"/>
    <n v="390541.8"/>
    <n v="2"/>
    <x v="2"/>
    <n v="39054.18"/>
    <n v="18316.41"/>
    <n v="1"/>
    <s v="ELM10 LYS"/>
    <m/>
    <n v="39054.181559999997"/>
    <n v="0"/>
    <n v="70994"/>
  </r>
  <r>
    <x v="15"/>
    <s v="190-001744"/>
    <s v="Værløse Svømmehal, KV60"/>
    <n v="8933"/>
    <s v="0"/>
    <s v="Bi-måler El"/>
    <x v="123"/>
    <x v="1"/>
    <x v="5"/>
    <n v="12802.42"/>
    <n v="11"/>
    <s v="2015-05-05"/>
    <n v="0"/>
    <n v="0"/>
    <n v="128024.2"/>
    <n v="2"/>
    <x v="2"/>
    <n v="12802.42"/>
    <n v="6004.34"/>
    <n v="1"/>
    <s v="ELM11 RELAX"/>
    <m/>
    <n v="12802.42398"/>
    <n v="0"/>
    <n v="70996"/>
  </r>
  <r>
    <x v="15"/>
    <s v="190-001744"/>
    <s v="Værløse Svømmehal, KV60"/>
    <n v="8933"/>
    <s v="0"/>
    <s v="Bi-måler El"/>
    <x v="123"/>
    <x v="1"/>
    <x v="5"/>
    <n v="3044.63"/>
    <n v="11"/>
    <s v="2015-05-05"/>
    <n v="0"/>
    <n v="0"/>
    <n v="30446.3"/>
    <n v="2"/>
    <x v="2"/>
    <n v="3044.63"/>
    <n v="1427.92"/>
    <n v="1"/>
    <s v="ELM6 VE05"/>
    <m/>
    <n v="3044.6211800000001"/>
    <n v="0"/>
    <n v="70997"/>
  </r>
  <r>
    <x v="15"/>
    <s v="190-001744"/>
    <s v="Værløse Svømmehal, KV60"/>
    <n v="8933"/>
    <s v="0"/>
    <s v="Bi-måler El"/>
    <x v="123"/>
    <x v="1"/>
    <x v="5"/>
    <n v="63874.45"/>
    <n v="11"/>
    <s v="2014-02-03"/>
    <n v="0"/>
    <n v="0"/>
    <n v="638744.5"/>
    <n v="2"/>
    <x v="2"/>
    <n v="63874.45"/>
    <n v="29957.119999999999"/>
    <n v="1"/>
    <s v="ELM7 25M.BASS"/>
    <m/>
    <n v="63874.455300000001"/>
    <n v="0"/>
    <n v="70999"/>
  </r>
  <r>
    <x v="15"/>
    <s v="190-001744"/>
    <s v="Værløse Svømmehal, KV60"/>
    <n v="8933"/>
    <s v="0"/>
    <s v="Bi-måler El"/>
    <x v="123"/>
    <x v="1"/>
    <x v="5"/>
    <n v="58581.05"/>
    <n v="11"/>
    <s v="2015-05-05"/>
    <n v="0"/>
    <n v="0"/>
    <n v="585810.5"/>
    <n v="2"/>
    <x v="2"/>
    <n v="58581.05"/>
    <n v="27474.53"/>
    <n v="1"/>
    <s v="ELM8 TB"/>
    <m/>
    <n v="58581.052539999997"/>
    <n v="0"/>
    <n v="70990"/>
  </r>
  <r>
    <x v="15"/>
    <s v="190-001744"/>
    <s v="Værløse Svømmehal, KV60"/>
    <n v="8933"/>
    <s v="0"/>
    <s v="Bi-måler El"/>
    <x v="123"/>
    <x v="1"/>
    <x v="5"/>
    <n v="25365.61"/>
    <n v="11"/>
    <s v="2015-05-05"/>
    <n v="0"/>
    <n v="0"/>
    <n v="253656.1"/>
    <n v="2"/>
    <x v="2"/>
    <n v="25365.61"/>
    <n v="11896.47"/>
    <n v="1"/>
    <s v="ELM9 VVB"/>
    <m/>
    <n v="25365.607370000002"/>
    <n v="0"/>
    <n v="70992"/>
  </r>
  <r>
    <x v="15"/>
    <s v="190-001744"/>
    <s v="Værløse Svømmehal, KV60"/>
    <n v="8933"/>
    <s v="0"/>
    <s v="Bi-måler El"/>
    <x v="123"/>
    <x v="1"/>
    <x v="5"/>
    <n v="11948.72"/>
    <n v="10"/>
    <s v="2014-07-02"/>
    <n v="0"/>
    <n v="0"/>
    <n v="119487.2"/>
    <n v="2"/>
    <x v="2"/>
    <n v="11948.72"/>
    <n v="5603.93"/>
    <n v="1"/>
    <s v="ELM4 VE03"/>
    <m/>
    <n v="11948.713369999999"/>
    <n v="0"/>
    <n v="70993"/>
  </r>
  <r>
    <x v="15"/>
    <s v="190-001744"/>
    <s v="Værløse Svømmehal, KV60"/>
    <n v="8933"/>
    <s v="0"/>
    <s v="Bi-måler El"/>
    <x v="123"/>
    <x v="1"/>
    <x v="5"/>
    <n v="5833.14"/>
    <n v="11"/>
    <s v="2012-05-08"/>
    <n v="0"/>
    <n v="0"/>
    <n v="58331.4"/>
    <n v="2"/>
    <x v="2"/>
    <n v="5833.14"/>
    <n v="2735.72"/>
    <n v="1"/>
    <s v="ELM5 VE04"/>
    <m/>
    <n v="5833.1087399999997"/>
    <n v="0"/>
    <n v="70995"/>
  </r>
  <r>
    <x v="15"/>
    <s v="190-001744"/>
    <s v="Værløse Svømmehal, KV60"/>
    <n v="8933"/>
    <s v="0"/>
    <s v="Bi-måler El"/>
    <x v="123"/>
    <x v="1"/>
    <x v="5"/>
    <n v="30153"/>
    <n v="11"/>
    <s v="2015-05-05"/>
    <n v="0"/>
    <n v="0"/>
    <n v="301530"/>
    <n v="2"/>
    <x v="2"/>
    <n v="30153"/>
    <n v="14141.76"/>
    <n v="1"/>
    <s v="ELM12 OMKL."/>
    <m/>
    <n v="30153.010139999999"/>
    <n v="0"/>
    <n v="70998"/>
  </r>
  <r>
    <x v="15"/>
    <s v="190-001744"/>
    <s v="Værløse Svømmehal, KV60"/>
    <n v="8933"/>
    <s v="0"/>
    <s v="Bi-måler El"/>
    <x v="123"/>
    <x v="1"/>
    <x v="5"/>
    <n v="52905.96"/>
    <n v="11"/>
    <s v="2015-05-05"/>
    <n v="0"/>
    <n v="0"/>
    <n v="529059.6"/>
    <n v="2"/>
    <x v="2"/>
    <n v="52905.96"/>
    <n v="24812.89"/>
    <n v="1"/>
    <s v="ELM2 VE01"/>
    <m/>
    <n v="52905.954850000002"/>
    <n v="0"/>
    <n v="77913"/>
  </r>
  <r>
    <x v="15"/>
    <s v="190-001744"/>
    <s v="Værløse Svømmehal, KV60"/>
    <n v="8933"/>
    <s v="0"/>
    <s v="Bi-måler El"/>
    <x v="123"/>
    <x v="1"/>
    <x v="6"/>
    <n v="19807.349999999999"/>
    <n v="12"/>
    <s v="2014-02-03"/>
    <n v="0"/>
    <n v="0"/>
    <n v="198073.5"/>
    <n v="2"/>
    <x v="2"/>
    <n v="19807.349999999999"/>
    <n v="9289.64"/>
    <n v="1"/>
    <s v="ELM3 VE02"/>
    <m/>
    <n v="19807.35053"/>
    <n v="0"/>
    <n v="70991"/>
  </r>
  <r>
    <x v="15"/>
    <s v="190-001744"/>
    <s v="Værløse Svømmehal, KV60"/>
    <n v="8933"/>
    <s v="0"/>
    <s v="Bi-måler El"/>
    <x v="123"/>
    <x v="1"/>
    <x v="6"/>
    <n v="7230.21"/>
    <n v="11"/>
    <s v="2014-07-02"/>
    <n v="0"/>
    <n v="0"/>
    <n v="72302.100000000006"/>
    <n v="2"/>
    <x v="2"/>
    <n v="7230.21"/>
    <n v="3390.95"/>
    <n v="1"/>
    <s v="ELM4 VE03"/>
    <m/>
    <n v="7230.19139"/>
    <n v="0"/>
    <n v="70993"/>
  </r>
  <r>
    <x v="15"/>
    <s v="190-001744"/>
    <s v="Værløse Svømmehal, KV60"/>
    <n v="8933"/>
    <s v="0"/>
    <s v="Bi-måler El"/>
    <x v="123"/>
    <x v="1"/>
    <x v="6"/>
    <n v="41958.49"/>
    <n v="12"/>
    <s v="2015-05-05"/>
    <n v="0"/>
    <n v="0"/>
    <n v="419584.9"/>
    <n v="2"/>
    <x v="2"/>
    <n v="41958.49"/>
    <n v="19678.52"/>
    <n v="1"/>
    <s v="ELM10 LYS"/>
    <m/>
    <n v="41958.494619999998"/>
    <n v="0"/>
    <n v="70994"/>
  </r>
  <r>
    <x v="15"/>
    <s v="190-001744"/>
    <s v="Værløse Svømmehal, KV60"/>
    <n v="8933"/>
    <s v="0"/>
    <s v="Bi-måler El"/>
    <x v="123"/>
    <x v="1"/>
    <x v="6"/>
    <n v="11610.43"/>
    <n v="12"/>
    <s v="2015-05-05"/>
    <n v="0"/>
    <n v="0"/>
    <n v="116104.3"/>
    <n v="2"/>
    <x v="2"/>
    <n v="11610.43"/>
    <n v="5445.3"/>
    <n v="1"/>
    <s v="ELM11 RELAX"/>
    <m/>
    <n v="11610.423650000001"/>
    <n v="0"/>
    <n v="70996"/>
  </r>
  <r>
    <x v="15"/>
    <s v="190-001744"/>
    <s v="Værløse Svømmehal, KV60"/>
    <n v="8933"/>
    <s v="0"/>
    <s v="Bi-måler El"/>
    <x v="123"/>
    <x v="1"/>
    <x v="6"/>
    <n v="84398.19"/>
    <n v="12"/>
    <s v="2014-02-03"/>
    <n v="0"/>
    <n v="0"/>
    <n v="843981.9"/>
    <n v="2"/>
    <x v="2"/>
    <n v="84398.19"/>
    <n v="39582.74"/>
    <n v="1"/>
    <s v="ELM7 25M.BASS"/>
    <m/>
    <n v="84398.182790000006"/>
    <n v="0"/>
    <n v="70999"/>
  </r>
  <r>
    <x v="15"/>
    <s v="190-001744"/>
    <s v="Værløse Svømmehal, KV60"/>
    <n v="8933"/>
    <s v="0"/>
    <s v="Bi-måler El"/>
    <x v="123"/>
    <x v="1"/>
    <x v="6"/>
    <n v="25515.41"/>
    <n v="7"/>
    <s v="2008-06-11"/>
    <n v="0"/>
    <n v="0"/>
    <n v="255154.1"/>
    <n v="2"/>
    <x v="2"/>
    <n v="25515.41"/>
    <n v="11966.72"/>
    <n v="1"/>
    <s v="ELM2 VE01"/>
    <m/>
    <n v="25515.4"/>
    <n v="0"/>
    <n v="70989"/>
  </r>
  <r>
    <x v="15"/>
    <s v="190-001744"/>
    <s v="Værløse Svømmehal, KV60"/>
    <n v="8933"/>
    <s v="0"/>
    <s v="Bi-måler El"/>
    <x v="123"/>
    <x v="1"/>
    <x v="6"/>
    <n v="73325.350000000006"/>
    <n v="12"/>
    <s v="2015-05-05"/>
    <n v="0"/>
    <n v="0"/>
    <n v="733253.5"/>
    <n v="2"/>
    <x v="2"/>
    <n v="73325.350000000006"/>
    <n v="34389.589999999997"/>
    <n v="1"/>
    <s v="ELM8 TB"/>
    <m/>
    <n v="73325.356979999997"/>
    <n v="0"/>
    <n v="70990"/>
  </r>
  <r>
    <x v="15"/>
    <s v="190-001744"/>
    <s v="Værløse Svømmehal, KV60"/>
    <n v="8933"/>
    <s v="0"/>
    <s v="Bi-måler El"/>
    <x v="123"/>
    <x v="1"/>
    <x v="6"/>
    <n v="40863.06"/>
    <n v="12"/>
    <s v="2015-05-05"/>
    <n v="0"/>
    <n v="0"/>
    <n v="408630.6"/>
    <n v="2"/>
    <x v="2"/>
    <n v="40863.06"/>
    <n v="19164.79"/>
    <n v="1"/>
    <s v="ELM9 VVB"/>
    <m/>
    <n v="40863.06884"/>
    <n v="0"/>
    <n v="70992"/>
  </r>
  <r>
    <x v="15"/>
    <s v="190-001744"/>
    <s v="Værløse Svømmehal, KV60"/>
    <n v="8933"/>
    <s v="0"/>
    <s v="Bi-måler El"/>
    <x v="123"/>
    <x v="1"/>
    <x v="6"/>
    <n v="4475.1400000000003"/>
    <n v="12"/>
    <s v="2012-05-08"/>
    <n v="0"/>
    <n v="0"/>
    <n v="44751.4"/>
    <n v="2"/>
    <x v="2"/>
    <n v="4475.1400000000003"/>
    <n v="2098.84"/>
    <n v="1"/>
    <s v="ELM5 VE04"/>
    <m/>
    <n v="4475.1483799999996"/>
    <n v="0"/>
    <n v="70995"/>
  </r>
  <r>
    <x v="15"/>
    <s v="190-001744"/>
    <s v="Værløse Svømmehal, KV60"/>
    <n v="8933"/>
    <s v="0"/>
    <s v="Bi-måler El"/>
    <x v="123"/>
    <x v="1"/>
    <x v="6"/>
    <n v="2384.67"/>
    <n v="12"/>
    <s v="2015-05-05"/>
    <n v="0"/>
    <n v="0"/>
    <n v="23846.7"/>
    <n v="2"/>
    <x v="2"/>
    <n v="2384.67"/>
    <n v="1118.3900000000001"/>
    <n v="1"/>
    <s v="ELM6 VE05"/>
    <m/>
    <n v="2384.6645100000001"/>
    <n v="0"/>
    <n v="70997"/>
  </r>
  <r>
    <x v="15"/>
    <s v="190-001744"/>
    <s v="Værløse Svømmehal, KV60"/>
    <n v="8933"/>
    <s v="0"/>
    <s v="Bi-måler El"/>
    <x v="123"/>
    <x v="1"/>
    <x v="6"/>
    <n v="28167.040000000001"/>
    <n v="12"/>
    <s v="2015-05-05"/>
    <n v="0"/>
    <n v="0"/>
    <n v="281670.40000000002"/>
    <n v="2"/>
    <x v="2"/>
    <n v="28167.040000000001"/>
    <n v="13210.34"/>
    <n v="1"/>
    <s v="ELM12 OMKL."/>
    <m/>
    <n v="28167.02795"/>
    <n v="0"/>
    <n v="70998"/>
  </r>
  <r>
    <x v="15"/>
    <s v="190-001744"/>
    <s v="Værløse Svømmehal, KV60"/>
    <n v="8933"/>
    <s v="0"/>
    <s v="Bi-måler El"/>
    <x v="123"/>
    <x v="1"/>
    <x v="6"/>
    <n v="25429.65"/>
    <n v="7"/>
    <s v="2015-05-05"/>
    <n v="0"/>
    <n v="0"/>
    <n v="254296.5"/>
    <n v="2"/>
    <x v="2"/>
    <n v="25429.65"/>
    <n v="11926.51"/>
    <n v="1"/>
    <s v="ELM2 VE01"/>
    <m/>
    <n v="25429.64516"/>
    <n v="0"/>
    <n v="77913"/>
  </r>
  <r>
    <x v="15"/>
    <s v="190-001744"/>
    <s v="Værløse Svømmehal, KV60"/>
    <n v="8878"/>
    <m/>
    <s v="Værløse Svømmehal"/>
    <x v="123"/>
    <x v="0"/>
    <x v="0"/>
    <n v="539092"/>
    <n v="5"/>
    <m/>
    <n v="0"/>
    <n v="3615"/>
    <n v="58.537711000000002"/>
    <n v="2"/>
    <x v="2"/>
    <n v="211619.68"/>
    <n v="63485.9"/>
    <n v="0"/>
    <s v="1000387"/>
    <s v="74115285587"/>
    <n v="211619.68"/>
    <n v="0"/>
    <n v="76947"/>
  </r>
  <r>
    <x v="15"/>
    <s v="190-001744"/>
    <s v="Værløse Svømmehal, KV60"/>
    <n v="8878"/>
    <m/>
    <s v="Værløse Svømmehal"/>
    <x v="123"/>
    <x v="0"/>
    <x v="1"/>
    <n v="440955.34"/>
    <n v="12"/>
    <m/>
    <n v="0"/>
    <n v="3615"/>
    <n v="121.975973"/>
    <n v="2"/>
    <x v="2"/>
    <n v="440955.34"/>
    <n v="132286.60999999999"/>
    <n v="0"/>
    <s v="1000387"/>
    <s v="74115285587"/>
    <n v="440955.34"/>
    <n v="0"/>
    <n v="76947"/>
  </r>
  <r>
    <x v="15"/>
    <s v="190-001744"/>
    <s v="Værløse Svømmehal, KV60"/>
    <n v="8878"/>
    <m/>
    <s v="Værløse Svømmehal"/>
    <x v="123"/>
    <x v="0"/>
    <x v="2"/>
    <n v="441422.13"/>
    <n v="12"/>
    <m/>
    <n v="0"/>
    <n v="3615"/>
    <n v="122.10509500000001"/>
    <n v="2"/>
    <x v="2"/>
    <n v="441422.13"/>
    <n v="176568.86"/>
    <n v="0"/>
    <s v="1000387"/>
    <s v="74115285587"/>
    <n v="441422.13"/>
    <n v="0"/>
    <n v="76947"/>
  </r>
  <r>
    <x v="15"/>
    <s v="190-001744"/>
    <s v="Værløse Svømmehal, KV60"/>
    <n v="8878"/>
    <m/>
    <s v="Værløse Svømmehal"/>
    <x v="123"/>
    <x v="0"/>
    <x v="3"/>
    <n v="483448.52"/>
    <n v="12"/>
    <m/>
    <n v="0"/>
    <n v="3615"/>
    <n v="133.73033100000001"/>
    <n v="2"/>
    <x v="2"/>
    <n v="483448.52"/>
    <n v="226737.36"/>
    <n v="0"/>
    <s v="1000387"/>
    <s v="74115285587"/>
    <n v="483448.52"/>
    <n v="0"/>
    <n v="76947"/>
  </r>
  <r>
    <x v="15"/>
    <s v="190-001744"/>
    <s v="Værløse Svømmehal, KV60"/>
    <n v="8878"/>
    <m/>
    <s v="Værløse Svømmehal"/>
    <x v="123"/>
    <x v="0"/>
    <x v="4"/>
    <n v="521742.78"/>
    <n v="12"/>
    <m/>
    <n v="0"/>
    <n v="3615"/>
    <n v="144.323194"/>
    <n v="2"/>
    <x v="2"/>
    <n v="521742.78"/>
    <n v="244697.37"/>
    <n v="0"/>
    <s v="1000387"/>
    <s v="74115285587"/>
    <n v="521742.78"/>
    <n v="0"/>
    <n v="76947"/>
  </r>
  <r>
    <x v="15"/>
    <s v="190-001744"/>
    <s v="Værløse Svømmehal, KV60"/>
    <n v="8878"/>
    <m/>
    <s v="Værløse Svømmehal"/>
    <x v="123"/>
    <x v="0"/>
    <x v="5"/>
    <n v="560250.12"/>
    <n v="12"/>
    <m/>
    <n v="0"/>
    <n v="3615"/>
    <n v="154.974999"/>
    <n v="2"/>
    <x v="2"/>
    <n v="560250.12"/>
    <n v="262757.33"/>
    <n v="0"/>
    <s v="1000387"/>
    <s v="74115285587"/>
    <n v="560250.12"/>
    <n v="0"/>
    <n v="76947"/>
  </r>
  <r>
    <x v="15"/>
    <s v="190-001744"/>
    <s v="Værløse Svømmehal, KV60"/>
    <n v="8878"/>
    <m/>
    <s v="Værløse Svømmehal"/>
    <x v="123"/>
    <x v="0"/>
    <x v="6"/>
    <n v="374960.01"/>
    <n v="8"/>
    <m/>
    <n v="0"/>
    <n v="3615"/>
    <n v="103.720508"/>
    <n v="2"/>
    <x v="2"/>
    <n v="374960.01"/>
    <n v="175856.23"/>
    <n v="0"/>
    <s v="1000387"/>
    <s v="74115285587"/>
    <n v="374960.01"/>
    <n v="0"/>
    <n v="76947"/>
  </r>
  <r>
    <x v="15"/>
    <s v="190-001744"/>
    <s v="Værløse Svømmehal, KV60"/>
    <n v="8878"/>
    <m/>
    <s v="Værløse Svømmehal"/>
    <x v="123"/>
    <x v="0"/>
    <x v="6"/>
    <n v="218071.2"/>
    <n v="5"/>
    <s v="2008-05-01"/>
    <n v="0"/>
    <n v="3615"/>
    <n v="60.322313999999999"/>
    <n v="2"/>
    <x v="2"/>
    <n v="218071.2"/>
    <n v="102275.4"/>
    <n v="0"/>
    <s v="1000387"/>
    <m/>
    <n v="218071.2"/>
    <n v="0"/>
    <n v="70698"/>
  </r>
  <r>
    <x v="15"/>
    <s v="190-001744"/>
    <s v="Værløse Svømmehal, KV60"/>
    <n v="8880"/>
    <s v="0"/>
    <s v="BI-måler varme"/>
    <x v="123"/>
    <x v="1"/>
    <x v="7"/>
    <n v="183787.08"/>
    <n v="15"/>
    <s v="2015-03-31"/>
    <n v="0"/>
    <n v="0"/>
    <n v="1837870.8"/>
    <n v="1"/>
    <x v="10"/>
    <n v="210738.97"/>
    <n v="0"/>
    <n v="1"/>
    <s v="69298140 Recool"/>
    <m/>
    <n v="183787.05880999999"/>
    <n v="0"/>
    <n v="95759"/>
  </r>
  <r>
    <x v="15"/>
    <s v="190-001744"/>
    <s v="Værløse Svømmehal, KV60"/>
    <n v="8878"/>
    <m/>
    <s v="Værløse Svømmehal"/>
    <x v="123"/>
    <x v="1"/>
    <x v="7"/>
    <n v="1222964.29"/>
    <n v="12"/>
    <m/>
    <n v="0"/>
    <n v="3615"/>
    <n v="338.29334999999998"/>
    <n v="1"/>
    <x v="3"/>
    <n v="1379009.42"/>
    <n v="2529.56"/>
    <n v="1"/>
    <m/>
    <m/>
    <n v="35052"/>
    <n v="76948"/>
    <n v="76949"/>
  </r>
  <r>
    <x v="15"/>
    <s v="190-001744"/>
    <s v="Værløse Svømmehal, KV60"/>
    <n v="8878"/>
    <m/>
    <s v="Værløse Svømmehal"/>
    <x v="123"/>
    <x v="0"/>
    <x v="7"/>
    <n v="1148100"/>
    <n v="12"/>
    <m/>
    <n v="0"/>
    <n v="3615"/>
    <n v="317.58457499999997"/>
    <n v="1"/>
    <x v="5"/>
    <n v="1296847.1299999999"/>
    <n v="82998.210000000006"/>
    <n v="0"/>
    <s v="25496/2002"/>
    <m/>
    <n v="1148.0999999999999"/>
    <n v="0"/>
    <n v="76948"/>
  </r>
  <r>
    <x v="15"/>
    <s v="190-001744"/>
    <s v="Værløse Svømmehal, KV60"/>
    <n v="8932"/>
    <s v="0"/>
    <s v="Bi-måler vand"/>
    <x v="123"/>
    <x v="1"/>
    <x v="7"/>
    <n v="0"/>
    <n v="12"/>
    <s v="2015-05-05"/>
    <n v="0"/>
    <n v="0"/>
    <n v="0"/>
    <n v="3"/>
    <x v="0"/>
    <n v="0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3"/>
    <x v="1"/>
    <x v="7"/>
    <n v="349.92"/>
    <n v="12"/>
    <s v="2015-05-05"/>
    <n v="0"/>
    <n v="0"/>
    <n v="3499.2"/>
    <n v="3"/>
    <x v="0"/>
    <n v="349.92"/>
    <n v="279.95"/>
    <n v="1"/>
    <s v="405303 KVM8 VVB"/>
    <m/>
    <n v="349.92646000000002"/>
    <n v="0"/>
    <n v="70972"/>
  </r>
  <r>
    <x v="15"/>
    <s v="190-001744"/>
    <s v="Værløse Svømmehal, KV60"/>
    <n v="8932"/>
    <s v="0"/>
    <s v="Bi-måler vand"/>
    <x v="123"/>
    <x v="1"/>
    <x v="7"/>
    <n v="1865.21"/>
    <n v="12"/>
    <s v="2015-05-05"/>
    <n v="0"/>
    <n v="0"/>
    <n v="18652.099999999999"/>
    <n v="3"/>
    <x v="0"/>
    <n v="1865.21"/>
    <n v="1492.17"/>
    <n v="1"/>
    <s v="KVM4 SKYLLETANK"/>
    <m/>
    <n v="1865.21507"/>
    <n v="0"/>
    <n v="70973"/>
  </r>
  <r>
    <x v="15"/>
    <s v="190-001744"/>
    <s v="Værløse Svømmehal, KV60"/>
    <n v="8932"/>
    <s v="0"/>
    <s v="Bi-måler vand"/>
    <x v="123"/>
    <x v="1"/>
    <x v="7"/>
    <n v="902.44"/>
    <n v="12"/>
    <s v="2015-05-05"/>
    <n v="0"/>
    <n v="0"/>
    <n v="9024.4"/>
    <n v="3"/>
    <x v="0"/>
    <n v="902.44"/>
    <n v="0"/>
    <n v="1"/>
    <s v="405503 KVM3 TB"/>
    <m/>
    <n v="902.45038"/>
    <n v="0"/>
    <n v="70974"/>
  </r>
  <r>
    <x v="15"/>
    <s v="190-001744"/>
    <s v="Værløse Svømmehal, KV60"/>
    <n v="8932"/>
    <s v="0"/>
    <s v="Bi-måler vand"/>
    <x v="123"/>
    <x v="1"/>
    <x v="7"/>
    <n v="1"/>
    <n v="11"/>
    <s v="2015-05-05"/>
    <n v="0"/>
    <n v="0"/>
    <n v="10"/>
    <n v="3"/>
    <x v="0"/>
    <n v="1"/>
    <n v="0"/>
    <n v="1"/>
    <s v="40061501 KVM5 TB"/>
    <m/>
    <n v="1"/>
    <n v="0"/>
    <n v="70975"/>
  </r>
  <r>
    <x v="15"/>
    <s v="190-001744"/>
    <s v="Værløse Svømmehal, KV60"/>
    <n v="8932"/>
    <s v="0"/>
    <s v="Bi-måler vand"/>
    <x v="123"/>
    <x v="1"/>
    <x v="7"/>
    <n v="562.45000000000005"/>
    <n v="12"/>
    <s v="2015-05-05"/>
    <n v="0"/>
    <n v="0"/>
    <n v="5624.5"/>
    <n v="3"/>
    <x v="0"/>
    <n v="562.45000000000005"/>
    <n v="0"/>
    <n v="1"/>
    <s v="405403 KVM6 25M"/>
    <m/>
    <n v="562.45406000000003"/>
    <n v="0"/>
    <n v="70976"/>
  </r>
  <r>
    <x v="15"/>
    <s v="190-001744"/>
    <s v="Værløse Svømmehal, KV60"/>
    <n v="8932"/>
    <s v="0"/>
    <s v="Bi-måler vand"/>
    <x v="123"/>
    <x v="1"/>
    <x v="7"/>
    <n v="0"/>
    <n v="12"/>
    <s v="2015-05-05"/>
    <n v="0"/>
    <n v="0"/>
    <n v="0"/>
    <n v="3"/>
    <x v="0"/>
    <n v="0"/>
    <n v="0"/>
    <n v="1"/>
    <s v="40061601 KVM7 25M"/>
    <m/>
    <n v="0"/>
    <n v="0"/>
    <n v="70977"/>
  </r>
  <r>
    <x v="15"/>
    <s v="190-001744"/>
    <s v="Værløse Svømmehal, KV60"/>
    <n v="8878"/>
    <m/>
    <s v="Værløse Svømmehal"/>
    <x v="123"/>
    <x v="1"/>
    <x v="7"/>
    <n v="4405.3999999999996"/>
    <n v="12"/>
    <m/>
    <n v="0"/>
    <n v="3615"/>
    <n v="1.21861"/>
    <n v="3"/>
    <x v="0"/>
    <n v="4405.3999999999996"/>
    <n v="3524.32"/>
    <n v="1"/>
    <s v="31828725 BV"/>
    <m/>
    <n v="4405.3999999999996"/>
    <n v="0"/>
    <n v="76950"/>
  </r>
  <r>
    <x v="15"/>
    <s v="190-001744"/>
    <s v="Værløse Svømmehal, KV60"/>
    <n v="8878"/>
    <m/>
    <s v="Værløse Svømmehal"/>
    <x v="123"/>
    <x v="0"/>
    <x v="7"/>
    <n v="13068.72"/>
    <n v="12"/>
    <m/>
    <n v="0"/>
    <n v="3615"/>
    <n v="3.6150359999999999"/>
    <n v="3"/>
    <x v="0"/>
    <n v="13068.72"/>
    <n v="10454.98"/>
    <n v="0"/>
    <s v="31039727"/>
    <m/>
    <n v="13068.72"/>
    <n v="0"/>
    <n v="76951"/>
  </r>
  <r>
    <x v="15"/>
    <s v="190-001744"/>
    <s v="Værløse Svømmehal, KV60"/>
    <n v="8880"/>
    <s v="0"/>
    <s v="BI-måler varme"/>
    <x v="123"/>
    <x v="1"/>
    <x v="7"/>
    <n v="531296.31999999995"/>
    <n v="12"/>
    <s v="2015-05-05"/>
    <n v="0"/>
    <n v="0"/>
    <n v="5312963.2"/>
    <n v="1"/>
    <x v="1"/>
    <n v="636232.85"/>
    <n v="40718.910000000003"/>
    <n v="1"/>
    <s v="4372281 ME1 VE01"/>
    <m/>
    <n v="531296.32354000001"/>
    <n v="0"/>
    <n v="70979"/>
  </r>
  <r>
    <x v="15"/>
    <s v="190-001744"/>
    <s v="Værløse Svømmehal, KV60"/>
    <n v="8880"/>
    <s v="0"/>
    <s v="BI-måler varme"/>
    <x v="123"/>
    <x v="1"/>
    <x v="7"/>
    <n v="5181.79"/>
    <n v="12"/>
    <s v="2015-05-06"/>
    <n v="0"/>
    <n v="0"/>
    <n v="51817.9"/>
    <n v="1"/>
    <x v="1"/>
    <n v="6100.54"/>
    <n v="390.43"/>
    <n v="1"/>
    <s v="4372267 ME5 VE05"/>
    <m/>
    <n v="5181.7941199999996"/>
    <n v="0"/>
    <n v="70982"/>
  </r>
  <r>
    <x v="15"/>
    <s v="190-001744"/>
    <s v="Værløse Svømmehal, KV60"/>
    <n v="8933"/>
    <s v="0"/>
    <s v="Bi-måler El"/>
    <x v="123"/>
    <x v="1"/>
    <x v="7"/>
    <n v="45761.1"/>
    <n v="12"/>
    <s v="2015-05-05"/>
    <n v="0"/>
    <n v="0"/>
    <n v="457611"/>
    <n v="2"/>
    <x v="2"/>
    <n v="45761.1"/>
    <n v="13728.33"/>
    <n v="1"/>
    <s v="ELM8 TB"/>
    <m/>
    <n v="45761.097430000002"/>
    <n v="0"/>
    <n v="70990"/>
  </r>
  <r>
    <x v="15"/>
    <s v="190-001744"/>
    <s v="Værløse Svømmehal, KV60"/>
    <n v="8880"/>
    <s v="0"/>
    <s v="BI-måler varme"/>
    <x v="123"/>
    <x v="1"/>
    <x v="7"/>
    <n v="3580.8"/>
    <n v="12"/>
    <s v="2015-05-05"/>
    <n v="0"/>
    <n v="0"/>
    <n v="35808"/>
    <n v="1"/>
    <x v="1"/>
    <n v="4265.34"/>
    <n v="272.99"/>
    <n v="1"/>
    <s v="4372274 ME3 VE03"/>
    <m/>
    <n v="3580.8051500000001"/>
    <n v="0"/>
    <n v="70984"/>
  </r>
  <r>
    <x v="15"/>
    <s v="190-001744"/>
    <s v="Værløse Svømmehal, KV60"/>
    <n v="8880"/>
    <s v="0"/>
    <s v="BI-måler varme"/>
    <x v="123"/>
    <x v="1"/>
    <x v="7"/>
    <n v="107963.94"/>
    <n v="12"/>
    <s v="2015-05-05"/>
    <n v="0"/>
    <n v="0"/>
    <n v="1079639.3999999999"/>
    <n v="1"/>
    <x v="1"/>
    <n v="131223.5"/>
    <n v="8398.31"/>
    <n v="1"/>
    <s v="4372275 ME11 VVB"/>
    <m/>
    <n v="107963.94852999999"/>
    <n v="0"/>
    <n v="70987"/>
  </r>
  <r>
    <x v="15"/>
    <s v="190-001744"/>
    <s v="Værløse Svømmehal, KV60"/>
    <n v="8880"/>
    <s v="0"/>
    <s v="BI-måler varme"/>
    <x v="123"/>
    <x v="1"/>
    <x v="7"/>
    <n v="82168.320000000007"/>
    <n v="12"/>
    <s v="2015-05-05"/>
    <n v="0"/>
    <n v="0"/>
    <n v="821683.19999999995"/>
    <n v="1"/>
    <x v="1"/>
    <n v="98178.81"/>
    <n v="12370.52"/>
    <n v="1"/>
    <s v="4372271-ME2 VE02"/>
    <m/>
    <n v="82168.327210000003"/>
    <n v="0"/>
    <n v="70702"/>
  </r>
  <r>
    <x v="15"/>
    <s v="190-001744"/>
    <s v="Værløse Svømmehal, KV60"/>
    <n v="8880"/>
    <s v="0"/>
    <s v="BI-måler varme"/>
    <x v="123"/>
    <x v="1"/>
    <x v="7"/>
    <n v="32365.22"/>
    <n v="12"/>
    <s v="2015-05-05"/>
    <n v="0"/>
    <n v="0"/>
    <n v="323652.2"/>
    <n v="1"/>
    <x v="1"/>
    <n v="37758.26"/>
    <n v="2416.5300000000002"/>
    <n v="1"/>
    <s v="4378476 ME8 25M"/>
    <m/>
    <n v="32365.220580000001"/>
    <n v="0"/>
    <n v="70978"/>
  </r>
  <r>
    <x v="15"/>
    <s v="190-001744"/>
    <s v="Værløse Svømmehal, KV60"/>
    <n v="8880"/>
    <s v="0"/>
    <s v="BI-måler varme"/>
    <x v="123"/>
    <x v="1"/>
    <x v="7"/>
    <n v="13740.68"/>
    <n v="12"/>
    <s v="2015-05-05"/>
    <n v="0"/>
    <n v="0"/>
    <n v="137406.79999999999"/>
    <n v="1"/>
    <x v="1"/>
    <n v="16708.02"/>
    <n v="1069.32"/>
    <n v="1"/>
    <s v="4376014 ME7 RA01"/>
    <m/>
    <n v="13740.68751"/>
    <n v="0"/>
    <n v="70981"/>
  </r>
  <r>
    <x v="15"/>
    <s v="190-001744"/>
    <s v="Værløse Svømmehal, KV60"/>
    <n v="8880"/>
    <s v="0"/>
    <s v="BI-måler varme"/>
    <x v="123"/>
    <x v="1"/>
    <x v="7"/>
    <n v="32.61"/>
    <n v="12"/>
    <s v="2015-05-05"/>
    <n v="0"/>
    <n v="0"/>
    <n v="326.10000000000002"/>
    <n v="1"/>
    <x v="1"/>
    <n v="38.68"/>
    <n v="2.4700000000000002"/>
    <n v="1"/>
    <s v="4372265 ME4 VE04"/>
    <m/>
    <n v="32.606619999999999"/>
    <n v="0"/>
    <n v="70983"/>
  </r>
  <r>
    <x v="15"/>
    <s v="190-001744"/>
    <s v="Værløse Svømmehal, KV60"/>
    <n v="8880"/>
    <s v="0"/>
    <s v="BI-måler varme"/>
    <x v="123"/>
    <x v="1"/>
    <x v="7"/>
    <n v="121796.55"/>
    <n v="12"/>
    <s v="2015-05-05"/>
    <n v="0"/>
    <n v="0"/>
    <n v="1217965.5"/>
    <n v="1"/>
    <x v="1"/>
    <n v="142220.38"/>
    <n v="9102.1"/>
    <n v="1"/>
    <s v="4372276 ME9 TB"/>
    <m/>
    <n v="121796.57172000001"/>
    <n v="0"/>
    <n v="70986"/>
  </r>
  <r>
    <x v="15"/>
    <s v="190-001744"/>
    <s v="Værløse Svømmehal, KV60"/>
    <n v="8880"/>
    <s v="0"/>
    <s v="BI-måler varme"/>
    <x v="123"/>
    <x v="1"/>
    <x v="7"/>
    <n v="5879.86"/>
    <n v="12"/>
    <s v="2015-05-05"/>
    <n v="0"/>
    <n v="0"/>
    <n v="58798.6"/>
    <n v="1"/>
    <x v="1"/>
    <n v="7070.57"/>
    <n v="452.53"/>
    <n v="1"/>
    <s v="4376015 ME10 GV01"/>
    <m/>
    <n v="5879.8602799999999"/>
    <n v="0"/>
    <n v="70988"/>
  </r>
  <r>
    <x v="15"/>
    <s v="190-001744"/>
    <s v="Værløse Svømmehal, KV60"/>
    <n v="8933"/>
    <s v="0"/>
    <s v="Bi-måler El"/>
    <x v="123"/>
    <x v="1"/>
    <x v="7"/>
    <n v="4644.4399999999996"/>
    <n v="7"/>
    <s v="2014-07-02"/>
    <n v="0"/>
    <n v="0"/>
    <n v="46444.4"/>
    <n v="2"/>
    <x v="2"/>
    <n v="4644.4399999999996"/>
    <n v="1393.33"/>
    <n v="1"/>
    <s v="ELM4 VE03"/>
    <m/>
    <n v="4644.4375"/>
    <n v="0"/>
    <n v="70993"/>
  </r>
  <r>
    <x v="15"/>
    <s v="190-001744"/>
    <s v="Værløse Svømmehal, KV60"/>
    <n v="8933"/>
    <s v="0"/>
    <s v="Bi-måler El"/>
    <x v="123"/>
    <x v="1"/>
    <x v="7"/>
    <n v="5694.26"/>
    <n v="12"/>
    <s v="2015-05-05"/>
    <n v="0"/>
    <n v="0"/>
    <n v="56942.6"/>
    <n v="2"/>
    <x v="2"/>
    <n v="5694.26"/>
    <n v="1708.29"/>
    <n v="1"/>
    <s v="ELM11 RELAX"/>
    <m/>
    <n v="5694.2739099999999"/>
    <n v="0"/>
    <n v="70996"/>
  </r>
  <r>
    <x v="15"/>
    <s v="190-001744"/>
    <s v="Værløse Svømmehal, KV60"/>
    <n v="8933"/>
    <s v="0"/>
    <s v="Bi-måler El"/>
    <x v="123"/>
    <x v="1"/>
    <x v="7"/>
    <n v="9699.6"/>
    <n v="12"/>
    <s v="2015-05-05"/>
    <n v="0"/>
    <n v="0"/>
    <n v="96996"/>
    <n v="2"/>
    <x v="2"/>
    <n v="9699.6"/>
    <n v="2909.88"/>
    <n v="1"/>
    <s v="ELM12 OMKL."/>
    <m/>
    <n v="9699.5974200000001"/>
    <n v="0"/>
    <n v="70998"/>
  </r>
  <r>
    <x v="15"/>
    <s v="190-001744"/>
    <s v="Værløse Svømmehal, KV60"/>
    <n v="8933"/>
    <s v="0"/>
    <s v="Bi-måler El"/>
    <x v="123"/>
    <x v="1"/>
    <x v="7"/>
    <n v="71016.53"/>
    <n v="12"/>
    <s v="2015-05-05"/>
    <n v="0"/>
    <n v="0"/>
    <n v="710165.3"/>
    <n v="2"/>
    <x v="2"/>
    <n v="71016.53"/>
    <n v="21304.959999999999"/>
    <n v="1"/>
    <s v="ELM2 VE01"/>
    <m/>
    <n v="71016.536760000003"/>
    <n v="0"/>
    <n v="77913"/>
  </r>
  <r>
    <x v="15"/>
    <s v="190-001744"/>
    <s v="Værløse Svømmehal, KV60"/>
    <n v="8933"/>
    <s v="0"/>
    <s v="Bi-måler El"/>
    <x v="123"/>
    <x v="1"/>
    <x v="7"/>
    <n v="0"/>
    <n v="2"/>
    <s v="2014-02-03"/>
    <n v="0"/>
    <n v="0"/>
    <n v="0"/>
    <n v="2"/>
    <x v="2"/>
    <n v="0"/>
    <n v="0"/>
    <n v="1"/>
    <s v="ELM3 VE02"/>
    <m/>
    <n v="0"/>
    <n v="0"/>
    <n v="70991"/>
  </r>
  <r>
    <x v="15"/>
    <s v="190-001744"/>
    <s v="Værløse Svømmehal, KV60"/>
    <n v="8933"/>
    <s v="0"/>
    <s v="Bi-måler El"/>
    <x v="123"/>
    <x v="1"/>
    <x v="7"/>
    <n v="27942.59"/>
    <n v="12"/>
    <s v="2015-05-05"/>
    <n v="0"/>
    <n v="0"/>
    <n v="279425.90000000002"/>
    <n v="2"/>
    <x v="2"/>
    <n v="27942.59"/>
    <n v="8382.7800000000007"/>
    <n v="1"/>
    <s v="ELM9 VVB"/>
    <m/>
    <n v="27942.606619999999"/>
    <n v="0"/>
    <n v="70992"/>
  </r>
  <r>
    <x v="15"/>
    <s v="190-001744"/>
    <s v="Værløse Svømmehal, KV60"/>
    <n v="8933"/>
    <s v="0"/>
    <s v="Bi-måler El"/>
    <x v="123"/>
    <x v="1"/>
    <x v="7"/>
    <n v="5051.3500000000004"/>
    <n v="12"/>
    <s v="2015-05-05"/>
    <n v="0"/>
    <n v="0"/>
    <n v="50513.5"/>
    <n v="2"/>
    <x v="2"/>
    <n v="5051.3500000000004"/>
    <n v="1515.4"/>
    <n v="1"/>
    <s v="ELM10 LYS"/>
    <m/>
    <n v="5051.3511200000003"/>
    <n v="0"/>
    <n v="70994"/>
  </r>
  <r>
    <x v="15"/>
    <s v="190-001744"/>
    <s v="Værløse Svømmehal, KV60"/>
    <n v="8933"/>
    <s v="0"/>
    <s v="Bi-måler El"/>
    <x v="123"/>
    <x v="1"/>
    <x v="7"/>
    <n v="3738.67"/>
    <n v="12"/>
    <s v="2015-05-05"/>
    <n v="0"/>
    <n v="0"/>
    <n v="37386.699999999997"/>
    <n v="2"/>
    <x v="2"/>
    <n v="3738.67"/>
    <n v="1121.6099999999999"/>
    <n v="1"/>
    <s v="ELM6 VE05"/>
    <m/>
    <n v="3738.6893399999999"/>
    <n v="0"/>
    <n v="70997"/>
  </r>
  <r>
    <x v="15"/>
    <s v="190-001744"/>
    <s v="Værløse Svømmehal, KV60"/>
    <n v="8933"/>
    <s v="0"/>
    <s v="Bi-måler El"/>
    <x v="123"/>
    <x v="1"/>
    <x v="7"/>
    <n v="6038.62"/>
    <n v="2"/>
    <s v="2014-02-03"/>
    <n v="0"/>
    <n v="0"/>
    <n v="60386.2"/>
    <n v="2"/>
    <x v="2"/>
    <n v="6038.62"/>
    <n v="1811.58"/>
    <n v="1"/>
    <s v="ELM7 25M.BASS"/>
    <m/>
    <n v="6038.625"/>
    <n v="0"/>
    <n v="70999"/>
  </r>
  <r>
    <x v="15"/>
    <s v="190-001744"/>
    <s v="Værløse Svømmehal, KV60"/>
    <n v="8933"/>
    <s v="0"/>
    <s v="Bi-måler El"/>
    <x v="123"/>
    <x v="1"/>
    <x v="7"/>
    <n v="40040.720000000001"/>
    <n v="13"/>
    <s v="2015-05-05"/>
    <n v="0"/>
    <n v="0"/>
    <n v="400407.2"/>
    <n v="2"/>
    <x v="2"/>
    <n v="40040.720000000001"/>
    <n v="12012.22"/>
    <n v="1"/>
    <s v="Recool"/>
    <m/>
    <n v="40040.705880000001"/>
    <n v="0"/>
    <n v="95931"/>
  </r>
  <r>
    <x v="15"/>
    <s v="190-001744"/>
    <s v="Værløse Svømmehal, KV60"/>
    <n v="8878"/>
    <m/>
    <s v="Værløse Svømmehal"/>
    <x v="123"/>
    <x v="0"/>
    <x v="7"/>
    <n v="496546.65"/>
    <n v="12"/>
    <m/>
    <n v="0"/>
    <n v="3615"/>
    <n v="137.35350299999999"/>
    <n v="2"/>
    <x v="2"/>
    <n v="496546.65"/>
    <n v="148964"/>
    <n v="0"/>
    <s v="1000387"/>
    <s v="74115285587"/>
    <n v="496546.65"/>
    <n v="0"/>
    <n v="76947"/>
  </r>
  <r>
    <x v="16"/>
    <m/>
    <s v="Pumpestation Søndersø Bal 70R"/>
    <n v="14008"/>
    <s v="0"/>
    <s v="Pumpestation Søndersø Bal 70R"/>
    <x v="124"/>
    <x v="0"/>
    <x v="7"/>
    <n v="2712.87"/>
    <n v="4"/>
    <s v="2015-02-11"/>
    <n v="0"/>
    <n v="10"/>
    <n v="268.60099000000002"/>
    <n v="2"/>
    <x v="2"/>
    <n v="2712.87"/>
    <n v="813.86"/>
    <n v="0"/>
    <s v="4164771"/>
    <m/>
    <n v="2712.8623899999998"/>
    <n v="0"/>
    <n v="94464"/>
  </r>
  <r>
    <x v="16"/>
    <m/>
    <s v="Pumpestation Søndersø Bal 70R"/>
    <n v="14008"/>
    <s v="0"/>
    <s v="Pumpestation Søndersø Bal 70R"/>
    <x v="124"/>
    <x v="0"/>
    <x v="0"/>
    <n v="2132"/>
    <n v="1"/>
    <s v="2015-02-11"/>
    <n v="0"/>
    <n v="10"/>
    <n v="29.755445000000002"/>
    <n v="2"/>
    <x v="2"/>
    <n v="300.52999999999997"/>
    <n v="90.16"/>
    <n v="0"/>
    <s v="4164771"/>
    <m/>
    <n v="300.52999999999997"/>
    <n v="0"/>
    <n v="94464"/>
  </r>
  <r>
    <x v="16"/>
    <m/>
    <s v="Pumpestation Søndersø Bal 70R"/>
    <n v="14008"/>
    <s v="0"/>
    <s v="Pumpestation Søndersø Bal 70R"/>
    <x v="124"/>
    <x v="0"/>
    <x v="1"/>
    <n v="1495.61"/>
    <n v="2"/>
    <s v="2015-02-11"/>
    <n v="0"/>
    <n v="10"/>
    <n v="148.080198"/>
    <n v="2"/>
    <x v="2"/>
    <n v="1495.61"/>
    <n v="448.68"/>
    <n v="0"/>
    <s v="4164771"/>
    <m/>
    <n v="1495.6075900000001"/>
    <n v="0"/>
    <n v="94464"/>
  </r>
  <r>
    <x v="17"/>
    <m/>
    <s v="Ballerupvej 29 - Udlejet"/>
    <n v="10275"/>
    <m/>
    <s v="Ballerupvej 29"/>
    <x v="125"/>
    <x v="1"/>
    <x v="7"/>
    <n v="10497.57"/>
    <n v="12"/>
    <m/>
    <n v="0"/>
    <n v="551"/>
    <n v="19.048393999999998"/>
    <n v="2"/>
    <x v="2"/>
    <n v="10497.57"/>
    <n v="3149.27"/>
    <n v="0"/>
    <s v="814920"/>
    <s v="74110485982"/>
    <n v="10497.559300000001"/>
    <n v="0"/>
    <n v="92619"/>
  </r>
  <r>
    <x v="17"/>
    <m/>
    <s v="Ballerupvej 29 - Udlejet"/>
    <n v="10275"/>
    <m/>
    <s v="Ballerupvej 29"/>
    <x v="125"/>
    <x v="1"/>
    <x v="7"/>
    <n v="361.2"/>
    <n v="12"/>
    <s v="2011-11-29"/>
    <n v="0"/>
    <n v="551"/>
    <n v="0.655416"/>
    <n v="3"/>
    <x v="0"/>
    <n v="361.2"/>
    <n v="288.95999999999998"/>
    <n v="0"/>
    <s v="40790"/>
    <m/>
    <n v="361.2"/>
    <n v="0"/>
    <n v="77669"/>
  </r>
  <r>
    <x v="17"/>
    <m/>
    <s v="Ballerupvej 29 - Udlejet"/>
    <n v="10275"/>
    <m/>
    <s v="Ballerupvej 29"/>
    <x v="125"/>
    <x v="1"/>
    <x v="7"/>
    <n v="74784.92"/>
    <n v="12"/>
    <s v="2011-11-29"/>
    <n v="0"/>
    <n v="551"/>
    <n v="135.701179"/>
    <n v="1"/>
    <x v="4"/>
    <n v="74784.92"/>
    <n v="15815.62"/>
    <n v="0"/>
    <s v="1540749"/>
    <s v="98001309450"/>
    <n v="6924.53"/>
    <n v="0"/>
    <n v="77675"/>
  </r>
  <r>
    <x v="17"/>
    <m/>
    <s v="Ballerupvej 29A UDLEJET"/>
    <n v="10276"/>
    <m/>
    <s v="Ballerupvej 29A"/>
    <x v="126"/>
    <x v="1"/>
    <x v="7"/>
    <n v="4012.98"/>
    <n v="12"/>
    <m/>
    <n v="0"/>
    <n v="0"/>
    <n v="40129.800000000003"/>
    <n v="2"/>
    <x v="2"/>
    <n v="4012.98"/>
    <n v="1882.1"/>
    <n v="0"/>
    <m/>
    <m/>
    <n v="4012.9987000000001"/>
    <n v="0"/>
    <n v="90594"/>
  </r>
  <r>
    <x v="17"/>
    <m/>
    <s v="Ballerupvej 29A UDLEJET"/>
    <n v="10276"/>
    <m/>
    <s v="Ballerupvej 29A"/>
    <x v="126"/>
    <x v="1"/>
    <x v="7"/>
    <n v="11406"/>
    <n v="12"/>
    <s v="2011-11-29"/>
    <n v="0"/>
    <n v="0"/>
    <n v="114060"/>
    <n v="1"/>
    <x v="4"/>
    <n v="11406"/>
    <n v="2412.16"/>
    <n v="0"/>
    <s v="1553895"/>
    <s v="98001309467"/>
    <n v="1056.1099999999999"/>
    <n v="0"/>
    <n v="77670"/>
  </r>
  <r>
    <x v="17"/>
    <m/>
    <s v="Ballerupvej 31 UDLEJET"/>
    <n v="10277"/>
    <m/>
    <s v="Ballerupvej 31"/>
    <x v="127"/>
    <x v="1"/>
    <x v="7"/>
    <n v="81.2"/>
    <n v="12"/>
    <s v="2013-05-07"/>
    <n v="0"/>
    <n v="304"/>
    <n v="0.267017"/>
    <n v="3"/>
    <x v="0"/>
    <n v="81.2"/>
    <n v="64.959999999999994"/>
    <n v="0"/>
    <s v="40789"/>
    <m/>
    <n v="81.2"/>
    <n v="0"/>
    <n v="77673"/>
  </r>
  <r>
    <x v="17"/>
    <m/>
    <s v="Ballerupvej 31 UDLEJET"/>
    <n v="10277"/>
    <m/>
    <s v="Ballerupvej 31"/>
    <x v="127"/>
    <x v="1"/>
    <x v="7"/>
    <n v="6323.73"/>
    <n v="12"/>
    <s v="2013-05-07"/>
    <n v="0"/>
    <n v="304"/>
    <n v="20.794902"/>
    <n v="2"/>
    <x v="2"/>
    <n v="6323.73"/>
    <n v="1897.13"/>
    <n v="0"/>
    <s v="482983-33501 / 1096152"/>
    <s v="74110499637"/>
    <n v="6323.7349999999997"/>
    <n v="0"/>
    <n v="77671"/>
  </r>
  <r>
    <x v="17"/>
    <m/>
    <s v="Ballerupvej 31 UDLEJET"/>
    <n v="10277"/>
    <m/>
    <s v="Ballerupvej 31"/>
    <x v="127"/>
    <x v="1"/>
    <x v="7"/>
    <n v="26030.82"/>
    <n v="12"/>
    <s v="2013-05-07"/>
    <n v="0"/>
    <n v="304"/>
    <n v="85.599538999999993"/>
    <n v="1"/>
    <x v="6"/>
    <n v="26030.82"/>
    <n v="5308.42"/>
    <n v="0"/>
    <s v="161570"/>
    <s v="98005057814"/>
    <n v="2324.1799999999998"/>
    <n v="0"/>
    <n v="77672"/>
  </r>
  <r>
    <x v="17"/>
    <m/>
    <s v="Ballerupvej 31 UDLEJET"/>
    <n v="10277"/>
    <m/>
    <s v="Ballerupvej 31"/>
    <x v="127"/>
    <x v="1"/>
    <x v="0"/>
    <n v="44"/>
    <n v="5"/>
    <s v="2013-05-07"/>
    <n v="0"/>
    <n v="304"/>
    <n v="0.14468900000000001"/>
    <n v="3"/>
    <x v="0"/>
    <n v="44"/>
    <n v="35.200000000000003"/>
    <n v="0"/>
    <s v="40789"/>
    <m/>
    <n v="44"/>
    <n v="0"/>
    <n v="77673"/>
  </r>
  <r>
    <x v="17"/>
    <m/>
    <s v="Ballerupvej 31 UDLEJET"/>
    <n v="10277"/>
    <m/>
    <s v="Ballerupvej 31"/>
    <x v="127"/>
    <x v="1"/>
    <x v="1"/>
    <n v="58.63"/>
    <n v="13"/>
    <s v="2013-05-07"/>
    <n v="0"/>
    <n v="304"/>
    <n v="0.192798"/>
    <n v="3"/>
    <x v="0"/>
    <n v="58.63"/>
    <n v="46.89"/>
    <n v="0"/>
    <s v="40789"/>
    <m/>
    <n v="58.619990000000001"/>
    <n v="0"/>
    <n v="77673"/>
  </r>
  <r>
    <x v="17"/>
    <m/>
    <s v="Ballerupvej 31 UDLEJET"/>
    <n v="10277"/>
    <m/>
    <s v="Ballerupvej 31"/>
    <x v="127"/>
    <x v="1"/>
    <x v="2"/>
    <n v="133.28"/>
    <n v="12"/>
    <s v="2013-05-07"/>
    <n v="0"/>
    <n v="304"/>
    <n v="0.438276"/>
    <n v="3"/>
    <x v="0"/>
    <n v="133.28"/>
    <n v="106.61"/>
    <n v="0"/>
    <s v="40789"/>
    <m/>
    <n v="133.24856"/>
    <n v="0"/>
    <n v="77673"/>
  </r>
  <r>
    <x v="17"/>
    <m/>
    <s v="Ballerupvej 31 UDLEJET"/>
    <n v="10277"/>
    <m/>
    <s v="Ballerupvej 31"/>
    <x v="127"/>
    <x v="1"/>
    <x v="3"/>
    <n v="29.64"/>
    <n v="4"/>
    <s v="2013-05-07"/>
    <n v="0"/>
    <n v="304"/>
    <n v="9.7466999999999998E-2"/>
    <n v="3"/>
    <x v="0"/>
    <n v="29.64"/>
    <n v="23.71"/>
    <n v="0"/>
    <s v="40789"/>
    <m/>
    <n v="29.631440000000001"/>
    <n v="0"/>
    <n v="77673"/>
  </r>
  <r>
    <x v="17"/>
    <m/>
    <s v="Ballerupvej 31 UDLEJET"/>
    <n v="10277"/>
    <m/>
    <s v="Ballerupvej 31"/>
    <x v="127"/>
    <x v="1"/>
    <x v="4"/>
    <n v="36.19"/>
    <n v="3"/>
    <s v="2013-05-07"/>
    <n v="0"/>
    <n v="304"/>
    <n v="0.119006"/>
    <n v="3"/>
    <x v="0"/>
    <n v="36.19"/>
    <n v="28.96"/>
    <n v="0"/>
    <s v="40789"/>
    <m/>
    <n v="36.19999"/>
    <n v="0"/>
    <n v="77673"/>
  </r>
  <r>
    <x v="17"/>
    <m/>
    <s v="Ballerupvej 31 UDLEJET"/>
    <n v="10277"/>
    <m/>
    <s v="Ballerupvej 31"/>
    <x v="127"/>
    <x v="1"/>
    <x v="5"/>
    <n v="35.159999999999997"/>
    <n v="2"/>
    <s v="2013-05-07"/>
    <n v="0"/>
    <n v="304"/>
    <n v="0.115619"/>
    <n v="3"/>
    <x v="0"/>
    <n v="35.159999999999997"/>
    <n v="28.14"/>
    <n v="0"/>
    <s v="40789"/>
    <m/>
    <n v="35.163640000000001"/>
    <n v="0"/>
    <n v="77673"/>
  </r>
  <r>
    <x v="17"/>
    <m/>
    <s v="Ballerupvej 31 UDLEJET"/>
    <n v="10277"/>
    <m/>
    <s v="Ballerupvej 31"/>
    <x v="127"/>
    <x v="1"/>
    <x v="6"/>
    <n v="29.58"/>
    <n v="3"/>
    <s v="2013-05-07"/>
    <n v="0"/>
    <n v="304"/>
    <n v="9.7269999999999995E-2"/>
    <n v="3"/>
    <x v="0"/>
    <n v="29.58"/>
    <n v="23.64"/>
    <n v="0"/>
    <s v="40789"/>
    <m/>
    <n v="29.565370000000001"/>
    <n v="0"/>
    <n v="77673"/>
  </r>
  <r>
    <x v="17"/>
    <s v="10802"/>
    <s v="Farum Genbrug, Gammel 77-79"/>
    <n v="13360"/>
    <s v="0"/>
    <s v="Farum Genbrug"/>
    <x v="128"/>
    <x v="1"/>
    <x v="0"/>
    <n v="32.43"/>
    <n v="5"/>
    <s v="2013-05-07"/>
    <n v="0"/>
    <n v="317"/>
    <n v="0.10227"/>
    <n v="3"/>
    <x v="0"/>
    <n v="32.43"/>
    <n v="25.95"/>
    <n v="0"/>
    <s v="E05KA2710786"/>
    <m/>
    <n v="32.436999999999998"/>
    <n v="0"/>
    <n v="89450"/>
  </r>
  <r>
    <x v="17"/>
    <s v="10802"/>
    <s v="Farum Genbrug, Gammel 77-79"/>
    <n v="13360"/>
    <s v="0"/>
    <s v="Farum Genbrug"/>
    <x v="128"/>
    <x v="1"/>
    <x v="1"/>
    <n v="111.08"/>
    <n v="13"/>
    <s v="2013-05-07"/>
    <n v="0"/>
    <n v="317"/>
    <n v="0.35029900000000003"/>
    <n v="3"/>
    <x v="0"/>
    <n v="111.08"/>
    <n v="88.85"/>
    <n v="0"/>
    <s v="E05KA2710786"/>
    <m/>
    <n v="111.06910999999999"/>
    <n v="0"/>
    <n v="89450"/>
  </r>
  <r>
    <x v="17"/>
    <s v="10802"/>
    <s v="Farum Genbrug, Gammel 77-79"/>
    <n v="13360"/>
    <s v="0"/>
    <s v="Farum Genbrug"/>
    <x v="128"/>
    <x v="1"/>
    <x v="2"/>
    <n v="156.22999999999999"/>
    <n v="12"/>
    <s v="2013-05-07"/>
    <n v="0"/>
    <n v="317"/>
    <n v="0.49268299999999998"/>
    <n v="3"/>
    <x v="0"/>
    <n v="156.22999999999999"/>
    <n v="124.96"/>
    <n v="0"/>
    <s v="E05KA2710786"/>
    <m/>
    <n v="156.22290000000001"/>
    <n v="0"/>
    <n v="89450"/>
  </r>
  <r>
    <x v="17"/>
    <s v="10802"/>
    <s v="Farum Genbrug, Gammel 77-79"/>
    <n v="13360"/>
    <s v="0"/>
    <s v="Farum Genbrug"/>
    <x v="128"/>
    <x v="1"/>
    <x v="3"/>
    <n v="75"/>
    <n v="5"/>
    <s v="2013-05-07"/>
    <n v="0"/>
    <n v="317"/>
    <n v="0.23651800000000001"/>
    <n v="3"/>
    <x v="0"/>
    <n v="75"/>
    <n v="60"/>
    <n v="0"/>
    <s v="E05KA2710786"/>
    <m/>
    <n v="75.01097"/>
    <n v="0"/>
    <n v="89450"/>
  </r>
  <r>
    <x v="17"/>
    <m/>
    <s v="Langkærgård"/>
    <n v="11035"/>
    <m/>
    <s v="Solhuset"/>
    <x v="129"/>
    <x v="1"/>
    <x v="0"/>
    <n v="49.59"/>
    <n v="5"/>
    <s v="2012-02-29"/>
    <n v="0"/>
    <n v="225"/>
    <n v="0.220302"/>
    <n v="3"/>
    <x v="0"/>
    <n v="49.59"/>
    <n v="39.68"/>
    <n v="0"/>
    <s v="44109"/>
    <m/>
    <n v="49.585999999999999"/>
    <n v="0"/>
    <n v="79963"/>
  </r>
  <r>
    <x v="17"/>
    <m/>
    <s v="Langkærgård"/>
    <n v="11035"/>
    <m/>
    <s v="Solhuset"/>
    <x v="129"/>
    <x v="1"/>
    <x v="1"/>
    <n v="98.62"/>
    <n v="12"/>
    <s v="2012-02-29"/>
    <n v="0"/>
    <n v="225"/>
    <n v="0.43811600000000001"/>
    <n v="3"/>
    <x v="0"/>
    <n v="98.62"/>
    <n v="78.89"/>
    <n v="0"/>
    <s v="44109"/>
    <m/>
    <n v="98.62"/>
    <n v="0"/>
    <n v="79963"/>
  </r>
  <r>
    <x v="17"/>
    <m/>
    <s v="Langkærgård"/>
    <n v="11035"/>
    <m/>
    <s v="Solhuset"/>
    <x v="129"/>
    <x v="1"/>
    <x v="2"/>
    <n v="151.33000000000001"/>
    <n v="13"/>
    <s v="2012-02-29"/>
    <n v="0"/>
    <n v="225"/>
    <n v="0.67227800000000004"/>
    <n v="3"/>
    <x v="0"/>
    <n v="151.33000000000001"/>
    <n v="121.08"/>
    <n v="0"/>
    <s v="44109"/>
    <m/>
    <n v="151.35004000000001"/>
    <n v="0"/>
    <n v="79963"/>
  </r>
  <r>
    <x v="17"/>
    <m/>
    <s v="Langkærgård"/>
    <n v="11035"/>
    <m/>
    <s v="Solhuset"/>
    <x v="129"/>
    <x v="1"/>
    <x v="3"/>
    <n v="93.48"/>
    <n v="6"/>
    <s v="2012-02-29"/>
    <n v="0"/>
    <n v="225"/>
    <n v="0.41528199999999998"/>
    <n v="3"/>
    <x v="0"/>
    <n v="93.48"/>
    <n v="74.790000000000006"/>
    <n v="0"/>
    <s v="44109"/>
    <m/>
    <n v="93.472430000000003"/>
    <n v="0"/>
    <n v="79963"/>
  </r>
  <r>
    <x v="17"/>
    <m/>
    <s v="Langkærgård"/>
    <n v="11035"/>
    <m/>
    <s v="Solhuset"/>
    <x v="129"/>
    <x v="1"/>
    <x v="4"/>
    <n v="152.01"/>
    <n v="4"/>
    <s v="2012-02-29"/>
    <n v="0"/>
    <n v="225"/>
    <n v="0.67529899999999998"/>
    <n v="3"/>
    <x v="0"/>
    <n v="152.01"/>
    <n v="121.6"/>
    <n v="0"/>
    <s v="44109"/>
    <m/>
    <n v="152.00151"/>
    <n v="0"/>
    <n v="79963"/>
  </r>
  <r>
    <x v="17"/>
    <m/>
    <s v="Langkærgård"/>
    <n v="11035"/>
    <m/>
    <s v="Solhuset"/>
    <x v="129"/>
    <x v="1"/>
    <x v="5"/>
    <n v="126.25"/>
    <n v="2"/>
    <s v="2012-02-29"/>
    <n v="0"/>
    <n v="225"/>
    <n v="0.56086100000000005"/>
    <n v="3"/>
    <x v="0"/>
    <n v="126.25"/>
    <n v="101.03"/>
    <n v="0"/>
    <s v="44109"/>
    <m/>
    <n v="126.28269"/>
    <n v="0"/>
    <n v="79963"/>
  </r>
  <r>
    <x v="17"/>
    <m/>
    <s v="Langkærgård"/>
    <n v="11035"/>
    <m/>
    <s v="Solhuset"/>
    <x v="129"/>
    <x v="1"/>
    <x v="6"/>
    <n v="21.1"/>
    <n v="2"/>
    <s v="2012-02-29"/>
    <n v="0"/>
    <n v="225"/>
    <n v="9.3736E-2"/>
    <n v="3"/>
    <x v="0"/>
    <n v="21.1"/>
    <n v="16.88"/>
    <n v="0"/>
    <s v="44109"/>
    <m/>
    <n v="21.1"/>
    <n v="0"/>
    <n v="79963"/>
  </r>
  <r>
    <x v="17"/>
    <s v="05368-6"/>
    <s v="TD-Bygning"/>
    <n v="5465"/>
    <m/>
    <s v="TD-Bygning"/>
    <x v="130"/>
    <x v="1"/>
    <x v="0"/>
    <n v="56.07"/>
    <n v="5"/>
    <m/>
    <n v="0"/>
    <n v="1384"/>
    <n v="4.0509999999999997E-2"/>
    <n v="3"/>
    <x v="0"/>
    <n v="56.07"/>
    <n v="44.86"/>
    <n v="0"/>
    <s v="01500592"/>
    <m/>
    <n v="56.07"/>
    <n v="0"/>
    <n v="57761"/>
  </r>
  <r>
    <x v="17"/>
    <s v="05368-6"/>
    <s v="TD-Bygning"/>
    <n v="5465"/>
    <m/>
    <s v="TD-Bygning"/>
    <x v="130"/>
    <x v="1"/>
    <x v="0"/>
    <n v="12.06"/>
    <n v="5"/>
    <m/>
    <n v="0"/>
    <n v="1384"/>
    <n v="8.7130000000000003E-3"/>
    <n v="3"/>
    <x v="0"/>
    <n v="12.06"/>
    <n v="9.64"/>
    <n v="1"/>
    <s v="220156 BV"/>
    <m/>
    <n v="12.06"/>
    <n v="0"/>
    <n v="58121"/>
  </r>
  <r>
    <x v="17"/>
    <s v="05368-6"/>
    <s v="TD-Bygning"/>
    <n v="5465"/>
    <m/>
    <s v="TD-Bygning"/>
    <x v="130"/>
    <x v="1"/>
    <x v="1"/>
    <n v="158.62"/>
    <n v="12"/>
    <m/>
    <n v="0"/>
    <n v="1384"/>
    <n v="0.11460099999999999"/>
    <n v="3"/>
    <x v="0"/>
    <n v="158.62"/>
    <n v="126.91"/>
    <n v="0"/>
    <s v="01500592"/>
    <m/>
    <n v="158.62"/>
    <n v="0"/>
    <n v="57761"/>
  </r>
  <r>
    <x v="17"/>
    <s v="05368-6"/>
    <s v="TD-Bygning"/>
    <n v="5465"/>
    <m/>
    <s v="TD-Bygning"/>
    <x v="130"/>
    <x v="1"/>
    <x v="1"/>
    <n v="32.78"/>
    <n v="12"/>
    <m/>
    <n v="0"/>
    <n v="1384"/>
    <n v="2.3682999999999999E-2"/>
    <n v="3"/>
    <x v="0"/>
    <n v="32.78"/>
    <n v="26.21"/>
    <n v="1"/>
    <s v="220156 BV"/>
    <m/>
    <n v="32.78"/>
    <n v="0"/>
    <n v="58121"/>
  </r>
  <r>
    <x v="17"/>
    <s v="05368-6"/>
    <s v="TD-Bygning"/>
    <n v="5465"/>
    <m/>
    <s v="TD-Bygning"/>
    <x v="130"/>
    <x v="1"/>
    <x v="2"/>
    <n v="164.71"/>
    <n v="12"/>
    <m/>
    <n v="0"/>
    <n v="1384"/>
    <n v="0.119001"/>
    <n v="3"/>
    <x v="0"/>
    <n v="164.71"/>
    <n v="131.78"/>
    <n v="0"/>
    <s v="01500592"/>
    <m/>
    <n v="164.71"/>
    <n v="0"/>
    <n v="57761"/>
  </r>
  <r>
    <x v="17"/>
    <s v="05368-6"/>
    <s v="TD-Bygning"/>
    <n v="5465"/>
    <m/>
    <s v="TD-Bygning"/>
    <x v="130"/>
    <x v="1"/>
    <x v="2"/>
    <n v="34.619999999999997"/>
    <n v="12"/>
    <m/>
    <n v="0"/>
    <n v="1384"/>
    <n v="2.5012E-2"/>
    <n v="3"/>
    <x v="0"/>
    <n v="34.619999999999997"/>
    <n v="27.69"/>
    <n v="1"/>
    <s v="220156 BV"/>
    <m/>
    <n v="34.619999999999997"/>
    <n v="0"/>
    <n v="58121"/>
  </r>
  <r>
    <x v="17"/>
    <s v="05368-6"/>
    <s v="TD-Bygning"/>
    <n v="5465"/>
    <m/>
    <s v="TD-Bygning"/>
    <x v="130"/>
    <x v="1"/>
    <x v="3"/>
    <n v="184.98"/>
    <n v="12"/>
    <m/>
    <n v="0"/>
    <n v="1384"/>
    <n v="0.13364599999999999"/>
    <n v="3"/>
    <x v="0"/>
    <n v="184.98"/>
    <n v="147.99"/>
    <n v="0"/>
    <s v="01500592"/>
    <m/>
    <n v="184.98"/>
    <n v="0"/>
    <n v="57761"/>
  </r>
  <r>
    <x v="17"/>
    <s v="05368-6"/>
    <s v="TD-Bygning"/>
    <n v="5465"/>
    <m/>
    <s v="TD-Bygning"/>
    <x v="130"/>
    <x v="1"/>
    <x v="3"/>
    <n v="31.31"/>
    <n v="12"/>
    <m/>
    <n v="0"/>
    <n v="1384"/>
    <n v="2.2620999999999999E-2"/>
    <n v="3"/>
    <x v="0"/>
    <n v="31.31"/>
    <n v="25.04"/>
    <n v="1"/>
    <s v="220156 BV"/>
    <m/>
    <n v="31.31"/>
    <n v="0"/>
    <n v="58121"/>
  </r>
  <r>
    <x v="17"/>
    <s v="05368-6"/>
    <s v="TD-Bygning"/>
    <n v="5465"/>
    <m/>
    <s v="TD-Bygning"/>
    <x v="130"/>
    <x v="1"/>
    <x v="4"/>
    <n v="193.04"/>
    <n v="12"/>
    <m/>
    <n v="0"/>
    <n v="1384"/>
    <n v="0.13946900000000001"/>
    <n v="3"/>
    <x v="0"/>
    <n v="193.04"/>
    <n v="154.43"/>
    <n v="0"/>
    <s v="01500592"/>
    <m/>
    <n v="193.04"/>
    <n v="0"/>
    <n v="57761"/>
  </r>
  <r>
    <x v="17"/>
    <s v="05368-6"/>
    <s v="TD-Bygning"/>
    <n v="5465"/>
    <m/>
    <s v="TD-Bygning"/>
    <x v="130"/>
    <x v="1"/>
    <x v="4"/>
    <n v="36.69"/>
    <n v="12"/>
    <m/>
    <n v="0"/>
    <n v="1384"/>
    <n v="2.6508E-2"/>
    <n v="3"/>
    <x v="0"/>
    <n v="36.69"/>
    <n v="29.35"/>
    <n v="1"/>
    <s v="220156 BV"/>
    <m/>
    <n v="36.69"/>
    <n v="0"/>
    <n v="58121"/>
  </r>
  <r>
    <x v="17"/>
    <s v="05368-6"/>
    <s v="TD-Bygning"/>
    <n v="5465"/>
    <m/>
    <s v="TD-Bygning"/>
    <x v="130"/>
    <x v="1"/>
    <x v="5"/>
    <n v="138.66999999999999"/>
    <n v="12"/>
    <m/>
    <n v="0"/>
    <n v="1384"/>
    <n v="0.100187"/>
    <n v="3"/>
    <x v="0"/>
    <n v="138.66999999999999"/>
    <n v="110.94"/>
    <n v="0"/>
    <s v="01500592"/>
    <m/>
    <n v="138.66999999999999"/>
    <n v="0"/>
    <n v="57761"/>
  </r>
  <r>
    <x v="17"/>
    <s v="05368-6"/>
    <s v="TD-Bygning"/>
    <n v="5465"/>
    <m/>
    <s v="TD-Bygning"/>
    <x v="130"/>
    <x v="1"/>
    <x v="5"/>
    <n v="27.92"/>
    <n v="12"/>
    <m/>
    <n v="0"/>
    <n v="1384"/>
    <n v="2.0171000000000001E-2"/>
    <n v="3"/>
    <x v="0"/>
    <n v="27.92"/>
    <n v="22.33"/>
    <n v="1"/>
    <s v="220156 BV"/>
    <m/>
    <n v="27.92"/>
    <n v="0"/>
    <n v="58121"/>
  </r>
  <r>
    <x v="17"/>
    <s v="05368-6"/>
    <s v="TD-Bygning"/>
    <n v="5465"/>
    <m/>
    <s v="TD-Bygning"/>
    <x v="130"/>
    <x v="1"/>
    <x v="6"/>
    <n v="112.81"/>
    <n v="12"/>
    <m/>
    <n v="0"/>
    <n v="1384"/>
    <n v="8.1503999999999993E-2"/>
    <n v="3"/>
    <x v="0"/>
    <n v="112.81"/>
    <n v="90.24"/>
    <n v="0"/>
    <s v="01500592"/>
    <m/>
    <n v="112.81"/>
    <n v="0"/>
    <n v="57761"/>
  </r>
  <r>
    <x v="17"/>
    <s v="05368-6"/>
    <s v="TD-Bygning"/>
    <n v="5465"/>
    <m/>
    <s v="TD-Bygning"/>
    <x v="130"/>
    <x v="1"/>
    <x v="6"/>
    <n v="24.67"/>
    <n v="12"/>
    <m/>
    <n v="0"/>
    <n v="1384"/>
    <n v="1.7822999999999999E-2"/>
    <n v="3"/>
    <x v="0"/>
    <n v="24.67"/>
    <n v="19.75"/>
    <n v="1"/>
    <s v="220156 BV"/>
    <m/>
    <n v="24.67"/>
    <n v="0"/>
    <n v="58121"/>
  </r>
  <r>
    <x v="17"/>
    <m/>
    <s v="Værløse Bio Bymidten 44"/>
    <n v="13825"/>
    <m/>
    <s v="Værløse Bio"/>
    <x v="131"/>
    <x v="1"/>
    <x v="0"/>
    <n v="160.81"/>
    <n v="5"/>
    <s v="2013-09-30"/>
    <n v="0"/>
    <n v="739"/>
    <n v="0.21757499999999999"/>
    <n v="3"/>
    <x v="0"/>
    <n v="160.81"/>
    <n v="128.65"/>
    <n v="0"/>
    <s v="4488"/>
    <m/>
    <n v="160.804"/>
    <n v="0"/>
    <n v="91848"/>
  </r>
  <r>
    <x v="17"/>
    <m/>
    <s v="Værløse Bio Bymidten 44"/>
    <n v="13825"/>
    <m/>
    <s v="Værløse Bio"/>
    <x v="131"/>
    <x v="1"/>
    <x v="1"/>
    <n v="317.04000000000002"/>
    <n v="7"/>
    <s v="2013-09-30"/>
    <n v="0"/>
    <n v="739"/>
    <n v="0.428954"/>
    <n v="3"/>
    <x v="0"/>
    <n v="317.04000000000002"/>
    <n v="253.6"/>
    <n v="0"/>
    <s v="4488"/>
    <m/>
    <n v="317.03100000000001"/>
    <n v="0"/>
    <n v="91848"/>
  </r>
  <r>
    <x v="17"/>
    <s v="10802"/>
    <s v="Farum Genbrug, Gammel 77-79"/>
    <n v="13360"/>
    <s v="0"/>
    <s v="Farum Genbrug"/>
    <x v="128"/>
    <x v="1"/>
    <x v="7"/>
    <n v="94.34"/>
    <n v="12"/>
    <s v="2013-05-07"/>
    <n v="0"/>
    <n v="317"/>
    <n v="0.29750799999999999"/>
    <n v="3"/>
    <x v="0"/>
    <n v="94.34"/>
    <n v="75.47"/>
    <n v="0"/>
    <s v="E05KA2710786"/>
    <m/>
    <n v="94.328999999999994"/>
    <n v="0"/>
    <n v="89450"/>
  </r>
  <r>
    <x v="17"/>
    <s v="10802"/>
    <s v="Farum Genbrug, Gammel 77-79"/>
    <n v="13360"/>
    <s v="0"/>
    <s v="Farum Genbrug"/>
    <x v="128"/>
    <x v="1"/>
    <x v="7"/>
    <n v="25299.73"/>
    <n v="12"/>
    <s v="2012-01-31"/>
    <n v="0"/>
    <n v="317"/>
    <n v="79.784705000000002"/>
    <n v="2"/>
    <x v="2"/>
    <n v="25299.73"/>
    <n v="7589.91"/>
    <n v="0"/>
    <s v="3105129"/>
    <m/>
    <n v="25299.738000000001"/>
    <n v="0"/>
    <n v="91052"/>
  </r>
  <r>
    <x v="17"/>
    <s v="10802"/>
    <s v="Farum Genbrug, Gammel 77-79"/>
    <n v="13360"/>
    <s v="0"/>
    <s v="Farum Genbrug"/>
    <x v="128"/>
    <x v="1"/>
    <x v="7"/>
    <n v="29810.58"/>
    <n v="12"/>
    <s v="2013-05-07"/>
    <n v="0"/>
    <n v="317"/>
    <n v="94.010028000000005"/>
    <n v="1"/>
    <x v="4"/>
    <n v="35577.86"/>
    <n v="7524.06"/>
    <n v="0"/>
    <s v="1144066"/>
    <m/>
    <n v="2760.2401"/>
    <n v="0"/>
    <n v="89468"/>
  </r>
  <r>
    <x v="17"/>
    <s v="02561-5"/>
    <s v="Farum Park"/>
    <n v="6026"/>
    <m/>
    <s v="Bimåler F.K."/>
    <x v="132"/>
    <x v="1"/>
    <x v="7"/>
    <n v="10886.35"/>
    <n v="12"/>
    <s v="2015-05-04"/>
    <n v="0"/>
    <n v="0"/>
    <n v="108863.5"/>
    <n v="2"/>
    <x v="2"/>
    <n v="10886.35"/>
    <n v="3265.91"/>
    <n v="1"/>
    <s v="Trænings lys B"/>
    <m/>
    <n v="10886.35576"/>
    <n v="0"/>
    <n v="93455"/>
  </r>
  <r>
    <x v="17"/>
    <s v="02561-5"/>
    <s v="Farum Park"/>
    <n v="6026"/>
    <m/>
    <s v="Bimåler F.K."/>
    <x v="132"/>
    <x v="1"/>
    <x v="7"/>
    <n v="32150.29"/>
    <n v="12"/>
    <s v="2015-05-04"/>
    <n v="0"/>
    <n v="0"/>
    <n v="321502.90000000002"/>
    <n v="2"/>
    <x v="2"/>
    <n v="32150.29"/>
    <n v="9645.09"/>
    <n v="1"/>
    <s v="EL tribune D 369785"/>
    <m/>
    <n v="32150.2857"/>
    <n v="0"/>
    <n v="95436"/>
  </r>
  <r>
    <x v="17"/>
    <s v="02561-5"/>
    <s v="Farum Park"/>
    <n v="6026"/>
    <m/>
    <s v="Bimåler F.K."/>
    <x v="132"/>
    <x v="1"/>
    <x v="7"/>
    <n v="1646.49"/>
    <n v="12"/>
    <s v="2015-05-04"/>
    <n v="0"/>
    <n v="0"/>
    <n v="16464.900000000001"/>
    <n v="2"/>
    <x v="2"/>
    <n v="1646.49"/>
    <n v="658.59"/>
    <n v="1"/>
    <s v="Trc BK 31000018112"/>
    <m/>
    <n v="1646.4728"/>
    <n v="0"/>
    <n v="60555"/>
  </r>
  <r>
    <x v="17"/>
    <s v="02561-5"/>
    <s v="Farum Park"/>
    <n v="6026"/>
    <m/>
    <s v="Bimåler F.K."/>
    <x v="132"/>
    <x v="1"/>
    <x v="7"/>
    <n v="10716.2"/>
    <n v="12"/>
    <s v="2015-05-04"/>
    <n v="0"/>
    <n v="0"/>
    <n v="107162"/>
    <n v="2"/>
    <x v="2"/>
    <n v="10716.2"/>
    <n v="3214.86"/>
    <n v="1"/>
    <s v="Trænings lys D"/>
    <m/>
    <n v="10716.210150000001"/>
    <n v="0"/>
    <n v="93454"/>
  </r>
  <r>
    <x v="17"/>
    <s v="02561-5"/>
    <s v="Farum Park"/>
    <n v="6026"/>
    <m/>
    <s v="Bimåler F.K."/>
    <x v="132"/>
    <x v="1"/>
    <x v="7"/>
    <n v="12789.31"/>
    <n v="12"/>
    <s v="2015-05-04"/>
    <n v="0"/>
    <n v="0"/>
    <n v="127893.1"/>
    <n v="2"/>
    <x v="2"/>
    <n v="12789.31"/>
    <n v="3836.79"/>
    <n v="1"/>
    <s v="Trænings lys C"/>
    <m/>
    <n v="12789.31429"/>
    <n v="0"/>
    <n v="93457"/>
  </r>
  <r>
    <x v="17"/>
    <s v="02561-5"/>
    <s v="Farum Park"/>
    <n v="6027"/>
    <m/>
    <s v="Bimåler FCN"/>
    <x v="132"/>
    <x v="1"/>
    <x v="7"/>
    <n v="13579.83"/>
    <n v="12"/>
    <s v="2015-05-04"/>
    <n v="0"/>
    <n v="0"/>
    <n v="135798.29999999999"/>
    <n v="2"/>
    <x v="2"/>
    <n v="13579.83"/>
    <n v="5431.93"/>
    <n v="1"/>
    <s v="P40 Loger"/>
    <m/>
    <n v="13579.82764"/>
    <n v="0"/>
    <n v="60558"/>
  </r>
  <r>
    <x v="17"/>
    <s v="02561-5"/>
    <s v="Farum Park"/>
    <n v="6027"/>
    <m/>
    <s v="Bimåler FCN"/>
    <x v="132"/>
    <x v="1"/>
    <x v="7"/>
    <n v="85154.12"/>
    <n v="12"/>
    <s v="2015-05-04"/>
    <n v="0"/>
    <n v="0"/>
    <n v="851541.2"/>
    <n v="2"/>
    <x v="2"/>
    <n v="85154.12"/>
    <n v="34061.67"/>
    <n v="1"/>
    <s v="Q14 VE01&amp;VE02"/>
    <m/>
    <n v="85154.140109999993"/>
    <n v="0"/>
    <n v="60559"/>
  </r>
  <r>
    <x v="17"/>
    <s v="02561-5"/>
    <s v="Farum Park"/>
    <n v="6027"/>
    <m/>
    <s v="Bimåler FCN"/>
    <x v="132"/>
    <x v="0"/>
    <x v="7"/>
    <n v="40530.65"/>
    <n v="12"/>
    <s v="2015-05-04"/>
    <n v="0"/>
    <n v="0"/>
    <n v="405306.5"/>
    <n v="2"/>
    <x v="2"/>
    <n v="40530.65"/>
    <n v="16212.27"/>
    <n v="1"/>
    <s v="Vaskeri  og tribune D"/>
    <m/>
    <n v="40530.64516"/>
    <n v="0"/>
    <n v="60561"/>
  </r>
  <r>
    <x v="17"/>
    <s v="02561-5"/>
    <s v="Farum Park"/>
    <n v="6027"/>
    <m/>
    <s v="Bimåler FCN"/>
    <x v="132"/>
    <x v="1"/>
    <x v="7"/>
    <n v="1870.62"/>
    <n v="12"/>
    <s v="2015-05-04"/>
    <n v="0"/>
    <n v="0"/>
    <n v="18706.2"/>
    <n v="2"/>
    <x v="2"/>
    <n v="1870.62"/>
    <n v="561.19000000000005"/>
    <n v="1"/>
    <s v="St.skærm0300118454"/>
    <m/>
    <n v="1870.6239599999999"/>
    <n v="0"/>
    <n v="71007"/>
  </r>
  <r>
    <x v="17"/>
    <s v="02561-5"/>
    <s v="Farum Park"/>
    <n v="6027"/>
    <m/>
    <s v="Bimåler FCN"/>
    <x v="132"/>
    <x v="1"/>
    <x v="7"/>
    <n v="3836.54"/>
    <n v="12"/>
    <s v="2015-05-04"/>
    <n v="0"/>
    <n v="0"/>
    <n v="38365.4"/>
    <n v="2"/>
    <x v="2"/>
    <n v="3836.54"/>
    <n v="1150.95"/>
    <n v="1"/>
    <s v="bande B 122000320824"/>
    <m/>
    <n v="3836.5225799999998"/>
    <n v="0"/>
    <n v="92703"/>
  </r>
  <r>
    <x v="17"/>
    <s v="02561-5"/>
    <s v="Farum Park"/>
    <n v="6027"/>
    <m/>
    <s v="Bimåler FCN"/>
    <x v="132"/>
    <x v="1"/>
    <x v="7"/>
    <n v="28158.080000000002"/>
    <n v="0"/>
    <s v="2015-05-04"/>
    <n v="0"/>
    <n v="0"/>
    <n v="281580.79999999999"/>
    <n v="2"/>
    <x v="2"/>
    <n v="28158.080000000002"/>
    <n v="8447.41"/>
    <n v="1"/>
    <s v="Banevarme 487273 -P1"/>
    <m/>
    <n v="28158.099600000001"/>
    <n v="0"/>
    <n v="92732"/>
  </r>
  <r>
    <x v="17"/>
    <s v="02561-5"/>
    <s v="Farum Park"/>
    <n v="6027"/>
    <m/>
    <s v="Bimåler FCN"/>
    <x v="132"/>
    <x v="1"/>
    <x v="7"/>
    <n v="254318.43"/>
    <n v="0"/>
    <s v="2015-05-04"/>
    <n v="0"/>
    <n v="0"/>
    <n v="2543184.2999999998"/>
    <n v="2"/>
    <x v="2"/>
    <n v="254318.43"/>
    <n v="76295.520000000004"/>
    <n v="1"/>
    <s v="Banevarme 494847 -P2"/>
    <m/>
    <n v="254318.41415"/>
    <n v="0"/>
    <n v="92734"/>
  </r>
  <r>
    <x v="17"/>
    <s v="02561-5"/>
    <s v="Farum Park"/>
    <n v="6027"/>
    <m/>
    <s v="Bimåler FCN"/>
    <x v="132"/>
    <x v="1"/>
    <x v="7"/>
    <n v="8269.0400000000009"/>
    <n v="12"/>
    <s v="2015-05-04"/>
    <n v="0"/>
    <n v="0"/>
    <n v="82690.399999999994"/>
    <n v="2"/>
    <x v="2"/>
    <n v="8269.0400000000009"/>
    <n v="3307.6"/>
    <n v="1"/>
    <s v="P30 Suiter"/>
    <m/>
    <n v="8269.0414899999996"/>
    <n v="0"/>
    <n v="60557"/>
  </r>
  <r>
    <x v="17"/>
    <s v="02561-5"/>
    <s v="Farum Park"/>
    <n v="6027"/>
    <m/>
    <s v="Bimåler FCN"/>
    <x v="132"/>
    <x v="1"/>
    <x v="7"/>
    <n v="3267.23"/>
    <n v="12"/>
    <s v="2015-05-04"/>
    <n v="0"/>
    <n v="0"/>
    <n v="32672.3"/>
    <n v="2"/>
    <x v="2"/>
    <n v="3267.23"/>
    <n v="1306.9000000000001"/>
    <n v="1"/>
    <s v="Q2 Lys gangareal"/>
    <m/>
    <n v="3267.24424"/>
    <n v="0"/>
    <n v="60560"/>
  </r>
  <r>
    <x v="17"/>
    <m/>
    <s v="Ballerupvej 29A UDLEJET"/>
    <n v="10276"/>
    <m/>
    <s v="Ballerupvej 29A"/>
    <x v="126"/>
    <x v="1"/>
    <x v="0"/>
    <n v="6652.27"/>
    <n v="5"/>
    <s v="2011-11-29"/>
    <n v="0"/>
    <n v="0"/>
    <n v="66522.7"/>
    <n v="1"/>
    <x v="4"/>
    <n v="6652.27"/>
    <n v="1406.85"/>
    <n v="0"/>
    <s v="1553895"/>
    <s v="98001309467"/>
    <n v="615.95000000000005"/>
    <n v="0"/>
    <n v="77670"/>
  </r>
  <r>
    <x v="17"/>
    <s v="02561-5"/>
    <s v="Farum Park"/>
    <n v="6027"/>
    <m/>
    <s v="Bimåler FCN"/>
    <x v="132"/>
    <x v="1"/>
    <x v="7"/>
    <n v="16578.2"/>
    <n v="12"/>
    <s v="2015-05-04"/>
    <n v="0"/>
    <n v="0"/>
    <n v="165782"/>
    <n v="2"/>
    <x v="2"/>
    <n v="16578.2"/>
    <n v="6631.29"/>
    <n v="1"/>
    <s v="Eltrc.31100018199"/>
    <m/>
    <n v="16578.204600000001"/>
    <n v="0"/>
    <n v="60562"/>
  </r>
  <r>
    <x v="17"/>
    <s v="02561-5"/>
    <s v="Farum Park"/>
    <n v="6027"/>
    <m/>
    <s v="Bimåler FCN"/>
    <x v="132"/>
    <x v="1"/>
    <x v="7"/>
    <n v="209.04"/>
    <n v="12"/>
    <s v="2015-05-04"/>
    <n v="0"/>
    <n v="0"/>
    <n v="2090.4"/>
    <n v="2"/>
    <x v="2"/>
    <n v="209.04"/>
    <n v="83.62"/>
    <n v="1"/>
    <s v="Eltrc.31000018096"/>
    <m/>
    <n v="209.04792"/>
    <n v="0"/>
    <n v="60563"/>
  </r>
  <r>
    <x v="17"/>
    <m/>
    <s v="Ballerupvej 29A UDLEJET"/>
    <n v="10276"/>
    <m/>
    <s v="Ballerupvej 29A"/>
    <x v="126"/>
    <x v="1"/>
    <x v="1"/>
    <n v="12068.03"/>
    <n v="12"/>
    <s v="2011-11-29"/>
    <n v="0"/>
    <n v="0"/>
    <n v="120680.3"/>
    <n v="1"/>
    <x v="4"/>
    <n v="12068.03"/>
    <n v="2552.19"/>
    <n v="0"/>
    <s v="1553895"/>
    <s v="98001309467"/>
    <n v="1117.4100000000001"/>
    <n v="0"/>
    <n v="77670"/>
  </r>
  <r>
    <x v="17"/>
    <m/>
    <s v="Ballerupvej 29A UDLEJET"/>
    <n v="10276"/>
    <m/>
    <s v="Ballerupvej 29A"/>
    <x v="126"/>
    <x v="1"/>
    <x v="2"/>
    <n v="10425.129999999999"/>
    <n v="12"/>
    <s v="2011-11-29"/>
    <n v="0"/>
    <n v="0"/>
    <n v="104251.3"/>
    <n v="1"/>
    <x v="4"/>
    <n v="10425.129999999999"/>
    <n v="2204.73"/>
    <n v="0"/>
    <s v="1553895"/>
    <s v="98001309467"/>
    <n v="965.29"/>
    <n v="0"/>
    <n v="77670"/>
  </r>
  <r>
    <x v="17"/>
    <m/>
    <s v="Ballerupvej 29A UDLEJET"/>
    <n v="10276"/>
    <m/>
    <s v="Ballerupvej 29A"/>
    <x v="126"/>
    <x v="1"/>
    <x v="3"/>
    <n v="9211.0499999999993"/>
    <n v="4"/>
    <s v="2011-11-29"/>
    <n v="0"/>
    <n v="0"/>
    <n v="92110.5"/>
    <n v="1"/>
    <x v="4"/>
    <n v="9211.0499999999993"/>
    <n v="1947.98"/>
    <n v="0"/>
    <s v="1553895"/>
    <s v="98001309467"/>
    <n v="852.87508000000003"/>
    <n v="0"/>
    <n v="77670"/>
  </r>
  <r>
    <x v="17"/>
    <m/>
    <s v="Ballerupvej 29A UDLEJET"/>
    <n v="10276"/>
    <m/>
    <s v="Ballerupvej 29A"/>
    <x v="126"/>
    <x v="1"/>
    <x v="4"/>
    <n v="11373.2"/>
    <n v="2"/>
    <s v="2011-11-29"/>
    <n v="0"/>
    <n v="0"/>
    <n v="113732"/>
    <n v="1"/>
    <x v="4"/>
    <n v="11373.2"/>
    <n v="2405.2399999999998"/>
    <n v="0"/>
    <s v="1553895"/>
    <s v="98001309467"/>
    <n v="1053.0749000000001"/>
    <n v="0"/>
    <n v="77670"/>
  </r>
  <r>
    <x v="17"/>
    <m/>
    <s v="Ballerupvej 29A UDLEJET"/>
    <n v="10276"/>
    <m/>
    <s v="Ballerupvej 29A"/>
    <x v="126"/>
    <x v="1"/>
    <x v="5"/>
    <n v="14242.16"/>
    <n v="2"/>
    <s v="2011-11-29"/>
    <n v="0"/>
    <n v="0"/>
    <n v="142421.6"/>
    <n v="1"/>
    <x v="4"/>
    <n v="14242.16"/>
    <n v="3011.96"/>
    <n v="0"/>
    <s v="1553895"/>
    <s v="98001309467"/>
    <n v="1318.7165500000001"/>
    <n v="0"/>
    <n v="77670"/>
  </r>
  <r>
    <x v="17"/>
    <m/>
    <s v="Ballerupvej 29A UDLEJET"/>
    <n v="10276"/>
    <m/>
    <s v="Ballerupvej 29A"/>
    <x v="126"/>
    <x v="1"/>
    <x v="6"/>
    <n v="5409.75"/>
    <n v="3"/>
    <s v="2011-11-29"/>
    <n v="0"/>
    <n v="0"/>
    <n v="54097.5"/>
    <n v="1"/>
    <x v="4"/>
    <n v="5409.75"/>
    <n v="1144.06"/>
    <n v="0"/>
    <s v="1553895"/>
    <s v="98001309467"/>
    <n v="500.90345000000002"/>
    <n v="0"/>
    <n v="77670"/>
  </r>
  <r>
    <x v="17"/>
    <s v="02561-5"/>
    <s v="Farum Park"/>
    <n v="5468"/>
    <m/>
    <s v="Farum Park"/>
    <x v="132"/>
    <x v="0"/>
    <x v="7"/>
    <n v="443081.13"/>
    <n v="12"/>
    <m/>
    <n v="0"/>
    <n v="12237"/>
    <n v="36.208016999999998"/>
    <n v="2"/>
    <x v="2"/>
    <n v="443081.13"/>
    <n v="177232.46"/>
    <n v="1"/>
    <s v="800166"/>
    <s v="74114755326"/>
    <n v="443081.13"/>
    <n v="0"/>
    <n v="57824"/>
  </r>
  <r>
    <x v="17"/>
    <m/>
    <s v="Ballerupvej 31 UDLEJET"/>
    <n v="10277"/>
    <m/>
    <s v="Ballerupvej 31"/>
    <x v="127"/>
    <x v="1"/>
    <x v="0"/>
    <n v="17429.439999999999"/>
    <n v="5"/>
    <s v="2013-05-07"/>
    <n v="0"/>
    <n v="304"/>
    <n v="57.314830000000001"/>
    <n v="1"/>
    <x v="6"/>
    <n v="17429.439999999999"/>
    <n v="3554.37"/>
    <n v="0"/>
    <s v="161570"/>
    <s v="98005057814"/>
    <n v="1556.2"/>
    <n v="0"/>
    <n v="77672"/>
  </r>
  <r>
    <x v="17"/>
    <s v="02561-5"/>
    <s v="Farum Park"/>
    <n v="5468"/>
    <m/>
    <s v="Farum Park"/>
    <x v="132"/>
    <x v="1"/>
    <x v="7"/>
    <n v="0"/>
    <n v="12"/>
    <m/>
    <n v="0"/>
    <n v="12237"/>
    <n v="0"/>
    <n v="2"/>
    <x v="2"/>
    <n v="0"/>
    <n v="0"/>
    <n v="1"/>
    <s v="1118529"/>
    <s v="74114203506"/>
    <n v="0"/>
    <n v="0"/>
    <n v="57820"/>
  </r>
  <r>
    <x v="17"/>
    <m/>
    <s v="Ballerupvej 31 UDLEJET"/>
    <n v="10277"/>
    <m/>
    <s v="Ballerupvej 31"/>
    <x v="127"/>
    <x v="1"/>
    <x v="1"/>
    <n v="24520.38"/>
    <n v="13"/>
    <s v="2013-05-07"/>
    <n v="0"/>
    <n v="304"/>
    <n v="80.632620000000003"/>
    <n v="1"/>
    <x v="6"/>
    <n v="24520.38"/>
    <n v="5000.42"/>
    <n v="0"/>
    <s v="161570"/>
    <s v="98005057814"/>
    <n v="2189.3200099999999"/>
    <n v="0"/>
    <n v="77672"/>
  </r>
  <r>
    <x v="17"/>
    <m/>
    <s v="Ballerupvej 31 UDLEJET"/>
    <n v="10277"/>
    <m/>
    <s v="Ballerupvej 31"/>
    <x v="127"/>
    <x v="1"/>
    <x v="2"/>
    <n v="39691.39"/>
    <n v="12"/>
    <s v="2013-05-07"/>
    <n v="0"/>
    <n v="304"/>
    <n v="130.520848"/>
    <n v="1"/>
    <x v="6"/>
    <n v="39691.39"/>
    <n v="8094.21"/>
    <n v="0"/>
    <s v="161570"/>
    <s v="98005057814"/>
    <n v="3543.8714399999999"/>
    <n v="0"/>
    <n v="77672"/>
  </r>
  <r>
    <x v="17"/>
    <m/>
    <s v="Ballerupvej 31 UDLEJET"/>
    <n v="10277"/>
    <m/>
    <s v="Ballerupvej 31"/>
    <x v="127"/>
    <x v="1"/>
    <x v="3"/>
    <n v="11604.78"/>
    <n v="4"/>
    <s v="2013-05-07"/>
    <n v="0"/>
    <n v="304"/>
    <n v="38.161065000000001"/>
    <n v="1"/>
    <x v="6"/>
    <n v="11604.78"/>
    <n v="2366.54"/>
    <n v="0"/>
    <s v="161570"/>
    <s v="98005057814"/>
    <n v="1036.1401000000001"/>
    <n v="0"/>
    <n v="77672"/>
  </r>
  <r>
    <x v="17"/>
    <m/>
    <s v="Ballerupvej 31 UDLEJET"/>
    <n v="10277"/>
    <m/>
    <s v="Ballerupvej 31"/>
    <x v="127"/>
    <x v="1"/>
    <x v="4"/>
    <n v="24018.32"/>
    <n v="5"/>
    <s v="2013-05-07"/>
    <n v="0"/>
    <n v="304"/>
    <n v="78.981650000000002"/>
    <n v="1"/>
    <x v="6"/>
    <n v="24018.32"/>
    <n v="4898"/>
    <n v="0"/>
    <s v="161570"/>
    <s v="98005057814"/>
    <n v="2144.4944500000001"/>
    <n v="0"/>
    <n v="77672"/>
  </r>
  <r>
    <x v="17"/>
    <m/>
    <s v="Ballerupvej 31 UDLEJET"/>
    <n v="10277"/>
    <m/>
    <s v="Ballerupvej 31"/>
    <x v="127"/>
    <x v="1"/>
    <x v="5"/>
    <n v="34427.67"/>
    <n v="2"/>
    <s v="2013-05-07"/>
    <n v="0"/>
    <n v="304"/>
    <n v="113.211673"/>
    <n v="1"/>
    <x v="6"/>
    <n v="34427.67"/>
    <n v="7020.76"/>
    <n v="0"/>
    <s v="161570"/>
    <s v="98005057814"/>
    <n v="3073.8991700000001"/>
    <n v="0"/>
    <n v="77672"/>
  </r>
  <r>
    <x v="17"/>
    <s v="02561-5"/>
    <s v="Farum Park"/>
    <n v="5468"/>
    <m/>
    <s v="Farum Park"/>
    <x v="132"/>
    <x v="1"/>
    <x v="7"/>
    <n v="422.65"/>
    <n v="12"/>
    <s v="2015-05-04"/>
    <n v="0"/>
    <n v="12237"/>
    <n v="3.4537999999999999E-2"/>
    <n v="2"/>
    <x v="2"/>
    <n v="422.65"/>
    <n v="126.81"/>
    <n v="1"/>
    <s v="dræn 121400315785"/>
    <m/>
    <n v="422.64424000000002"/>
    <n v="0"/>
    <n v="92978"/>
  </r>
  <r>
    <x v="17"/>
    <m/>
    <s v="Ballerupvej 31 UDLEJET"/>
    <n v="10277"/>
    <m/>
    <s v="Ballerupvej 31"/>
    <x v="127"/>
    <x v="1"/>
    <x v="6"/>
    <n v="24517.19"/>
    <n v="3"/>
    <s v="2013-05-07"/>
    <n v="0"/>
    <n v="304"/>
    <n v="80.622129999999999"/>
    <n v="1"/>
    <x v="6"/>
    <n v="24517.19"/>
    <n v="4999.7700000000004"/>
    <n v="0"/>
    <s v="161570"/>
    <s v="98005057814"/>
    <n v="2189.0359600000002"/>
    <n v="0"/>
    <n v="77672"/>
  </r>
  <r>
    <x v="17"/>
    <s v="10802"/>
    <s v="Farum Genbrug, Gammel 77-79"/>
    <n v="13360"/>
    <s v="0"/>
    <s v="Farum Genbrug"/>
    <x v="128"/>
    <x v="1"/>
    <x v="0"/>
    <n v="17958.349999999999"/>
    <n v="5"/>
    <s v="2013-05-07"/>
    <n v="0"/>
    <n v="317"/>
    <n v="56.633080999999997"/>
    <n v="1"/>
    <x v="4"/>
    <n v="20100.849999999999"/>
    <n v="4250.96"/>
    <n v="0"/>
    <s v="1144066"/>
    <m/>
    <n v="1662.81"/>
    <n v="0"/>
    <n v="89468"/>
  </r>
  <r>
    <x v="17"/>
    <s v="02561-5"/>
    <s v="Farum Park"/>
    <n v="6027"/>
    <m/>
    <s v="Bimåler FCN"/>
    <x v="132"/>
    <x v="1"/>
    <x v="7"/>
    <n v="21.04"/>
    <n v="12"/>
    <s v="2015-05-04"/>
    <n v="0"/>
    <n v="0"/>
    <n v="210.4"/>
    <n v="3"/>
    <x v="0"/>
    <n v="21.04"/>
    <n v="16.84"/>
    <n v="1"/>
    <s v="Suiter VM2 BV"/>
    <m/>
    <n v="21.032240000000002"/>
    <n v="0"/>
    <n v="60568"/>
  </r>
  <r>
    <x v="17"/>
    <s v="10802"/>
    <s v="Farum Genbrug, Gammel 77-79"/>
    <n v="13360"/>
    <s v="0"/>
    <s v="Farum Genbrug"/>
    <x v="128"/>
    <x v="1"/>
    <x v="1"/>
    <n v="43988.1"/>
    <n v="13"/>
    <s v="2013-05-07"/>
    <n v="0"/>
    <n v="317"/>
    <n v="138.71996200000001"/>
    <n v="1"/>
    <x v="4"/>
    <n v="46465.08"/>
    <n v="9826.5"/>
    <n v="0"/>
    <s v="1144066"/>
    <m/>
    <n v="4072.97334"/>
    <n v="0"/>
    <n v="89468"/>
  </r>
  <r>
    <x v="17"/>
    <s v="10802"/>
    <s v="Farum Genbrug, Gammel 77-79"/>
    <n v="13360"/>
    <s v="0"/>
    <s v="Farum Genbrug"/>
    <x v="128"/>
    <x v="1"/>
    <x v="2"/>
    <n v="67610.89"/>
    <n v="12"/>
    <s v="2013-05-07"/>
    <n v="0"/>
    <n v="317"/>
    <n v="213.21630400000001"/>
    <n v="1"/>
    <x v="4"/>
    <n v="73563.98"/>
    <n v="15557.41"/>
    <n v="0"/>
    <s v="1144066"/>
    <m/>
    <n v="6260.2645599999996"/>
    <n v="0"/>
    <n v="89468"/>
  </r>
  <r>
    <x v="17"/>
    <s v="10802"/>
    <s v="Farum Genbrug, Gammel 77-79"/>
    <n v="13360"/>
    <s v="0"/>
    <s v="Farum Genbrug"/>
    <x v="128"/>
    <x v="1"/>
    <x v="3"/>
    <n v="31334.959999999999"/>
    <n v="4"/>
    <s v="2013-05-07"/>
    <n v="0"/>
    <n v="317"/>
    <n v="98.817280999999994"/>
    <n v="1"/>
    <x v="4"/>
    <n v="35015.26"/>
    <n v="7405.07"/>
    <n v="0"/>
    <s v="1144066"/>
    <m/>
    <n v="2901.3856099999998"/>
    <n v="0"/>
    <n v="89468"/>
  </r>
  <r>
    <x v="17"/>
    <s v="10802"/>
    <s v="Farum Genbrug, Gammel 77-79"/>
    <n v="13360"/>
    <s v="0"/>
    <s v="Farum Genbrug"/>
    <x v="128"/>
    <x v="1"/>
    <x v="4"/>
    <n v="48481.9"/>
    <n v="1"/>
    <s v="2013-05-07"/>
    <n v="0"/>
    <n v="317"/>
    <n v="152.891516"/>
    <n v="1"/>
    <x v="4"/>
    <n v="61311.71"/>
    <n v="12966.31"/>
    <n v="0"/>
    <s v="1144066"/>
    <m/>
    <n v="4489.06495"/>
    <n v="0"/>
    <n v="89468"/>
  </r>
  <r>
    <x v="17"/>
    <s v="10802"/>
    <s v="Farum Genbrug, Gammel 77-79"/>
    <n v="13360"/>
    <s v="0"/>
    <s v="Farum Genbrug"/>
    <x v="128"/>
    <x v="1"/>
    <x v="5"/>
    <n v="27989.42"/>
    <n v="4"/>
    <s v="2013-05-07"/>
    <n v="0"/>
    <n v="317"/>
    <n v="88.266855000000007"/>
    <n v="1"/>
    <x v="4"/>
    <n v="28819.599999999999"/>
    <n v="6094.83"/>
    <n v="0"/>
    <s v="1144066"/>
    <m/>
    <n v="2591.6122300000002"/>
    <n v="0"/>
    <n v="89468"/>
  </r>
  <r>
    <x v="17"/>
    <s v="10802"/>
    <s v="Farum Genbrug, Gammel 77-79"/>
    <n v="13360"/>
    <s v="0"/>
    <s v="Farum Genbrug"/>
    <x v="128"/>
    <x v="1"/>
    <x v="6"/>
    <n v="54709.46"/>
    <n v="1"/>
    <s v="2013-05-07"/>
    <n v="0"/>
    <n v="317"/>
    <n v="172.530621"/>
    <n v="1"/>
    <x v="4"/>
    <n v="69983.11"/>
    <n v="14800.15"/>
    <n v="0"/>
    <s v="1144066"/>
    <m/>
    <n v="5065.6925700000002"/>
    <n v="0"/>
    <n v="89468"/>
  </r>
  <r>
    <x v="17"/>
    <m/>
    <s v="Langkærgård"/>
    <n v="11035"/>
    <m/>
    <s v="Solhuset"/>
    <x v="129"/>
    <x v="1"/>
    <x v="0"/>
    <n v="16242.87"/>
    <n v="5"/>
    <s v="2012-02-29"/>
    <n v="0"/>
    <n v="225"/>
    <n v="72.158462"/>
    <n v="1"/>
    <x v="1"/>
    <n v="18518.310000000001"/>
    <n v="1185.1600000000001"/>
    <n v="0"/>
    <s v="7299730"/>
    <m/>
    <n v="16242.87"/>
    <n v="0"/>
    <n v="79964"/>
  </r>
  <r>
    <x v="17"/>
    <s v="02561-5"/>
    <s v="Farum Park"/>
    <n v="6027"/>
    <m/>
    <s v="Bimåler FCN"/>
    <x v="132"/>
    <x v="1"/>
    <x v="7"/>
    <n v="81.06"/>
    <n v="12"/>
    <s v="2015-05-04"/>
    <n v="0"/>
    <n v="0"/>
    <n v="810.6"/>
    <n v="3"/>
    <x v="0"/>
    <n v="81.06"/>
    <n v="64.849999999999994"/>
    <n v="1"/>
    <s v="Suiter VM3 BK"/>
    <m/>
    <n v="81.046999999999997"/>
    <n v="0"/>
    <n v="60570"/>
  </r>
  <r>
    <x v="17"/>
    <s v="02561-5"/>
    <s v="Farum Park"/>
    <n v="6027"/>
    <m/>
    <s v="Bimåler FCN"/>
    <x v="132"/>
    <x v="1"/>
    <x v="7"/>
    <n v="62.98"/>
    <n v="12"/>
    <s v="2015-05-04"/>
    <n v="0"/>
    <n v="0"/>
    <n v="629.79999999999995"/>
    <n v="3"/>
    <x v="0"/>
    <n v="62.98"/>
    <n v="50.39"/>
    <n v="1"/>
    <s v="Loger VM4 BV"/>
    <m/>
    <n v="62.982469999999999"/>
    <n v="0"/>
    <n v="60571"/>
  </r>
  <r>
    <x v="17"/>
    <s v="02561-5"/>
    <s v="Farum Park"/>
    <n v="6027"/>
    <m/>
    <s v="Bimåler FCN"/>
    <x v="132"/>
    <x v="1"/>
    <x v="7"/>
    <n v="0"/>
    <n v="12"/>
    <s v="2015-05-04"/>
    <n v="0"/>
    <n v="0"/>
    <n v="0"/>
    <n v="3"/>
    <x v="0"/>
    <n v="0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7"/>
    <n v="0.03"/>
    <n v="12"/>
    <s v="2015-05-04"/>
    <n v="0"/>
    <n v="0"/>
    <n v="0.3"/>
    <n v="3"/>
    <x v="0"/>
    <n v="0.03"/>
    <n v="0.03"/>
    <n v="1"/>
    <s v="Køk. VM6 BV"/>
    <m/>
    <n v="3.2259999999999997E-2"/>
    <n v="0"/>
    <n v="60573"/>
  </r>
  <r>
    <x v="17"/>
    <m/>
    <s v="Langkærgård"/>
    <n v="11035"/>
    <m/>
    <s v="Solhuset"/>
    <x v="129"/>
    <x v="1"/>
    <x v="1"/>
    <n v="33051.03"/>
    <n v="12"/>
    <s v="2012-02-29"/>
    <n v="0"/>
    <n v="225"/>
    <n v="146.82820899999999"/>
    <n v="1"/>
    <x v="1"/>
    <n v="34546.65"/>
    <n v="2210.98"/>
    <n v="0"/>
    <s v="7299730"/>
    <m/>
    <n v="33051.027999999998"/>
    <n v="0"/>
    <n v="79964"/>
  </r>
  <r>
    <x v="17"/>
    <m/>
    <s v="Langkærgård"/>
    <n v="11035"/>
    <m/>
    <s v="Solhuset"/>
    <x v="129"/>
    <x v="1"/>
    <x v="2"/>
    <n v="30715.26"/>
    <n v="13"/>
    <s v="2012-02-29"/>
    <n v="0"/>
    <n v="225"/>
    <n v="136.45162099999999"/>
    <n v="1"/>
    <x v="1"/>
    <n v="32143.1"/>
    <n v="5946.48"/>
    <n v="0"/>
    <s v="7299730"/>
    <m/>
    <n v="30715.265500000001"/>
    <n v="0"/>
    <n v="79964"/>
  </r>
  <r>
    <x v="17"/>
    <s v="02561-5"/>
    <s v="Farum Park"/>
    <n v="6027"/>
    <m/>
    <s v="Bimåler FCN"/>
    <x v="132"/>
    <x v="1"/>
    <x v="7"/>
    <n v="0"/>
    <n v="12"/>
    <s v="2015-05-04"/>
    <n v="0"/>
    <n v="0"/>
    <n v="0"/>
    <n v="3"/>
    <x v="0"/>
    <n v="0"/>
    <n v="0"/>
    <n v="1"/>
    <s v="Køk.VM7 BK"/>
    <m/>
    <n v="0"/>
    <n v="0"/>
    <n v="60574"/>
  </r>
  <r>
    <x v="17"/>
    <m/>
    <s v="Langkærgård"/>
    <n v="11035"/>
    <m/>
    <s v="Solhuset"/>
    <x v="129"/>
    <x v="1"/>
    <x v="3"/>
    <n v="31745.03"/>
    <n v="6"/>
    <s v="2012-02-29"/>
    <n v="0"/>
    <n v="225"/>
    <n v="141.026343"/>
    <n v="1"/>
    <x v="1"/>
    <n v="35073.56"/>
    <n v="6488.61"/>
    <n v="0"/>
    <s v="7299730"/>
    <m/>
    <n v="31745.03141"/>
    <n v="0"/>
    <n v="79964"/>
  </r>
  <r>
    <x v="17"/>
    <m/>
    <s v="Langkærgård"/>
    <n v="11035"/>
    <m/>
    <s v="Solhuset"/>
    <x v="129"/>
    <x v="1"/>
    <x v="4"/>
    <n v="32093.33"/>
    <n v="4"/>
    <s v="2012-02-29"/>
    <n v="0"/>
    <n v="225"/>
    <n v="142.573656"/>
    <n v="1"/>
    <x v="1"/>
    <n v="37769.65"/>
    <n v="6987.38"/>
    <n v="0"/>
    <s v="7299730"/>
    <m/>
    <n v="32093.345659999999"/>
    <n v="0"/>
    <n v="79964"/>
  </r>
  <r>
    <x v="17"/>
    <m/>
    <s v="Langkærgård"/>
    <n v="11035"/>
    <m/>
    <s v="Solhuset"/>
    <x v="129"/>
    <x v="1"/>
    <x v="5"/>
    <n v="35798.800000000003"/>
    <n v="2"/>
    <s v="2012-02-29"/>
    <n v="0"/>
    <n v="225"/>
    <n v="159.03509500000001"/>
    <n v="1"/>
    <x v="1"/>
    <n v="49379.98"/>
    <n v="9135.2900000000009"/>
    <n v="0"/>
    <s v="7299730"/>
    <m/>
    <n v="35798.796479999997"/>
    <n v="0"/>
    <n v="79964"/>
  </r>
  <r>
    <x v="17"/>
    <m/>
    <s v="Langkærgård"/>
    <n v="11035"/>
    <m/>
    <s v="Solhuset"/>
    <x v="129"/>
    <x v="1"/>
    <x v="6"/>
    <n v="8521.2000000000007"/>
    <n v="2"/>
    <s v="2012-02-29"/>
    <n v="0"/>
    <n v="225"/>
    <n v="37.855175000000003"/>
    <n v="1"/>
    <x v="1"/>
    <n v="9050.94"/>
    <n v="1674.42"/>
    <n v="0"/>
    <s v="7299730"/>
    <m/>
    <n v="8521.2000000000007"/>
    <n v="0"/>
    <n v="79964"/>
  </r>
  <r>
    <x v="17"/>
    <s v="02561-5"/>
    <s v="Farum Park"/>
    <n v="6027"/>
    <m/>
    <s v="Bimåler FCN"/>
    <x v="132"/>
    <x v="1"/>
    <x v="7"/>
    <n v="176.02"/>
    <n v="12"/>
    <s v="2015-05-04"/>
    <n v="0"/>
    <n v="0"/>
    <n v="1760.2"/>
    <n v="3"/>
    <x v="0"/>
    <n v="176.02"/>
    <n v="140.82"/>
    <n v="1"/>
    <s v="Vaskeri VM8 BK"/>
    <m/>
    <n v="176.01936000000001"/>
    <n v="0"/>
    <n v="60575"/>
  </r>
  <r>
    <x v="17"/>
    <m/>
    <s v="Overgangsboligerne Lillevangspark 8"/>
    <n v="13988"/>
    <s v="0"/>
    <s v="Overgangsboligerne Lillevangspark 8"/>
    <x v="133"/>
    <x v="1"/>
    <x v="1"/>
    <n v="14726.12"/>
    <n v="3"/>
    <s v="2014-11-07"/>
    <n v="0"/>
    <n v="0"/>
    <n v="147261.20000000001"/>
    <n v="1"/>
    <x v="5"/>
    <n v="21749.34"/>
    <n v="4.04"/>
    <n v="0"/>
    <s v="948570"/>
    <m/>
    <n v="14.72612"/>
    <n v="0"/>
    <n v="94860"/>
  </r>
  <r>
    <x v="17"/>
    <s v="05368-6"/>
    <s v="TD-Bygning"/>
    <n v="5465"/>
    <m/>
    <s v="TD-Bygning"/>
    <x v="130"/>
    <x v="1"/>
    <x v="0"/>
    <n v="56474.41"/>
    <n v="5"/>
    <m/>
    <n v="0"/>
    <n v="1384"/>
    <n v="40.802261000000001"/>
    <n v="1"/>
    <x v="1"/>
    <n v="64281.07"/>
    <n v="11891997.949999999"/>
    <n v="0"/>
    <s v="4155449 aut"/>
    <m/>
    <n v="56474.40625"/>
    <n v="0"/>
    <n v="57760"/>
  </r>
  <r>
    <x v="17"/>
    <s v="05368-6"/>
    <s v="TD-Bygning"/>
    <n v="5465"/>
    <m/>
    <s v="TD-Bygning"/>
    <x v="130"/>
    <x v="1"/>
    <x v="0"/>
    <n v="1107.5899999999999"/>
    <n v="5"/>
    <s v="2015-05-04"/>
    <n v="0"/>
    <n v="1384"/>
    <n v="0.80022300000000002"/>
    <n v="1"/>
    <x v="1"/>
    <n v="1213.28"/>
    <n v="224456.8"/>
    <n v="1"/>
    <s v="30116799  VE01"/>
    <m/>
    <n v="1107.59375"/>
    <n v="0"/>
    <n v="57767"/>
  </r>
  <r>
    <x v="17"/>
    <s v="05368-6"/>
    <s v="TD-Bygning"/>
    <n v="5465"/>
    <m/>
    <s v="TD-Bygning"/>
    <x v="130"/>
    <x v="1"/>
    <x v="0"/>
    <n v="2875.07"/>
    <n v="5"/>
    <s v="2015-05-04"/>
    <n v="0"/>
    <n v="1384"/>
    <n v="2.0772119999999998"/>
    <n v="1"/>
    <x v="1"/>
    <n v="3200.43"/>
    <n v="592079.55000000005"/>
    <n v="1"/>
    <s v="30116798 VVB1"/>
    <m/>
    <n v="2875.0624899999998"/>
    <n v="0"/>
    <n v="57775"/>
  </r>
  <r>
    <x v="17"/>
    <s v="05368-6"/>
    <s v="TD-Bygning"/>
    <n v="5465"/>
    <m/>
    <s v="TD-Bygning"/>
    <x v="130"/>
    <x v="1"/>
    <x v="0"/>
    <n v="40300.74"/>
    <n v="5"/>
    <s v="2015-05-04"/>
    <n v="0"/>
    <n v="1384"/>
    <n v="29.116927"/>
    <n v="1"/>
    <x v="1"/>
    <n v="46056.93"/>
    <n v="8520532.0500000007"/>
    <n v="1"/>
    <s v="30116800 VV01"/>
    <m/>
    <n v="40300.75"/>
    <n v="0"/>
    <n v="57777"/>
  </r>
  <r>
    <x v="17"/>
    <s v="05368-6"/>
    <s v="TD-Bygning"/>
    <n v="5465"/>
    <m/>
    <s v="TD-Bygning"/>
    <x v="130"/>
    <x v="1"/>
    <x v="1"/>
    <n v="1369.88"/>
    <n v="12"/>
    <s v="2015-05-04"/>
    <n v="0"/>
    <n v="1384"/>
    <n v="0.98972599999999999"/>
    <n v="1"/>
    <x v="1"/>
    <n v="1559"/>
    <n v="288.42"/>
    <n v="1"/>
    <s v="30116799  VE01"/>
    <m/>
    <n v="1369.88804"/>
    <n v="0"/>
    <n v="57767"/>
  </r>
  <r>
    <x v="17"/>
    <s v="05368-6"/>
    <s v="TD-Bygning"/>
    <n v="5465"/>
    <m/>
    <s v="TD-Bygning"/>
    <x v="130"/>
    <x v="1"/>
    <x v="1"/>
    <n v="8521.07"/>
    <n v="12"/>
    <s v="2015-05-04"/>
    <n v="0"/>
    <n v="1384"/>
    <n v="6.1563970000000001"/>
    <n v="1"/>
    <x v="1"/>
    <n v="11720.29"/>
    <n v="2168.2399999999998"/>
    <n v="1"/>
    <s v="30116798 VVB1"/>
    <m/>
    <n v="8521.0502699999997"/>
    <n v="0"/>
    <n v="57775"/>
  </r>
  <r>
    <x v="17"/>
    <s v="05368-6"/>
    <s v="TD-Bygning"/>
    <n v="5465"/>
    <m/>
    <s v="TD-Bygning"/>
    <x v="130"/>
    <x v="1"/>
    <x v="1"/>
    <n v="72562.66"/>
    <n v="12"/>
    <s v="2015-05-04"/>
    <n v="0"/>
    <n v="1384"/>
    <n v="52.425879000000002"/>
    <n v="1"/>
    <x v="1"/>
    <n v="75778.11"/>
    <n v="14018.95"/>
    <n v="1"/>
    <s v="30116800 VV01"/>
    <m/>
    <n v="72562.657500000001"/>
    <n v="0"/>
    <n v="57777"/>
  </r>
  <r>
    <x v="17"/>
    <s v="05368-6"/>
    <s v="TD-Bygning"/>
    <n v="5465"/>
    <m/>
    <s v="TD-Bygning"/>
    <x v="130"/>
    <x v="1"/>
    <x v="1"/>
    <n v="96520.13"/>
    <n v="12"/>
    <m/>
    <n v="0"/>
    <n v="1384"/>
    <n v="69.734938999999997"/>
    <n v="1"/>
    <x v="1"/>
    <n v="99264.83"/>
    <n v="18363.990000000002"/>
    <n v="0"/>
    <s v="4155449 aut"/>
    <m/>
    <n v="96520.132830000002"/>
    <n v="0"/>
    <n v="57760"/>
  </r>
  <r>
    <x v="17"/>
    <s v="05368-6"/>
    <s v="TD-Bygning"/>
    <n v="5465"/>
    <m/>
    <s v="TD-Bygning"/>
    <x v="130"/>
    <x v="1"/>
    <x v="2"/>
    <n v="3131.83"/>
    <n v="12"/>
    <s v="2015-05-04"/>
    <n v="0"/>
    <n v="1384"/>
    <n v="2.2627190000000001"/>
    <n v="1"/>
    <x v="1"/>
    <n v="3136.86"/>
    <n v="580.32000000000005"/>
    <n v="1"/>
    <s v="30116799  VE01"/>
    <m/>
    <n v="3131.8128200000001"/>
    <n v="0"/>
    <n v="57767"/>
  </r>
  <r>
    <x v="17"/>
    <s v="05368-6"/>
    <s v="TD-Bygning"/>
    <n v="5465"/>
    <m/>
    <s v="TD-Bygning"/>
    <x v="130"/>
    <x v="1"/>
    <x v="2"/>
    <n v="8747.4599999999991"/>
    <n v="12"/>
    <s v="2015-05-04"/>
    <n v="0"/>
    <n v="1384"/>
    <n v="6.3199620000000003"/>
    <n v="1"/>
    <x v="1"/>
    <n v="9655.59"/>
    <n v="1786.29"/>
    <n v="1"/>
    <s v="30116798 VVB1"/>
    <m/>
    <n v="8747.4590000000007"/>
    <n v="0"/>
    <n v="57775"/>
  </r>
  <r>
    <x v="17"/>
    <s v="05368-6"/>
    <s v="TD-Bygning"/>
    <n v="5465"/>
    <m/>
    <s v="TD-Bygning"/>
    <x v="130"/>
    <x v="1"/>
    <x v="2"/>
    <n v="71815.41"/>
    <n v="12"/>
    <s v="2015-05-04"/>
    <n v="0"/>
    <n v="1384"/>
    <n v="51.885998000000001"/>
    <n v="1"/>
    <x v="1"/>
    <n v="75745.47"/>
    <n v="14012.92"/>
    <n v="1"/>
    <s v="30116800 VV01"/>
    <m/>
    <n v="71815.400179999997"/>
    <n v="0"/>
    <n v="57777"/>
  </r>
  <r>
    <x v="17"/>
    <s v="05368-6"/>
    <s v="TD-Bygning"/>
    <n v="5465"/>
    <m/>
    <s v="TD-Bygning"/>
    <x v="130"/>
    <x v="1"/>
    <x v="2"/>
    <n v="101460.41"/>
    <n v="12"/>
    <m/>
    <n v="0"/>
    <n v="1384"/>
    <n v="73.304248000000001"/>
    <n v="1"/>
    <x v="1"/>
    <n v="107483.21"/>
    <n v="19884.39"/>
    <n v="0"/>
    <s v="4155449 aut"/>
    <m/>
    <n v="101460.40286"/>
    <n v="0"/>
    <n v="57760"/>
  </r>
  <r>
    <x v="17"/>
    <s v="05368-6"/>
    <s v="TD-Bygning"/>
    <n v="5465"/>
    <m/>
    <s v="TD-Bygning"/>
    <x v="130"/>
    <x v="1"/>
    <x v="3"/>
    <n v="7164.95"/>
    <n v="12"/>
    <s v="2015-05-04"/>
    <n v="0"/>
    <n v="1384"/>
    <n v="5.1766120000000004"/>
    <n v="1"/>
    <x v="1"/>
    <n v="8356.2900000000009"/>
    <n v="1545.91"/>
    <n v="1"/>
    <s v="30116799  VE01"/>
    <m/>
    <n v="7164.9393899999995"/>
    <n v="0"/>
    <n v="57767"/>
  </r>
  <r>
    <x v="17"/>
    <s v="05368-6"/>
    <s v="TD-Bygning"/>
    <n v="5465"/>
    <m/>
    <s v="TD-Bygning"/>
    <x v="130"/>
    <x v="1"/>
    <x v="3"/>
    <n v="70066.789999999994"/>
    <n v="12"/>
    <s v="2015-05-04"/>
    <n v="0"/>
    <n v="1384"/>
    <n v="50.622635000000002"/>
    <n v="1"/>
    <x v="1"/>
    <n v="76289.460000000006"/>
    <n v="14113.54"/>
    <n v="1"/>
    <s v="30116800 VV01"/>
    <m/>
    <n v="70066.78787"/>
    <n v="0"/>
    <n v="57777"/>
  </r>
  <r>
    <x v="17"/>
    <s v="05368-6"/>
    <s v="TD-Bygning"/>
    <n v="5465"/>
    <m/>
    <s v="TD-Bygning"/>
    <x v="130"/>
    <x v="1"/>
    <x v="3"/>
    <n v="100708.03"/>
    <n v="12"/>
    <m/>
    <n v="0"/>
    <n v="1384"/>
    <n v="72.760660000000001"/>
    <n v="1"/>
    <x v="1"/>
    <n v="108764.39"/>
    <n v="20121.43"/>
    <n v="0"/>
    <s v="4155449 aut"/>
    <m/>
    <n v="100708.03031"/>
    <n v="0"/>
    <n v="57760"/>
  </r>
  <r>
    <x v="17"/>
    <s v="05368-6"/>
    <s v="TD-Bygning"/>
    <n v="5465"/>
    <m/>
    <s v="TD-Bygning"/>
    <x v="130"/>
    <x v="1"/>
    <x v="3"/>
    <n v="8624.2000000000007"/>
    <n v="12"/>
    <s v="2015-05-04"/>
    <n v="0"/>
    <n v="1384"/>
    <n v="6.2309080000000003"/>
    <n v="1"/>
    <x v="1"/>
    <n v="10075.01"/>
    <n v="1863.89"/>
    <n v="1"/>
    <s v="30116798 VVB1"/>
    <m/>
    <n v="8624.2121299999999"/>
    <n v="0"/>
    <n v="57775"/>
  </r>
  <r>
    <x v="17"/>
    <s v="05368-6"/>
    <s v="TD-Bygning"/>
    <n v="5465"/>
    <m/>
    <s v="TD-Bygning"/>
    <x v="130"/>
    <x v="1"/>
    <x v="4"/>
    <n v="81263.66"/>
    <n v="12"/>
    <s v="2015-05-04"/>
    <n v="0"/>
    <n v="1384"/>
    <n v="58.712274999999998"/>
    <n v="1"/>
    <x v="1"/>
    <n v="73268.639999999999"/>
    <n v="13554.69"/>
    <n v="1"/>
    <s v="30116800 VV01"/>
    <m/>
    <n v="81263.664879999997"/>
    <n v="0"/>
    <n v="57777"/>
  </r>
  <r>
    <x v="17"/>
    <s v="05368-6"/>
    <s v="TD-Bygning"/>
    <n v="5465"/>
    <m/>
    <s v="TD-Bygning"/>
    <x v="130"/>
    <x v="1"/>
    <x v="4"/>
    <n v="122977.46"/>
    <n v="12"/>
    <m/>
    <n v="0"/>
    <n v="1384"/>
    <n v="88.850126000000003"/>
    <n v="1"/>
    <x v="1"/>
    <n v="110484"/>
    <n v="20439.54"/>
    <n v="0"/>
    <s v="4155449 aut"/>
    <m/>
    <n v="122977.44919"/>
    <n v="0"/>
    <n v="57760"/>
  </r>
  <r>
    <x v="17"/>
    <s v="05368-6"/>
    <s v="TD-Bygning"/>
    <n v="5465"/>
    <m/>
    <s v="TD-Bygning"/>
    <x v="130"/>
    <x v="1"/>
    <x v="4"/>
    <n v="4780.49"/>
    <n v="11"/>
    <s v="2015-05-04"/>
    <n v="0"/>
    <n v="1384"/>
    <n v="3.4538609999999998"/>
    <n v="1"/>
    <x v="1"/>
    <n v="4039.75"/>
    <n v="747.35"/>
    <n v="1"/>
    <s v="30116799  VE01"/>
    <m/>
    <n v="4780.4830700000002"/>
    <n v="0"/>
    <n v="57767"/>
  </r>
  <r>
    <x v="17"/>
    <s v="05368-6"/>
    <s v="TD-Bygning"/>
    <n v="5465"/>
    <m/>
    <s v="TD-Bygning"/>
    <x v="130"/>
    <x v="1"/>
    <x v="4"/>
    <n v="8880.74"/>
    <n v="12"/>
    <s v="2015-05-04"/>
    <n v="0"/>
    <n v="1384"/>
    <n v="6.4162559999999997"/>
    <n v="1"/>
    <x v="1"/>
    <n v="10809.78"/>
    <n v="1999.81"/>
    <n v="1"/>
    <s v="30116798 VVB1"/>
    <m/>
    <n v="8880.7406300000002"/>
    <n v="0"/>
    <n v="57775"/>
  </r>
  <r>
    <x v="17"/>
    <s v="05368-6"/>
    <s v="TD-Bygning"/>
    <n v="5465"/>
    <m/>
    <s v="TD-Bygning"/>
    <x v="130"/>
    <x v="1"/>
    <x v="5"/>
    <n v="106341.78"/>
    <n v="12"/>
    <m/>
    <n v="0"/>
    <n v="1384"/>
    <n v="76.830994000000004"/>
    <n v="1"/>
    <x v="1"/>
    <n v="112714.46"/>
    <n v="20852.18"/>
    <n v="0"/>
    <s v="4155449 aut"/>
    <m/>
    <n v="106341.79227000001"/>
    <n v="0"/>
    <n v="57760"/>
  </r>
  <r>
    <x v="17"/>
    <s v="05368-6"/>
    <s v="TD-Bygning"/>
    <n v="5465"/>
    <m/>
    <s v="TD-Bygning"/>
    <x v="130"/>
    <x v="1"/>
    <x v="5"/>
    <n v="6561.11"/>
    <n v="12"/>
    <s v="2015-05-04"/>
    <n v="0"/>
    <n v="1384"/>
    <n v="4.7403430000000002"/>
    <n v="1"/>
    <x v="1"/>
    <n v="9349.01"/>
    <n v="1729.57"/>
    <n v="1"/>
    <s v="30116799  VE01"/>
    <m/>
    <n v="6561.0974200000001"/>
    <n v="0"/>
    <n v="57767"/>
  </r>
  <r>
    <x v="17"/>
    <s v="05368-6"/>
    <s v="TD-Bygning"/>
    <n v="5465"/>
    <m/>
    <s v="TD-Bygning"/>
    <x v="130"/>
    <x v="1"/>
    <x v="5"/>
    <n v="8429.1200000000008"/>
    <n v="12"/>
    <s v="2015-05-04"/>
    <n v="0"/>
    <n v="1384"/>
    <n v="6.0899640000000002"/>
    <n v="1"/>
    <x v="1"/>
    <n v="11815.38"/>
    <n v="2185.85"/>
    <n v="1"/>
    <s v="30116798 VVB1"/>
    <m/>
    <n v="8429.1286799999998"/>
    <n v="0"/>
    <n v="57775"/>
  </r>
  <r>
    <x v="17"/>
    <s v="05368-6"/>
    <s v="TD-Bygning"/>
    <n v="5465"/>
    <m/>
    <s v="TD-Bygning"/>
    <x v="130"/>
    <x v="1"/>
    <x v="5"/>
    <n v="68690.19"/>
    <n v="12"/>
    <s v="2015-05-04"/>
    <n v="0"/>
    <n v="1384"/>
    <n v="49.628053999999999"/>
    <n v="1"/>
    <x v="1"/>
    <n v="72472.12"/>
    <n v="13407.34"/>
    <n v="1"/>
    <s v="30116800 VV01"/>
    <m/>
    <n v="68690.191189999998"/>
    <n v="0"/>
    <n v="57777"/>
  </r>
  <r>
    <x v="17"/>
    <s v="05368-6"/>
    <s v="TD-Bygning"/>
    <n v="5465"/>
    <m/>
    <s v="TD-Bygning"/>
    <x v="130"/>
    <x v="1"/>
    <x v="6"/>
    <n v="99750.24"/>
    <n v="12"/>
    <m/>
    <n v="0"/>
    <n v="1384"/>
    <n v="72.068664999999996"/>
    <n v="1"/>
    <x v="1"/>
    <n v="115949.61"/>
    <n v="21450.7"/>
    <n v="0"/>
    <s v="4155449 aut"/>
    <m/>
    <n v="99750.24037"/>
    <n v="0"/>
    <n v="57760"/>
  </r>
  <r>
    <x v="17"/>
    <s v="05368-6"/>
    <s v="TD-Bygning"/>
    <n v="5465"/>
    <m/>
    <s v="TD-Bygning"/>
    <x v="130"/>
    <x v="1"/>
    <x v="6"/>
    <n v="6351.28"/>
    <n v="12"/>
    <s v="2015-05-04"/>
    <n v="0"/>
    <n v="1384"/>
    <n v="4.588743"/>
    <n v="1"/>
    <x v="1"/>
    <n v="7994.54"/>
    <n v="1478.99"/>
    <n v="1"/>
    <s v="30116799  VE01"/>
    <m/>
    <n v="6351.2982899999997"/>
    <n v="0"/>
    <n v="57767"/>
  </r>
  <r>
    <x v="17"/>
    <s v="05368-6"/>
    <s v="TD-Bygning"/>
    <n v="5465"/>
    <m/>
    <s v="TD-Bygning"/>
    <x v="130"/>
    <x v="1"/>
    <x v="6"/>
    <n v="8489.2000000000007"/>
    <n v="12"/>
    <s v="2015-05-04"/>
    <n v="0"/>
    <n v="1384"/>
    <n v="6.1333710000000004"/>
    <n v="1"/>
    <x v="1"/>
    <n v="10636.7"/>
    <n v="1967.79"/>
    <n v="1"/>
    <s v="30116798 VVB1"/>
    <m/>
    <n v="8489.1912900000007"/>
    <n v="0"/>
    <n v="57775"/>
  </r>
  <r>
    <x v="17"/>
    <s v="05368-6"/>
    <s v="TD-Bygning"/>
    <n v="5465"/>
    <m/>
    <s v="TD-Bygning"/>
    <x v="130"/>
    <x v="1"/>
    <x v="6"/>
    <n v="63125.78"/>
    <n v="12"/>
    <s v="2015-05-04"/>
    <n v="0"/>
    <n v="1384"/>
    <n v="45.607816999999997"/>
    <n v="1"/>
    <x v="1"/>
    <n v="72781.58"/>
    <n v="13464.59"/>
    <n v="1"/>
    <s v="30116800 VV01"/>
    <m/>
    <n v="63125.780299999999"/>
    <n v="0"/>
    <n v="57777"/>
  </r>
  <r>
    <x v="17"/>
    <s v="05368-6"/>
    <s v="TD-Bygning"/>
    <n v="5539"/>
    <m/>
    <s v="Tennishal BM"/>
    <x v="130"/>
    <x v="1"/>
    <x v="0"/>
    <n v="3895.59"/>
    <n v="4"/>
    <s v="2015-05-04"/>
    <n v="0"/>
    <n v="1480"/>
    <n v="2.631977"/>
    <n v="1"/>
    <x v="1"/>
    <n v="4456.63"/>
    <n v="824476.55"/>
    <n v="0"/>
    <s v="30116801 VE02 hal"/>
    <m/>
    <n v="3895.59375"/>
    <n v="0"/>
    <n v="58289"/>
  </r>
  <r>
    <x v="17"/>
    <s v="05368-6"/>
    <s v="TD-Bygning"/>
    <n v="5539"/>
    <m/>
    <s v="Tennishal BM"/>
    <x v="130"/>
    <x v="1"/>
    <x v="1"/>
    <n v="12899.87"/>
    <n v="12"/>
    <s v="2015-05-04"/>
    <n v="0"/>
    <n v="1480"/>
    <n v="8.7155389999999997"/>
    <n v="1"/>
    <x v="1"/>
    <n v="13226.75"/>
    <n v="2446.96"/>
    <n v="0"/>
    <s v="30116801 VE02 hal"/>
    <m/>
    <n v="12899.86717"/>
    <n v="0"/>
    <n v="58289"/>
  </r>
  <r>
    <x v="17"/>
    <s v="05368-6"/>
    <s v="TD-Bygning"/>
    <n v="5539"/>
    <m/>
    <s v="Tennishal BM"/>
    <x v="130"/>
    <x v="1"/>
    <x v="2"/>
    <n v="12009.59"/>
    <n v="12"/>
    <s v="2015-05-04"/>
    <n v="0"/>
    <n v="1480"/>
    <n v="8.114039"/>
    <n v="1"/>
    <x v="1"/>
    <n v="12962.79"/>
    <n v="2398.11"/>
    <n v="0"/>
    <s v="30116801 VE02 hal"/>
    <m/>
    <n v="12009.59714"/>
    <n v="0"/>
    <n v="58289"/>
  </r>
  <r>
    <x v="17"/>
    <s v="05368-6"/>
    <s v="TD-Bygning"/>
    <n v="5539"/>
    <m/>
    <s v="Tennishal BM"/>
    <x v="130"/>
    <x v="1"/>
    <x v="3"/>
    <n v="15671.97"/>
    <n v="12"/>
    <s v="2015-05-04"/>
    <n v="0"/>
    <n v="1480"/>
    <n v="10.588452999999999"/>
    <n v="1"/>
    <x v="1"/>
    <n v="16597.87"/>
    <n v="3070.62"/>
    <n v="0"/>
    <s v="30116801 VE02 hal"/>
    <m/>
    <n v="15671.96969"/>
    <n v="0"/>
    <n v="58289"/>
  </r>
  <r>
    <x v="17"/>
    <s v="05368-6"/>
    <s v="TD-Bygning"/>
    <n v="5539"/>
    <m/>
    <s v="Tennishal BM"/>
    <x v="130"/>
    <x v="1"/>
    <x v="4"/>
    <n v="23702.54"/>
    <n v="12"/>
    <s v="2015-05-04"/>
    <n v="0"/>
    <n v="1480"/>
    <n v="16.014147000000001"/>
    <n v="1"/>
    <x v="1"/>
    <n v="21746.06"/>
    <n v="4023.03"/>
    <n v="0"/>
    <s v="30116801 VE02 hal"/>
    <m/>
    <n v="23702.550810000001"/>
    <n v="0"/>
    <n v="58289"/>
  </r>
  <r>
    <x v="17"/>
    <s v="05368-6"/>
    <s v="TD-Bygning"/>
    <n v="5539"/>
    <m/>
    <s v="Tennishal BM"/>
    <x v="130"/>
    <x v="1"/>
    <x v="5"/>
    <n v="18488.22"/>
    <n v="12"/>
    <s v="2015-05-04"/>
    <n v="0"/>
    <n v="1480"/>
    <n v="12.491196"/>
    <n v="1"/>
    <x v="1"/>
    <n v="19558.12"/>
    <n v="3618.27"/>
    <n v="0"/>
    <s v="30116801 VE02 hal"/>
    <m/>
    <n v="18488.207729999998"/>
    <n v="0"/>
    <n v="58289"/>
  </r>
  <r>
    <x v="17"/>
    <s v="05368-6"/>
    <s v="TD-Bygning"/>
    <n v="5539"/>
    <m/>
    <s v="Tennishal BM"/>
    <x v="130"/>
    <x v="1"/>
    <x v="6"/>
    <n v="15449.76"/>
    <n v="12"/>
    <s v="2015-05-04"/>
    <n v="0"/>
    <n v="1480"/>
    <n v="10.438321"/>
    <n v="1"/>
    <x v="1"/>
    <n v="17909.68"/>
    <n v="3313.29"/>
    <n v="0"/>
    <s v="30116801 VE02 hal"/>
    <m/>
    <n v="15449.75663"/>
    <n v="0"/>
    <n v="58289"/>
  </r>
  <r>
    <x v="17"/>
    <s v="02561-5"/>
    <s v="Farum Park"/>
    <n v="5468"/>
    <m/>
    <s v="Farum Park"/>
    <x v="132"/>
    <x v="1"/>
    <x v="6"/>
    <n v="2163.91"/>
    <n v="12"/>
    <m/>
    <n v="0"/>
    <n v="12237"/>
    <n v="0.17683099999999999"/>
    <n v="3"/>
    <x v="0"/>
    <n v="2163.91"/>
    <n v="1731.13"/>
    <n v="0"/>
    <s v="9828007 BK"/>
    <m/>
    <n v="2163.9160000000002"/>
    <n v="0"/>
    <n v="58260"/>
  </r>
  <r>
    <x v="17"/>
    <s v="02561-5"/>
    <s v="Farum Park"/>
    <n v="5468"/>
    <m/>
    <s v="Farum Park"/>
    <x v="132"/>
    <x v="1"/>
    <x v="6"/>
    <n v="969"/>
    <n v="5"/>
    <s v="2008-05-01"/>
    <n v="0"/>
    <n v="12237"/>
    <n v="7.9185000000000005E-2"/>
    <n v="3"/>
    <x v="0"/>
    <n v="969"/>
    <n v="775.2"/>
    <n v="0"/>
    <s v="9828007 BK"/>
    <m/>
    <n v="969"/>
    <n v="0"/>
    <n v="57826"/>
  </r>
  <r>
    <x v="17"/>
    <s v="02561-5"/>
    <s v="Farum Park"/>
    <n v="5468"/>
    <m/>
    <s v="Farum Park"/>
    <x v="132"/>
    <x v="1"/>
    <x v="6"/>
    <n v="308.88"/>
    <n v="12"/>
    <m/>
    <n v="0"/>
    <n v="12237"/>
    <n v="2.5241E-2"/>
    <n v="3"/>
    <x v="0"/>
    <n v="308.88"/>
    <n v="247.09"/>
    <n v="1"/>
    <s v="28277499 BV"/>
    <m/>
    <n v="308.875"/>
    <n v="0"/>
    <n v="57827"/>
  </r>
  <r>
    <x v="17"/>
    <s v="02561-5"/>
    <s v="Farum Park"/>
    <n v="5468"/>
    <m/>
    <s v="Farum Park"/>
    <x v="132"/>
    <x v="1"/>
    <x v="6"/>
    <n v="93.33"/>
    <n v="12"/>
    <m/>
    <n v="0"/>
    <n v="12237"/>
    <n v="7.626E-3"/>
    <n v="3"/>
    <x v="0"/>
    <n v="93.33"/>
    <n v="74.650000000000006"/>
    <n v="1"/>
    <s v="2200812 BV"/>
    <m/>
    <n v="93.33"/>
    <n v="0"/>
    <n v="57829"/>
  </r>
  <r>
    <x v="17"/>
    <s v="02561-5"/>
    <s v="Farum Park"/>
    <n v="6026"/>
    <m/>
    <s v="Bimåler F.K."/>
    <x v="132"/>
    <x v="1"/>
    <x v="7"/>
    <n v="187630.49"/>
    <n v="11"/>
    <s v="2015-05-04"/>
    <n v="0"/>
    <n v="0"/>
    <n v="1876304.9"/>
    <n v="1"/>
    <x v="1"/>
    <n v="229628.17"/>
    <n v="14373065.890000001"/>
    <n v="1"/>
    <s v="40014450 RA C/D"/>
    <m/>
    <n v="187630.48663"/>
    <n v="0"/>
    <n v="60556"/>
  </r>
  <r>
    <x v="17"/>
    <s v="02561-5"/>
    <s v="Farum Park"/>
    <n v="6027"/>
    <m/>
    <s v="Bimåler FCN"/>
    <x v="132"/>
    <x v="1"/>
    <x v="7"/>
    <n v="1630.21"/>
    <n v="1"/>
    <s v="2014-02-01"/>
    <n v="0"/>
    <n v="0"/>
    <n v="16302.1"/>
    <n v="1"/>
    <x v="1"/>
    <n v="1767.29"/>
    <n v="326.95"/>
    <n v="1"/>
    <s v="EM1 Loger"/>
    <m/>
    <n v="1630.20759"/>
    <n v="0"/>
    <n v="60564"/>
  </r>
  <r>
    <x v="17"/>
    <s v="02561-5"/>
    <s v="Farum Park"/>
    <n v="6027"/>
    <m/>
    <s v="Bimåler FCN"/>
    <x v="132"/>
    <x v="1"/>
    <x v="7"/>
    <n v="1652.18"/>
    <n v="1"/>
    <s v="2014-02-01"/>
    <n v="0"/>
    <n v="0"/>
    <n v="16521.8"/>
    <n v="1"/>
    <x v="1"/>
    <n v="1790.14"/>
    <n v="331.18"/>
    <n v="1"/>
    <s v="EM3 Suiter"/>
    <m/>
    <n v="1652.18228"/>
    <n v="0"/>
    <n v="60565"/>
  </r>
  <r>
    <x v="17"/>
    <s v="02561-5"/>
    <s v="Farum Park"/>
    <n v="6027"/>
    <m/>
    <s v="Bimåler FCN"/>
    <x v="132"/>
    <x v="1"/>
    <x v="7"/>
    <n v="63839.18"/>
    <n v="12"/>
    <s v="2015-05-04"/>
    <n v="0"/>
    <n v="0"/>
    <n v="638391.80000000005"/>
    <n v="1"/>
    <x v="1"/>
    <n v="78649.320000000007"/>
    <n v="5221315.4000000004"/>
    <n v="1"/>
    <s v="EM6 RA 1.sal Trb.C"/>
    <m/>
    <n v="63839.168660000003"/>
    <n v="0"/>
    <n v="60567"/>
  </r>
  <r>
    <x v="17"/>
    <s v="02561-5"/>
    <s v="Farum Park"/>
    <n v="5468"/>
    <m/>
    <s v="Farum Park"/>
    <x v="132"/>
    <x v="0"/>
    <x v="7"/>
    <n v="205950"/>
    <n v="12"/>
    <m/>
    <n v="0"/>
    <n v="12237"/>
    <n v="16.829967"/>
    <n v="1"/>
    <x v="1"/>
    <n v="247667.78"/>
    <n v="24135720.079999998"/>
    <n v="0"/>
    <s v="1056425"/>
    <m/>
    <n v="205950"/>
    <n v="0"/>
    <n v="57821"/>
  </r>
  <r>
    <x v="17"/>
    <s v="02561-5"/>
    <s v="Farum Park"/>
    <n v="5468"/>
    <m/>
    <s v="Farum Park"/>
    <x v="132"/>
    <x v="1"/>
    <x v="7"/>
    <n v="278680"/>
    <n v="12"/>
    <m/>
    <n v="0"/>
    <n v="12237"/>
    <n v="22.773368999999999"/>
    <n v="1"/>
    <x v="1"/>
    <n v="331923.23"/>
    <n v="21528187.379999999"/>
    <n v="0"/>
    <s v="4105252"/>
    <m/>
    <n v="278680"/>
    <n v="0"/>
    <n v="57834"/>
  </r>
  <r>
    <x v="17"/>
    <s v="02561-5"/>
    <s v="Farum Park"/>
    <n v="5468"/>
    <m/>
    <s v="Farum Park"/>
    <x v="132"/>
    <x v="1"/>
    <x v="7"/>
    <n v="21111.94"/>
    <n v="12"/>
    <m/>
    <n v="0"/>
    <n v="12237"/>
    <n v="1.7252400000000001"/>
    <n v="1"/>
    <x v="3"/>
    <n v="23392.23"/>
    <n v="124.03"/>
    <n v="1"/>
    <s v="1056425"/>
    <m/>
    <n v="605.1"/>
    <n v="57821"/>
    <n v="57832"/>
  </r>
  <r>
    <x v="17"/>
    <s v="02561-5"/>
    <s v="Farum Park"/>
    <n v="5468"/>
    <m/>
    <s v="Farum Park"/>
    <x v="132"/>
    <x v="1"/>
    <x v="7"/>
    <n v="212267.27"/>
    <n v="12"/>
    <m/>
    <n v="0"/>
    <n v="12237"/>
    <n v="17.346207"/>
    <n v="1"/>
    <x v="3"/>
    <n v="252523.21"/>
    <n v="466101.97"/>
    <n v="1"/>
    <s v="4105252"/>
    <m/>
    <n v="6083.9"/>
    <n v="57834"/>
    <n v="57835"/>
  </r>
  <r>
    <x v="17"/>
    <m/>
    <s v="Værløse Bio Bymidten 44"/>
    <n v="13825"/>
    <m/>
    <s v="Værløse Bio"/>
    <x v="131"/>
    <x v="1"/>
    <x v="0"/>
    <n v="4913"/>
    <n v="5"/>
    <s v="2014-02-28"/>
    <n v="0"/>
    <n v="739"/>
    <n v="6.6472730000000002"/>
    <n v="1"/>
    <x v="1"/>
    <n v="5568.24"/>
    <n v="356.36"/>
    <n v="0"/>
    <s v="69061501"/>
    <m/>
    <n v="4913"/>
    <n v="0"/>
    <n v="94197"/>
  </r>
  <r>
    <x v="17"/>
    <m/>
    <s v="Værløse Bio Bymidten 44"/>
    <n v="13825"/>
    <m/>
    <s v="Værløse Bio"/>
    <x v="131"/>
    <x v="1"/>
    <x v="0"/>
    <n v="60181"/>
    <n v="5"/>
    <s v="2014-02-28"/>
    <n v="0"/>
    <n v="739"/>
    <n v="81.424705000000003"/>
    <n v="1"/>
    <x v="1"/>
    <n v="67898.83"/>
    <n v="4345.5200000000004"/>
    <n v="0"/>
    <s v="69320466"/>
    <m/>
    <n v="60181"/>
    <n v="0"/>
    <n v="94055"/>
  </r>
  <r>
    <x v="17"/>
    <m/>
    <s v="Værløse Bio Bymidten 44"/>
    <n v="13825"/>
    <m/>
    <s v="Værløse Bio"/>
    <x v="131"/>
    <x v="1"/>
    <x v="1"/>
    <n v="11187.93"/>
    <n v="5"/>
    <s v="2014-02-28"/>
    <n v="0"/>
    <n v="739"/>
    <n v="15.137233999999999"/>
    <n v="1"/>
    <x v="1"/>
    <n v="12103.55"/>
    <n v="774.63"/>
    <n v="0"/>
    <s v="69061501"/>
    <m/>
    <n v="11187.9256"/>
    <n v="0"/>
    <n v="94197"/>
  </r>
  <r>
    <x v="17"/>
    <m/>
    <s v="Værløse Bio Bymidten 44"/>
    <n v="13825"/>
    <m/>
    <s v="Værløse Bio"/>
    <x v="131"/>
    <x v="1"/>
    <x v="1"/>
    <n v="38247.15"/>
    <n v="4"/>
    <s v="2014-03-11"/>
    <n v="0"/>
    <n v="739"/>
    <n v="51.748274000000002"/>
    <n v="1"/>
    <x v="5"/>
    <n v="46035.3"/>
    <n v="2946.25"/>
    <n v="1"/>
    <s v="6991589"/>
    <m/>
    <n v="38.247149999999998"/>
    <n v="0"/>
    <n v="94054"/>
  </r>
  <r>
    <x v="17"/>
    <m/>
    <s v="Værløse Bio Bymidten 44"/>
    <n v="13825"/>
    <m/>
    <s v="Værløse Bio"/>
    <x v="131"/>
    <x v="1"/>
    <x v="1"/>
    <n v="108594.16"/>
    <n v="4"/>
    <s v="2014-02-28"/>
    <n v="0"/>
    <n v="739"/>
    <n v="146.92756"/>
    <n v="1"/>
    <x v="1"/>
    <n v="120238.57"/>
    <n v="7695.25"/>
    <n v="0"/>
    <s v="69320466"/>
    <m/>
    <n v="108594.17675"/>
    <n v="0"/>
    <n v="94055"/>
  </r>
  <r>
    <x v="17"/>
    <m/>
    <s v="Værløse Bio Bymidten 44"/>
    <n v="13825"/>
    <m/>
    <s v="Værløse Bio"/>
    <x v="131"/>
    <x v="1"/>
    <x v="2"/>
    <n v="134419.34"/>
    <n v="1"/>
    <s v="2014-02-28"/>
    <n v="0"/>
    <n v="739"/>
    <n v="181.86894799999999"/>
    <n v="1"/>
    <x v="1"/>
    <n v="147376.46"/>
    <n v="27264.65"/>
    <n v="0"/>
    <s v="69320466"/>
    <m/>
    <n v="134419.36463"/>
    <n v="0"/>
    <n v="94055"/>
  </r>
  <r>
    <x v="17"/>
    <m/>
    <s v="Værløse Bio Bymidten 44"/>
    <n v="13825"/>
    <m/>
    <s v="Værløse Bio"/>
    <x v="131"/>
    <x v="1"/>
    <x v="2"/>
    <n v="14133.09"/>
    <n v="1"/>
    <s v="2014-02-28"/>
    <n v="0"/>
    <n v="739"/>
    <n v="19.122026000000002"/>
    <n v="1"/>
    <x v="1"/>
    <n v="15587.21"/>
    <n v="2883.63"/>
    <n v="0"/>
    <s v="69061501"/>
    <m/>
    <n v="14133.110479999999"/>
    <n v="0"/>
    <n v="94197"/>
  </r>
  <r>
    <x v="17"/>
    <m/>
    <s v="Værløse Bio Bymidten 44"/>
    <n v="13825"/>
    <m/>
    <s v="Værløse Bio"/>
    <x v="131"/>
    <x v="1"/>
    <x v="3"/>
    <n v="125900.35"/>
    <n v="1"/>
    <s v="2014-02-28"/>
    <n v="0"/>
    <n v="739"/>
    <n v="170.342781"/>
    <n v="1"/>
    <x v="1"/>
    <n v="149837.09"/>
    <n v="27719.85"/>
    <n v="0"/>
    <s v="69320466"/>
    <m/>
    <n v="125900.36571"/>
    <n v="0"/>
    <n v="94055"/>
  </r>
  <r>
    <x v="17"/>
    <m/>
    <s v="Værløse Bio Bymidten 44"/>
    <n v="13825"/>
    <m/>
    <s v="Værløse Bio"/>
    <x v="131"/>
    <x v="1"/>
    <x v="3"/>
    <n v="12777.59"/>
    <n v="1"/>
    <s v="2014-02-28"/>
    <n v="0"/>
    <n v="739"/>
    <n v="17.288039000000001"/>
    <n v="1"/>
    <x v="1"/>
    <n v="15176.83"/>
    <n v="2807.71"/>
    <n v="0"/>
    <s v="69061501"/>
    <m/>
    <n v="12777.6026"/>
    <n v="0"/>
    <n v="94197"/>
  </r>
  <r>
    <x v="17"/>
    <m/>
    <s v="Værløse Bio Bymidten 44"/>
    <n v="13825"/>
    <m/>
    <s v="Værløse Bio"/>
    <x v="131"/>
    <x v="1"/>
    <x v="4"/>
    <n v="114513.68"/>
    <n v="1"/>
    <s v="2014-02-28"/>
    <n v="0"/>
    <n v="739"/>
    <n v="154.93665200000001"/>
    <n v="1"/>
    <x v="1"/>
    <n v="151012.76"/>
    <n v="27937.35"/>
    <n v="0"/>
    <s v="69320466"/>
    <m/>
    <n v="114513.66574"/>
    <n v="0"/>
    <n v="94055"/>
  </r>
  <r>
    <x v="17"/>
    <m/>
    <s v="Værløse Bio Bymidten 44"/>
    <n v="13825"/>
    <m/>
    <s v="Værløse Bio"/>
    <x v="131"/>
    <x v="1"/>
    <x v="4"/>
    <n v="10175.719999999999"/>
    <n v="1"/>
    <s v="2014-02-28"/>
    <n v="0"/>
    <n v="739"/>
    <n v="13.767716999999999"/>
    <n v="1"/>
    <x v="1"/>
    <n v="13141.63"/>
    <n v="2431.2199999999998"/>
    <n v="0"/>
    <s v="69061501"/>
    <m/>
    <n v="10175.73695"/>
    <n v="0"/>
    <n v="94197"/>
  </r>
  <r>
    <x v="17"/>
    <m/>
    <s v="Værløse Bio Bymidten 44"/>
    <n v="13825"/>
    <m/>
    <s v="Værløse Bio"/>
    <x v="131"/>
    <x v="1"/>
    <x v="5"/>
    <n v="100796.38"/>
    <n v="1"/>
    <s v="2014-02-28"/>
    <n v="0"/>
    <n v="739"/>
    <n v="136.37718799999999"/>
    <n v="1"/>
    <x v="1"/>
    <n v="147831.71"/>
    <n v="27348.86"/>
    <n v="0"/>
    <s v="69320466"/>
    <m/>
    <n v="100796.38082999999"/>
    <n v="0"/>
    <n v="94055"/>
  </r>
  <r>
    <x v="17"/>
    <m/>
    <s v="Værløse Bio Bymidten 44"/>
    <n v="13825"/>
    <m/>
    <s v="Værløse Bio"/>
    <x v="131"/>
    <x v="1"/>
    <x v="5"/>
    <n v="8044.88"/>
    <n v="1"/>
    <s v="2014-02-28"/>
    <n v="0"/>
    <n v="739"/>
    <n v="10.884696999999999"/>
    <n v="1"/>
    <x v="1"/>
    <n v="11687.97"/>
    <n v="2162.27"/>
    <n v="0"/>
    <s v="69061501"/>
    <m/>
    <n v="8044.9013699999996"/>
    <n v="0"/>
    <n v="94197"/>
  </r>
  <r>
    <x v="17"/>
    <m/>
    <s v="Værløse Bio Bymidten 44"/>
    <n v="13825"/>
    <m/>
    <s v="Værløse Bio"/>
    <x v="131"/>
    <x v="1"/>
    <x v="6"/>
    <n v="97806.68"/>
    <n v="1"/>
    <s v="2014-02-28"/>
    <n v="0"/>
    <n v="739"/>
    <n v="132.332133"/>
    <n v="1"/>
    <x v="1"/>
    <n v="126843.8"/>
    <n v="23466.1"/>
    <n v="0"/>
    <s v="69320466"/>
    <m/>
    <n v="97806.669670000003"/>
    <n v="0"/>
    <n v="94055"/>
  </r>
  <r>
    <x v="17"/>
    <m/>
    <s v="Værløse Bio Bymidten 44"/>
    <n v="13825"/>
    <m/>
    <s v="Værløse Bio"/>
    <x v="131"/>
    <x v="1"/>
    <x v="6"/>
    <n v="7534.82"/>
    <n v="1"/>
    <s v="2014-02-28"/>
    <n v="0"/>
    <n v="739"/>
    <n v="10.194588"/>
    <n v="1"/>
    <x v="1"/>
    <n v="9762.44"/>
    <n v="1806.07"/>
    <n v="0"/>
    <s v="69061501"/>
    <m/>
    <n v="7534.8328000000001"/>
    <n v="0"/>
    <n v="94197"/>
  </r>
  <r>
    <x v="17"/>
    <s v="05368-6"/>
    <s v="TD-Bygning"/>
    <n v="5465"/>
    <m/>
    <s v="TD-Bygning"/>
    <x v="130"/>
    <x v="1"/>
    <x v="0"/>
    <n v="6286.13"/>
    <n v="4"/>
    <s v="2015-05-04"/>
    <n v="0"/>
    <n v="1384"/>
    <n v="4.5416730000000003"/>
    <n v="2"/>
    <x v="2"/>
    <n v="6286.13"/>
    <n v="2514.4499999999998"/>
    <n v="1"/>
    <s v="EL03 VE01"/>
    <m/>
    <n v="6286.1250099999997"/>
    <n v="0"/>
    <n v="57770"/>
  </r>
  <r>
    <x v="17"/>
    <s v="05368-6"/>
    <s v="TD-Bygning"/>
    <n v="5465"/>
    <m/>
    <s v="TD-Bygning"/>
    <x v="130"/>
    <x v="1"/>
    <x v="0"/>
    <n v="25666"/>
    <n v="5"/>
    <m/>
    <n v="0"/>
    <n v="1384"/>
    <n v="18.543457"/>
    <n v="2"/>
    <x v="2"/>
    <n v="25666"/>
    <n v="10266.41"/>
    <n v="0"/>
    <s v="3104996"/>
    <s v="74115046041"/>
    <n v="25666.000499999998"/>
    <n v="0"/>
    <n v="58297"/>
  </r>
  <r>
    <x v="17"/>
    <s v="05368-6"/>
    <s v="TD-Bygning"/>
    <n v="5465"/>
    <m/>
    <s v="TD-Bygning"/>
    <x v="130"/>
    <x v="1"/>
    <x v="0"/>
    <n v="619.03"/>
    <n v="5"/>
    <s v="2015-05-04"/>
    <n v="0"/>
    <n v="1384"/>
    <n v="0.447243"/>
    <n v="2"/>
    <x v="2"/>
    <n v="619.03"/>
    <n v="185.7"/>
    <n v="1"/>
    <s v="112579 Nordic Sportscente"/>
    <m/>
    <n v="619.03125"/>
    <n v="0"/>
    <n v="90264"/>
  </r>
  <r>
    <x v="17"/>
    <s v="05368-6"/>
    <s v="TD-Bygning"/>
    <n v="5465"/>
    <m/>
    <s v="TD-Bygning"/>
    <x v="130"/>
    <x v="1"/>
    <x v="0"/>
    <n v="210.22"/>
    <n v="5"/>
    <s v="2015-05-04"/>
    <n v="0"/>
    <n v="1384"/>
    <n v="0.15188199999999999"/>
    <n v="2"/>
    <x v="2"/>
    <n v="210.22"/>
    <n v="63.07"/>
    <n v="1"/>
    <s v="113957 Køkken"/>
    <m/>
    <n v="210.21875"/>
    <n v="0"/>
    <n v="90266"/>
  </r>
  <r>
    <x v="17"/>
    <s v="05368-6"/>
    <s v="TD-Bygning"/>
    <n v="5465"/>
    <m/>
    <s v="TD-Bygning"/>
    <x v="130"/>
    <x v="1"/>
    <x v="0"/>
    <n v="33.06"/>
    <n v="5"/>
    <s v="2015-05-04"/>
    <n v="0"/>
    <n v="1384"/>
    <n v="2.3885E-2"/>
    <n v="2"/>
    <x v="2"/>
    <n v="33.06"/>
    <n v="9.91"/>
    <n v="1"/>
    <s v="112644 Krop Danmark"/>
    <m/>
    <n v="33.0625"/>
    <n v="0"/>
    <n v="90265"/>
  </r>
  <r>
    <x v="17"/>
    <s v="05368-6"/>
    <s v="TD-Bygning"/>
    <n v="5465"/>
    <m/>
    <s v="TD-Bygning"/>
    <x v="130"/>
    <x v="1"/>
    <x v="0"/>
    <n v="2466.16"/>
    <n v="5"/>
    <s v="2015-05-04"/>
    <n v="0"/>
    <n v="1384"/>
    <n v="1.7817780000000001"/>
    <n v="2"/>
    <x v="2"/>
    <n v="2466.16"/>
    <n v="739.85"/>
    <n v="1"/>
    <s v="112614 Svøm 1 Sal"/>
    <m/>
    <n v="2466.15625"/>
    <n v="0"/>
    <n v="90267"/>
  </r>
  <r>
    <x v="17"/>
    <s v="05368-6"/>
    <s v="TD-Bygning"/>
    <n v="5465"/>
    <m/>
    <s v="TD-Bygning"/>
    <x v="130"/>
    <x v="1"/>
    <x v="0"/>
    <n v="4871.3999999999996"/>
    <n v="5"/>
    <s v="2015-05-04"/>
    <n v="0"/>
    <n v="1384"/>
    <n v="3.5195430000000001"/>
    <n v="2"/>
    <x v="2"/>
    <n v="4871.3999999999996"/>
    <n v="1461.42"/>
    <n v="1"/>
    <s v="112643 Svøm 2 Sal"/>
    <m/>
    <n v="4871.4062599999997"/>
    <n v="0"/>
    <n v="90268"/>
  </r>
  <r>
    <x v="17"/>
    <s v="05368-6"/>
    <s v="TD-Bygning"/>
    <n v="5465"/>
    <m/>
    <s v="TD-Bygning"/>
    <x v="130"/>
    <x v="1"/>
    <x v="1"/>
    <n v="704.08"/>
    <n v="12"/>
    <s v="2015-05-04"/>
    <n v="0"/>
    <n v="1384"/>
    <n v="0.508691"/>
    <n v="2"/>
    <x v="2"/>
    <n v="704.08"/>
    <n v="211.21"/>
    <n v="1"/>
    <s v="112644 Krop Danmark"/>
    <m/>
    <n v="704.08825000000002"/>
    <n v="0"/>
    <n v="90265"/>
  </r>
  <r>
    <x v="17"/>
    <m/>
    <s v="Ballerupvej 29A UDLEJET"/>
    <n v="10276"/>
    <m/>
    <s v="Ballerupvej 29A"/>
    <x v="126"/>
    <x v="1"/>
    <x v="0"/>
    <n v="1894.93"/>
    <n v="5"/>
    <m/>
    <n v="0"/>
    <n v="0"/>
    <n v="18949.3"/>
    <n v="2"/>
    <x v="2"/>
    <n v="1894.93"/>
    <n v="888.73"/>
    <n v="0"/>
    <m/>
    <m/>
    <n v="1894.9163000000001"/>
    <n v="0"/>
    <n v="90594"/>
  </r>
  <r>
    <x v="17"/>
    <m/>
    <s v="Ballerupvej 29A UDLEJET"/>
    <n v="10276"/>
    <m/>
    <s v="Ballerupvej 29A"/>
    <x v="126"/>
    <x v="1"/>
    <x v="1"/>
    <n v="2759.33"/>
    <n v="12"/>
    <m/>
    <n v="0"/>
    <n v="0"/>
    <n v="27593.3"/>
    <n v="2"/>
    <x v="2"/>
    <n v="2759.33"/>
    <n v="1294.1099999999999"/>
    <n v="0"/>
    <m/>
    <m/>
    <n v="2759.3262"/>
    <n v="0"/>
    <n v="90594"/>
  </r>
  <r>
    <x v="17"/>
    <m/>
    <s v="Ballerupvej 29A UDLEJET"/>
    <n v="10276"/>
    <m/>
    <s v="Ballerupvej 29A"/>
    <x v="126"/>
    <x v="1"/>
    <x v="2"/>
    <n v="5428.67"/>
    <n v="12"/>
    <m/>
    <n v="0"/>
    <n v="0"/>
    <n v="54286.7"/>
    <n v="2"/>
    <x v="2"/>
    <n v="5428.67"/>
    <n v="2546.0500000000002"/>
    <n v="0"/>
    <m/>
    <m/>
    <n v="5428.6736000000001"/>
    <n v="0"/>
    <n v="90594"/>
  </r>
  <r>
    <x v="17"/>
    <m/>
    <s v="Ballerupvej 29A UDLEJET"/>
    <n v="10276"/>
    <m/>
    <s v="Ballerupvej 29A"/>
    <x v="126"/>
    <x v="1"/>
    <x v="3"/>
    <n v="277.14999999999998"/>
    <n v="1"/>
    <m/>
    <n v="0"/>
    <n v="0"/>
    <n v="2771.5"/>
    <n v="2"/>
    <x v="2"/>
    <n v="277.14999999999998"/>
    <n v="129.99"/>
    <n v="0"/>
    <m/>
    <m/>
    <n v="277.15370000000001"/>
    <n v="0"/>
    <n v="90594"/>
  </r>
  <r>
    <x v="17"/>
    <m/>
    <s v="Ballerupvej 31 UDLEJET"/>
    <n v="10277"/>
    <m/>
    <s v="Ballerupvej 31"/>
    <x v="127"/>
    <x v="1"/>
    <x v="0"/>
    <n v="4738.24"/>
    <n v="5"/>
    <s v="2013-05-07"/>
    <n v="0"/>
    <n v="304"/>
    <n v="15.581189999999999"/>
    <n v="2"/>
    <x v="2"/>
    <n v="4738.24"/>
    <n v="1421.47"/>
    <n v="0"/>
    <s v="482983-33501 / 1096152"/>
    <s v="74110499637"/>
    <n v="4738.2349999999997"/>
    <n v="0"/>
    <n v="77671"/>
  </r>
  <r>
    <x v="17"/>
    <m/>
    <s v="Ballerupvej 31 UDLEJET"/>
    <n v="10277"/>
    <m/>
    <s v="Ballerupvej 31"/>
    <x v="127"/>
    <x v="1"/>
    <x v="1"/>
    <n v="5140.1400000000003"/>
    <n v="13"/>
    <s v="2013-05-07"/>
    <n v="0"/>
    <n v="304"/>
    <n v="16.902795000000001"/>
    <n v="2"/>
    <x v="2"/>
    <n v="5140.1400000000003"/>
    <n v="1542.05"/>
    <n v="0"/>
    <s v="482983-33501 / 1096152"/>
    <s v="74110499637"/>
    <n v="5140.1309899999997"/>
    <n v="0"/>
    <n v="77671"/>
  </r>
  <r>
    <x v="17"/>
    <m/>
    <s v="Ballerupvej 31 UDLEJET"/>
    <n v="10277"/>
    <m/>
    <s v="Ballerupvej 31"/>
    <x v="127"/>
    <x v="1"/>
    <x v="2"/>
    <n v="13415.42"/>
    <n v="12"/>
    <s v="2013-05-07"/>
    <n v="0"/>
    <n v="304"/>
    <n v="44.115158999999998"/>
    <n v="2"/>
    <x v="2"/>
    <n v="13415.42"/>
    <n v="5366.09"/>
    <n v="0"/>
    <s v="482983-33501 / 1096152"/>
    <s v="74110499637"/>
    <n v="13415.3791"/>
    <n v="0"/>
    <n v="77671"/>
  </r>
  <r>
    <x v="17"/>
    <m/>
    <s v="Ballerupvej 31 UDLEJET"/>
    <n v="10277"/>
    <m/>
    <s v="Ballerupvej 31"/>
    <x v="127"/>
    <x v="1"/>
    <x v="3"/>
    <n v="2556.14"/>
    <n v="3"/>
    <s v="2013-05-07"/>
    <n v="0"/>
    <n v="304"/>
    <n v="8.4055900000000001"/>
    <n v="2"/>
    <x v="2"/>
    <n v="2556.14"/>
    <n v="1198.8399999999999"/>
    <n v="0"/>
    <s v="482983-33501 / 1096152"/>
    <s v="74110499637"/>
    <n v="2556.1228900000001"/>
    <n v="0"/>
    <n v="77671"/>
  </r>
  <r>
    <x v="17"/>
    <m/>
    <s v="Ballerupvej 31 UDLEJET"/>
    <n v="10277"/>
    <m/>
    <s v="Ballerupvej 31"/>
    <x v="127"/>
    <x v="1"/>
    <x v="4"/>
    <n v="3935.94"/>
    <n v="3"/>
    <s v="2013-05-07"/>
    <n v="0"/>
    <n v="304"/>
    <n v="12.942913000000001"/>
    <n v="2"/>
    <x v="2"/>
    <n v="3935.94"/>
    <n v="1845.96"/>
    <n v="0"/>
    <s v="482983-33501 / 1096152"/>
    <s v="74110499637"/>
    <n v="3935.9627399999999"/>
    <n v="0"/>
    <n v="77671"/>
  </r>
  <r>
    <x v="17"/>
    <m/>
    <s v="Ballerupvej 31 UDLEJET"/>
    <n v="10277"/>
    <m/>
    <s v="Ballerupvej 31"/>
    <x v="127"/>
    <x v="1"/>
    <x v="5"/>
    <n v="4248.1099999999997"/>
    <n v="4"/>
    <s v="2013-05-07"/>
    <n v="0"/>
    <n v="304"/>
    <n v="13.96945"/>
    <n v="2"/>
    <x v="2"/>
    <n v="4248.1099999999997"/>
    <n v="1992.37"/>
    <n v="0"/>
    <s v="482983-33501 / 1096152"/>
    <s v="74110499637"/>
    <n v="4248.1281499999996"/>
    <n v="0"/>
    <n v="77671"/>
  </r>
  <r>
    <x v="17"/>
    <m/>
    <s v="Ballerupvej 31 UDLEJET"/>
    <n v="10277"/>
    <m/>
    <s v="Ballerupvej 31"/>
    <x v="127"/>
    <x v="1"/>
    <x v="6"/>
    <n v="4419.3900000000003"/>
    <n v="4"/>
    <s v="2013-05-07"/>
    <n v="0"/>
    <n v="304"/>
    <n v="14.532686"/>
    <n v="2"/>
    <x v="2"/>
    <n v="4419.3900000000003"/>
    <n v="2072.7199999999998"/>
    <n v="0"/>
    <s v="482983-33501 / 1096152"/>
    <s v="74110499637"/>
    <n v="4419.41795"/>
    <n v="0"/>
    <n v="77671"/>
  </r>
  <r>
    <x v="17"/>
    <s v="10802"/>
    <s v="Farum Genbrug, Gammel 77-79"/>
    <n v="13360"/>
    <s v="0"/>
    <s v="Farum Genbrug"/>
    <x v="128"/>
    <x v="1"/>
    <x v="0"/>
    <n v="11046.88"/>
    <n v="5"/>
    <s v="2012-01-31"/>
    <n v="0"/>
    <n v="317"/>
    <n v="34.837212000000001"/>
    <n v="2"/>
    <x v="2"/>
    <n v="11046.88"/>
    <n v="3314.07"/>
    <n v="0"/>
    <s v="3105129"/>
    <m/>
    <n v="11046.882"/>
    <n v="0"/>
    <n v="91052"/>
  </r>
  <r>
    <x v="17"/>
    <s v="10802"/>
    <s v="Farum Genbrug, Gammel 77-79"/>
    <n v="13360"/>
    <s v="0"/>
    <s v="Farum Genbrug"/>
    <x v="128"/>
    <x v="1"/>
    <x v="1"/>
    <n v="25328.19"/>
    <n v="12"/>
    <s v="2012-01-31"/>
    <n v="0"/>
    <n v="317"/>
    <n v="79.874455999999995"/>
    <n v="2"/>
    <x v="2"/>
    <n v="25328.19"/>
    <n v="7598.46"/>
    <n v="0"/>
    <s v="3105129"/>
    <m/>
    <n v="25328.194"/>
    <n v="0"/>
    <n v="91052"/>
  </r>
  <r>
    <x v="17"/>
    <s v="10802"/>
    <s v="Farum Genbrug, Gammel 77-79"/>
    <n v="13360"/>
    <s v="0"/>
    <s v="Farum Genbrug"/>
    <x v="128"/>
    <x v="1"/>
    <x v="2"/>
    <n v="22467.32"/>
    <n v="13"/>
    <s v="2012-01-31"/>
    <n v="0"/>
    <n v="317"/>
    <n v="70.852474999999998"/>
    <n v="2"/>
    <x v="2"/>
    <n v="22467.32"/>
    <n v="8986.9500000000007"/>
    <n v="0"/>
    <s v="3105129"/>
    <m/>
    <n v="22467.348999999998"/>
    <n v="0"/>
    <n v="91052"/>
  </r>
  <r>
    <x v="17"/>
    <s v="10802"/>
    <s v="Farum Genbrug, Gammel 77-79"/>
    <n v="13360"/>
    <s v="0"/>
    <s v="Farum Genbrug"/>
    <x v="128"/>
    <x v="1"/>
    <x v="2"/>
    <n v="2127.21"/>
    <n v="2"/>
    <s v="2012-01-18"/>
    <n v="0"/>
    <n v="317"/>
    <n v="6.7083250000000003"/>
    <n v="2"/>
    <x v="2"/>
    <n v="2127.21"/>
    <n v="850.89"/>
    <n v="0"/>
    <s v="AFMELDT"/>
    <s v="74114359395"/>
    <n v="2127.2142899999999"/>
    <n v="0"/>
    <n v="89449"/>
  </r>
  <r>
    <x v="17"/>
    <s v="10802"/>
    <s v="Farum Genbrug, Gammel 77-79"/>
    <n v="13360"/>
    <s v="0"/>
    <s v="Farum Genbrug"/>
    <x v="128"/>
    <x v="1"/>
    <x v="3"/>
    <n v="27121.77"/>
    <n v="4"/>
    <s v="2012-01-18"/>
    <n v="0"/>
    <n v="317"/>
    <n v="85.530652000000003"/>
    <n v="2"/>
    <x v="2"/>
    <n v="27121.77"/>
    <n v="12720.11"/>
    <n v="0"/>
    <s v="AFMELDT"/>
    <s v="74114359395"/>
    <n v="27121.766540000001"/>
    <n v="0"/>
    <n v="89449"/>
  </r>
  <r>
    <x v="17"/>
    <s v="10802"/>
    <s v="Farum Genbrug, Gammel 77-79"/>
    <n v="13360"/>
    <s v="0"/>
    <s v="Farum Genbrug"/>
    <x v="128"/>
    <x v="1"/>
    <x v="4"/>
    <n v="25069.89"/>
    <n v="1"/>
    <s v="2012-01-18"/>
    <n v="0"/>
    <n v="317"/>
    <n v="79.059886000000006"/>
    <n v="2"/>
    <x v="2"/>
    <n v="25069.89"/>
    <n v="11757.76"/>
    <n v="0"/>
    <s v="AFMELDT"/>
    <s v="74114359395"/>
    <n v="25069.857540000001"/>
    <n v="0"/>
    <n v="89449"/>
  </r>
  <r>
    <x v="17"/>
    <s v="10802"/>
    <s v="Farum Genbrug, Gammel 77-79"/>
    <n v="13360"/>
    <s v="0"/>
    <s v="Farum Genbrug"/>
    <x v="128"/>
    <x v="1"/>
    <x v="5"/>
    <n v="21356.92"/>
    <n v="1"/>
    <s v="2012-01-18"/>
    <n v="0"/>
    <n v="317"/>
    <n v="67.350740999999999"/>
    <n v="2"/>
    <x v="2"/>
    <n v="21356.92"/>
    <n v="10016.4"/>
    <n v="0"/>
    <s v="AFMELDT"/>
    <s v="74114359395"/>
    <n v="21356.91576"/>
    <n v="0"/>
    <n v="89449"/>
  </r>
  <r>
    <x v="17"/>
    <s v="10802"/>
    <s v="Farum Genbrug, Gammel 77-79"/>
    <n v="13360"/>
    <s v="0"/>
    <s v="Farum Genbrug"/>
    <x v="128"/>
    <x v="1"/>
    <x v="6"/>
    <n v="25727.79"/>
    <n v="1"/>
    <s v="2012-01-18"/>
    <n v="0"/>
    <n v="317"/>
    <n v="81.134625999999997"/>
    <n v="2"/>
    <x v="2"/>
    <n v="25727.79"/>
    <n v="12066.3"/>
    <n v="0"/>
    <s v="AFMELDT"/>
    <s v="74114359395"/>
    <n v="25727.788359999999"/>
    <n v="0"/>
    <n v="89449"/>
  </r>
  <r>
    <x v="17"/>
    <s v="000254"/>
    <s v="Golfklub Kiosk"/>
    <n v="13512"/>
    <s v="0"/>
    <s v="Golfklub og ridecenter"/>
    <x v="134"/>
    <x v="1"/>
    <x v="1"/>
    <n v="2515.34"/>
    <n v="5"/>
    <s v="2014-12-01"/>
    <n v="0"/>
    <n v="1"/>
    <n v="2286.6727270000001"/>
    <n v="2"/>
    <x v="2"/>
    <n v="2515.34"/>
    <n v="754.62"/>
    <n v="0"/>
    <s v="1046146"/>
    <s v="74111921601"/>
    <n v="2515.3387299999999"/>
    <n v="0"/>
    <n v="90398"/>
  </r>
  <r>
    <x v="17"/>
    <s v="000254"/>
    <s v="Golfklub Kiosk"/>
    <n v="13512"/>
    <s v="0"/>
    <s v="Golfklub og ridecenter"/>
    <x v="134"/>
    <x v="1"/>
    <x v="2"/>
    <n v="2619.65"/>
    <n v="2"/>
    <s v="2014-12-01"/>
    <n v="0"/>
    <n v="1"/>
    <n v="2381.5"/>
    <n v="2"/>
    <x v="2"/>
    <n v="2619.65"/>
    <n v="1047.8499999999999"/>
    <n v="0"/>
    <s v="1046146"/>
    <s v="74111921601"/>
    <n v="2619.63553"/>
    <n v="0"/>
    <n v="90398"/>
  </r>
  <r>
    <x v="17"/>
    <s v="000254"/>
    <s v="Golfklub Kiosk"/>
    <n v="13512"/>
    <s v="0"/>
    <s v="Golfklub og ridecenter"/>
    <x v="134"/>
    <x v="1"/>
    <x v="3"/>
    <n v="2872.78"/>
    <n v="1"/>
    <s v="2014-12-01"/>
    <n v="0"/>
    <n v="1"/>
    <n v="2611.6181809999998"/>
    <n v="2"/>
    <x v="2"/>
    <n v="2872.78"/>
    <n v="1347.34"/>
    <n v="0"/>
    <s v="1046146"/>
    <s v="74111921601"/>
    <n v="2872.7587600000002"/>
    <n v="0"/>
    <n v="90398"/>
  </r>
  <r>
    <x v="17"/>
    <s v="000254"/>
    <s v="Golfklub Kiosk"/>
    <n v="13512"/>
    <s v="0"/>
    <s v="Golfklub og ridecenter"/>
    <x v="134"/>
    <x v="1"/>
    <x v="4"/>
    <n v="2810.63"/>
    <n v="1"/>
    <s v="2014-12-01"/>
    <n v="0"/>
    <n v="1"/>
    <n v="2555.1181809999998"/>
    <n v="2"/>
    <x v="2"/>
    <n v="2810.63"/>
    <n v="1318.2"/>
    <n v="0"/>
    <s v="1046146"/>
    <s v="74111921601"/>
    <n v="2810.6495"/>
    <n v="0"/>
    <n v="90398"/>
  </r>
  <r>
    <x v="17"/>
    <s v="000254"/>
    <s v="Golfklub Kiosk"/>
    <n v="13512"/>
    <s v="0"/>
    <s v="Golfklub og ridecenter"/>
    <x v="134"/>
    <x v="1"/>
    <x v="5"/>
    <n v="2709.45"/>
    <n v="1"/>
    <s v="2014-12-01"/>
    <n v="0"/>
    <n v="1"/>
    <n v="2463.1363630000001"/>
    <n v="2"/>
    <x v="2"/>
    <n v="2709.45"/>
    <n v="1270.76"/>
    <n v="0"/>
    <s v="1046146"/>
    <s v="74111921601"/>
    <n v="2709.4533299999998"/>
    <n v="0"/>
    <n v="90398"/>
  </r>
  <r>
    <x v="17"/>
    <s v="000254"/>
    <s v="Golfklub Kiosk"/>
    <n v="13512"/>
    <s v="0"/>
    <s v="Golfklub og ridecenter"/>
    <x v="134"/>
    <x v="1"/>
    <x v="6"/>
    <n v="2207.4499999999998"/>
    <n v="1"/>
    <s v="2014-12-01"/>
    <n v="0"/>
    <n v="1"/>
    <n v="2006.772727"/>
    <n v="2"/>
    <x v="2"/>
    <n v="2207.4499999999998"/>
    <n v="1035.31"/>
    <n v="0"/>
    <s v="1046146"/>
    <s v="74111921601"/>
    <n v="2207.44841"/>
    <n v="0"/>
    <n v="90398"/>
  </r>
  <r>
    <x v="17"/>
    <m/>
    <s v="Langkærgård"/>
    <n v="11035"/>
    <m/>
    <s v="Solhuset"/>
    <x v="129"/>
    <x v="1"/>
    <x v="0"/>
    <n v="1034.1400000000001"/>
    <n v="5"/>
    <s v="2012-02-29"/>
    <n v="0"/>
    <n v="225"/>
    <n v="4.5941349999999996"/>
    <n v="2"/>
    <x v="2"/>
    <n v="1034.1400000000001"/>
    <n v="310.25"/>
    <n v="0"/>
    <s v="798307"/>
    <s v="74114755326"/>
    <n v="1034.146"/>
    <n v="0"/>
    <n v="79962"/>
  </r>
  <r>
    <x v="17"/>
    <m/>
    <s v="Langkærgård"/>
    <n v="11035"/>
    <m/>
    <s v="Solhuset"/>
    <x v="129"/>
    <x v="1"/>
    <x v="1"/>
    <n v="3306"/>
    <n v="12"/>
    <s v="2012-02-29"/>
    <n v="0"/>
    <n v="225"/>
    <n v="14.686805"/>
    <n v="2"/>
    <x v="2"/>
    <n v="3306"/>
    <n v="991.81"/>
    <n v="0"/>
    <s v="798307"/>
    <s v="74114755326"/>
    <n v="3305.9933000000001"/>
    <n v="0"/>
    <n v="79962"/>
  </r>
  <r>
    <x v="17"/>
    <m/>
    <s v="Langkærgård"/>
    <n v="11035"/>
    <m/>
    <s v="Solhuset"/>
    <x v="129"/>
    <x v="1"/>
    <x v="2"/>
    <n v="3597.62"/>
    <n v="13"/>
    <s v="2012-02-29"/>
    <n v="0"/>
    <n v="225"/>
    <n v="15.982317999999999"/>
    <n v="2"/>
    <x v="2"/>
    <n v="3597.62"/>
    <n v="1439.05"/>
    <n v="0"/>
    <s v="798307"/>
    <s v="74114755326"/>
    <n v="3597.6420499999999"/>
    <n v="0"/>
    <n v="79962"/>
  </r>
  <r>
    <x v="17"/>
    <m/>
    <s v="Langkærgård"/>
    <n v="11035"/>
    <m/>
    <s v="Solhuset"/>
    <x v="129"/>
    <x v="1"/>
    <x v="3"/>
    <n v="8019.74"/>
    <n v="6"/>
    <s v="2012-02-29"/>
    <n v="0"/>
    <n v="225"/>
    <n v="35.627454"/>
    <n v="2"/>
    <x v="2"/>
    <n v="8019.74"/>
    <n v="3761.25"/>
    <n v="0"/>
    <s v="798307"/>
    <s v="74114755326"/>
    <n v="8019.7320799999998"/>
    <n v="0"/>
    <n v="79962"/>
  </r>
  <r>
    <x v="17"/>
    <m/>
    <s v="Langkærgård"/>
    <n v="11035"/>
    <m/>
    <s v="Solhuset"/>
    <x v="129"/>
    <x v="1"/>
    <x v="4"/>
    <n v="10618.7"/>
    <n v="4"/>
    <s v="2012-02-29"/>
    <n v="0"/>
    <n v="225"/>
    <n v="47.173256000000002"/>
    <n v="2"/>
    <x v="2"/>
    <n v="10618.7"/>
    <n v="4980.18"/>
    <n v="0"/>
    <s v="798307"/>
    <s v="74114755326"/>
    <n v="10618.70421"/>
    <n v="0"/>
    <n v="79962"/>
  </r>
  <r>
    <x v="17"/>
    <m/>
    <s v="Langkærgård"/>
    <n v="11035"/>
    <m/>
    <s v="Solhuset"/>
    <x v="129"/>
    <x v="1"/>
    <x v="5"/>
    <n v="11087.89"/>
    <n v="2"/>
    <s v="2012-02-29"/>
    <n v="0"/>
    <n v="225"/>
    <n v="49.257618000000001"/>
    <n v="2"/>
    <x v="2"/>
    <n v="11087.89"/>
    <n v="5200.25"/>
    <n v="0"/>
    <s v="798307"/>
    <s v="74114755326"/>
    <n v="11087.901089999999"/>
    <n v="0"/>
    <n v="79962"/>
  </r>
  <r>
    <x v="17"/>
    <m/>
    <s v="Langkærgård"/>
    <n v="11035"/>
    <m/>
    <s v="Solhuset"/>
    <x v="129"/>
    <x v="1"/>
    <x v="6"/>
    <n v="9861.27"/>
    <n v="3"/>
    <s v="2012-02-29"/>
    <n v="0"/>
    <n v="225"/>
    <n v="43.808396000000002"/>
    <n v="2"/>
    <x v="2"/>
    <n v="9861.27"/>
    <n v="4624.91"/>
    <n v="0"/>
    <s v="798307"/>
    <s v="74114755326"/>
    <n v="9861.2520700000005"/>
    <n v="0"/>
    <n v="79962"/>
  </r>
  <r>
    <x v="17"/>
    <m/>
    <s v="Overgangsboligerne Lillevangspark 8"/>
    <n v="13988"/>
    <s v="0"/>
    <s v="Overgangsboligerne Lillevangspark 8"/>
    <x v="133"/>
    <x v="1"/>
    <x v="1"/>
    <n v="6322.03"/>
    <n v="3"/>
    <s v="2014-11-07"/>
    <n v="0"/>
    <n v="0"/>
    <n v="63220.3"/>
    <n v="2"/>
    <x v="2"/>
    <n v="6322.03"/>
    <n v="1896.62"/>
    <n v="0"/>
    <s v="784016-36317 / 70-19972"/>
    <s v="74111477900"/>
    <n v="6322.0458600000002"/>
    <n v="0"/>
    <n v="92749"/>
  </r>
  <r>
    <x v="17"/>
    <m/>
    <s v="Overgangsboligerne Lillevangspark 8"/>
    <n v="13988"/>
    <s v="0"/>
    <s v="Overgangsboligerne Lillevangspark 8"/>
    <x v="133"/>
    <x v="1"/>
    <x v="2"/>
    <n v="5988.97"/>
    <n v="1"/>
    <s v="2014-11-07"/>
    <n v="0"/>
    <n v="0"/>
    <n v="59889.7"/>
    <n v="2"/>
    <x v="2"/>
    <n v="5988.97"/>
    <n v="2395.59"/>
    <n v="0"/>
    <s v="784016-36317 / 70-19972"/>
    <s v="74111477900"/>
    <n v="5988.9813899999999"/>
    <n v="0"/>
    <n v="92749"/>
  </r>
  <r>
    <x v="17"/>
    <m/>
    <s v="Overgangsboligerne Lillevangspark 8"/>
    <n v="13988"/>
    <s v="0"/>
    <s v="Overgangsboligerne Lillevangspark 8"/>
    <x v="133"/>
    <x v="1"/>
    <x v="3"/>
    <n v="5941.84"/>
    <n v="0"/>
    <s v="2014-11-07"/>
    <n v="0"/>
    <n v="0"/>
    <n v="59418.400000000001"/>
    <n v="2"/>
    <x v="2"/>
    <n v="5941.84"/>
    <n v="2786.74"/>
    <n v="0"/>
    <s v="784016-36317 / 70-19972"/>
    <s v="74111477900"/>
    <n v="5941.8604299999997"/>
    <n v="0"/>
    <n v="92749"/>
  </r>
  <r>
    <x v="17"/>
    <m/>
    <s v="Overgangsboligerne Lillevangspark 8"/>
    <n v="13988"/>
    <s v="0"/>
    <s v="Overgangsboligerne Lillevangspark 8"/>
    <x v="133"/>
    <x v="1"/>
    <x v="4"/>
    <n v="5974.6"/>
    <n v="1"/>
    <s v="2014-11-07"/>
    <n v="0"/>
    <n v="0"/>
    <n v="59746"/>
    <n v="2"/>
    <x v="2"/>
    <n v="5974.6"/>
    <n v="2802.08"/>
    <n v="0"/>
    <s v="784016-36317 / 70-19972"/>
    <s v="74111477900"/>
    <n v="5974.5892400000002"/>
    <n v="0"/>
    <n v="92749"/>
  </r>
  <r>
    <x v="17"/>
    <m/>
    <s v="Overgangsboligerne Lillevangspark 8"/>
    <n v="13988"/>
    <s v="0"/>
    <s v="Overgangsboligerne Lillevangspark 8"/>
    <x v="133"/>
    <x v="1"/>
    <x v="5"/>
    <n v="5986.79"/>
    <n v="0"/>
    <s v="2014-11-07"/>
    <n v="0"/>
    <n v="0"/>
    <n v="59867.9"/>
    <n v="2"/>
    <x v="2"/>
    <n v="5986.79"/>
    <n v="2807.8"/>
    <n v="0"/>
    <s v="784016-36317 / 70-19972"/>
    <s v="74111477900"/>
    <n v="5986.77027"/>
    <n v="0"/>
    <n v="92749"/>
  </r>
  <r>
    <x v="17"/>
    <m/>
    <s v="Overgangsboligerne Lillevangspark 8"/>
    <n v="13988"/>
    <s v="0"/>
    <s v="Overgangsboligerne Lillevangspark 8"/>
    <x v="133"/>
    <x v="1"/>
    <x v="6"/>
    <n v="3641.28"/>
    <n v="1"/>
    <s v="2014-11-07"/>
    <n v="0"/>
    <n v="0"/>
    <n v="36412.800000000003"/>
    <n v="2"/>
    <x v="2"/>
    <n v="3641.28"/>
    <n v="1707.76"/>
    <n v="0"/>
    <s v="784016-36317 / 70-19972"/>
    <s v="74111477900"/>
    <n v="3641.2684899999999"/>
    <n v="0"/>
    <n v="92749"/>
  </r>
  <r>
    <x v="17"/>
    <s v="05368-6"/>
    <s v="TD-Bygning"/>
    <n v="5465"/>
    <m/>
    <s v="TD-Bygning"/>
    <x v="130"/>
    <x v="1"/>
    <x v="1"/>
    <n v="554"/>
    <n v="12"/>
    <s v="2015-05-04"/>
    <n v="0"/>
    <n v="1384"/>
    <n v="0.40026"/>
    <n v="2"/>
    <x v="2"/>
    <n v="554"/>
    <n v="166.19"/>
    <n v="1"/>
    <s v="113957 Køkken"/>
    <m/>
    <n v="554.00284999999997"/>
    <n v="0"/>
    <n v="90266"/>
  </r>
  <r>
    <x v="17"/>
    <s v="05368-6"/>
    <s v="TD-Bygning"/>
    <n v="5465"/>
    <m/>
    <s v="TD-Bygning"/>
    <x v="130"/>
    <x v="1"/>
    <x v="1"/>
    <n v="15090.88"/>
    <n v="12"/>
    <s v="2015-05-04"/>
    <n v="0"/>
    <n v="1384"/>
    <n v="10.903027"/>
    <n v="2"/>
    <x v="2"/>
    <n v="15090.88"/>
    <n v="4527.26"/>
    <n v="1"/>
    <s v="112643 Svøm 2 Sal"/>
    <m/>
    <n v="15090.87002"/>
    <n v="0"/>
    <n v="90268"/>
  </r>
  <r>
    <x v="17"/>
    <s v="05368-6"/>
    <s v="TD-Bygning"/>
    <n v="5465"/>
    <m/>
    <s v="TD-Bygning"/>
    <x v="130"/>
    <x v="1"/>
    <x v="1"/>
    <n v="19865.080000000002"/>
    <n v="11"/>
    <s v="2015-05-04"/>
    <n v="0"/>
    <n v="1384"/>
    <n v="14.352344"/>
    <n v="2"/>
    <x v="2"/>
    <n v="19865.080000000002"/>
    <n v="7946.03"/>
    <n v="1"/>
    <s v="EL03 VE01"/>
    <m/>
    <n v="19865.0759"/>
    <n v="0"/>
    <n v="57770"/>
  </r>
  <r>
    <x v="17"/>
    <s v="05368-6"/>
    <s v="TD-Bygning"/>
    <n v="5465"/>
    <m/>
    <s v="TD-Bygning"/>
    <x v="130"/>
    <x v="1"/>
    <x v="1"/>
    <n v="69264.039999999994"/>
    <n v="12"/>
    <m/>
    <n v="0"/>
    <n v="1384"/>
    <n v="50.042655000000003"/>
    <n v="2"/>
    <x v="2"/>
    <n v="69264.039999999994"/>
    <n v="27705.61"/>
    <n v="0"/>
    <s v="3104996"/>
    <s v="74115046041"/>
    <n v="69264.049859999999"/>
    <n v="0"/>
    <n v="58297"/>
  </r>
  <r>
    <x v="17"/>
    <s v="05368-6"/>
    <s v="TD-Bygning"/>
    <n v="5465"/>
    <m/>
    <s v="TD-Bygning"/>
    <x v="130"/>
    <x v="1"/>
    <x v="1"/>
    <n v="1529.54"/>
    <n v="12"/>
    <s v="2015-05-04"/>
    <n v="0"/>
    <n v="1384"/>
    <n v="1.1050789999999999"/>
    <n v="2"/>
    <x v="2"/>
    <n v="1529.54"/>
    <n v="458.86"/>
    <n v="1"/>
    <s v="112579 Nordic Sportscente"/>
    <m/>
    <n v="1529.5445999999999"/>
    <n v="0"/>
    <n v="90264"/>
  </r>
  <r>
    <x v="17"/>
    <s v="05368-6"/>
    <s v="TD-Bygning"/>
    <n v="5465"/>
    <m/>
    <s v="TD-Bygning"/>
    <x v="130"/>
    <x v="1"/>
    <x v="1"/>
    <n v="6769.71"/>
    <n v="12"/>
    <s v="2015-05-04"/>
    <n v="0"/>
    <n v="1384"/>
    <n v="4.8910549999999997"/>
    <n v="2"/>
    <x v="2"/>
    <n v="6769.71"/>
    <n v="2030.92"/>
    <n v="1"/>
    <s v="112614 Svøm 1 Sal"/>
    <m/>
    <n v="6769.7011400000001"/>
    <n v="0"/>
    <n v="90267"/>
  </r>
  <r>
    <x v="17"/>
    <s v="05368-6"/>
    <s v="TD-Bygning"/>
    <n v="5465"/>
    <m/>
    <s v="TD-Bygning"/>
    <x v="130"/>
    <x v="1"/>
    <x v="2"/>
    <n v="358.28"/>
    <n v="13"/>
    <s v="2015-05-04"/>
    <n v="0"/>
    <n v="1384"/>
    <n v="0.25885399999999997"/>
    <n v="2"/>
    <x v="2"/>
    <n v="358.28"/>
    <n v="143.30000000000001"/>
    <n v="1"/>
    <s v="112644 Krop Danmark"/>
    <m/>
    <n v="358.27541000000002"/>
    <n v="0"/>
    <n v="90265"/>
  </r>
  <r>
    <x v="17"/>
    <s v="05368-6"/>
    <s v="TD-Bygning"/>
    <n v="5465"/>
    <m/>
    <s v="TD-Bygning"/>
    <x v="130"/>
    <x v="1"/>
    <x v="2"/>
    <n v="14615.74"/>
    <n v="13"/>
    <s v="2015-05-04"/>
    <n v="0"/>
    <n v="1384"/>
    <n v="10.559742"/>
    <n v="2"/>
    <x v="2"/>
    <n v="14615.74"/>
    <n v="5846.3"/>
    <n v="1"/>
    <s v="112643 Svøm 2 Sal"/>
    <m/>
    <n v="14615.74777"/>
    <n v="0"/>
    <n v="90268"/>
  </r>
  <r>
    <x v="17"/>
    <s v="05368-6"/>
    <s v="TD-Bygning"/>
    <n v="5465"/>
    <m/>
    <s v="TD-Bygning"/>
    <x v="130"/>
    <x v="1"/>
    <x v="2"/>
    <n v="18681.21"/>
    <n v="12"/>
    <s v="2015-05-04"/>
    <n v="0"/>
    <n v="1384"/>
    <n v="13.497007999999999"/>
    <n v="2"/>
    <x v="2"/>
    <n v="18681.21"/>
    <n v="7472.5"/>
    <n v="1"/>
    <s v="EL03 VE01"/>
    <m/>
    <n v="18681.208559999999"/>
    <n v="0"/>
    <n v="57770"/>
  </r>
  <r>
    <x v="17"/>
    <s v="05368-6"/>
    <s v="TD-Bygning"/>
    <n v="5465"/>
    <m/>
    <s v="TD-Bygning"/>
    <x v="130"/>
    <x v="1"/>
    <x v="2"/>
    <n v="67477.34"/>
    <n v="12"/>
    <m/>
    <n v="0"/>
    <n v="1384"/>
    <n v="48.751779999999997"/>
    <n v="2"/>
    <x v="2"/>
    <n v="67477.34"/>
    <n v="26990.94"/>
    <n v="0"/>
    <s v="3104996"/>
    <s v="74115046041"/>
    <n v="67477.339760000003"/>
    <n v="0"/>
    <n v="58297"/>
  </r>
  <r>
    <x v="17"/>
    <s v="05368-6"/>
    <s v="TD-Bygning"/>
    <n v="5465"/>
    <m/>
    <s v="TD-Bygning"/>
    <x v="130"/>
    <x v="1"/>
    <x v="2"/>
    <n v="1632.84"/>
    <n v="13"/>
    <s v="2015-05-04"/>
    <n v="0"/>
    <n v="1384"/>
    <n v="1.1797120000000001"/>
    <n v="2"/>
    <x v="2"/>
    <n v="1632.84"/>
    <n v="653.13"/>
    <n v="1"/>
    <s v="112579 Nordic Sportscente"/>
    <m/>
    <n v="1632.8395700000001"/>
    <n v="0"/>
    <n v="90264"/>
  </r>
  <r>
    <x v="17"/>
    <s v="05368-6"/>
    <s v="TD-Bygning"/>
    <n v="5465"/>
    <m/>
    <s v="TD-Bygning"/>
    <x v="130"/>
    <x v="1"/>
    <x v="2"/>
    <n v="645.61"/>
    <n v="12"/>
    <s v="2015-05-04"/>
    <n v="0"/>
    <n v="1384"/>
    <n v="0.466447"/>
    <n v="2"/>
    <x v="2"/>
    <n v="645.61"/>
    <n v="258.27"/>
    <n v="1"/>
    <s v="113957 Køkken"/>
    <m/>
    <n v="645.60518000000002"/>
    <n v="0"/>
    <n v="90266"/>
  </r>
  <r>
    <x v="17"/>
    <s v="05368-6"/>
    <s v="TD-Bygning"/>
    <n v="5465"/>
    <m/>
    <s v="TD-Bygning"/>
    <x v="130"/>
    <x v="1"/>
    <x v="2"/>
    <n v="6870.48"/>
    <n v="13"/>
    <s v="2015-05-04"/>
    <n v="0"/>
    <n v="1384"/>
    <n v="4.9638600000000004"/>
    <n v="2"/>
    <x v="2"/>
    <n v="6870.48"/>
    <n v="2748.18"/>
    <n v="1"/>
    <s v="112614 Svøm 1 Sal"/>
    <m/>
    <n v="6870.4572099999996"/>
    <n v="0"/>
    <n v="90267"/>
  </r>
  <r>
    <x v="17"/>
    <s v="05368-6"/>
    <s v="TD-Bygning"/>
    <n v="5465"/>
    <m/>
    <s v="TD-Bygning"/>
    <x v="130"/>
    <x v="1"/>
    <x v="3"/>
    <n v="127.64"/>
    <n v="3"/>
    <s v="2015-05-04"/>
    <n v="0"/>
    <n v="1384"/>
    <n v="9.2217999999999994E-2"/>
    <n v="2"/>
    <x v="2"/>
    <n v="127.64"/>
    <n v="59.87"/>
    <n v="1"/>
    <s v="112644 Krop Danmark"/>
    <m/>
    <n v="127.63637"/>
    <n v="0"/>
    <n v="90265"/>
  </r>
  <r>
    <x v="17"/>
    <s v="05368-6"/>
    <s v="TD-Bygning"/>
    <n v="5465"/>
    <m/>
    <s v="TD-Bygning"/>
    <x v="130"/>
    <x v="1"/>
    <x v="3"/>
    <n v="1468.45"/>
    <n v="3"/>
    <s v="2015-05-04"/>
    <n v="0"/>
    <n v="1384"/>
    <n v="1.0609420000000001"/>
    <n v="2"/>
    <x v="2"/>
    <n v="1468.45"/>
    <n v="688.71"/>
    <n v="1"/>
    <s v="112614 Svøm 1 Sal"/>
    <m/>
    <n v="1468.45454"/>
    <n v="0"/>
    <n v="90267"/>
  </r>
  <r>
    <x v="17"/>
    <s v="05368-6"/>
    <s v="TD-Bygning"/>
    <n v="5465"/>
    <m/>
    <s v="TD-Bygning"/>
    <x v="130"/>
    <x v="1"/>
    <x v="3"/>
    <n v="3329.57"/>
    <n v="3"/>
    <s v="2015-05-04"/>
    <n v="0"/>
    <n v="1384"/>
    <n v="2.4055840000000002"/>
    <n v="2"/>
    <x v="2"/>
    <n v="3329.57"/>
    <n v="1561.58"/>
    <n v="1"/>
    <s v="112643 Svøm 2 Sal"/>
    <m/>
    <n v="3329.5757600000002"/>
    <n v="0"/>
    <n v="90268"/>
  </r>
  <r>
    <x v="17"/>
    <s v="05368-6"/>
    <s v="TD-Bygning"/>
    <n v="5465"/>
    <m/>
    <s v="TD-Bygning"/>
    <x v="130"/>
    <x v="1"/>
    <x v="3"/>
    <n v="16463.2"/>
    <n v="12"/>
    <s v="2015-05-04"/>
    <n v="0"/>
    <n v="1384"/>
    <n v="11.894515999999999"/>
    <n v="2"/>
    <x v="2"/>
    <n v="16463.2"/>
    <n v="7721.24"/>
    <n v="1"/>
    <s v="EL03 VE01"/>
    <m/>
    <n v="16463.181820000002"/>
    <n v="0"/>
    <n v="57770"/>
  </r>
  <r>
    <x v="17"/>
    <s v="05368-6"/>
    <s v="TD-Bygning"/>
    <n v="5465"/>
    <m/>
    <s v="TD-Bygning"/>
    <x v="130"/>
    <x v="1"/>
    <x v="3"/>
    <n v="62448.95"/>
    <n v="12"/>
    <m/>
    <n v="0"/>
    <n v="1384"/>
    <n v="45.118813000000003"/>
    <n v="2"/>
    <x v="2"/>
    <n v="62448.95"/>
    <n v="29288.54"/>
    <n v="0"/>
    <s v="3104996"/>
    <s v="74115046041"/>
    <n v="62448.974139999998"/>
    <n v="0"/>
    <n v="58297"/>
  </r>
  <r>
    <x v="17"/>
    <s v="05368-6"/>
    <s v="TD-Bygning"/>
    <n v="5465"/>
    <m/>
    <s v="TD-Bygning"/>
    <x v="130"/>
    <x v="1"/>
    <x v="3"/>
    <n v="392.45"/>
    <n v="3"/>
    <s v="2015-05-04"/>
    <n v="0"/>
    <n v="1384"/>
    <n v="0.28354099999999999"/>
    <n v="2"/>
    <x v="2"/>
    <n v="392.45"/>
    <n v="184.07"/>
    <n v="1"/>
    <s v="112579 Nordic Sportscente"/>
    <m/>
    <n v="392.45454000000001"/>
    <n v="0"/>
    <n v="90264"/>
  </r>
  <r>
    <x v="17"/>
    <s v="05368-6"/>
    <s v="TD-Bygning"/>
    <n v="5465"/>
    <m/>
    <s v="TD-Bygning"/>
    <x v="130"/>
    <x v="1"/>
    <x v="3"/>
    <n v="176.43"/>
    <n v="3"/>
    <s v="2015-05-04"/>
    <n v="0"/>
    <n v="1384"/>
    <n v="0.127469"/>
    <n v="2"/>
    <x v="2"/>
    <n v="176.43"/>
    <n v="82.74"/>
    <n v="1"/>
    <s v="113957 Køkken"/>
    <m/>
    <n v="176.42424"/>
    <n v="0"/>
    <n v="90266"/>
  </r>
  <r>
    <x v="17"/>
    <s v="05368-6"/>
    <s v="TD-Bygning"/>
    <n v="5465"/>
    <m/>
    <s v="TD-Bygning"/>
    <x v="130"/>
    <x v="1"/>
    <x v="4"/>
    <n v="18553.490000000002"/>
    <n v="11"/>
    <s v="2015-05-04"/>
    <n v="0"/>
    <n v="1384"/>
    <n v="13.404731999999999"/>
    <n v="2"/>
    <x v="2"/>
    <n v="18553.490000000002"/>
    <n v="8701.58"/>
    <n v="1"/>
    <s v="EL03 VE01"/>
    <m/>
    <n v="18553.491979999999"/>
    <n v="0"/>
    <n v="57770"/>
  </r>
  <r>
    <x v="17"/>
    <s v="05368-6"/>
    <s v="TD-Bygning"/>
    <n v="5465"/>
    <m/>
    <s v="TD-Bygning"/>
    <x v="130"/>
    <x v="1"/>
    <x v="4"/>
    <n v="70345.039999999994"/>
    <n v="12"/>
    <m/>
    <n v="0"/>
    <n v="1384"/>
    <n v="50.823667999999998"/>
    <n v="2"/>
    <x v="2"/>
    <n v="70345.039999999994"/>
    <n v="32991.86"/>
    <n v="0"/>
    <s v="3104996"/>
    <s v="74115046041"/>
    <n v="70345.050289999999"/>
    <n v="0"/>
    <n v="58297"/>
  </r>
  <r>
    <x v="17"/>
    <s v="05368-6"/>
    <s v="TD-Bygning"/>
    <n v="5465"/>
    <m/>
    <s v="TD-Bygning"/>
    <x v="130"/>
    <x v="1"/>
    <x v="5"/>
    <n v="13629.53"/>
    <n v="12"/>
    <s v="2015-05-04"/>
    <n v="0"/>
    <n v="1384"/>
    <n v="9.8472139999999992"/>
    <n v="2"/>
    <x v="2"/>
    <n v="13629.53"/>
    <n v="6392.24"/>
    <n v="1"/>
    <s v="EL03 VE01"/>
    <m/>
    <n v="13629.516540000001"/>
    <n v="0"/>
    <n v="57770"/>
  </r>
  <r>
    <x v="17"/>
    <s v="05368-6"/>
    <s v="TD-Bygning"/>
    <n v="5465"/>
    <m/>
    <s v="TD-Bygning"/>
    <x v="130"/>
    <x v="1"/>
    <x v="5"/>
    <n v="63207.28"/>
    <n v="12"/>
    <m/>
    <n v="0"/>
    <n v="1384"/>
    <n v="45.666699999999999"/>
    <n v="2"/>
    <x v="2"/>
    <n v="63207.28"/>
    <n v="29644.22"/>
    <n v="0"/>
    <s v="3104996"/>
    <s v="74115046041"/>
    <n v="63207.29206"/>
    <n v="0"/>
    <n v="58297"/>
  </r>
  <r>
    <x v="17"/>
    <s v="05368-6"/>
    <s v="TD-Bygning"/>
    <n v="5465"/>
    <m/>
    <s v="TD-Bygning"/>
    <x v="130"/>
    <x v="1"/>
    <x v="6"/>
    <n v="11289"/>
    <n v="12"/>
    <s v="2015-05-04"/>
    <n v="0"/>
    <n v="1384"/>
    <n v="8.1562020000000004"/>
    <n v="2"/>
    <x v="2"/>
    <n v="11289"/>
    <n v="5294.52"/>
    <n v="1"/>
    <s v="EL03 VE01"/>
    <m/>
    <n v="11288.991470000001"/>
    <n v="0"/>
    <n v="57770"/>
  </r>
  <r>
    <x v="17"/>
    <s v="05368-6"/>
    <s v="TD-Bygning"/>
    <n v="5465"/>
    <m/>
    <s v="TD-Bygning"/>
    <x v="130"/>
    <x v="1"/>
    <x v="6"/>
    <n v="67291.899999999994"/>
    <n v="12"/>
    <m/>
    <n v="0"/>
    <n v="1384"/>
    <n v="48.617801999999998"/>
    <n v="2"/>
    <x v="2"/>
    <n v="67291.899999999994"/>
    <n v="31559.9"/>
    <n v="0"/>
    <s v="3104996"/>
    <s v="74115046041"/>
    <n v="67291.899269999994"/>
    <n v="0"/>
    <n v="58297"/>
  </r>
  <r>
    <x v="17"/>
    <s v="05368-6"/>
    <s v="TD-Bygning"/>
    <n v="5539"/>
    <m/>
    <s v="Tennishal BM"/>
    <x v="130"/>
    <x v="1"/>
    <x v="0"/>
    <n v="16871.78"/>
    <n v="5"/>
    <s v="2015-05-04"/>
    <n v="0"/>
    <n v="1480"/>
    <n v="11.399081000000001"/>
    <n v="2"/>
    <x v="2"/>
    <n v="16871.78"/>
    <n v="6748.71"/>
    <n v="0"/>
    <s v="P71 EL02 hal"/>
    <m/>
    <n v="16871.78125"/>
    <n v="0"/>
    <n v="58286"/>
  </r>
  <r>
    <x v="17"/>
    <s v="05368-6"/>
    <s v="TD-Bygning"/>
    <n v="5539"/>
    <m/>
    <s v="Tennishal BM"/>
    <x v="130"/>
    <x v="1"/>
    <x v="0"/>
    <n v="3852.4"/>
    <n v="5"/>
    <s v="2015-05-04"/>
    <n v="0"/>
    <n v="1480"/>
    <n v="2.6027969999999998"/>
    <n v="2"/>
    <x v="2"/>
    <n v="3852.4"/>
    <n v="1540.96"/>
    <n v="0"/>
    <s v="EL04 VE02 hal"/>
    <m/>
    <n v="3852.40625"/>
    <n v="0"/>
    <n v="58287"/>
  </r>
  <r>
    <x v="17"/>
    <s v="05368-6"/>
    <s v="TD-Bygning"/>
    <n v="5539"/>
    <m/>
    <s v="Tennishal BM"/>
    <x v="130"/>
    <x v="1"/>
    <x v="1"/>
    <n v="36990.54"/>
    <n v="12"/>
    <s v="2015-05-04"/>
    <n v="0"/>
    <n v="1480"/>
    <n v="24.991918999999999"/>
    <n v="2"/>
    <x v="2"/>
    <n v="36990.54"/>
    <n v="14796.22"/>
    <n v="0"/>
    <s v="P71 EL02 hal"/>
    <m/>
    <n v="36990.535109999997"/>
    <n v="0"/>
    <n v="58286"/>
  </r>
  <r>
    <x v="17"/>
    <s v="05368-6"/>
    <s v="TD-Bygning"/>
    <n v="5539"/>
    <m/>
    <s v="Tennishal BM"/>
    <x v="130"/>
    <x v="1"/>
    <x v="1"/>
    <n v="6976.49"/>
    <n v="12"/>
    <s v="2015-05-04"/>
    <n v="0"/>
    <n v="1480"/>
    <n v="4.7135259999999999"/>
    <n v="2"/>
    <x v="2"/>
    <n v="6976.49"/>
    <n v="2790.59"/>
    <n v="0"/>
    <s v="EL04 VE02 hal"/>
    <m/>
    <n v="6976.4810299999999"/>
    <n v="0"/>
    <n v="58287"/>
  </r>
  <r>
    <x v="17"/>
    <s v="05368-6"/>
    <s v="TD-Bygning"/>
    <n v="5539"/>
    <m/>
    <s v="Tennishal BM"/>
    <x v="130"/>
    <x v="1"/>
    <x v="2"/>
    <n v="11917.73"/>
    <n v="12"/>
    <s v="2015-05-04"/>
    <n v="0"/>
    <n v="1480"/>
    <n v="8.0519759999999998"/>
    <n v="2"/>
    <x v="2"/>
    <n v="11917.73"/>
    <n v="4767.07"/>
    <n v="0"/>
    <s v="EL04 VE02 hal"/>
    <m/>
    <n v="11917.728160000001"/>
    <n v="0"/>
    <n v="58287"/>
  </r>
  <r>
    <x v="17"/>
    <s v="05368-6"/>
    <s v="TD-Bygning"/>
    <n v="5539"/>
    <m/>
    <s v="Tennishal BM"/>
    <x v="130"/>
    <x v="1"/>
    <x v="2"/>
    <n v="34503.19"/>
    <n v="11"/>
    <s v="2015-05-04"/>
    <n v="0"/>
    <n v="1480"/>
    <n v="23.311391"/>
    <n v="2"/>
    <x v="2"/>
    <n v="34503.19"/>
    <n v="13801.29"/>
    <n v="0"/>
    <s v="P71 EL02 hal"/>
    <m/>
    <n v="34503.196080000002"/>
    <n v="0"/>
    <n v="58286"/>
  </r>
  <r>
    <x v="17"/>
    <s v="05368-6"/>
    <s v="TD-Bygning"/>
    <n v="5539"/>
    <m/>
    <s v="Tennishal BM"/>
    <x v="130"/>
    <x v="1"/>
    <x v="3"/>
    <n v="29935.55"/>
    <n v="12"/>
    <s v="2015-05-04"/>
    <n v="0"/>
    <n v="1480"/>
    <n v="20.225356000000001"/>
    <n v="2"/>
    <x v="2"/>
    <n v="29935.55"/>
    <n v="14039.78"/>
    <n v="0"/>
    <s v="EL04 VE02 hal"/>
    <m/>
    <n v="29935.545460000001"/>
    <n v="0"/>
    <n v="58287"/>
  </r>
  <r>
    <x v="17"/>
    <s v="05368-6"/>
    <s v="TD-Bygning"/>
    <n v="5539"/>
    <m/>
    <s v="Tennishal BM"/>
    <x v="130"/>
    <x v="1"/>
    <x v="3"/>
    <n v="34942.959999999999"/>
    <n v="12"/>
    <s v="2015-05-04"/>
    <n v="0"/>
    <n v="1480"/>
    <n v="23.608512000000001"/>
    <n v="2"/>
    <x v="2"/>
    <n v="34942.959999999999"/>
    <n v="16388.25"/>
    <n v="0"/>
    <s v="P71 EL02 hal"/>
    <m/>
    <n v="34942.939400000003"/>
    <n v="0"/>
    <n v="58286"/>
  </r>
  <r>
    <x v="17"/>
    <s v="05368-6"/>
    <s v="TD-Bygning"/>
    <n v="5539"/>
    <m/>
    <s v="Tennishal BM"/>
    <x v="130"/>
    <x v="1"/>
    <x v="4"/>
    <n v="19145.95"/>
    <n v="12"/>
    <s v="2015-05-04"/>
    <n v="0"/>
    <n v="1480"/>
    <n v="12.935578"/>
    <n v="2"/>
    <x v="2"/>
    <n v="19145.95"/>
    <n v="8979.42"/>
    <n v="0"/>
    <s v="EL04 VE02 hal"/>
    <m/>
    <n v="19145.932250000002"/>
    <n v="0"/>
    <n v="58287"/>
  </r>
  <r>
    <x v="17"/>
    <s v="04310-9"/>
    <s v="Fuglsang, Farum Hovedgade 84"/>
    <n v="5954"/>
    <m/>
    <s v="Fuglsang"/>
    <x v="135"/>
    <x v="1"/>
    <x v="7"/>
    <n v="17287.990000000002"/>
    <n v="12"/>
    <s v="2011-11-30"/>
    <n v="0"/>
    <n v="475"/>
    <n v="36.388106999999998"/>
    <n v="2"/>
    <x v="2"/>
    <n v="17287.990000000002"/>
    <n v="6915.19"/>
    <n v="0"/>
    <s v="059999"/>
    <m/>
    <n v="17287.991999999998"/>
    <n v="0"/>
    <n v="59980"/>
  </r>
  <r>
    <x v="17"/>
    <s v="04310-9"/>
    <s v="Fuglsang, Farum Hovedgade 84"/>
    <n v="5954"/>
    <m/>
    <s v="Fuglsang"/>
    <x v="135"/>
    <x v="1"/>
    <x v="7"/>
    <n v="173.93"/>
    <n v="12"/>
    <s v="2011-11-30"/>
    <n v="0"/>
    <n v="475"/>
    <n v="0.366091"/>
    <n v="3"/>
    <x v="0"/>
    <n v="173.93"/>
    <n v="139.15"/>
    <n v="0"/>
    <s v="98391706"/>
    <m/>
    <n v="173.935"/>
    <n v="0"/>
    <n v="59982"/>
  </r>
  <r>
    <x v="17"/>
    <s v="04310-9"/>
    <s v="Fuglsang, Farum Hovedgade 84"/>
    <n v="5954"/>
    <m/>
    <s v="Fuglsang"/>
    <x v="135"/>
    <x v="1"/>
    <x v="7"/>
    <n v="66378.14"/>
    <n v="12"/>
    <s v="2011-12-30"/>
    <n v="0"/>
    <n v="475"/>
    <n v="139.71403900000001"/>
    <n v="1"/>
    <x v="4"/>
    <n v="78967.5"/>
    <n v="16700.18"/>
    <n v="0"/>
    <s v="1203138"/>
    <s v="98001988648"/>
    <n v="6146.125"/>
    <n v="0"/>
    <n v="59981"/>
  </r>
  <r>
    <x v="17"/>
    <s v="03888-1"/>
    <s v="Furesøgård - UDLEJET"/>
    <n v="5429"/>
    <m/>
    <s v="Furesøgård - UDLEJET"/>
    <x v="136"/>
    <x v="1"/>
    <x v="7"/>
    <n v="41464.589999999997"/>
    <n v="12"/>
    <s v="2006-03-15"/>
    <n v="0"/>
    <n v="1747"/>
    <n v="23.733381000000001"/>
    <n v="2"/>
    <x v="2"/>
    <n v="41464.589999999997"/>
    <n v="16585.830000000002"/>
    <n v="0"/>
    <s v="1004739"/>
    <s v="74111471663/74113768662"/>
    <n v="41464.58"/>
    <n v="0"/>
    <n v="57408"/>
  </r>
  <r>
    <x v="17"/>
    <s v="03888-1"/>
    <s v="Furesøgård - UDLEJET"/>
    <n v="5431"/>
    <m/>
    <s v="Stållade"/>
    <x v="136"/>
    <x v="1"/>
    <x v="7"/>
    <n v="17341.77"/>
    <n v="4"/>
    <s v="2014-10-20"/>
    <n v="0"/>
    <n v="640"/>
    <n v="27.092282000000001"/>
    <n v="2"/>
    <x v="2"/>
    <n v="17341.77"/>
    <n v="6936.72"/>
    <n v="0"/>
    <s v="787490"/>
    <m/>
    <n v="17341.78314"/>
    <n v="0"/>
    <n v="57417"/>
  </r>
  <r>
    <x v="17"/>
    <s v="03888-1"/>
    <s v="Furesøgård - UDLEJET"/>
    <n v="5429"/>
    <m/>
    <s v="Furesøgård - UDLEJET"/>
    <x v="136"/>
    <x v="1"/>
    <x v="7"/>
    <n v="453.99"/>
    <n v="12"/>
    <m/>
    <n v="0"/>
    <n v="1747"/>
    <n v="0.259853"/>
    <n v="3"/>
    <x v="0"/>
    <n v="453.99"/>
    <n v="363.18"/>
    <n v="0"/>
    <s v="04016440"/>
    <m/>
    <n v="453.988"/>
    <n v="0"/>
    <n v="57410"/>
  </r>
  <r>
    <x v="17"/>
    <s v="03888-1"/>
    <s v="Furesøgård - UDLEJET"/>
    <n v="5429"/>
    <m/>
    <s v="Furesøgård - UDLEJET"/>
    <x v="136"/>
    <x v="1"/>
    <x v="7"/>
    <n v="92634.29"/>
    <n v="12"/>
    <s v="2006-03-15"/>
    <n v="0"/>
    <n v="1747"/>
    <n v="53.021743999999998"/>
    <n v="1"/>
    <x v="4"/>
    <n v="110498.32"/>
    <n v="23368.34"/>
    <n v="0"/>
    <s v="11004538"/>
    <s v="98001985401"/>
    <n v="8577.25"/>
    <n v="0"/>
    <n v="57409"/>
  </r>
  <r>
    <x v="17"/>
    <s v="000254"/>
    <s v="Golfklub Kiosk"/>
    <n v="13512"/>
    <s v="0"/>
    <s v="Golfklub og ridecenter"/>
    <x v="134"/>
    <x v="1"/>
    <x v="7"/>
    <n v="2256.81"/>
    <n v="4"/>
    <s v="2014-12-01"/>
    <n v="0"/>
    <n v="1"/>
    <n v="2051.645454"/>
    <n v="2"/>
    <x v="2"/>
    <n v="2256.81"/>
    <n v="677.06"/>
    <n v="0"/>
    <s v="1046146"/>
    <s v="74111921601"/>
    <n v="2256.8041400000002"/>
    <n v="0"/>
    <n v="90398"/>
  </r>
  <r>
    <x v="17"/>
    <s v="05359-7"/>
    <s v="Idræt Fritid"/>
    <n v="5265"/>
    <m/>
    <s v="Idræt Fritid"/>
    <x v="137"/>
    <x v="1"/>
    <x v="7"/>
    <n v="22484.39"/>
    <n v="12"/>
    <s v="2005-05-01"/>
    <n v="0"/>
    <n v="585"/>
    <n v="38.428285000000002"/>
    <n v="2"/>
    <x v="2"/>
    <n v="22484.39"/>
    <n v="8993.75"/>
    <n v="0"/>
    <s v="1012836"/>
    <s v="74114304265"/>
    <n v="22484.366000000002"/>
    <n v="0"/>
    <n v="56773"/>
  </r>
  <r>
    <x v="17"/>
    <s v="05359-7"/>
    <s v="Idræt Fritid"/>
    <n v="5265"/>
    <m/>
    <s v="Idræt Fritid"/>
    <x v="137"/>
    <x v="1"/>
    <x v="7"/>
    <n v="155.56"/>
    <n v="12"/>
    <s v="2005-05-01"/>
    <n v="0"/>
    <n v="585"/>
    <n v="0.26586900000000002"/>
    <n v="3"/>
    <x v="0"/>
    <n v="155.56"/>
    <n v="124.43"/>
    <n v="0"/>
    <s v="BK"/>
    <m/>
    <n v="155.55199999999999"/>
    <n v="0"/>
    <n v="56775"/>
  </r>
  <r>
    <x v="17"/>
    <s v="05359-7"/>
    <s v="Idræt Fritid"/>
    <n v="5265"/>
    <m/>
    <s v="Idræt Fritid"/>
    <x v="137"/>
    <x v="1"/>
    <x v="7"/>
    <n v="58965"/>
    <n v="12"/>
    <s v="2005-09-01"/>
    <n v="0"/>
    <n v="585"/>
    <n v="100.777644"/>
    <n v="1"/>
    <x v="1"/>
    <n v="70960.67"/>
    <n v="2992813.11"/>
    <n v="0"/>
    <s v="4824609"/>
    <m/>
    <n v="58965"/>
    <n v="0"/>
    <n v="56774"/>
  </r>
  <r>
    <x v="17"/>
    <s v="05359-7"/>
    <s v="Idræt Fritid"/>
    <n v="5265"/>
    <m/>
    <s v="Idræt Fritid"/>
    <x v="137"/>
    <x v="1"/>
    <x v="7"/>
    <n v="52978.36"/>
    <n v="12"/>
    <s v="2005-09-01"/>
    <n v="0"/>
    <n v="585"/>
    <n v="90.545821000000004"/>
    <n v="1"/>
    <x v="3"/>
    <n v="63340.55"/>
    <n v="83231.570000000007"/>
    <n v="1"/>
    <s v="4824609"/>
    <m/>
    <n v="1518.44"/>
    <n v="0"/>
    <n v="56999"/>
  </r>
  <r>
    <x v="17"/>
    <s v="5359-7"/>
    <s v="Idræt Klub"/>
    <n v="5266"/>
    <m/>
    <s v="Idræt Klub"/>
    <x v="138"/>
    <x v="1"/>
    <x v="7"/>
    <n v="31512.98"/>
    <n v="12"/>
    <s v="2005-05-01"/>
    <n v="0"/>
    <n v="585"/>
    <n v="53.859135000000002"/>
    <n v="2"/>
    <x v="2"/>
    <n v="31512.98"/>
    <n v="12605.19"/>
    <n v="0"/>
    <s v="548872"/>
    <m/>
    <n v="31512.959999999999"/>
    <n v="0"/>
    <n v="56782"/>
  </r>
  <r>
    <x v="17"/>
    <s v="5359-7"/>
    <s v="Idræt Klub"/>
    <n v="5266"/>
    <m/>
    <s v="Idræt Klub"/>
    <x v="138"/>
    <x v="1"/>
    <x v="7"/>
    <n v="161.05000000000001"/>
    <n v="12"/>
    <s v="2005-05-01"/>
    <n v="0"/>
    <n v="585"/>
    <n v="0.275252"/>
    <n v="3"/>
    <x v="0"/>
    <n v="161.05000000000001"/>
    <n v="128.83000000000001"/>
    <n v="0"/>
    <s v="BK 548872"/>
    <m/>
    <n v="161.04"/>
    <n v="0"/>
    <n v="56781"/>
  </r>
  <r>
    <x v="17"/>
    <s v="5359-7"/>
    <s v="Idræt Klub"/>
    <n v="5266"/>
    <m/>
    <s v="Idræt Klub"/>
    <x v="138"/>
    <x v="1"/>
    <x v="7"/>
    <n v="51188"/>
    <n v="12"/>
    <s v="2005-09-01"/>
    <n v="0"/>
    <n v="585"/>
    <n v="87.485899000000003"/>
    <n v="1"/>
    <x v="1"/>
    <n v="60807.37"/>
    <n v="5483179.7999999998"/>
    <n v="0"/>
    <s v="4824607"/>
    <m/>
    <n v="51188"/>
    <n v="0"/>
    <n v="56780"/>
  </r>
  <r>
    <x v="17"/>
    <s v="5359-7"/>
    <s v="Idræt Klub"/>
    <n v="5266"/>
    <m/>
    <s v="Idræt Klub"/>
    <x v="138"/>
    <x v="1"/>
    <x v="7"/>
    <n v="41208.559999999998"/>
    <n v="12"/>
    <s v="2005-09-01"/>
    <n v="0"/>
    <n v="585"/>
    <n v="70.429942999999994"/>
    <n v="1"/>
    <x v="3"/>
    <n v="48643.99"/>
    <n v="130009.13"/>
    <n v="1"/>
    <s v="4824607"/>
    <m/>
    <n v="1181.0999999999999"/>
    <n v="0"/>
    <n v="57000"/>
  </r>
  <r>
    <x v="17"/>
    <s v="05368-6"/>
    <s v="TD-Bygning"/>
    <n v="5539"/>
    <m/>
    <s v="Tennishal BM"/>
    <x v="130"/>
    <x v="1"/>
    <x v="4"/>
    <n v="38249.71"/>
    <n v="12"/>
    <s v="2015-05-04"/>
    <n v="0"/>
    <n v="1480"/>
    <n v="25.842652000000001"/>
    <n v="2"/>
    <x v="2"/>
    <n v="38249.71"/>
    <n v="17939.099999999999"/>
    <n v="0"/>
    <s v="P71 EL02 hal"/>
    <m/>
    <n v="38249.71746"/>
    <n v="0"/>
    <n v="58286"/>
  </r>
  <r>
    <x v="17"/>
    <s v="05368-6"/>
    <s v="TD-Bygning"/>
    <n v="5539"/>
    <m/>
    <s v="Tennishal BM"/>
    <x v="130"/>
    <x v="1"/>
    <x v="5"/>
    <n v="35035.47"/>
    <n v="12"/>
    <s v="2015-05-04"/>
    <n v="0"/>
    <n v="1480"/>
    <n v="23.671015000000001"/>
    <n v="2"/>
    <x v="2"/>
    <n v="35035.47"/>
    <n v="16431.62"/>
    <n v="0"/>
    <s v="P71 EL02 hal"/>
    <m/>
    <n v="35035.457730000002"/>
    <n v="0"/>
    <n v="58286"/>
  </r>
  <r>
    <x v="17"/>
    <s v="05368-6"/>
    <s v="TD-Bygning"/>
    <n v="5539"/>
    <m/>
    <s v="Tennishal BM"/>
    <x v="130"/>
    <x v="1"/>
    <x v="5"/>
    <n v="27410.58"/>
    <n v="12"/>
    <s v="2015-05-04"/>
    <n v="0"/>
    <n v="1480"/>
    <n v="18.519410000000001"/>
    <n v="2"/>
    <x v="2"/>
    <n v="27410.58"/>
    <n v="12855.56"/>
    <n v="0"/>
    <s v="EL04 VE02 hal"/>
    <m/>
    <n v="27410.577209999999"/>
    <n v="0"/>
    <n v="58287"/>
  </r>
  <r>
    <x v="17"/>
    <s v="05368-6"/>
    <s v="TD-Bygning"/>
    <n v="5539"/>
    <m/>
    <s v="Tennishal BM"/>
    <x v="130"/>
    <x v="1"/>
    <x v="6"/>
    <n v="13338.28"/>
    <n v="12"/>
    <s v="2015-05-04"/>
    <n v="0"/>
    <n v="1480"/>
    <n v="9.0117419999999999"/>
    <n v="2"/>
    <x v="2"/>
    <n v="13338.28"/>
    <n v="6255.66"/>
    <n v="0"/>
    <s v="EL04 VE02 hal"/>
    <m/>
    <n v="13338.278399999999"/>
    <n v="0"/>
    <n v="58287"/>
  </r>
  <r>
    <x v="17"/>
    <s v="05368-6"/>
    <s v="TD-Bygning"/>
    <n v="5539"/>
    <m/>
    <s v="Tennishal BM"/>
    <x v="130"/>
    <x v="1"/>
    <x v="6"/>
    <n v="34261.980000000003"/>
    <n v="12"/>
    <s v="2015-05-04"/>
    <n v="0"/>
    <n v="1480"/>
    <n v="23.148422"/>
    <n v="2"/>
    <x v="2"/>
    <n v="34261.980000000003"/>
    <n v="16068.85"/>
    <n v="0"/>
    <s v="P71 EL02 hal"/>
    <m/>
    <n v="34261.976329999998"/>
    <n v="0"/>
    <n v="58286"/>
  </r>
  <r>
    <x v="17"/>
    <m/>
    <s v="Værløse Bio Bymidten 44"/>
    <n v="13825"/>
    <m/>
    <s v="Værløse Bio"/>
    <x v="131"/>
    <x v="1"/>
    <x v="0"/>
    <n v="26852.39"/>
    <n v="5"/>
    <s v="2013-09-30"/>
    <n v="0"/>
    <n v="739"/>
    <n v="36.331200000000003"/>
    <n v="2"/>
    <x v="2"/>
    <n v="26852.39"/>
    <n v="8055.72"/>
    <n v="0"/>
    <s v="4203804"/>
    <s v="74110495646"/>
    <n v="26852.384999999998"/>
    <n v="0"/>
    <n v="91847"/>
  </r>
  <r>
    <x v="17"/>
    <m/>
    <s v="Langkærgård"/>
    <n v="11035"/>
    <m/>
    <s v="Solhuset"/>
    <x v="129"/>
    <x v="1"/>
    <x v="7"/>
    <n v="101.05"/>
    <n v="12"/>
    <s v="2012-02-29"/>
    <n v="0"/>
    <n v="225"/>
    <n v="0.448911"/>
    <n v="3"/>
    <x v="0"/>
    <n v="101.05"/>
    <n v="80.849999999999994"/>
    <n v="0"/>
    <s v="44109"/>
    <m/>
    <n v="101.06599"/>
    <n v="0"/>
    <n v="79963"/>
  </r>
  <r>
    <x v="17"/>
    <m/>
    <s v="Langkærgård"/>
    <n v="11035"/>
    <m/>
    <s v="Solhuset"/>
    <x v="129"/>
    <x v="1"/>
    <x v="7"/>
    <n v="30148.01"/>
    <n v="12"/>
    <s v="2012-02-29"/>
    <n v="0"/>
    <n v="225"/>
    <n v="133.93163000000001"/>
    <n v="1"/>
    <x v="1"/>
    <n v="36059.839999999997"/>
    <n v="2307.84"/>
    <n v="0"/>
    <s v="7299730"/>
    <m/>
    <n v="30148"/>
    <n v="0"/>
    <n v="79964"/>
  </r>
  <r>
    <x v="17"/>
    <m/>
    <s v="Langkærgård"/>
    <n v="11035"/>
    <m/>
    <s v="Solhuset"/>
    <x v="129"/>
    <x v="1"/>
    <x v="7"/>
    <n v="3395.44"/>
    <n v="12"/>
    <s v="2012-02-29"/>
    <n v="0"/>
    <n v="225"/>
    <n v="15.08414"/>
    <n v="2"/>
    <x v="2"/>
    <n v="3395.44"/>
    <n v="1018.64"/>
    <n v="0"/>
    <s v="798307"/>
    <s v="74114755326"/>
    <n v="3395.4379199999998"/>
    <n v="0"/>
    <n v="79962"/>
  </r>
  <r>
    <x v="17"/>
    <s v="1937"/>
    <s v="Lerstedet 1"/>
    <n v="13666"/>
    <s v="0"/>
    <s v="Lerstedet 1A-E"/>
    <x v="139"/>
    <x v="1"/>
    <x v="7"/>
    <n v="284.04000000000002"/>
    <n v="1"/>
    <s v="2014-03-28"/>
    <n v="0"/>
    <n v="1155"/>
    <n v="0.24590000000000001"/>
    <n v="2"/>
    <x v="2"/>
    <n v="284.04000000000002"/>
    <n v="85.21"/>
    <n v="0"/>
    <s v="3105690 vandværk"/>
    <s v="74111859508"/>
    <n v="284.03669000000002"/>
    <n v="0"/>
    <n v="91259"/>
  </r>
  <r>
    <x v="17"/>
    <s v="1937"/>
    <s v="Lerstedet 1"/>
    <n v="13666"/>
    <s v="0"/>
    <s v="Lerstedet 1A-E"/>
    <x v="139"/>
    <x v="1"/>
    <x v="7"/>
    <n v="12797.45"/>
    <n v="2"/>
    <s v="2014-04-07"/>
    <n v="0"/>
    <n v="1155"/>
    <n v="11.079084"/>
    <n v="2"/>
    <x v="2"/>
    <n v="12797.45"/>
    <n v="3839.24"/>
    <n v="0"/>
    <s v="1000280 50564 boliger"/>
    <s v="74115276493"/>
    <n v="12797.44954"/>
    <n v="0"/>
    <n v="91264"/>
  </r>
  <r>
    <x v="17"/>
    <s v="1937"/>
    <s v="Lerstedet 1"/>
    <n v="13666"/>
    <s v="0"/>
    <s v="Lerstedet 1A-E"/>
    <x v="139"/>
    <x v="1"/>
    <x v="7"/>
    <n v="14479.16"/>
    <n v="9"/>
    <m/>
    <n v="0"/>
    <n v="1155"/>
    <n v="12.534983"/>
    <n v="2"/>
    <x v="2"/>
    <n v="14479.16"/>
    <n v="4343.74"/>
    <n v="0"/>
    <s v="3100363 Boliger"/>
    <m/>
    <n v="14479.152"/>
    <n v="0"/>
    <n v="96149"/>
  </r>
  <r>
    <x v="17"/>
    <s v="1937"/>
    <s v="Lerstedet 1"/>
    <n v="13666"/>
    <s v="0"/>
    <s v="Lerstedet 1A-E"/>
    <x v="139"/>
    <x v="1"/>
    <x v="7"/>
    <n v="240"/>
    <n v="2"/>
    <s v="2014-04-09"/>
    <n v="0"/>
    <n v="1155"/>
    <n v="0.20777399999999999"/>
    <n v="2"/>
    <x v="2"/>
    <n v="240"/>
    <n v="72"/>
    <n v="0"/>
    <s v="3100363 Boliger"/>
    <m/>
    <n v="240"/>
    <n v="0"/>
    <n v="96084"/>
  </r>
  <r>
    <x v="17"/>
    <s v="1937"/>
    <s v="Lerstedet 1"/>
    <n v="13666"/>
    <s v="0"/>
    <s v="Lerstedet 1A-E"/>
    <x v="139"/>
    <x v="1"/>
    <x v="7"/>
    <n v="394.14"/>
    <n v="9"/>
    <m/>
    <n v="0"/>
    <n v="1155"/>
    <n v="0.34121699999999999"/>
    <n v="2"/>
    <x v="2"/>
    <n v="394.14"/>
    <n v="118.24"/>
    <n v="0"/>
    <s v="3105690 vandværk"/>
    <s v="74111859508"/>
    <n v="394.14598000000001"/>
    <n v="0"/>
    <n v="96150"/>
  </r>
  <r>
    <x v="17"/>
    <s v="1937"/>
    <s v="Lerstedet 1"/>
    <n v="13666"/>
    <s v="0"/>
    <s v="Lerstedet 1A-E"/>
    <x v="139"/>
    <x v="1"/>
    <x v="7"/>
    <n v="128.91"/>
    <n v="4"/>
    <s v="2014-12-10"/>
    <n v="0"/>
    <n v="1155"/>
    <n v="0.1116"/>
    <n v="3"/>
    <x v="0"/>
    <n v="128.91"/>
    <n v="103.14"/>
    <n v="0"/>
    <s v="02pc501321"/>
    <m/>
    <n v="128.90290999999999"/>
    <n v="0"/>
    <n v="91260"/>
  </r>
  <r>
    <x v="17"/>
    <s v="7662"/>
    <s v="Lille Bjørn, Kålund 24"/>
    <n v="13868"/>
    <s v="0"/>
    <s v="Lille Bjørn"/>
    <x v="140"/>
    <x v="1"/>
    <x v="7"/>
    <n v="12100.11"/>
    <n v="11"/>
    <s v="2014-03-31"/>
    <n v="0"/>
    <n v="867"/>
    <n v="13.954688000000001"/>
    <n v="2"/>
    <x v="2"/>
    <n v="12100.11"/>
    <n v="3630.03"/>
    <n v="0"/>
    <s v="4203708"/>
    <s v="74111459890"/>
    <n v="12100.096820000001"/>
    <n v="0"/>
    <n v="92216"/>
  </r>
  <r>
    <x v="17"/>
    <s v="7662"/>
    <s v="Lille Bjørn, Kålund 24"/>
    <n v="13868"/>
    <s v="0"/>
    <s v="Lille Bjørn"/>
    <x v="140"/>
    <x v="1"/>
    <x v="7"/>
    <n v="320.97000000000003"/>
    <n v="11"/>
    <s v="2014-03-31"/>
    <n v="0"/>
    <n v="867"/>
    <n v="0.37016399999999999"/>
    <n v="3"/>
    <x v="0"/>
    <n v="320.97000000000003"/>
    <n v="256.8"/>
    <n v="0"/>
    <s v="06 452924"/>
    <m/>
    <n v="320.98516999999998"/>
    <n v="0"/>
    <n v="92217"/>
  </r>
  <r>
    <x v="17"/>
    <s v="7662"/>
    <s v="Lille Bjørn, Kålund 24"/>
    <n v="13868"/>
    <s v="0"/>
    <s v="Lille Bjørn"/>
    <x v="140"/>
    <x v="1"/>
    <x v="7"/>
    <n v="142359.57"/>
    <n v="12"/>
    <s v="2013-08-31"/>
    <n v="0"/>
    <n v="867"/>
    <n v="164.17895200000001"/>
    <n v="1"/>
    <x v="4"/>
    <n v="168913.63"/>
    <n v="35722.1"/>
    <n v="0"/>
    <s v="3100441"/>
    <m/>
    <n v="13181.44"/>
    <n v="0"/>
    <n v="92670"/>
  </r>
  <r>
    <x v="17"/>
    <m/>
    <s v="Værløse Bio Bymidten 44"/>
    <n v="13825"/>
    <m/>
    <s v="Værløse Bio"/>
    <x v="131"/>
    <x v="1"/>
    <x v="0"/>
    <n v="11276.33"/>
    <n v="5"/>
    <s v="2013-09-30"/>
    <n v="0"/>
    <n v="739"/>
    <n v="15.256838999999999"/>
    <n v="2"/>
    <x v="2"/>
    <n v="11276.33"/>
    <n v="3382.9"/>
    <n v="0"/>
    <s v="4029504"/>
    <s v="74113122839"/>
    <n v="11276.331"/>
    <n v="0"/>
    <n v="94053"/>
  </r>
  <r>
    <x v="17"/>
    <m/>
    <s v="Værløse Bio Bymidten 44"/>
    <n v="13825"/>
    <m/>
    <s v="Værløse Bio"/>
    <x v="131"/>
    <x v="1"/>
    <x v="1"/>
    <n v="72954.58"/>
    <n v="8"/>
    <s v="2013-09-30"/>
    <n v="0"/>
    <n v="739"/>
    <n v="98.707318999999998"/>
    <n v="2"/>
    <x v="2"/>
    <n v="72954.58"/>
    <n v="21886.38"/>
    <n v="0"/>
    <s v="4203804"/>
    <s v="74110495646"/>
    <n v="72954.59143"/>
    <n v="0"/>
    <n v="91847"/>
  </r>
  <r>
    <x v="17"/>
    <m/>
    <s v="Værløse Bio Bymidten 44"/>
    <n v="13825"/>
    <m/>
    <s v="Værløse Bio"/>
    <x v="131"/>
    <x v="1"/>
    <x v="1"/>
    <n v="26799.919999999998"/>
    <n v="9"/>
    <s v="2013-09-30"/>
    <n v="0"/>
    <n v="739"/>
    <n v="36.260207999999999"/>
    <n v="2"/>
    <x v="2"/>
    <n v="26799.919999999998"/>
    <n v="8039.96"/>
    <n v="0"/>
    <s v="4029504"/>
    <s v="74113122839"/>
    <n v="26799.924620000002"/>
    <n v="0"/>
    <n v="94053"/>
  </r>
  <r>
    <x v="17"/>
    <m/>
    <s v="Værløse Bio Bymidten 44"/>
    <n v="13825"/>
    <m/>
    <s v="Værløse Bio"/>
    <x v="131"/>
    <x v="1"/>
    <x v="2"/>
    <n v="62409.3"/>
    <n v="2"/>
    <s v="2013-09-30"/>
    <n v="0"/>
    <n v="739"/>
    <n v="84.439588000000001"/>
    <n v="2"/>
    <x v="2"/>
    <n v="62409.3"/>
    <n v="24963.73"/>
    <n v="0"/>
    <s v="4203804"/>
    <s v="74110495646"/>
    <n v="62409.305"/>
    <n v="0"/>
    <n v="91847"/>
  </r>
  <r>
    <x v="17"/>
    <m/>
    <s v="Værløse Bio Bymidten 44"/>
    <n v="13825"/>
    <m/>
    <s v="Værløse Bio"/>
    <x v="131"/>
    <x v="1"/>
    <x v="2"/>
    <n v="27479.83"/>
    <n v="1"/>
    <s v="2013-09-30"/>
    <n v="0"/>
    <n v="739"/>
    <n v="37.180123999999999"/>
    <n v="2"/>
    <x v="2"/>
    <n v="27479.83"/>
    <n v="10991.95"/>
    <n v="0"/>
    <s v="4029504"/>
    <s v="74113122839"/>
    <n v="27479.844130000001"/>
    <n v="0"/>
    <n v="94053"/>
  </r>
  <r>
    <x v="17"/>
    <m/>
    <s v="Værløse Bio Bymidten 44"/>
    <n v="13825"/>
    <m/>
    <s v="Værløse Bio"/>
    <x v="131"/>
    <x v="1"/>
    <x v="3"/>
    <n v="62308.24"/>
    <n v="0"/>
    <s v="2013-09-30"/>
    <n v="0"/>
    <n v="739"/>
    <n v="84.302853999999996"/>
    <n v="2"/>
    <x v="2"/>
    <n v="62308.24"/>
    <n v="29222.61"/>
    <n v="0"/>
    <s v="4203804"/>
    <s v="74110495646"/>
    <n v="62308.263720000003"/>
    <n v="0"/>
    <n v="91847"/>
  </r>
  <r>
    <x v="17"/>
    <m/>
    <s v="Værløse Bio Bymidten 44"/>
    <n v="13825"/>
    <m/>
    <s v="Værløse Bio"/>
    <x v="131"/>
    <x v="1"/>
    <x v="3"/>
    <n v="27137.15"/>
    <n v="0"/>
    <s v="2013-09-30"/>
    <n v="0"/>
    <n v="739"/>
    <n v="36.716479"/>
    <n v="2"/>
    <x v="2"/>
    <n v="27137.15"/>
    <n v="12727.31"/>
    <n v="0"/>
    <s v="4029504"/>
    <s v="74113122839"/>
    <n v="27137.12399"/>
    <n v="0"/>
    <n v="94053"/>
  </r>
  <r>
    <x v="17"/>
    <m/>
    <s v="Værløse Bio Bymidten 44"/>
    <n v="13825"/>
    <m/>
    <s v="Værløse Bio"/>
    <x v="131"/>
    <x v="1"/>
    <x v="4"/>
    <n v="65743.3"/>
    <n v="1"/>
    <s v="2013-09-30"/>
    <n v="0"/>
    <n v="739"/>
    <n v="88.950479999999999"/>
    <n v="2"/>
    <x v="2"/>
    <n v="65743.3"/>
    <n v="30833.58"/>
    <n v="0"/>
    <s v="4203804"/>
    <s v="74110495646"/>
    <n v="65743.293950000007"/>
    <n v="0"/>
    <n v="91847"/>
  </r>
  <r>
    <x v="17"/>
    <m/>
    <s v="Værløse Bio Bymidten 44"/>
    <n v="13825"/>
    <m/>
    <s v="Værløse Bio"/>
    <x v="131"/>
    <x v="1"/>
    <x v="4"/>
    <n v="23279.59"/>
    <n v="1"/>
    <s v="2013-09-30"/>
    <n v="0"/>
    <n v="739"/>
    <n v="31.497212000000001"/>
    <n v="2"/>
    <x v="2"/>
    <n v="23279.59"/>
    <n v="10918.11"/>
    <n v="0"/>
    <s v="4029504"/>
    <s v="74113122839"/>
    <n v="23279.597590000001"/>
    <n v="0"/>
    <n v="94053"/>
  </r>
  <r>
    <x v="17"/>
    <m/>
    <s v="Værløse Bio Bymidten 44"/>
    <n v="13825"/>
    <m/>
    <s v="Værløse Bio"/>
    <x v="131"/>
    <x v="1"/>
    <x v="5"/>
    <n v="56229.919999999998"/>
    <n v="4"/>
    <s v="2013-09-30"/>
    <n v="0"/>
    <n v="739"/>
    <n v="76.078906000000003"/>
    <n v="2"/>
    <x v="2"/>
    <n v="56229.919999999998"/>
    <n v="26371.83"/>
    <n v="0"/>
    <s v="4203804"/>
    <s v="74110495646"/>
    <n v="56229.926449999999"/>
    <n v="0"/>
    <n v="91847"/>
  </r>
  <r>
    <x v="17"/>
    <m/>
    <s v="Værløse Bio Bymidten 44"/>
    <n v="13825"/>
    <m/>
    <s v="Værløse Bio"/>
    <x v="131"/>
    <x v="1"/>
    <x v="5"/>
    <n v="20774.400000000001"/>
    <n v="1"/>
    <s v="2013-09-30"/>
    <n v="0"/>
    <n v="739"/>
    <n v="28.107697999999999"/>
    <n v="2"/>
    <x v="2"/>
    <n v="20774.400000000001"/>
    <n v="9743.2099999999991"/>
    <n v="0"/>
    <s v="4029504"/>
    <s v="74113122839"/>
    <n v="20774.404589999998"/>
    <n v="0"/>
    <n v="94053"/>
  </r>
  <r>
    <x v="17"/>
    <m/>
    <s v="Værløse Bio Bymidten 44"/>
    <n v="13825"/>
    <m/>
    <s v="Værløse Bio"/>
    <x v="131"/>
    <x v="1"/>
    <x v="6"/>
    <n v="56253.599999999999"/>
    <n v="0"/>
    <s v="2013-09-30"/>
    <n v="0"/>
    <n v="739"/>
    <n v="76.110945000000001"/>
    <n v="2"/>
    <x v="2"/>
    <n v="56253.599999999999"/>
    <n v="26382.95"/>
    <n v="0"/>
    <s v="4203804"/>
    <s v="74110495646"/>
    <n v="56253.619019999998"/>
    <n v="0"/>
    <n v="91847"/>
  </r>
  <r>
    <x v="17"/>
    <m/>
    <s v="Værløse Bio Bymidten 44"/>
    <n v="13825"/>
    <m/>
    <s v="Værløse Bio"/>
    <x v="131"/>
    <x v="1"/>
    <x v="6"/>
    <n v="20824.439999999999"/>
    <n v="0"/>
    <s v="2013-09-30"/>
    <n v="0"/>
    <n v="739"/>
    <n v="28.175401999999998"/>
    <n v="2"/>
    <x v="2"/>
    <n v="20824.439999999999"/>
    <n v="9766.67"/>
    <n v="0"/>
    <s v="4029504"/>
    <s v="74113122839"/>
    <n v="20824.448710000001"/>
    <n v="0"/>
    <n v="94053"/>
  </r>
  <r>
    <x v="17"/>
    <m/>
    <s v="Ballerupvej 29 - Udlejet"/>
    <n v="10275"/>
    <m/>
    <s v="Ballerupvej 29"/>
    <x v="125"/>
    <x v="1"/>
    <x v="0"/>
    <n v="171.7"/>
    <n v="5"/>
    <s v="2011-11-29"/>
    <n v="0"/>
    <n v="551"/>
    <n v="0.311558"/>
    <n v="3"/>
    <x v="0"/>
    <n v="171.7"/>
    <n v="137.36000000000001"/>
    <n v="0"/>
    <s v="40790"/>
    <m/>
    <n v="171.7"/>
    <n v="0"/>
    <n v="77669"/>
  </r>
  <r>
    <x v="17"/>
    <m/>
    <s v="Ballerupvej 29 - Udlejet"/>
    <n v="10275"/>
    <m/>
    <s v="Ballerupvej 29"/>
    <x v="125"/>
    <x v="1"/>
    <x v="1"/>
    <n v="271"/>
    <n v="12"/>
    <s v="2011-11-29"/>
    <n v="0"/>
    <n v="551"/>
    <n v="0.49174299999999999"/>
    <n v="3"/>
    <x v="0"/>
    <n v="271"/>
    <n v="216.8"/>
    <n v="0"/>
    <s v="40790"/>
    <m/>
    <n v="271"/>
    <n v="0"/>
    <n v="77669"/>
  </r>
  <r>
    <x v="17"/>
    <m/>
    <s v="Ballerupvej 29 - Udlejet"/>
    <n v="10275"/>
    <m/>
    <s v="Ballerupvej 29"/>
    <x v="125"/>
    <x v="1"/>
    <x v="2"/>
    <n v="318.89999999999998"/>
    <n v="12"/>
    <s v="2011-11-29"/>
    <n v="0"/>
    <n v="551"/>
    <n v="0.57865999999999995"/>
    <n v="3"/>
    <x v="0"/>
    <n v="318.89999999999998"/>
    <n v="255.12"/>
    <n v="0"/>
    <s v="40790"/>
    <m/>
    <n v="318.89999999999998"/>
    <n v="0"/>
    <n v="77669"/>
  </r>
  <r>
    <x v="17"/>
    <m/>
    <s v="Ballerupvej 29 - Udlejet"/>
    <n v="10275"/>
    <m/>
    <s v="Ballerupvej 29"/>
    <x v="125"/>
    <x v="1"/>
    <x v="3"/>
    <n v="597.48"/>
    <n v="5"/>
    <s v="2011-11-29"/>
    <n v="0"/>
    <n v="551"/>
    <n v="1.084158"/>
    <n v="3"/>
    <x v="0"/>
    <n v="597.48"/>
    <n v="477.98"/>
    <n v="0"/>
    <s v="40790"/>
    <m/>
    <n v="597.50000999999997"/>
    <n v="0"/>
    <n v="77669"/>
  </r>
  <r>
    <x v="17"/>
    <m/>
    <s v="Ballerupvej 29 - Udlejet"/>
    <n v="10275"/>
    <m/>
    <s v="Ballerupvej 29"/>
    <x v="125"/>
    <x v="1"/>
    <x v="4"/>
    <n v="639.63"/>
    <n v="3"/>
    <s v="2011-11-29"/>
    <n v="0"/>
    <n v="551"/>
    <n v="1.160642"/>
    <n v="3"/>
    <x v="0"/>
    <n v="639.63"/>
    <n v="511.73"/>
    <n v="0"/>
    <s v="40790"/>
    <m/>
    <n v="639.63999000000001"/>
    <n v="0"/>
    <n v="77669"/>
  </r>
  <r>
    <x v="17"/>
    <m/>
    <s v="Ballerupvej 29 - Udlejet"/>
    <n v="10275"/>
    <m/>
    <s v="Ballerupvej 29"/>
    <x v="125"/>
    <x v="1"/>
    <x v="5"/>
    <n v="632.91"/>
    <n v="2"/>
    <s v="2011-11-29"/>
    <n v="0"/>
    <n v="551"/>
    <n v="1.1484479999999999"/>
    <n v="3"/>
    <x v="0"/>
    <n v="632.91"/>
    <n v="506.34"/>
    <n v="0"/>
    <s v="40790"/>
    <m/>
    <n v="632.90545999999995"/>
    <n v="0"/>
    <n v="77669"/>
  </r>
  <r>
    <x v="17"/>
    <m/>
    <s v="Ballerupvej 29 - Udlejet"/>
    <n v="10275"/>
    <m/>
    <s v="Ballerupvej 29"/>
    <x v="125"/>
    <x v="1"/>
    <x v="6"/>
    <n v="666.09"/>
    <n v="3"/>
    <s v="2011-11-29"/>
    <n v="0"/>
    <n v="551"/>
    <n v="1.208655"/>
    <n v="3"/>
    <x v="0"/>
    <n v="666.09"/>
    <n v="532.89"/>
    <n v="0"/>
    <s v="40790"/>
    <m/>
    <n v="666.09559000000002"/>
    <n v="0"/>
    <n v="77669"/>
  </r>
  <r>
    <x v="17"/>
    <s v="02561-5"/>
    <s v="Farum Park"/>
    <n v="6027"/>
    <m/>
    <s v="Bimåler FCN"/>
    <x v="132"/>
    <x v="1"/>
    <x v="0"/>
    <n v="4.01"/>
    <n v="5"/>
    <s v="2015-05-04"/>
    <n v="0"/>
    <n v="0"/>
    <n v="40.1"/>
    <n v="3"/>
    <x v="0"/>
    <n v="4.01"/>
    <n v="3.2"/>
    <n v="1"/>
    <s v="Suiter VM2 BV"/>
    <m/>
    <n v="3.9999899999999999"/>
    <n v="0"/>
    <n v="60568"/>
  </r>
  <r>
    <x v="17"/>
    <s v="02561-5"/>
    <s v="Farum Park"/>
    <n v="6027"/>
    <m/>
    <s v="Bimåler FCN"/>
    <x v="132"/>
    <x v="1"/>
    <x v="0"/>
    <n v="12.12"/>
    <n v="5"/>
    <s v="2015-05-04"/>
    <n v="0"/>
    <n v="0"/>
    <n v="121.2"/>
    <n v="3"/>
    <x v="0"/>
    <n v="12.12"/>
    <n v="9.6999999999999993"/>
    <n v="1"/>
    <s v="Suiter VM3 BK"/>
    <m/>
    <n v="12.114280000000001"/>
    <n v="0"/>
    <n v="60570"/>
  </r>
  <r>
    <x v="17"/>
    <s v="02561-5"/>
    <s v="Farum Park"/>
    <n v="6027"/>
    <m/>
    <s v="Bimåler FCN"/>
    <x v="132"/>
    <x v="1"/>
    <x v="0"/>
    <n v="6.12"/>
    <n v="5"/>
    <s v="2015-05-04"/>
    <n v="0"/>
    <n v="0"/>
    <n v="61.2"/>
    <n v="3"/>
    <x v="0"/>
    <n v="6.12"/>
    <n v="4.8899999999999997"/>
    <n v="1"/>
    <s v="Loger VM4 BV"/>
    <m/>
    <n v="6.1142799999999999"/>
    <n v="0"/>
    <n v="60571"/>
  </r>
  <r>
    <x v="17"/>
    <s v="02561-5"/>
    <s v="Farum Park"/>
    <n v="6027"/>
    <m/>
    <s v="Bimåler FCN"/>
    <x v="132"/>
    <x v="1"/>
    <x v="0"/>
    <n v="0"/>
    <n v="5"/>
    <s v="2015-05-04"/>
    <n v="0"/>
    <n v="0"/>
    <n v="0"/>
    <n v="3"/>
    <x v="0"/>
    <n v="0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0"/>
    <n v="0.28999999999999998"/>
    <n v="5"/>
    <s v="2015-05-04"/>
    <n v="0"/>
    <n v="0"/>
    <n v="2.9"/>
    <n v="3"/>
    <x v="0"/>
    <n v="0.28999999999999998"/>
    <n v="0.23"/>
    <n v="1"/>
    <s v="Køk. VM6 BV"/>
    <m/>
    <n v="0.3"/>
    <n v="0"/>
    <n v="60573"/>
  </r>
  <r>
    <x v="17"/>
    <s v="02561-5"/>
    <s v="Farum Park"/>
    <n v="6027"/>
    <m/>
    <s v="Bimåler FCN"/>
    <x v="132"/>
    <x v="1"/>
    <x v="0"/>
    <n v="1.99"/>
    <n v="5"/>
    <s v="2015-05-04"/>
    <n v="0"/>
    <n v="0"/>
    <n v="19.899999999999999"/>
    <n v="3"/>
    <x v="0"/>
    <n v="1.99"/>
    <n v="1.6"/>
    <n v="1"/>
    <s v="Køk.VM7 BK"/>
    <m/>
    <n v="2"/>
    <n v="0"/>
    <n v="60574"/>
  </r>
  <r>
    <x v="17"/>
    <s v="02561-5"/>
    <s v="Farum Park"/>
    <n v="6027"/>
    <m/>
    <s v="Bimåler FCN"/>
    <x v="132"/>
    <x v="1"/>
    <x v="0"/>
    <n v="60.39"/>
    <n v="5"/>
    <s v="2015-05-04"/>
    <n v="0"/>
    <n v="0"/>
    <n v="603.9"/>
    <n v="3"/>
    <x v="0"/>
    <n v="60.39"/>
    <n v="48.32"/>
    <n v="1"/>
    <s v="Vaskeri VM8 BK"/>
    <m/>
    <n v="60.400010000000002"/>
    <n v="0"/>
    <n v="60575"/>
  </r>
  <r>
    <x v="17"/>
    <s v="02561-5"/>
    <s v="Farum Park"/>
    <n v="6027"/>
    <m/>
    <s v="Bimåler FCN"/>
    <x v="132"/>
    <x v="1"/>
    <x v="1"/>
    <n v="36.06"/>
    <n v="12"/>
    <s v="2015-05-04"/>
    <n v="0"/>
    <n v="0"/>
    <n v="360.6"/>
    <n v="3"/>
    <x v="0"/>
    <n v="36.06"/>
    <n v="28.84"/>
    <n v="1"/>
    <s v="Suiter VM2 BV"/>
    <m/>
    <n v="36.055970000000002"/>
    <n v="0"/>
    <n v="60568"/>
  </r>
  <r>
    <x v="17"/>
    <s v="02561-5"/>
    <s v="Farum Park"/>
    <n v="6027"/>
    <m/>
    <s v="Bimåler FCN"/>
    <x v="132"/>
    <x v="1"/>
    <x v="1"/>
    <n v="171.51"/>
    <n v="12"/>
    <s v="2015-05-04"/>
    <n v="0"/>
    <n v="0"/>
    <n v="1715.1"/>
    <n v="3"/>
    <x v="0"/>
    <n v="171.51"/>
    <n v="137.21"/>
    <n v="1"/>
    <s v="Suiter VM3 BK"/>
    <m/>
    <n v="171.51519999999999"/>
    <n v="0"/>
    <n v="60570"/>
  </r>
  <r>
    <x v="17"/>
    <s v="02561-5"/>
    <s v="Farum Park"/>
    <n v="6027"/>
    <m/>
    <s v="Bimåler FCN"/>
    <x v="132"/>
    <x v="1"/>
    <x v="1"/>
    <n v="54.98"/>
    <n v="12"/>
    <s v="2015-05-04"/>
    <n v="0"/>
    <n v="0"/>
    <n v="549.79999999999995"/>
    <n v="3"/>
    <x v="0"/>
    <n v="54.98"/>
    <n v="44.01"/>
    <n v="1"/>
    <s v="Loger VM4 BV"/>
    <m/>
    <n v="54.99145"/>
    <n v="0"/>
    <n v="60571"/>
  </r>
  <r>
    <x v="17"/>
    <s v="02561-5"/>
    <s v="Farum Park"/>
    <n v="6027"/>
    <m/>
    <s v="Bimåler FCN"/>
    <x v="132"/>
    <x v="1"/>
    <x v="1"/>
    <n v="0"/>
    <n v="12"/>
    <s v="2015-05-04"/>
    <n v="0"/>
    <n v="0"/>
    <n v="0"/>
    <n v="3"/>
    <x v="0"/>
    <n v="0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1"/>
    <n v="0.97"/>
    <n v="12"/>
    <s v="2015-05-04"/>
    <n v="0"/>
    <n v="0"/>
    <n v="9.6999999999999993"/>
    <n v="3"/>
    <x v="0"/>
    <n v="0.97"/>
    <n v="0.77"/>
    <n v="1"/>
    <s v="Køk. VM6 BV"/>
    <m/>
    <n v="0.96774000000000004"/>
    <n v="0"/>
    <n v="60573"/>
  </r>
  <r>
    <x v="17"/>
    <s v="02561-5"/>
    <s v="Farum Park"/>
    <n v="6027"/>
    <m/>
    <s v="Bimåler FCN"/>
    <x v="132"/>
    <x v="1"/>
    <x v="1"/>
    <n v="10"/>
    <n v="12"/>
    <s v="2015-05-04"/>
    <n v="0"/>
    <n v="0"/>
    <n v="100"/>
    <n v="3"/>
    <x v="0"/>
    <n v="10"/>
    <n v="8"/>
    <n v="1"/>
    <s v="Køk.VM7 BK"/>
    <m/>
    <n v="10"/>
    <n v="0"/>
    <n v="60574"/>
  </r>
  <r>
    <x v="17"/>
    <s v="02561-5"/>
    <s v="Farum Park"/>
    <n v="6027"/>
    <m/>
    <s v="Bimåler FCN"/>
    <x v="132"/>
    <x v="1"/>
    <x v="1"/>
    <n v="190.78"/>
    <n v="12"/>
    <s v="2015-05-04"/>
    <n v="0"/>
    <n v="0"/>
    <n v="1907.8"/>
    <n v="3"/>
    <x v="0"/>
    <n v="190.78"/>
    <n v="152.6"/>
    <n v="1"/>
    <s v="Vaskeri VM8 BK"/>
    <m/>
    <n v="190.75711000000001"/>
    <n v="0"/>
    <n v="60575"/>
  </r>
  <r>
    <x v="17"/>
    <s v="02561-5"/>
    <s v="Farum Park"/>
    <n v="6027"/>
    <m/>
    <s v="Bimåler FCN"/>
    <x v="132"/>
    <x v="1"/>
    <x v="2"/>
    <n v="30.01"/>
    <n v="12"/>
    <s v="2015-05-04"/>
    <n v="0"/>
    <n v="0"/>
    <n v="300.10000000000002"/>
    <n v="3"/>
    <x v="0"/>
    <n v="30.01"/>
    <n v="24.01"/>
    <n v="1"/>
    <s v="Suiter VM2 BV"/>
    <m/>
    <n v="30.002680000000002"/>
    <n v="0"/>
    <n v="60568"/>
  </r>
  <r>
    <x v="17"/>
    <s v="02561-5"/>
    <s v="Farum Park"/>
    <n v="6027"/>
    <m/>
    <s v="Bimåler FCN"/>
    <x v="132"/>
    <x v="1"/>
    <x v="2"/>
    <n v="217.44"/>
    <n v="12"/>
    <s v="2015-05-04"/>
    <n v="0"/>
    <n v="0"/>
    <n v="2174.4"/>
    <n v="3"/>
    <x v="0"/>
    <n v="217.44"/>
    <n v="173.96"/>
    <n v="1"/>
    <s v="Suiter VM3 BK"/>
    <m/>
    <n v="217.44474"/>
    <n v="0"/>
    <n v="60570"/>
  </r>
  <r>
    <x v="17"/>
    <s v="02561-5"/>
    <s v="Farum Park"/>
    <n v="6027"/>
    <m/>
    <s v="Bimåler FCN"/>
    <x v="132"/>
    <x v="1"/>
    <x v="2"/>
    <n v="40.950000000000003"/>
    <n v="12"/>
    <s v="2015-05-04"/>
    <n v="0"/>
    <n v="0"/>
    <n v="409.5"/>
    <n v="3"/>
    <x v="0"/>
    <n v="40.950000000000003"/>
    <n v="32.75"/>
    <n v="1"/>
    <s v="Loger VM4 BV"/>
    <m/>
    <n v="40.942059999999998"/>
    <n v="0"/>
    <n v="60571"/>
  </r>
  <r>
    <x v="17"/>
    <s v="02561-5"/>
    <s v="Farum Park"/>
    <n v="6027"/>
    <m/>
    <s v="Bimåler FCN"/>
    <x v="132"/>
    <x v="1"/>
    <x v="2"/>
    <n v="0"/>
    <n v="12"/>
    <s v="2015-05-04"/>
    <n v="0"/>
    <n v="0"/>
    <n v="0"/>
    <n v="3"/>
    <x v="0"/>
    <n v="0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2"/>
    <n v="1"/>
    <n v="12"/>
    <s v="2015-05-04"/>
    <n v="0"/>
    <n v="0"/>
    <n v="10"/>
    <n v="3"/>
    <x v="0"/>
    <n v="1"/>
    <n v="0.81"/>
    <n v="1"/>
    <s v="Køk. VM6 BV"/>
    <m/>
    <n v="1"/>
    <n v="0"/>
    <n v="60573"/>
  </r>
  <r>
    <x v="17"/>
    <s v="02561-5"/>
    <s v="Farum Park"/>
    <n v="6027"/>
    <m/>
    <s v="Bimåler FCN"/>
    <x v="132"/>
    <x v="1"/>
    <x v="2"/>
    <n v="1"/>
    <n v="12"/>
    <s v="2015-05-04"/>
    <n v="0"/>
    <n v="0"/>
    <n v="10"/>
    <n v="3"/>
    <x v="0"/>
    <n v="1"/>
    <n v="0.8"/>
    <n v="1"/>
    <s v="Køk.VM7 BK"/>
    <m/>
    <n v="1"/>
    <n v="0"/>
    <n v="60574"/>
  </r>
  <r>
    <x v="17"/>
    <s v="02561-5"/>
    <s v="Farum Park"/>
    <n v="6027"/>
    <m/>
    <s v="Bimåler FCN"/>
    <x v="132"/>
    <x v="1"/>
    <x v="2"/>
    <n v="112.98"/>
    <n v="12"/>
    <s v="2015-05-04"/>
    <n v="0"/>
    <n v="0"/>
    <n v="1129.8"/>
    <n v="3"/>
    <x v="0"/>
    <n v="112.98"/>
    <n v="90.39"/>
    <n v="1"/>
    <s v="Vaskeri VM8 BK"/>
    <m/>
    <n v="112.97504000000001"/>
    <n v="0"/>
    <n v="60575"/>
  </r>
  <r>
    <x v="17"/>
    <s v="02561-5"/>
    <s v="Farum Park"/>
    <n v="6027"/>
    <m/>
    <s v="Bimåler FCN"/>
    <x v="132"/>
    <x v="1"/>
    <x v="3"/>
    <n v="37.96"/>
    <n v="12"/>
    <s v="2015-05-04"/>
    <n v="0"/>
    <n v="0"/>
    <n v="379.6"/>
    <n v="3"/>
    <x v="0"/>
    <n v="37.96"/>
    <n v="30.37"/>
    <n v="1"/>
    <s v="Suiter VM2 BV"/>
    <m/>
    <n v="37.96969"/>
    <n v="0"/>
    <n v="60568"/>
  </r>
  <r>
    <x v="17"/>
    <s v="02561-5"/>
    <s v="Farum Park"/>
    <n v="6027"/>
    <m/>
    <s v="Bimåler FCN"/>
    <x v="132"/>
    <x v="1"/>
    <x v="3"/>
    <n v="125"/>
    <n v="12"/>
    <s v="2015-05-04"/>
    <n v="0"/>
    <n v="0"/>
    <n v="1250"/>
    <n v="3"/>
    <x v="0"/>
    <n v="125"/>
    <n v="100.02"/>
    <n v="1"/>
    <s v="Suiter VM3 BK"/>
    <m/>
    <n v="124.99999"/>
    <n v="0"/>
    <n v="60570"/>
  </r>
  <r>
    <x v="17"/>
    <s v="02561-5"/>
    <s v="Farum Park"/>
    <n v="6027"/>
    <m/>
    <s v="Bimåler FCN"/>
    <x v="132"/>
    <x v="1"/>
    <x v="3"/>
    <n v="36.04"/>
    <n v="12"/>
    <s v="2015-05-04"/>
    <n v="0"/>
    <n v="0"/>
    <n v="360.4"/>
    <n v="3"/>
    <x v="0"/>
    <n v="36.04"/>
    <n v="28.81"/>
    <n v="1"/>
    <s v="Loger VM4 BV"/>
    <m/>
    <n v="36.030290000000001"/>
    <n v="0"/>
    <n v="60571"/>
  </r>
  <r>
    <x v="17"/>
    <s v="02561-5"/>
    <s v="Farum Park"/>
    <n v="6027"/>
    <m/>
    <s v="Bimåler FCN"/>
    <x v="132"/>
    <x v="1"/>
    <x v="3"/>
    <n v="0"/>
    <n v="12"/>
    <s v="2015-05-04"/>
    <n v="0"/>
    <n v="0"/>
    <n v="0"/>
    <n v="3"/>
    <x v="0"/>
    <n v="0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3"/>
    <n v="0"/>
    <n v="12"/>
    <s v="2015-05-04"/>
    <n v="0"/>
    <n v="0"/>
    <n v="0"/>
    <n v="3"/>
    <x v="0"/>
    <n v="0"/>
    <n v="0"/>
    <n v="1"/>
    <s v="Køk. VM6 BV"/>
    <m/>
    <n v="0"/>
    <n v="0"/>
    <n v="60573"/>
  </r>
  <r>
    <x v="17"/>
    <s v="02561-5"/>
    <s v="Farum Park"/>
    <n v="6027"/>
    <m/>
    <s v="Bimåler FCN"/>
    <x v="132"/>
    <x v="1"/>
    <x v="3"/>
    <n v="1"/>
    <n v="12"/>
    <s v="2015-05-04"/>
    <n v="0"/>
    <n v="0"/>
    <n v="10"/>
    <n v="3"/>
    <x v="0"/>
    <n v="1"/>
    <n v="0.8"/>
    <n v="1"/>
    <s v="Køk.VM7 BK"/>
    <m/>
    <n v="1"/>
    <n v="0"/>
    <n v="60574"/>
  </r>
  <r>
    <x v="17"/>
    <s v="02561-5"/>
    <s v="Farum Park"/>
    <n v="6027"/>
    <m/>
    <s v="Bimåler FCN"/>
    <x v="132"/>
    <x v="1"/>
    <x v="3"/>
    <n v="159.1"/>
    <n v="12"/>
    <s v="2015-05-04"/>
    <n v="0"/>
    <n v="0"/>
    <n v="1591"/>
    <n v="3"/>
    <x v="0"/>
    <n v="159.1"/>
    <n v="127.28"/>
    <n v="1"/>
    <s v="Vaskeri VM8 BK"/>
    <m/>
    <n v="159.09091000000001"/>
    <n v="0"/>
    <n v="60575"/>
  </r>
  <r>
    <x v="17"/>
    <s v="02561-5"/>
    <s v="Farum Park"/>
    <n v="6027"/>
    <m/>
    <s v="Bimåler FCN"/>
    <x v="132"/>
    <x v="1"/>
    <x v="4"/>
    <n v="33.47"/>
    <n v="12"/>
    <s v="2015-05-04"/>
    <n v="0"/>
    <n v="0"/>
    <n v="334.7"/>
    <n v="3"/>
    <x v="0"/>
    <n v="33.47"/>
    <n v="26.76"/>
    <n v="1"/>
    <s v="Suiter VM2 BV"/>
    <m/>
    <n v="33.468800000000002"/>
    <n v="0"/>
    <n v="60568"/>
  </r>
  <r>
    <x v="17"/>
    <s v="02561-5"/>
    <s v="Farum Park"/>
    <n v="6027"/>
    <m/>
    <s v="Bimåler FCN"/>
    <x v="132"/>
    <x v="1"/>
    <x v="4"/>
    <n v="49.33"/>
    <n v="12"/>
    <s v="2015-05-04"/>
    <n v="0"/>
    <n v="0"/>
    <n v="493.3"/>
    <n v="3"/>
    <x v="0"/>
    <n v="49.33"/>
    <n v="39.46"/>
    <n v="1"/>
    <s v="Suiter VM3 BK"/>
    <m/>
    <n v="49.319969999999998"/>
    <n v="0"/>
    <n v="60570"/>
  </r>
  <r>
    <x v="17"/>
    <s v="02561-5"/>
    <s v="Farum Park"/>
    <n v="6027"/>
    <m/>
    <s v="Bimåler FCN"/>
    <x v="132"/>
    <x v="1"/>
    <x v="4"/>
    <n v="34.28"/>
    <n v="12"/>
    <s v="2015-05-04"/>
    <n v="0"/>
    <n v="0"/>
    <n v="342.8"/>
    <n v="3"/>
    <x v="0"/>
    <n v="34.28"/>
    <n v="27.43"/>
    <n v="1"/>
    <s v="Loger VM4 BV"/>
    <m/>
    <n v="34.292340000000003"/>
    <n v="0"/>
    <n v="60571"/>
  </r>
  <r>
    <x v="17"/>
    <s v="02561-5"/>
    <s v="Farum Park"/>
    <n v="6027"/>
    <m/>
    <s v="Bimåler FCN"/>
    <x v="132"/>
    <x v="1"/>
    <x v="4"/>
    <n v="0"/>
    <n v="12"/>
    <s v="2015-05-04"/>
    <n v="0"/>
    <n v="0"/>
    <n v="0"/>
    <n v="3"/>
    <x v="0"/>
    <n v="0"/>
    <n v="0"/>
    <n v="1"/>
    <s v="Loger VM5 BK"/>
    <m/>
    <n v="0"/>
    <n v="0"/>
    <n v="60572"/>
  </r>
  <r>
    <x v="17"/>
    <s v="02561-5"/>
    <s v="Farum Park"/>
    <n v="6027"/>
    <m/>
    <s v="Bimåler FCN"/>
    <x v="132"/>
    <x v="1"/>
    <x v="4"/>
    <n v="1"/>
    <n v="12"/>
    <s v="2015-05-04"/>
    <n v="0"/>
    <n v="0"/>
    <n v="10"/>
    <n v="3"/>
    <x v="0"/>
    <n v="1"/>
    <n v="0.8"/>
    <n v="1"/>
    <s v="Køk. VM6 BV"/>
    <m/>
    <n v="1"/>
    <n v="0"/>
    <n v="60573"/>
  </r>
  <r>
    <x v="17"/>
    <s v="02561-5"/>
    <s v="Farum Park"/>
    <n v="6027"/>
    <m/>
    <s v="Bimåler FCN"/>
    <x v="132"/>
    <x v="1"/>
    <x v="4"/>
    <n v="1"/>
    <n v="12"/>
    <s v="2015-05-04"/>
    <n v="0"/>
    <n v="0"/>
    <n v="10"/>
    <n v="3"/>
    <x v="0"/>
    <n v="1"/>
    <n v="0.8"/>
    <n v="1"/>
    <s v="Køk.VM7 BK"/>
    <m/>
    <n v="1"/>
    <n v="0"/>
    <n v="60574"/>
  </r>
  <r>
    <x v="17"/>
    <s v="02561-5"/>
    <s v="Farum Park"/>
    <n v="6027"/>
    <m/>
    <s v="Bimåler FCN"/>
    <x v="132"/>
    <x v="1"/>
    <x v="4"/>
    <n v="155.81"/>
    <n v="12"/>
    <s v="2015-05-04"/>
    <n v="0"/>
    <n v="0"/>
    <n v="1558.1"/>
    <n v="3"/>
    <x v="0"/>
    <n v="155.81"/>
    <n v="124.66"/>
    <n v="1"/>
    <s v="Vaskeri VM8 BK"/>
    <m/>
    <n v="155.81640999999999"/>
    <n v="0"/>
    <n v="60575"/>
  </r>
  <r>
    <x v="17"/>
    <s v="02561-5"/>
    <s v="Farum Park"/>
    <n v="6027"/>
    <m/>
    <s v="Bimåler FCN"/>
    <x v="132"/>
    <x v="1"/>
    <x v="5"/>
    <n v="51.59"/>
    <n v="12"/>
    <s v="2015-05-04"/>
    <n v="0"/>
    <n v="0"/>
    <n v="515.9"/>
    <n v="3"/>
    <x v="0"/>
    <n v="51.59"/>
    <n v="41.25"/>
    <n v="1"/>
    <s v="Suiter VM2 BV"/>
    <m/>
    <n v="51.564329999999998"/>
    <n v="0"/>
    <n v="60568"/>
  </r>
  <r>
    <x v="17"/>
    <s v="02561-5"/>
    <s v="Farum Park"/>
    <n v="6027"/>
    <m/>
    <s v="Bimåler FCN"/>
    <x v="132"/>
    <x v="1"/>
    <x v="5"/>
    <n v="60.63"/>
    <n v="12"/>
    <s v="2015-05-04"/>
    <n v="0"/>
    <n v="0"/>
    <n v="606.29999999999995"/>
    <n v="3"/>
    <x v="0"/>
    <n v="60.63"/>
    <n v="48.5"/>
    <n v="1"/>
    <s v="Suiter VM3 BK"/>
    <m/>
    <n v="60.62133"/>
    <n v="0"/>
    <n v="60570"/>
  </r>
  <r>
    <x v="17"/>
    <s v="02561-5"/>
    <s v="Farum Park"/>
    <n v="6027"/>
    <m/>
    <s v="Bimåler FCN"/>
    <x v="132"/>
    <x v="1"/>
    <x v="5"/>
    <n v="29.7"/>
    <n v="12"/>
    <s v="2015-05-04"/>
    <n v="0"/>
    <n v="0"/>
    <n v="297"/>
    <n v="3"/>
    <x v="0"/>
    <n v="29.7"/>
    <n v="23.75"/>
    <n v="1"/>
    <s v="Loger VM4 BV"/>
    <m/>
    <n v="29.70956"/>
    <n v="0"/>
    <n v="60571"/>
  </r>
  <r>
    <x v="17"/>
    <s v="02561-5"/>
    <s v="Farum Park"/>
    <n v="6027"/>
    <m/>
    <s v="Bimåler FCN"/>
    <x v="132"/>
    <x v="1"/>
    <x v="5"/>
    <n v="141"/>
    <n v="12"/>
    <s v="2015-05-04"/>
    <n v="0"/>
    <n v="0"/>
    <n v="1410"/>
    <n v="3"/>
    <x v="0"/>
    <n v="141"/>
    <n v="112.8"/>
    <n v="1"/>
    <s v="Loger VM5 BK"/>
    <m/>
    <n v="141"/>
    <n v="0"/>
    <n v="60572"/>
  </r>
  <r>
    <x v="17"/>
    <s v="02561-5"/>
    <s v="Farum Park"/>
    <n v="6027"/>
    <m/>
    <s v="Bimåler FCN"/>
    <x v="132"/>
    <x v="1"/>
    <x v="5"/>
    <n v="0"/>
    <n v="12"/>
    <s v="2015-05-04"/>
    <n v="0"/>
    <n v="0"/>
    <n v="0"/>
    <n v="3"/>
    <x v="0"/>
    <n v="0"/>
    <n v="0"/>
    <n v="1"/>
    <s v="Køk. VM6 BV"/>
    <m/>
    <n v="0"/>
    <n v="0"/>
    <n v="60573"/>
  </r>
  <r>
    <x v="17"/>
    <s v="02561-5"/>
    <s v="Farum Park"/>
    <n v="6027"/>
    <m/>
    <s v="Bimåler FCN"/>
    <x v="132"/>
    <x v="1"/>
    <x v="5"/>
    <n v="2"/>
    <n v="11"/>
    <s v="2015-05-04"/>
    <n v="0"/>
    <n v="0"/>
    <n v="20"/>
    <n v="3"/>
    <x v="0"/>
    <n v="2"/>
    <n v="1.6"/>
    <n v="1"/>
    <s v="Køk.VM7 BK"/>
    <m/>
    <n v="2"/>
    <n v="0"/>
    <n v="60574"/>
  </r>
  <r>
    <x v="17"/>
    <s v="02561-5"/>
    <s v="Farum Park"/>
    <n v="6027"/>
    <m/>
    <s v="Bimåler FCN"/>
    <x v="132"/>
    <x v="1"/>
    <x v="5"/>
    <n v="181.32"/>
    <n v="12"/>
    <s v="2015-05-04"/>
    <n v="0"/>
    <n v="0"/>
    <n v="1813.2"/>
    <n v="3"/>
    <x v="0"/>
    <n v="181.32"/>
    <n v="145.06"/>
    <n v="1"/>
    <s v="Vaskeri VM8 BK"/>
    <m/>
    <n v="181.31619000000001"/>
    <n v="0"/>
    <n v="60575"/>
  </r>
  <r>
    <x v="17"/>
    <s v="02561-5"/>
    <s v="Farum Park"/>
    <n v="6027"/>
    <m/>
    <s v="Bimåler FCN"/>
    <x v="132"/>
    <x v="1"/>
    <x v="6"/>
    <n v="67.010000000000005"/>
    <n v="11"/>
    <s v="2015-05-04"/>
    <n v="0"/>
    <n v="0"/>
    <n v="670.1"/>
    <n v="3"/>
    <x v="0"/>
    <n v="67.010000000000005"/>
    <n v="53.62"/>
    <n v="1"/>
    <s v="Suiter VM2 BV"/>
    <m/>
    <n v="66.997159999999994"/>
    <n v="0"/>
    <n v="60568"/>
  </r>
  <r>
    <x v="17"/>
    <s v="02561-5"/>
    <s v="Farum Park"/>
    <n v="6027"/>
    <m/>
    <s v="Bimåler FCN"/>
    <x v="132"/>
    <x v="1"/>
    <x v="6"/>
    <n v="462.02"/>
    <n v="11"/>
    <s v="2015-05-04"/>
    <n v="0"/>
    <n v="0"/>
    <n v="4620.2"/>
    <n v="3"/>
    <x v="0"/>
    <n v="462.02"/>
    <n v="369.63"/>
    <n v="1"/>
    <s v="Suiter VM3 BK"/>
    <m/>
    <n v="462.02841000000001"/>
    <n v="0"/>
    <n v="60570"/>
  </r>
  <r>
    <x v="17"/>
    <s v="02561-5"/>
    <s v="Farum Park"/>
    <n v="6027"/>
    <m/>
    <s v="Bimåler FCN"/>
    <x v="132"/>
    <x v="1"/>
    <x v="6"/>
    <n v="56.03"/>
    <n v="11"/>
    <s v="2015-05-04"/>
    <n v="0"/>
    <n v="0"/>
    <n v="560.29999999999995"/>
    <n v="3"/>
    <x v="0"/>
    <n v="56.03"/>
    <n v="44.83"/>
    <n v="1"/>
    <s v="Loger VM4 BV"/>
    <m/>
    <n v="56.028410000000001"/>
    <n v="0"/>
    <n v="60571"/>
  </r>
  <r>
    <x v="17"/>
    <s v="02561-5"/>
    <s v="Farum Park"/>
    <n v="6027"/>
    <m/>
    <s v="Bimåler FCN"/>
    <x v="132"/>
    <x v="1"/>
    <x v="6"/>
    <n v="484"/>
    <n v="11"/>
    <s v="2015-05-04"/>
    <n v="0"/>
    <n v="0"/>
    <n v="4840"/>
    <n v="3"/>
    <x v="0"/>
    <n v="484"/>
    <n v="387.2"/>
    <n v="1"/>
    <s v="Loger VM5 BK"/>
    <m/>
    <n v="484"/>
    <n v="0"/>
    <n v="60572"/>
  </r>
  <r>
    <x v="17"/>
    <s v="02561-5"/>
    <s v="Farum Park"/>
    <n v="6027"/>
    <m/>
    <s v="Bimåler FCN"/>
    <x v="132"/>
    <x v="1"/>
    <x v="6"/>
    <n v="1"/>
    <n v="11"/>
    <s v="2015-05-04"/>
    <n v="0"/>
    <n v="0"/>
    <n v="10"/>
    <n v="3"/>
    <x v="0"/>
    <n v="1"/>
    <n v="0.8"/>
    <n v="1"/>
    <s v="Køk. VM6 BV"/>
    <m/>
    <n v="1"/>
    <n v="0"/>
    <n v="60573"/>
  </r>
  <r>
    <x v="17"/>
    <s v="02561-5"/>
    <s v="Farum Park"/>
    <n v="6027"/>
    <m/>
    <s v="Bimåler FCN"/>
    <x v="132"/>
    <x v="1"/>
    <x v="6"/>
    <n v="0"/>
    <n v="11"/>
    <s v="2015-05-04"/>
    <n v="0"/>
    <n v="0"/>
    <n v="0"/>
    <n v="3"/>
    <x v="0"/>
    <n v="0"/>
    <n v="0"/>
    <n v="1"/>
    <s v="Køk.VM7 BK"/>
    <m/>
    <n v="0"/>
    <n v="0"/>
    <n v="60574"/>
  </r>
  <r>
    <x v="17"/>
    <s v="02561-5"/>
    <s v="Farum Park"/>
    <n v="6027"/>
    <m/>
    <s v="Bimåler FCN"/>
    <x v="132"/>
    <x v="1"/>
    <x v="6"/>
    <n v="338.05"/>
    <n v="11"/>
    <s v="2015-05-04"/>
    <n v="0"/>
    <n v="0"/>
    <n v="3380.5"/>
    <n v="3"/>
    <x v="0"/>
    <n v="338.05"/>
    <n v="270.45"/>
    <n v="1"/>
    <s v="Vaskeri VM8 BK"/>
    <m/>
    <n v="338.04924999999997"/>
    <n v="0"/>
    <n v="60575"/>
  </r>
  <r>
    <x v="17"/>
    <s v="02561-5"/>
    <s v="Farum Park"/>
    <n v="5468"/>
    <m/>
    <s v="Farum Park"/>
    <x v="132"/>
    <x v="0"/>
    <x v="6"/>
    <n v="2695.7"/>
    <m/>
    <m/>
    <n v="0"/>
    <n v="12237"/>
    <n v="2.8600000000000001E-3"/>
    <n v="3"/>
    <x v="0"/>
    <n v="2695.7"/>
    <m/>
    <n v="1"/>
    <m/>
    <m/>
    <m/>
    <n v="0"/>
    <m/>
  </r>
  <r>
    <x v="17"/>
    <s v="02561-5"/>
    <s v="Farum Park"/>
    <n v="5468"/>
    <m/>
    <s v="Farum Park"/>
    <x v="132"/>
    <x v="1"/>
    <x v="6"/>
    <n v="35"/>
    <n v="5"/>
    <s v="2008-05-01"/>
    <n v="0"/>
    <n v="12237"/>
    <n v="2.8600000000000001E-3"/>
    <n v="3"/>
    <x v="0"/>
    <n v="35"/>
    <n v="28"/>
    <n v="1"/>
    <s v="2200812 BV"/>
    <m/>
    <n v="35"/>
    <n v="0"/>
    <n v="57830"/>
  </r>
  <r>
    <x v="17"/>
    <s v="02561-5"/>
    <s v="Farum Park"/>
    <n v="5468"/>
    <m/>
    <s v="Farum Park"/>
    <x v="132"/>
    <x v="1"/>
    <x v="5"/>
    <n v="2642.78"/>
    <n v="12"/>
    <m/>
    <n v="0"/>
    <n v="12237"/>
    <n v="0.21596399999999999"/>
    <n v="3"/>
    <x v="0"/>
    <n v="2642.78"/>
    <n v="2114.2199999999998"/>
    <n v="0"/>
    <s v="9828007 BK"/>
    <m/>
    <n v="2642.779"/>
    <n v="0"/>
    <n v="58260"/>
  </r>
  <r>
    <x v="17"/>
    <s v="02561-5"/>
    <s v="Farum Park"/>
    <n v="5468"/>
    <m/>
    <s v="Farum Park"/>
    <x v="132"/>
    <x v="1"/>
    <x v="5"/>
    <n v="488.12"/>
    <n v="12"/>
    <m/>
    <n v="0"/>
    <n v="12237"/>
    <n v="3.9888E-2"/>
    <n v="3"/>
    <x v="0"/>
    <n v="488.12"/>
    <n v="390.5"/>
    <n v="1"/>
    <s v="28277499 BV"/>
    <m/>
    <n v="488.12700000000001"/>
    <n v="0"/>
    <n v="57827"/>
  </r>
  <r>
    <x v="17"/>
    <s v="02561-5"/>
    <s v="Farum Park"/>
    <n v="5468"/>
    <m/>
    <s v="Farum Park"/>
    <x v="132"/>
    <x v="1"/>
    <x v="5"/>
    <n v="85.88"/>
    <n v="12"/>
    <m/>
    <n v="0"/>
    <n v="12237"/>
    <n v="7.0179999999999999E-3"/>
    <n v="3"/>
    <x v="0"/>
    <n v="85.88"/>
    <n v="68.709999999999994"/>
    <n v="1"/>
    <s v="2200812 BV"/>
    <m/>
    <n v="85.88"/>
    <n v="0"/>
    <n v="57829"/>
  </r>
  <r>
    <x v="17"/>
    <s v="02561-5"/>
    <s v="Farum Park"/>
    <n v="5468"/>
    <m/>
    <s v="Farum Park"/>
    <x v="132"/>
    <x v="0"/>
    <x v="5"/>
    <n v="2068.7800000000002"/>
    <n v="12"/>
    <m/>
    <n v="0"/>
    <n v="12237"/>
    <m/>
    <n v="3"/>
    <x v="0"/>
    <n v="2068.7800000000002"/>
    <m/>
    <m/>
    <m/>
    <m/>
    <m/>
    <n v="0"/>
    <n v="57829"/>
  </r>
  <r>
    <x v="17"/>
    <s v="02561-5"/>
    <s v="Farum Park"/>
    <n v="5468"/>
    <m/>
    <s v="Farum Park"/>
    <x v="132"/>
    <x v="1"/>
    <x v="4"/>
    <n v="2711.19"/>
    <n v="12"/>
    <m/>
    <n v="0"/>
    <n v="12237"/>
    <n v="0.221554"/>
    <n v="3"/>
    <x v="0"/>
    <n v="2711.19"/>
    <n v="2168.94"/>
    <n v="0"/>
    <s v="9828007 BK"/>
    <m/>
    <n v="2711.1869999999999"/>
    <n v="0"/>
    <n v="58260"/>
  </r>
  <r>
    <x v="17"/>
    <s v="02561-5"/>
    <s v="Farum Park"/>
    <n v="5468"/>
    <m/>
    <s v="Farum Park"/>
    <x v="132"/>
    <x v="1"/>
    <x v="4"/>
    <n v="492.75"/>
    <n v="12"/>
    <m/>
    <n v="0"/>
    <n v="12237"/>
    <n v="4.0266000000000003E-2"/>
    <n v="3"/>
    <x v="0"/>
    <n v="492.75"/>
    <n v="394.2"/>
    <n v="1"/>
    <s v="28277499 BV"/>
    <m/>
    <n v="492.74299999999999"/>
    <n v="0"/>
    <n v="57827"/>
  </r>
  <r>
    <x v="17"/>
    <s v="02561-5"/>
    <s v="Farum Park"/>
    <n v="5468"/>
    <m/>
    <s v="Farum Park"/>
    <x v="132"/>
    <x v="1"/>
    <x v="4"/>
    <n v="70.73"/>
    <n v="12"/>
    <m/>
    <n v="0"/>
    <n v="12237"/>
    <n v="5.7790000000000003E-3"/>
    <n v="3"/>
    <x v="0"/>
    <n v="70.73"/>
    <n v="56.57"/>
    <n v="1"/>
    <s v="2200812 BV"/>
    <m/>
    <n v="70.73"/>
    <n v="0"/>
    <n v="57829"/>
  </r>
  <r>
    <x v="17"/>
    <s v="02561-5"/>
    <s v="Farum Park"/>
    <n v="5468"/>
    <m/>
    <s v="Farum Park"/>
    <x v="132"/>
    <x v="1"/>
    <x v="2"/>
    <n v="0"/>
    <n v="3"/>
    <s v="2015-05-04"/>
    <n v="0"/>
    <n v="12237"/>
    <n v="0"/>
    <n v="3"/>
    <x v="0"/>
    <n v="0"/>
    <n v="0"/>
    <n v="0"/>
    <s v="65122167  bane vand"/>
    <m/>
    <n v="0"/>
    <n v="0"/>
    <n v="92976"/>
  </r>
  <r>
    <x v="17"/>
    <s v="02561-5"/>
    <s v="Farum Park"/>
    <n v="5468"/>
    <m/>
    <s v="Farum Park"/>
    <x v="132"/>
    <x v="0"/>
    <x v="4"/>
    <n v="2147.71"/>
    <n v="12"/>
    <m/>
    <n v="0"/>
    <n v="12237"/>
    <m/>
    <n v="3"/>
    <x v="0"/>
    <n v="2147.71"/>
    <m/>
    <m/>
    <m/>
    <m/>
    <m/>
    <n v="0"/>
    <n v="57829"/>
  </r>
  <r>
    <x v="17"/>
    <s v="02561-5"/>
    <s v="Farum Park"/>
    <n v="5468"/>
    <m/>
    <s v="Farum Park"/>
    <x v="132"/>
    <x v="1"/>
    <x v="3"/>
    <n v="3451.01"/>
    <n v="12"/>
    <m/>
    <n v="0"/>
    <n v="12237"/>
    <n v="0.28201199999999998"/>
    <n v="3"/>
    <x v="0"/>
    <n v="3451.01"/>
    <n v="2760.81"/>
    <n v="0"/>
    <s v="9828007 BK"/>
    <m/>
    <n v="3451.0010000000002"/>
    <n v="0"/>
    <n v="58260"/>
  </r>
  <r>
    <x v="17"/>
    <s v="02561-5"/>
    <s v="Farum Park"/>
    <n v="5468"/>
    <m/>
    <s v="Farum Park"/>
    <x v="132"/>
    <x v="1"/>
    <x v="3"/>
    <n v="548.84"/>
    <n v="12"/>
    <m/>
    <n v="0"/>
    <n v="12237"/>
    <n v="4.4850000000000001E-2"/>
    <n v="3"/>
    <x v="0"/>
    <n v="548.84"/>
    <n v="439.07"/>
    <n v="1"/>
    <s v="28277499 BV"/>
    <m/>
    <n v="548.83900000000006"/>
    <n v="0"/>
    <n v="57827"/>
  </r>
  <r>
    <x v="17"/>
    <s v="02561-5"/>
    <s v="Farum Park"/>
    <n v="5468"/>
    <m/>
    <s v="Farum Park"/>
    <x v="132"/>
    <x v="1"/>
    <x v="3"/>
    <n v="77.8"/>
    <n v="12"/>
    <m/>
    <n v="0"/>
    <n v="12237"/>
    <n v="6.3569999999999998E-3"/>
    <n v="3"/>
    <x v="0"/>
    <n v="77.8"/>
    <n v="62.24"/>
    <n v="1"/>
    <s v="2200812 BV"/>
    <m/>
    <n v="77.8"/>
    <n v="0"/>
    <n v="57829"/>
  </r>
  <r>
    <x v="17"/>
    <s v="02561-5"/>
    <s v="Farum Park"/>
    <n v="5468"/>
    <m/>
    <s v="Farum Park"/>
    <x v="132"/>
    <x v="1"/>
    <x v="2"/>
    <n v="157"/>
    <n v="8"/>
    <s v="2012-08-01"/>
    <n v="0"/>
    <n v="12237"/>
    <n v="1.2829E-2"/>
    <n v="3"/>
    <x v="0"/>
    <n v="157"/>
    <n v="125.61"/>
    <n v="0"/>
    <s v="2151699 NEDTAGET maj 2012"/>
    <m/>
    <n v="157"/>
    <n v="0"/>
    <n v="85967"/>
  </r>
  <r>
    <x v="17"/>
    <s v="02561-5"/>
    <s v="Farum Park"/>
    <n v="5468"/>
    <m/>
    <s v="Farum Park"/>
    <x v="132"/>
    <x v="1"/>
    <x v="1"/>
    <n v="5676.01"/>
    <n v="9"/>
    <s v="2015-05-04"/>
    <n v="0"/>
    <n v="12237"/>
    <n v="0.46383600000000003"/>
    <n v="3"/>
    <x v="0"/>
    <n v="5676.01"/>
    <n v="4540.8"/>
    <n v="0"/>
    <s v="65122167  bane vand"/>
    <m/>
    <n v="5676.0000099999997"/>
    <n v="0"/>
    <n v="92976"/>
  </r>
  <r>
    <x v="17"/>
    <s v="02561-5"/>
    <s v="Farum Park"/>
    <n v="5468"/>
    <m/>
    <s v="Farum Park"/>
    <x v="132"/>
    <x v="0"/>
    <x v="3"/>
    <n v="2824.37"/>
    <n v="12"/>
    <m/>
    <n v="0"/>
    <n v="12237"/>
    <m/>
    <n v="3"/>
    <x v="0"/>
    <n v="2824.37"/>
    <m/>
    <m/>
    <m/>
    <m/>
    <m/>
    <n v="0"/>
    <n v="57829"/>
  </r>
  <r>
    <x v="17"/>
    <s v="02561-5"/>
    <s v="Farum Park"/>
    <n v="5468"/>
    <m/>
    <s v="Farum Park"/>
    <x v="132"/>
    <x v="1"/>
    <x v="2"/>
    <n v="3244.6"/>
    <n v="12"/>
    <m/>
    <n v="0"/>
    <n v="12237"/>
    <n v="0.26514399999999999"/>
    <n v="3"/>
    <x v="0"/>
    <n v="3244.6"/>
    <n v="2595.67"/>
    <n v="0"/>
    <s v="9828007 BK"/>
    <m/>
    <n v="3244.5940000000001"/>
    <n v="0"/>
    <n v="58260"/>
  </r>
  <r>
    <x v="17"/>
    <s v="02561-5"/>
    <s v="Farum Park"/>
    <n v="5468"/>
    <m/>
    <s v="Farum Park"/>
    <x v="132"/>
    <x v="1"/>
    <x v="2"/>
    <n v="585.70000000000005"/>
    <n v="12"/>
    <m/>
    <n v="0"/>
    <n v="12237"/>
    <n v="4.7862000000000002E-2"/>
    <n v="3"/>
    <x v="0"/>
    <n v="585.70000000000005"/>
    <n v="468.56"/>
    <n v="1"/>
    <s v="28277499 BV"/>
    <m/>
    <n v="585.69600000000003"/>
    <n v="0"/>
    <n v="57827"/>
  </r>
  <r>
    <x v="17"/>
    <s v="02561-5"/>
    <s v="Farum Park"/>
    <n v="5468"/>
    <m/>
    <s v="Farum Park"/>
    <x v="132"/>
    <x v="1"/>
    <x v="2"/>
    <n v="66.77"/>
    <n v="12"/>
    <m/>
    <n v="0"/>
    <n v="12237"/>
    <n v="5.4559999999999999E-3"/>
    <n v="3"/>
    <x v="0"/>
    <n v="66.77"/>
    <n v="53.42"/>
    <n v="1"/>
    <s v="2200812 BV"/>
    <m/>
    <n v="66.77"/>
    <n v="0"/>
    <n v="57829"/>
  </r>
  <r>
    <x v="17"/>
    <s v="02561-5"/>
    <s v="Farum Park"/>
    <n v="5468"/>
    <m/>
    <s v="Farum Park"/>
    <x v="132"/>
    <x v="1"/>
    <x v="3"/>
    <n v="250"/>
    <n v="13"/>
    <s v="2012-08-01"/>
    <n v="0"/>
    <n v="12237"/>
    <n v="2.0428999999999999E-2"/>
    <n v="3"/>
    <x v="0"/>
    <n v="250"/>
    <n v="200"/>
    <n v="0"/>
    <s v="2151699 NEDTAGET maj 2012"/>
    <m/>
    <n v="250"/>
    <n v="0"/>
    <n v="85967"/>
  </r>
  <r>
    <x v="17"/>
    <s v="02561-5"/>
    <s v="Farum Park"/>
    <n v="5468"/>
    <m/>
    <s v="Farum Park"/>
    <x v="132"/>
    <x v="0"/>
    <x v="2"/>
    <n v="2592.1299999999997"/>
    <n v="12"/>
    <m/>
    <n v="0"/>
    <n v="12237"/>
    <m/>
    <n v="3"/>
    <x v="0"/>
    <n v="2592.1299999999997"/>
    <m/>
    <n v="1"/>
    <m/>
    <m/>
    <m/>
    <n v="0"/>
    <n v="57829"/>
  </r>
  <r>
    <x v="17"/>
    <s v="02561-5"/>
    <s v="Farum Park"/>
    <n v="5468"/>
    <m/>
    <s v="Farum Park"/>
    <x v="132"/>
    <x v="1"/>
    <x v="1"/>
    <n v="575.54"/>
    <n v="12"/>
    <m/>
    <n v="0"/>
    <n v="12237"/>
    <n v="4.7031999999999997E-2"/>
    <n v="3"/>
    <x v="0"/>
    <n v="575.54"/>
    <n v="460.43"/>
    <n v="1"/>
    <s v="28277499 BV"/>
    <m/>
    <n v="575.53200000000004"/>
    <n v="0"/>
    <n v="57827"/>
  </r>
  <r>
    <x v="17"/>
    <s v="02561-5"/>
    <s v="Farum Park"/>
    <n v="5468"/>
    <m/>
    <s v="Farum Park"/>
    <x v="132"/>
    <x v="1"/>
    <x v="1"/>
    <n v="95.85"/>
    <n v="12"/>
    <m/>
    <n v="0"/>
    <n v="12237"/>
    <n v="7.8320000000000004E-3"/>
    <n v="3"/>
    <x v="0"/>
    <n v="95.85"/>
    <n v="76.69"/>
    <n v="1"/>
    <s v="2200812 BV"/>
    <m/>
    <n v="95.85"/>
    <n v="0"/>
    <n v="57829"/>
  </r>
  <r>
    <x v="17"/>
    <s v="02561-5"/>
    <s v="Farum Park"/>
    <n v="5468"/>
    <m/>
    <s v="Farum Park"/>
    <x v="132"/>
    <x v="1"/>
    <x v="7"/>
    <n v="8641"/>
    <n v="12"/>
    <s v="2015-05-04"/>
    <n v="0"/>
    <n v="12237"/>
    <n v="0.70613099999999995"/>
    <n v="3"/>
    <x v="0"/>
    <n v="8641"/>
    <n v="6912.79"/>
    <n v="0"/>
    <s v="65122167  bane vand"/>
    <m/>
    <n v="8640.9999900000003"/>
    <n v="0"/>
    <n v="92976"/>
  </r>
  <r>
    <x v="17"/>
    <s v="02561-5"/>
    <s v="Farum Park"/>
    <n v="5468"/>
    <m/>
    <s v="Farum Park"/>
    <x v="132"/>
    <x v="1"/>
    <x v="4"/>
    <n v="93.01"/>
    <n v="5"/>
    <s v="2012-08-01"/>
    <n v="0"/>
    <n v="12237"/>
    <n v="7.6E-3"/>
    <n v="3"/>
    <x v="0"/>
    <n v="93.01"/>
    <n v="74.400000000000006"/>
    <n v="0"/>
    <s v="2151699 NEDTAGET maj 2012"/>
    <m/>
    <n v="92.999989999999997"/>
    <n v="0"/>
    <n v="85967"/>
  </r>
  <r>
    <x v="17"/>
    <s v="02561-5"/>
    <s v="Farum Park"/>
    <n v="5468"/>
    <m/>
    <s v="Farum Park"/>
    <x v="132"/>
    <x v="1"/>
    <x v="1"/>
    <n v="3016.05"/>
    <n v="12"/>
    <m/>
    <n v="0"/>
    <n v="12237"/>
    <n v="0.24646699999999999"/>
    <n v="3"/>
    <x v="0"/>
    <n v="3016.05"/>
    <n v="2412.85"/>
    <n v="0"/>
    <s v="9828007 BK"/>
    <m/>
    <n v="3016.0569999999998"/>
    <n v="0"/>
    <n v="58260"/>
  </r>
  <r>
    <x v="17"/>
    <s v="02561-5"/>
    <s v="Farum Park"/>
    <n v="5468"/>
    <m/>
    <s v="Farum Park"/>
    <x v="132"/>
    <x v="0"/>
    <x v="1"/>
    <n v="2344.6600000000003"/>
    <n v="12"/>
    <m/>
    <n v="0"/>
    <n v="12237"/>
    <m/>
    <n v="3"/>
    <x v="0"/>
    <n v="2344.6600000000003"/>
    <m/>
    <n v="0"/>
    <m/>
    <m/>
    <m/>
    <m/>
    <n v="58260"/>
  </r>
  <r>
    <x v="17"/>
    <s v="02561-5"/>
    <s v="Farum Park"/>
    <n v="5468"/>
    <m/>
    <s v="Farum Park"/>
    <x v="132"/>
    <x v="1"/>
    <x v="7"/>
    <n v="653.9"/>
    <n v="12"/>
    <m/>
    <n v="0"/>
    <n v="12237"/>
    <n v="5.3435000000000003E-2"/>
    <n v="3"/>
    <x v="0"/>
    <n v="653.9"/>
    <n v="523.13"/>
    <n v="1"/>
    <s v="28277499 BV"/>
    <m/>
    <n v="653.91"/>
    <n v="0"/>
    <n v="57827"/>
  </r>
  <r>
    <x v="17"/>
    <s v="02561-5"/>
    <s v="Farum Park"/>
    <n v="5468"/>
    <m/>
    <s v="Farum Park"/>
    <x v="132"/>
    <x v="1"/>
    <x v="7"/>
    <n v="92.58"/>
    <n v="12"/>
    <m/>
    <n v="0"/>
    <n v="12237"/>
    <n v="7.5649999999999997E-3"/>
    <n v="3"/>
    <x v="0"/>
    <n v="92.58"/>
    <n v="74.06"/>
    <n v="1"/>
    <s v="2200812 BV"/>
    <m/>
    <n v="92.58"/>
    <n v="0"/>
    <n v="57829"/>
  </r>
  <r>
    <x v="17"/>
    <s v="02561-5"/>
    <s v="Farum Park"/>
    <n v="5468"/>
    <m/>
    <s v="Farum Park"/>
    <x v="132"/>
    <x v="1"/>
    <x v="7"/>
    <n v="3352.8"/>
    <n v="12"/>
    <m/>
    <n v="0"/>
    <n v="12237"/>
    <n v="0.27398600000000001"/>
    <n v="3"/>
    <x v="0"/>
    <n v="3352.8"/>
    <n v="2682.23"/>
    <n v="0"/>
    <s v="9828007 BK"/>
    <m/>
    <n v="3352.7860000000001"/>
    <n v="0"/>
    <n v="58260"/>
  </r>
  <r>
    <x v="17"/>
    <s v="02561-5"/>
    <s v="Farum Park"/>
    <n v="5468"/>
    <m/>
    <s v="Farum Park"/>
    <x v="132"/>
    <x v="0"/>
    <x v="7"/>
    <n v="2606.3200000000002"/>
    <n v="12"/>
    <m/>
    <n v="0"/>
    <n v="12237"/>
    <m/>
    <n v="3"/>
    <x v="0"/>
    <n v="2606.3200000000002"/>
    <m/>
    <n v="0"/>
    <m/>
    <m/>
    <m/>
    <n v="0"/>
    <n v="58260"/>
  </r>
  <r>
    <x v="17"/>
    <s v="02561-5"/>
    <s v="Farum Park"/>
    <n v="5468"/>
    <m/>
    <s v="Farum Park"/>
    <x v="132"/>
    <x v="1"/>
    <x v="0"/>
    <n v="663"/>
    <n v="5"/>
    <m/>
    <n v="0"/>
    <n v="12237"/>
    <n v="2.3909E-2"/>
    <n v="3"/>
    <x v="0"/>
    <n v="292.58"/>
    <n v="663"/>
    <n v="1"/>
    <s v="28277499 BV"/>
    <m/>
    <n v="292.58600000000001"/>
    <n v="0"/>
    <n v="57827"/>
  </r>
  <r>
    <x v="17"/>
    <s v="02561-5"/>
    <s v="Farum Park"/>
    <n v="5468"/>
    <m/>
    <s v="Farum Park"/>
    <x v="132"/>
    <x v="1"/>
    <x v="0"/>
    <n v="46"/>
    <n v="5"/>
    <m/>
    <n v="0"/>
    <n v="12237"/>
    <n v="9.4700000000000003E-4"/>
    <n v="3"/>
    <x v="0"/>
    <n v="11.59"/>
    <n v="46"/>
    <n v="1"/>
    <s v="2200812 BV"/>
    <m/>
    <n v="11.59"/>
    <n v="0"/>
    <n v="57829"/>
  </r>
  <r>
    <x v="17"/>
    <s v="02561-5"/>
    <s v="Farum Park"/>
    <n v="5468"/>
    <m/>
    <s v="Farum Park"/>
    <x v="132"/>
    <x v="1"/>
    <x v="0"/>
    <n v="2693"/>
    <n v="5"/>
    <m/>
    <n v="0"/>
    <n v="12237"/>
    <n v="9.2108999999999996E-2"/>
    <n v="3"/>
    <x v="0"/>
    <n v="1127.1500000000001"/>
    <n v="2693"/>
    <n v="0"/>
    <s v="9828007 BK"/>
    <m/>
    <n v="1127.146"/>
    <n v="0"/>
    <n v="58260"/>
  </r>
  <r>
    <x v="17"/>
    <s v="02561-5"/>
    <s v="Farum Park"/>
    <n v="5468"/>
    <m/>
    <s v="Farum Park"/>
    <x v="132"/>
    <x v="0"/>
    <x v="0"/>
    <n v="1984"/>
    <n v="5"/>
    <m/>
    <n v="0"/>
    <n v="12237"/>
    <n v="9.2108999999999996E-2"/>
    <n v="3"/>
    <x v="0"/>
    <n v="1127.1500000000001"/>
    <n v="1984"/>
    <n v="0"/>
    <m/>
    <m/>
    <m/>
    <n v="0"/>
    <n v="58260"/>
  </r>
  <r>
    <x v="17"/>
    <s v="02561-5"/>
    <s v="Farum Park"/>
    <n v="5468"/>
    <m/>
    <s v="Farum Park"/>
    <x v="132"/>
    <x v="1"/>
    <x v="0"/>
    <n v="0"/>
    <n v="5"/>
    <s v="2015-05-04"/>
    <n v="0"/>
    <n v="12237"/>
    <n v="0"/>
    <n v="3"/>
    <x v="0"/>
    <n v="0"/>
    <n v="0"/>
    <n v="0"/>
    <s v="65122167  bane vand"/>
    <m/>
    <n v="0"/>
    <n v="0"/>
    <n v="92976"/>
  </r>
  <r>
    <x v="17"/>
    <s v="04310-9"/>
    <s v="Fuglsang, Farum Hovedgade 84"/>
    <n v="5954"/>
    <m/>
    <s v="Fuglsang"/>
    <x v="135"/>
    <x v="1"/>
    <x v="0"/>
    <n v="50.37"/>
    <n v="5"/>
    <s v="2011-11-30"/>
    <n v="0"/>
    <n v="475"/>
    <n v="0.106019"/>
    <n v="3"/>
    <x v="0"/>
    <n v="50.37"/>
    <n v="40.299999999999997"/>
    <n v="0"/>
    <s v="98391706"/>
    <m/>
    <n v="50.372999999999998"/>
    <n v="0"/>
    <n v="59982"/>
  </r>
  <r>
    <x v="17"/>
    <s v="04310-9"/>
    <s v="Fuglsang, Farum Hovedgade 84"/>
    <n v="5954"/>
    <m/>
    <s v="Fuglsang"/>
    <x v="135"/>
    <x v="1"/>
    <x v="1"/>
    <n v="203.36"/>
    <n v="12"/>
    <s v="2011-11-30"/>
    <n v="0"/>
    <n v="475"/>
    <n v="0.42803600000000003"/>
    <n v="3"/>
    <x v="0"/>
    <n v="203.36"/>
    <n v="162.68"/>
    <n v="0"/>
    <s v="98391706"/>
    <m/>
    <n v="203.37"/>
    <n v="0"/>
    <n v="59982"/>
  </r>
  <r>
    <x v="17"/>
    <s v="04310-9"/>
    <s v="Fuglsang, Farum Hovedgade 84"/>
    <n v="5954"/>
    <m/>
    <s v="Fuglsang"/>
    <x v="135"/>
    <x v="1"/>
    <x v="2"/>
    <n v="247.37"/>
    <n v="12"/>
    <s v="2011-11-30"/>
    <n v="0"/>
    <n v="475"/>
    <n v="0.52066900000000005"/>
    <n v="3"/>
    <x v="0"/>
    <n v="247.37"/>
    <n v="197.9"/>
    <n v="0"/>
    <s v="98391706"/>
    <m/>
    <n v="247.36743000000001"/>
    <n v="0"/>
    <n v="59982"/>
  </r>
  <r>
    <x v="17"/>
    <s v="04310-9"/>
    <s v="Fuglsang, Farum Hovedgade 84"/>
    <n v="5954"/>
    <m/>
    <s v="Fuglsang"/>
    <x v="135"/>
    <x v="1"/>
    <x v="3"/>
    <n v="223.19"/>
    <n v="12"/>
    <s v="2011-11-30"/>
    <n v="0"/>
    <n v="475"/>
    <n v="0.46977400000000002"/>
    <n v="3"/>
    <x v="0"/>
    <n v="223.19"/>
    <n v="178.55"/>
    <n v="0"/>
    <s v="98391706"/>
    <m/>
    <n v="223.18672000000001"/>
    <n v="0"/>
    <n v="59982"/>
  </r>
  <r>
    <x v="17"/>
    <s v="04310-9"/>
    <s v="Fuglsang, Farum Hovedgade 84"/>
    <n v="5954"/>
    <m/>
    <s v="Fuglsang"/>
    <x v="135"/>
    <x v="1"/>
    <x v="4"/>
    <n v="352.01"/>
    <n v="11"/>
    <s v="2011-11-30"/>
    <n v="0"/>
    <n v="475"/>
    <n v="0.74091700000000005"/>
    <n v="3"/>
    <x v="0"/>
    <n v="352.01"/>
    <n v="281.64"/>
    <n v="0"/>
    <s v="98391706"/>
    <m/>
    <n v="352.02656000000002"/>
    <n v="0"/>
    <n v="59982"/>
  </r>
  <r>
    <x v="17"/>
    <s v="04310-9"/>
    <s v="Fuglsang, Farum Hovedgade 84"/>
    <n v="5954"/>
    <m/>
    <s v="Fuglsang"/>
    <x v="135"/>
    <x v="1"/>
    <x v="5"/>
    <n v="240.17"/>
    <n v="11"/>
    <s v="2011-11-30"/>
    <n v="0"/>
    <n v="475"/>
    <n v="0.50551400000000002"/>
    <n v="3"/>
    <x v="0"/>
    <n v="240.17"/>
    <n v="192.15"/>
    <n v="0"/>
    <s v="98391706"/>
    <m/>
    <n v="240.17122000000001"/>
    <n v="0"/>
    <n v="59982"/>
  </r>
  <r>
    <x v="17"/>
    <s v="04310-9"/>
    <s v="Fuglsang, Farum Hovedgade 84"/>
    <n v="5954"/>
    <m/>
    <s v="Fuglsang"/>
    <x v="135"/>
    <x v="1"/>
    <x v="6"/>
    <n v="196.73"/>
    <n v="12"/>
    <s v="2011-11-30"/>
    <n v="0"/>
    <n v="475"/>
    <n v="0.41408099999999998"/>
    <n v="3"/>
    <x v="0"/>
    <n v="196.73"/>
    <n v="157.38"/>
    <n v="0"/>
    <s v="98391706"/>
    <m/>
    <n v="196.73255"/>
    <n v="0"/>
    <n v="59982"/>
  </r>
  <r>
    <x v="17"/>
    <s v="03888-1"/>
    <s v="Furesøgård - UDLEJET"/>
    <n v="5429"/>
    <m/>
    <s v="Furesøgård - UDLEJET"/>
    <x v="136"/>
    <x v="1"/>
    <x v="0"/>
    <n v="91.3"/>
    <n v="5"/>
    <m/>
    <n v="0"/>
    <n v="1747"/>
    <n v="5.2257999999999999E-2"/>
    <n v="3"/>
    <x v="0"/>
    <n v="91.3"/>
    <n v="73.03"/>
    <n v="0"/>
    <s v="04016440"/>
    <m/>
    <n v="91.298000000000002"/>
    <n v="0"/>
    <n v="57410"/>
  </r>
  <r>
    <x v="17"/>
    <s v="03888-1"/>
    <s v="Furesøgård - UDLEJET"/>
    <n v="5429"/>
    <m/>
    <s v="Furesøgård - UDLEJET"/>
    <x v="136"/>
    <x v="1"/>
    <x v="1"/>
    <n v="385.16"/>
    <n v="12"/>
    <m/>
    <n v="0"/>
    <n v="1747"/>
    <n v="0.22045600000000001"/>
    <n v="3"/>
    <x v="0"/>
    <n v="385.16"/>
    <n v="308.12"/>
    <n v="0"/>
    <s v="04016440"/>
    <m/>
    <n v="385.15800000000002"/>
    <n v="0"/>
    <n v="57410"/>
  </r>
  <r>
    <x v="17"/>
    <s v="03888-1"/>
    <s v="Furesøgård - UDLEJET"/>
    <n v="5429"/>
    <m/>
    <s v="Furesøgård - UDLEJET"/>
    <x v="136"/>
    <x v="1"/>
    <x v="2"/>
    <n v="417.53"/>
    <n v="12"/>
    <m/>
    <n v="0"/>
    <n v="1747"/>
    <n v="0.238984"/>
    <n v="3"/>
    <x v="0"/>
    <n v="417.53"/>
    <n v="334.03"/>
    <n v="0"/>
    <s v="04016440"/>
    <m/>
    <n v="417.54199999999997"/>
    <n v="0"/>
    <n v="57410"/>
  </r>
  <r>
    <x v="17"/>
    <m/>
    <s v="Overgangsboligerne Lillevangspark 8"/>
    <n v="13988"/>
    <s v="0"/>
    <s v="Overgangsboligerne Lillevangspark 8"/>
    <x v="133"/>
    <x v="1"/>
    <x v="7"/>
    <n v="11823.91"/>
    <n v="3"/>
    <s v="2014-11-07"/>
    <n v="0"/>
    <n v="0"/>
    <n v="118239.1"/>
    <n v="1"/>
    <x v="5"/>
    <n v="14388.53"/>
    <n v="630.11"/>
    <n v="0"/>
    <s v="948570"/>
    <m/>
    <n v="11.82391"/>
    <n v="0"/>
    <n v="94860"/>
  </r>
  <r>
    <x v="17"/>
    <s v="03888-1"/>
    <s v="Furesøgård - UDLEJET"/>
    <n v="5429"/>
    <m/>
    <s v="Furesøgård - UDLEJET"/>
    <x v="136"/>
    <x v="1"/>
    <x v="3"/>
    <n v="612.1"/>
    <n v="12"/>
    <m/>
    <n v="0"/>
    <n v="1747"/>
    <n v="0.350352"/>
    <n v="3"/>
    <x v="0"/>
    <n v="612.1"/>
    <n v="489.71"/>
    <n v="0"/>
    <s v="04016440"/>
    <m/>
    <n v="612.11546999999996"/>
    <n v="0"/>
    <n v="57410"/>
  </r>
  <r>
    <x v="17"/>
    <s v="03888-1"/>
    <s v="Furesøgård - UDLEJET"/>
    <n v="5429"/>
    <m/>
    <s v="Furesøgård - UDLEJET"/>
    <x v="136"/>
    <x v="1"/>
    <x v="4"/>
    <n v="531.07000000000005"/>
    <n v="12"/>
    <m/>
    <n v="0"/>
    <n v="1747"/>
    <n v="0.30397200000000002"/>
    <n v="3"/>
    <x v="0"/>
    <n v="531.07000000000005"/>
    <n v="424.85"/>
    <n v="0"/>
    <s v="04016440"/>
    <m/>
    <n v="531.07351000000006"/>
    <n v="0"/>
    <n v="57410"/>
  </r>
  <r>
    <x v="17"/>
    <s v="03888-1"/>
    <s v="Furesøgård - UDLEJET"/>
    <n v="5429"/>
    <m/>
    <s v="Furesøgård - UDLEJET"/>
    <x v="136"/>
    <x v="1"/>
    <x v="5"/>
    <n v="359.24"/>
    <n v="12"/>
    <m/>
    <n v="0"/>
    <n v="1747"/>
    <n v="0.20562"/>
    <n v="3"/>
    <x v="0"/>
    <n v="359.24"/>
    <n v="287.43"/>
    <n v="0"/>
    <s v="04016440"/>
    <m/>
    <n v="359.274"/>
    <n v="0"/>
    <n v="57410"/>
  </r>
  <r>
    <x v="17"/>
    <s v="03888-1"/>
    <s v="Furesøgård - UDLEJET"/>
    <n v="5429"/>
    <m/>
    <s v="Furesøgård - UDLEJET"/>
    <x v="136"/>
    <x v="1"/>
    <x v="6"/>
    <n v="406.32"/>
    <n v="12"/>
    <m/>
    <n v="0"/>
    <n v="1747"/>
    <n v="0.232568"/>
    <n v="3"/>
    <x v="0"/>
    <n v="406.32"/>
    <n v="325.06"/>
    <n v="0"/>
    <s v="04016440"/>
    <m/>
    <n v="406.31900000000002"/>
    <n v="0"/>
    <n v="57410"/>
  </r>
  <r>
    <x v="17"/>
    <s v="05359-7"/>
    <s v="Idræt Fritid"/>
    <n v="5265"/>
    <m/>
    <s v="Idræt Fritid"/>
    <x v="137"/>
    <x v="1"/>
    <x v="0"/>
    <n v="52.13"/>
    <n v="5"/>
    <s v="2005-05-01"/>
    <n v="0"/>
    <n v="585"/>
    <n v="8.9094999999999994E-2"/>
    <n v="3"/>
    <x v="0"/>
    <n v="52.13"/>
    <n v="41.71"/>
    <n v="0"/>
    <s v="BK"/>
    <m/>
    <n v="52.137999999999998"/>
    <n v="0"/>
    <n v="56775"/>
  </r>
  <r>
    <x v="17"/>
    <s v="05359-7"/>
    <s v="Idræt Fritid"/>
    <n v="5265"/>
    <m/>
    <s v="Idræt Fritid"/>
    <x v="137"/>
    <x v="1"/>
    <x v="1"/>
    <n v="136.71"/>
    <n v="12"/>
    <s v="2005-05-01"/>
    <n v="0"/>
    <n v="585"/>
    <n v="0.233652"/>
    <n v="3"/>
    <x v="0"/>
    <n v="136.71"/>
    <n v="109.38"/>
    <n v="0"/>
    <s v="BK"/>
    <m/>
    <n v="136.715"/>
    <n v="0"/>
    <n v="56775"/>
  </r>
  <r>
    <x v="17"/>
    <s v="05359-7"/>
    <s v="Idræt Fritid"/>
    <n v="5265"/>
    <m/>
    <s v="Idræt Fritid"/>
    <x v="137"/>
    <x v="1"/>
    <x v="2"/>
    <n v="129.1"/>
    <n v="12"/>
    <s v="2005-05-01"/>
    <n v="0"/>
    <n v="585"/>
    <n v="0.22064600000000001"/>
    <n v="3"/>
    <x v="0"/>
    <n v="129.1"/>
    <n v="103.28"/>
    <n v="0"/>
    <s v="BK"/>
    <m/>
    <n v="129.101"/>
    <n v="0"/>
    <n v="56775"/>
  </r>
  <r>
    <x v="17"/>
    <s v="05359-7"/>
    <s v="Idræt Fritid"/>
    <n v="5265"/>
    <m/>
    <s v="Idræt Fritid"/>
    <x v="137"/>
    <x v="1"/>
    <x v="3"/>
    <n v="151.59"/>
    <n v="12"/>
    <s v="2005-05-01"/>
    <n v="0"/>
    <n v="585"/>
    <n v="0.25908300000000001"/>
    <n v="3"/>
    <x v="0"/>
    <n v="151.59"/>
    <n v="121.28"/>
    <n v="0"/>
    <s v="BK"/>
    <m/>
    <n v="151.59"/>
    <n v="0"/>
    <n v="56775"/>
  </r>
  <r>
    <x v="17"/>
    <s v="05359-7"/>
    <s v="Idræt Fritid"/>
    <n v="5265"/>
    <m/>
    <s v="Idræt Fritid"/>
    <x v="137"/>
    <x v="1"/>
    <x v="4"/>
    <n v="162.44"/>
    <n v="12"/>
    <s v="2005-05-01"/>
    <n v="0"/>
    <n v="585"/>
    <n v="0.27762700000000001"/>
    <n v="3"/>
    <x v="0"/>
    <n v="162.44"/>
    <n v="129.96"/>
    <n v="0"/>
    <s v="BK"/>
    <m/>
    <n v="162.44999999999999"/>
    <n v="0"/>
    <n v="56775"/>
  </r>
  <r>
    <x v="17"/>
    <s v="05359-7"/>
    <s v="Idræt Fritid"/>
    <n v="5265"/>
    <m/>
    <s v="Idræt Fritid"/>
    <x v="137"/>
    <x v="1"/>
    <x v="5"/>
    <n v="150.57"/>
    <n v="12"/>
    <s v="2005-05-01"/>
    <n v="0"/>
    <n v="585"/>
    <n v="0.25734000000000001"/>
    <n v="3"/>
    <x v="0"/>
    <n v="150.57"/>
    <n v="120.48"/>
    <n v="0"/>
    <s v="BK"/>
    <m/>
    <n v="150.58199999999999"/>
    <n v="0"/>
    <n v="56775"/>
  </r>
  <r>
    <x v="17"/>
    <s v="05359-7"/>
    <s v="Idræt Fritid"/>
    <n v="5265"/>
    <m/>
    <s v="Idræt Fritid"/>
    <x v="137"/>
    <x v="1"/>
    <x v="6"/>
    <n v="170.8"/>
    <n v="12"/>
    <s v="2005-05-01"/>
    <n v="0"/>
    <n v="585"/>
    <n v="0.29191499999999998"/>
    <n v="3"/>
    <x v="0"/>
    <n v="170.8"/>
    <n v="136.65"/>
    <n v="0"/>
    <s v="BK"/>
    <m/>
    <n v="170.797"/>
    <n v="0"/>
    <n v="56775"/>
  </r>
  <r>
    <x v="17"/>
    <s v="5359-7"/>
    <s v="Idræt Klub"/>
    <n v="5266"/>
    <m/>
    <s v="Idræt Klub"/>
    <x v="138"/>
    <x v="1"/>
    <x v="0"/>
    <n v="65.23"/>
    <n v="5"/>
    <s v="2005-05-01"/>
    <n v="0"/>
    <n v="585"/>
    <n v="0.111485"/>
    <n v="3"/>
    <x v="0"/>
    <n v="65.23"/>
    <n v="52.18"/>
    <n v="0"/>
    <s v="BK 548872"/>
    <m/>
    <n v="65.224000000000004"/>
    <n v="0"/>
    <n v="56781"/>
  </r>
  <r>
    <x v="17"/>
    <s v="5359-7"/>
    <s v="Idræt Klub"/>
    <n v="5266"/>
    <m/>
    <s v="Idræt Klub"/>
    <x v="138"/>
    <x v="1"/>
    <x v="1"/>
    <n v="184.54"/>
    <n v="12"/>
    <s v="2005-05-01"/>
    <n v="0"/>
    <n v="585"/>
    <n v="0.31539899999999998"/>
    <n v="3"/>
    <x v="0"/>
    <n v="184.54"/>
    <n v="147.62"/>
    <n v="0"/>
    <s v="BK 548872"/>
    <m/>
    <n v="184.541"/>
    <n v="0"/>
    <n v="56781"/>
  </r>
  <r>
    <x v="17"/>
    <s v="5359-7"/>
    <s v="Idræt Klub"/>
    <n v="5266"/>
    <m/>
    <s v="Idræt Klub"/>
    <x v="138"/>
    <x v="1"/>
    <x v="2"/>
    <n v="172.84"/>
    <n v="12"/>
    <s v="2005-05-01"/>
    <n v="0"/>
    <n v="585"/>
    <n v="0.295402"/>
    <n v="3"/>
    <x v="0"/>
    <n v="172.84"/>
    <n v="138.26"/>
    <n v="0"/>
    <s v="BK 548872"/>
    <m/>
    <n v="172.82400000000001"/>
    <n v="0"/>
    <n v="56781"/>
  </r>
  <r>
    <x v="17"/>
    <s v="5359-7"/>
    <s v="Idræt Klub"/>
    <n v="5266"/>
    <m/>
    <s v="Idræt Klub"/>
    <x v="138"/>
    <x v="1"/>
    <x v="3"/>
    <n v="176.38"/>
    <n v="12"/>
    <s v="2005-05-01"/>
    <n v="0"/>
    <n v="585"/>
    <n v="0.301452"/>
    <n v="3"/>
    <x v="0"/>
    <n v="176.38"/>
    <n v="141.09"/>
    <n v="0"/>
    <s v="BK 548872"/>
    <m/>
    <n v="176.369"/>
    <n v="0"/>
    <n v="56781"/>
  </r>
  <r>
    <x v="17"/>
    <s v="5359-7"/>
    <s v="Idræt Klub"/>
    <n v="5266"/>
    <m/>
    <s v="Idræt Klub"/>
    <x v="138"/>
    <x v="1"/>
    <x v="4"/>
    <n v="212.72"/>
    <n v="12"/>
    <s v="2005-05-01"/>
    <n v="0"/>
    <n v="585"/>
    <n v="0.36356100000000002"/>
    <n v="3"/>
    <x v="0"/>
    <n v="212.72"/>
    <n v="170.18"/>
    <n v="0"/>
    <s v="BK 548872"/>
    <m/>
    <n v="212.726"/>
    <n v="0"/>
    <n v="56781"/>
  </r>
  <r>
    <x v="17"/>
    <s v="5359-7"/>
    <s v="Idræt Klub"/>
    <n v="5266"/>
    <m/>
    <s v="Idræt Klub"/>
    <x v="138"/>
    <x v="1"/>
    <x v="5"/>
    <n v="234.8"/>
    <n v="12"/>
    <s v="2005-05-01"/>
    <n v="0"/>
    <n v="585"/>
    <n v="0.40129799999999999"/>
    <n v="3"/>
    <x v="0"/>
    <n v="234.8"/>
    <n v="187.86"/>
    <n v="0"/>
    <s v="BK 548872"/>
    <m/>
    <n v="234.80500000000001"/>
    <n v="0"/>
    <n v="56781"/>
  </r>
  <r>
    <x v="17"/>
    <m/>
    <s v="Overgangsboligerne Lillevangspark 8"/>
    <n v="13988"/>
    <s v="0"/>
    <s v="Overgangsboligerne Lillevangspark 8"/>
    <x v="133"/>
    <x v="1"/>
    <x v="7"/>
    <n v="5495.49"/>
    <n v="2"/>
    <s v="2014-11-07"/>
    <n v="0"/>
    <n v="0"/>
    <n v="54954.9"/>
    <n v="2"/>
    <x v="2"/>
    <n v="5495.49"/>
    <n v="1648.63"/>
    <n v="0"/>
    <s v="784016-36317 / 70-19972"/>
    <s v="74111477900"/>
    <n v="5495.4843000000001"/>
    <n v="0"/>
    <n v="92749"/>
  </r>
  <r>
    <x v="17"/>
    <s v="5359-7"/>
    <s v="Idræt Klub"/>
    <n v="5266"/>
    <m/>
    <s v="Idræt Klub"/>
    <x v="138"/>
    <x v="1"/>
    <x v="6"/>
    <n v="211.86"/>
    <n v="12"/>
    <s v="2005-05-01"/>
    <n v="0"/>
    <n v="585"/>
    <n v="0.362091"/>
    <n v="3"/>
    <x v="0"/>
    <n v="211.86"/>
    <n v="169.49"/>
    <n v="0"/>
    <s v="BK 548872"/>
    <m/>
    <n v="211.86"/>
    <n v="0"/>
    <n v="56781"/>
  </r>
  <r>
    <x v="17"/>
    <s v="1937"/>
    <s v="Lerstedet 1"/>
    <n v="13666"/>
    <s v="0"/>
    <s v="Lerstedet 1A-E"/>
    <x v="139"/>
    <x v="1"/>
    <x v="1"/>
    <n v="129.75"/>
    <n v="2"/>
    <s v="2014-12-10"/>
    <n v="0"/>
    <n v="1155"/>
    <n v="0.112327"/>
    <n v="3"/>
    <x v="0"/>
    <n v="129.75"/>
    <n v="103.83"/>
    <n v="0"/>
    <s v="02pc501321"/>
    <m/>
    <n v="129.76373000000001"/>
    <n v="0"/>
    <n v="91260"/>
  </r>
  <r>
    <x v="17"/>
    <s v="1937"/>
    <s v="Lerstedet 1"/>
    <n v="13666"/>
    <s v="0"/>
    <s v="Lerstedet 1A-E"/>
    <x v="139"/>
    <x v="1"/>
    <x v="2"/>
    <n v="7.33"/>
    <n v="1"/>
    <s v="2014-12-10"/>
    <n v="0"/>
    <n v="1155"/>
    <n v="6.3449999999999999E-3"/>
    <n v="3"/>
    <x v="0"/>
    <n v="7.33"/>
    <n v="5.87"/>
    <n v="0"/>
    <s v="02pc501321"/>
    <m/>
    <n v="7.3333300000000001"/>
    <n v="0"/>
    <n v="91260"/>
  </r>
  <r>
    <x v="17"/>
    <s v="7662"/>
    <s v="Lille Bjørn, Kålund 24"/>
    <n v="13868"/>
    <s v="0"/>
    <s v="Lille Bjørn"/>
    <x v="140"/>
    <x v="1"/>
    <x v="0"/>
    <n v="133.13"/>
    <n v="5"/>
    <s v="2014-03-31"/>
    <n v="0"/>
    <n v="867"/>
    <n v="0.153534"/>
    <n v="3"/>
    <x v="0"/>
    <n v="133.13"/>
    <n v="106.5"/>
    <n v="0"/>
    <s v="06 452924"/>
    <m/>
    <n v="133.126"/>
    <n v="0"/>
    <n v="92217"/>
  </r>
  <r>
    <x v="17"/>
    <s v="7662"/>
    <s v="Lille Bjørn, Kålund 24"/>
    <n v="13868"/>
    <s v="0"/>
    <s v="Lille Bjørn"/>
    <x v="140"/>
    <x v="1"/>
    <x v="1"/>
    <n v="311.85000000000002"/>
    <n v="4"/>
    <s v="2014-03-31"/>
    <n v="0"/>
    <n v="867"/>
    <n v="0.35964699999999999"/>
    <n v="3"/>
    <x v="0"/>
    <n v="311.85000000000002"/>
    <n v="249.47"/>
    <n v="0"/>
    <s v="06 452924"/>
    <m/>
    <n v="311.84782999999999"/>
    <n v="0"/>
    <n v="92217"/>
  </r>
  <r>
    <x v="17"/>
    <s v="????"/>
    <s v="Skomagerbakken P. E. Rasmunnens Vej 3"/>
    <n v="6370"/>
    <m/>
    <s v="Skomagerbakken"/>
    <x v="141"/>
    <x v="1"/>
    <x v="0"/>
    <n v="38.31"/>
    <n v="5"/>
    <s v="2011-11-30"/>
    <n v="0"/>
    <n v="99"/>
    <n v="0.38657900000000001"/>
    <n v="3"/>
    <x v="0"/>
    <n v="38.31"/>
    <n v="30.66"/>
    <n v="0"/>
    <s v="98392295"/>
    <m/>
    <n v="38.311"/>
    <n v="0"/>
    <n v="62723"/>
  </r>
  <r>
    <x v="17"/>
    <s v="????"/>
    <s v="Skomagerbakken P. E. Rasmunnens Vej 3"/>
    <n v="6370"/>
    <m/>
    <s v="Skomagerbakken"/>
    <x v="141"/>
    <x v="1"/>
    <x v="1"/>
    <n v="95.31"/>
    <n v="12"/>
    <s v="2011-11-30"/>
    <n v="0"/>
    <n v="99"/>
    <n v="0.96175500000000003"/>
    <n v="3"/>
    <x v="0"/>
    <n v="95.31"/>
    <n v="76.25"/>
    <n v="0"/>
    <s v="98392295"/>
    <m/>
    <n v="95.311999999999998"/>
    <n v="0"/>
    <n v="62723"/>
  </r>
  <r>
    <x v="17"/>
    <s v="????"/>
    <s v="Skomagerbakken P. E. Rasmunnens Vej 3"/>
    <n v="6370"/>
    <m/>
    <s v="Skomagerbakken"/>
    <x v="141"/>
    <x v="1"/>
    <x v="2"/>
    <n v="91.66"/>
    <n v="12"/>
    <s v="2011-11-30"/>
    <n v="0"/>
    <n v="99"/>
    <n v="0.92492399999999997"/>
    <n v="3"/>
    <x v="0"/>
    <n v="91.66"/>
    <n v="73.33"/>
    <n v="0"/>
    <s v="98392295"/>
    <m/>
    <n v="91.67"/>
    <n v="0"/>
    <n v="62723"/>
  </r>
  <r>
    <x v="17"/>
    <s v="????"/>
    <s v="Skomagerbakken P. E. Rasmunnens Vej 3"/>
    <n v="6370"/>
    <m/>
    <s v="Skomagerbakken"/>
    <x v="141"/>
    <x v="1"/>
    <x v="3"/>
    <n v="76.14"/>
    <n v="6"/>
    <s v="2011-11-30"/>
    <n v="0"/>
    <n v="99"/>
    <n v="0.76831400000000005"/>
    <n v="3"/>
    <x v="0"/>
    <n v="76.14"/>
    <n v="60.93"/>
    <n v="0"/>
    <s v="98392295"/>
    <m/>
    <n v="76.15701"/>
    <n v="0"/>
    <n v="62723"/>
  </r>
  <r>
    <x v="17"/>
    <s v="????"/>
    <s v="Skomagerbakken P. E. Rasmunnens Vej 3"/>
    <n v="6370"/>
    <m/>
    <s v="Skomagerbakken"/>
    <x v="141"/>
    <x v="1"/>
    <x v="4"/>
    <n v="67.91"/>
    <n v="5"/>
    <s v="2011-11-30"/>
    <n v="0"/>
    <n v="99"/>
    <n v="0.68526699999999996"/>
    <n v="3"/>
    <x v="0"/>
    <n v="67.91"/>
    <n v="54.35"/>
    <n v="0"/>
    <s v="98392295"/>
    <m/>
    <n v="67.935400000000001"/>
    <n v="0"/>
    <n v="62723"/>
  </r>
  <r>
    <x v="17"/>
    <s v="????"/>
    <s v="Skomagerbakken P. E. Rasmunnens Vej 3"/>
    <n v="6370"/>
    <m/>
    <s v="Skomagerbakken"/>
    <x v="141"/>
    <x v="1"/>
    <x v="5"/>
    <n v="68.14"/>
    <n v="6"/>
    <s v="2011-11-30"/>
    <n v="0"/>
    <n v="99"/>
    <n v="0.68758799999999998"/>
    <n v="3"/>
    <x v="0"/>
    <n v="68.14"/>
    <n v="54.55"/>
    <n v="0"/>
    <s v="98392295"/>
    <m/>
    <n v="68.165940000000006"/>
    <n v="0"/>
    <n v="62723"/>
  </r>
  <r>
    <x v="17"/>
    <s v="????"/>
    <s v="Skomagerbakken P. E. Rasmunnens Vej 3"/>
    <n v="6370"/>
    <m/>
    <s v="Skomagerbakken"/>
    <x v="141"/>
    <x v="1"/>
    <x v="6"/>
    <n v="77.319999999999993"/>
    <n v="5"/>
    <s v="2011-11-30"/>
    <n v="0"/>
    <n v="99"/>
    <n v="0.78022100000000005"/>
    <n v="3"/>
    <x v="0"/>
    <n v="77.319999999999993"/>
    <n v="61.85"/>
    <n v="0"/>
    <s v="98392295"/>
    <m/>
    <n v="77.31371"/>
    <n v="0"/>
    <n v="62723"/>
  </r>
  <r>
    <x v="17"/>
    <s v="03972-1"/>
    <s v="Solhøjgård - UDLEJET"/>
    <n v="5953"/>
    <m/>
    <s v="Solhøjgård"/>
    <x v="142"/>
    <x v="1"/>
    <x v="0"/>
    <n v="36.630000000000003"/>
    <n v="5"/>
    <s v="2011-12-31"/>
    <n v="0"/>
    <n v="272"/>
    <n v="0.13461899999999999"/>
    <n v="3"/>
    <x v="0"/>
    <n v="36.630000000000003"/>
    <n v="29.29"/>
    <n v="0"/>
    <s v="97600445"/>
    <m/>
    <n v="36.617429999999999"/>
    <n v="0"/>
    <n v="59979"/>
  </r>
  <r>
    <x v="17"/>
    <s v="03972-1"/>
    <s v="Solhøjgård - UDLEJET"/>
    <n v="5953"/>
    <m/>
    <s v="Solhøjgård"/>
    <x v="142"/>
    <x v="1"/>
    <x v="1"/>
    <n v="163.51"/>
    <n v="12"/>
    <s v="2011-12-31"/>
    <n v="0"/>
    <n v="272"/>
    <n v="0.60091799999999995"/>
    <n v="3"/>
    <x v="0"/>
    <n v="163.51"/>
    <n v="130.79"/>
    <n v="0"/>
    <s v="97600445"/>
    <m/>
    <n v="163.50334000000001"/>
    <n v="0"/>
    <n v="59979"/>
  </r>
  <r>
    <x v="17"/>
    <s v="03972-1"/>
    <s v="Solhøjgård - UDLEJET"/>
    <n v="5953"/>
    <m/>
    <s v="Solhøjgård"/>
    <x v="142"/>
    <x v="1"/>
    <x v="2"/>
    <n v="174.01"/>
    <n v="12"/>
    <s v="2011-12-31"/>
    <n v="0"/>
    <n v="272"/>
    <n v="0.63950700000000005"/>
    <n v="3"/>
    <x v="0"/>
    <n v="174.01"/>
    <n v="139.21"/>
    <n v="0"/>
    <s v="97600445"/>
    <m/>
    <n v="174.00001"/>
    <n v="0"/>
    <n v="59979"/>
  </r>
  <r>
    <x v="17"/>
    <s v="03972-1"/>
    <s v="Solhøjgård - UDLEJET"/>
    <n v="5953"/>
    <m/>
    <s v="Solhøjgård"/>
    <x v="142"/>
    <x v="1"/>
    <x v="3"/>
    <n v="264.43"/>
    <n v="10"/>
    <s v="2011-12-31"/>
    <n v="0"/>
    <n v="272"/>
    <n v="0.97181099999999998"/>
    <n v="3"/>
    <x v="0"/>
    <n v="264.43"/>
    <n v="211.55"/>
    <n v="0"/>
    <s v="97600445"/>
    <m/>
    <n v="264.43671999999998"/>
    <n v="0"/>
    <n v="59979"/>
  </r>
  <r>
    <x v="17"/>
    <s v="03972-1"/>
    <s v="Solhøjgård - UDLEJET"/>
    <n v="5953"/>
    <m/>
    <s v="Solhøjgård"/>
    <x v="142"/>
    <x v="1"/>
    <x v="4"/>
    <n v="265.27999999999997"/>
    <n v="4"/>
    <s v="2011-12-31"/>
    <n v="0"/>
    <n v="272"/>
    <n v="0.974935"/>
    <n v="3"/>
    <x v="0"/>
    <n v="265.27999999999997"/>
    <n v="212.21"/>
    <n v="0"/>
    <s v="97600445"/>
    <m/>
    <n v="265.28377999999998"/>
    <n v="0"/>
    <n v="59979"/>
  </r>
  <r>
    <x v="17"/>
    <s v="03972-1"/>
    <s v="Solhøjgård - UDLEJET"/>
    <n v="5953"/>
    <m/>
    <s v="Solhøjgård"/>
    <x v="142"/>
    <x v="1"/>
    <x v="5"/>
    <n v="152.11000000000001"/>
    <n v="1"/>
    <s v="2011-12-31"/>
    <n v="0"/>
    <n v="272"/>
    <n v="0.55902200000000002"/>
    <n v="3"/>
    <x v="0"/>
    <n v="152.11000000000001"/>
    <n v="121.66"/>
    <n v="0"/>
    <s v="97600445"/>
    <m/>
    <n v="152.08452"/>
    <n v="0"/>
    <n v="59979"/>
  </r>
  <r>
    <x v="17"/>
    <s v="03972-1"/>
    <s v="Solhøjgård - UDLEJET"/>
    <n v="5953"/>
    <m/>
    <s v="Solhøjgård"/>
    <x v="142"/>
    <x v="1"/>
    <x v="6"/>
    <n v="126.72"/>
    <n v="3"/>
    <s v="2011-12-31"/>
    <n v="0"/>
    <n v="272"/>
    <n v="0.46571099999999999"/>
    <n v="3"/>
    <x v="0"/>
    <n v="126.72"/>
    <n v="101.34"/>
    <n v="0"/>
    <s v="97600445"/>
    <m/>
    <n v="126.71760999999999"/>
    <n v="0"/>
    <n v="59979"/>
  </r>
  <r>
    <x v="17"/>
    <m/>
    <s v="Stenvadhallen"/>
    <n v="13534"/>
    <s v="0"/>
    <s v="Stenvadhallen"/>
    <x v="143"/>
    <x v="1"/>
    <x v="0"/>
    <n v="195.57"/>
    <n v="3"/>
    <s v="2015-05-04"/>
    <n v="0"/>
    <n v="2088"/>
    <n v="9.3659000000000006E-2"/>
    <n v="3"/>
    <x v="0"/>
    <n v="195.57"/>
    <n v="0"/>
    <n v="1"/>
    <s v="Koldt vand 5019440"/>
    <m/>
    <n v="195.57144"/>
    <n v="0"/>
    <n v="90572"/>
  </r>
  <r>
    <x v="17"/>
    <m/>
    <s v="Stenvadhallen"/>
    <n v="13534"/>
    <s v="0"/>
    <s v="Stenvadhallen"/>
    <x v="143"/>
    <x v="1"/>
    <x v="1"/>
    <n v="396.15"/>
    <n v="6"/>
    <s v="2014-11-02"/>
    <n v="0"/>
    <n v="2088"/>
    <n v="0.189717"/>
    <n v="3"/>
    <x v="8"/>
    <n v="396.15"/>
    <n v="0"/>
    <n v="1"/>
    <s v="Cirkul. 6508842 ?"/>
    <m/>
    <n v="396151.74047999998"/>
    <n v="0"/>
    <n v="90570"/>
  </r>
  <r>
    <x v="17"/>
    <m/>
    <s v="Stenvadhallen"/>
    <n v="13534"/>
    <s v="0"/>
    <s v="Stenvadhallen"/>
    <x v="143"/>
    <x v="1"/>
    <x v="1"/>
    <n v="549.16"/>
    <n v="6"/>
    <s v="2014-11-02"/>
    <n v="0"/>
    <n v="2088"/>
    <n v="0.26299499999999998"/>
    <n v="3"/>
    <x v="8"/>
    <n v="549.16"/>
    <n v="0"/>
    <n v="1"/>
    <s v="Varmt brugsvand 6508842 ?"/>
    <m/>
    <n v="549161.41304000001"/>
    <n v="0"/>
    <n v="90571"/>
  </r>
  <r>
    <x v="17"/>
    <m/>
    <s v="Stenvadhallen"/>
    <n v="13534"/>
    <s v="0"/>
    <s v="Stenvadhallen"/>
    <x v="143"/>
    <x v="1"/>
    <x v="1"/>
    <n v="195.71"/>
    <n v="6"/>
    <s v="2015-05-04"/>
    <n v="0"/>
    <n v="2088"/>
    <n v="9.3726000000000004E-2"/>
    <n v="3"/>
    <x v="0"/>
    <n v="195.71"/>
    <n v="0"/>
    <n v="1"/>
    <s v="Koldt vand 5019440"/>
    <m/>
    <n v="195.71983"/>
    <n v="0"/>
    <n v="90572"/>
  </r>
  <r>
    <x v="17"/>
    <m/>
    <s v="Stenvadhallen"/>
    <n v="13534"/>
    <s v="0"/>
    <s v="Stenvadhallen"/>
    <x v="143"/>
    <x v="1"/>
    <x v="2"/>
    <n v="394.13"/>
    <n v="6"/>
    <s v="2014-11-02"/>
    <n v="0"/>
    <n v="2088"/>
    <n v="0.18875"/>
    <n v="3"/>
    <x v="8"/>
    <n v="394.13"/>
    <n v="0"/>
    <n v="1"/>
    <s v="Cirkul. 6508842 ?"/>
    <m/>
    <n v="394128.23285999999"/>
    <n v="0"/>
    <n v="90570"/>
  </r>
  <r>
    <x v="17"/>
    <m/>
    <s v="Stenvadhallen"/>
    <n v="13534"/>
    <s v="0"/>
    <s v="Stenvadhallen"/>
    <x v="143"/>
    <x v="1"/>
    <x v="2"/>
    <n v="553.89"/>
    <n v="6"/>
    <s v="2014-11-02"/>
    <n v="0"/>
    <n v="2088"/>
    <n v="0.26526"/>
    <n v="3"/>
    <x v="8"/>
    <n v="553.89"/>
    <n v="0"/>
    <n v="1"/>
    <s v="Varmt brugsvand 6508842 ?"/>
    <m/>
    <n v="553884.62902999995"/>
    <n v="0"/>
    <n v="90571"/>
  </r>
  <r>
    <x v="17"/>
    <m/>
    <s v="Stenvadhallen"/>
    <n v="13534"/>
    <s v="0"/>
    <s v="Stenvadhallen"/>
    <x v="143"/>
    <x v="1"/>
    <x v="2"/>
    <n v="212.91"/>
    <n v="6"/>
    <s v="2015-05-04"/>
    <n v="0"/>
    <n v="2088"/>
    <n v="0.101963"/>
    <n v="3"/>
    <x v="0"/>
    <n v="212.91"/>
    <n v="0"/>
    <n v="1"/>
    <s v="Koldt vand 5019440"/>
    <m/>
    <n v="212.92238"/>
    <n v="0"/>
    <n v="90572"/>
  </r>
  <r>
    <x v="17"/>
    <m/>
    <s v="Stenvadhallen"/>
    <n v="13534"/>
    <s v="0"/>
    <s v="Stenvadhallen"/>
    <x v="143"/>
    <x v="1"/>
    <x v="3"/>
    <n v="424.1"/>
    <n v="2"/>
    <s v="2014-11-02"/>
    <n v="0"/>
    <n v="2088"/>
    <n v="0.20310300000000001"/>
    <n v="3"/>
    <x v="8"/>
    <n v="424.1"/>
    <n v="0"/>
    <n v="1"/>
    <s v="Cirkul. 6508842 ?"/>
    <m/>
    <n v="424078.91201999999"/>
    <n v="0"/>
    <n v="90570"/>
  </r>
  <r>
    <x v="17"/>
    <m/>
    <s v="Stenvadhallen"/>
    <n v="13534"/>
    <s v="0"/>
    <s v="Stenvadhallen"/>
    <x v="143"/>
    <x v="1"/>
    <x v="3"/>
    <n v="541.42999999999995"/>
    <n v="2"/>
    <s v="2014-11-02"/>
    <n v="0"/>
    <n v="2088"/>
    <n v="0.259293"/>
    <n v="3"/>
    <x v="8"/>
    <n v="541.42999999999995"/>
    <n v="0"/>
    <n v="1"/>
    <s v="Varmt brugsvand 6508842 ?"/>
    <m/>
    <n v="541451.14373000001"/>
    <n v="0"/>
    <n v="90571"/>
  </r>
  <r>
    <x v="17"/>
    <m/>
    <s v="Stenvadhallen"/>
    <n v="13534"/>
    <s v="0"/>
    <s v="Stenvadhallen"/>
    <x v="143"/>
    <x v="1"/>
    <x v="3"/>
    <n v="193.3"/>
    <n v="2"/>
    <s v="2015-05-04"/>
    <n v="0"/>
    <n v="2088"/>
    <n v="9.2572000000000002E-2"/>
    <n v="3"/>
    <x v="0"/>
    <n v="193.3"/>
    <n v="0"/>
    <n v="1"/>
    <s v="Koldt vand 5019440"/>
    <m/>
    <n v="193.30206000000001"/>
    <n v="0"/>
    <n v="90572"/>
  </r>
  <r>
    <x v="17"/>
    <m/>
    <s v="Stenvadhallen"/>
    <n v="13534"/>
    <s v="0"/>
    <s v="Stenvadhallen"/>
    <x v="143"/>
    <x v="1"/>
    <x v="4"/>
    <n v="41.94"/>
    <n v="1"/>
    <s v="2014-11-02"/>
    <n v="0"/>
    <n v="2088"/>
    <n v="2.0084999999999999E-2"/>
    <n v="3"/>
    <x v="8"/>
    <n v="41.94"/>
    <n v="0"/>
    <n v="1"/>
    <s v="Cirkul. 6508842 ?"/>
    <m/>
    <n v="41943.636359999997"/>
    <n v="0"/>
    <n v="90570"/>
  </r>
  <r>
    <x v="17"/>
    <m/>
    <s v="Stenvadhallen"/>
    <n v="13534"/>
    <s v="0"/>
    <s v="Stenvadhallen"/>
    <x v="143"/>
    <x v="1"/>
    <x v="4"/>
    <n v="38.65"/>
    <n v="1"/>
    <s v="2014-11-02"/>
    <n v="0"/>
    <n v="2088"/>
    <n v="1.8509000000000001E-2"/>
    <n v="3"/>
    <x v="8"/>
    <n v="38.65"/>
    <n v="0"/>
    <n v="1"/>
    <s v="Varmt brugsvand 6508842 ?"/>
    <m/>
    <n v="38652.727270000003"/>
    <n v="0"/>
    <n v="90571"/>
  </r>
  <r>
    <x v="17"/>
    <m/>
    <s v="Stenvadhallen"/>
    <n v="13534"/>
    <s v="0"/>
    <s v="Stenvadhallen"/>
    <x v="143"/>
    <x v="1"/>
    <x v="4"/>
    <n v="231.18"/>
    <n v="2"/>
    <s v="2015-05-04"/>
    <n v="0"/>
    <n v="2088"/>
    <n v="0.11071300000000001"/>
    <n v="3"/>
    <x v="0"/>
    <n v="231.18"/>
    <n v="0"/>
    <n v="1"/>
    <s v="Koldt vand 5019440"/>
    <m/>
    <n v="231.17417"/>
    <n v="0"/>
    <n v="90572"/>
  </r>
  <r>
    <x v="17"/>
    <m/>
    <s v="Stenvadhallen"/>
    <n v="13534"/>
    <s v="0"/>
    <s v="Stenvadhallen"/>
    <x v="143"/>
    <x v="1"/>
    <x v="5"/>
    <n v="157.01"/>
    <n v="1"/>
    <s v="2015-05-04"/>
    <n v="0"/>
    <n v="2088"/>
    <n v="7.5191999999999995E-2"/>
    <n v="3"/>
    <x v="0"/>
    <n v="157.01"/>
    <n v="0"/>
    <n v="1"/>
    <s v="Koldt vand 5019440"/>
    <m/>
    <n v="157.00766999999999"/>
    <n v="0"/>
    <n v="90572"/>
  </r>
  <r>
    <x v="17"/>
    <m/>
    <s v="Ballerupvej 29 - Udlejet"/>
    <n v="10275"/>
    <m/>
    <s v="Ballerupvej 29"/>
    <x v="125"/>
    <x v="1"/>
    <x v="0"/>
    <n v="40730.26"/>
    <n v="5"/>
    <s v="2011-11-29"/>
    <n v="0"/>
    <n v="551"/>
    <n v="73.907202999999996"/>
    <n v="1"/>
    <x v="4"/>
    <n v="40730.26"/>
    <n v="8613.7000000000007"/>
    <n v="0"/>
    <s v="1540749"/>
    <s v="98001309450"/>
    <n v="3771.32"/>
    <n v="0"/>
    <n v="77675"/>
  </r>
  <r>
    <x v="17"/>
    <m/>
    <s v="Ballerupvej 29 - Udlejet"/>
    <n v="10275"/>
    <m/>
    <s v="Ballerupvej 29"/>
    <x v="125"/>
    <x v="1"/>
    <x v="1"/>
    <n v="84278.57"/>
    <n v="12"/>
    <s v="2011-11-29"/>
    <n v="0"/>
    <n v="551"/>
    <n v="152.927907"/>
    <n v="1"/>
    <x v="4"/>
    <n v="84278.57"/>
    <n v="17823.36"/>
    <n v="0"/>
    <s v="1540749"/>
    <s v="98001309450"/>
    <n v="7803.57"/>
    <n v="0"/>
    <n v="77675"/>
  </r>
  <r>
    <x v="17"/>
    <m/>
    <s v="Ballerupvej 29 - Udlejet"/>
    <n v="10275"/>
    <m/>
    <s v="Ballerupvej 29"/>
    <x v="125"/>
    <x v="1"/>
    <x v="2"/>
    <n v="81237.91"/>
    <n v="12"/>
    <s v="2011-11-29"/>
    <n v="0"/>
    <n v="551"/>
    <n v="147.41046900000001"/>
    <n v="1"/>
    <x v="4"/>
    <n v="81237.91"/>
    <n v="17180.32"/>
    <n v="0"/>
    <s v="1540749"/>
    <s v="98001309450"/>
    <n v="7522.03"/>
    <n v="0"/>
    <n v="77675"/>
  </r>
  <r>
    <x v="17"/>
    <m/>
    <s v="Ballerupvej 29 - Udlejet"/>
    <n v="10275"/>
    <m/>
    <s v="Ballerupvej 29"/>
    <x v="125"/>
    <x v="1"/>
    <x v="3"/>
    <n v="56370.07"/>
    <n v="4"/>
    <s v="2011-11-29"/>
    <n v="0"/>
    <n v="551"/>
    <n v="102.286463"/>
    <n v="1"/>
    <x v="4"/>
    <n v="56370.07"/>
    <n v="11921.22"/>
    <n v="0"/>
    <s v="1540749"/>
    <s v="98001309450"/>
    <n v="5219.4508500000002"/>
    <n v="0"/>
    <n v="77675"/>
  </r>
  <r>
    <x v="17"/>
    <m/>
    <s v="Ballerupvej 29 - Udlejet"/>
    <n v="10275"/>
    <m/>
    <s v="Ballerupvej 29"/>
    <x v="125"/>
    <x v="1"/>
    <x v="4"/>
    <n v="64454.43"/>
    <n v="2"/>
    <s v="2011-11-29"/>
    <n v="0"/>
    <n v="551"/>
    <n v="116.95596"/>
    <n v="1"/>
    <x v="4"/>
    <n v="64454.43"/>
    <n v="13630.93"/>
    <n v="0"/>
    <s v="1540749"/>
    <s v="98001309450"/>
    <n v="5968.0036499999997"/>
    <n v="0"/>
    <n v="77675"/>
  </r>
  <r>
    <x v="17"/>
    <m/>
    <s v="Poppelgården ungdomsboliger UDLEJET"/>
    <n v="10616"/>
    <m/>
    <s v="Poppelgården"/>
    <x v="144"/>
    <x v="1"/>
    <x v="7"/>
    <n v="128510.11"/>
    <n v="12"/>
    <s v="2011-12-31"/>
    <n v="0"/>
    <n v="0"/>
    <n v="1285101.1000000001"/>
    <n v="1"/>
    <x v="1"/>
    <n v="153092.25"/>
    <n v="28322.07"/>
    <n v="0"/>
    <m/>
    <m/>
    <n v="128510.11"/>
    <n v="0"/>
    <n v="90988"/>
  </r>
  <r>
    <x v="17"/>
    <m/>
    <s v="Ballerupvej 29 - Udlejet"/>
    <n v="10275"/>
    <m/>
    <s v="Ballerupvej 29"/>
    <x v="125"/>
    <x v="1"/>
    <x v="5"/>
    <n v="81017.06"/>
    <n v="2"/>
    <s v="2011-11-29"/>
    <n v="0"/>
    <n v="551"/>
    <n v="147.009726"/>
    <n v="1"/>
    <x v="4"/>
    <n v="81017.06"/>
    <n v="17133.64"/>
    <n v="0"/>
    <s v="1540749"/>
    <s v="98001309450"/>
    <n v="7501.5808299999999"/>
    <n v="0"/>
    <n v="77675"/>
  </r>
  <r>
    <x v="17"/>
    <m/>
    <s v="Ballerupvej 29 - Udlejet"/>
    <n v="10275"/>
    <m/>
    <s v="Ballerupvej 29"/>
    <x v="125"/>
    <x v="1"/>
    <x v="6"/>
    <n v="62805.63"/>
    <n v="2"/>
    <s v="2011-11-29"/>
    <n v="0"/>
    <n v="551"/>
    <n v="113.96412599999999"/>
    <n v="1"/>
    <x v="4"/>
    <n v="62805.63"/>
    <n v="13282.22"/>
    <n v="0"/>
    <s v="1540749"/>
    <s v="98001309450"/>
    <n v="5815.3372099999997"/>
    <n v="0"/>
    <n v="77675"/>
  </r>
  <r>
    <x v="17"/>
    <s v="02561-5"/>
    <s v="Farum Park"/>
    <n v="6026"/>
    <m/>
    <s v="Bimåler F.K."/>
    <x v="132"/>
    <x v="1"/>
    <x v="0"/>
    <n v="126998.77"/>
    <n v="5"/>
    <s v="2015-05-04"/>
    <n v="0"/>
    <n v="0"/>
    <n v="1269987.7"/>
    <n v="1"/>
    <x v="1"/>
    <n v="145441.82999999999"/>
    <n v="26906738.550000001"/>
    <n v="1"/>
    <s v="40014450 RA C/D"/>
    <m/>
    <n v="126998.77142999999"/>
    <n v="0"/>
    <n v="60556"/>
  </r>
  <r>
    <x v="17"/>
    <s v="02561-5"/>
    <s v="Farum Park"/>
    <n v="6026"/>
    <m/>
    <s v="Bimåler F.K."/>
    <x v="132"/>
    <x v="1"/>
    <x v="1"/>
    <n v="188600.11"/>
    <n v="12"/>
    <s v="2015-05-04"/>
    <n v="0"/>
    <n v="0"/>
    <n v="1886001.1"/>
    <n v="1"/>
    <x v="1"/>
    <n v="192226.54"/>
    <n v="35561.910000000003"/>
    <n v="1"/>
    <s v="40014450 RA C/D"/>
    <m/>
    <n v="188600.09487999999"/>
    <n v="0"/>
    <n v="60556"/>
  </r>
  <r>
    <x v="17"/>
    <s v="02561-5"/>
    <s v="Farum Park"/>
    <n v="6026"/>
    <m/>
    <s v="Bimåler F.K."/>
    <x v="132"/>
    <x v="1"/>
    <x v="2"/>
    <n v="232561.53"/>
    <n v="12"/>
    <s v="2015-05-04"/>
    <n v="0"/>
    <n v="0"/>
    <n v="2325615.2999999998"/>
    <n v="1"/>
    <x v="1"/>
    <n v="244843.51"/>
    <n v="45296.07"/>
    <n v="1"/>
    <s v="40014450 RA C/D"/>
    <m/>
    <n v="232561.52585999999"/>
    <n v="0"/>
    <n v="60556"/>
  </r>
  <r>
    <x v="17"/>
    <s v="02561-5"/>
    <s v="Farum Park"/>
    <n v="6026"/>
    <m/>
    <s v="Bimåler F.K."/>
    <x v="132"/>
    <x v="1"/>
    <x v="3"/>
    <n v="197954.3"/>
    <n v="12"/>
    <s v="2015-05-04"/>
    <n v="0"/>
    <n v="0"/>
    <n v="1979543"/>
    <n v="1"/>
    <x v="1"/>
    <n v="213988.82"/>
    <n v="39587.93"/>
    <n v="1"/>
    <s v="40014450 RA C/D"/>
    <m/>
    <n v="197954.30301999999"/>
    <n v="0"/>
    <n v="60556"/>
  </r>
  <r>
    <x v="17"/>
    <s v="02561-5"/>
    <s v="Farum Park"/>
    <n v="6026"/>
    <m/>
    <s v="Bimåler F.K."/>
    <x v="132"/>
    <x v="1"/>
    <x v="4"/>
    <n v="269779.40000000002"/>
    <n v="12"/>
    <s v="2015-05-04"/>
    <n v="0"/>
    <n v="0"/>
    <n v="2697794"/>
    <n v="1"/>
    <x v="1"/>
    <n v="244395.46"/>
    <n v="45213.15"/>
    <n v="1"/>
    <s v="40014450 RA C/D"/>
    <m/>
    <n v="269779.40642000001"/>
    <n v="0"/>
    <n v="60556"/>
  </r>
  <r>
    <x v="17"/>
    <s v="02561-5"/>
    <s v="Farum Park"/>
    <n v="6026"/>
    <m/>
    <s v="Bimåler F.K."/>
    <x v="132"/>
    <x v="1"/>
    <x v="5"/>
    <n v="185249.57"/>
    <n v="12"/>
    <s v="2015-05-04"/>
    <n v="0"/>
    <n v="0"/>
    <n v="1852495.7"/>
    <n v="1"/>
    <x v="1"/>
    <n v="198374.59"/>
    <n v="36699.300000000003"/>
    <n v="1"/>
    <s v="40014450 RA C/D"/>
    <m/>
    <n v="185249.568"/>
    <n v="0"/>
    <n v="60556"/>
  </r>
  <r>
    <x v="17"/>
    <s v="02561-5"/>
    <s v="Farum Park"/>
    <n v="6026"/>
    <m/>
    <s v="Bimåler F.K."/>
    <x v="132"/>
    <x v="1"/>
    <x v="6"/>
    <n v="151068.96"/>
    <n v="11"/>
    <s v="2015-05-04"/>
    <n v="0"/>
    <n v="0"/>
    <n v="1510689.6"/>
    <n v="1"/>
    <x v="1"/>
    <n v="175864.42"/>
    <n v="32534.94"/>
    <n v="1"/>
    <s v="40014450 RA C/D"/>
    <m/>
    <n v="151068.96496000001"/>
    <n v="0"/>
    <n v="60556"/>
  </r>
  <r>
    <x v="17"/>
    <s v="02561-5"/>
    <s v="Farum Park"/>
    <n v="6027"/>
    <m/>
    <s v="Bimåler FCN"/>
    <x v="132"/>
    <x v="1"/>
    <x v="0"/>
    <n v="38953.06"/>
    <n v="5"/>
    <s v="2015-05-04"/>
    <n v="0"/>
    <n v="0"/>
    <n v="389530.6"/>
    <n v="1"/>
    <x v="1"/>
    <n v="44535.11"/>
    <n v="8238995.3499999996"/>
    <n v="1"/>
    <s v="EM6 RA 1.sal Trb.C"/>
    <m/>
    <n v="38953.057139999997"/>
    <n v="0"/>
    <n v="60567"/>
  </r>
  <r>
    <x v="17"/>
    <s v="02561-5"/>
    <s v="Farum Park"/>
    <n v="6027"/>
    <m/>
    <s v="Bimåler FCN"/>
    <x v="132"/>
    <x v="1"/>
    <x v="1"/>
    <n v="19833.14"/>
    <n v="1"/>
    <s v="2014-02-01"/>
    <n v="0"/>
    <n v="0"/>
    <n v="198331.4"/>
    <n v="1"/>
    <x v="1"/>
    <n v="28450.7"/>
    <n v="5263.38"/>
    <n v="1"/>
    <s v="EM3 Suiter"/>
    <m/>
    <n v="19833.14128"/>
    <n v="0"/>
    <n v="60565"/>
  </r>
  <r>
    <x v="17"/>
    <s v="02561-5"/>
    <s v="Farum Park"/>
    <n v="6027"/>
    <m/>
    <s v="Bimåler FCN"/>
    <x v="132"/>
    <x v="1"/>
    <x v="1"/>
    <n v="19157.650000000001"/>
    <n v="1"/>
    <s v="2014-02-01"/>
    <n v="0"/>
    <n v="0"/>
    <n v="191576.5"/>
    <n v="1"/>
    <x v="1"/>
    <n v="27706.54"/>
    <n v="5125.7299999999996"/>
    <n v="1"/>
    <s v="EM1 Loger"/>
    <m/>
    <n v="19157.633890000001"/>
    <n v="0"/>
    <n v="60564"/>
  </r>
  <r>
    <x v="17"/>
    <s v="02561-5"/>
    <s v="Farum Park"/>
    <n v="6027"/>
    <m/>
    <s v="Bimåler FCN"/>
    <x v="132"/>
    <x v="1"/>
    <x v="1"/>
    <n v="59077.42"/>
    <n v="12"/>
    <s v="2015-05-04"/>
    <n v="0"/>
    <n v="0"/>
    <n v="590774.19999999995"/>
    <n v="1"/>
    <x v="1"/>
    <n v="60252.93"/>
    <n v="11146.79"/>
    <n v="1"/>
    <s v="EM6 RA 1.sal Trb.C"/>
    <m/>
    <n v="59077.421249999999"/>
    <n v="0"/>
    <n v="60567"/>
  </r>
  <r>
    <x v="17"/>
    <s v="02561-5"/>
    <s v="Farum Park"/>
    <n v="6027"/>
    <m/>
    <s v="Bimåler FCN"/>
    <x v="132"/>
    <x v="1"/>
    <x v="2"/>
    <n v="16356.65"/>
    <n v="12"/>
    <s v="2014-02-01"/>
    <n v="0"/>
    <n v="0"/>
    <n v="163566.5"/>
    <n v="1"/>
    <x v="1"/>
    <n v="15747.53"/>
    <n v="2913.29"/>
    <n v="1"/>
    <s v="EM3 Suiter"/>
    <m/>
    <n v="16356.64617"/>
    <n v="0"/>
    <n v="60565"/>
  </r>
  <r>
    <x v="17"/>
    <s v="02561-5"/>
    <s v="Farum Park"/>
    <n v="6027"/>
    <m/>
    <s v="Bimåler FCN"/>
    <x v="132"/>
    <x v="1"/>
    <x v="2"/>
    <n v="6122.85"/>
    <n v="1"/>
    <s v="2014-02-01"/>
    <n v="0"/>
    <n v="0"/>
    <n v="61228.5"/>
    <n v="1"/>
    <x v="1"/>
    <n v="6827.78"/>
    <n v="1263.1400000000001"/>
    <n v="1"/>
    <s v="EM1 Loger"/>
    <m/>
    <n v="6122.8251200000004"/>
    <n v="0"/>
    <n v="60564"/>
  </r>
  <r>
    <x v="17"/>
    <s v="02561-5"/>
    <s v="Farum Park"/>
    <n v="6027"/>
    <m/>
    <s v="Bimåler FCN"/>
    <x v="132"/>
    <x v="1"/>
    <x v="2"/>
    <n v="82768.38"/>
    <n v="12"/>
    <s v="2015-05-04"/>
    <n v="0"/>
    <n v="0"/>
    <n v="827683.8"/>
    <n v="1"/>
    <x v="1"/>
    <n v="85950.95"/>
    <n v="15900.92"/>
    <n v="1"/>
    <s v="EM6 RA 1.sal Trb.C"/>
    <m/>
    <n v="82768.383239999996"/>
    <n v="0"/>
    <n v="60567"/>
  </r>
  <r>
    <x v="17"/>
    <s v="02561-5"/>
    <s v="Farum Park"/>
    <n v="6027"/>
    <m/>
    <s v="Bimåler FCN"/>
    <x v="132"/>
    <x v="1"/>
    <x v="3"/>
    <n v="65823.03"/>
    <n v="11"/>
    <s v="2014-02-01"/>
    <n v="0"/>
    <n v="0"/>
    <n v="658230.30000000005"/>
    <n v="1"/>
    <x v="1"/>
    <n v="79451.77"/>
    <n v="14698.58"/>
    <n v="1"/>
    <s v="EM3 Suiter"/>
    <m/>
    <n v="65823.030310000002"/>
    <n v="0"/>
    <n v="60565"/>
  </r>
  <r>
    <x v="17"/>
    <s v="02561-5"/>
    <s v="Farum Park"/>
    <n v="6027"/>
    <m/>
    <s v="Bimåler FCN"/>
    <x v="132"/>
    <x v="1"/>
    <x v="3"/>
    <n v="59715.58"/>
    <n v="12"/>
    <s v="2015-05-04"/>
    <n v="0"/>
    <n v="0"/>
    <n v="597155.80000000005"/>
    <n v="1"/>
    <x v="1"/>
    <n v="64699.81"/>
    <n v="11969.48"/>
    <n v="1"/>
    <s v="EM6 RA 1.sal Trb.C"/>
    <m/>
    <n v="59715.57576"/>
    <n v="0"/>
    <n v="60567"/>
  </r>
  <r>
    <x v="17"/>
    <s v="02561-5"/>
    <s v="Farum Park"/>
    <n v="6027"/>
    <m/>
    <s v="Bimåler FCN"/>
    <x v="132"/>
    <x v="1"/>
    <x v="3"/>
    <n v="10901.34"/>
    <n v="11"/>
    <s v="2014-02-01"/>
    <n v="0"/>
    <n v="0"/>
    <n v="109013.4"/>
    <n v="1"/>
    <x v="1"/>
    <n v="13158.48"/>
    <n v="2434.3200000000002"/>
    <n v="1"/>
    <s v="EM1 Loger"/>
    <m/>
    <n v="10901.333339999999"/>
    <n v="0"/>
    <n v="60564"/>
  </r>
  <r>
    <x v="17"/>
    <s v="02561-5"/>
    <s v="Farum Park"/>
    <n v="6027"/>
    <m/>
    <s v="Bimåler FCN"/>
    <x v="132"/>
    <x v="1"/>
    <x v="4"/>
    <n v="0"/>
    <n v="11"/>
    <s v="2014-02-01"/>
    <n v="0"/>
    <n v="0"/>
    <n v="0"/>
    <n v="1"/>
    <x v="1"/>
    <n v="0"/>
    <n v="0"/>
    <n v="1"/>
    <s v="EM1 Loger"/>
    <m/>
    <n v="0"/>
    <n v="0"/>
    <n v="60564"/>
  </r>
  <r>
    <x v="17"/>
    <s v="02561-5"/>
    <s v="Farum Park"/>
    <n v="6027"/>
    <m/>
    <s v="Bimåler FCN"/>
    <x v="132"/>
    <x v="1"/>
    <x v="4"/>
    <n v="0"/>
    <n v="11"/>
    <s v="2014-02-01"/>
    <n v="0"/>
    <n v="0"/>
    <n v="0"/>
    <n v="1"/>
    <x v="1"/>
    <n v="0"/>
    <n v="0"/>
    <n v="1"/>
    <s v="EM3 Suiter"/>
    <m/>
    <n v="0"/>
    <n v="0"/>
    <n v="60565"/>
  </r>
  <r>
    <x v="17"/>
    <s v="02561-5"/>
    <s v="Farum Park"/>
    <n v="6027"/>
    <m/>
    <s v="Bimåler FCN"/>
    <x v="132"/>
    <x v="1"/>
    <x v="4"/>
    <n v="86614.39"/>
    <n v="12"/>
    <s v="2015-05-04"/>
    <n v="0"/>
    <n v="0"/>
    <n v="866143.9"/>
    <n v="1"/>
    <x v="1"/>
    <n v="78521.259999999995"/>
    <n v="14526.42"/>
    <n v="1"/>
    <s v="EM6 RA 1.sal Trb.C"/>
    <m/>
    <n v="86614.393930000006"/>
    <n v="0"/>
    <n v="60567"/>
  </r>
  <r>
    <x v="17"/>
    <s v="02561-5"/>
    <s v="Farum Park"/>
    <n v="6027"/>
    <m/>
    <s v="Bimåler FCN"/>
    <x v="132"/>
    <x v="1"/>
    <x v="5"/>
    <n v="0"/>
    <n v="11"/>
    <s v="2014-02-01"/>
    <n v="0"/>
    <n v="0"/>
    <n v="0"/>
    <n v="1"/>
    <x v="1"/>
    <n v="0"/>
    <n v="0"/>
    <n v="1"/>
    <s v="EM3 Suiter"/>
    <m/>
    <n v="0"/>
    <n v="0"/>
    <n v="60565"/>
  </r>
  <r>
    <x v="17"/>
    <s v="02561-5"/>
    <s v="Farum Park"/>
    <n v="6027"/>
    <m/>
    <s v="Bimåler FCN"/>
    <x v="132"/>
    <x v="1"/>
    <x v="5"/>
    <n v="0"/>
    <n v="11"/>
    <s v="2014-02-01"/>
    <n v="0"/>
    <n v="0"/>
    <n v="0"/>
    <n v="1"/>
    <x v="1"/>
    <n v="0"/>
    <n v="0"/>
    <n v="1"/>
    <s v="EM1 Loger"/>
    <m/>
    <n v="0"/>
    <n v="0"/>
    <n v="60564"/>
  </r>
  <r>
    <x v="17"/>
    <s v="02561-5"/>
    <s v="Farum Park"/>
    <n v="6027"/>
    <m/>
    <s v="Bimåler FCN"/>
    <x v="132"/>
    <x v="1"/>
    <x v="5"/>
    <n v="33181.99"/>
    <n v="14"/>
    <s v="2015-05-04"/>
    <n v="0"/>
    <n v="0"/>
    <n v="331819.90000000002"/>
    <n v="1"/>
    <x v="1"/>
    <n v="34646.65"/>
    <n v="6409.62"/>
    <n v="1"/>
    <s v="EM6 RA 1.sal Trb.C"/>
    <m/>
    <n v="33181.968739999997"/>
    <n v="0"/>
    <n v="60567"/>
  </r>
  <r>
    <x v="17"/>
    <s v="02561-5"/>
    <s v="Farum Park"/>
    <n v="6027"/>
    <m/>
    <s v="Bimåler FCN"/>
    <x v="132"/>
    <x v="1"/>
    <x v="6"/>
    <n v="0"/>
    <n v="11"/>
    <s v="2014-02-01"/>
    <n v="0"/>
    <n v="0"/>
    <n v="0"/>
    <n v="1"/>
    <x v="1"/>
    <n v="0"/>
    <n v="0"/>
    <n v="1"/>
    <s v="EM3 Suiter"/>
    <m/>
    <n v="0"/>
    <n v="0"/>
    <n v="60565"/>
  </r>
  <r>
    <x v="17"/>
    <s v="02561-5"/>
    <s v="Farum Park"/>
    <n v="6027"/>
    <m/>
    <s v="Bimåler FCN"/>
    <x v="132"/>
    <x v="1"/>
    <x v="6"/>
    <n v="0"/>
    <n v="10"/>
    <s v="2014-02-01"/>
    <n v="0"/>
    <n v="0"/>
    <n v="0"/>
    <n v="1"/>
    <x v="1"/>
    <n v="0"/>
    <n v="0"/>
    <n v="1"/>
    <s v="EM1 Loger"/>
    <m/>
    <n v="0"/>
    <n v="0"/>
    <n v="60564"/>
  </r>
  <r>
    <x v="17"/>
    <s v="02561-5"/>
    <s v="Farum Park"/>
    <n v="6027"/>
    <m/>
    <s v="Bimåler FCN"/>
    <x v="132"/>
    <x v="1"/>
    <x v="6"/>
    <n v="13435.62"/>
    <n v="12"/>
    <s v="2015-05-04"/>
    <n v="0"/>
    <n v="0"/>
    <n v="134356.20000000001"/>
    <n v="1"/>
    <x v="1"/>
    <n v="15671.49"/>
    <n v="2899.24"/>
    <n v="1"/>
    <s v="EM6 RA 1.sal Trb.C"/>
    <m/>
    <n v="13435.60701"/>
    <n v="0"/>
    <n v="60567"/>
  </r>
  <r>
    <x v="17"/>
    <s v="02561-5"/>
    <s v="Farum Park"/>
    <n v="5468"/>
    <m/>
    <s v="Farum Park"/>
    <x v="132"/>
    <x v="0"/>
    <x v="0"/>
    <n v="232030"/>
    <n v="5"/>
    <m/>
    <n v="0"/>
    <n v="12237"/>
    <n v="11.742160999999999"/>
    <n v="1"/>
    <x v="1"/>
    <n v="268387"/>
    <n v="30158450.25"/>
    <n v="0"/>
    <s v="1056425"/>
    <m/>
    <n v="143690"/>
    <n v="0"/>
    <n v="57821"/>
  </r>
  <r>
    <x v="17"/>
    <s v="02561-5"/>
    <s v="Farum Park"/>
    <n v="5468"/>
    <m/>
    <s v="Farum Park"/>
    <x v="132"/>
    <x v="1"/>
    <x v="0"/>
    <n v="186570"/>
    <n v="5"/>
    <m/>
    <n v="0"/>
    <n v="12237"/>
    <n v="15.246259"/>
    <n v="1"/>
    <x v="1"/>
    <n v="209380.09"/>
    <n v="38735316.649999999"/>
    <n v="0"/>
    <s v="4105252"/>
    <m/>
    <n v="186570"/>
    <n v="0"/>
    <n v="57834"/>
  </r>
  <r>
    <x v="17"/>
    <s v="02561-5"/>
    <s v="Farum Park"/>
    <n v="5468"/>
    <m/>
    <s v="Farum Park"/>
    <x v="132"/>
    <x v="1"/>
    <x v="0"/>
    <n v="0"/>
    <n v="5"/>
    <m/>
    <n v="0"/>
    <n v="12237"/>
    <n v="0"/>
    <n v="1"/>
    <x v="3"/>
    <n v="0"/>
    <n v="0"/>
    <n v="1"/>
    <s v="1056425"/>
    <m/>
    <n v="0"/>
    <n v="57821"/>
    <n v="57832"/>
  </r>
  <r>
    <x v="17"/>
    <s v="02561-5"/>
    <s v="Farum Park"/>
    <n v="5468"/>
    <m/>
    <s v="Farum Park"/>
    <x v="132"/>
    <x v="1"/>
    <x v="0"/>
    <n v="135104.54"/>
    <n v="5"/>
    <m/>
    <n v="0"/>
    <n v="12237"/>
    <n v="11.040568"/>
    <n v="1"/>
    <x v="3"/>
    <n v="151510"/>
    <n v="803363.42"/>
    <n v="1"/>
    <s v="4105252"/>
    <m/>
    <n v="3872.3"/>
    <n v="57834"/>
    <n v="57835"/>
  </r>
  <r>
    <x v="17"/>
    <s v="02561-5"/>
    <s v="Farum Park"/>
    <n v="5468"/>
    <m/>
    <s v="Farum Park"/>
    <x v="132"/>
    <x v="1"/>
    <x v="1"/>
    <n v="227011.79"/>
    <n v="12"/>
    <m/>
    <n v="0"/>
    <n v="12237"/>
    <n v="18.551110000000001"/>
    <n v="1"/>
    <x v="3"/>
    <n v="249225.46"/>
    <n v="1321.49"/>
    <n v="1"/>
    <s v="4105252"/>
    <m/>
    <n v="6506.5"/>
    <n v="57834"/>
    <n v="57835"/>
  </r>
  <r>
    <x v="17"/>
    <s v="02561-5"/>
    <s v="Farum Park"/>
    <n v="5468"/>
    <m/>
    <s v="Farum Park"/>
    <x v="132"/>
    <x v="0"/>
    <x v="1"/>
    <n v="332970"/>
    <n v="12"/>
    <m/>
    <n v="0"/>
    <n v="12237"/>
    <n v="27.209878"/>
    <n v="1"/>
    <x v="1"/>
    <n v="359760.67"/>
    <n v="66555.72"/>
    <n v="0"/>
    <s v="1056425"/>
    <m/>
    <n v="332970"/>
    <n v="0"/>
    <n v="57821"/>
  </r>
  <r>
    <x v="17"/>
    <s v="02561-5"/>
    <s v="Farum Park"/>
    <n v="5468"/>
    <m/>
    <s v="Farum Park"/>
    <x v="132"/>
    <x v="1"/>
    <x v="1"/>
    <n v="265820"/>
    <n v="12"/>
    <m/>
    <n v="0"/>
    <n v="12237"/>
    <n v="21.722466000000001"/>
    <n v="1"/>
    <x v="1"/>
    <n v="269839.56"/>
    <n v="49920.31"/>
    <n v="0"/>
    <s v="4105252"/>
    <m/>
    <n v="265820"/>
    <n v="0"/>
    <n v="57834"/>
  </r>
  <r>
    <x v="17"/>
    <s v="02561-5"/>
    <s v="Farum Park"/>
    <n v="5468"/>
    <m/>
    <s v="Farum Park"/>
    <x v="132"/>
    <x v="1"/>
    <x v="1"/>
    <n v="335362.68"/>
    <n v="12"/>
    <m/>
    <n v="0"/>
    <n v="12237"/>
    <n v="27.405404000000001"/>
    <n v="1"/>
    <x v="3"/>
    <n v="353083.74"/>
    <n v="1872.2"/>
    <n v="1"/>
    <s v="1056425"/>
    <m/>
    <n v="9612.0000999999993"/>
    <n v="57821"/>
    <n v="57832"/>
  </r>
  <r>
    <x v="17"/>
    <s v="02561-5"/>
    <s v="Farum Park"/>
    <n v="5468"/>
    <m/>
    <s v="Farum Park"/>
    <x v="132"/>
    <x v="0"/>
    <x v="2"/>
    <n v="302980"/>
    <n v="12"/>
    <m/>
    <n v="0"/>
    <n v="12237"/>
    <n v="24.759134"/>
    <n v="1"/>
    <x v="1"/>
    <n v="318429.57"/>
    <n v="58909.48"/>
    <n v="0"/>
    <s v="1056425"/>
    <m/>
    <n v="302980"/>
    <n v="0"/>
    <n v="57821"/>
  </r>
  <r>
    <x v="17"/>
    <s v="02561-5"/>
    <s v="Farum Park"/>
    <n v="5468"/>
    <m/>
    <s v="Farum Park"/>
    <x v="132"/>
    <x v="1"/>
    <x v="2"/>
    <n v="285660"/>
    <n v="12"/>
    <m/>
    <n v="0"/>
    <n v="12237"/>
    <n v="23.343765999999999"/>
    <n v="1"/>
    <x v="1"/>
    <n v="298692.96999999997"/>
    <n v="55258.19"/>
    <n v="0"/>
    <s v="4105252"/>
    <m/>
    <n v="285660"/>
    <n v="0"/>
    <n v="57834"/>
  </r>
  <r>
    <x v="17"/>
    <s v="02561-5"/>
    <s v="Farum Park"/>
    <n v="5468"/>
    <m/>
    <s v="Farum Park"/>
    <x v="132"/>
    <x v="1"/>
    <x v="2"/>
    <n v="201761.89"/>
    <n v="12"/>
    <m/>
    <n v="0"/>
    <n v="12237"/>
    <n v="16.487719999999999"/>
    <n v="1"/>
    <x v="3"/>
    <n v="209739.61"/>
    <n v="1112.0999999999999"/>
    <n v="1"/>
    <s v="1056425"/>
    <m/>
    <n v="5782.8"/>
    <n v="57821"/>
    <n v="57832"/>
  </r>
  <r>
    <x v="17"/>
    <s v="02561-5"/>
    <s v="Farum Park"/>
    <n v="5468"/>
    <m/>
    <s v="Farum Park"/>
    <x v="132"/>
    <x v="1"/>
    <x v="2"/>
    <n v="223770.51"/>
    <n v="12"/>
    <m/>
    <n v="0"/>
    <n v="12237"/>
    <n v="18.286235999999999"/>
    <n v="1"/>
    <x v="3"/>
    <n v="233351.14"/>
    <n v="1237.3"/>
    <n v="1"/>
    <s v="4105252"/>
    <m/>
    <n v="6413.6"/>
    <n v="57834"/>
    <n v="57835"/>
  </r>
  <r>
    <x v="17"/>
    <s v="02561-5"/>
    <s v="Farum Park"/>
    <n v="5468"/>
    <m/>
    <s v="Farum Park"/>
    <x v="132"/>
    <x v="0"/>
    <x v="3"/>
    <n v="288140"/>
    <n v="12"/>
    <m/>
    <n v="0"/>
    <n v="12237"/>
    <n v="23.546427999999999"/>
    <n v="1"/>
    <x v="1"/>
    <n v="315405.76"/>
    <n v="58350.06"/>
    <n v="0"/>
    <s v="1056425"/>
    <m/>
    <n v="288140"/>
    <n v="0"/>
    <n v="57821"/>
  </r>
  <r>
    <x v="17"/>
    <s v="02561-5"/>
    <s v="Farum Park"/>
    <n v="5468"/>
    <m/>
    <s v="Farum Park"/>
    <x v="132"/>
    <x v="1"/>
    <x v="3"/>
    <n v="235080"/>
    <n v="12"/>
    <m/>
    <n v="0"/>
    <n v="12237"/>
    <n v="19.210432999999998"/>
    <n v="1"/>
    <x v="1"/>
    <n v="250413.95"/>
    <n v="46326.59"/>
    <n v="0"/>
    <s v="4105252"/>
    <m/>
    <n v="235080"/>
    <n v="0"/>
    <n v="57834"/>
  </r>
  <r>
    <x v="17"/>
    <s v="02561-5"/>
    <s v="Farum Park"/>
    <n v="5468"/>
    <m/>
    <s v="Farum Park"/>
    <x v="132"/>
    <x v="1"/>
    <x v="3"/>
    <n v="187593.06"/>
    <n v="12"/>
    <m/>
    <n v="0"/>
    <n v="12237"/>
    <n v="15.329862"/>
    <n v="1"/>
    <x v="3"/>
    <n v="201651.39"/>
    <n v="1069.22"/>
    <n v="1"/>
    <s v="1056425"/>
    <m/>
    <n v="5376.7"/>
    <n v="57821"/>
    <n v="57832"/>
  </r>
  <r>
    <x v="17"/>
    <s v="02561-5"/>
    <s v="Farum Park"/>
    <n v="5468"/>
    <m/>
    <s v="Farum Park"/>
    <x v="132"/>
    <x v="1"/>
    <x v="3"/>
    <n v="165594.93"/>
    <n v="12"/>
    <m/>
    <n v="0"/>
    <n v="12237"/>
    <n v="13.532203000000001"/>
    <n v="1"/>
    <x v="3"/>
    <n v="175932.2"/>
    <n v="932.87"/>
    <n v="1"/>
    <s v="4105252"/>
    <m/>
    <n v="4746.2"/>
    <n v="57834"/>
    <n v="57835"/>
  </r>
  <r>
    <x v="17"/>
    <s v="02561-5"/>
    <s v="Farum Park"/>
    <n v="5468"/>
    <m/>
    <s v="Farum Park"/>
    <x v="132"/>
    <x v="0"/>
    <x v="4"/>
    <n v="338650"/>
    <n v="12"/>
    <m/>
    <n v="0"/>
    <n v="12237"/>
    <n v="27.674040000000002"/>
    <n v="1"/>
    <x v="1"/>
    <n v="309620.09999999998"/>
    <n v="57279.72"/>
    <n v="0"/>
    <s v="1056425"/>
    <m/>
    <n v="338650"/>
    <n v="0"/>
    <n v="57821"/>
  </r>
  <r>
    <x v="17"/>
    <s v="02561-5"/>
    <s v="Farum Park"/>
    <n v="5468"/>
    <m/>
    <s v="Farum Park"/>
    <x v="132"/>
    <x v="1"/>
    <x v="4"/>
    <n v="328480"/>
    <n v="12"/>
    <m/>
    <n v="0"/>
    <n v="12237"/>
    <n v="26.842960999999999"/>
    <n v="1"/>
    <x v="1"/>
    <n v="300708.17"/>
    <n v="55631"/>
    <n v="0"/>
    <s v="4105252"/>
    <m/>
    <n v="328480"/>
    <n v="0"/>
    <n v="57834"/>
  </r>
  <r>
    <x v="17"/>
    <s v="02561-5"/>
    <s v="Farum Park"/>
    <n v="5468"/>
    <m/>
    <s v="Farum Park"/>
    <x v="132"/>
    <x v="1"/>
    <x v="4"/>
    <n v="227936.36"/>
    <n v="12"/>
    <m/>
    <n v="0"/>
    <n v="12237"/>
    <n v="18.626664000000002"/>
    <n v="1"/>
    <x v="3"/>
    <n v="210276.63"/>
    <n v="1114.96"/>
    <n v="1"/>
    <s v="1056425"/>
    <m/>
    <n v="6533"/>
    <n v="57821"/>
    <n v="57832"/>
  </r>
  <r>
    <x v="17"/>
    <s v="02561-5"/>
    <s v="Farum Park"/>
    <n v="5468"/>
    <m/>
    <s v="Farum Park"/>
    <x v="132"/>
    <x v="1"/>
    <x v="4"/>
    <n v="290106.86"/>
    <n v="12"/>
    <m/>
    <n v="0"/>
    <n v="12237"/>
    <n v="23.707156999999999"/>
    <n v="1"/>
    <x v="3"/>
    <n v="267978.37"/>
    <n v="1420.94"/>
    <n v="1"/>
    <s v="4105252"/>
    <m/>
    <n v="8314.9"/>
    <n v="57834"/>
    <n v="57835"/>
  </r>
  <r>
    <x v="17"/>
    <s v="????"/>
    <s v="Skomagerbakken P. E. Rasmunnens Vej 3"/>
    <n v="6370"/>
    <m/>
    <s v="Skomagerbakken"/>
    <x v="141"/>
    <x v="1"/>
    <x v="7"/>
    <n v="3067.89"/>
    <n v="12"/>
    <s v="2011-11-30"/>
    <n v="0"/>
    <n v="99"/>
    <n v="30.957516999999999"/>
    <n v="2"/>
    <x v="2"/>
    <n v="3067.89"/>
    <n v="1227.1600000000001"/>
    <n v="0"/>
    <s v="295729"/>
    <m/>
    <n v="3067.9070999999999"/>
    <n v="0"/>
    <n v="62721"/>
  </r>
  <r>
    <x v="17"/>
    <s v="????"/>
    <s v="Skomagerbakken P. E. Rasmunnens Vej 3"/>
    <n v="6370"/>
    <m/>
    <s v="Skomagerbakken"/>
    <x v="141"/>
    <x v="1"/>
    <x v="7"/>
    <n v="15165.25"/>
    <n v="12"/>
    <s v="2011-12-30"/>
    <n v="0"/>
    <n v="99"/>
    <n v="153.02976699999999"/>
    <n v="1"/>
    <x v="4"/>
    <n v="18095.830000000002"/>
    <n v="3826.94"/>
    <n v="0"/>
    <s v="1105196"/>
    <m/>
    <n v="1404.19"/>
    <n v="0"/>
    <n v="62722"/>
  </r>
  <r>
    <x v="17"/>
    <s v="????"/>
    <s v="Skomagerbakken P. E. Rasmunnens Vej 3"/>
    <n v="6370"/>
    <m/>
    <s v="Skomagerbakken"/>
    <x v="141"/>
    <x v="1"/>
    <x v="7"/>
    <n v="94.74"/>
    <n v="12"/>
    <s v="2011-11-30"/>
    <n v="0"/>
    <n v="99"/>
    <n v="0.95600399999999996"/>
    <n v="3"/>
    <x v="0"/>
    <n v="94.74"/>
    <n v="75.790000000000006"/>
    <n v="0"/>
    <s v="98392295"/>
    <m/>
    <n v="94.738"/>
    <n v="0"/>
    <n v="62723"/>
  </r>
  <r>
    <x v="17"/>
    <s v="02561-5"/>
    <s v="Farum Park"/>
    <n v="5468"/>
    <m/>
    <s v="Farum Park"/>
    <x v="132"/>
    <x v="1"/>
    <x v="5"/>
    <n v="216293.58"/>
    <n v="12"/>
    <m/>
    <n v="0"/>
    <n v="12237"/>
    <n v="17.675231"/>
    <n v="1"/>
    <x v="3"/>
    <n v="230936.59"/>
    <n v="1224.5"/>
    <n v="1"/>
    <s v="4105252"/>
    <m/>
    <n v="6199.3"/>
    <n v="57834"/>
    <n v="57835"/>
  </r>
  <r>
    <x v="17"/>
    <s v="02561-5"/>
    <s v="Farum Park"/>
    <n v="5468"/>
    <m/>
    <s v="Farum Park"/>
    <x v="132"/>
    <x v="0"/>
    <x v="5"/>
    <n v="263390"/>
    <n v="12"/>
    <m/>
    <n v="0"/>
    <n v="12237"/>
    <n v="21.523890000000002"/>
    <n v="1"/>
    <x v="1"/>
    <n v="281820.25"/>
    <n v="52136.75"/>
    <n v="0"/>
    <s v="1056425"/>
    <m/>
    <n v="263390"/>
    <n v="0"/>
    <n v="57821"/>
  </r>
  <r>
    <x v="17"/>
    <s v="03972-1"/>
    <s v="Solhøjgård - UDLEJET"/>
    <n v="5953"/>
    <m/>
    <s v="Solhøjgård"/>
    <x v="142"/>
    <x v="1"/>
    <x v="7"/>
    <n v="5866.99"/>
    <n v="12"/>
    <s v="2012-01-31"/>
    <n v="0"/>
    <n v="272"/>
    <n v="21.561889000000001"/>
    <n v="2"/>
    <x v="2"/>
    <n v="5866.99"/>
    <n v="2346.81"/>
    <n v="0"/>
    <s v="4031428"/>
    <m/>
    <n v="5867.0039999999999"/>
    <n v="0"/>
    <n v="59977"/>
  </r>
  <r>
    <x v="17"/>
    <s v="03972-1"/>
    <s v="Solhøjgård - UDLEJET"/>
    <n v="5953"/>
    <m/>
    <s v="Solhøjgård"/>
    <x v="142"/>
    <x v="1"/>
    <x v="7"/>
    <n v="44683.49"/>
    <n v="12"/>
    <s v="2011-12-31"/>
    <n v="0"/>
    <n v="272"/>
    <n v="164.217162"/>
    <n v="1"/>
    <x v="4"/>
    <n v="53459.45"/>
    <n v="11305.69"/>
    <n v="0"/>
    <s v="1171337"/>
    <s v="98000130192"/>
    <n v="4137.3599999999997"/>
    <n v="0"/>
    <n v="59978"/>
  </r>
  <r>
    <x v="17"/>
    <s v="03972-1"/>
    <s v="Solhøjgård - UDLEJET"/>
    <n v="5953"/>
    <m/>
    <s v="Solhøjgård"/>
    <x v="142"/>
    <x v="1"/>
    <x v="7"/>
    <n v="165.04"/>
    <n v="12"/>
    <s v="2011-12-31"/>
    <n v="0"/>
    <n v="272"/>
    <n v="0.606541"/>
    <n v="3"/>
    <x v="0"/>
    <n v="165.04"/>
    <n v="132.08000000000001"/>
    <n v="0"/>
    <s v="97600445"/>
    <m/>
    <n v="165.07326"/>
    <n v="0"/>
    <n v="59979"/>
  </r>
  <r>
    <x v="17"/>
    <s v="02561-5"/>
    <s v="Farum Park"/>
    <n v="5468"/>
    <m/>
    <s v="Farum Park"/>
    <x v="132"/>
    <x v="1"/>
    <x v="5"/>
    <n v="224290"/>
    <n v="12"/>
    <m/>
    <n v="0"/>
    <n v="12237"/>
    <n v="18.328688"/>
    <n v="1"/>
    <x v="1"/>
    <n v="237371.54"/>
    <n v="43913.74"/>
    <n v="0"/>
    <s v="4105252"/>
    <m/>
    <n v="224290"/>
    <n v="0"/>
    <n v="57834"/>
  </r>
  <r>
    <x v="17"/>
    <s v="02561-5"/>
    <s v="Farum Park"/>
    <n v="5468"/>
    <m/>
    <s v="Farum Park"/>
    <x v="132"/>
    <x v="1"/>
    <x v="5"/>
    <n v="218673.09"/>
    <n v="12"/>
    <m/>
    <n v="0"/>
    <n v="12237"/>
    <n v="17.869682000000001"/>
    <n v="1"/>
    <x v="3"/>
    <n v="329268.39"/>
    <n v="1745.92"/>
    <n v="1"/>
    <s v="1056425"/>
    <m/>
    <n v="6267.5"/>
    <n v="57821"/>
    <n v="57832"/>
  </r>
  <r>
    <x v="17"/>
    <s v="02561-5"/>
    <s v="Farum Park"/>
    <n v="5468"/>
    <m/>
    <s v="Farum Park"/>
    <x v="132"/>
    <x v="0"/>
    <x v="6"/>
    <n v="122760"/>
    <n v="12"/>
    <m/>
    <n v="0"/>
    <n v="12237"/>
    <n v="10.031788000000001"/>
    <n v="1"/>
    <x v="1"/>
    <n v="133902.63"/>
    <n v="24771.99"/>
    <n v="0"/>
    <s v="1056425"/>
    <m/>
    <n v="122760"/>
    <n v="0"/>
    <n v="57821"/>
  </r>
  <r>
    <x v="17"/>
    <s v="02561-5"/>
    <s v="Farum Park"/>
    <n v="5468"/>
    <m/>
    <s v="Farum Park"/>
    <x v="132"/>
    <x v="1"/>
    <x v="6"/>
    <n v="84716.41"/>
    <n v="12"/>
    <m/>
    <n v="0"/>
    <n v="12237"/>
    <n v="6.9229149999999997"/>
    <n v="1"/>
    <x v="3"/>
    <n v="90927.48"/>
    <n v="482.14"/>
    <n v="1"/>
    <s v="1056425"/>
    <m/>
    <n v="2428.1"/>
    <n v="57821"/>
    <n v="57832"/>
  </r>
  <r>
    <x v="17"/>
    <m/>
    <s v="Stenvadhallen"/>
    <n v="13534"/>
    <s v="0"/>
    <s v="Stenvadhallen"/>
    <x v="143"/>
    <x v="1"/>
    <x v="7"/>
    <n v="134.82"/>
    <n v="10"/>
    <s v="2014-11-02"/>
    <n v="0"/>
    <n v="2088"/>
    <n v="6.4564999999999997E-2"/>
    <n v="3"/>
    <x v="8"/>
    <n v="134.82"/>
    <n v="0"/>
    <n v="1"/>
    <s v="Cirkul. 6508842 ?"/>
    <m/>
    <n v="134830.47824999999"/>
    <n v="0"/>
    <n v="90570"/>
  </r>
  <r>
    <x v="17"/>
    <m/>
    <s v="Stenvadhallen"/>
    <n v="13534"/>
    <s v="0"/>
    <s v="Stenvadhallen"/>
    <x v="143"/>
    <x v="1"/>
    <x v="7"/>
    <n v="154.25"/>
    <n v="10"/>
    <s v="2014-11-02"/>
    <n v="0"/>
    <n v="2088"/>
    <n v="7.3870000000000005E-2"/>
    <n v="3"/>
    <x v="8"/>
    <n v="154.25"/>
    <n v="0"/>
    <n v="1"/>
    <s v="Varmt brugsvand 6508842 ?"/>
    <m/>
    <n v="154237.08695999999"/>
    <n v="0"/>
    <n v="90571"/>
  </r>
  <r>
    <x v="17"/>
    <m/>
    <s v="Stenvadhallen"/>
    <n v="13534"/>
    <s v="0"/>
    <s v="Stenvadhallen"/>
    <x v="143"/>
    <x v="1"/>
    <x v="7"/>
    <n v="49937.05"/>
    <n v="11"/>
    <s v="2015-05-04"/>
    <n v="0"/>
    <n v="2088"/>
    <n v="23.915065999999999"/>
    <n v="2"/>
    <x v="2"/>
    <n v="49937.05"/>
    <n v="14981.11"/>
    <n v="0"/>
    <s v="15465"/>
    <m/>
    <n v="49937.038500000002"/>
    <n v="0"/>
    <n v="90569"/>
  </r>
  <r>
    <x v="17"/>
    <m/>
    <s v="Stenvadhallen"/>
    <n v="13534"/>
    <s v="0"/>
    <s v="Stenvadhallen"/>
    <x v="143"/>
    <x v="1"/>
    <x v="7"/>
    <n v="70113.05"/>
    <n v="10"/>
    <s v="2014-11-02"/>
    <n v="0"/>
    <n v="2088"/>
    <n v="33.577438000000001"/>
    <n v="1"/>
    <x v="5"/>
    <n v="83428.95"/>
    <n v="10512.04"/>
    <n v="0"/>
    <s v="6508842"/>
    <m/>
    <n v="70.113050000000001"/>
    <n v="0"/>
    <n v="90565"/>
  </r>
  <r>
    <x v="17"/>
    <m/>
    <s v="Stenvadhallen"/>
    <n v="13534"/>
    <s v="0"/>
    <s v="Stenvadhallen"/>
    <x v="143"/>
    <x v="1"/>
    <x v="7"/>
    <n v="23205.65"/>
    <n v="10"/>
    <s v="2014-11-02"/>
    <n v="0"/>
    <n v="2088"/>
    <n v="11.113284"/>
    <n v="1"/>
    <x v="5"/>
    <n v="29139.26"/>
    <n v="3671.55"/>
    <n v="0"/>
    <s v="6506369"/>
    <m/>
    <n v="23.205649999999999"/>
    <n v="0"/>
    <n v="90567"/>
  </r>
  <r>
    <x v="17"/>
    <m/>
    <s v="Stenvadhallen"/>
    <n v="13534"/>
    <s v="0"/>
    <s v="Stenvadhallen"/>
    <x v="143"/>
    <x v="1"/>
    <x v="7"/>
    <n v="4040"/>
    <n v="2"/>
    <s v="2014-11-13"/>
    <n v="0"/>
    <n v="2088"/>
    <n v="1.9347730000000001"/>
    <n v="1"/>
    <x v="5"/>
    <n v="4806.84"/>
    <n v="889.27"/>
    <n v="1"/>
    <s v="61444137"/>
    <m/>
    <n v="4.04"/>
    <n v="0"/>
    <n v="96924"/>
  </r>
  <r>
    <x v="17"/>
    <m/>
    <s v="Stenvadhallen"/>
    <n v="13534"/>
    <s v="0"/>
    <s v="Stenvadhallen"/>
    <x v="143"/>
    <x v="1"/>
    <x v="7"/>
    <n v="6563.46"/>
    <n v="9"/>
    <s v="2014-11-02"/>
    <n v="0"/>
    <n v="2088"/>
    <n v="3.1432690000000001"/>
    <n v="1"/>
    <x v="5"/>
    <n v="8151.39"/>
    <n v="1027.07"/>
    <n v="0"/>
    <s v="6506368"/>
    <m/>
    <n v="6.5634600000000001"/>
    <n v="0"/>
    <n v="90566"/>
  </r>
  <r>
    <x v="17"/>
    <m/>
    <s v="Stenvadhallen"/>
    <n v="13534"/>
    <s v="0"/>
    <s v="Stenvadhallen"/>
    <x v="143"/>
    <x v="1"/>
    <x v="7"/>
    <n v="4634.34"/>
    <n v="10"/>
    <s v="2014-11-02"/>
    <n v="0"/>
    <n v="2088"/>
    <n v="2.2194050000000001"/>
    <n v="1"/>
    <x v="5"/>
    <n v="6163.28"/>
    <n v="776.57"/>
    <n v="0"/>
    <s v="608636"/>
    <m/>
    <n v="4.6343399999999999"/>
    <n v="0"/>
    <n v="90568"/>
  </r>
  <r>
    <x v="17"/>
    <m/>
    <s v="Stenvadhallen"/>
    <n v="13534"/>
    <s v="0"/>
    <s v="Stenvadhallen"/>
    <x v="143"/>
    <x v="1"/>
    <x v="7"/>
    <n v="305.31"/>
    <n v="11"/>
    <s v="2015-05-04"/>
    <n v="0"/>
    <n v="2088"/>
    <n v="0.14621400000000001"/>
    <n v="3"/>
    <x v="0"/>
    <n v="305.31"/>
    <n v="0"/>
    <n v="1"/>
    <s v="Koldt vand 5019440"/>
    <m/>
    <n v="305.30248"/>
    <n v="0"/>
    <n v="90572"/>
  </r>
  <r>
    <x v="17"/>
    <s v="02561-5"/>
    <s v="Farum Park"/>
    <n v="5468"/>
    <m/>
    <s v="Farum Park"/>
    <x v="132"/>
    <x v="1"/>
    <x v="6"/>
    <n v="59839.83"/>
    <n v="12"/>
    <m/>
    <n v="0"/>
    <n v="12237"/>
    <n v="4.8900329999999999"/>
    <n v="1"/>
    <x v="3"/>
    <n v="63984.99"/>
    <n v="339.27"/>
    <n v="1"/>
    <s v="4105252"/>
    <m/>
    <n v="1715.1"/>
    <n v="57834"/>
    <n v="57835"/>
  </r>
  <r>
    <x v="17"/>
    <s v="02561-5"/>
    <s v="Farum Park"/>
    <n v="5468"/>
    <m/>
    <s v="Farum Park"/>
    <x v="132"/>
    <x v="1"/>
    <x v="6"/>
    <n v="80590"/>
    <n v="12"/>
    <m/>
    <n v="0"/>
    <n v="12237"/>
    <n v="6.5857099999999997"/>
    <n v="1"/>
    <x v="1"/>
    <n v="84940.5"/>
    <n v="15713.99"/>
    <n v="0"/>
    <s v="4105252"/>
    <m/>
    <n v="80590"/>
    <n v="0"/>
    <n v="57834"/>
  </r>
  <r>
    <x v="17"/>
    <s v="05368-6"/>
    <s v="TD-Bygning"/>
    <n v="5465"/>
    <m/>
    <s v="TD-Bygning"/>
    <x v="130"/>
    <x v="1"/>
    <x v="7"/>
    <n v="175.67"/>
    <n v="12"/>
    <m/>
    <n v="0"/>
    <n v="1384"/>
    <n v="0.12692000000000001"/>
    <n v="3"/>
    <x v="0"/>
    <n v="175.67"/>
    <n v="140.53"/>
    <n v="0"/>
    <s v="01500592"/>
    <m/>
    <n v="175.67"/>
    <n v="0"/>
    <n v="57761"/>
  </r>
  <r>
    <x v="17"/>
    <s v="05368-6"/>
    <s v="TD-Bygning"/>
    <n v="5465"/>
    <m/>
    <s v="TD-Bygning"/>
    <x v="130"/>
    <x v="1"/>
    <x v="7"/>
    <n v="33.35"/>
    <n v="12"/>
    <m/>
    <n v="0"/>
    <n v="1384"/>
    <n v="2.4094999999999998E-2"/>
    <n v="3"/>
    <x v="0"/>
    <n v="33.35"/>
    <n v="26.69"/>
    <n v="1"/>
    <s v="220156 BV"/>
    <m/>
    <n v="33.35"/>
    <n v="0"/>
    <n v="58121"/>
  </r>
  <r>
    <x v="17"/>
    <s v="05368-6"/>
    <s v="TD-Bygning"/>
    <n v="5465"/>
    <m/>
    <s v="TD-Bygning"/>
    <x v="130"/>
    <x v="1"/>
    <x v="7"/>
    <n v="94723.74"/>
    <n v="12"/>
    <m/>
    <n v="0"/>
    <n v="1384"/>
    <n v="68.437062999999995"/>
    <n v="1"/>
    <x v="1"/>
    <n v="111934.53"/>
    <n v="8236847.2400000002"/>
    <n v="0"/>
    <s v="4155449 aut"/>
    <m/>
    <n v="94723.755040000004"/>
    <n v="0"/>
    <n v="57760"/>
  </r>
  <r>
    <x v="17"/>
    <s v="05368-6"/>
    <s v="TD-Bygning"/>
    <n v="5465"/>
    <m/>
    <s v="TD-Bygning"/>
    <x v="130"/>
    <x v="1"/>
    <x v="7"/>
    <n v="4238.34"/>
    <n v="12"/>
    <s v="2015-05-04"/>
    <n v="0"/>
    <n v="1384"/>
    <n v="3.062163"/>
    <n v="1"/>
    <x v="1"/>
    <n v="5341.4"/>
    <n v="769689.18"/>
    <n v="1"/>
    <s v="30116799  VE01"/>
    <m/>
    <n v="4238.3417399999998"/>
    <n v="0"/>
    <n v="57767"/>
  </r>
  <r>
    <x v="17"/>
    <s v="05368-6"/>
    <s v="TD-Bygning"/>
    <n v="5465"/>
    <m/>
    <s v="TD-Bygning"/>
    <x v="130"/>
    <x v="1"/>
    <x v="7"/>
    <n v="8458.0400000000009"/>
    <n v="12"/>
    <s v="2015-05-04"/>
    <n v="0"/>
    <n v="1384"/>
    <n v="6.1108589999999996"/>
    <n v="1"/>
    <x v="1"/>
    <n v="10000.64"/>
    <n v="1000795.52"/>
    <n v="1"/>
    <s v="30116798 VVB1"/>
    <m/>
    <n v="8458.0342700000001"/>
    <n v="0"/>
    <n v="57775"/>
  </r>
  <r>
    <x v="17"/>
    <s v="05368-6"/>
    <s v="TD-Bygning"/>
    <n v="5465"/>
    <m/>
    <s v="TD-Bygning"/>
    <x v="130"/>
    <x v="1"/>
    <x v="7"/>
    <n v="68249.820000000007"/>
    <n v="12"/>
    <s v="2015-05-04"/>
    <n v="0"/>
    <n v="1384"/>
    <n v="49.309890000000003"/>
    <n v="1"/>
    <x v="1"/>
    <n v="81755.44"/>
    <n v="6576763.25"/>
    <n v="1"/>
    <s v="30116800 VV01"/>
    <m/>
    <n v="68249.798389999996"/>
    <n v="0"/>
    <n v="57777"/>
  </r>
  <r>
    <x v="17"/>
    <s v="05368-6"/>
    <s v="TD-Bygning"/>
    <n v="5539"/>
    <m/>
    <s v="Tennishal BM"/>
    <x v="130"/>
    <x v="1"/>
    <x v="7"/>
    <n v="7316.26"/>
    <n v="12"/>
    <s v="2015-05-04"/>
    <n v="0"/>
    <n v="1480"/>
    <n v="4.9430839999999998"/>
    <n v="1"/>
    <x v="1"/>
    <n v="8746.99"/>
    <n v="206138.17"/>
    <n v="0"/>
    <s v="30116801 VE02 hal"/>
    <m/>
    <n v="7316.24496"/>
    <n v="0"/>
    <n v="58289"/>
  </r>
  <r>
    <x v="17"/>
    <s v="05368-6"/>
    <s v="TD-Bygning"/>
    <n v="5465"/>
    <m/>
    <s v="TD-Bygning"/>
    <x v="130"/>
    <x v="1"/>
    <x v="7"/>
    <n v="525.76"/>
    <n v="12"/>
    <s v="2015-05-04"/>
    <n v="0"/>
    <n v="1384"/>
    <n v="0.37985600000000003"/>
    <n v="2"/>
    <x v="2"/>
    <n v="525.76"/>
    <n v="157.72"/>
    <n v="1"/>
    <s v="113957 Køkken"/>
    <m/>
    <n v="525.74899000000005"/>
    <n v="0"/>
    <n v="90266"/>
  </r>
  <r>
    <x v="17"/>
    <s v="05368-6"/>
    <s v="TD-Bygning"/>
    <n v="5465"/>
    <m/>
    <s v="TD-Bygning"/>
    <x v="130"/>
    <x v="1"/>
    <x v="7"/>
    <n v="14385.42"/>
    <n v="12"/>
    <s v="2015-05-04"/>
    <n v="0"/>
    <n v="1384"/>
    <n v="10.393338"/>
    <n v="2"/>
    <x v="2"/>
    <n v="14385.42"/>
    <n v="4315.63"/>
    <n v="1"/>
    <s v="112643 Svøm 2 Sal"/>
    <m/>
    <n v="14385.4002"/>
    <n v="0"/>
    <n v="90268"/>
  </r>
  <r>
    <x v="17"/>
    <s v="05368-6"/>
    <s v="TD-Bygning"/>
    <n v="5465"/>
    <m/>
    <s v="TD-Bygning"/>
    <x v="130"/>
    <x v="1"/>
    <x v="7"/>
    <n v="18252.68"/>
    <n v="12"/>
    <s v="2015-05-04"/>
    <n v="0"/>
    <n v="1384"/>
    <n v="13.187398999999999"/>
    <n v="2"/>
    <x v="2"/>
    <n v="18252.68"/>
    <n v="7301.1"/>
    <n v="1"/>
    <s v="EL03 VE01"/>
    <m/>
    <n v="18252.68144"/>
    <n v="0"/>
    <n v="57770"/>
  </r>
  <r>
    <x v="17"/>
    <s v="05368-6"/>
    <s v="TD-Bygning"/>
    <n v="5465"/>
    <m/>
    <s v="TD-Bygning"/>
    <x v="130"/>
    <x v="1"/>
    <x v="7"/>
    <n v="66805.87"/>
    <n v="12"/>
    <m/>
    <n v="0"/>
    <n v="1384"/>
    <n v="48.266649000000001"/>
    <n v="2"/>
    <x v="2"/>
    <n v="66805.87"/>
    <n v="26722.32"/>
    <n v="0"/>
    <s v="3104996"/>
    <s v="74115046041"/>
    <n v="66805.861619999996"/>
    <n v="0"/>
    <n v="58297"/>
  </r>
  <r>
    <x v="17"/>
    <s v="05368-6"/>
    <s v="TD-Bygning"/>
    <n v="5465"/>
    <m/>
    <s v="TD-Bygning"/>
    <x v="130"/>
    <x v="1"/>
    <x v="7"/>
    <n v="1854.14"/>
    <n v="12"/>
    <s v="2015-05-04"/>
    <n v="0"/>
    <n v="1384"/>
    <n v="1.339599"/>
    <n v="2"/>
    <x v="2"/>
    <n v="1854.14"/>
    <n v="556.23"/>
    <n v="1"/>
    <s v="112579 Nordic Sportscente"/>
    <m/>
    <n v="1854.13004"/>
    <n v="0"/>
    <n v="90264"/>
  </r>
  <r>
    <x v="17"/>
    <s v="05368-6"/>
    <s v="TD-Bygning"/>
    <n v="5465"/>
    <m/>
    <s v="TD-Bygning"/>
    <x v="130"/>
    <x v="1"/>
    <x v="7"/>
    <n v="2.94"/>
    <n v="12"/>
    <s v="2015-05-04"/>
    <n v="0"/>
    <n v="1384"/>
    <n v="2.124E-3"/>
    <n v="2"/>
    <x v="2"/>
    <n v="2.94"/>
    <n v="0.88"/>
    <n v="1"/>
    <s v="112644 Krop Danmark"/>
    <m/>
    <n v="2.9375"/>
    <n v="0"/>
    <n v="90265"/>
  </r>
  <r>
    <x v="17"/>
    <s v="05368-6"/>
    <s v="TD-Bygning"/>
    <n v="5465"/>
    <m/>
    <s v="TD-Bygning"/>
    <x v="130"/>
    <x v="1"/>
    <x v="7"/>
    <n v="6797.22"/>
    <n v="12"/>
    <s v="2015-05-04"/>
    <n v="0"/>
    <n v="1384"/>
    <n v="4.9109309999999997"/>
    <n v="2"/>
    <x v="2"/>
    <n v="6797.22"/>
    <n v="2039.17"/>
    <n v="1"/>
    <s v="112614 Svøm 1 Sal"/>
    <m/>
    <n v="6797.2308400000002"/>
    <n v="0"/>
    <n v="90267"/>
  </r>
  <r>
    <x v="17"/>
    <s v="05368-6"/>
    <s v="TD-Bygning"/>
    <n v="5539"/>
    <m/>
    <s v="Tennishal BM"/>
    <x v="130"/>
    <x v="1"/>
    <x v="7"/>
    <n v="32842.160000000003"/>
    <n v="12"/>
    <s v="2015-05-04"/>
    <n v="0"/>
    <n v="1480"/>
    <n v="22.189149"/>
    <n v="2"/>
    <x v="2"/>
    <n v="32842.160000000003"/>
    <n v="13136.87"/>
    <n v="0"/>
    <s v="P71 EL02 hal"/>
    <m/>
    <n v="32842.154240000003"/>
    <n v="0"/>
    <n v="58286"/>
  </r>
  <r>
    <x v="17"/>
    <s v="05368-6"/>
    <s v="TD-Bygning"/>
    <n v="5539"/>
    <m/>
    <s v="Tennishal BM"/>
    <x v="130"/>
    <x v="1"/>
    <x v="7"/>
    <n v="10758.14"/>
    <n v="12"/>
    <s v="2015-05-04"/>
    <n v="0"/>
    <n v="1480"/>
    <n v="7.2685219999999999"/>
    <n v="2"/>
    <x v="2"/>
    <n v="10758.14"/>
    <n v="4303.2700000000004"/>
    <n v="0"/>
    <s v="EL04 VE02 hal"/>
    <m/>
    <n v="10758.14214"/>
    <n v="0"/>
    <n v="58287"/>
  </r>
  <r>
    <x v="17"/>
    <s v="05368-6"/>
    <s v="TD-Bygning"/>
    <n v="5465"/>
    <m/>
    <s v="TD-Bygning"/>
    <x v="130"/>
    <x v="1"/>
    <x v="7"/>
    <n v="71517.52"/>
    <n v="12"/>
    <m/>
    <n v="0"/>
    <n v="1384"/>
    <n v="51.670774999999999"/>
    <n v="1"/>
    <x v="3"/>
    <n v="83314.28"/>
    <n v="180420.31"/>
    <n v="1"/>
    <s v="4155449"/>
    <m/>
    <n v="2049.8000000000002"/>
    <n v="57760"/>
    <n v="57765"/>
  </r>
  <r>
    <x v="17"/>
    <s v="02561-5"/>
    <s v="Farum Park"/>
    <n v="5468"/>
    <m/>
    <s v="Farum Park"/>
    <x v="132"/>
    <x v="0"/>
    <x v="6"/>
    <n v="134990"/>
    <n v="5"/>
    <s v="2008-05-01"/>
    <n v="0"/>
    <n v="12237"/>
    <n v="11.031207999999999"/>
    <n v="1"/>
    <x v="5"/>
    <n v="167995.1"/>
    <n v="31.08"/>
    <n v="0"/>
    <s v="1056425"/>
    <m/>
    <n v="134.99"/>
    <n v="0"/>
    <n v="57831"/>
  </r>
  <r>
    <x v="17"/>
    <s v="02561-5"/>
    <s v="Farum Park"/>
    <n v="5468"/>
    <m/>
    <s v="Farum Park"/>
    <x v="132"/>
    <x v="1"/>
    <x v="6"/>
    <n v="110360"/>
    <n v="5"/>
    <s v="2008-05-01"/>
    <n v="0"/>
    <n v="12237"/>
    <n v="9.0184759999999997"/>
    <n v="1"/>
    <x v="5"/>
    <n v="137677.42000000001"/>
    <n v="25.47"/>
    <n v="0"/>
    <s v="4105252"/>
    <m/>
    <n v="110.36"/>
    <n v="0"/>
    <n v="57836"/>
  </r>
  <r>
    <x v="17"/>
    <s v="04310-9"/>
    <s v="Fuglsang, Farum Hovedgade 84"/>
    <n v="5954"/>
    <m/>
    <s v="Fuglsang"/>
    <x v="135"/>
    <x v="1"/>
    <x v="0"/>
    <n v="35363.14"/>
    <n v="5"/>
    <s v="2011-12-30"/>
    <n v="0"/>
    <n v="475"/>
    <n v="74.433045000000007"/>
    <n v="1"/>
    <x v="4"/>
    <n v="39805.42"/>
    <n v="8418.11"/>
    <n v="0"/>
    <s v="1203138"/>
    <s v="98001988648"/>
    <n v="3274.3649999999998"/>
    <n v="0"/>
    <n v="59981"/>
  </r>
  <r>
    <x v="17"/>
    <s v="04310-9"/>
    <s v="Fuglsang, Farum Hovedgade 84"/>
    <n v="5954"/>
    <m/>
    <s v="Fuglsang"/>
    <x v="135"/>
    <x v="1"/>
    <x v="1"/>
    <n v="75932.2"/>
    <n v="12"/>
    <s v="2011-12-30"/>
    <n v="0"/>
    <n v="475"/>
    <n v="159.82361599999999"/>
    <n v="1"/>
    <x v="4"/>
    <n v="80792.320000000007"/>
    <n v="17086.09"/>
    <n v="0"/>
    <s v="1203138"/>
    <s v="98001988648"/>
    <n v="7030.76"/>
    <n v="0"/>
    <n v="59981"/>
  </r>
  <r>
    <x v="17"/>
    <s v="04310-9"/>
    <s v="Fuglsang, Farum Hovedgade 84"/>
    <n v="5954"/>
    <m/>
    <s v="Fuglsang"/>
    <x v="135"/>
    <x v="1"/>
    <x v="2"/>
    <n v="74357.2"/>
    <n v="12"/>
    <s v="2011-12-30"/>
    <n v="0"/>
    <n v="475"/>
    <n v="156.50852399999999"/>
    <n v="1"/>
    <x v="4"/>
    <n v="77773.350000000006"/>
    <n v="16447.63"/>
    <n v="0"/>
    <s v="1203138"/>
    <s v="98001988648"/>
    <n v="6884.9256999999998"/>
    <n v="0"/>
    <n v="59981"/>
  </r>
  <r>
    <x v="17"/>
    <s v="04310-9"/>
    <s v="Fuglsang, Farum Hovedgade 84"/>
    <n v="5954"/>
    <m/>
    <s v="Fuglsang"/>
    <x v="135"/>
    <x v="1"/>
    <x v="3"/>
    <n v="73502.929999999993"/>
    <n v="12"/>
    <s v="2011-12-30"/>
    <n v="0"/>
    <n v="475"/>
    <n v="154.71043900000001"/>
    <n v="1"/>
    <x v="4"/>
    <n v="80456.179999999993"/>
    <n v="17014.990000000002"/>
    <n v="0"/>
    <s v="1203138"/>
    <s v="98001988648"/>
    <n v="6805.8264600000002"/>
    <n v="0"/>
    <n v="59981"/>
  </r>
  <r>
    <x v="17"/>
    <s v="04310-9"/>
    <s v="Fuglsang, Farum Hovedgade 84"/>
    <n v="5954"/>
    <m/>
    <s v="Fuglsang"/>
    <x v="135"/>
    <x v="1"/>
    <x v="4"/>
    <n v="77257.070000000007"/>
    <n v="11"/>
    <s v="2011-12-30"/>
    <n v="0"/>
    <n v="475"/>
    <n v="162.61222900000001"/>
    <n v="1"/>
    <x v="4"/>
    <n v="70016.86"/>
    <n v="14807.28"/>
    <n v="0"/>
    <s v="1203138"/>
    <s v="98001988648"/>
    <n v="7153.4308000000001"/>
    <n v="0"/>
    <n v="59981"/>
  </r>
  <r>
    <x v="17"/>
    <s v="04310-9"/>
    <s v="Fuglsang, Farum Hovedgade 84"/>
    <n v="5954"/>
    <m/>
    <s v="Fuglsang"/>
    <x v="135"/>
    <x v="1"/>
    <x v="5"/>
    <n v="75347.45"/>
    <n v="11"/>
    <s v="2011-12-30"/>
    <n v="0"/>
    <n v="475"/>
    <n v="158.59282200000001"/>
    <n v="1"/>
    <x v="4"/>
    <n v="81141.48"/>
    <n v="17159.93"/>
    <n v="0"/>
    <s v="1203138"/>
    <s v="98001988648"/>
    <n v="6976.6162999999997"/>
    <n v="0"/>
    <n v="59981"/>
  </r>
  <r>
    <x v="17"/>
    <s v="04310-9"/>
    <s v="Fuglsang, Farum Hovedgade 84"/>
    <n v="5954"/>
    <m/>
    <s v="Fuglsang"/>
    <x v="135"/>
    <x v="1"/>
    <x v="6"/>
    <n v="68328.149999999994"/>
    <n v="12"/>
    <s v="2011-12-30"/>
    <n v="0"/>
    <n v="475"/>
    <n v="143.81845899999999"/>
    <n v="1"/>
    <x v="4"/>
    <n v="77965.55"/>
    <n v="16488.259999999998"/>
    <n v="0"/>
    <s v="1203138"/>
    <s v="98001988648"/>
    <n v="6326.6796800000002"/>
    <n v="0"/>
    <n v="59981"/>
  </r>
  <r>
    <x v="17"/>
    <s v="03888-1"/>
    <s v="Furesøgård - UDLEJET"/>
    <n v="5429"/>
    <m/>
    <s v="Furesøgård - UDLEJET"/>
    <x v="136"/>
    <x v="1"/>
    <x v="0"/>
    <n v="53114.5"/>
    <n v="5"/>
    <s v="2006-03-15"/>
    <n v="0"/>
    <n v="1747"/>
    <n v="30.401522"/>
    <n v="1"/>
    <x v="4"/>
    <n v="59666.09"/>
    <n v="12618.28"/>
    <n v="0"/>
    <s v="11004538"/>
    <s v="98001985401"/>
    <n v="4918.01"/>
    <n v="0"/>
    <n v="57409"/>
  </r>
  <r>
    <x v="17"/>
    <s v="03888-1"/>
    <s v="Furesøgård - UDLEJET"/>
    <n v="5429"/>
    <m/>
    <s v="Furesøgård - UDLEJET"/>
    <x v="136"/>
    <x v="1"/>
    <x v="1"/>
    <n v="102614.25"/>
    <n v="12"/>
    <s v="2006-03-15"/>
    <n v="0"/>
    <n v="1747"/>
    <n v="58.734043999999997"/>
    <n v="1"/>
    <x v="4"/>
    <n v="107240.93"/>
    <n v="22679.47"/>
    <n v="0"/>
    <s v="11004538"/>
    <s v="98001985401"/>
    <n v="9501.32"/>
    <n v="0"/>
    <n v="57409"/>
  </r>
  <r>
    <x v="17"/>
    <s v="03888-1"/>
    <s v="Furesøgård - UDLEJET"/>
    <n v="5429"/>
    <m/>
    <s v="Furesøgård - UDLEJET"/>
    <x v="136"/>
    <x v="1"/>
    <x v="2"/>
    <n v="95958.97"/>
    <n v="12"/>
    <s v="2006-03-15"/>
    <n v="0"/>
    <n v="1747"/>
    <n v="54.924714999999999"/>
    <n v="1"/>
    <x v="4"/>
    <n v="100611.86"/>
    <n v="21277.52"/>
    <n v="0"/>
    <s v="11004538"/>
    <s v="98001985401"/>
    <n v="8885.09"/>
    <n v="0"/>
    <n v="57409"/>
  </r>
  <r>
    <x v="17"/>
    <s v="03888-1"/>
    <s v="Furesøgård - UDLEJET"/>
    <n v="5429"/>
    <m/>
    <s v="Furesøgård - UDLEJET"/>
    <x v="136"/>
    <x v="1"/>
    <x v="3"/>
    <n v="94017.13"/>
    <n v="12"/>
    <s v="2006-03-15"/>
    <n v="0"/>
    <n v="1747"/>
    <n v="53.813249999999996"/>
    <n v="1"/>
    <x v="4"/>
    <n v="102687.24"/>
    <n v="21716.46"/>
    <n v="0"/>
    <s v="11004538"/>
    <s v="98001985401"/>
    <n v="8705.2900000000009"/>
    <n v="0"/>
    <n v="57409"/>
  </r>
  <r>
    <x v="17"/>
    <s v="03888-1"/>
    <s v="Furesøgård - UDLEJET"/>
    <n v="5429"/>
    <m/>
    <s v="Furesøgård - UDLEJET"/>
    <x v="136"/>
    <x v="1"/>
    <x v="4"/>
    <n v="122168.63"/>
    <n v="12"/>
    <s v="2006-03-15"/>
    <n v="0"/>
    <n v="1747"/>
    <n v="69.926523000000003"/>
    <n v="1"/>
    <x v="4"/>
    <n v="111098.94"/>
    <n v="23495.37"/>
    <n v="0"/>
    <s v="11004538"/>
    <s v="98001985401"/>
    <n v="11311.91"/>
    <n v="0"/>
    <n v="57409"/>
  </r>
  <r>
    <x v="17"/>
    <s v="03888-1"/>
    <s v="Furesøgård - UDLEJET"/>
    <n v="5429"/>
    <m/>
    <s v="Furesøgård - UDLEJET"/>
    <x v="136"/>
    <x v="1"/>
    <x v="5"/>
    <n v="94946.36"/>
    <n v="12"/>
    <s v="2006-03-15"/>
    <n v="0"/>
    <n v="1747"/>
    <n v="54.345120000000001"/>
    <n v="1"/>
    <x v="4"/>
    <n v="100171.06"/>
    <n v="21184.33"/>
    <n v="0"/>
    <s v="11004538"/>
    <s v="98001985401"/>
    <n v="8791.33"/>
    <n v="0"/>
    <n v="57409"/>
  </r>
  <r>
    <x v="17"/>
    <s v="03888-1"/>
    <s v="Furesøgård - UDLEJET"/>
    <n v="5429"/>
    <m/>
    <s v="Furesøgård - UDLEJET"/>
    <x v="136"/>
    <x v="1"/>
    <x v="6"/>
    <n v="92716.86"/>
    <n v="12"/>
    <s v="2006-03-15"/>
    <n v="0"/>
    <n v="1747"/>
    <n v="53.069004999999997"/>
    <n v="1"/>
    <x v="4"/>
    <n v="103993.04"/>
    <n v="21992.63"/>
    <n v="0"/>
    <s v="11004538"/>
    <s v="98001985401"/>
    <n v="8584.8943999999992"/>
    <n v="0"/>
    <n v="57409"/>
  </r>
  <r>
    <x v="17"/>
    <s v="05359-7"/>
    <s v="Idræt Fritid"/>
    <n v="5265"/>
    <m/>
    <s v="Idræt Fritid"/>
    <x v="137"/>
    <x v="1"/>
    <x v="0"/>
    <n v="17981"/>
    <n v="5"/>
    <s v="2005-09-01"/>
    <n v="0"/>
    <n v="585"/>
    <n v="30.731497999999998"/>
    <n v="1"/>
    <x v="1"/>
    <n v="19940.14"/>
    <n v="3688925.9"/>
    <n v="0"/>
    <s v="4824609"/>
    <m/>
    <n v="17981"/>
    <n v="0"/>
    <n v="56774"/>
  </r>
  <r>
    <x v="17"/>
    <s v="05359-7"/>
    <s v="Idræt Fritid"/>
    <n v="5265"/>
    <m/>
    <s v="Idræt Fritid"/>
    <x v="137"/>
    <x v="1"/>
    <x v="0"/>
    <n v="15032.36"/>
    <n v="5"/>
    <s v="2005-09-01"/>
    <n v="0"/>
    <n v="585"/>
    <n v="25.691949999999999"/>
    <n v="1"/>
    <x v="3"/>
    <n v="16619.330000000002"/>
    <n v="88121.99"/>
    <n v="1"/>
    <s v="4824609"/>
    <m/>
    <n v="430.85"/>
    <n v="0"/>
    <n v="56999"/>
  </r>
  <r>
    <x v="17"/>
    <m/>
    <s v="Værløse Bio Bymidten 44"/>
    <n v="13825"/>
    <m/>
    <s v="Værløse Bio"/>
    <x v="131"/>
    <x v="1"/>
    <x v="7"/>
    <n v="20295.86"/>
    <n v="1"/>
    <s v="2014-03-11"/>
    <n v="0"/>
    <n v="739"/>
    <n v="27.460235000000001"/>
    <n v="1"/>
    <x v="5"/>
    <n v="24249.41"/>
    <n v="1551.97"/>
    <n v="1"/>
    <s v="6991589"/>
    <m/>
    <n v="20.295860000000001"/>
    <n v="0"/>
    <n v="94054"/>
  </r>
  <r>
    <x v="17"/>
    <s v="05359-7"/>
    <s v="Idræt Fritid"/>
    <n v="5265"/>
    <m/>
    <s v="Idræt Fritid"/>
    <x v="137"/>
    <x v="1"/>
    <x v="1"/>
    <n v="67548"/>
    <n v="12"/>
    <s v="2005-09-01"/>
    <n v="0"/>
    <n v="585"/>
    <n v="115.446932"/>
    <n v="1"/>
    <x v="1"/>
    <n v="73359.77"/>
    <n v="13571.57"/>
    <n v="0"/>
    <s v="4824609"/>
    <m/>
    <n v="67548"/>
    <n v="0"/>
    <n v="56774"/>
  </r>
  <r>
    <x v="17"/>
    <m/>
    <s v="Værløse Bio Bymidten 44"/>
    <n v="13825"/>
    <m/>
    <s v="Værløse Bio"/>
    <x v="131"/>
    <x v="1"/>
    <x v="7"/>
    <n v="381.01"/>
    <n v="12"/>
    <s v="2013-09-30"/>
    <n v="0"/>
    <n v="739"/>
    <n v="0.51550499999999999"/>
    <n v="3"/>
    <x v="0"/>
    <n v="381.01"/>
    <n v="304.81"/>
    <n v="0"/>
    <s v="4488"/>
    <m/>
    <n v="381.005"/>
    <n v="0"/>
    <n v="91848"/>
  </r>
  <r>
    <x v="17"/>
    <s v="05359-7"/>
    <s v="Idræt Fritid"/>
    <n v="5265"/>
    <m/>
    <s v="Idræt Fritid"/>
    <x v="137"/>
    <x v="1"/>
    <x v="1"/>
    <n v="58975.25"/>
    <n v="12"/>
    <s v="2005-09-01"/>
    <n v="0"/>
    <n v="585"/>
    <n v="100.795163"/>
    <n v="1"/>
    <x v="3"/>
    <n v="63904.76"/>
    <n v="338.84"/>
    <n v="1"/>
    <s v="4824609"/>
    <m/>
    <n v="1690.32"/>
    <n v="0"/>
    <n v="56999"/>
  </r>
  <r>
    <x v="17"/>
    <s v="05359-7"/>
    <s v="Idræt Fritid"/>
    <n v="5265"/>
    <m/>
    <s v="Idræt Fritid"/>
    <x v="137"/>
    <x v="1"/>
    <x v="2"/>
    <n v="40778"/>
    <n v="12"/>
    <s v="2005-09-01"/>
    <n v="0"/>
    <n v="585"/>
    <n v="69.694068999999999"/>
    <n v="1"/>
    <x v="1"/>
    <n v="42545.87"/>
    <n v="7870.97"/>
    <n v="0"/>
    <s v="4824609"/>
    <m/>
    <n v="40778"/>
    <n v="0"/>
    <n v="56774"/>
  </r>
  <r>
    <x v="17"/>
    <s v="05359-7"/>
    <s v="Idræt Fritid"/>
    <n v="5265"/>
    <m/>
    <s v="Idræt Fritid"/>
    <x v="137"/>
    <x v="1"/>
    <x v="2"/>
    <n v="60333.19"/>
    <n v="12"/>
    <s v="2005-09-01"/>
    <n v="0"/>
    <n v="585"/>
    <n v="103.11603100000001"/>
    <n v="1"/>
    <x v="3"/>
    <n v="65481.72"/>
    <n v="347.2"/>
    <n v="1"/>
    <s v="4824609"/>
    <m/>
    <n v="1729.24"/>
    <n v="0"/>
    <n v="56999"/>
  </r>
  <r>
    <x v="17"/>
    <s v="05359-7"/>
    <s v="Idræt Fritid"/>
    <n v="5265"/>
    <m/>
    <s v="Idræt Fritid"/>
    <x v="137"/>
    <x v="1"/>
    <x v="3"/>
    <n v="42173"/>
    <n v="12"/>
    <s v="2005-09-01"/>
    <n v="0"/>
    <n v="585"/>
    <n v="72.078277"/>
    <n v="1"/>
    <x v="1"/>
    <n v="46045.71"/>
    <n v="8518.4599999999991"/>
    <n v="0"/>
    <s v="4824609"/>
    <m/>
    <n v="42173"/>
    <n v="0"/>
    <n v="56774"/>
  </r>
  <r>
    <x v="17"/>
    <s v="05359-7"/>
    <s v="Idræt Fritid"/>
    <n v="5265"/>
    <m/>
    <s v="Idræt Fritid"/>
    <x v="137"/>
    <x v="1"/>
    <x v="3"/>
    <n v="48256.37"/>
    <n v="12"/>
    <s v="2005-09-01"/>
    <n v="0"/>
    <n v="585"/>
    <n v="82.475423000000006"/>
    <n v="1"/>
    <x v="3"/>
    <n v="53630.26"/>
    <n v="284.36"/>
    <n v="1"/>
    <s v="4824609"/>
    <m/>
    <n v="1383.1"/>
    <n v="0"/>
    <n v="56999"/>
  </r>
  <r>
    <x v="17"/>
    <s v="05359-7"/>
    <s v="Idræt Fritid"/>
    <n v="5265"/>
    <m/>
    <s v="Idræt Fritid"/>
    <x v="137"/>
    <x v="1"/>
    <x v="4"/>
    <n v="54034"/>
    <n v="12"/>
    <s v="2005-09-01"/>
    <n v="0"/>
    <n v="585"/>
    <n v="92.350025000000002"/>
    <n v="1"/>
    <x v="1"/>
    <n v="49089.9"/>
    <n v="9081.64"/>
    <n v="0"/>
    <s v="4824609"/>
    <m/>
    <n v="54034"/>
    <n v="0"/>
    <n v="56774"/>
  </r>
  <r>
    <x v="17"/>
    <s v="05359-7"/>
    <s v="Idræt Fritid"/>
    <n v="5265"/>
    <m/>
    <s v="Idræt Fritid"/>
    <x v="137"/>
    <x v="1"/>
    <x v="4"/>
    <n v="66436.12"/>
    <n v="12"/>
    <s v="2005-09-01"/>
    <n v="0"/>
    <n v="585"/>
    <n v="113.54660699999999"/>
    <n v="1"/>
    <x v="3"/>
    <n v="60684.38"/>
    <n v="321.77999999999997"/>
    <n v="1"/>
    <s v="4824609"/>
    <m/>
    <n v="1904.16"/>
    <n v="0"/>
    <n v="56999"/>
  </r>
  <r>
    <x v="17"/>
    <s v="05359-7"/>
    <s v="Idræt Fritid"/>
    <n v="5265"/>
    <m/>
    <s v="Idræt Fritid"/>
    <x v="137"/>
    <x v="1"/>
    <x v="5"/>
    <n v="42403"/>
    <n v="12"/>
    <s v="2005-09-01"/>
    <n v="0"/>
    <n v="585"/>
    <n v="72.471372000000002"/>
    <n v="1"/>
    <x v="1"/>
    <n v="45160.45"/>
    <n v="8354.68"/>
    <n v="0"/>
    <s v="4824609"/>
    <m/>
    <n v="42402.9997"/>
    <n v="0"/>
    <n v="56774"/>
  </r>
  <r>
    <x v="17"/>
    <m/>
    <s v="Værløse Bio Bymidten 44"/>
    <n v="13825"/>
    <m/>
    <s v="Værløse Bio"/>
    <x v="131"/>
    <x v="1"/>
    <x v="7"/>
    <n v="7566.92"/>
    <n v="11"/>
    <s v="2014-02-28"/>
    <n v="0"/>
    <n v="739"/>
    <n v="10.238019"/>
    <n v="1"/>
    <x v="1"/>
    <n v="9181.14"/>
    <n v="587.58000000000004"/>
    <n v="0"/>
    <s v="69061501"/>
    <m/>
    <n v="7566.9147300000004"/>
    <n v="0"/>
    <n v="94197"/>
  </r>
  <r>
    <x v="17"/>
    <s v="05359-7"/>
    <s v="Idræt Fritid"/>
    <n v="5265"/>
    <m/>
    <s v="Idræt Fritid"/>
    <x v="137"/>
    <x v="1"/>
    <x v="5"/>
    <n v="48736.800000000003"/>
    <n v="12"/>
    <s v="2005-09-01"/>
    <n v="0"/>
    <n v="585"/>
    <n v="83.296530000000004"/>
    <n v="1"/>
    <x v="3"/>
    <n v="54917.46"/>
    <n v="291.18"/>
    <n v="1"/>
    <s v="4824609"/>
    <m/>
    <n v="1396.87"/>
    <n v="0"/>
    <n v="56999"/>
  </r>
  <r>
    <x v="17"/>
    <s v="05359-7"/>
    <s v="Idræt Fritid"/>
    <n v="5265"/>
    <m/>
    <s v="Idræt Fritid"/>
    <x v="137"/>
    <x v="1"/>
    <x v="6"/>
    <n v="44570"/>
    <n v="12"/>
    <s v="2005-09-01"/>
    <n v="0"/>
    <n v="585"/>
    <n v="76.175011999999995"/>
    <n v="1"/>
    <x v="1"/>
    <n v="50740.19"/>
    <n v="9386.9500000000007"/>
    <n v="0"/>
    <s v="4824609"/>
    <m/>
    <n v="44570"/>
    <n v="0"/>
    <n v="56774"/>
  </r>
  <r>
    <x v="17"/>
    <s v="05359-7"/>
    <s v="Idræt Fritid"/>
    <n v="5265"/>
    <m/>
    <s v="Idræt Fritid"/>
    <x v="137"/>
    <x v="1"/>
    <x v="6"/>
    <n v="43034.720000000001"/>
    <n v="12"/>
    <s v="2005-09-01"/>
    <n v="0"/>
    <n v="585"/>
    <n v="73.551051000000001"/>
    <n v="1"/>
    <x v="3"/>
    <n v="47986.92"/>
    <n v="254.43"/>
    <n v="1"/>
    <s v="4824609"/>
    <m/>
    <n v="1233.44"/>
    <n v="0"/>
    <n v="56999"/>
  </r>
  <r>
    <x v="17"/>
    <s v="5359-7"/>
    <s v="Idræt Klub"/>
    <n v="5266"/>
    <m/>
    <s v="Idræt Klub"/>
    <x v="138"/>
    <x v="1"/>
    <x v="0"/>
    <n v="42226"/>
    <n v="5"/>
    <s v="2005-09-01"/>
    <n v="0"/>
    <n v="585"/>
    <n v="72.168859999999995"/>
    <n v="1"/>
    <x v="1"/>
    <n v="47380.800000000003"/>
    <n v="8765448"/>
    <n v="0"/>
    <s v="4824607"/>
    <m/>
    <n v="42226"/>
    <n v="0"/>
    <n v="56780"/>
  </r>
  <r>
    <x v="17"/>
    <m/>
    <s v="Værløse Bio Bymidten 44"/>
    <n v="13825"/>
    <m/>
    <s v="Værløse Bio"/>
    <x v="131"/>
    <x v="1"/>
    <x v="7"/>
    <n v="98594.95"/>
    <n v="13"/>
    <s v="2014-02-28"/>
    <n v="0"/>
    <n v="739"/>
    <n v="133.39866000000001"/>
    <n v="1"/>
    <x v="1"/>
    <n v="119377.32"/>
    <n v="7640.12"/>
    <n v="0"/>
    <s v="69320466"/>
    <m/>
    <n v="98594.950419999994"/>
    <n v="0"/>
    <n v="94055"/>
  </r>
  <r>
    <x v="17"/>
    <s v="5359-7"/>
    <s v="Idræt Klub"/>
    <n v="5266"/>
    <m/>
    <s v="Idræt Klub"/>
    <x v="138"/>
    <x v="1"/>
    <x v="0"/>
    <n v="30548.28"/>
    <n v="5"/>
    <s v="2005-09-01"/>
    <n v="0"/>
    <n v="585"/>
    <n v="52.210357000000002"/>
    <n v="1"/>
    <x v="3"/>
    <n v="34099.93"/>
    <n v="180810.75"/>
    <n v="1"/>
    <s v="4824607"/>
    <m/>
    <n v="875.56"/>
    <n v="0"/>
    <n v="57000"/>
  </r>
  <r>
    <x v="17"/>
    <m/>
    <s v="Værløse Bio Bymidten 44"/>
    <n v="13825"/>
    <m/>
    <s v="Værløse Bio"/>
    <x v="131"/>
    <x v="1"/>
    <x v="7"/>
    <n v="68828.320000000007"/>
    <n v="12"/>
    <s v="2013-09-30"/>
    <n v="0"/>
    <n v="739"/>
    <n v="93.124502000000007"/>
    <n v="2"/>
    <x v="2"/>
    <n v="68828.320000000007"/>
    <n v="20648.47"/>
    <n v="0"/>
    <s v="4203804"/>
    <s v="74110495646"/>
    <n v="68828.293999999994"/>
    <n v="0"/>
    <n v="91847"/>
  </r>
  <r>
    <x v="17"/>
    <s v="5359-7"/>
    <s v="Idræt Klub"/>
    <n v="5266"/>
    <m/>
    <s v="Idræt Klub"/>
    <x v="138"/>
    <x v="1"/>
    <x v="1"/>
    <n v="44258.5"/>
    <n v="12"/>
    <s v="2005-09-01"/>
    <n v="0"/>
    <n v="585"/>
    <n v="75.642624999999995"/>
    <n v="1"/>
    <x v="1"/>
    <n v="46306.3"/>
    <n v="8566.67"/>
    <n v="0"/>
    <s v="4824607"/>
    <m/>
    <n v="44258.5"/>
    <n v="0"/>
    <n v="56780"/>
  </r>
  <r>
    <x v="17"/>
    <s v="5359-7"/>
    <s v="Idræt Klub"/>
    <n v="5266"/>
    <m/>
    <s v="Idræt Klub"/>
    <x v="138"/>
    <x v="1"/>
    <x v="1"/>
    <n v="59782.27"/>
    <n v="12"/>
    <s v="2005-09-01"/>
    <n v="0"/>
    <n v="585"/>
    <n v="102.174448"/>
    <n v="1"/>
    <x v="3"/>
    <n v="66918.259999999995"/>
    <n v="354.81"/>
    <n v="1"/>
    <s v="4824607"/>
    <m/>
    <n v="1713.45"/>
    <n v="0"/>
    <n v="57000"/>
  </r>
  <r>
    <x v="17"/>
    <s v="5359-7"/>
    <s v="Idræt Klub"/>
    <n v="5266"/>
    <m/>
    <s v="Idræt Klub"/>
    <x v="138"/>
    <x v="1"/>
    <x v="2"/>
    <n v="52224.5"/>
    <n v="12"/>
    <s v="2005-09-01"/>
    <n v="0"/>
    <n v="585"/>
    <n v="89.257390999999998"/>
    <n v="1"/>
    <x v="1"/>
    <n v="55096.639999999999"/>
    <n v="10192.870000000001"/>
    <n v="0"/>
    <s v="4824607"/>
    <m/>
    <n v="52224.5"/>
    <n v="0"/>
    <n v="56780"/>
  </r>
  <r>
    <x v="17"/>
    <s v="5359-7"/>
    <s v="Idræt Klub"/>
    <n v="5266"/>
    <m/>
    <s v="Idræt Klub"/>
    <x v="138"/>
    <x v="1"/>
    <x v="2"/>
    <n v="60150.36"/>
    <n v="12"/>
    <s v="2005-09-01"/>
    <n v="0"/>
    <n v="585"/>
    <n v="102.80355400000001"/>
    <n v="1"/>
    <x v="3"/>
    <n v="59401.88"/>
    <n v="314.97000000000003"/>
    <n v="1"/>
    <s v="4824607"/>
    <m/>
    <n v="1724"/>
    <n v="0"/>
    <n v="57000"/>
  </r>
  <r>
    <x v="17"/>
    <s v="5359-7"/>
    <s v="Idræt Klub"/>
    <n v="5266"/>
    <m/>
    <s v="Idræt Klub"/>
    <x v="138"/>
    <x v="1"/>
    <x v="3"/>
    <n v="57174"/>
    <n v="12"/>
    <s v="2005-09-01"/>
    <n v="0"/>
    <n v="585"/>
    <n v="97.716628999999998"/>
    <n v="1"/>
    <x v="1"/>
    <n v="62614.68"/>
    <n v="11583.7"/>
    <n v="0"/>
    <s v="4824607"/>
    <m/>
    <n v="57174"/>
    <n v="0"/>
    <n v="56780"/>
  </r>
  <r>
    <x v="17"/>
    <m/>
    <s v="Værløse Bio Bymidten 44"/>
    <n v="13825"/>
    <m/>
    <s v="Værløse Bio"/>
    <x v="131"/>
    <x v="1"/>
    <x v="7"/>
    <n v="28768.23"/>
    <n v="12"/>
    <s v="2013-09-30"/>
    <n v="0"/>
    <n v="739"/>
    <n v="38.923324999999998"/>
    <n v="2"/>
    <x v="2"/>
    <n v="28768.23"/>
    <n v="8630.48"/>
    <n v="0"/>
    <s v="4029504"/>
    <s v="74113122839"/>
    <n v="28768.231"/>
    <n v="0"/>
    <n v="94053"/>
  </r>
  <r>
    <x v="17"/>
    <s v="5359-7"/>
    <s v="Idræt Klub"/>
    <n v="5266"/>
    <m/>
    <s v="Idræt Klub"/>
    <x v="138"/>
    <x v="1"/>
    <x v="3"/>
    <n v="47577.05"/>
    <n v="12"/>
    <s v="2005-09-01"/>
    <n v="0"/>
    <n v="585"/>
    <n v="81.314390000000003"/>
    <n v="1"/>
    <x v="3"/>
    <n v="52490.44"/>
    <n v="278.33"/>
    <n v="1"/>
    <s v="4824607"/>
    <m/>
    <n v="1363.63"/>
    <n v="0"/>
    <n v="57000"/>
  </r>
  <r>
    <x v="17"/>
    <s v="5359-7"/>
    <s v="Idræt Klub"/>
    <n v="5266"/>
    <m/>
    <s v="Idræt Klub"/>
    <x v="138"/>
    <x v="1"/>
    <x v="4"/>
    <n v="59492"/>
    <n v="12"/>
    <s v="2005-09-01"/>
    <n v="0"/>
    <n v="585"/>
    <n v="101.67834499999999"/>
    <n v="1"/>
    <x v="1"/>
    <n v="54281.9"/>
    <n v="10042.15"/>
    <n v="0"/>
    <s v="4824607"/>
    <m/>
    <n v="59492"/>
    <n v="0"/>
    <n v="56780"/>
  </r>
  <r>
    <x v="17"/>
    <s v="5359-7"/>
    <s v="Idræt Klub"/>
    <n v="5266"/>
    <m/>
    <s v="Idræt Klub"/>
    <x v="138"/>
    <x v="1"/>
    <x v="4"/>
    <n v="62093.72"/>
    <n v="12"/>
    <s v="2005-09-01"/>
    <n v="0"/>
    <n v="585"/>
    <n v="106.12497"/>
    <n v="1"/>
    <x v="3"/>
    <n v="57026.48"/>
    <n v="302.39"/>
    <n v="1"/>
    <s v="4824607"/>
    <m/>
    <n v="1779.7"/>
    <n v="0"/>
    <n v="57000"/>
  </r>
  <r>
    <x v="17"/>
    <s v="5359-7"/>
    <s v="Idræt Klub"/>
    <n v="5266"/>
    <m/>
    <s v="Idræt Klub"/>
    <x v="138"/>
    <x v="1"/>
    <x v="5"/>
    <n v="42831"/>
    <n v="12"/>
    <s v="2005-09-01"/>
    <n v="0"/>
    <n v="585"/>
    <n v="73.202871000000002"/>
    <n v="1"/>
    <x v="1"/>
    <n v="45465.86"/>
    <n v="8411.18"/>
    <n v="0"/>
    <s v="4824607"/>
    <m/>
    <n v="42831"/>
    <n v="0"/>
    <n v="56780"/>
  </r>
  <r>
    <x v="17"/>
    <s v="5359-7"/>
    <s v="Idræt Klub"/>
    <n v="5266"/>
    <m/>
    <s v="Idræt Klub"/>
    <x v="138"/>
    <x v="1"/>
    <x v="5"/>
    <n v="53438.22"/>
    <n v="12"/>
    <s v="2005-09-01"/>
    <n v="0"/>
    <n v="585"/>
    <n v="91.331772000000001"/>
    <n v="1"/>
    <x v="3"/>
    <n v="56018.12"/>
    <n v="297.04000000000002"/>
    <n v="1"/>
    <s v="4824607"/>
    <m/>
    <n v="1531.62"/>
    <n v="0"/>
    <n v="57000"/>
  </r>
  <r>
    <x v="17"/>
    <s v="5359-7"/>
    <s v="Idræt Klub"/>
    <n v="5266"/>
    <m/>
    <s v="Idræt Klub"/>
    <x v="138"/>
    <x v="1"/>
    <x v="6"/>
    <n v="41872"/>
    <n v="12"/>
    <s v="2005-09-01"/>
    <n v="0"/>
    <n v="585"/>
    <n v="71.563834999999997"/>
    <n v="1"/>
    <x v="1"/>
    <n v="48240.98"/>
    <n v="8924.59"/>
    <n v="0"/>
    <s v="4824607"/>
    <m/>
    <n v="41872"/>
    <n v="0"/>
    <n v="56780"/>
  </r>
  <r>
    <x v="17"/>
    <s v="5359-7"/>
    <s v="Idræt Klub"/>
    <n v="5266"/>
    <m/>
    <s v="Idræt Klub"/>
    <x v="138"/>
    <x v="1"/>
    <x v="6"/>
    <n v="133938.53"/>
    <n v="12"/>
    <s v="2005-09-01"/>
    <n v="0"/>
    <n v="585"/>
    <n v="228.91562099999999"/>
    <n v="1"/>
    <x v="3"/>
    <n v="172127.07"/>
    <n v="912.66"/>
    <n v="1"/>
    <s v="4824607"/>
    <m/>
    <n v="3838.88"/>
    <n v="0"/>
    <n v="57000"/>
  </r>
  <r>
    <x v="17"/>
    <s v="7662"/>
    <s v="Lille Bjørn, Kålund 24"/>
    <n v="13868"/>
    <s v="0"/>
    <s v="Lille Bjørn"/>
    <x v="140"/>
    <x v="1"/>
    <x v="0"/>
    <n v="83449.23"/>
    <n v="5"/>
    <s v="2013-08-31"/>
    <n v="0"/>
    <n v="867"/>
    <n v="96.239452999999997"/>
    <n v="1"/>
    <x v="4"/>
    <n v="93376.3"/>
    <n v="19747.349999999999"/>
    <n v="0"/>
    <s v="3100441"/>
    <m/>
    <n v="7726.78"/>
    <n v="0"/>
    <n v="92670"/>
  </r>
  <r>
    <x v="17"/>
    <s v="7662"/>
    <s v="Lille Bjørn, Kålund 24"/>
    <n v="13868"/>
    <s v="0"/>
    <s v="Lille Bjørn"/>
    <x v="140"/>
    <x v="1"/>
    <x v="1"/>
    <n v="174016.76"/>
    <n v="6"/>
    <s v="2013-08-31"/>
    <n v="0"/>
    <n v="867"/>
    <n v="200.68822499999999"/>
    <n v="1"/>
    <x v="4"/>
    <n v="236242.8"/>
    <n v="49960.98"/>
    <n v="0"/>
    <s v="3100441"/>
    <m/>
    <n v="16112.66173"/>
    <n v="0"/>
    <n v="92670"/>
  </r>
  <r>
    <x v="17"/>
    <s v="7662"/>
    <s v="Lille Bjørn, Kålund 24"/>
    <n v="13868"/>
    <s v="0"/>
    <s v="Lille Bjørn"/>
    <x v="140"/>
    <x v="1"/>
    <x v="2"/>
    <n v="147788.59"/>
    <n v="2"/>
    <s v="2013-08-31"/>
    <n v="0"/>
    <n v="867"/>
    <n v="170.440076"/>
    <n v="1"/>
    <x v="4"/>
    <n v="162760.04999999999"/>
    <n v="34420.75"/>
    <n v="0"/>
    <s v="3100441"/>
    <m/>
    <n v="13684.129569999999"/>
    <n v="0"/>
    <n v="92670"/>
  </r>
  <r>
    <x v="17"/>
    <s v="7662"/>
    <s v="Lille Bjørn, Kålund 24"/>
    <n v="13868"/>
    <s v="0"/>
    <s v="Lille Bjørn"/>
    <x v="140"/>
    <x v="1"/>
    <x v="3"/>
    <n v="205960.07"/>
    <n v="1"/>
    <s v="2013-08-31"/>
    <n v="0"/>
    <n v="867"/>
    <n v="237.52746999999999"/>
    <n v="1"/>
    <x v="4"/>
    <n v="238957.64"/>
    <n v="50535.12"/>
    <n v="0"/>
    <s v="3100441"/>
    <m/>
    <n v="19070.378140000001"/>
    <n v="0"/>
    <n v="92670"/>
  </r>
  <r>
    <x v="17"/>
    <s v="7662"/>
    <s v="Lille Bjørn, Kålund 24"/>
    <n v="13868"/>
    <s v="0"/>
    <s v="Lille Bjørn"/>
    <x v="140"/>
    <x v="1"/>
    <x v="4"/>
    <n v="162701.76999999999"/>
    <n v="2"/>
    <s v="2013-08-31"/>
    <n v="0"/>
    <n v="867"/>
    <n v="187.638992"/>
    <n v="1"/>
    <x v="4"/>
    <n v="173933.84"/>
    <n v="36783.78"/>
    <n v="0"/>
    <s v="3100441"/>
    <m/>
    <n v="15064.9791"/>
    <n v="0"/>
    <n v="92670"/>
  </r>
  <r>
    <x v="17"/>
    <s v="7662"/>
    <s v="Lille Bjørn, Kålund 24"/>
    <n v="13868"/>
    <s v="0"/>
    <s v="Lille Bjørn"/>
    <x v="140"/>
    <x v="1"/>
    <x v="5"/>
    <n v="101870.82"/>
    <n v="1"/>
    <s v="2013-08-31"/>
    <n v="0"/>
    <n v="867"/>
    <n v="117.484511"/>
    <n v="1"/>
    <x v="4"/>
    <n v="175411.87"/>
    <n v="37096.35"/>
    <n v="0"/>
    <s v="3100441"/>
    <m/>
    <n v="9432.4814700000006"/>
    <n v="0"/>
    <n v="92670"/>
  </r>
  <r>
    <x v="17"/>
    <s v="7662"/>
    <s v="Lille Bjørn, Kålund 24"/>
    <n v="13868"/>
    <s v="0"/>
    <s v="Lille Bjørn"/>
    <x v="140"/>
    <x v="1"/>
    <x v="6"/>
    <n v="60766.82"/>
    <n v="1"/>
    <s v="2013-08-31"/>
    <n v="0"/>
    <n v="867"/>
    <n v="70.080521000000005"/>
    <n v="1"/>
    <x v="4"/>
    <n v="75026.929999999993"/>
    <n v="15866.8"/>
    <n v="0"/>
    <s v="3100441"/>
    <m/>
    <n v="5626.5573800000002"/>
    <n v="0"/>
    <n v="92670"/>
  </r>
  <r>
    <x v="17"/>
    <m/>
    <s v="Poppelgården ungdomsboliger UDLEJET"/>
    <n v="10616"/>
    <m/>
    <s v="Poppelgården"/>
    <x v="144"/>
    <x v="1"/>
    <x v="0"/>
    <n v="70221.08"/>
    <n v="5"/>
    <s v="2011-12-31"/>
    <n v="0"/>
    <n v="0"/>
    <n v="702210.8"/>
    <n v="1"/>
    <x v="1"/>
    <n v="78759.289999999994"/>
    <n v="14570.45"/>
    <n v="0"/>
    <m/>
    <m/>
    <n v="70221.08"/>
    <n v="0"/>
    <n v="90988"/>
  </r>
  <r>
    <x v="17"/>
    <m/>
    <s v="Poppelgården ungdomsboliger UDLEJET"/>
    <n v="10616"/>
    <m/>
    <s v="Poppelgården"/>
    <x v="144"/>
    <x v="1"/>
    <x v="1"/>
    <n v="158404.15"/>
    <n v="12"/>
    <s v="2011-12-31"/>
    <n v="0"/>
    <n v="0"/>
    <n v="1584041.5"/>
    <n v="1"/>
    <x v="1"/>
    <n v="167030.82999999999"/>
    <n v="30900.71"/>
    <n v="0"/>
    <m/>
    <m/>
    <n v="158404.15"/>
    <n v="0"/>
    <n v="90988"/>
  </r>
  <r>
    <x v="17"/>
    <m/>
    <s v="Poppelgården ungdomsboliger UDLEJET"/>
    <n v="10616"/>
    <m/>
    <s v="Poppelgården"/>
    <x v="144"/>
    <x v="1"/>
    <x v="2"/>
    <n v="134780.66"/>
    <n v="12"/>
    <s v="2011-12-31"/>
    <n v="0"/>
    <n v="0"/>
    <n v="1347806.6"/>
    <n v="1"/>
    <x v="1"/>
    <n v="140370.70000000001"/>
    <n v="25968.58"/>
    <n v="0"/>
    <m/>
    <m/>
    <n v="134780.65700000001"/>
    <n v="0"/>
    <n v="90988"/>
  </r>
  <r>
    <x v="17"/>
    <m/>
    <s v="Poppelgården ungdomsboliger UDLEJET"/>
    <n v="10616"/>
    <m/>
    <s v="Poppelgården"/>
    <x v="144"/>
    <x v="1"/>
    <x v="2"/>
    <n v="459.43"/>
    <n v="1"/>
    <s v="2012-01-02"/>
    <n v="0"/>
    <n v="0"/>
    <n v="4594.3"/>
    <n v="1"/>
    <x v="5"/>
    <n v="459.43"/>
    <n v="84.99"/>
    <n v="0"/>
    <s v="AFMELDT"/>
    <m/>
    <n v="0.45943000000000001"/>
    <n v="0"/>
    <n v="78588"/>
  </r>
  <r>
    <x v="17"/>
    <m/>
    <s v="Poppelgården ungdomsboliger UDLEJET"/>
    <n v="10616"/>
    <m/>
    <s v="Poppelgården"/>
    <x v="144"/>
    <x v="1"/>
    <x v="3"/>
    <n v="132929.45000000001"/>
    <n v="6"/>
    <s v="2012-01-02"/>
    <n v="0"/>
    <n v="0"/>
    <n v="1329294.5"/>
    <n v="1"/>
    <x v="5"/>
    <n v="153135.94"/>
    <n v="28330.13"/>
    <n v="0"/>
    <s v="AFMELDT"/>
    <m/>
    <n v="132.92945"/>
    <n v="0"/>
    <n v="78588"/>
  </r>
  <r>
    <x v="17"/>
    <m/>
    <s v="Poppelgården ungdomsboliger UDLEJET"/>
    <n v="10616"/>
    <m/>
    <s v="Poppelgården"/>
    <x v="144"/>
    <x v="1"/>
    <x v="4"/>
    <n v="152154.57999999999"/>
    <n v="9"/>
    <s v="2012-01-02"/>
    <n v="0"/>
    <n v="0"/>
    <n v="1521545.8"/>
    <n v="1"/>
    <x v="5"/>
    <n v="139379.10999999999"/>
    <n v="25785.14"/>
    <n v="0"/>
    <s v="AFMELDT"/>
    <m/>
    <n v="152.15458000000001"/>
    <n v="0"/>
    <n v="78588"/>
  </r>
  <r>
    <x v="17"/>
    <m/>
    <s v="Poppelgården ungdomsboliger UDLEJET"/>
    <n v="10616"/>
    <m/>
    <s v="Poppelgården"/>
    <x v="144"/>
    <x v="1"/>
    <x v="5"/>
    <n v="126930.04"/>
    <n v="9"/>
    <s v="2012-01-02"/>
    <n v="0"/>
    <n v="0"/>
    <n v="1269300.3999999999"/>
    <n v="1"/>
    <x v="5"/>
    <n v="135021.98000000001"/>
    <n v="24979.07"/>
    <n v="0"/>
    <s v="AFMELDT"/>
    <m/>
    <n v="126.93004000000001"/>
    <n v="0"/>
    <n v="78588"/>
  </r>
  <r>
    <x v="17"/>
    <m/>
    <s v="Poppelgården ungdomsboliger UDLEJET"/>
    <n v="10616"/>
    <m/>
    <s v="Poppelgården"/>
    <x v="144"/>
    <x v="1"/>
    <x v="6"/>
    <n v="123776.4"/>
    <n v="11"/>
    <s v="2012-01-02"/>
    <n v="0"/>
    <n v="0"/>
    <n v="1237764"/>
    <n v="1"/>
    <x v="5"/>
    <n v="140907.85"/>
    <n v="26067.96"/>
    <n v="0"/>
    <s v="AFMELDT"/>
    <m/>
    <n v="123.7764"/>
    <n v="0"/>
    <n v="78588"/>
  </r>
  <r>
    <x v="17"/>
    <s v="????"/>
    <s v="Skomagerbakken P. E. Rasmunnens Vej 3"/>
    <n v="6370"/>
    <m/>
    <s v="Skomagerbakken"/>
    <x v="141"/>
    <x v="1"/>
    <x v="0"/>
    <n v="9389.42"/>
    <n v="5"/>
    <s v="2011-12-30"/>
    <n v="0"/>
    <n v="99"/>
    <n v="94.746921999999998"/>
    <n v="1"/>
    <x v="4"/>
    <n v="10623.57"/>
    <n v="2246.6999999999998"/>
    <n v="0"/>
    <s v="1105196"/>
    <m/>
    <n v="869.39"/>
    <n v="0"/>
    <n v="62722"/>
  </r>
  <r>
    <x v="17"/>
    <s v="????"/>
    <s v="Skomagerbakken P. E. Rasmunnens Vej 3"/>
    <n v="6370"/>
    <m/>
    <s v="Skomagerbakken"/>
    <x v="141"/>
    <x v="1"/>
    <x v="1"/>
    <n v="18621.580000000002"/>
    <n v="12"/>
    <s v="2011-12-30"/>
    <n v="0"/>
    <n v="99"/>
    <n v="187.90696199999999"/>
    <n v="1"/>
    <x v="4"/>
    <n v="19433.66"/>
    <n v="4109.8599999999997"/>
    <n v="0"/>
    <s v="1105196"/>
    <m/>
    <n v="1724.2199599999999"/>
    <n v="0"/>
    <n v="62722"/>
  </r>
  <r>
    <x v="17"/>
    <s v="????"/>
    <s v="Skomagerbakken P. E. Rasmunnens Vej 3"/>
    <n v="6370"/>
    <m/>
    <s v="Skomagerbakken"/>
    <x v="141"/>
    <x v="1"/>
    <x v="2"/>
    <n v="18491.310000000001"/>
    <n v="12"/>
    <s v="2011-12-30"/>
    <n v="0"/>
    <n v="99"/>
    <n v="186.592431"/>
    <n v="1"/>
    <x v="4"/>
    <n v="19411.25"/>
    <n v="4105.1099999999997"/>
    <n v="0"/>
    <s v="1105196"/>
    <m/>
    <n v="1712.16"/>
    <n v="0"/>
    <n v="62722"/>
  </r>
  <r>
    <x v="17"/>
    <s v="????"/>
    <s v="Skomagerbakken P. E. Rasmunnens Vej 3"/>
    <n v="6370"/>
    <m/>
    <s v="Skomagerbakken"/>
    <x v="141"/>
    <x v="1"/>
    <x v="3"/>
    <n v="17920.169999999998"/>
    <n v="6"/>
    <s v="2011-12-30"/>
    <n v="0"/>
    <n v="99"/>
    <n v="180.829162"/>
    <n v="1"/>
    <x v="4"/>
    <n v="20469.330000000002"/>
    <n v="4328.88"/>
    <n v="0"/>
    <s v="1105196"/>
    <m/>
    <n v="1659.2750000000001"/>
    <n v="0"/>
    <n v="62722"/>
  </r>
  <r>
    <x v="17"/>
    <s v="????"/>
    <s v="Skomagerbakken P. E. Rasmunnens Vej 3"/>
    <n v="6370"/>
    <m/>
    <s v="Skomagerbakken"/>
    <x v="141"/>
    <x v="1"/>
    <x v="4"/>
    <n v="18090.2"/>
    <n v="6"/>
    <s v="2011-12-30"/>
    <n v="0"/>
    <n v="99"/>
    <n v="182.544904"/>
    <n v="1"/>
    <x v="4"/>
    <n v="16293.35"/>
    <n v="3445.74"/>
    <n v="0"/>
    <s v="1105196"/>
    <m/>
    <n v="1675.0194100000001"/>
    <n v="0"/>
    <n v="62722"/>
  </r>
  <r>
    <x v="17"/>
    <s v="????"/>
    <s v="Skomagerbakken P. E. Rasmunnens Vej 3"/>
    <n v="6370"/>
    <m/>
    <s v="Skomagerbakken"/>
    <x v="141"/>
    <x v="1"/>
    <x v="5"/>
    <n v="19887"/>
    <n v="6"/>
    <s v="2011-12-30"/>
    <n v="0"/>
    <n v="99"/>
    <n v="200.676084"/>
    <n v="1"/>
    <x v="4"/>
    <n v="25017.74"/>
    <n v="5290.78"/>
    <n v="0"/>
    <s v="1105196"/>
    <m/>
    <n v="1841.3898099999999"/>
    <n v="0"/>
    <n v="62722"/>
  </r>
  <r>
    <x v="17"/>
    <s v="????"/>
    <s v="Skomagerbakken P. E. Rasmunnens Vej 3"/>
    <n v="6370"/>
    <m/>
    <s v="Skomagerbakken"/>
    <x v="141"/>
    <x v="1"/>
    <x v="6"/>
    <n v="17799.650000000001"/>
    <n v="5"/>
    <s v="2011-12-30"/>
    <n v="0"/>
    <n v="99"/>
    <n v="179.61301700000001"/>
    <n v="1"/>
    <x v="4"/>
    <n v="21473.71"/>
    <n v="4541.3100000000004"/>
    <n v="0"/>
    <s v="1105196"/>
    <m/>
    <n v="1648.1157900000001"/>
    <n v="0"/>
    <n v="62722"/>
  </r>
  <r>
    <x v="17"/>
    <s v="03972-1"/>
    <s v="Solhøjgård - UDLEJET"/>
    <n v="5953"/>
    <m/>
    <s v="Solhøjgård"/>
    <x v="142"/>
    <x v="1"/>
    <x v="0"/>
    <n v="24447.21"/>
    <n v="5"/>
    <s v="2011-12-31"/>
    <n v="0"/>
    <n v="272"/>
    <n v="89.846416000000005"/>
    <n v="1"/>
    <x v="4"/>
    <n v="27448.79"/>
    <n v="5804.91"/>
    <n v="0"/>
    <s v="1171337"/>
    <s v="98000130192"/>
    <n v="2263.63"/>
    <n v="0"/>
    <n v="59978"/>
  </r>
  <r>
    <x v="17"/>
    <s v="03972-1"/>
    <s v="Solhøjgård - UDLEJET"/>
    <n v="5953"/>
    <m/>
    <s v="Solhøjgård"/>
    <x v="142"/>
    <x v="1"/>
    <x v="1"/>
    <n v="46428.55"/>
    <n v="12"/>
    <s v="2011-12-31"/>
    <n v="0"/>
    <n v="272"/>
    <n v="170.63046600000001"/>
    <n v="1"/>
    <x v="4"/>
    <n v="48459.74"/>
    <n v="10248.35"/>
    <n v="0"/>
    <s v="1171337"/>
    <s v="98000130192"/>
    <n v="4298.9399999999996"/>
    <n v="0"/>
    <n v="59978"/>
  </r>
  <r>
    <x v="17"/>
    <s v="03972-1"/>
    <s v="Solhøjgård - UDLEJET"/>
    <n v="5953"/>
    <m/>
    <s v="Solhøjgård"/>
    <x v="142"/>
    <x v="1"/>
    <x v="2"/>
    <n v="45460.66"/>
    <n v="12"/>
    <s v="2011-12-31"/>
    <n v="0"/>
    <n v="272"/>
    <n v="167.07335499999999"/>
    <n v="1"/>
    <x v="4"/>
    <n v="47974.41"/>
    <n v="10145.700000000001"/>
    <n v="0"/>
    <s v="1171337"/>
    <s v="98000130192"/>
    <n v="4209.32"/>
    <n v="0"/>
    <n v="59978"/>
  </r>
  <r>
    <x v="17"/>
    <s v="03972-1"/>
    <s v="Solhøjgård - UDLEJET"/>
    <n v="5953"/>
    <m/>
    <s v="Solhøjgård"/>
    <x v="142"/>
    <x v="1"/>
    <x v="3"/>
    <n v="48230.03"/>
    <n v="10"/>
    <s v="2011-12-31"/>
    <n v="0"/>
    <n v="272"/>
    <n v="177.25111999999999"/>
    <n v="1"/>
    <x v="4"/>
    <n v="53450.54"/>
    <n v="11303.8"/>
    <n v="0"/>
    <s v="1171337"/>
    <s v="98000130192"/>
    <n v="4465.7442000000001"/>
    <n v="0"/>
    <n v="59978"/>
  </r>
  <r>
    <x v="17"/>
    <s v="03972-1"/>
    <s v="Solhøjgård - UDLEJET"/>
    <n v="5953"/>
    <m/>
    <s v="Solhøjgård"/>
    <x v="142"/>
    <x v="1"/>
    <x v="4"/>
    <n v="45365.06"/>
    <n v="4"/>
    <s v="2011-12-31"/>
    <n v="0"/>
    <n v="272"/>
    <n v="166.722013"/>
    <n v="1"/>
    <x v="4"/>
    <n v="41132.19"/>
    <n v="8698.68"/>
    <n v="0"/>
    <s v="1171337"/>
    <s v="98000130192"/>
    <n v="4200.4685499999996"/>
    <n v="0"/>
    <n v="59978"/>
  </r>
  <r>
    <x v="17"/>
    <s v="03972-1"/>
    <s v="Solhøjgård - UDLEJET"/>
    <n v="5953"/>
    <m/>
    <s v="Solhøjgård"/>
    <x v="142"/>
    <x v="1"/>
    <x v="5"/>
    <n v="50304.13"/>
    <n v="1"/>
    <s v="2011-12-31"/>
    <n v="0"/>
    <n v="272"/>
    <n v="184.87368599999999"/>
    <n v="1"/>
    <x v="4"/>
    <n v="72125.009999999995"/>
    <n v="15253.11"/>
    <n v="0"/>
    <s v="1171337"/>
    <s v="98000130192"/>
    <n v="4657.7873099999997"/>
    <n v="0"/>
    <n v="59978"/>
  </r>
  <r>
    <x v="17"/>
    <s v="03972-1"/>
    <s v="Solhøjgård - UDLEJET"/>
    <n v="5953"/>
    <m/>
    <s v="Solhøjgård"/>
    <x v="142"/>
    <x v="1"/>
    <x v="6"/>
    <n v="44945.279999999999"/>
    <n v="3"/>
    <s v="2011-12-31"/>
    <n v="0"/>
    <n v="272"/>
    <n v="165.179272"/>
    <n v="1"/>
    <x v="4"/>
    <n v="53368.65"/>
    <n v="11286.47"/>
    <n v="0"/>
    <s v="1171337"/>
    <s v="98000130192"/>
    <n v="4161.6000100000001"/>
    <n v="0"/>
    <n v="59978"/>
  </r>
  <r>
    <x v="17"/>
    <m/>
    <s v="Stenvadhallen"/>
    <n v="13534"/>
    <s v="0"/>
    <s v="Stenvadhallen"/>
    <x v="143"/>
    <x v="1"/>
    <x v="0"/>
    <n v="77320"/>
    <n v="4"/>
    <s v="2015-05-04"/>
    <n v="0"/>
    <n v="2088"/>
    <n v="37.028877000000001"/>
    <n v="1"/>
    <x v="5"/>
    <n v="85274.23"/>
    <n v="15775.72"/>
    <n v="0"/>
    <s v="Ny"/>
    <m/>
    <n v="77.319999999999993"/>
    <n v="0"/>
    <n v="96970"/>
  </r>
  <r>
    <x v="17"/>
    <m/>
    <s v="Stenvadhallen"/>
    <n v="13534"/>
    <s v="0"/>
    <s v="Stenvadhallen"/>
    <x v="143"/>
    <x v="1"/>
    <x v="1"/>
    <n v="30639.35"/>
    <n v="6"/>
    <s v="2014-11-02"/>
    <n v="0"/>
    <n v="2088"/>
    <n v="14.673315000000001"/>
    <n v="1"/>
    <x v="5"/>
    <n v="38396.67"/>
    <n v="4837.99"/>
    <n v="0"/>
    <s v="6506369"/>
    <m/>
    <n v="30.63935"/>
    <n v="0"/>
    <n v="90567"/>
  </r>
  <r>
    <x v="17"/>
    <m/>
    <s v="Stenvadhallen"/>
    <n v="13534"/>
    <s v="0"/>
    <s v="Stenvadhallen"/>
    <x v="143"/>
    <x v="1"/>
    <x v="1"/>
    <n v="151921.32999999999"/>
    <n v="6"/>
    <s v="2014-11-02"/>
    <n v="0"/>
    <n v="2088"/>
    <n v="72.755773000000005"/>
    <n v="1"/>
    <x v="5"/>
    <n v="177595.95"/>
    <n v="22377.1"/>
    <n v="0"/>
    <s v="6508842"/>
    <m/>
    <n v="151.92133000000001"/>
    <n v="0"/>
    <n v="90565"/>
  </r>
  <r>
    <x v="17"/>
    <m/>
    <s v="Stenvadhallen"/>
    <n v="13534"/>
    <s v="0"/>
    <s v="Stenvadhallen"/>
    <x v="143"/>
    <x v="1"/>
    <x v="1"/>
    <n v="13979.68"/>
    <n v="6"/>
    <s v="2014-11-02"/>
    <n v="0"/>
    <n v="2088"/>
    <n v="6.694928"/>
    <n v="1"/>
    <x v="5"/>
    <n v="17629.68"/>
    <n v="2221.34"/>
    <n v="0"/>
    <s v="6506368"/>
    <m/>
    <n v="13.97968"/>
    <n v="0"/>
    <n v="90566"/>
  </r>
  <r>
    <x v="17"/>
    <m/>
    <s v="Stenvadhallen"/>
    <n v="13534"/>
    <s v="0"/>
    <s v="Stenvadhallen"/>
    <x v="143"/>
    <x v="1"/>
    <x v="1"/>
    <n v="2826.3"/>
    <n v="6"/>
    <s v="2014-11-02"/>
    <n v="0"/>
    <n v="2088"/>
    <n v="1.3535269999999999"/>
    <n v="1"/>
    <x v="5"/>
    <n v="3442.18"/>
    <n v="433.72"/>
    <n v="0"/>
    <s v="608636"/>
    <m/>
    <n v="2.8262999999999998"/>
    <n v="0"/>
    <n v="90568"/>
  </r>
  <r>
    <x v="17"/>
    <m/>
    <s v="Stenvadhallen"/>
    <n v="13534"/>
    <s v="0"/>
    <s v="Stenvadhallen"/>
    <x v="143"/>
    <x v="1"/>
    <x v="2"/>
    <n v="4773.34"/>
    <n v="4"/>
    <s v="2014-11-02"/>
    <n v="0"/>
    <n v="2088"/>
    <n v="2.2859720000000001"/>
    <n v="1"/>
    <x v="5"/>
    <n v="5049.8500000000004"/>
    <n v="636.29999999999995"/>
    <n v="0"/>
    <s v="6506368"/>
    <m/>
    <n v="4.7733400000000001"/>
    <n v="0"/>
    <n v="90566"/>
  </r>
  <r>
    <x v="17"/>
    <m/>
    <s v="Stenvadhallen"/>
    <n v="13534"/>
    <s v="0"/>
    <s v="Stenvadhallen"/>
    <x v="143"/>
    <x v="1"/>
    <x v="2"/>
    <n v="28175.33"/>
    <n v="6"/>
    <s v="2014-11-02"/>
    <n v="0"/>
    <n v="2088"/>
    <n v="13.493285"/>
    <n v="1"/>
    <x v="5"/>
    <n v="31222.17"/>
    <n v="3934.01"/>
    <n v="0"/>
    <s v="6506369"/>
    <m/>
    <n v="28.175329999999999"/>
    <n v="0"/>
    <n v="90567"/>
  </r>
  <r>
    <x v="17"/>
    <m/>
    <s v="Stenvadhallen"/>
    <n v="13534"/>
    <s v="0"/>
    <s v="Stenvadhallen"/>
    <x v="143"/>
    <x v="1"/>
    <x v="2"/>
    <n v="139655.95000000001"/>
    <n v="6"/>
    <s v="2014-11-02"/>
    <n v="0"/>
    <n v="2088"/>
    <n v="66.881829999999994"/>
    <n v="1"/>
    <x v="5"/>
    <n v="149024.53"/>
    <n v="18777.080000000002"/>
    <n v="0"/>
    <s v="6508842"/>
    <m/>
    <n v="139.65594999999999"/>
    <n v="0"/>
    <n v="90565"/>
  </r>
  <r>
    <x v="17"/>
    <m/>
    <s v="Stenvadhallen"/>
    <n v="13534"/>
    <s v="0"/>
    <s v="Stenvadhallen"/>
    <x v="143"/>
    <x v="1"/>
    <x v="2"/>
    <n v="2211"/>
    <n v="6"/>
    <s v="2014-11-02"/>
    <n v="0"/>
    <n v="2088"/>
    <n v="1.0588569999999999"/>
    <n v="1"/>
    <x v="5"/>
    <n v="2399.27"/>
    <n v="302.3"/>
    <n v="0"/>
    <s v="608636"/>
    <m/>
    <n v="2.2109999999999999"/>
    <n v="0"/>
    <n v="90568"/>
  </r>
  <r>
    <x v="17"/>
    <m/>
    <s v="Stenvadhallen"/>
    <n v="13534"/>
    <s v="0"/>
    <s v="Stenvadhallen"/>
    <x v="143"/>
    <x v="1"/>
    <x v="3"/>
    <n v="3807.19"/>
    <n v="2"/>
    <s v="2014-11-02"/>
    <n v="0"/>
    <n v="2088"/>
    <n v="1.8232790000000001"/>
    <n v="1"/>
    <x v="5"/>
    <n v="4482.74"/>
    <n v="564.84"/>
    <n v="0"/>
    <s v="6506368"/>
    <m/>
    <n v="3.8071899999999999"/>
    <n v="0"/>
    <n v="90566"/>
  </r>
  <r>
    <x v="17"/>
    <m/>
    <s v="Stenvadhallen"/>
    <n v="13534"/>
    <s v="0"/>
    <s v="Stenvadhallen"/>
    <x v="143"/>
    <x v="1"/>
    <x v="3"/>
    <n v="117255.1"/>
    <n v="2"/>
    <s v="2014-11-02"/>
    <n v="0"/>
    <n v="2088"/>
    <n v="56.153967000000002"/>
    <n v="1"/>
    <x v="5"/>
    <n v="138749.42000000001"/>
    <n v="17482.43"/>
    <n v="0"/>
    <s v="6508842"/>
    <m/>
    <n v="117.2551"/>
    <n v="0"/>
    <n v="90565"/>
  </r>
  <r>
    <x v="17"/>
    <m/>
    <s v="Stenvadhallen"/>
    <n v="13534"/>
    <s v="0"/>
    <s v="Stenvadhallen"/>
    <x v="143"/>
    <x v="1"/>
    <x v="3"/>
    <n v="28738.79"/>
    <n v="2"/>
    <s v="2014-11-02"/>
    <n v="0"/>
    <n v="2088"/>
    <n v="13.763128999999999"/>
    <n v="1"/>
    <x v="5"/>
    <n v="34086.17"/>
    <n v="4294.87"/>
    <n v="0"/>
    <s v="6506369"/>
    <m/>
    <n v="28.738790000000002"/>
    <n v="0"/>
    <n v="90567"/>
  </r>
  <r>
    <x v="17"/>
    <m/>
    <s v="Stenvadhallen"/>
    <n v="13534"/>
    <s v="0"/>
    <s v="Stenvadhallen"/>
    <x v="143"/>
    <x v="1"/>
    <x v="3"/>
    <n v="2756.59"/>
    <n v="2"/>
    <s v="2014-11-02"/>
    <n v="0"/>
    <n v="2088"/>
    <n v="1.3201419999999999"/>
    <n v="1"/>
    <x v="5"/>
    <n v="3249.25"/>
    <n v="409.4"/>
    <n v="0"/>
    <s v="608636"/>
    <m/>
    <n v="2.7565900000000001"/>
    <n v="0"/>
    <n v="90568"/>
  </r>
  <r>
    <x v="17"/>
    <m/>
    <s v="Stenvadhallen"/>
    <n v="13534"/>
    <s v="0"/>
    <s v="Stenvadhallen"/>
    <x v="143"/>
    <x v="1"/>
    <x v="4"/>
    <n v="8723.41"/>
    <n v="2"/>
    <s v="2014-11-02"/>
    <n v="0"/>
    <n v="2088"/>
    <n v="4.1776780000000002"/>
    <n v="1"/>
    <x v="5"/>
    <n v="10916.88"/>
    <n v="1375.54"/>
    <n v="0"/>
    <s v="6506368"/>
    <m/>
    <n v="8.7234099999999994"/>
    <n v="0"/>
    <n v="90566"/>
  </r>
  <r>
    <x v="17"/>
    <m/>
    <s v="Stenvadhallen"/>
    <n v="13534"/>
    <s v="0"/>
    <s v="Stenvadhallen"/>
    <x v="143"/>
    <x v="1"/>
    <x v="4"/>
    <n v="5293.01"/>
    <n v="2"/>
    <s v="2014-11-02"/>
    <n v="0"/>
    <n v="2088"/>
    <n v="2.5348449999999998"/>
    <n v="1"/>
    <x v="5"/>
    <n v="6569.4"/>
    <n v="827.75"/>
    <n v="0"/>
    <s v="608636"/>
    <m/>
    <n v="5.2930099999999998"/>
    <n v="0"/>
    <n v="90568"/>
  </r>
  <r>
    <x v="17"/>
    <m/>
    <s v="Stenvadhallen"/>
    <n v="13534"/>
    <s v="0"/>
    <s v="Stenvadhallen"/>
    <x v="143"/>
    <x v="1"/>
    <x v="4"/>
    <n v="138449.85999999999"/>
    <n v="2"/>
    <s v="2014-11-02"/>
    <n v="0"/>
    <n v="2088"/>
    <n v="66.304227999999995"/>
    <n v="1"/>
    <x v="5"/>
    <n v="177426.41"/>
    <n v="22355.73"/>
    <n v="0"/>
    <s v="6508842"/>
    <m/>
    <n v="138.44986"/>
    <n v="0"/>
    <n v="90565"/>
  </r>
  <r>
    <x v="17"/>
    <m/>
    <s v="Stenvadhallen"/>
    <n v="13534"/>
    <s v="0"/>
    <s v="Stenvadhallen"/>
    <x v="143"/>
    <x v="1"/>
    <x v="4"/>
    <n v="45856.23"/>
    <n v="2"/>
    <s v="2014-11-02"/>
    <n v="0"/>
    <n v="2088"/>
    <n v="21.960743999999998"/>
    <n v="1"/>
    <x v="5"/>
    <n v="56930.57"/>
    <n v="7173.23"/>
    <n v="0"/>
    <s v="6506369"/>
    <m/>
    <n v="45.856229999999996"/>
    <n v="0"/>
    <n v="90567"/>
  </r>
  <r>
    <x v="17"/>
    <m/>
    <s v="Stenvadhallen"/>
    <n v="13534"/>
    <s v="0"/>
    <s v="Stenvadhallen"/>
    <x v="143"/>
    <x v="1"/>
    <x v="5"/>
    <n v="48904.68"/>
    <n v="1"/>
    <s v="2014-11-02"/>
    <n v="0"/>
    <n v="2088"/>
    <n v="23.420659000000001"/>
    <n v="1"/>
    <x v="5"/>
    <n v="84915.11"/>
    <n v="10699.31"/>
    <n v="0"/>
    <s v="6508842"/>
    <m/>
    <n v="48.904679999999999"/>
    <n v="0"/>
    <n v="90565"/>
  </r>
  <r>
    <x v="17"/>
    <m/>
    <s v="Stenvadhallen"/>
    <n v="13534"/>
    <s v="0"/>
    <s v="Stenvadhallen"/>
    <x v="143"/>
    <x v="1"/>
    <x v="5"/>
    <n v="1902.94"/>
    <n v="1"/>
    <s v="2014-11-02"/>
    <n v="0"/>
    <n v="2088"/>
    <n v="0.91132599999999997"/>
    <n v="1"/>
    <x v="5"/>
    <n v="3304.15"/>
    <n v="416.32"/>
    <n v="0"/>
    <s v="6506368"/>
    <m/>
    <n v="1.9029400000000001"/>
    <n v="0"/>
    <n v="90566"/>
  </r>
  <r>
    <x v="17"/>
    <m/>
    <s v="Stenvadhallen"/>
    <n v="13534"/>
    <s v="0"/>
    <s v="Stenvadhallen"/>
    <x v="143"/>
    <x v="1"/>
    <x v="5"/>
    <n v="1488.83"/>
    <n v="1"/>
    <s v="2014-11-02"/>
    <n v="0"/>
    <n v="2088"/>
    <n v="0.71300699999999995"/>
    <n v="1"/>
    <x v="5"/>
    <n v="2585.11"/>
    <n v="325.72000000000003"/>
    <n v="0"/>
    <s v="608636"/>
    <m/>
    <n v="1.4888300000000001"/>
    <n v="0"/>
    <n v="90568"/>
  </r>
  <r>
    <x v="17"/>
    <m/>
    <s v="Stenvadhallen"/>
    <n v="13534"/>
    <s v="0"/>
    <s v="Stenvadhallen"/>
    <x v="143"/>
    <x v="1"/>
    <x v="5"/>
    <n v="15144.68"/>
    <n v="1"/>
    <s v="2014-11-02"/>
    <n v="0"/>
    <n v="2088"/>
    <n v="7.2528509999999997"/>
    <n v="1"/>
    <x v="5"/>
    <n v="26296.29"/>
    <n v="3313.33"/>
    <n v="0"/>
    <s v="6506369"/>
    <m/>
    <n v="15.144679999999999"/>
    <n v="0"/>
    <n v="90567"/>
  </r>
  <r>
    <x v="17"/>
    <m/>
    <s v="Ballerupvej 29 - Udlejet"/>
    <n v="10275"/>
    <m/>
    <s v="Ballerupvej 29"/>
    <x v="125"/>
    <x v="1"/>
    <x v="0"/>
    <n v="1719.35"/>
    <n v="5"/>
    <m/>
    <n v="0"/>
    <n v="551"/>
    <n v="3.1198510000000002"/>
    <n v="2"/>
    <x v="2"/>
    <n v="1719.35"/>
    <n v="515.82000000000005"/>
    <n v="0"/>
    <s v="814920"/>
    <s v="74110485982"/>
    <n v="1719.3642"/>
    <n v="0"/>
    <n v="92619"/>
  </r>
  <r>
    <x v="17"/>
    <m/>
    <s v="Ballerupvej 29 - Udlejet"/>
    <n v="10275"/>
    <m/>
    <s v="Ballerupvej 29"/>
    <x v="125"/>
    <x v="1"/>
    <x v="1"/>
    <n v="12678.82"/>
    <n v="12"/>
    <m/>
    <n v="0"/>
    <n v="551"/>
    <n v="23.006387"/>
    <n v="2"/>
    <x v="2"/>
    <n v="12678.82"/>
    <n v="3803.65"/>
    <n v="0"/>
    <s v="814920"/>
    <s v="74110485982"/>
    <n v="12678.8228"/>
    <n v="0"/>
    <n v="92619"/>
  </r>
  <r>
    <x v="17"/>
    <m/>
    <s v="Ballerupvej 29 - Udlejet"/>
    <n v="10275"/>
    <m/>
    <s v="Ballerupvej 29"/>
    <x v="125"/>
    <x v="1"/>
    <x v="2"/>
    <n v="8204.51"/>
    <n v="12"/>
    <m/>
    <n v="0"/>
    <n v="551"/>
    <n v="14.887515"/>
    <n v="2"/>
    <x v="2"/>
    <n v="8204.51"/>
    <n v="3281.8"/>
    <n v="0"/>
    <s v="814920"/>
    <s v="74110485982"/>
    <n v="8204.4969000000001"/>
    <n v="0"/>
    <n v="92619"/>
  </r>
  <r>
    <x v="17"/>
    <m/>
    <s v="Ballerupvej 29 - Udlejet"/>
    <n v="10275"/>
    <m/>
    <s v="Ballerupvej 29"/>
    <x v="125"/>
    <x v="1"/>
    <x v="3"/>
    <n v="225.5"/>
    <n v="1"/>
    <m/>
    <n v="0"/>
    <n v="551"/>
    <n v="0.40918100000000002"/>
    <n v="2"/>
    <x v="2"/>
    <n v="225.5"/>
    <n v="105.75"/>
    <n v="0"/>
    <s v="814920"/>
    <s v="74110485982"/>
    <n v="225.49629999999999"/>
    <n v="0"/>
    <n v="92619"/>
  </r>
  <r>
    <x v="17"/>
    <m/>
    <s v="Ballerupvej 29 - Udlejet"/>
    <n v="10275"/>
    <m/>
    <s v="Ballerupvej 29"/>
    <x v="125"/>
    <x v="1"/>
    <x v="3"/>
    <n v="5725.5"/>
    <n v="3"/>
    <s v="2011-11-29"/>
    <n v="0"/>
    <n v="551"/>
    <n v="10.389220999999999"/>
    <n v="2"/>
    <x v="2"/>
    <n v="5725.5"/>
    <n v="2685.26"/>
    <n v="0"/>
    <s v="814920 AFMELDT"/>
    <m/>
    <n v="5725.5000099999997"/>
    <n v="0"/>
    <n v="77668"/>
  </r>
  <r>
    <x v="17"/>
    <m/>
    <s v="Ballerupvej 29 - Udlejet"/>
    <n v="10275"/>
    <m/>
    <s v="Ballerupvej 29"/>
    <x v="125"/>
    <x v="1"/>
    <x v="4"/>
    <n v="19809.09"/>
    <n v="3"/>
    <s v="2011-11-29"/>
    <n v="0"/>
    <n v="551"/>
    <n v="35.944637"/>
    <n v="2"/>
    <x v="2"/>
    <n v="19809.09"/>
    <n v="9290.4599999999991"/>
    <n v="0"/>
    <s v="814920 AFMELDT"/>
    <m/>
    <n v="19809.09"/>
    <n v="0"/>
    <n v="77668"/>
  </r>
  <r>
    <x v="17"/>
    <m/>
    <s v="Ballerupvej 29 - Udlejet"/>
    <n v="10275"/>
    <m/>
    <s v="Ballerupvej 29"/>
    <x v="125"/>
    <x v="1"/>
    <x v="5"/>
    <n v="20849.23"/>
    <n v="2"/>
    <s v="2011-11-29"/>
    <n v="0"/>
    <n v="551"/>
    <n v="37.832025999999999"/>
    <n v="2"/>
    <x v="2"/>
    <n v="20849.23"/>
    <n v="9778.26"/>
    <n v="0"/>
    <s v="814920 AFMELDT"/>
    <m/>
    <n v="20849.228190000002"/>
    <n v="0"/>
    <n v="77668"/>
  </r>
  <r>
    <x v="17"/>
    <m/>
    <s v="Ballerupvej 29 - Udlejet"/>
    <n v="10275"/>
    <m/>
    <s v="Ballerupvej 29"/>
    <x v="125"/>
    <x v="1"/>
    <x v="6"/>
    <n v="20190.86"/>
    <n v="4"/>
    <s v="2011-11-29"/>
    <n v="0"/>
    <n v="551"/>
    <n v="36.637379000000003"/>
    <n v="2"/>
    <x v="2"/>
    <n v="20190.86"/>
    <n v="9469.5400000000009"/>
    <n v="0"/>
    <s v="814920 AFMELDT"/>
    <m/>
    <n v="20190.850480000001"/>
    <n v="0"/>
    <n v="77668"/>
  </r>
  <r>
    <x v="17"/>
    <s v="02561-5"/>
    <s v="Farum Park"/>
    <n v="6026"/>
    <m/>
    <s v="Bimåler F.K."/>
    <x v="132"/>
    <x v="1"/>
    <x v="0"/>
    <n v="1057.9100000000001"/>
    <n v="5"/>
    <s v="2015-05-04"/>
    <n v="0"/>
    <n v="0"/>
    <n v="10579.1"/>
    <n v="2"/>
    <x v="2"/>
    <n v="1057.9100000000001"/>
    <n v="423.17"/>
    <n v="1"/>
    <s v="Trc BK 31000018112"/>
    <m/>
    <n v="1057.9142899999999"/>
    <n v="0"/>
    <n v="60555"/>
  </r>
  <r>
    <x v="17"/>
    <s v="02561-5"/>
    <s v="Farum Park"/>
    <n v="6026"/>
    <m/>
    <s v="Bimåler F.K."/>
    <x v="132"/>
    <x v="1"/>
    <x v="0"/>
    <n v="5438.63"/>
    <n v="5"/>
    <s v="2015-05-04"/>
    <n v="0"/>
    <n v="0"/>
    <n v="54386.3"/>
    <n v="2"/>
    <x v="2"/>
    <n v="5438.63"/>
    <n v="1631.58"/>
    <n v="1"/>
    <s v="Trænings lys D"/>
    <m/>
    <n v="5438.6285699999999"/>
    <n v="0"/>
    <n v="93454"/>
  </r>
  <r>
    <x v="17"/>
    <s v="02561-5"/>
    <s v="Farum Park"/>
    <n v="6026"/>
    <m/>
    <s v="Bimåler F.K."/>
    <x v="132"/>
    <x v="1"/>
    <x v="0"/>
    <n v="5411.26"/>
    <n v="5"/>
    <s v="2015-05-04"/>
    <n v="0"/>
    <n v="0"/>
    <n v="54112.6"/>
    <n v="2"/>
    <x v="2"/>
    <n v="5411.26"/>
    <n v="1623.38"/>
    <n v="1"/>
    <s v="Trænings lys B"/>
    <m/>
    <n v="5411.2571399999997"/>
    <n v="0"/>
    <n v="93455"/>
  </r>
  <r>
    <x v="17"/>
    <s v="02561-5"/>
    <s v="Farum Park"/>
    <n v="6026"/>
    <m/>
    <s v="Bimåler F.K."/>
    <x v="132"/>
    <x v="1"/>
    <x v="0"/>
    <n v="5436.69"/>
    <n v="5"/>
    <s v="2015-05-04"/>
    <n v="0"/>
    <n v="0"/>
    <n v="54366.9"/>
    <n v="2"/>
    <x v="2"/>
    <n v="5436.69"/>
    <n v="1631.01"/>
    <n v="1"/>
    <s v="Trænings lys C"/>
    <m/>
    <n v="5436.6857099999997"/>
    <n v="0"/>
    <n v="93457"/>
  </r>
  <r>
    <x v="17"/>
    <s v="02561-5"/>
    <s v="Farum Park"/>
    <n v="6026"/>
    <m/>
    <s v="Bimåler F.K."/>
    <x v="132"/>
    <x v="1"/>
    <x v="0"/>
    <n v="10529.71"/>
    <n v="5"/>
    <s v="2015-05-04"/>
    <n v="0"/>
    <n v="0"/>
    <n v="105297.1"/>
    <n v="2"/>
    <x v="2"/>
    <n v="10529.71"/>
    <n v="3158.9"/>
    <n v="1"/>
    <s v="EL tribune D 369785"/>
    <m/>
    <n v="10529.71429"/>
    <n v="0"/>
    <n v="95436"/>
  </r>
  <r>
    <x v="17"/>
    <s v="02561-5"/>
    <s v="Farum Park"/>
    <n v="6026"/>
    <m/>
    <s v="Bimåler F.K."/>
    <x v="132"/>
    <x v="1"/>
    <x v="0"/>
    <n v="3172"/>
    <n v="4"/>
    <s v="2015-05-04"/>
    <n v="0"/>
    <n v="0"/>
    <n v="31720"/>
    <n v="2"/>
    <x v="2"/>
    <n v="3172"/>
    <n v="951.6"/>
    <n v="1"/>
    <s v="P15 Master"/>
    <m/>
    <n v="3172"/>
    <n v="0"/>
    <n v="97266"/>
  </r>
  <r>
    <x v="17"/>
    <s v="02561-5"/>
    <s v="Farum Park"/>
    <n v="6026"/>
    <m/>
    <s v="Bimåler F.K."/>
    <x v="132"/>
    <x v="1"/>
    <x v="1"/>
    <n v="483.24"/>
    <n v="3"/>
    <s v="2013-02-27"/>
    <n v="0"/>
    <n v="0"/>
    <n v="4832.3999999999996"/>
    <n v="2"/>
    <x v="2"/>
    <n v="483.24"/>
    <n v="193.29"/>
    <n v="1"/>
    <s v="Maste P15"/>
    <m/>
    <n v="483.23529000000002"/>
    <n v="0"/>
    <n v="60553"/>
  </r>
  <r>
    <x v="17"/>
    <s v="02561-5"/>
    <s v="Farum Park"/>
    <n v="6026"/>
    <m/>
    <s v="Bimåler F.K."/>
    <x v="132"/>
    <x v="1"/>
    <x v="1"/>
    <n v="7736.5"/>
    <n v="12"/>
    <s v="2015-05-04"/>
    <n v="0"/>
    <n v="0"/>
    <n v="77365"/>
    <n v="2"/>
    <x v="2"/>
    <n v="7736.5"/>
    <n v="2320.94"/>
    <n v="1"/>
    <s v="Trænings lys B"/>
    <m/>
    <n v="7736.48855"/>
    <n v="0"/>
    <n v="93455"/>
  </r>
  <r>
    <x v="17"/>
    <s v="02561-5"/>
    <s v="Farum Park"/>
    <n v="6026"/>
    <m/>
    <s v="Bimåler F.K."/>
    <x v="132"/>
    <x v="1"/>
    <x v="1"/>
    <n v="5550.59"/>
    <n v="12"/>
    <s v="2015-05-04"/>
    <n v="0"/>
    <n v="0"/>
    <n v="55505.9"/>
    <n v="2"/>
    <x v="2"/>
    <n v="5550.59"/>
    <n v="2220.2199999999998"/>
    <n v="1"/>
    <s v="Trc BK 31000018112"/>
    <m/>
    <n v="5550.5834800000002"/>
    <n v="0"/>
    <n v="60555"/>
  </r>
  <r>
    <x v="17"/>
    <s v="02561-5"/>
    <s v="Farum Park"/>
    <n v="6026"/>
    <m/>
    <s v="Bimåler F.K."/>
    <x v="132"/>
    <x v="1"/>
    <x v="1"/>
    <n v="2836.38"/>
    <n v="3"/>
    <s v="2013-02-27"/>
    <n v="0"/>
    <n v="0"/>
    <n v="28363.8"/>
    <n v="2"/>
    <x v="2"/>
    <n v="2836.38"/>
    <n v="850.91"/>
    <n v="1"/>
    <s v="Trænings lys A"/>
    <m/>
    <n v="2836.3809500000002"/>
    <n v="0"/>
    <n v="93435"/>
  </r>
  <r>
    <x v="17"/>
    <s v="02561-5"/>
    <s v="Farum Park"/>
    <n v="6026"/>
    <m/>
    <s v="Bimåler F.K."/>
    <x v="132"/>
    <x v="1"/>
    <x v="1"/>
    <n v="7661.04"/>
    <n v="12"/>
    <s v="2015-05-04"/>
    <n v="0"/>
    <n v="0"/>
    <n v="76610.399999999994"/>
    <n v="2"/>
    <x v="2"/>
    <n v="7661.04"/>
    <n v="2298.3200000000002"/>
    <n v="1"/>
    <s v="Trænings lys D"/>
    <m/>
    <n v="7661.0308500000001"/>
    <n v="0"/>
    <n v="93454"/>
  </r>
  <r>
    <x v="17"/>
    <s v="02561-5"/>
    <s v="Farum Park"/>
    <n v="6026"/>
    <m/>
    <s v="Bimåler F.K."/>
    <x v="132"/>
    <x v="1"/>
    <x v="1"/>
    <n v="11067.84"/>
    <n v="12"/>
    <s v="2015-05-04"/>
    <n v="0"/>
    <n v="0"/>
    <n v="110678.39999999999"/>
    <n v="2"/>
    <x v="2"/>
    <n v="11067.84"/>
    <n v="3320.36"/>
    <n v="1"/>
    <s v="Trænings lys C"/>
    <m/>
    <n v="11067.84058"/>
    <n v="0"/>
    <n v="93457"/>
  </r>
  <r>
    <x v="17"/>
    <s v="02561-5"/>
    <s v="Farum Park"/>
    <n v="6026"/>
    <m/>
    <s v="Bimåler F.K."/>
    <x v="132"/>
    <x v="1"/>
    <x v="2"/>
    <n v="14929.49"/>
    <n v="12"/>
    <s v="2013-02-27"/>
    <n v="0"/>
    <n v="0"/>
    <n v="149294.9"/>
    <n v="2"/>
    <x v="2"/>
    <n v="14929.49"/>
    <n v="5971.81"/>
    <n v="1"/>
    <s v="Maste P15"/>
    <m/>
    <n v="14929.491980000001"/>
    <n v="0"/>
    <n v="60553"/>
  </r>
  <r>
    <x v="17"/>
    <s v="02561-5"/>
    <s v="Farum Park"/>
    <n v="6026"/>
    <m/>
    <s v="Bimåler F.K."/>
    <x v="132"/>
    <x v="1"/>
    <x v="2"/>
    <n v="3692.72"/>
    <n v="11"/>
    <s v="2015-05-04"/>
    <n v="0"/>
    <n v="0"/>
    <n v="36927.199999999997"/>
    <n v="2"/>
    <x v="2"/>
    <n v="3692.72"/>
    <n v="1477.11"/>
    <n v="1"/>
    <s v="Trc BK 31000018112"/>
    <m/>
    <n v="3692.7263899999998"/>
    <n v="0"/>
    <n v="60555"/>
  </r>
  <r>
    <x v="17"/>
    <s v="02561-5"/>
    <s v="Farum Park"/>
    <n v="6026"/>
    <m/>
    <s v="Bimåler F.K."/>
    <x v="132"/>
    <x v="1"/>
    <x v="2"/>
    <n v="2386.89"/>
    <n v="1"/>
    <s v="2015-05-04"/>
    <n v="0"/>
    <n v="0"/>
    <n v="23868.9"/>
    <n v="2"/>
    <x v="2"/>
    <n v="2386.89"/>
    <n v="954.76"/>
    <n v="1"/>
    <s v="Trænings lys B"/>
    <m/>
    <n v="2386.8985499999999"/>
    <n v="0"/>
    <n v="93455"/>
  </r>
  <r>
    <x v="17"/>
    <s v="02561-5"/>
    <s v="Farum Park"/>
    <n v="6026"/>
    <m/>
    <s v="Bimåler F.K."/>
    <x v="132"/>
    <x v="1"/>
    <x v="2"/>
    <n v="3253.16"/>
    <n v="1"/>
    <s v="2015-05-04"/>
    <n v="0"/>
    <n v="0"/>
    <n v="32531.599999999999"/>
    <n v="2"/>
    <x v="2"/>
    <n v="3253.16"/>
    <n v="1301.26"/>
    <n v="1"/>
    <s v="Trænings lys C"/>
    <m/>
    <n v="3253.15942"/>
    <n v="0"/>
    <n v="93457"/>
  </r>
  <r>
    <x v="17"/>
    <s v="02561-5"/>
    <s v="Farum Park"/>
    <n v="6026"/>
    <m/>
    <s v="Bimåler F.K."/>
    <x v="132"/>
    <x v="1"/>
    <x v="2"/>
    <n v="2589.62"/>
    <n v="2"/>
    <s v="2013-02-27"/>
    <n v="0"/>
    <n v="0"/>
    <n v="25896.2"/>
    <n v="2"/>
    <x v="2"/>
    <n v="2589.62"/>
    <n v="1035.8499999999999"/>
    <n v="1"/>
    <s v="Trænings lys A"/>
    <m/>
    <n v="2589.6190499999998"/>
    <n v="0"/>
    <n v="93435"/>
  </r>
  <r>
    <x v="17"/>
    <s v="02561-5"/>
    <s v="Farum Park"/>
    <n v="6026"/>
    <m/>
    <s v="Bimåler F.K."/>
    <x v="132"/>
    <x v="1"/>
    <x v="2"/>
    <n v="2235.14"/>
    <n v="1"/>
    <s v="2015-05-04"/>
    <n v="0"/>
    <n v="0"/>
    <n v="22351.4"/>
    <n v="2"/>
    <x v="2"/>
    <n v="2235.14"/>
    <n v="894.04"/>
    <n v="1"/>
    <s v="Trænings lys D"/>
    <m/>
    <n v="2235.1304399999999"/>
    <n v="0"/>
    <n v="93454"/>
  </r>
  <r>
    <x v="17"/>
    <s v="02561-5"/>
    <s v="Farum Park"/>
    <n v="6026"/>
    <m/>
    <s v="Bimåler F.K."/>
    <x v="132"/>
    <x v="1"/>
    <x v="3"/>
    <n v="18260.62"/>
    <n v="12"/>
    <s v="2013-02-27"/>
    <n v="0"/>
    <n v="0"/>
    <n v="182606.2"/>
    <n v="2"/>
    <x v="2"/>
    <n v="18260.62"/>
    <n v="8564.2199999999993"/>
    <n v="1"/>
    <s v="Maste P15"/>
    <m/>
    <n v="18260.606070000002"/>
    <n v="0"/>
    <n v="60553"/>
  </r>
  <r>
    <x v="17"/>
    <s v="02561-5"/>
    <s v="Farum Park"/>
    <n v="6026"/>
    <m/>
    <s v="Bimåler F.K."/>
    <x v="132"/>
    <x v="1"/>
    <x v="3"/>
    <n v="3619.88"/>
    <n v="12"/>
    <s v="2015-05-04"/>
    <n v="0"/>
    <n v="0"/>
    <n v="36198.800000000003"/>
    <n v="2"/>
    <x v="2"/>
    <n v="3619.88"/>
    <n v="1697.73"/>
    <n v="1"/>
    <s v="Trc BK 31000018112"/>
    <m/>
    <n v="3619.87878"/>
    <n v="0"/>
    <n v="60555"/>
  </r>
  <r>
    <x v="17"/>
    <s v="02561-5"/>
    <s v="Farum Park"/>
    <n v="6026"/>
    <m/>
    <s v="Bimåler F.K."/>
    <x v="132"/>
    <x v="1"/>
    <x v="4"/>
    <n v="20919.61"/>
    <n v="12"/>
    <s v="2013-02-27"/>
    <n v="0"/>
    <n v="0"/>
    <n v="209196.1"/>
    <n v="2"/>
    <x v="2"/>
    <n v="20919.61"/>
    <n v="9811.2999999999993"/>
    <n v="1"/>
    <s v="Maste P15"/>
    <m/>
    <n v="20919.60786"/>
    <n v="0"/>
    <n v="60553"/>
  </r>
  <r>
    <x v="17"/>
    <s v="02561-5"/>
    <s v="Farum Park"/>
    <n v="6026"/>
    <m/>
    <s v="Bimåler F.K."/>
    <x v="132"/>
    <x v="1"/>
    <x v="4"/>
    <n v="767.16"/>
    <n v="12"/>
    <s v="2015-05-04"/>
    <n v="0"/>
    <n v="0"/>
    <n v="7671.6"/>
    <n v="2"/>
    <x v="2"/>
    <n v="767.16"/>
    <n v="359.8"/>
    <n v="1"/>
    <s v="Trc BK 31000018112"/>
    <m/>
    <n v="767.15953000000002"/>
    <n v="0"/>
    <n v="60555"/>
  </r>
  <r>
    <x v="17"/>
    <s v="02561-5"/>
    <s v="Farum Park"/>
    <n v="6026"/>
    <m/>
    <s v="Bimåler F.K."/>
    <x v="132"/>
    <x v="1"/>
    <x v="5"/>
    <n v="28833.94"/>
    <n v="12"/>
    <s v="2013-02-27"/>
    <n v="0"/>
    <n v="0"/>
    <n v="288339.40000000002"/>
    <n v="2"/>
    <x v="2"/>
    <n v="28833.94"/>
    <n v="13523.12"/>
    <n v="1"/>
    <s v="Maste P15"/>
    <m/>
    <n v="28833.933809999999"/>
    <n v="0"/>
    <n v="60553"/>
  </r>
  <r>
    <x v="17"/>
    <s v="02561-5"/>
    <s v="Farum Park"/>
    <n v="6026"/>
    <m/>
    <s v="Bimåler F.K."/>
    <x v="132"/>
    <x v="1"/>
    <x v="5"/>
    <n v="274.17"/>
    <n v="12"/>
    <s v="2015-05-04"/>
    <n v="0"/>
    <n v="0"/>
    <n v="2741.7"/>
    <n v="2"/>
    <x v="2"/>
    <n v="274.17"/>
    <n v="128.58000000000001"/>
    <n v="1"/>
    <s v="Trc BK 31000018112"/>
    <m/>
    <n v="274.17095999999998"/>
    <n v="0"/>
    <n v="60555"/>
  </r>
  <r>
    <x v="17"/>
    <s v="02561-5"/>
    <s v="Farum Park"/>
    <n v="6026"/>
    <m/>
    <s v="Bimåler F.K."/>
    <x v="132"/>
    <x v="1"/>
    <x v="6"/>
    <n v="21464.35"/>
    <n v="12"/>
    <s v="2013-02-27"/>
    <n v="0"/>
    <n v="0"/>
    <n v="214643.5"/>
    <n v="2"/>
    <x v="2"/>
    <n v="21464.35"/>
    <n v="10066.77"/>
    <n v="1"/>
    <s v="Maste P15"/>
    <m/>
    <n v="21464.33712"/>
    <n v="0"/>
    <n v="60553"/>
  </r>
  <r>
    <x v="17"/>
    <s v="02561-5"/>
    <s v="Farum Park"/>
    <n v="6026"/>
    <m/>
    <s v="Bimåler F.K."/>
    <x v="132"/>
    <x v="1"/>
    <x v="6"/>
    <n v="136.55000000000001"/>
    <n v="12"/>
    <s v="2015-05-04"/>
    <n v="0"/>
    <n v="0"/>
    <n v="1365.5"/>
    <n v="2"/>
    <x v="2"/>
    <n v="136.55000000000001"/>
    <n v="64.040000000000006"/>
    <n v="1"/>
    <s v="Trc BK 31000018112"/>
    <m/>
    <n v="136.54829000000001"/>
    <n v="0"/>
    <n v="60555"/>
  </r>
  <r>
    <x v="17"/>
    <s v="02561-5"/>
    <s v="Farum Park"/>
    <n v="6027"/>
    <m/>
    <s v="Bimåler FCN"/>
    <x v="132"/>
    <x v="1"/>
    <x v="0"/>
    <n v="28144.09"/>
    <n v="5"/>
    <s v="2015-05-04"/>
    <n v="0"/>
    <n v="0"/>
    <n v="281440.90000000002"/>
    <n v="2"/>
    <x v="2"/>
    <n v="28144.09"/>
    <n v="11257.63"/>
    <n v="1"/>
    <s v="Q14 VE01&amp;VE02"/>
    <m/>
    <n v="28144.085709999999"/>
    <n v="0"/>
    <n v="60559"/>
  </r>
  <r>
    <x v="17"/>
    <s v="02561-5"/>
    <s v="Farum Park"/>
    <n v="6027"/>
    <m/>
    <s v="Bimåler FCN"/>
    <x v="132"/>
    <x v="0"/>
    <x v="0"/>
    <n v="13235.01"/>
    <n v="5"/>
    <s v="2015-05-04"/>
    <n v="0"/>
    <n v="0"/>
    <n v="132350.1"/>
    <n v="2"/>
    <x v="2"/>
    <n v="37007"/>
    <n v="5293.99"/>
    <n v="1"/>
    <s v="Vaskeri  og tribune D"/>
    <m/>
    <n v="13234.99999"/>
    <n v="0"/>
    <n v="60561"/>
  </r>
  <r>
    <x v="17"/>
    <s v="02561-5"/>
    <s v="Farum Park"/>
    <n v="6027"/>
    <m/>
    <s v="Bimåler FCN"/>
    <x v="132"/>
    <x v="1"/>
    <x v="0"/>
    <n v="5693.09"/>
    <n v="5"/>
    <s v="2015-05-04"/>
    <n v="0"/>
    <n v="0"/>
    <n v="56930.9"/>
    <n v="2"/>
    <x v="2"/>
    <n v="5693.09"/>
    <n v="2277.23"/>
    <n v="1"/>
    <s v="Eltrc.31100018199"/>
    <m/>
    <n v="5693.0857100000003"/>
    <n v="0"/>
    <n v="60562"/>
  </r>
  <r>
    <x v="17"/>
    <s v="02561-5"/>
    <s v="Farum Park"/>
    <n v="6027"/>
    <m/>
    <s v="Bimåler FCN"/>
    <x v="132"/>
    <x v="1"/>
    <x v="0"/>
    <n v="496.08"/>
    <n v="5"/>
    <s v="2015-05-04"/>
    <n v="0"/>
    <n v="0"/>
    <n v="4960.8"/>
    <n v="2"/>
    <x v="2"/>
    <n v="496.08"/>
    <n v="148.82"/>
    <n v="1"/>
    <s v="St.skærm0300118454"/>
    <m/>
    <n v="496.08571999999998"/>
    <n v="0"/>
    <n v="71007"/>
  </r>
  <r>
    <x v="17"/>
    <s v="02561-5"/>
    <s v="Farum Park"/>
    <n v="6027"/>
    <m/>
    <s v="Bimåler FCN"/>
    <x v="132"/>
    <x v="1"/>
    <x v="0"/>
    <n v="807.8"/>
    <n v="5"/>
    <s v="2015-05-04"/>
    <n v="0"/>
    <n v="0"/>
    <n v="8078"/>
    <n v="2"/>
    <x v="2"/>
    <n v="807.8"/>
    <n v="242.35"/>
    <n v="1"/>
    <s v="bande B 122000320824"/>
    <m/>
    <n v="807.8"/>
    <n v="0"/>
    <n v="92703"/>
  </r>
  <r>
    <x v="17"/>
    <s v="02561-5"/>
    <s v="Farum Park"/>
    <n v="6027"/>
    <m/>
    <s v="Bimåler FCN"/>
    <x v="132"/>
    <x v="1"/>
    <x v="0"/>
    <n v="30495.09"/>
    <n v="2"/>
    <s v="2015-05-04"/>
    <n v="0"/>
    <n v="0"/>
    <n v="304950.90000000002"/>
    <n v="2"/>
    <x v="2"/>
    <n v="30495.09"/>
    <n v="9148.52"/>
    <n v="1"/>
    <s v="Banevarme 487273 -P1"/>
    <m/>
    <n v="30495.093049999999"/>
    <n v="0"/>
    <n v="92732"/>
  </r>
  <r>
    <x v="17"/>
    <s v="02561-5"/>
    <s v="Farum Park"/>
    <n v="6027"/>
    <m/>
    <s v="Bimåler FCN"/>
    <x v="132"/>
    <x v="1"/>
    <x v="0"/>
    <n v="3536.57"/>
    <n v="5"/>
    <s v="2015-05-04"/>
    <n v="0"/>
    <n v="0"/>
    <n v="35365.699999999997"/>
    <n v="2"/>
    <x v="2"/>
    <n v="3536.57"/>
    <n v="1414.63"/>
    <n v="1"/>
    <s v="P30 Suiter"/>
    <m/>
    <n v="3536.57143"/>
    <n v="0"/>
    <n v="60557"/>
  </r>
  <r>
    <x v="17"/>
    <s v="02561-5"/>
    <s v="Farum Park"/>
    <n v="6027"/>
    <m/>
    <s v="Bimåler FCN"/>
    <x v="132"/>
    <x v="1"/>
    <x v="0"/>
    <n v="4729.91"/>
    <n v="5"/>
    <s v="2015-05-04"/>
    <n v="0"/>
    <n v="0"/>
    <n v="47299.1"/>
    <n v="2"/>
    <x v="2"/>
    <n v="4729.91"/>
    <n v="1891.97"/>
    <n v="1"/>
    <s v="P40 Loger"/>
    <m/>
    <n v="4729.9142899999997"/>
    <n v="0"/>
    <n v="60558"/>
  </r>
  <r>
    <x v="17"/>
    <s v="02561-5"/>
    <s v="Farum Park"/>
    <n v="6027"/>
    <m/>
    <s v="Bimåler FCN"/>
    <x v="132"/>
    <x v="1"/>
    <x v="0"/>
    <n v="627.14"/>
    <n v="5"/>
    <s v="2015-05-04"/>
    <n v="0"/>
    <n v="0"/>
    <n v="6271.4"/>
    <n v="2"/>
    <x v="2"/>
    <n v="627.14"/>
    <n v="250.86"/>
    <n v="1"/>
    <s v="Q2 Lys gangareal"/>
    <m/>
    <n v="627.14286000000004"/>
    <n v="0"/>
    <n v="60560"/>
  </r>
  <r>
    <x v="17"/>
    <s v="02561-5"/>
    <s v="Farum Park"/>
    <n v="6027"/>
    <m/>
    <s v="Bimåler FCN"/>
    <x v="132"/>
    <x v="1"/>
    <x v="0"/>
    <n v="147.37"/>
    <n v="5"/>
    <s v="2015-05-04"/>
    <n v="0"/>
    <n v="0"/>
    <n v="1473.7"/>
    <n v="2"/>
    <x v="2"/>
    <n v="147.37"/>
    <n v="58.95"/>
    <n v="1"/>
    <s v="Eltrc.31000018096"/>
    <m/>
    <n v="147.37143"/>
    <n v="0"/>
    <n v="60563"/>
  </r>
  <r>
    <x v="17"/>
    <s v="02561-5"/>
    <s v="Farum Park"/>
    <n v="6027"/>
    <m/>
    <s v="Bimåler FCN"/>
    <x v="132"/>
    <x v="1"/>
    <x v="0"/>
    <n v="86528.66"/>
    <n v="2"/>
    <s v="2015-05-04"/>
    <n v="0"/>
    <n v="0"/>
    <n v="865286.6"/>
    <n v="2"/>
    <x v="2"/>
    <n v="86528.66"/>
    <n v="25958.59"/>
    <n v="1"/>
    <s v="Banevarme 494847 -P2"/>
    <m/>
    <n v="86528.65006"/>
    <n v="0"/>
    <n v="92734"/>
  </r>
  <r>
    <x v="17"/>
    <s v="02561-5"/>
    <s v="Farum Park"/>
    <n v="6027"/>
    <m/>
    <s v="Bimåler FCN"/>
    <x v="132"/>
    <x v="1"/>
    <x v="1"/>
    <n v="15116.56"/>
    <n v="12"/>
    <s v="2015-05-04"/>
    <n v="0"/>
    <n v="0"/>
    <n v="151165.6"/>
    <n v="2"/>
    <x v="2"/>
    <n v="15116.56"/>
    <n v="6046.63"/>
    <n v="1"/>
    <s v="P40 Loger"/>
    <m/>
    <n v="15116.5522"/>
    <n v="0"/>
    <n v="60558"/>
  </r>
  <r>
    <x v="17"/>
    <s v="02561-5"/>
    <s v="Farum Park"/>
    <n v="6027"/>
    <m/>
    <s v="Bimåler FCN"/>
    <x v="132"/>
    <x v="0"/>
    <x v="1"/>
    <n v="46047.73"/>
    <n v="12"/>
    <s v="2015-05-04"/>
    <n v="0"/>
    <n v="0"/>
    <n v="460477.3"/>
    <n v="2"/>
    <x v="2"/>
    <n v="46047.73"/>
    <n v="18419.099999999999"/>
    <n v="1"/>
    <s v="Vaskeri  og tribune D"/>
    <m/>
    <n v="46047.737200000003"/>
    <n v="0"/>
    <n v="60561"/>
  </r>
  <r>
    <x v="17"/>
    <s v="02561-5"/>
    <s v="Farum Park"/>
    <n v="6027"/>
    <m/>
    <s v="Bimåler FCN"/>
    <x v="132"/>
    <x v="1"/>
    <x v="1"/>
    <n v="523.54999999999995"/>
    <n v="12"/>
    <s v="2015-05-04"/>
    <n v="0"/>
    <n v="0"/>
    <n v="5235.5"/>
    <n v="2"/>
    <x v="2"/>
    <n v="523.54999999999995"/>
    <n v="209.42"/>
    <n v="1"/>
    <s v="Eltrc.31000018096"/>
    <m/>
    <n v="523.55123000000003"/>
    <n v="0"/>
    <n v="60563"/>
  </r>
  <r>
    <x v="17"/>
    <s v="02561-5"/>
    <s v="Farum Park"/>
    <n v="6027"/>
    <m/>
    <s v="Bimåler FCN"/>
    <x v="132"/>
    <x v="1"/>
    <x v="1"/>
    <n v="3115.1"/>
    <n v="12"/>
    <s v="2015-05-04"/>
    <n v="0"/>
    <n v="0"/>
    <n v="31151"/>
    <n v="2"/>
    <x v="2"/>
    <n v="3115.1"/>
    <n v="934.53"/>
    <n v="1"/>
    <s v="St.skærm0300118454"/>
    <m/>
    <n v="3115.0844299999999"/>
    <n v="0"/>
    <n v="71007"/>
  </r>
  <r>
    <x v="17"/>
    <s v="02561-5"/>
    <s v="Farum Park"/>
    <n v="6027"/>
    <m/>
    <s v="Bimåler FCN"/>
    <x v="132"/>
    <x v="1"/>
    <x v="1"/>
    <n v="6217.41"/>
    <n v="10"/>
    <s v="2015-05-04"/>
    <n v="0"/>
    <n v="0"/>
    <n v="62174.1"/>
    <n v="2"/>
    <x v="2"/>
    <n v="6217.41"/>
    <n v="1865.22"/>
    <n v="1"/>
    <s v="bande B 122000320824"/>
    <m/>
    <n v="6217.4127099999996"/>
    <n v="0"/>
    <n v="92703"/>
  </r>
  <r>
    <x v="17"/>
    <s v="02561-5"/>
    <s v="Farum Park"/>
    <n v="6027"/>
    <m/>
    <s v="Bimåler FCN"/>
    <x v="132"/>
    <x v="1"/>
    <x v="1"/>
    <n v="344856.38"/>
    <n v="3"/>
    <s v="2015-05-04"/>
    <n v="0"/>
    <n v="0"/>
    <n v="3448563.8"/>
    <n v="2"/>
    <x v="2"/>
    <n v="344856.38"/>
    <n v="103456.9"/>
    <n v="1"/>
    <s v="Banevarme 487273 -P1"/>
    <m/>
    <n v="344856.39556999999"/>
    <n v="0"/>
    <n v="92732"/>
  </r>
  <r>
    <x v="17"/>
    <s v="02561-5"/>
    <s v="Farum Park"/>
    <n v="6027"/>
    <m/>
    <s v="Bimåler FCN"/>
    <x v="132"/>
    <x v="1"/>
    <x v="1"/>
    <n v="215993.83"/>
    <n v="3"/>
    <s v="2015-05-04"/>
    <n v="0"/>
    <n v="0"/>
    <n v="2159938.2999999998"/>
    <n v="2"/>
    <x v="2"/>
    <n v="215993.83"/>
    <n v="64798.14"/>
    <n v="1"/>
    <s v="Banevarme 494847 -P2"/>
    <m/>
    <n v="215993.81813"/>
    <n v="0"/>
    <n v="92734"/>
  </r>
  <r>
    <x v="17"/>
    <s v="02561-5"/>
    <s v="Farum Park"/>
    <n v="6027"/>
    <m/>
    <s v="Bimåler FCN"/>
    <x v="132"/>
    <x v="1"/>
    <x v="1"/>
    <n v="10925.35"/>
    <n v="12"/>
    <s v="2015-05-04"/>
    <n v="0"/>
    <n v="0"/>
    <n v="109253.5"/>
    <n v="2"/>
    <x v="2"/>
    <n v="10925.35"/>
    <n v="4370.1499999999996"/>
    <n v="1"/>
    <s v="P30 Suiter"/>
    <m/>
    <n v="10925.357690000001"/>
    <n v="0"/>
    <n v="60557"/>
  </r>
  <r>
    <x v="17"/>
    <s v="02561-5"/>
    <s v="Farum Park"/>
    <n v="6027"/>
    <m/>
    <s v="Bimåler FCN"/>
    <x v="132"/>
    <x v="1"/>
    <x v="1"/>
    <n v="72430.570000000007"/>
    <n v="12"/>
    <s v="2015-05-04"/>
    <n v="0"/>
    <n v="0"/>
    <n v="724305.7"/>
    <n v="2"/>
    <x v="2"/>
    <n v="72430.570000000007"/>
    <n v="28972.23"/>
    <n v="1"/>
    <s v="Q14 VE01&amp;VE02"/>
    <m/>
    <n v="72430.568299999999"/>
    <n v="0"/>
    <n v="60559"/>
  </r>
  <r>
    <x v="17"/>
    <s v="02561-5"/>
    <s v="Farum Park"/>
    <n v="6027"/>
    <m/>
    <s v="Bimåler FCN"/>
    <x v="132"/>
    <x v="1"/>
    <x v="1"/>
    <n v="3062.4"/>
    <n v="12"/>
    <s v="2015-05-04"/>
    <n v="0"/>
    <n v="0"/>
    <n v="30624"/>
    <n v="2"/>
    <x v="2"/>
    <n v="3062.4"/>
    <n v="1224.98"/>
    <n v="1"/>
    <s v="Q2 Lys gangareal"/>
    <m/>
    <n v="3062.4070400000001"/>
    <n v="0"/>
    <n v="60560"/>
  </r>
  <r>
    <x v="17"/>
    <s v="02561-5"/>
    <s v="Farum Park"/>
    <n v="6027"/>
    <m/>
    <s v="Bimåler FCN"/>
    <x v="132"/>
    <x v="1"/>
    <x v="1"/>
    <n v="16531.810000000001"/>
    <n v="12"/>
    <s v="2015-05-04"/>
    <n v="0"/>
    <n v="0"/>
    <n v="165318.1"/>
    <n v="2"/>
    <x v="2"/>
    <n v="16531.810000000001"/>
    <n v="6612.73"/>
    <n v="1"/>
    <s v="Eltrc.31100018199"/>
    <m/>
    <n v="16531.82732"/>
    <n v="0"/>
    <n v="60562"/>
  </r>
  <r>
    <x v="17"/>
    <s v="02561-5"/>
    <s v="Farum Park"/>
    <n v="6027"/>
    <m/>
    <s v="Bimåler FCN"/>
    <x v="132"/>
    <x v="1"/>
    <x v="2"/>
    <n v="12455.35"/>
    <n v="12"/>
    <s v="2015-05-04"/>
    <n v="0"/>
    <n v="0"/>
    <n v="124553.5"/>
    <n v="2"/>
    <x v="2"/>
    <n v="12455.35"/>
    <n v="4982.1499999999996"/>
    <n v="1"/>
    <s v="P40 Loger"/>
    <m/>
    <n v="12455.34225"/>
    <n v="0"/>
    <n v="60558"/>
  </r>
  <r>
    <x v="17"/>
    <s v="02561-5"/>
    <s v="Farum Park"/>
    <n v="6027"/>
    <m/>
    <s v="Bimåler FCN"/>
    <x v="132"/>
    <x v="1"/>
    <x v="2"/>
    <n v="2898.45"/>
    <n v="12"/>
    <s v="2015-05-04"/>
    <n v="0"/>
    <n v="0"/>
    <n v="28984.5"/>
    <n v="2"/>
    <x v="2"/>
    <n v="2898.45"/>
    <n v="1159.4000000000001"/>
    <n v="1"/>
    <s v="Q2 Lys gangareal"/>
    <m/>
    <n v="2898.4483100000002"/>
    <n v="0"/>
    <n v="60560"/>
  </r>
  <r>
    <x v="17"/>
    <s v="02561-5"/>
    <s v="Farum Park"/>
    <n v="6027"/>
    <m/>
    <s v="Bimåler FCN"/>
    <x v="132"/>
    <x v="0"/>
    <x v="2"/>
    <n v="4456.7299999999996"/>
    <n v="12"/>
    <s v="2015-05-04"/>
    <n v="0"/>
    <n v="0"/>
    <n v="44567.3"/>
    <n v="2"/>
    <x v="2"/>
    <n v="4456.7299999999996"/>
    <n v="1782.71"/>
    <n v="1"/>
    <s v="Vaskeri  og tribune D"/>
    <m/>
    <n v="4456.7388600000004"/>
    <n v="0"/>
    <n v="60561"/>
  </r>
  <r>
    <x v="17"/>
    <s v="02561-5"/>
    <s v="Farum Park"/>
    <n v="6027"/>
    <m/>
    <s v="Bimåler FCN"/>
    <x v="132"/>
    <x v="1"/>
    <x v="2"/>
    <n v="303.45999999999998"/>
    <n v="12"/>
    <s v="2015-05-04"/>
    <n v="0"/>
    <n v="0"/>
    <n v="3034.6"/>
    <n v="2"/>
    <x v="2"/>
    <n v="303.45999999999998"/>
    <n v="121.4"/>
    <n v="1"/>
    <s v="Eltrc.31000018096"/>
    <m/>
    <n v="303.45364999999998"/>
    <n v="0"/>
    <n v="60563"/>
  </r>
  <r>
    <x v="17"/>
    <s v="02561-5"/>
    <s v="Farum Park"/>
    <n v="6027"/>
    <m/>
    <s v="Bimåler FCN"/>
    <x v="132"/>
    <x v="1"/>
    <x v="2"/>
    <n v="3733.27"/>
    <n v="12"/>
    <s v="2015-05-04"/>
    <n v="0"/>
    <n v="0"/>
    <n v="37332.699999999997"/>
    <n v="2"/>
    <x v="2"/>
    <n v="3733.27"/>
    <n v="1493.3"/>
    <n v="1"/>
    <s v="St.skærm0300118454"/>
    <m/>
    <n v="3733.2665000000002"/>
    <n v="0"/>
    <n v="71007"/>
  </r>
  <r>
    <x v="17"/>
    <s v="02561-5"/>
    <s v="Farum Park"/>
    <n v="6027"/>
    <m/>
    <s v="Bimåler FCN"/>
    <x v="132"/>
    <x v="1"/>
    <x v="2"/>
    <n v="55369.11"/>
    <n v="4"/>
    <s v="2015-05-04"/>
    <n v="0"/>
    <n v="0"/>
    <n v="553691.1"/>
    <n v="2"/>
    <x v="2"/>
    <n v="55369.11"/>
    <n v="22147.65"/>
    <n v="1"/>
    <s v="Banevarme 494847 -P2"/>
    <m/>
    <n v="55369.11765"/>
    <n v="0"/>
    <n v="92734"/>
  </r>
  <r>
    <x v="17"/>
    <s v="02561-5"/>
    <s v="Farum Park"/>
    <n v="6027"/>
    <m/>
    <s v="Bimåler FCN"/>
    <x v="132"/>
    <x v="1"/>
    <x v="2"/>
    <n v="13118.56"/>
    <n v="12"/>
    <s v="2015-05-04"/>
    <n v="0"/>
    <n v="0"/>
    <n v="131185.60000000001"/>
    <n v="2"/>
    <x v="2"/>
    <n v="13118.56"/>
    <n v="5247.42"/>
    <n v="1"/>
    <s v="P30 Suiter"/>
    <m/>
    <n v="13118.54457"/>
    <n v="0"/>
    <n v="60557"/>
  </r>
  <r>
    <x v="17"/>
    <s v="02561-5"/>
    <s v="Farum Park"/>
    <n v="6027"/>
    <m/>
    <s v="Bimåler FCN"/>
    <x v="132"/>
    <x v="1"/>
    <x v="2"/>
    <n v="76600.56"/>
    <n v="12"/>
    <s v="2015-05-04"/>
    <n v="0"/>
    <n v="0"/>
    <n v="766005.6"/>
    <n v="2"/>
    <x v="2"/>
    <n v="76600.56"/>
    <n v="30640.25"/>
    <n v="1"/>
    <s v="Q14 VE01&amp;VE02"/>
    <m/>
    <n v="76600.569539999997"/>
    <n v="0"/>
    <n v="60559"/>
  </r>
  <r>
    <x v="17"/>
    <s v="02561-5"/>
    <s v="Farum Park"/>
    <n v="6027"/>
    <m/>
    <s v="Bimåler FCN"/>
    <x v="132"/>
    <x v="1"/>
    <x v="2"/>
    <n v="16625.34"/>
    <n v="12"/>
    <s v="2015-05-04"/>
    <n v="0"/>
    <n v="0"/>
    <n v="166253.4"/>
    <n v="2"/>
    <x v="2"/>
    <n v="16625.34"/>
    <n v="6650.13"/>
    <n v="1"/>
    <s v="Eltrc.31100018199"/>
    <m/>
    <n v="16625.336899999998"/>
    <n v="0"/>
    <n v="60562"/>
  </r>
  <r>
    <x v="17"/>
    <s v="02561-5"/>
    <s v="Farum Park"/>
    <n v="6027"/>
    <m/>
    <s v="Bimåler FCN"/>
    <x v="132"/>
    <x v="1"/>
    <x v="2"/>
    <n v="1194.27"/>
    <n v="5"/>
    <s v="2015-05-04"/>
    <n v="0"/>
    <n v="0"/>
    <n v="11942.7"/>
    <n v="2"/>
    <x v="2"/>
    <n v="1194.27"/>
    <n v="477.71"/>
    <n v="1"/>
    <s v="bande B 122000320824"/>
    <m/>
    <n v="1194.2647099999999"/>
    <n v="0"/>
    <n v="92703"/>
  </r>
  <r>
    <x v="17"/>
    <s v="02561-5"/>
    <s v="Farum Park"/>
    <n v="6027"/>
    <m/>
    <s v="Bimåler FCN"/>
    <x v="132"/>
    <x v="1"/>
    <x v="2"/>
    <n v="182614.43"/>
    <n v="4"/>
    <s v="2015-05-04"/>
    <n v="0"/>
    <n v="0"/>
    <n v="1826144.3"/>
    <n v="2"/>
    <x v="2"/>
    <n v="182614.43"/>
    <n v="73045.759999999995"/>
    <n v="1"/>
    <s v="Banevarme 487273 -P1"/>
    <m/>
    <n v="182614.41175999999"/>
    <n v="0"/>
    <n v="92732"/>
  </r>
  <r>
    <x v="17"/>
    <s v="02561-5"/>
    <s v="Farum Park"/>
    <n v="6027"/>
    <m/>
    <s v="Bimåler FCN"/>
    <x v="132"/>
    <x v="1"/>
    <x v="3"/>
    <n v="10892.88"/>
    <n v="12"/>
    <s v="2015-05-04"/>
    <n v="0"/>
    <n v="0"/>
    <n v="108928.8"/>
    <n v="2"/>
    <x v="2"/>
    <n v="10892.88"/>
    <n v="5108.7700000000004"/>
    <n v="1"/>
    <s v="P30 Suiter"/>
    <m/>
    <n v="10892.878790000001"/>
    <n v="0"/>
    <n v="60557"/>
  </r>
  <r>
    <x v="17"/>
    <s v="02561-5"/>
    <s v="Farum Park"/>
    <n v="6027"/>
    <m/>
    <s v="Bimåler FCN"/>
    <x v="132"/>
    <x v="1"/>
    <x v="3"/>
    <n v="13789.49"/>
    <n v="12"/>
    <s v="2015-05-04"/>
    <n v="0"/>
    <n v="0"/>
    <n v="137894.9"/>
    <n v="2"/>
    <x v="2"/>
    <n v="13789.49"/>
    <n v="6467.28"/>
    <n v="1"/>
    <s v="P40 Loger"/>
    <m/>
    <n v="13789.48486"/>
    <n v="0"/>
    <n v="60558"/>
  </r>
  <r>
    <x v="17"/>
    <s v="02561-5"/>
    <s v="Farum Park"/>
    <n v="6027"/>
    <m/>
    <s v="Bimåler FCN"/>
    <x v="132"/>
    <x v="1"/>
    <x v="3"/>
    <n v="3477.02"/>
    <n v="12"/>
    <s v="2015-05-04"/>
    <n v="0"/>
    <n v="0"/>
    <n v="34770.199999999997"/>
    <n v="2"/>
    <x v="2"/>
    <n v="3477.02"/>
    <n v="1630.72"/>
    <n v="1"/>
    <s v="Q2 Lys gangareal"/>
    <m/>
    <n v="3477"/>
    <n v="0"/>
    <n v="60560"/>
  </r>
  <r>
    <x v="17"/>
    <s v="02561-5"/>
    <s v="Farum Park"/>
    <n v="6027"/>
    <m/>
    <s v="Bimåler FCN"/>
    <x v="132"/>
    <x v="1"/>
    <x v="3"/>
    <n v="474.49"/>
    <n v="12"/>
    <s v="2015-05-04"/>
    <n v="0"/>
    <n v="0"/>
    <n v="4744.8999999999996"/>
    <n v="2"/>
    <x v="2"/>
    <n v="474.49"/>
    <n v="222.54"/>
    <n v="1"/>
    <s v="Eltrc.31000018096"/>
    <m/>
    <n v="474.48484999999999"/>
    <n v="0"/>
    <n v="60563"/>
  </r>
  <r>
    <x v="17"/>
    <s v="02561-5"/>
    <s v="Farum Park"/>
    <n v="6027"/>
    <m/>
    <s v="Bimåler FCN"/>
    <x v="132"/>
    <x v="1"/>
    <x v="3"/>
    <n v="72354.12"/>
    <n v="12"/>
    <s v="2015-05-04"/>
    <n v="0"/>
    <n v="0"/>
    <n v="723541.2"/>
    <n v="2"/>
    <x v="2"/>
    <n v="72354.12"/>
    <n v="33934.07"/>
    <n v="1"/>
    <s v="Q14 VE01&amp;VE02"/>
    <m/>
    <n v="72354.121209999998"/>
    <n v="0"/>
    <n v="60559"/>
  </r>
  <r>
    <x v="17"/>
    <s v="02561-5"/>
    <s v="Farum Park"/>
    <n v="6027"/>
    <m/>
    <s v="Bimåler FCN"/>
    <x v="132"/>
    <x v="0"/>
    <x v="3"/>
    <n v="8149.22"/>
    <n v="12"/>
    <s v="2015-05-04"/>
    <n v="0"/>
    <n v="0"/>
    <n v="81492.2"/>
    <n v="2"/>
    <x v="2"/>
    <n v="8149.22"/>
    <n v="3821.97"/>
    <n v="1"/>
    <s v="Vaskeri  og tribune D"/>
    <m/>
    <n v="8149.2121200000001"/>
    <n v="0"/>
    <n v="60561"/>
  </r>
  <r>
    <x v="17"/>
    <s v="02561-5"/>
    <s v="Farum Park"/>
    <n v="6027"/>
    <m/>
    <s v="Bimåler FCN"/>
    <x v="132"/>
    <x v="1"/>
    <x v="3"/>
    <n v="16673.169999999998"/>
    <n v="12"/>
    <s v="2015-05-04"/>
    <n v="0"/>
    <n v="0"/>
    <n v="166731.70000000001"/>
    <n v="2"/>
    <x v="2"/>
    <n v="16673.169999999998"/>
    <n v="7819.72"/>
    <n v="1"/>
    <s v="Eltrc.31100018199"/>
    <m/>
    <n v="16673.181830000001"/>
    <n v="0"/>
    <n v="60562"/>
  </r>
  <r>
    <x v="17"/>
    <s v="02561-5"/>
    <s v="Farum Park"/>
    <n v="6027"/>
    <m/>
    <s v="Bimåler FCN"/>
    <x v="132"/>
    <x v="1"/>
    <x v="3"/>
    <n v="8599.17"/>
    <n v="12"/>
    <s v="2015-05-04"/>
    <n v="0"/>
    <n v="0"/>
    <n v="85991.7"/>
    <n v="2"/>
    <x v="2"/>
    <n v="8599.17"/>
    <n v="4033.02"/>
    <n v="1"/>
    <s v="St.skærm0300118454"/>
    <m/>
    <n v="8599.1818299999995"/>
    <n v="0"/>
    <n v="71007"/>
  </r>
  <r>
    <x v="17"/>
    <s v="02561-5"/>
    <s v="Farum Park"/>
    <n v="6027"/>
    <m/>
    <s v="Bimåler FCN"/>
    <x v="132"/>
    <x v="1"/>
    <x v="4"/>
    <n v="13834.17"/>
    <n v="12"/>
    <s v="2015-05-04"/>
    <n v="0"/>
    <n v="0"/>
    <n v="138341.70000000001"/>
    <n v="2"/>
    <x v="2"/>
    <n v="13834.17"/>
    <n v="6488.24"/>
    <n v="1"/>
    <s v="P30 Suiter"/>
    <m/>
    <n v="13834.16488"/>
    <n v="0"/>
    <n v="60557"/>
  </r>
  <r>
    <x v="17"/>
    <s v="02561-5"/>
    <s v="Farum Park"/>
    <n v="6027"/>
    <m/>
    <s v="Bimåler FCN"/>
    <x v="132"/>
    <x v="1"/>
    <x v="4"/>
    <n v="2580.46"/>
    <n v="12"/>
    <s v="2015-05-04"/>
    <n v="0"/>
    <n v="0"/>
    <n v="25804.6"/>
    <n v="2"/>
    <x v="2"/>
    <n v="2580.46"/>
    <n v="1210.22"/>
    <n v="1"/>
    <s v="Q2 Lys gangareal"/>
    <m/>
    <n v="2580.4634599999999"/>
    <n v="0"/>
    <n v="60560"/>
  </r>
  <r>
    <x v="17"/>
    <s v="02561-5"/>
    <s v="Farum Park"/>
    <n v="6027"/>
    <m/>
    <s v="Bimåler FCN"/>
    <x v="132"/>
    <x v="1"/>
    <x v="4"/>
    <n v="16755.650000000001"/>
    <n v="12"/>
    <s v="2015-05-04"/>
    <n v="0"/>
    <n v="0"/>
    <n v="167556.5"/>
    <n v="2"/>
    <x v="2"/>
    <n v="16755.650000000001"/>
    <n v="7858.41"/>
    <n v="1"/>
    <s v="Eltrc.31100018199"/>
    <m/>
    <n v="16755.657759999998"/>
    <n v="0"/>
    <n v="60562"/>
  </r>
  <r>
    <x v="17"/>
    <s v="02561-5"/>
    <s v="Farum Park"/>
    <n v="6027"/>
    <m/>
    <s v="Bimåler FCN"/>
    <x v="132"/>
    <x v="1"/>
    <x v="4"/>
    <n v="977.79"/>
    <n v="12"/>
    <s v="2015-05-04"/>
    <n v="0"/>
    <n v="0"/>
    <n v="9777.9"/>
    <n v="2"/>
    <x v="2"/>
    <n v="977.79"/>
    <n v="458.56"/>
    <n v="1"/>
    <s v="Eltrc.31000018096"/>
    <m/>
    <n v="977.79679999999996"/>
    <n v="0"/>
    <n v="60563"/>
  </r>
  <r>
    <x v="17"/>
    <s v="02561-5"/>
    <s v="Farum Park"/>
    <n v="6027"/>
    <m/>
    <s v="Bimåler FCN"/>
    <x v="132"/>
    <x v="1"/>
    <x v="4"/>
    <n v="16443"/>
    <n v="12"/>
    <s v="2015-05-04"/>
    <n v="0"/>
    <n v="0"/>
    <n v="164430"/>
    <n v="2"/>
    <x v="2"/>
    <n v="16443"/>
    <n v="7711.77"/>
    <n v="1"/>
    <s v="P40 Loger"/>
    <m/>
    <n v="16442.996439999999"/>
    <n v="0"/>
    <n v="60558"/>
  </r>
  <r>
    <x v="17"/>
    <s v="02561-5"/>
    <s v="Farum Park"/>
    <n v="6027"/>
    <m/>
    <s v="Bimåler FCN"/>
    <x v="132"/>
    <x v="1"/>
    <x v="4"/>
    <n v="65108.38"/>
    <n v="12"/>
    <s v="2015-05-04"/>
    <n v="0"/>
    <n v="0"/>
    <n v="651083.80000000005"/>
    <n v="2"/>
    <x v="2"/>
    <n v="65108.38"/>
    <n v="30535.83"/>
    <n v="1"/>
    <s v="Q14 VE01&amp;VE02"/>
    <m/>
    <n v="65108.36808"/>
    <n v="0"/>
    <n v="60559"/>
  </r>
  <r>
    <x v="17"/>
    <s v="02561-5"/>
    <s v="Farum Park"/>
    <n v="6027"/>
    <m/>
    <s v="Bimåler FCN"/>
    <x v="132"/>
    <x v="0"/>
    <x v="4"/>
    <n v="8381.65"/>
    <n v="12"/>
    <s v="2015-05-04"/>
    <n v="0"/>
    <n v="0"/>
    <n v="83816.5"/>
    <n v="2"/>
    <x v="2"/>
    <n v="8381.65"/>
    <n v="3930.99"/>
    <n v="1"/>
    <s v="Vaskeri  og tribune D"/>
    <m/>
    <n v="8381.6372599999995"/>
    <n v="0"/>
    <n v="60561"/>
  </r>
  <r>
    <x v="17"/>
    <s v="02561-5"/>
    <s v="Farum Park"/>
    <n v="6027"/>
    <m/>
    <s v="Bimåler FCN"/>
    <x v="132"/>
    <x v="1"/>
    <x v="4"/>
    <n v="6509.14"/>
    <n v="12"/>
    <s v="2015-05-04"/>
    <n v="0"/>
    <n v="0"/>
    <n v="65091.4"/>
    <n v="2"/>
    <x v="2"/>
    <n v="6509.14"/>
    <n v="3052.79"/>
    <n v="1"/>
    <s v="St.skærm0300118454"/>
    <m/>
    <n v="6509.1399199999996"/>
    <n v="0"/>
    <n v="71007"/>
  </r>
  <r>
    <x v="17"/>
    <s v="02561-5"/>
    <s v="Farum Park"/>
    <n v="6027"/>
    <m/>
    <s v="Bimåler FCN"/>
    <x v="132"/>
    <x v="1"/>
    <x v="5"/>
    <n v="15875.17"/>
    <n v="12"/>
    <s v="2015-05-04"/>
    <n v="0"/>
    <n v="0"/>
    <n v="158751.70000000001"/>
    <n v="2"/>
    <x v="2"/>
    <n v="15875.17"/>
    <n v="7445.46"/>
    <n v="1"/>
    <s v="P30 Suiter"/>
    <m/>
    <n v="15875.19119"/>
    <n v="0"/>
    <n v="60557"/>
  </r>
  <r>
    <x v="17"/>
    <s v="02561-5"/>
    <s v="Farum Park"/>
    <n v="6027"/>
    <m/>
    <s v="Bimåler FCN"/>
    <x v="132"/>
    <x v="1"/>
    <x v="5"/>
    <n v="69579.679999999993"/>
    <n v="12"/>
    <s v="2015-05-04"/>
    <n v="0"/>
    <n v="0"/>
    <n v="695796.8"/>
    <n v="2"/>
    <x v="2"/>
    <n v="69579.679999999993"/>
    <n v="32632.87"/>
    <n v="1"/>
    <s v="Q14 VE01&amp;VE02"/>
    <m/>
    <n v="69579.678310000003"/>
    <n v="0"/>
    <n v="60559"/>
  </r>
  <r>
    <x v="17"/>
    <s v="02561-5"/>
    <s v="Farum Park"/>
    <n v="6027"/>
    <m/>
    <s v="Bimåler FCN"/>
    <x v="132"/>
    <x v="1"/>
    <x v="5"/>
    <n v="3117.53"/>
    <n v="12"/>
    <s v="2015-05-04"/>
    <n v="0"/>
    <n v="0"/>
    <n v="31175.3"/>
    <n v="2"/>
    <x v="2"/>
    <n v="3117.53"/>
    <n v="1462.11"/>
    <n v="1"/>
    <s v="Q2 Lys gangareal"/>
    <m/>
    <n v="3117.5128599999998"/>
    <n v="0"/>
    <n v="60560"/>
  </r>
  <r>
    <x v="17"/>
    <s v="02561-5"/>
    <s v="Farum Park"/>
    <n v="6027"/>
    <m/>
    <s v="Bimåler FCN"/>
    <x v="132"/>
    <x v="1"/>
    <x v="5"/>
    <n v="16754.82"/>
    <n v="12"/>
    <s v="2015-05-04"/>
    <n v="0"/>
    <n v="0"/>
    <n v="167548.20000000001"/>
    <n v="2"/>
    <x v="2"/>
    <n v="16754.82"/>
    <n v="7858.01"/>
    <n v="1"/>
    <s v="Eltrc.31100018199"/>
    <m/>
    <n v="16754.830880000001"/>
    <n v="0"/>
    <n v="60562"/>
  </r>
  <r>
    <x v="17"/>
    <s v="02561-5"/>
    <s v="Farum Park"/>
    <n v="6027"/>
    <m/>
    <s v="Bimåler FCN"/>
    <x v="132"/>
    <x v="1"/>
    <x v="5"/>
    <n v="15299.1"/>
    <n v="12"/>
    <s v="2015-05-04"/>
    <n v="0"/>
    <n v="0"/>
    <n v="152991"/>
    <n v="2"/>
    <x v="2"/>
    <n v="15299.1"/>
    <n v="7175.28"/>
    <n v="1"/>
    <s v="P40 Loger"/>
    <m/>
    <n v="15299.10109"/>
    <n v="0"/>
    <n v="60558"/>
  </r>
  <r>
    <x v="17"/>
    <s v="02561-5"/>
    <s v="Farum Park"/>
    <n v="6027"/>
    <m/>
    <s v="Bimåler FCN"/>
    <x v="132"/>
    <x v="0"/>
    <x v="5"/>
    <n v="8352.5400000000009"/>
    <n v="12"/>
    <s v="2015-05-04"/>
    <n v="0"/>
    <n v="0"/>
    <n v="83525.399999999994"/>
    <n v="2"/>
    <x v="2"/>
    <n v="8352.5400000000009"/>
    <n v="3917.34"/>
    <n v="1"/>
    <s v="Vaskeri  og tribune D"/>
    <m/>
    <n v="8352.5294099999992"/>
    <n v="0"/>
    <n v="60561"/>
  </r>
  <r>
    <x v="17"/>
    <s v="02561-5"/>
    <s v="Farum Park"/>
    <n v="6027"/>
    <m/>
    <s v="Bimåler FCN"/>
    <x v="132"/>
    <x v="1"/>
    <x v="5"/>
    <n v="499.14"/>
    <n v="12"/>
    <s v="2015-05-04"/>
    <n v="0"/>
    <n v="0"/>
    <n v="4991.3999999999996"/>
    <n v="2"/>
    <x v="2"/>
    <n v="499.14"/>
    <n v="234.08"/>
    <n v="1"/>
    <s v="Eltrc.31000018096"/>
    <m/>
    <n v="499.13785999999999"/>
    <n v="0"/>
    <n v="60563"/>
  </r>
  <r>
    <x v="17"/>
    <s v="02561-5"/>
    <s v="Farum Park"/>
    <n v="6027"/>
    <m/>
    <s v="Bimåler FCN"/>
    <x v="132"/>
    <x v="1"/>
    <x v="5"/>
    <n v="2566.7600000000002"/>
    <n v="12"/>
    <s v="2015-05-04"/>
    <n v="0"/>
    <n v="0"/>
    <n v="25667.599999999999"/>
    <n v="2"/>
    <x v="2"/>
    <n v="2566.7600000000002"/>
    <n v="1203.8"/>
    <n v="1"/>
    <s v="St.skærm0300118454"/>
    <m/>
    <n v="2566.7426599999999"/>
    <n v="0"/>
    <n v="71007"/>
  </r>
  <r>
    <x v="17"/>
    <s v="02561-5"/>
    <s v="Farum Park"/>
    <n v="6027"/>
    <m/>
    <s v="Bimåler FCN"/>
    <x v="132"/>
    <x v="1"/>
    <x v="6"/>
    <n v="14730.54"/>
    <n v="12"/>
    <s v="2015-05-04"/>
    <n v="0"/>
    <n v="0"/>
    <n v="147305.4"/>
    <n v="2"/>
    <x v="2"/>
    <n v="14730.54"/>
    <n v="6908.63"/>
    <n v="1"/>
    <s v="P30 Suiter"/>
    <m/>
    <n v="14730.52274"/>
    <n v="0"/>
    <n v="60557"/>
  </r>
  <r>
    <x v="17"/>
    <s v="02561-5"/>
    <s v="Farum Park"/>
    <n v="6027"/>
    <m/>
    <s v="Bimåler FCN"/>
    <x v="132"/>
    <x v="1"/>
    <x v="6"/>
    <n v="75484.98"/>
    <n v="12"/>
    <s v="2015-05-04"/>
    <n v="0"/>
    <n v="0"/>
    <n v="754849.8"/>
    <n v="2"/>
    <x v="2"/>
    <n v="75484.98"/>
    <n v="35402.47"/>
    <n v="1"/>
    <s v="Q14 VE01&amp;VE02"/>
    <m/>
    <n v="75484.983909999995"/>
    <n v="0"/>
    <n v="60559"/>
  </r>
  <r>
    <x v="17"/>
    <s v="02561-5"/>
    <s v="Farum Park"/>
    <n v="6027"/>
    <m/>
    <s v="Bimåler FCN"/>
    <x v="132"/>
    <x v="1"/>
    <x v="6"/>
    <n v="15644.95"/>
    <n v="12"/>
    <s v="2015-05-04"/>
    <n v="0"/>
    <n v="0"/>
    <n v="156449.5"/>
    <n v="2"/>
    <x v="2"/>
    <n v="15644.95"/>
    <n v="7337.48"/>
    <n v="1"/>
    <s v="Eltrc.31100018199"/>
    <m/>
    <n v="15644.935589999999"/>
    <n v="0"/>
    <n v="60562"/>
  </r>
  <r>
    <x v="17"/>
    <s v="02561-5"/>
    <s v="Farum Park"/>
    <n v="6027"/>
    <m/>
    <s v="Bimåler FCN"/>
    <x v="132"/>
    <x v="1"/>
    <x v="6"/>
    <n v="17824.86"/>
    <n v="12"/>
    <s v="2015-05-04"/>
    <n v="0"/>
    <n v="0"/>
    <n v="178248.6"/>
    <n v="2"/>
    <x v="2"/>
    <n v="17824.86"/>
    <n v="8359.86"/>
    <n v="1"/>
    <s v="P40 Loger"/>
    <m/>
    <n v="17824.872159999999"/>
    <n v="0"/>
    <n v="60558"/>
  </r>
  <r>
    <x v="17"/>
    <s v="02561-5"/>
    <s v="Farum Park"/>
    <n v="6027"/>
    <m/>
    <s v="Bimåler FCN"/>
    <x v="132"/>
    <x v="1"/>
    <x v="6"/>
    <n v="2803.49"/>
    <n v="12"/>
    <s v="2015-05-04"/>
    <n v="0"/>
    <n v="0"/>
    <n v="28034.9"/>
    <n v="2"/>
    <x v="2"/>
    <n v="2803.49"/>
    <n v="1314.81"/>
    <n v="1"/>
    <s v="Q2 Lys gangareal"/>
    <m/>
    <n v="2803.4782100000002"/>
    <n v="0"/>
    <n v="60560"/>
  </r>
  <r>
    <x v="17"/>
    <s v="02561-5"/>
    <s v="Farum Park"/>
    <n v="6027"/>
    <m/>
    <s v="Bimåler FCN"/>
    <x v="132"/>
    <x v="0"/>
    <x v="6"/>
    <n v="13593.9"/>
    <n v="12"/>
    <s v="2015-05-04"/>
    <n v="0"/>
    <n v="0"/>
    <n v="135939"/>
    <n v="2"/>
    <x v="2"/>
    <n v="13593.9"/>
    <n v="6375.53"/>
    <n v="1"/>
    <s v="Vaskeri  og tribune D"/>
    <m/>
    <n v="13593.89393"/>
    <n v="0"/>
    <n v="60561"/>
  </r>
  <r>
    <x v="17"/>
    <s v="02561-5"/>
    <s v="Farum Park"/>
    <n v="6027"/>
    <m/>
    <s v="Bimåler FCN"/>
    <x v="132"/>
    <x v="1"/>
    <x v="6"/>
    <n v="218.18"/>
    <n v="12"/>
    <s v="2015-05-04"/>
    <n v="0"/>
    <n v="0"/>
    <n v="2181.8000000000002"/>
    <n v="2"/>
    <x v="2"/>
    <n v="218.18"/>
    <n v="102.31"/>
    <n v="1"/>
    <s v="Eltrc.31000018096"/>
    <m/>
    <n v="218.18655000000001"/>
    <n v="0"/>
    <n v="60563"/>
  </r>
  <r>
    <x v="17"/>
    <s v="02561-5"/>
    <s v="Farum Park"/>
    <n v="6027"/>
    <m/>
    <s v="Bimåler FCN"/>
    <x v="132"/>
    <x v="1"/>
    <x v="6"/>
    <n v="10909.37"/>
    <n v="12"/>
    <s v="2015-05-04"/>
    <n v="0"/>
    <n v="0"/>
    <n v="109093.7"/>
    <n v="2"/>
    <x v="2"/>
    <n v="10909.37"/>
    <n v="5116.4799999999996"/>
    <n v="1"/>
    <s v="St.skærm0300118454"/>
    <m/>
    <n v="10909.359850000001"/>
    <n v="0"/>
    <n v="71007"/>
  </r>
  <r>
    <x v="17"/>
    <s v="02561-5"/>
    <s v="Farum Park"/>
    <n v="5468"/>
    <m/>
    <s v="Farum Park"/>
    <x v="132"/>
    <x v="0"/>
    <x v="0"/>
    <n v="262966"/>
    <n v="5"/>
    <m/>
    <n v="0"/>
    <n v="12237"/>
    <n v="14.463167"/>
    <n v="2"/>
    <x v="2"/>
    <n v="176987.23"/>
    <n v="70794.899999999994"/>
    <n v="1"/>
    <s v="800166"/>
    <s v="74114755326"/>
    <n v="176987.23"/>
    <n v="0"/>
    <n v="57824"/>
  </r>
  <r>
    <x v="17"/>
    <s v="02561-5"/>
    <s v="Farum Park"/>
    <n v="5468"/>
    <m/>
    <s v="Farum Park"/>
    <x v="132"/>
    <x v="1"/>
    <x v="0"/>
    <n v="0"/>
    <n v="5"/>
    <m/>
    <n v="0"/>
    <n v="12237"/>
    <n v="0"/>
    <n v="2"/>
    <x v="2"/>
    <n v="0"/>
    <n v="0"/>
    <n v="1"/>
    <s v="1118529"/>
    <s v="74114203506"/>
    <n v="0"/>
    <n v="0"/>
    <n v="57820"/>
  </r>
  <r>
    <x v="17"/>
    <s v="02561-5"/>
    <s v="Farum Park"/>
    <n v="5468"/>
    <m/>
    <s v="Farum Park"/>
    <x v="132"/>
    <x v="1"/>
    <x v="0"/>
    <n v="35.75"/>
    <n v="5"/>
    <s v="2015-05-04"/>
    <n v="0"/>
    <n v="12237"/>
    <n v="2.921E-3"/>
    <n v="2"/>
    <x v="2"/>
    <n v="35.75"/>
    <n v="10.72"/>
    <n v="1"/>
    <s v="dræn 121400315785"/>
    <m/>
    <n v="35.742849999999997"/>
    <n v="0"/>
    <n v="92978"/>
  </r>
  <r>
    <x v="17"/>
    <s v="02561-5"/>
    <s v="Farum Park"/>
    <n v="5468"/>
    <m/>
    <s v="Farum Park"/>
    <x v="132"/>
    <x v="0"/>
    <x v="1"/>
    <n v="393599"/>
    <n v="12"/>
    <m/>
    <n v="0"/>
    <n v="12237"/>
    <n v="32.164400999999998"/>
    <n v="2"/>
    <x v="2"/>
    <n v="393599"/>
    <n v="157439.59"/>
    <n v="1"/>
    <s v="800166"/>
    <s v="74114755326"/>
    <n v="393599"/>
    <n v="0"/>
    <n v="57824"/>
  </r>
  <r>
    <x v="17"/>
    <s v="02561-5"/>
    <s v="Farum Park"/>
    <n v="5468"/>
    <m/>
    <s v="Farum Park"/>
    <x v="132"/>
    <x v="1"/>
    <x v="1"/>
    <n v="350696.5"/>
    <n v="12"/>
    <m/>
    <n v="0"/>
    <n v="12237"/>
    <n v="28.658463999999999"/>
    <n v="2"/>
    <x v="2"/>
    <n v="350696.5"/>
    <n v="140278.6"/>
    <n v="1"/>
    <s v="1118529"/>
    <s v="74114203506"/>
    <n v="350696.5"/>
    <n v="0"/>
    <n v="57820"/>
  </r>
  <r>
    <x v="17"/>
    <s v="02561-5"/>
    <s v="Farum Park"/>
    <n v="5468"/>
    <m/>
    <s v="Farum Park"/>
    <x v="132"/>
    <x v="1"/>
    <x v="1"/>
    <n v="209.9"/>
    <n v="11"/>
    <s v="2015-05-04"/>
    <n v="0"/>
    <n v="12237"/>
    <n v="1.7152000000000001E-2"/>
    <n v="2"/>
    <x v="2"/>
    <n v="209.9"/>
    <n v="62.97"/>
    <n v="1"/>
    <s v="dræn 121400315785"/>
    <m/>
    <n v="209.90701999999999"/>
    <n v="0"/>
    <n v="92978"/>
  </r>
  <r>
    <x v="17"/>
    <s v="02561-5"/>
    <s v="Farum Park"/>
    <n v="5468"/>
    <m/>
    <s v="Farum Park"/>
    <x v="132"/>
    <x v="1"/>
    <x v="2"/>
    <n v="396174.05"/>
    <n v="12"/>
    <m/>
    <n v="0"/>
    <n v="12237"/>
    <n v="32.374831"/>
    <n v="2"/>
    <x v="2"/>
    <n v="396174.05"/>
    <n v="158469.62"/>
    <n v="1"/>
    <s v="1118529"/>
    <s v="74114203506"/>
    <n v="396174.05"/>
    <n v="0"/>
    <n v="57820"/>
  </r>
  <r>
    <x v="17"/>
    <s v="02561-5"/>
    <s v="Farum Park"/>
    <n v="5468"/>
    <m/>
    <s v="Farum Park"/>
    <x v="132"/>
    <x v="0"/>
    <x v="2"/>
    <n v="196184.72"/>
    <n v="12"/>
    <m/>
    <n v="0"/>
    <n v="12237"/>
    <n v="16.031960999999999"/>
    <n v="2"/>
    <x v="2"/>
    <n v="196184.72"/>
    <n v="78473.899999999994"/>
    <n v="1"/>
    <s v="800166"/>
    <s v="74114755326"/>
    <n v="196184.71799999999"/>
    <n v="0"/>
    <n v="57824"/>
  </r>
  <r>
    <x v="17"/>
    <s v="02561-5"/>
    <s v="Farum Park"/>
    <n v="5468"/>
    <m/>
    <s v="Farum Park"/>
    <x v="132"/>
    <x v="1"/>
    <x v="2"/>
    <n v="27.71"/>
    <n v="4"/>
    <s v="2015-05-04"/>
    <n v="0"/>
    <n v="12237"/>
    <n v="2.264E-3"/>
    <n v="2"/>
    <x v="2"/>
    <n v="27.71"/>
    <n v="11.09"/>
    <n v="1"/>
    <s v="dræn 121400315785"/>
    <m/>
    <n v="27.70589"/>
    <n v="0"/>
    <n v="92978"/>
  </r>
  <r>
    <x v="17"/>
    <s v="02561-5"/>
    <s v="Farum Park"/>
    <n v="5468"/>
    <m/>
    <s v="Farum Park"/>
    <x v="132"/>
    <x v="1"/>
    <x v="3"/>
    <n v="192165.4"/>
    <n v="12"/>
    <m/>
    <n v="0"/>
    <n v="12237"/>
    <n v="15.703507999999999"/>
    <n v="2"/>
    <x v="2"/>
    <n v="192165.4"/>
    <n v="90125.57"/>
    <n v="1"/>
    <s v="1118529"/>
    <s v="74114203506"/>
    <n v="192165.4"/>
    <n v="0"/>
    <n v="57820"/>
  </r>
  <r>
    <x v="17"/>
    <s v="02561-5"/>
    <s v="Farum Park"/>
    <n v="5468"/>
    <m/>
    <s v="Farum Park"/>
    <x v="132"/>
    <x v="0"/>
    <x v="3"/>
    <n v="190385.94"/>
    <n v="12"/>
    <m/>
    <n v="0"/>
    <n v="12237"/>
    <n v="15.558093"/>
    <n v="2"/>
    <x v="2"/>
    <n v="190385.94"/>
    <n v="89291.02"/>
    <n v="1"/>
    <s v="800166"/>
    <s v="74114755326"/>
    <n v="190385.94"/>
    <n v="0"/>
    <n v="57824"/>
  </r>
  <r>
    <x v="17"/>
    <s v="02561-5"/>
    <s v="Farum Park"/>
    <n v="5468"/>
    <m/>
    <s v="Farum Park"/>
    <x v="132"/>
    <x v="1"/>
    <x v="4"/>
    <n v="199257.1"/>
    <n v="12"/>
    <m/>
    <n v="0"/>
    <n v="12237"/>
    <n v="16.283031999999999"/>
    <n v="2"/>
    <x v="2"/>
    <n v="199257.1"/>
    <n v="93451.58"/>
    <n v="1"/>
    <s v="1118529"/>
    <s v="74114203506"/>
    <n v="199257.1"/>
    <n v="0"/>
    <n v="57820"/>
  </r>
  <r>
    <x v="17"/>
    <s v="02561-5"/>
    <s v="Farum Park"/>
    <n v="5468"/>
    <m/>
    <s v="Farum Park"/>
    <x v="132"/>
    <x v="0"/>
    <x v="4"/>
    <n v="187328.23"/>
    <n v="12"/>
    <m/>
    <n v="0"/>
    <n v="12237"/>
    <n v="15.30822"/>
    <n v="2"/>
    <x v="2"/>
    <n v="187328.23"/>
    <n v="87856.95"/>
    <n v="1"/>
    <s v="800166"/>
    <s v="74114755326"/>
    <n v="187328.23"/>
    <n v="0"/>
    <n v="57824"/>
  </r>
  <r>
    <x v="17"/>
    <s v="02561-5"/>
    <s v="Farum Park"/>
    <n v="5468"/>
    <m/>
    <s v="Farum Park"/>
    <x v="132"/>
    <x v="1"/>
    <x v="5"/>
    <n v="199762.5"/>
    <n v="12"/>
    <m/>
    <n v="0"/>
    <n v="12237"/>
    <n v="16.324332999999999"/>
    <n v="2"/>
    <x v="2"/>
    <n v="199762.5"/>
    <n v="93688.6"/>
    <n v="1"/>
    <s v="1118529"/>
    <s v="74114203506"/>
    <n v="199762.5"/>
    <n v="0"/>
    <n v="57820"/>
  </r>
  <r>
    <x v="17"/>
    <s v="02561-5"/>
    <s v="Farum Park"/>
    <n v="5468"/>
    <m/>
    <s v="Farum Park"/>
    <x v="132"/>
    <x v="0"/>
    <x v="5"/>
    <n v="183184.93"/>
    <n v="12"/>
    <m/>
    <n v="0"/>
    <n v="12237"/>
    <n v="14.969635"/>
    <n v="2"/>
    <x v="2"/>
    <n v="183184.93"/>
    <n v="85913.73"/>
    <n v="1"/>
    <s v="800166"/>
    <s v="74114755326"/>
    <n v="183184.93"/>
    <n v="0"/>
    <n v="57824"/>
  </r>
  <r>
    <x v="17"/>
    <s v="02561-5"/>
    <s v="Farum Park"/>
    <n v="5468"/>
    <m/>
    <s v="Farum Park"/>
    <x v="132"/>
    <x v="0"/>
    <x v="0"/>
    <n v="150267"/>
    <m/>
    <m/>
    <m/>
    <m/>
    <m/>
    <n v="2"/>
    <x v="2"/>
    <n v="150267"/>
    <m/>
    <m/>
    <s v="1136927"/>
    <m/>
    <m/>
    <m/>
    <m/>
  </r>
  <r>
    <x v="17"/>
    <s v="02561-5"/>
    <s v="Farum Park"/>
    <n v="5468"/>
    <m/>
    <s v="Farum Park"/>
    <x v="132"/>
    <x v="0"/>
    <x v="6"/>
    <n v="129162.33"/>
    <n v="12"/>
    <m/>
    <n v="0"/>
    <n v="12237"/>
    <n v="10.554978"/>
    <n v="2"/>
    <x v="2"/>
    <n v="129162.33"/>
    <n v="60577.120000000003"/>
    <n v="1"/>
    <s v="800166"/>
    <s v="74114755326"/>
    <n v="129162.33"/>
    <n v="0"/>
    <n v="57824"/>
  </r>
  <r>
    <x v="17"/>
    <s v="02561-5"/>
    <s v="Farum Park"/>
    <n v="5468"/>
    <m/>
    <s v="Farum Park"/>
    <x v="132"/>
    <x v="0"/>
    <x v="6"/>
    <n v="65904"/>
    <n v="5"/>
    <s v="2008-05-01"/>
    <n v="0"/>
    <n v="12237"/>
    <n v="5.3855890000000004"/>
    <n v="2"/>
    <x v="2"/>
    <n v="65904"/>
    <n v="30908.97"/>
    <n v="0"/>
    <s v="800166"/>
    <m/>
    <n v="65904"/>
    <n v="0"/>
    <n v="57825"/>
  </r>
  <r>
    <x v="17"/>
    <s v="02561-5"/>
    <s v="Farum Park"/>
    <n v="5468"/>
    <m/>
    <s v="Farum Park"/>
    <x v="132"/>
    <x v="1"/>
    <x v="6"/>
    <n v="118440.35"/>
    <n v="12"/>
    <m/>
    <n v="0"/>
    <n v="12237"/>
    <n v="9.6787919999999996"/>
    <n v="2"/>
    <x v="2"/>
    <n v="118440.35"/>
    <n v="55548.53"/>
    <n v="1"/>
    <s v="1118529"/>
    <s v="74114203506"/>
    <n v="118440.35"/>
    <n v="0"/>
    <n v="57820"/>
  </r>
  <r>
    <x v="17"/>
    <s v="02561-5"/>
    <s v="Farum Park"/>
    <n v="5468"/>
    <m/>
    <s v="Farum Park"/>
    <x v="132"/>
    <x v="1"/>
    <x v="6"/>
    <n v="51420"/>
    <n v="5"/>
    <s v="2008-05-01"/>
    <n v="0"/>
    <n v="12237"/>
    <n v="4.201975"/>
    <n v="2"/>
    <x v="2"/>
    <n v="51420"/>
    <n v="24115.98"/>
    <n v="0"/>
    <s v="741426"/>
    <m/>
    <n v="51420"/>
    <n v="0"/>
    <n v="57823"/>
  </r>
  <r>
    <x v="17"/>
    <s v="04310-9"/>
    <s v="Fuglsang, Farum Hovedgade 84"/>
    <n v="5954"/>
    <m/>
    <s v="Fuglsang"/>
    <x v="135"/>
    <x v="1"/>
    <x v="0"/>
    <n v="7829.26"/>
    <n v="5"/>
    <s v="2011-11-30"/>
    <n v="0"/>
    <n v="475"/>
    <n v="16.479182999999999"/>
    <n v="2"/>
    <x v="2"/>
    <n v="7829.26"/>
    <n v="3131.7"/>
    <n v="0"/>
    <s v="059999"/>
    <m/>
    <n v="7829.2518"/>
    <n v="0"/>
    <n v="59980"/>
  </r>
  <r>
    <x v="17"/>
    <s v="04310-9"/>
    <s v="Fuglsang, Farum Hovedgade 84"/>
    <n v="5954"/>
    <m/>
    <s v="Fuglsang"/>
    <x v="135"/>
    <x v="1"/>
    <x v="1"/>
    <n v="19443.61"/>
    <n v="12"/>
    <s v="2011-11-30"/>
    <n v="0"/>
    <n v="475"/>
    <n v="40.925299000000003"/>
    <n v="2"/>
    <x v="2"/>
    <n v="19443.61"/>
    <n v="7777.44"/>
    <n v="0"/>
    <s v="059999"/>
    <m/>
    <n v="19443.599999999999"/>
    <n v="0"/>
    <n v="59980"/>
  </r>
  <r>
    <x v="17"/>
    <s v="04310-9"/>
    <s v="Fuglsang, Farum Hovedgade 84"/>
    <n v="5954"/>
    <m/>
    <s v="Fuglsang"/>
    <x v="135"/>
    <x v="1"/>
    <x v="2"/>
    <n v="20352.98"/>
    <n v="12"/>
    <s v="2011-11-30"/>
    <n v="0"/>
    <n v="475"/>
    <n v="42.839359999999999"/>
    <n v="2"/>
    <x v="2"/>
    <n v="20352.98"/>
    <n v="8141.17"/>
    <n v="0"/>
    <s v="059999"/>
    <m/>
    <n v="20352.969000000001"/>
    <n v="0"/>
    <n v="59980"/>
  </r>
  <r>
    <x v="17"/>
    <s v="04310-9"/>
    <s v="Fuglsang, Farum Hovedgade 84"/>
    <n v="5954"/>
    <m/>
    <s v="Fuglsang"/>
    <x v="135"/>
    <x v="1"/>
    <x v="3"/>
    <n v="22220.61"/>
    <n v="12"/>
    <s v="2011-11-30"/>
    <n v="0"/>
    <n v="475"/>
    <n v="46.770384999999997"/>
    <n v="2"/>
    <x v="2"/>
    <n v="22220.61"/>
    <n v="10421.469999999999"/>
    <n v="0"/>
    <s v="059999"/>
    <m/>
    <n v="22220.609639999999"/>
    <n v="0"/>
    <n v="59980"/>
  </r>
  <r>
    <x v="17"/>
    <s v="04310-9"/>
    <s v="Fuglsang, Farum Hovedgade 84"/>
    <n v="5954"/>
    <m/>
    <s v="Fuglsang"/>
    <x v="135"/>
    <x v="1"/>
    <x v="4"/>
    <n v="21769.21"/>
    <n v="11"/>
    <s v="2011-11-30"/>
    <n v="0"/>
    <n v="475"/>
    <n v="45.820269000000003"/>
    <n v="2"/>
    <x v="2"/>
    <n v="21769.21"/>
    <n v="10209.75"/>
    <n v="0"/>
    <s v="059999"/>
    <m/>
    <n v="21769.212439999999"/>
    <n v="0"/>
    <n v="59980"/>
  </r>
  <r>
    <x v="17"/>
    <s v="04310-9"/>
    <s v="Fuglsang, Farum Hovedgade 84"/>
    <n v="5954"/>
    <m/>
    <s v="Fuglsang"/>
    <x v="135"/>
    <x v="1"/>
    <x v="5"/>
    <n v="22978.68"/>
    <n v="11"/>
    <s v="2011-11-30"/>
    <n v="0"/>
    <n v="475"/>
    <n v="48.365985999999999"/>
    <n v="2"/>
    <x v="2"/>
    <n v="22978.68"/>
    <n v="10777.01"/>
    <n v="0"/>
    <s v="059999"/>
    <m/>
    <n v="22978.677489999998"/>
    <n v="0"/>
    <n v="59980"/>
  </r>
  <r>
    <x v="17"/>
    <s v="04310-9"/>
    <s v="Fuglsang, Farum Hovedgade 84"/>
    <n v="5954"/>
    <m/>
    <s v="Fuglsang"/>
    <x v="135"/>
    <x v="1"/>
    <x v="6"/>
    <n v="20158.45"/>
    <n v="12"/>
    <s v="2011-11-30"/>
    <n v="0"/>
    <n v="475"/>
    <n v="42.429909000000002"/>
    <n v="2"/>
    <x v="2"/>
    <n v="20158.45"/>
    <n v="9454.31"/>
    <n v="0"/>
    <s v="059999"/>
    <m/>
    <n v="20158.464899999999"/>
    <n v="0"/>
    <n v="59980"/>
  </r>
  <r>
    <x v="17"/>
    <s v="03888-1"/>
    <s v="Furesøgård - UDLEJET"/>
    <n v="5429"/>
    <m/>
    <s v="Furesøgård - UDLEJET"/>
    <x v="136"/>
    <x v="1"/>
    <x v="0"/>
    <n v="12979.53"/>
    <n v="5"/>
    <s v="2006-03-15"/>
    <n v="0"/>
    <n v="1747"/>
    <n v="7.4291850000000004"/>
    <n v="2"/>
    <x v="2"/>
    <n v="12979.53"/>
    <n v="5191.8100000000004"/>
    <n v="0"/>
    <s v="1004739"/>
    <s v="74111471663/74113768662"/>
    <n v="12979.53"/>
    <n v="0"/>
    <n v="57408"/>
  </r>
  <r>
    <x v="17"/>
    <s v="03888-1"/>
    <s v="Furesøgård - UDLEJET"/>
    <n v="5429"/>
    <m/>
    <s v="Furesøgård - UDLEJET"/>
    <x v="136"/>
    <x v="1"/>
    <x v="1"/>
    <n v="41870.959999999999"/>
    <n v="12"/>
    <s v="2006-03-15"/>
    <n v="0"/>
    <n v="1747"/>
    <n v="23.965976999999999"/>
    <n v="2"/>
    <x v="2"/>
    <n v="41870.959999999999"/>
    <n v="16748.400000000001"/>
    <n v="0"/>
    <s v="1004739"/>
    <s v="74111471663/74113768662"/>
    <n v="41870.983"/>
    <n v="0"/>
    <n v="57408"/>
  </r>
  <r>
    <x v="17"/>
    <s v="03888-1"/>
    <s v="Furesøgård - UDLEJET"/>
    <n v="5429"/>
    <m/>
    <s v="Furesøgård - UDLEJET"/>
    <x v="136"/>
    <x v="1"/>
    <x v="2"/>
    <n v="36637.75"/>
    <n v="12"/>
    <s v="2006-03-15"/>
    <n v="0"/>
    <n v="1747"/>
    <n v="20.970607999999999"/>
    <n v="2"/>
    <x v="2"/>
    <n v="36637.75"/>
    <n v="14655.1"/>
    <n v="0"/>
    <s v="1004739"/>
    <s v="74111471663/74113768662"/>
    <n v="36637.769999999997"/>
    <n v="0"/>
    <n v="57408"/>
  </r>
  <r>
    <x v="17"/>
    <s v="03888-1"/>
    <s v="Furesøgård - UDLEJET"/>
    <n v="5429"/>
    <m/>
    <s v="Furesøgård - UDLEJET"/>
    <x v="136"/>
    <x v="1"/>
    <x v="3"/>
    <n v="36968.199999999997"/>
    <n v="12"/>
    <s v="2006-03-15"/>
    <n v="0"/>
    <n v="1747"/>
    <n v="21.159749999999999"/>
    <n v="2"/>
    <x v="2"/>
    <n v="36968.199999999997"/>
    <n v="17338.09"/>
    <n v="0"/>
    <s v="1004739"/>
    <s v="74111471663/74113768662"/>
    <n v="36968.205999999998"/>
    <n v="0"/>
    <n v="57408"/>
  </r>
  <r>
    <x v="17"/>
    <s v="03888-1"/>
    <s v="Furesøgård - UDLEJET"/>
    <n v="5429"/>
    <m/>
    <s v="Furesøgård - UDLEJET"/>
    <x v="136"/>
    <x v="1"/>
    <x v="4"/>
    <n v="40114.75"/>
    <n v="12"/>
    <s v="2006-03-15"/>
    <n v="0"/>
    <n v="1747"/>
    <n v="22.960763"/>
    <n v="2"/>
    <x v="2"/>
    <n v="40114.75"/>
    <n v="18813.810000000001"/>
    <n v="0"/>
    <s v="1004739"/>
    <s v="74111471663/74113768662"/>
    <n v="40114.745999999999"/>
    <n v="0"/>
    <n v="57408"/>
  </r>
  <r>
    <x v="17"/>
    <s v="03888-1"/>
    <s v="Furesøgård - UDLEJET"/>
    <n v="5429"/>
    <m/>
    <s v="Furesøgård - UDLEJET"/>
    <x v="136"/>
    <x v="1"/>
    <x v="5"/>
    <n v="38960.339999999997"/>
    <n v="12"/>
    <s v="2006-03-15"/>
    <n v="0"/>
    <n v="1747"/>
    <n v="22.300004999999999"/>
    <n v="2"/>
    <x v="2"/>
    <n v="38960.339999999997"/>
    <n v="18272.39"/>
    <n v="0"/>
    <s v="1004739"/>
    <s v="74111471663/74113768662"/>
    <n v="38960.343000000001"/>
    <n v="0"/>
    <n v="57408"/>
  </r>
  <r>
    <x v="17"/>
    <s v="03888-1"/>
    <s v="Furesøgård - UDLEJET"/>
    <n v="5429"/>
    <m/>
    <s v="Furesøgård - UDLEJET"/>
    <x v="136"/>
    <x v="1"/>
    <x v="6"/>
    <n v="36758.17"/>
    <n v="12"/>
    <s v="2006-03-15"/>
    <n v="0"/>
    <n v="1747"/>
    <n v="21.039534"/>
    <n v="2"/>
    <x v="2"/>
    <n v="36758.17"/>
    <n v="17239.580000000002"/>
    <n v="0"/>
    <s v="1004739"/>
    <s v="74111471663/74113768662"/>
    <n v="36758.165000000001"/>
    <n v="0"/>
    <n v="57408"/>
  </r>
  <r>
    <x v="17"/>
    <s v="03888-1"/>
    <s v="Furesøgård - UDLEJET"/>
    <n v="5431"/>
    <m/>
    <s v="Stållade"/>
    <x v="136"/>
    <x v="1"/>
    <x v="1"/>
    <n v="25701.05"/>
    <n v="8"/>
    <s v="2014-10-20"/>
    <n v="0"/>
    <n v="640"/>
    <n v="40.151615999999997"/>
    <n v="2"/>
    <x v="2"/>
    <n v="25701.05"/>
    <n v="10280.44"/>
    <n v="0"/>
    <s v="787490"/>
    <m/>
    <n v="25701.063040000001"/>
    <n v="0"/>
    <n v="57417"/>
  </r>
  <r>
    <x v="17"/>
    <s v="03888-1"/>
    <s v="Furesøgård - UDLEJET"/>
    <n v="5431"/>
    <m/>
    <s v="Stållade"/>
    <x v="136"/>
    <x v="1"/>
    <x v="2"/>
    <n v="22783.279999999999"/>
    <n v="9"/>
    <s v="2014-10-20"/>
    <n v="0"/>
    <n v="640"/>
    <n v="35.593313000000002"/>
    <n v="2"/>
    <x v="2"/>
    <n v="22783.279999999999"/>
    <n v="9113.33"/>
    <n v="0"/>
    <s v="787490"/>
    <m/>
    <n v="22783.282889999999"/>
    <n v="0"/>
    <n v="57417"/>
  </r>
  <r>
    <x v="17"/>
    <s v="03888-1"/>
    <s v="Furesøgård - UDLEJET"/>
    <n v="5431"/>
    <m/>
    <s v="Stållade"/>
    <x v="136"/>
    <x v="1"/>
    <x v="3"/>
    <n v="20490.990000000002"/>
    <n v="12"/>
    <s v="2014-10-20"/>
    <n v="0"/>
    <n v="640"/>
    <n v="32.012169"/>
    <n v="2"/>
    <x v="2"/>
    <n v="20490.990000000002"/>
    <n v="9610.2900000000009"/>
    <n v="0"/>
    <s v="787490"/>
    <m/>
    <n v="20491"/>
    <n v="0"/>
    <n v="57417"/>
  </r>
  <r>
    <x v="17"/>
    <s v="03888-1"/>
    <s v="Furesøgård - UDLEJET"/>
    <n v="5431"/>
    <m/>
    <s v="Stållade"/>
    <x v="136"/>
    <x v="1"/>
    <x v="4"/>
    <n v="21909.87"/>
    <n v="12"/>
    <s v="2014-10-20"/>
    <n v="0"/>
    <n v="640"/>
    <n v="34.228822999999998"/>
    <n v="2"/>
    <x v="2"/>
    <n v="21909.87"/>
    <n v="10275.74"/>
    <n v="0"/>
    <s v="787490"/>
    <m/>
    <n v="21909.87097"/>
    <n v="0"/>
    <n v="57417"/>
  </r>
  <r>
    <x v="17"/>
    <s v="03888-1"/>
    <s v="Furesøgård - UDLEJET"/>
    <n v="5431"/>
    <m/>
    <s v="Stållade"/>
    <x v="136"/>
    <x v="1"/>
    <x v="5"/>
    <n v="20821.099999999999"/>
    <n v="10"/>
    <s v="2014-10-20"/>
    <n v="0"/>
    <n v="640"/>
    <n v="32.527886000000002"/>
    <n v="2"/>
    <x v="2"/>
    <n v="20821.099999999999"/>
    <n v="9765.09"/>
    <n v="0"/>
    <s v="787490"/>
    <m/>
    <n v="20821.098590000001"/>
    <n v="0"/>
    <n v="57417"/>
  </r>
  <r>
    <x v="17"/>
    <s v="03888-1"/>
    <s v="Furesøgård - UDLEJET"/>
    <n v="5431"/>
    <m/>
    <s v="Stållade"/>
    <x v="136"/>
    <x v="1"/>
    <x v="6"/>
    <n v="19678.98"/>
    <n v="10"/>
    <s v="2014-10-20"/>
    <n v="0"/>
    <n v="640"/>
    <n v="30.743601999999999"/>
    <n v="2"/>
    <x v="2"/>
    <n v="19678.98"/>
    <n v="9229.42"/>
    <n v="0"/>
    <s v="787490"/>
    <m/>
    <n v="19678.970389999999"/>
    <n v="0"/>
    <n v="57417"/>
  </r>
  <r>
    <x v="17"/>
    <s v="05359-7"/>
    <s v="Idræt Fritid"/>
    <n v="5265"/>
    <m/>
    <s v="Idræt Fritid"/>
    <x v="137"/>
    <x v="1"/>
    <x v="0"/>
    <n v="6225.38"/>
    <n v="5"/>
    <s v="2005-05-01"/>
    <n v="0"/>
    <n v="585"/>
    <n v="10.639856"/>
    <n v="2"/>
    <x v="2"/>
    <n v="6225.38"/>
    <n v="2490.16"/>
    <n v="0"/>
    <s v="1012836"/>
    <s v="74114304265"/>
    <n v="6225.3760000000002"/>
    <n v="0"/>
    <n v="56773"/>
  </r>
  <r>
    <x v="17"/>
    <s v="05359-7"/>
    <s v="Idræt Fritid"/>
    <n v="5265"/>
    <m/>
    <s v="Idræt Fritid"/>
    <x v="137"/>
    <x v="1"/>
    <x v="1"/>
    <n v="26036.720000000001"/>
    <n v="12"/>
    <s v="2005-05-01"/>
    <n v="0"/>
    <n v="585"/>
    <n v="44.499606"/>
    <n v="2"/>
    <x v="2"/>
    <n v="26036.720000000001"/>
    <n v="10414.709999999999"/>
    <n v="0"/>
    <s v="1012836"/>
    <s v="74114304265"/>
    <n v="26036.718000000001"/>
    <n v="0"/>
    <n v="56773"/>
  </r>
  <r>
    <x v="17"/>
    <s v="05359-7"/>
    <s v="Idræt Fritid"/>
    <n v="5265"/>
    <m/>
    <s v="Idræt Fritid"/>
    <x v="137"/>
    <x v="1"/>
    <x v="2"/>
    <n v="17399.89"/>
    <n v="12"/>
    <s v="2005-05-01"/>
    <n v="0"/>
    <n v="585"/>
    <n v="29.738318"/>
    <n v="2"/>
    <x v="2"/>
    <n v="17399.89"/>
    <n v="6959.96"/>
    <n v="0"/>
    <s v="1012836"/>
    <s v="74114304265"/>
    <n v="17399.89"/>
    <n v="0"/>
    <n v="56773"/>
  </r>
  <r>
    <x v="17"/>
    <s v="05359-7"/>
    <s v="Idræt Fritid"/>
    <n v="5265"/>
    <m/>
    <s v="Idræt Fritid"/>
    <x v="137"/>
    <x v="1"/>
    <x v="3"/>
    <n v="17670.7"/>
    <n v="12"/>
    <s v="2005-05-01"/>
    <n v="0"/>
    <n v="585"/>
    <n v="30.201162"/>
    <n v="2"/>
    <x v="2"/>
    <n v="17670.7"/>
    <n v="8287.57"/>
    <n v="0"/>
    <s v="1012836"/>
    <s v="74114304265"/>
    <n v="17670.696"/>
    <n v="0"/>
    <n v="56773"/>
  </r>
  <r>
    <x v="17"/>
    <s v="05359-7"/>
    <s v="Idræt Fritid"/>
    <n v="5265"/>
    <m/>
    <s v="Idræt Fritid"/>
    <x v="137"/>
    <x v="1"/>
    <x v="4"/>
    <n v="16425.52"/>
    <n v="12"/>
    <s v="2005-05-01"/>
    <n v="0"/>
    <n v="585"/>
    <n v="28.073013"/>
    <n v="2"/>
    <x v="2"/>
    <n v="16425.52"/>
    <n v="7703.57"/>
    <n v="0"/>
    <s v="1012836"/>
    <s v="74114304265"/>
    <n v="16425.526000000002"/>
    <n v="0"/>
    <n v="56773"/>
  </r>
  <r>
    <x v="17"/>
    <s v="05359-7"/>
    <s v="Idræt Fritid"/>
    <n v="5265"/>
    <m/>
    <s v="Idræt Fritid"/>
    <x v="137"/>
    <x v="1"/>
    <x v="5"/>
    <n v="18915.11"/>
    <n v="12"/>
    <s v="2005-05-01"/>
    <n v="0"/>
    <n v="585"/>
    <n v="32.327995000000001"/>
    <n v="2"/>
    <x v="2"/>
    <n v="18915.11"/>
    <n v="8871.2099999999991"/>
    <n v="0"/>
    <s v="1012836"/>
    <s v="74114304265"/>
    <n v="18915.133999999998"/>
    <n v="0"/>
    <n v="56773"/>
  </r>
  <r>
    <x v="17"/>
    <s v="05359-7"/>
    <s v="Idræt Fritid"/>
    <n v="5265"/>
    <m/>
    <s v="Idræt Fritid"/>
    <x v="137"/>
    <x v="1"/>
    <x v="6"/>
    <n v="20908.25"/>
    <n v="12"/>
    <s v="2005-05-01"/>
    <n v="0"/>
    <n v="585"/>
    <n v="35.734489000000004"/>
    <n v="2"/>
    <x v="2"/>
    <n v="20908.25"/>
    <n v="9805.98"/>
    <n v="0"/>
    <s v="1012836"/>
    <s v="74114304265"/>
    <n v="20908.25"/>
    <n v="0"/>
    <n v="56773"/>
  </r>
  <r>
    <x v="17"/>
    <s v="5359-7"/>
    <s v="Idræt Klub"/>
    <n v="5266"/>
    <m/>
    <s v="Idræt Klub"/>
    <x v="138"/>
    <x v="1"/>
    <x v="0"/>
    <n v="14700.75"/>
    <n v="5"/>
    <s v="2005-05-01"/>
    <n v="0"/>
    <n v="585"/>
    <n v="25.125191999999998"/>
    <n v="2"/>
    <x v="2"/>
    <n v="14700.75"/>
    <n v="5880.31"/>
    <n v="0"/>
    <s v="548872"/>
    <m/>
    <n v="14700.748"/>
    <n v="0"/>
    <n v="56782"/>
  </r>
  <r>
    <x v="17"/>
    <s v="5359-7"/>
    <s v="Idræt Klub"/>
    <n v="5266"/>
    <m/>
    <s v="Idræt Klub"/>
    <x v="138"/>
    <x v="1"/>
    <x v="1"/>
    <n v="20457.46"/>
    <n v="12"/>
    <s v="2005-05-01"/>
    <n v="0"/>
    <n v="585"/>
    <n v="34.964039999999997"/>
    <n v="2"/>
    <x v="2"/>
    <n v="20457.46"/>
    <n v="8183"/>
    <n v="0"/>
    <s v="548872"/>
    <m/>
    <n v="20457.472000000002"/>
    <n v="0"/>
    <n v="56782"/>
  </r>
  <r>
    <x v="17"/>
    <s v="5359-7"/>
    <s v="Idræt Klub"/>
    <n v="5266"/>
    <m/>
    <s v="Idræt Klub"/>
    <x v="138"/>
    <x v="1"/>
    <x v="2"/>
    <n v="19443.72"/>
    <n v="12"/>
    <s v="2005-05-01"/>
    <n v="0"/>
    <n v="585"/>
    <n v="33.231447000000003"/>
    <n v="2"/>
    <x v="2"/>
    <n v="19443.72"/>
    <n v="7777.51"/>
    <n v="0"/>
    <s v="548872"/>
    <m/>
    <n v="19443.723999999998"/>
    <n v="0"/>
    <n v="56782"/>
  </r>
  <r>
    <x v="17"/>
    <s v="5359-7"/>
    <s v="Idræt Klub"/>
    <n v="5266"/>
    <m/>
    <s v="Idræt Klub"/>
    <x v="138"/>
    <x v="1"/>
    <x v="3"/>
    <n v="22449.96"/>
    <n v="12"/>
    <s v="2005-05-01"/>
    <n v="0"/>
    <n v="585"/>
    <n v="38.369441000000002"/>
    <n v="2"/>
    <x v="2"/>
    <n v="22449.96"/>
    <n v="10529.03"/>
    <n v="0"/>
    <s v="548872"/>
    <m/>
    <n v="22449.948"/>
    <n v="0"/>
    <n v="56782"/>
  </r>
  <r>
    <x v="17"/>
    <s v="5359-7"/>
    <s v="Idræt Klub"/>
    <n v="5266"/>
    <m/>
    <s v="Idræt Klub"/>
    <x v="138"/>
    <x v="1"/>
    <x v="4"/>
    <n v="21537.14"/>
    <n v="12"/>
    <s v="2005-05-01"/>
    <n v="0"/>
    <n v="585"/>
    <n v="36.809331"/>
    <n v="2"/>
    <x v="2"/>
    <n v="21537.14"/>
    <n v="10100.92"/>
    <n v="0"/>
    <s v="548872"/>
    <m/>
    <n v="21537.132000000001"/>
    <n v="0"/>
    <n v="56782"/>
  </r>
  <r>
    <x v="17"/>
    <s v="5359-7"/>
    <s v="Idræt Klub"/>
    <n v="5266"/>
    <m/>
    <s v="Idræt Klub"/>
    <x v="138"/>
    <x v="1"/>
    <x v="5"/>
    <n v="20886.330000000002"/>
    <n v="12"/>
    <s v="2005-05-01"/>
    <n v="0"/>
    <n v="585"/>
    <n v="35.697026000000001"/>
    <n v="2"/>
    <x v="2"/>
    <n v="20886.330000000002"/>
    <n v="9795.7099999999991"/>
    <n v="0"/>
    <s v="548872"/>
    <m/>
    <n v="20886.328000000001"/>
    <n v="0"/>
    <n v="56782"/>
  </r>
  <r>
    <x v="17"/>
    <s v="5359-7"/>
    <s v="Idræt Klub"/>
    <n v="5266"/>
    <m/>
    <s v="Idræt Klub"/>
    <x v="138"/>
    <x v="1"/>
    <x v="6"/>
    <n v="25047.74"/>
    <n v="12"/>
    <s v="2005-05-01"/>
    <n v="0"/>
    <n v="585"/>
    <n v="42.809331"/>
    <n v="2"/>
    <x v="2"/>
    <n v="25047.74"/>
    <n v="11747.4"/>
    <n v="0"/>
    <s v="548872"/>
    <m/>
    <n v="25047.756000000001"/>
    <n v="0"/>
    <n v="56782"/>
  </r>
  <r>
    <x v="17"/>
    <s v="1937"/>
    <s v="Lerstedet 1"/>
    <n v="13666"/>
    <s v="0"/>
    <s v="Lerstedet 1A-E"/>
    <x v="139"/>
    <x v="1"/>
    <x v="0"/>
    <n v="12895.43"/>
    <n v="5"/>
    <m/>
    <n v="0"/>
    <n v="1155"/>
    <n v="11.163907"/>
    <n v="2"/>
    <x v="2"/>
    <n v="12895.43"/>
    <n v="3868.63"/>
    <n v="0"/>
    <s v="3100363 Boliger"/>
    <m/>
    <n v="12895.428"/>
    <n v="0"/>
    <n v="96149"/>
  </r>
  <r>
    <x v="17"/>
    <s v="1937"/>
    <s v="Lerstedet 1"/>
    <n v="13666"/>
    <s v="0"/>
    <s v="Lerstedet 1A-E"/>
    <x v="139"/>
    <x v="1"/>
    <x v="0"/>
    <n v="191.51"/>
    <n v="5"/>
    <m/>
    <n v="0"/>
    <n v="1155"/>
    <n v="0.165795"/>
    <n v="2"/>
    <x v="2"/>
    <n v="191.51"/>
    <n v="57.46"/>
    <n v="0"/>
    <s v="3105690 vandværk"/>
    <s v="74111859508"/>
    <n v="191.51400000000001"/>
    <n v="0"/>
    <n v="96150"/>
  </r>
  <r>
    <x v="17"/>
    <s v="1937"/>
    <s v="Lerstedet 1"/>
    <n v="13666"/>
    <s v="0"/>
    <s v="Lerstedet 1A-E"/>
    <x v="139"/>
    <x v="1"/>
    <x v="1"/>
    <n v="30642.25"/>
    <n v="6"/>
    <s v="2014-04-07"/>
    <n v="0"/>
    <n v="1155"/>
    <n v="26.527788999999999"/>
    <n v="2"/>
    <x v="2"/>
    <n v="30642.25"/>
    <n v="9192.67"/>
    <n v="0"/>
    <s v="1000280 50564 boliger"/>
    <s v="74115276493"/>
    <n v="30642.231319999999"/>
    <n v="0"/>
    <n v="91264"/>
  </r>
  <r>
    <x v="17"/>
    <s v="1937"/>
    <s v="Lerstedet 1"/>
    <n v="13666"/>
    <s v="0"/>
    <s v="Lerstedet 1A-E"/>
    <x v="139"/>
    <x v="1"/>
    <x v="1"/>
    <n v="233.9"/>
    <n v="4"/>
    <s v="2014-03-28"/>
    <n v="0"/>
    <n v="1155"/>
    <n v="0.20249300000000001"/>
    <n v="2"/>
    <x v="2"/>
    <n v="233.9"/>
    <n v="70.180000000000007"/>
    <n v="0"/>
    <s v="3105690 vandværk"/>
    <s v="74111859508"/>
    <n v="233.89434"/>
    <n v="0"/>
    <n v="91259"/>
  </r>
  <r>
    <x v="17"/>
    <s v="1937"/>
    <s v="Lerstedet 1"/>
    <n v="13666"/>
    <s v="0"/>
    <s v="Lerstedet 1A-E"/>
    <x v="139"/>
    <x v="1"/>
    <x v="2"/>
    <n v="1130.07"/>
    <n v="1"/>
    <s v="2014-03-28"/>
    <n v="0"/>
    <n v="1155"/>
    <n v="0.97833000000000003"/>
    <n v="2"/>
    <x v="2"/>
    <n v="1130.07"/>
    <n v="452"/>
    <n v="0"/>
    <s v="3105690 vandværk"/>
    <s v="74111859508"/>
    <n v="1130.0497399999999"/>
    <n v="0"/>
    <n v="91259"/>
  </r>
  <r>
    <x v="17"/>
    <s v="1937"/>
    <s v="Lerstedet 1"/>
    <n v="13666"/>
    <s v="0"/>
    <s v="Lerstedet 1A-E"/>
    <x v="139"/>
    <x v="1"/>
    <x v="2"/>
    <n v="33156.160000000003"/>
    <n v="1"/>
    <s v="2014-04-07"/>
    <n v="0"/>
    <n v="1155"/>
    <n v="28.704146000000001"/>
    <n v="2"/>
    <x v="2"/>
    <n v="33156.160000000003"/>
    <n v="13262.43"/>
    <n v="0"/>
    <s v="1000280 50564 boliger"/>
    <s v="74115276493"/>
    <n v="33156.157749999998"/>
    <n v="0"/>
    <n v="91264"/>
  </r>
  <r>
    <x v="17"/>
    <s v="1937"/>
    <s v="Lerstedet 1"/>
    <n v="13666"/>
    <s v="0"/>
    <s v="Lerstedet 1A-E"/>
    <x v="139"/>
    <x v="1"/>
    <x v="3"/>
    <n v="407.49"/>
    <n v="1"/>
    <s v="2014-03-28"/>
    <n v="0"/>
    <n v="1155"/>
    <n v="0.35277399999999998"/>
    <n v="2"/>
    <x v="2"/>
    <n v="407.49"/>
    <n v="191.13"/>
    <n v="0"/>
    <s v="3105690 vandværk"/>
    <s v="74111859508"/>
    <n v="407.49797999999998"/>
    <n v="0"/>
    <n v="91259"/>
  </r>
  <r>
    <x v="17"/>
    <s v="1937"/>
    <s v="Lerstedet 1"/>
    <n v="13666"/>
    <s v="0"/>
    <s v="Lerstedet 1A-E"/>
    <x v="139"/>
    <x v="1"/>
    <x v="3"/>
    <n v="30739.7"/>
    <n v="1"/>
    <s v="2014-04-07"/>
    <n v="0"/>
    <n v="1155"/>
    <n v="26.612154"/>
    <n v="2"/>
    <x v="2"/>
    <n v="30739.7"/>
    <n v="14416.91"/>
    <n v="0"/>
    <s v="1000280 50564 boliger"/>
    <s v="74115276493"/>
    <n v="30739.70923"/>
    <n v="0"/>
    <n v="91264"/>
  </r>
  <r>
    <x v="17"/>
    <s v="1937"/>
    <s v="Lerstedet 1"/>
    <n v="13666"/>
    <s v="0"/>
    <s v="Lerstedet 1A-E"/>
    <x v="139"/>
    <x v="1"/>
    <x v="4"/>
    <n v="44.52"/>
    <n v="1"/>
    <s v="2014-03-28"/>
    <n v="0"/>
    <n v="1155"/>
    <n v="3.8542E-2"/>
    <n v="2"/>
    <x v="2"/>
    <n v="44.52"/>
    <n v="20.88"/>
    <n v="0"/>
    <s v="3105690 vandværk"/>
    <s v="74111859508"/>
    <n v="44.521279999999997"/>
    <n v="0"/>
    <n v="91259"/>
  </r>
  <r>
    <x v="17"/>
    <s v="1937"/>
    <s v="Lerstedet 1"/>
    <n v="13666"/>
    <s v="0"/>
    <s v="Lerstedet 1A-E"/>
    <x v="139"/>
    <x v="1"/>
    <x v="4"/>
    <n v="19106.310000000001"/>
    <n v="1"/>
    <s v="2014-04-07"/>
    <n v="0"/>
    <n v="1155"/>
    <n v="16.540827"/>
    <n v="2"/>
    <x v="2"/>
    <n v="19106.310000000001"/>
    <n v="8960.86"/>
    <n v="0"/>
    <s v="1000280 50564 boliger"/>
    <s v="74115276493"/>
    <n v="19106.315139999999"/>
    <n v="0"/>
    <n v="91264"/>
  </r>
  <r>
    <x v="17"/>
    <s v="1937"/>
    <s v="Lerstedet 1"/>
    <n v="13666"/>
    <s v="0"/>
    <s v="Lerstedet 1A-E"/>
    <x v="139"/>
    <x v="1"/>
    <x v="5"/>
    <n v="14461.45"/>
    <n v="1"/>
    <s v="2014-04-07"/>
    <n v="0"/>
    <n v="1155"/>
    <n v="12.519651"/>
    <n v="2"/>
    <x v="2"/>
    <n v="14461.45"/>
    <n v="6782.39"/>
    <n v="0"/>
    <s v="1000280 50564 boliger"/>
    <s v="74115276493"/>
    <n v="14461.43015"/>
    <n v="0"/>
    <n v="91264"/>
  </r>
  <r>
    <x v="17"/>
    <s v="1937"/>
    <s v="Lerstedet 1"/>
    <n v="13666"/>
    <s v="0"/>
    <s v="Lerstedet 1A-E"/>
    <x v="139"/>
    <x v="1"/>
    <x v="6"/>
    <n v="14450.74"/>
    <n v="1"/>
    <s v="2014-04-07"/>
    <n v="0"/>
    <n v="1155"/>
    <n v="12.51038"/>
    <n v="2"/>
    <x v="2"/>
    <n v="14450.74"/>
    <n v="6777.37"/>
    <n v="0"/>
    <s v="1000280 50564 boliger"/>
    <s v="74115276493"/>
    <n v="14450.723249999999"/>
    <n v="0"/>
    <n v="91264"/>
  </r>
  <r>
    <x v="17"/>
    <s v="7662"/>
    <s v="Lille Bjørn, Kålund 24"/>
    <n v="13868"/>
    <s v="0"/>
    <s v="Lille Bjørn"/>
    <x v="140"/>
    <x v="1"/>
    <x v="0"/>
    <n v="4811.7"/>
    <n v="5"/>
    <s v="2014-03-31"/>
    <n v="0"/>
    <n v="867"/>
    <n v="5.5491859999999997"/>
    <n v="2"/>
    <x v="2"/>
    <n v="4811.7"/>
    <n v="1443.52"/>
    <n v="0"/>
    <s v="4203708"/>
    <s v="74111459890"/>
    <n v="4811.6980000000003"/>
    <n v="0"/>
    <n v="92216"/>
  </r>
  <r>
    <x v="17"/>
    <s v="7662"/>
    <s v="Lille Bjørn, Kålund 24"/>
    <n v="13868"/>
    <s v="0"/>
    <s v="Lille Bjørn"/>
    <x v="140"/>
    <x v="1"/>
    <x v="1"/>
    <n v="15117.19"/>
    <n v="5"/>
    <s v="2014-03-31"/>
    <n v="0"/>
    <n v="867"/>
    <n v="17.434194000000002"/>
    <n v="2"/>
    <x v="2"/>
    <n v="15117.19"/>
    <n v="4535.17"/>
    <n v="0"/>
    <s v="4203708"/>
    <s v="74111459890"/>
    <n v="15117.191199999999"/>
    <n v="0"/>
    <n v="92216"/>
  </r>
  <r>
    <x v="17"/>
    <s v="7662"/>
    <s v="Lille Bjørn, Kålund 24"/>
    <n v="13868"/>
    <s v="0"/>
    <s v="Lille Bjørn"/>
    <x v="140"/>
    <x v="1"/>
    <x v="2"/>
    <n v="15700.17"/>
    <n v="2"/>
    <s v="2014-03-31"/>
    <n v="0"/>
    <n v="867"/>
    <n v="18.106527"/>
    <n v="2"/>
    <x v="2"/>
    <n v="15700.17"/>
    <n v="6280.05"/>
    <n v="0"/>
    <s v="4203708"/>
    <s v="74111459890"/>
    <n v="15700.152"/>
    <n v="0"/>
    <n v="92216"/>
  </r>
  <r>
    <x v="17"/>
    <s v="7662"/>
    <s v="Lille Bjørn, Kålund 24"/>
    <n v="13868"/>
    <s v="0"/>
    <s v="Lille Bjørn"/>
    <x v="140"/>
    <x v="1"/>
    <x v="3"/>
    <n v="17426.73"/>
    <n v="1"/>
    <s v="2014-03-31"/>
    <n v="0"/>
    <n v="867"/>
    <n v="20.097715999999998"/>
    <n v="2"/>
    <x v="2"/>
    <n v="17426.73"/>
    <n v="8173.18"/>
    <n v="0"/>
    <s v="4203708"/>
    <s v="74111459890"/>
    <n v="17426.76713"/>
    <n v="0"/>
    <n v="92216"/>
  </r>
  <r>
    <x v="17"/>
    <s v="7662"/>
    <s v="Lille Bjørn, Kålund 24"/>
    <n v="13868"/>
    <s v="0"/>
    <s v="Lille Bjørn"/>
    <x v="140"/>
    <x v="1"/>
    <x v="4"/>
    <n v="15334.16"/>
    <n v="1"/>
    <s v="2014-03-31"/>
    <n v="0"/>
    <n v="867"/>
    <n v="17.684418999999998"/>
    <n v="2"/>
    <x v="2"/>
    <n v="15334.16"/>
    <n v="7191.73"/>
    <n v="0"/>
    <s v="4203708"/>
    <s v="74111459890"/>
    <n v="15334.196739999999"/>
    <n v="0"/>
    <n v="92216"/>
  </r>
  <r>
    <x v="17"/>
    <s v="7662"/>
    <s v="Lille Bjørn, Kålund 24"/>
    <n v="13868"/>
    <s v="0"/>
    <s v="Lille Bjørn"/>
    <x v="140"/>
    <x v="1"/>
    <x v="5"/>
    <n v="13571.67"/>
    <n v="1"/>
    <s v="2014-03-31"/>
    <n v="0"/>
    <n v="867"/>
    <n v="15.651793"/>
    <n v="2"/>
    <x v="2"/>
    <n v="13571.67"/>
    <n v="6365.09"/>
    <n v="0"/>
    <s v="4203708"/>
    <s v="74111459890"/>
    <n v="13571.657590000001"/>
    <n v="0"/>
    <n v="92216"/>
  </r>
  <r>
    <x v="17"/>
    <s v="7662"/>
    <s v="Lille Bjørn, Kålund 24"/>
    <n v="13868"/>
    <s v="0"/>
    <s v="Lille Bjørn"/>
    <x v="140"/>
    <x v="1"/>
    <x v="6"/>
    <n v="12756.34"/>
    <n v="1"/>
    <s v="2014-03-31"/>
    <n v="0"/>
    <n v="867"/>
    <n v="14.711498000000001"/>
    <n v="2"/>
    <x v="2"/>
    <n v="12756.34"/>
    <n v="5982.68"/>
    <n v="0"/>
    <s v="4203708"/>
    <s v="74111459890"/>
    <n v="12756.353569999999"/>
    <n v="0"/>
    <n v="92216"/>
  </r>
  <r>
    <x v="17"/>
    <s v="????"/>
    <s v="Skomagerbakken P. E. Rasmunnens Vej 3"/>
    <n v="6370"/>
    <m/>
    <s v="Skomagerbakken"/>
    <x v="141"/>
    <x v="1"/>
    <x v="0"/>
    <n v="1177.96"/>
    <n v="5"/>
    <s v="2011-11-30"/>
    <n v="0"/>
    <n v="99"/>
    <n v="11.886578999999999"/>
    <n v="2"/>
    <x v="2"/>
    <n v="1177.96"/>
    <n v="471.18"/>
    <n v="0"/>
    <s v="295729"/>
    <m/>
    <n v="1177.963"/>
    <n v="0"/>
    <n v="62721"/>
  </r>
  <r>
    <x v="17"/>
    <s v="????"/>
    <s v="Skomagerbakken P. E. Rasmunnens Vej 3"/>
    <n v="6370"/>
    <m/>
    <s v="Skomagerbakken"/>
    <x v="141"/>
    <x v="1"/>
    <x v="1"/>
    <n v="3265.91"/>
    <n v="12"/>
    <s v="2011-11-30"/>
    <n v="0"/>
    <n v="99"/>
    <n v="32.955700999999998"/>
    <n v="2"/>
    <x v="2"/>
    <n v="3265.91"/>
    <n v="1306.3599999999999"/>
    <n v="0"/>
    <s v="295729"/>
    <m/>
    <n v="3265.9088999999999"/>
    <n v="0"/>
    <n v="62721"/>
  </r>
  <r>
    <x v="17"/>
    <s v="????"/>
    <s v="Skomagerbakken P. E. Rasmunnens Vej 3"/>
    <n v="6370"/>
    <m/>
    <s v="Skomagerbakken"/>
    <x v="141"/>
    <x v="1"/>
    <x v="2"/>
    <n v="3061.15"/>
    <n v="12"/>
    <s v="2011-11-30"/>
    <n v="0"/>
    <n v="99"/>
    <n v="30.889505"/>
    <n v="2"/>
    <x v="2"/>
    <n v="3061.15"/>
    <n v="1224.46"/>
    <n v="0"/>
    <s v="295729"/>
    <m/>
    <n v="3061.136"/>
    <n v="0"/>
    <n v="62721"/>
  </r>
  <r>
    <x v="17"/>
    <s v="????"/>
    <s v="Skomagerbakken P. E. Rasmunnens Vej 3"/>
    <n v="6370"/>
    <m/>
    <s v="Skomagerbakken"/>
    <x v="141"/>
    <x v="1"/>
    <x v="3"/>
    <n v="2818.18"/>
    <n v="6"/>
    <s v="2011-11-30"/>
    <n v="0"/>
    <n v="99"/>
    <n v="28.437739000000001"/>
    <n v="2"/>
    <x v="2"/>
    <n v="2818.18"/>
    <n v="1321.72"/>
    <n v="0"/>
    <s v="295729"/>
    <m/>
    <n v="2818.1700099999998"/>
    <n v="0"/>
    <n v="62721"/>
  </r>
  <r>
    <x v="17"/>
    <s v="????"/>
    <s v="Skomagerbakken P. E. Rasmunnens Vej 3"/>
    <n v="6370"/>
    <m/>
    <s v="Skomagerbakken"/>
    <x v="141"/>
    <x v="1"/>
    <x v="4"/>
    <n v="2987.34"/>
    <n v="6"/>
    <s v="2011-11-30"/>
    <n v="0"/>
    <n v="99"/>
    <n v="30.144701999999999"/>
    <n v="2"/>
    <x v="2"/>
    <n v="2987.34"/>
    <n v="1401.06"/>
    <n v="0"/>
    <s v="295729"/>
    <m/>
    <n v="2987.3402299999998"/>
    <n v="0"/>
    <n v="62721"/>
  </r>
  <r>
    <x v="17"/>
    <s v="????"/>
    <s v="Skomagerbakken P. E. Rasmunnens Vej 3"/>
    <n v="6370"/>
    <m/>
    <s v="Skomagerbakken"/>
    <x v="141"/>
    <x v="1"/>
    <x v="5"/>
    <n v="3128.17"/>
    <n v="6"/>
    <s v="2011-11-30"/>
    <n v="0"/>
    <n v="99"/>
    <n v="31.565791999999998"/>
    <n v="2"/>
    <x v="2"/>
    <n v="3128.17"/>
    <n v="1467.11"/>
    <n v="0"/>
    <s v="295729"/>
    <m/>
    <n v="3128.1953100000001"/>
    <n v="0"/>
    <n v="62721"/>
  </r>
  <r>
    <x v="17"/>
    <s v="????"/>
    <s v="Skomagerbakken P. E. Rasmunnens Vej 3"/>
    <n v="6370"/>
    <m/>
    <s v="Skomagerbakken"/>
    <x v="141"/>
    <x v="1"/>
    <x v="6"/>
    <n v="3588.84"/>
    <n v="5"/>
    <s v="2011-11-30"/>
    <n v="0"/>
    <n v="99"/>
    <n v="36.214328000000002"/>
    <n v="2"/>
    <x v="2"/>
    <n v="3588.84"/>
    <n v="1683.17"/>
    <n v="0"/>
    <s v="295729"/>
    <m/>
    <n v="3588.8294599999999"/>
    <n v="0"/>
    <n v="62721"/>
  </r>
  <r>
    <x v="17"/>
    <s v="03972-1"/>
    <s v="Solhøjgård - UDLEJET"/>
    <n v="5953"/>
    <m/>
    <s v="Solhøjgård"/>
    <x v="142"/>
    <x v="1"/>
    <x v="0"/>
    <n v="2105.69"/>
    <n v="5"/>
    <s v="2012-01-31"/>
    <n v="0"/>
    <n v="272"/>
    <n v="7.7386619999999997"/>
    <n v="2"/>
    <x v="2"/>
    <n v="2105.69"/>
    <n v="842.28"/>
    <n v="0"/>
    <s v="4031428"/>
    <m/>
    <n v="2105.6959999999999"/>
    <n v="0"/>
    <n v="59977"/>
  </r>
  <r>
    <x v="17"/>
    <s v="03972-1"/>
    <s v="Solhøjgård - UDLEJET"/>
    <n v="5953"/>
    <m/>
    <s v="Solhøjgård"/>
    <x v="142"/>
    <x v="1"/>
    <x v="1"/>
    <n v="5324.99"/>
    <n v="12"/>
    <s v="2012-01-31"/>
    <n v="0"/>
    <n v="272"/>
    <n v="19.569973999999998"/>
    <n v="2"/>
    <x v="2"/>
    <n v="5324.99"/>
    <n v="2130.02"/>
    <n v="0"/>
    <s v="4031428"/>
    <m/>
    <n v="5324.9920000000002"/>
    <n v="0"/>
    <n v="59977"/>
  </r>
  <r>
    <x v="17"/>
    <s v="03972-1"/>
    <s v="Solhøjgård - UDLEJET"/>
    <n v="5953"/>
    <m/>
    <s v="Solhøjgård"/>
    <x v="142"/>
    <x v="1"/>
    <x v="2"/>
    <n v="5225.03"/>
    <n v="15"/>
    <s v="2012-01-31"/>
    <n v="0"/>
    <n v="272"/>
    <n v="19.202608999999999"/>
    <n v="2"/>
    <x v="2"/>
    <n v="5225.03"/>
    <n v="2090.02"/>
    <n v="0"/>
    <s v="4031428"/>
    <m/>
    <n v="5225.0484999999999"/>
    <n v="0"/>
    <n v="59977"/>
  </r>
  <r>
    <x v="17"/>
    <s v="03972-1"/>
    <s v="Solhøjgård - UDLEJET"/>
    <n v="5953"/>
    <m/>
    <s v="Solhøjgård"/>
    <x v="142"/>
    <x v="1"/>
    <x v="3"/>
    <n v="6101.06"/>
    <n v="9"/>
    <s v="2012-01-31"/>
    <n v="0"/>
    <n v="272"/>
    <n v="22.422124"/>
    <n v="2"/>
    <x v="2"/>
    <n v="6101.06"/>
    <n v="2861.41"/>
    <n v="0"/>
    <s v="4031428"/>
    <m/>
    <n v="6101.0653899999998"/>
    <n v="0"/>
    <n v="59977"/>
  </r>
  <r>
    <x v="17"/>
    <s v="03972-1"/>
    <s v="Solhøjgård - UDLEJET"/>
    <n v="5953"/>
    <m/>
    <s v="Solhøjgård"/>
    <x v="142"/>
    <x v="1"/>
    <x v="4"/>
    <n v="6083.71"/>
    <n v="4"/>
    <s v="2012-01-31"/>
    <n v="0"/>
    <n v="272"/>
    <n v="22.358360000000001"/>
    <n v="2"/>
    <x v="2"/>
    <n v="6083.71"/>
    <n v="2853.26"/>
    <n v="0"/>
    <s v="4031428"/>
    <m/>
    <n v="6083.7143800000003"/>
    <n v="0"/>
    <n v="59977"/>
  </r>
  <r>
    <x v="17"/>
    <s v="03972-1"/>
    <s v="Solhøjgård - UDLEJET"/>
    <n v="5953"/>
    <m/>
    <s v="Solhøjgård"/>
    <x v="142"/>
    <x v="1"/>
    <x v="5"/>
    <n v="5864.61"/>
    <n v="1"/>
    <s v="2012-01-31"/>
    <n v="0"/>
    <n v="272"/>
    <n v="21.553142000000001"/>
    <n v="2"/>
    <x v="2"/>
    <n v="5864.61"/>
    <n v="2750.52"/>
    <n v="0"/>
    <s v="4031428"/>
    <m/>
    <n v="5864.6577100000004"/>
    <n v="0"/>
    <n v="59977"/>
  </r>
  <r>
    <x v="17"/>
    <s v="03972-1"/>
    <s v="Solhøjgård - UDLEJET"/>
    <n v="5953"/>
    <m/>
    <s v="Solhøjgård"/>
    <x v="142"/>
    <x v="1"/>
    <x v="6"/>
    <n v="5936.11"/>
    <n v="3"/>
    <s v="2012-01-31"/>
    <n v="0"/>
    <n v="272"/>
    <n v="21.815912999999998"/>
    <n v="2"/>
    <x v="2"/>
    <n v="5936.11"/>
    <n v="2784.04"/>
    <n v="0"/>
    <s v="4031428"/>
    <m/>
    <n v="5936.1000100000001"/>
    <n v="0"/>
    <n v="59977"/>
  </r>
  <r>
    <x v="17"/>
    <m/>
    <s v="Stenvadhallen"/>
    <n v="13534"/>
    <s v="0"/>
    <s v="Stenvadhallen"/>
    <x v="143"/>
    <x v="1"/>
    <x v="0"/>
    <n v="11282.66"/>
    <n v="4"/>
    <s v="2015-05-04"/>
    <n v="0"/>
    <n v="2088"/>
    <n v="5.403314"/>
    <n v="2"/>
    <x v="2"/>
    <n v="11282.66"/>
    <n v="3384.8"/>
    <n v="0"/>
    <s v="15465"/>
    <m/>
    <n v="11282.657139999999"/>
    <n v="0"/>
    <n v="90569"/>
  </r>
  <r>
    <x v="17"/>
    <m/>
    <s v="Stenvadhallen"/>
    <n v="13534"/>
    <s v="0"/>
    <s v="Stenvadhallen"/>
    <x v="143"/>
    <x v="1"/>
    <x v="1"/>
    <n v="45887.09"/>
    <n v="6"/>
    <s v="2015-05-04"/>
    <n v="0"/>
    <n v="2088"/>
    <n v="21.975522999999999"/>
    <n v="2"/>
    <x v="2"/>
    <n v="45887.09"/>
    <n v="13766.13"/>
    <n v="0"/>
    <s v="15465"/>
    <m/>
    <n v="45887.085599999999"/>
    <n v="0"/>
    <n v="90569"/>
  </r>
  <r>
    <x v="17"/>
    <m/>
    <s v="Stenvadhallen"/>
    <n v="13534"/>
    <s v="0"/>
    <s v="Stenvadhallen"/>
    <x v="143"/>
    <x v="1"/>
    <x v="2"/>
    <n v="42056.86"/>
    <n v="8"/>
    <s v="2015-05-04"/>
    <n v="0"/>
    <n v="2088"/>
    <n v="20.141209"/>
    <n v="2"/>
    <x v="2"/>
    <n v="42056.86"/>
    <n v="16822.73"/>
    <n v="0"/>
    <s v="15465"/>
    <m/>
    <n v="42056.86391"/>
    <n v="0"/>
    <n v="90569"/>
  </r>
  <r>
    <x v="17"/>
    <m/>
    <s v="Stenvadhallen"/>
    <n v="13534"/>
    <s v="0"/>
    <s v="Stenvadhallen"/>
    <x v="143"/>
    <x v="1"/>
    <x v="3"/>
    <n v="41902.07"/>
    <n v="2"/>
    <s v="2015-05-04"/>
    <n v="0"/>
    <n v="2088"/>
    <n v="20.067080000000001"/>
    <n v="2"/>
    <x v="2"/>
    <n v="41902.07"/>
    <n v="19652.060000000001"/>
    <n v="0"/>
    <s v="15465"/>
    <m/>
    <n v="41902.082110000003"/>
    <n v="0"/>
    <n v="90569"/>
  </r>
  <r>
    <x v="17"/>
    <m/>
    <s v="Stenvadhallen"/>
    <n v="13534"/>
    <s v="0"/>
    <s v="Stenvadhallen"/>
    <x v="143"/>
    <x v="1"/>
    <x v="4"/>
    <n v="42230.76"/>
    <n v="3"/>
    <s v="2015-05-04"/>
    <n v="0"/>
    <n v="2088"/>
    <n v="20.224491"/>
    <n v="2"/>
    <x v="2"/>
    <n v="42230.76"/>
    <n v="19806.240000000002"/>
    <n v="0"/>
    <s v="15465"/>
    <m/>
    <n v="42230.782050000002"/>
    <n v="0"/>
    <n v="90569"/>
  </r>
  <r>
    <x v="17"/>
    <m/>
    <s v="Stenvadhallen"/>
    <n v="13534"/>
    <s v="0"/>
    <s v="Stenvadhallen"/>
    <x v="143"/>
    <x v="1"/>
    <x v="5"/>
    <n v="26340.48"/>
    <n v="1"/>
    <s v="2015-05-04"/>
    <n v="0"/>
    <n v="2088"/>
    <n v="12.614568"/>
    <n v="2"/>
    <x v="2"/>
    <n v="26340.48"/>
    <n v="12353.7"/>
    <n v="0"/>
    <s v="15465"/>
    <m/>
    <n v="26340.490669999999"/>
    <n v="0"/>
    <n v="90569"/>
  </r>
  <r>
    <x v="17"/>
    <s v="05368-6"/>
    <s v="TD-Bygning"/>
    <n v="5465"/>
    <m/>
    <s v="TD-Bygning"/>
    <x v="130"/>
    <x v="1"/>
    <x v="0"/>
    <n v="41459.78"/>
    <n v="5"/>
    <m/>
    <n v="0"/>
    <n v="1384"/>
    <n v="29.954324"/>
    <n v="1"/>
    <x v="3"/>
    <n v="46788.79"/>
    <n v="248091.89"/>
    <n v="1"/>
    <s v="4155449"/>
    <m/>
    <n v="1188.3"/>
    <n v="57760"/>
    <n v="57765"/>
  </r>
  <r>
    <x v="17"/>
    <s v="05368-6"/>
    <s v="TD-Bygning"/>
    <n v="5465"/>
    <m/>
    <s v="TD-Bygning"/>
    <x v="130"/>
    <x v="1"/>
    <x v="1"/>
    <n v="73638.81"/>
    <n v="12"/>
    <m/>
    <n v="0"/>
    <n v="1384"/>
    <n v="53.203387999999997"/>
    <n v="1"/>
    <x v="3"/>
    <n v="75322.509999999995"/>
    <n v="399.38"/>
    <n v="1"/>
    <s v="4155449"/>
    <m/>
    <n v="2110.6"/>
    <n v="57760"/>
    <n v="57765"/>
  </r>
  <r>
    <x v="17"/>
    <s v="05368-6"/>
    <s v="TD-Bygning"/>
    <n v="5465"/>
    <m/>
    <s v="TD-Bygning"/>
    <x v="130"/>
    <x v="1"/>
    <x v="2"/>
    <n v="80208.62"/>
    <n v="12"/>
    <m/>
    <n v="0"/>
    <n v="1384"/>
    <n v="57.950018"/>
    <n v="1"/>
    <x v="3"/>
    <n v="84136.24"/>
    <n v="446.13"/>
    <n v="1"/>
    <s v="4155449"/>
    <m/>
    <n v="2298.9"/>
    <n v="57760"/>
    <n v="57765"/>
  </r>
  <r>
    <x v="17"/>
    <s v="05368-6"/>
    <s v="TD-Bygning"/>
    <n v="5465"/>
    <m/>
    <s v="TD-Bygning"/>
    <x v="130"/>
    <x v="1"/>
    <x v="3"/>
    <n v="85815.45"/>
    <n v="12"/>
    <m/>
    <n v="0"/>
    <n v="1384"/>
    <n v="62.000903000000001"/>
    <n v="1"/>
    <x v="3"/>
    <n v="91149.07"/>
    <n v="483.3"/>
    <n v="1"/>
    <s v="4155449"/>
    <m/>
    <n v="2459.6"/>
    <n v="57760"/>
    <n v="57765"/>
  </r>
  <r>
    <x v="17"/>
    <s v="05368-6"/>
    <s v="TD-Bygning"/>
    <n v="5465"/>
    <m/>
    <s v="TD-Bygning"/>
    <x v="130"/>
    <x v="1"/>
    <x v="4"/>
    <n v="111539.82"/>
    <n v="12"/>
    <m/>
    <n v="0"/>
    <n v="1384"/>
    <n v="80.586532000000005"/>
    <n v="1"/>
    <x v="3"/>
    <n v="101960.32000000001"/>
    <n v="540.63"/>
    <n v="1"/>
    <s v="4155449"/>
    <m/>
    <n v="3196.9"/>
    <n v="57760"/>
    <n v="57765"/>
  </r>
  <r>
    <x v="17"/>
    <s v="05368-6"/>
    <s v="TD-Bygning"/>
    <n v="5465"/>
    <m/>
    <s v="TD-Bygning"/>
    <x v="130"/>
    <x v="1"/>
    <x v="5"/>
    <n v="91010.55"/>
    <n v="12"/>
    <m/>
    <n v="0"/>
    <n v="1384"/>
    <n v="65.754316000000003"/>
    <n v="1"/>
    <x v="3"/>
    <n v="95124.39"/>
    <n v="504.38"/>
    <n v="1"/>
    <s v="4155449"/>
    <m/>
    <n v="2608.5"/>
    <n v="57760"/>
    <n v="57765"/>
  </r>
  <r>
    <x v="17"/>
    <s v="05368-6"/>
    <s v="TD-Bygning"/>
    <n v="5465"/>
    <m/>
    <s v="TD-Bygning"/>
    <x v="130"/>
    <x v="1"/>
    <x v="6"/>
    <n v="81443.73"/>
    <n v="12"/>
    <m/>
    <n v="0"/>
    <n v="1384"/>
    <n v="58.842374"/>
    <n v="1"/>
    <x v="3"/>
    <n v="91848.75"/>
    <n v="487.01"/>
    <n v="1"/>
    <s v="4155449"/>
    <m/>
    <n v="2334.3000000000002"/>
    <n v="57760"/>
    <n v="577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4" minRefreshableVersion="3" useAutoFormatting="1" itemPrintTitles="1" createdVersion="4" indent="0" outline="1" outlineData="1" multipleFieldFilters="0">
  <location ref="A3:E82" firstHeaderRow="1" firstDataRow="3" firstDataCol="1" rowPageCount="1" colPageCount="1"/>
  <pivotFields count="25">
    <pivotField axis="axisRow" showAll="0">
      <items count="21">
        <item x="0"/>
        <item x="1"/>
        <item x="2"/>
        <item x="3"/>
        <item x="5"/>
        <item x="11"/>
        <item x="8"/>
        <item x="12"/>
        <item x="9"/>
        <item x="13"/>
        <item x="10"/>
        <item m="1" x="19"/>
        <item x="4"/>
        <item x="14"/>
        <item x="6"/>
        <item x="7"/>
        <item x="15"/>
        <item x="16"/>
        <item x="17"/>
        <item x="18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49">
        <item x="108"/>
        <item x="62"/>
        <item x="79"/>
        <item x="16"/>
        <item x="125"/>
        <item x="126"/>
        <item x="127"/>
        <item x="17"/>
        <item x="18"/>
        <item x="87"/>
        <item x="14"/>
        <item x="19"/>
        <item x="2"/>
        <item x="20"/>
        <item x="10"/>
        <item x="13"/>
        <item x="21"/>
        <item x="22"/>
        <item x="23"/>
        <item x="80"/>
        <item x="94"/>
        <item x="24"/>
        <item x="81"/>
        <item x="11"/>
        <item x="25"/>
        <item x="109"/>
        <item x="63"/>
        <item x="26"/>
        <item x="57"/>
        <item x="15"/>
        <item x="75"/>
        <item x="128"/>
        <item x="132"/>
        <item x="0"/>
        <item x="122"/>
        <item x="27"/>
        <item x="28"/>
        <item x="74"/>
        <item x="29"/>
        <item x="60"/>
        <item x="64"/>
        <item x="135"/>
        <item x="53"/>
        <item x="136"/>
        <item x="115"/>
        <item x="69"/>
        <item x="106"/>
        <item x="134"/>
        <item x="31"/>
        <item x="88"/>
        <item x="33"/>
        <item x="76"/>
        <item x="82"/>
        <item x="96"/>
        <item x="110"/>
        <item x="3"/>
        <item x="65"/>
        <item x="137"/>
        <item x="138"/>
        <item x="66"/>
        <item x="34"/>
        <item x="35"/>
        <item x="61"/>
        <item x="36"/>
        <item x="32"/>
        <item x="4"/>
        <item x="5"/>
        <item x="37"/>
        <item x="89"/>
        <item x="90"/>
        <item x="58"/>
        <item x="129"/>
        <item x="139"/>
        <item x="140"/>
        <item x="111"/>
        <item x="86"/>
        <item x="102"/>
        <item x="112"/>
        <item x="100"/>
        <item x="97"/>
        <item x="95"/>
        <item x="56"/>
        <item x="38"/>
        <item x="39"/>
        <item x="41"/>
        <item x="42"/>
        <item x="133"/>
        <item x="43"/>
        <item x="51"/>
        <item x="70"/>
        <item x="103"/>
        <item x="144"/>
        <item x="124"/>
        <item x="54"/>
        <item x="107"/>
        <item x="98"/>
        <item x="119"/>
        <item x="8"/>
        <item x="44"/>
        <item x="67"/>
        <item x="55"/>
        <item x="12"/>
        <item x="141"/>
        <item m="1" x="146"/>
        <item m="1" x="145"/>
        <item m="1" x="147"/>
        <item x="59"/>
        <item x="45"/>
        <item x="30"/>
        <item x="46"/>
        <item x="71"/>
        <item x="105"/>
        <item x="142"/>
        <item x="113"/>
        <item x="47"/>
        <item x="52"/>
        <item x="68"/>
        <item x="120"/>
        <item x="7"/>
        <item x="6"/>
        <item x="50"/>
        <item x="121"/>
        <item x="117"/>
        <item x="48"/>
        <item x="114"/>
        <item x="99"/>
        <item x="93"/>
        <item x="40"/>
        <item x="49"/>
        <item x="77"/>
        <item x="116"/>
        <item x="101"/>
        <item x="130"/>
        <item x="72"/>
        <item x="9"/>
        <item x="118"/>
        <item x="73"/>
        <item x="92"/>
        <item x="131"/>
        <item x="85"/>
        <item x="83"/>
        <item x="1"/>
        <item x="123"/>
        <item x="84"/>
        <item x="78"/>
        <item x="91"/>
        <item x="143"/>
        <item x="104"/>
        <item t="default"/>
      </items>
    </pivotField>
    <pivotField axis="axisPage" showAll="0">
      <items count="4">
        <item x="1"/>
        <item x="2"/>
        <item x="0"/>
        <item t="default"/>
      </items>
    </pivotField>
    <pivotField axis="axisCol" showAll="0">
      <items count="10">
        <item h="1" x="6"/>
        <item h="1" x="5"/>
        <item h="1" x="4"/>
        <item h="1" x="3"/>
        <item h="1" x="2"/>
        <item sd="0" x="1"/>
        <item sd="0" x="7"/>
        <item sd="0" x="0"/>
        <item h="1"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showAll="0">
      <items count="13">
        <item h="1" x="2"/>
        <item x="7"/>
        <item x="1"/>
        <item x="3"/>
        <item x="5"/>
        <item h="1" x="4"/>
        <item h="1" x="6"/>
        <item h="1" x="9"/>
        <item h="1" x="8"/>
        <item h="1" x="0"/>
        <item h="1" x="10"/>
        <item h="1" x="11"/>
        <item t="default"/>
      </items>
    </pivotField>
    <pivotField dataField="1" showAll="0">
      <items count="4834">
        <item x="3061"/>
        <item x="3056"/>
        <item x="3053"/>
        <item x="3240"/>
        <item x="3358"/>
        <item x="3361"/>
        <item x="547"/>
        <item x="371"/>
        <item x="375"/>
        <item x="1"/>
        <item x="4112"/>
        <item x="3875"/>
        <item x="1874"/>
        <item x="1193"/>
        <item x="4321"/>
        <item x="1374"/>
        <item x="1237"/>
        <item x="1376"/>
        <item x="1380"/>
        <item x="1839"/>
        <item x="3878"/>
        <item x="2336"/>
        <item x="4327"/>
        <item x="3577"/>
        <item x="128"/>
        <item x="194"/>
        <item x="2335"/>
        <item x="2334"/>
        <item x="3417"/>
        <item x="1164"/>
        <item x="3433"/>
        <item x="1171"/>
        <item x="3423"/>
        <item x="121"/>
        <item x="2438"/>
        <item x="1246"/>
        <item x="114"/>
        <item x="4322"/>
        <item x="4345"/>
        <item x="1594"/>
        <item x="1593"/>
        <item x="1590"/>
        <item x="1592"/>
        <item x="1872"/>
        <item x="1591"/>
        <item x="2919"/>
        <item x="1885"/>
        <item x="2099"/>
        <item x="1189"/>
        <item x="1721"/>
        <item x="4530"/>
        <item x="1845"/>
        <item x="1235"/>
        <item x="2107"/>
        <item x="1848"/>
        <item x="1890"/>
        <item x="162"/>
        <item x="4318"/>
        <item x="2977"/>
        <item x="2101"/>
        <item x="2419"/>
        <item x="3502"/>
        <item x="1857"/>
        <item x="1842"/>
        <item x="1290"/>
        <item x="1157"/>
        <item x="195"/>
        <item x="2103"/>
        <item x="2105"/>
        <item x="153"/>
        <item x="3438"/>
        <item x="2155"/>
        <item x="2109"/>
        <item x="4320"/>
        <item x="2928"/>
        <item x="1800"/>
        <item x="1851"/>
        <item x="2924"/>
        <item x="2844"/>
        <item x="3470"/>
        <item x="3437"/>
        <item x="3419"/>
        <item x="4417"/>
        <item x="3426"/>
        <item x="2792"/>
        <item x="2515"/>
        <item x="140"/>
        <item x="3439"/>
        <item x="3504"/>
        <item x="1161"/>
        <item x="2944"/>
        <item x="1814"/>
        <item x="1854"/>
        <item x="3737"/>
        <item x="2971"/>
        <item x="3609"/>
        <item x="3434"/>
        <item x="2139"/>
        <item x="2415"/>
        <item x="119"/>
        <item x="2416"/>
        <item x="3505"/>
        <item x="2263"/>
        <item x="2857"/>
        <item x="131"/>
        <item x="2111"/>
        <item x="2337"/>
        <item x="3571"/>
        <item x="2420"/>
        <item x="2440"/>
        <item x="1165"/>
        <item x="4384"/>
        <item x="2926"/>
        <item x="1815"/>
        <item x="2418"/>
        <item x="3422"/>
        <item x="4051"/>
        <item x="4319"/>
        <item x="1169"/>
        <item x="2442"/>
        <item x="2782"/>
        <item x="120"/>
        <item x="2300"/>
        <item x="2097"/>
        <item x="2812"/>
        <item x="2930"/>
        <item x="3223"/>
        <item x="3414"/>
        <item x="2417"/>
        <item x="383"/>
        <item x="2927"/>
        <item x="2092"/>
        <item x="1214"/>
        <item x="1228"/>
        <item x="2098"/>
        <item x="311"/>
        <item x="377"/>
        <item x="2975"/>
        <item x="3569"/>
        <item x="2903"/>
        <item x="2972"/>
        <item x="3467"/>
        <item x="3506"/>
        <item x="2847"/>
        <item x="1984"/>
        <item x="513"/>
        <item x="1213"/>
        <item x="2095"/>
        <item x="122"/>
        <item x="2808"/>
        <item x="2925"/>
        <item x="2950"/>
        <item x="1401"/>
        <item x="2976"/>
        <item x="1387"/>
        <item x="115"/>
        <item x="3430"/>
        <item x="2439"/>
        <item x="4102"/>
        <item x="1813"/>
        <item x="4049"/>
        <item x="1873"/>
        <item x="2829"/>
        <item x="3429"/>
        <item x="2948"/>
        <item x="2100"/>
        <item x="3428"/>
        <item x="2264"/>
        <item x="1378"/>
        <item x="1295"/>
        <item x="2946"/>
        <item x="2093"/>
        <item x="2429"/>
        <item x="3435"/>
        <item x="2089"/>
        <item x="2824"/>
        <item x="4063"/>
        <item x="2430"/>
        <item x="2773"/>
        <item x="1308"/>
        <item x="2952"/>
        <item x="3230"/>
        <item x="3427"/>
        <item x="3211"/>
        <item x="2904"/>
        <item x="381"/>
        <item x="2341"/>
        <item x="2344"/>
        <item x="2820"/>
        <item x="2339"/>
        <item x="2143"/>
        <item x="4741"/>
        <item x="2340"/>
        <item x="4061"/>
        <item x="3464"/>
        <item x="2985"/>
        <item x="385"/>
        <item x="2973"/>
        <item x="3363"/>
        <item x="4038"/>
        <item x="112"/>
        <item x="4035"/>
        <item x="4343"/>
        <item x="2954"/>
        <item x="2803"/>
        <item x="4329"/>
        <item x="2374"/>
        <item x="2145"/>
        <item x="2850"/>
        <item x="2421"/>
        <item x="2955"/>
        <item x="3503"/>
        <item x="2104"/>
        <item x="2096"/>
        <item x="2112"/>
        <item x="4057"/>
        <item x="108"/>
        <item x="2342"/>
        <item x="4039"/>
        <item x="1167"/>
        <item x="2142"/>
        <item x="4053"/>
        <item x="4187"/>
        <item x="2343"/>
        <item x="111"/>
        <item x="4519"/>
        <item x="4337"/>
        <item x="2454"/>
        <item x="2141"/>
        <item x="2106"/>
        <item x="4339"/>
        <item x="2506"/>
        <item x="4055"/>
        <item x="2338"/>
        <item x="2922"/>
        <item x="4353"/>
        <item x="4037"/>
        <item x="109"/>
        <item x="2443"/>
        <item x="4735"/>
        <item x="1236"/>
        <item x="4335"/>
        <item x="4324"/>
        <item x="2896"/>
        <item x="1883"/>
        <item x="4036"/>
        <item x="2945"/>
        <item x="4427"/>
        <item x="4059"/>
        <item x="2154"/>
        <item x="1218"/>
        <item x="1240"/>
        <item x="1231"/>
        <item x="4333"/>
        <item x="213"/>
        <item x="4420"/>
        <item x="2102"/>
        <item x="4445"/>
        <item x="4008"/>
        <item x="2441"/>
        <item x="2126"/>
        <item x="2193"/>
        <item x="2918"/>
        <item x="388"/>
        <item x="335"/>
        <item x="2431"/>
        <item x="4331"/>
        <item x="1221"/>
        <item x="2408"/>
        <item x="2794"/>
        <item x="118"/>
        <item x="2432"/>
        <item x="4444"/>
        <item x="2905"/>
        <item x="2835"/>
        <item x="1373"/>
        <item x="1238"/>
        <item x="4032"/>
        <item x="1232"/>
        <item x="1230"/>
        <item x="1382"/>
        <item x="4795"/>
        <item x="113"/>
        <item x="3424"/>
        <item x="1158"/>
        <item x="1159"/>
        <item x="2330"/>
        <item x="1229"/>
        <item x="2906"/>
        <item x="2974"/>
        <item x="3367"/>
        <item x="312"/>
        <item x="327"/>
        <item x="2991"/>
        <item x="2811"/>
        <item x="2596"/>
        <item x="3416"/>
        <item x="2144"/>
        <item x="4338"/>
        <item x="1252"/>
        <item x="4043"/>
        <item x="2917"/>
        <item x="2346"/>
        <item x="4386"/>
        <item x="2094"/>
        <item x="2433"/>
        <item x="1596"/>
        <item x="2110"/>
        <item x="161"/>
        <item x="1825"/>
        <item x="1589"/>
        <item x="2841"/>
        <item x="4341"/>
        <item x="1579"/>
        <item x="4401"/>
        <item x="379"/>
        <item x="1816"/>
        <item x="3421"/>
        <item x="1403"/>
        <item x="2951"/>
        <item x="3436"/>
        <item x="2350"/>
        <item x="2345"/>
        <item x="2838"/>
        <item x="2819"/>
        <item x="2929"/>
        <item x="4326"/>
        <item x="196"/>
        <item x="2907"/>
        <item x="1583"/>
        <item x="4349"/>
        <item x="4050"/>
        <item x="1233"/>
        <item x="2422"/>
        <item x="3432"/>
        <item x="1402"/>
        <item x="2990"/>
        <item x="2108"/>
        <item x="1865"/>
        <item x="508"/>
        <item x="4033"/>
        <item x="1220"/>
        <item x="1394"/>
        <item x="1219"/>
        <item x="1858"/>
        <item x="2411"/>
        <item x="3538"/>
        <item x="1576"/>
        <item x="4323"/>
        <item x="4342"/>
        <item x="1234"/>
        <item x="2856"/>
        <item x="189"/>
        <item x="323"/>
        <item x="4111"/>
        <item x="2815"/>
        <item x="1224"/>
        <item x="4408"/>
        <item x="1386"/>
        <item x="2437"/>
        <item x="2949"/>
        <item x="3543"/>
        <item x="2378"/>
        <item x="2412"/>
        <item x="4370"/>
        <item x="3544"/>
        <item x="4347"/>
        <item x="2779"/>
        <item x="3218"/>
        <item x="440"/>
        <item x="2349"/>
        <item x="2608"/>
        <item x="2115"/>
        <item x="4424"/>
        <item x="4425"/>
        <item x="2140"/>
        <item x="193"/>
        <item x="2156"/>
        <item x="4360"/>
        <item x="2889"/>
        <item x="2807"/>
        <item x="3508"/>
        <item x="313"/>
        <item x="2410"/>
        <item x="126"/>
        <item x="2791"/>
        <item x="2114"/>
        <item x="1588"/>
        <item x="4042"/>
        <item x="2804"/>
        <item x="2118"/>
        <item x="2113"/>
        <item x="4423"/>
        <item x="3425"/>
        <item x="2116"/>
        <item x="4426"/>
        <item x="2117"/>
        <item x="1166"/>
        <item x="4364"/>
        <item x="1217"/>
        <item x="3420"/>
        <item x="4110"/>
        <item x="4029"/>
        <item x="2774"/>
        <item x="1356"/>
        <item x="3861"/>
        <item x="2828"/>
        <item x="2120"/>
        <item x="1210"/>
        <item x="127"/>
        <item x="333"/>
        <item x="2947"/>
        <item x="4356"/>
        <item x="2129"/>
        <item x="1216"/>
        <item x="2413"/>
        <item x="2785"/>
        <item x="1162"/>
        <item x="3231"/>
        <item x="2132"/>
        <item x="2137"/>
        <item x="2776"/>
        <item x="2956"/>
        <item x="129"/>
        <item x="191"/>
        <item x="2831"/>
        <item x="4393"/>
        <item x="2256"/>
        <item x="2788"/>
        <item x="4422"/>
        <item x="296"/>
        <item x="3565"/>
        <item x="4380"/>
        <item x="4376"/>
        <item x="130"/>
        <item x="4159"/>
        <item x="4046"/>
        <item x="4066"/>
        <item x="2409"/>
        <item x="4497"/>
        <item x="2823"/>
        <item x="314"/>
        <item x="4421"/>
        <item x="464"/>
        <item x="4374"/>
        <item x="1611"/>
        <item x="411"/>
        <item x="4044"/>
        <item x="2920"/>
        <item x="2348"/>
        <item x="2347"/>
        <item x="514"/>
        <item x="1812"/>
        <item x="1215"/>
        <item x="1294"/>
        <item x="197"/>
        <item x="4286"/>
        <item x="2953"/>
        <item x="1366"/>
        <item x="1837"/>
        <item x="2921"/>
        <item x="1805"/>
        <item x="3418"/>
        <item x="116"/>
        <item x="1352"/>
        <item x="1312"/>
        <item x="340"/>
        <item x="336"/>
        <item x="2451"/>
        <item x="1345"/>
        <item x="488"/>
        <item x="2434"/>
        <item x="456"/>
        <item x="2908"/>
        <item x="4040"/>
        <item x="1170"/>
        <item x="2130"/>
        <item x="214"/>
        <item x="4062"/>
        <item x="4332"/>
        <item x="472"/>
        <item x="2517"/>
        <item x="3557"/>
        <item x="2909"/>
        <item x="3461"/>
        <item x="325"/>
        <item x="2827"/>
        <item x="1223"/>
        <item x="1225"/>
        <item x="2797"/>
        <item x="1253"/>
        <item x="3210"/>
        <item x="315"/>
        <item x="2414"/>
        <item x="334"/>
        <item x="192"/>
        <item x="1194"/>
        <item x="339"/>
        <item x="1248"/>
        <item x="4334"/>
        <item x="2770"/>
        <item x="291"/>
        <item x="2658"/>
        <item x="293"/>
        <item x="4048"/>
        <item x="341"/>
        <item x="529"/>
        <item x="1494"/>
        <item x="4433"/>
        <item x="426"/>
        <item x="2601"/>
        <item x="2423"/>
        <item x="4242"/>
        <item x="1239"/>
        <item x="1406"/>
        <item x="4294"/>
        <item x="4403"/>
        <item x="4416"/>
        <item x="2932"/>
        <item x="3830"/>
        <item x="216"/>
        <item x="215"/>
        <item x="1241"/>
        <item x="1247"/>
        <item x="2605"/>
        <item x="212"/>
        <item x="1395"/>
        <item x="2853"/>
        <item x="1807"/>
        <item x="2458"/>
        <item x="4418"/>
        <item x="4034"/>
        <item x="372"/>
        <item x="4507"/>
        <item x="2603"/>
        <item x="3539"/>
        <item x="1357"/>
        <item x="4668"/>
        <item x="4402"/>
        <item x="117"/>
        <item x="217"/>
        <item x="304"/>
        <item x="4060"/>
        <item x="1222"/>
        <item x="2435"/>
        <item x="1809"/>
        <item x="1320"/>
        <item x="2775"/>
        <item x="4344"/>
        <item x="220"/>
        <item x="1808"/>
        <item x="110"/>
        <item x="1226"/>
        <item x="1298"/>
        <item x="1359"/>
        <item x="1869"/>
        <item x="337"/>
        <item x="218"/>
        <item x="4678"/>
        <item x="395"/>
        <item x="533"/>
        <item x="1405"/>
        <item x="4406"/>
        <item x="4045"/>
        <item x="4404"/>
        <item x="4047"/>
        <item x="4432"/>
        <item x="419"/>
        <item x="1384"/>
        <item x="1243"/>
        <item x="444"/>
        <item x="2796"/>
        <item x="4508"/>
        <item x="4273"/>
        <item x="4340"/>
        <item x="2890"/>
        <item x="4041"/>
        <item x="1407"/>
        <item x="4365"/>
        <item x="4447"/>
        <item x="317"/>
        <item x="1817"/>
        <item x="4052"/>
        <item x="1316"/>
        <item x="3765"/>
        <item x="4336"/>
        <item x="2799"/>
        <item x="125"/>
        <item x="1818"/>
        <item x="3533"/>
        <item x="4064"/>
        <item x="4277"/>
        <item x="1581"/>
        <item x="1981"/>
        <item x="2795"/>
        <item x="4405"/>
        <item x="3205"/>
        <item x="1819"/>
        <item x="1397"/>
        <item x="510"/>
        <item x="491"/>
        <item x="3509"/>
        <item x="1422"/>
        <item x="4428"/>
        <item x="1615"/>
        <item x="4054"/>
        <item x="4502"/>
        <item x="1797"/>
        <item x="328"/>
        <item x="1296"/>
        <item x="3560"/>
        <item x="2802"/>
        <item x="3431"/>
        <item x="124"/>
        <item x="349"/>
        <item x="1617"/>
        <item x="356"/>
        <item x="448"/>
        <item x="3583"/>
        <item x="1646"/>
        <item x="443"/>
        <item x="2428"/>
        <item x="4407"/>
        <item x="1201"/>
        <item x="869"/>
        <item x="4325"/>
        <item x="4311"/>
        <item x="2444"/>
        <item x="4410"/>
        <item x="1624"/>
        <item x="4265"/>
        <item x="4429"/>
        <item x="442"/>
        <item x="1502"/>
        <item x="316"/>
        <item x="4518"/>
        <item x="4119"/>
        <item x="4411"/>
        <item x="4248"/>
        <item x="2514"/>
        <item x="1375"/>
        <item x="2610"/>
        <item x="1355"/>
        <item x="1598"/>
        <item x="480"/>
        <item x="1685"/>
        <item x="2424"/>
        <item x="1168"/>
        <item x="1242"/>
        <item x="4346"/>
        <item x="2837"/>
        <item x="2800"/>
        <item x="318"/>
        <item x="1600"/>
        <item x="3528"/>
        <item x="1362"/>
        <item x="2882"/>
        <item x="3572"/>
        <item x="2893"/>
        <item x="1788"/>
        <item x="4409"/>
        <item x="4056"/>
        <item x="2425"/>
        <item x="2325"/>
        <item x="1163"/>
        <item x="493"/>
        <item x="492"/>
        <item x="2595"/>
        <item x="4328"/>
        <item x="1608"/>
        <item x="1385"/>
        <item x="4788"/>
        <item x="1602"/>
        <item x="301"/>
        <item x="2843"/>
        <item x="1866"/>
        <item x="4058"/>
        <item x="4443"/>
        <item x="490"/>
        <item x="1314"/>
        <item x="1822"/>
        <item x="1868"/>
        <item x="1365"/>
        <item x="1361"/>
        <item x="445"/>
        <item x="4434"/>
        <item x="4437"/>
        <item x="1358"/>
        <item x="1802"/>
        <item x="2195"/>
        <item x="4392"/>
        <item x="1573"/>
        <item x="363"/>
        <item x="1381"/>
        <item x="1360"/>
        <item x="447"/>
        <item x="1867"/>
        <item x="1227"/>
        <item x="2427"/>
        <item x="4387"/>
        <item x="2840"/>
        <item x="496"/>
        <item x="1354"/>
        <item x="1870"/>
        <item x="1901"/>
        <item x="3510"/>
        <item x="893"/>
        <item x="4085"/>
        <item x="3415"/>
        <item x="2426"/>
        <item x="4738"/>
        <item x="433"/>
        <item x="4186"/>
        <item x="219"/>
        <item x="1244"/>
        <item x="3552"/>
        <item x="4415"/>
        <item x="1396"/>
        <item x="2894"/>
        <item x="1389"/>
        <item x="29"/>
        <item x="4412"/>
        <item x="4440"/>
        <item x="1383"/>
        <item x="2832"/>
        <item x="1871"/>
        <item x="1377"/>
        <item x="3523"/>
        <item x="4330"/>
        <item x="1160"/>
        <item x="1388"/>
        <item x="1613"/>
        <item x="4732"/>
        <item x="2852"/>
        <item x="446"/>
        <item x="2892"/>
        <item x="1347"/>
        <item x="4389"/>
        <item x="3589"/>
        <item x="2846"/>
        <item x="1390"/>
        <item x="1379"/>
        <item x="4638"/>
        <item x="494"/>
        <item x="14"/>
        <item x="1821"/>
        <item x="1623"/>
        <item x="21"/>
        <item x="1348"/>
        <item x="4446"/>
        <item x="531"/>
        <item x="342"/>
        <item x="1398"/>
        <item x="1245"/>
        <item x="338"/>
        <item x="4790"/>
        <item x="4413"/>
        <item x="1811"/>
        <item x="3611"/>
        <item x="300"/>
        <item x="1353"/>
        <item x="1647"/>
        <item x="1843"/>
        <item x="4292"/>
        <item x="4391"/>
        <item x="2780"/>
        <item x="1619"/>
        <item x="2897"/>
        <item x="299"/>
        <item x="1363"/>
        <item x="1609"/>
        <item x="2895"/>
        <item x="414"/>
        <item x="1823"/>
        <item x="2786"/>
        <item x="1370"/>
        <item x="4388"/>
        <item x="298"/>
        <item x="386"/>
        <item x="1346"/>
        <item x="4371"/>
        <item x="2993"/>
        <item x="1371"/>
        <item x="1364"/>
        <item x="413"/>
        <item x="1535"/>
        <item x="1610"/>
        <item x="495"/>
        <item x="1372"/>
        <item x="1836"/>
        <item x="483"/>
        <item x="2777"/>
        <item x="3518"/>
        <item x="1810"/>
        <item x="4430"/>
        <item x="2923"/>
        <item x="4431"/>
        <item x="1829"/>
        <item x="884"/>
        <item x="2899"/>
        <item x="1831"/>
        <item x="1875"/>
        <item x="749"/>
        <item x="474"/>
        <item x="855"/>
        <item x="4312"/>
        <item x="2789"/>
        <item x="2891"/>
        <item x="1404"/>
        <item x="1834"/>
        <item x="2849"/>
        <item x="430"/>
        <item x="4666"/>
        <item x="2898"/>
        <item x="2086"/>
        <item x="415"/>
        <item x="3582"/>
        <item x="4194"/>
        <item x="2901"/>
        <item x="428"/>
        <item x="384"/>
        <item x="2568"/>
        <item x="416"/>
        <item x="3385"/>
        <item x="2826"/>
        <item x="4289"/>
        <item x="880"/>
        <item x="466"/>
        <item x="3511"/>
        <item x="1849"/>
        <item x="2888"/>
        <item x="1497"/>
        <item x="2884"/>
        <item x="486"/>
        <item x="2938"/>
        <item x="2936"/>
        <item x="303"/>
        <item x="467"/>
        <item x="2855"/>
        <item x="475"/>
        <item x="478"/>
        <item x="1621"/>
        <item x="2900"/>
        <item x="1391"/>
        <item x="4383"/>
        <item x="2178"/>
        <item x="1399"/>
        <item x="431"/>
        <item x="2934"/>
        <item x="3879"/>
        <item x="181"/>
        <item x="1859"/>
        <item x="2883"/>
        <item x="2902"/>
        <item x="484"/>
        <item x="4022"/>
        <item x="376"/>
        <item x="2885"/>
        <item x="418"/>
        <item x="4694"/>
        <item x="2994"/>
        <item x="417"/>
        <item x="476"/>
        <item x="4515"/>
        <item x="302"/>
        <item x="2875"/>
        <item x="2798"/>
        <item x="1351"/>
        <item x="3869"/>
        <item x="1349"/>
        <item x="4158"/>
        <item x="3872"/>
        <item x="1832"/>
        <item x="123"/>
        <item x="1840"/>
        <item x="479"/>
        <item x="515"/>
        <item x="4419"/>
        <item x="548"/>
        <item x="1860"/>
        <item x="1392"/>
        <item x="4065"/>
        <item x="3226"/>
        <item x="4313"/>
        <item x="4296"/>
        <item x="2887"/>
        <item x="863"/>
        <item x="425"/>
        <item x="267"/>
        <item x="1368"/>
        <item x="3559"/>
        <item x="2822"/>
        <item x="429"/>
        <item x="1887"/>
        <item x="1888"/>
        <item x="1632"/>
        <item x="364"/>
        <item x="485"/>
        <item x="1369"/>
        <item x="1595"/>
        <item x="362"/>
        <item x="1855"/>
        <item x="1350"/>
        <item x="2810"/>
        <item x="3590"/>
        <item x="468"/>
        <item x="1400"/>
        <item x="201"/>
        <item x="877"/>
        <item x="2816"/>
        <item x="3199"/>
        <item x="4351"/>
        <item x="2578"/>
        <item x="2886"/>
        <item x="2877"/>
        <item x="329"/>
        <item x="2989"/>
        <item x="3561"/>
        <item x="1604"/>
        <item x="2806"/>
        <item x="1606"/>
        <item x="332"/>
        <item x="330"/>
        <item x="2138"/>
        <item x="3994"/>
        <item x="2861"/>
        <item x="393"/>
        <item x="4390"/>
        <item x="380"/>
        <item x="1209"/>
        <item x="424"/>
        <item x="2133"/>
        <item x="458"/>
        <item x="3584"/>
        <item x="4235"/>
        <item x="1827"/>
        <item x="4399"/>
        <item x="2598"/>
        <item x="3579"/>
        <item x="455"/>
        <item x="4025"/>
        <item x="3593"/>
        <item x="3573"/>
        <item x="432"/>
        <item x="1146"/>
        <item x="387"/>
        <item x="3566"/>
        <item x="305"/>
        <item x="2801"/>
        <item x="17"/>
        <item x="2876"/>
        <item x="3513"/>
        <item x="392"/>
        <item x="477"/>
        <item x="2787"/>
        <item x="1852"/>
        <item x="2818"/>
        <item x="427"/>
        <item x="354"/>
        <item x="1792"/>
        <item x="353"/>
        <item x="2814"/>
        <item x="4555"/>
        <item x="2858"/>
        <item x="470"/>
        <item x="331"/>
        <item x="2039"/>
        <item x="873"/>
        <item x="2868"/>
        <item x="4394"/>
        <item x="2833"/>
        <item x="3828"/>
        <item x="4247"/>
        <item x="473"/>
        <item x="434"/>
        <item x="1846"/>
        <item x="403"/>
        <item x="4438"/>
        <item x="4293"/>
        <item x="4435"/>
        <item x="2943"/>
        <item x="2842"/>
        <item x="2611"/>
        <item x="378"/>
        <item x="350"/>
        <item x="2783"/>
        <item x="355"/>
        <item x="860"/>
        <item x="4400"/>
        <item x="4793"/>
        <item x="1322"/>
        <item x="361"/>
        <item x="1393"/>
        <item x="423"/>
        <item x="471"/>
        <item x="1190"/>
        <item x="1342"/>
        <item x="2448"/>
        <item x="0"/>
        <item x="469"/>
        <item x="2848"/>
        <item x="4395"/>
        <item x="541"/>
        <item x="352"/>
        <item x="888"/>
        <item x="463"/>
        <item x="3587"/>
        <item x="2447"/>
        <item x="511"/>
        <item x="1625"/>
        <item x="454"/>
        <item x="2597"/>
        <item x="357"/>
        <item x="4099"/>
        <item x="4441"/>
        <item x="310"/>
        <item x="422"/>
        <item x="351"/>
        <item x="2450"/>
        <item x="2793"/>
        <item x="367"/>
        <item x="3406"/>
        <item x="2830"/>
        <item x="544"/>
        <item x="2964"/>
        <item x="3555"/>
        <item x="200"/>
        <item x="1638"/>
        <item x="2860"/>
        <item x="2519"/>
        <item x="2586"/>
        <item x="253"/>
        <item x="382"/>
        <item x="366"/>
        <item x="577"/>
        <item x="459"/>
        <item x="2151"/>
        <item x="1627"/>
        <item x="2778"/>
        <item x="3748"/>
        <item x="2446"/>
        <item x="2940"/>
        <item x="3204"/>
        <item x="2859"/>
        <item x="3554"/>
        <item x="461"/>
        <item x="2724"/>
        <item x="3553"/>
        <item x="1080"/>
        <item x="3556"/>
        <item x="306"/>
        <item x="2127"/>
        <item x="4269"/>
        <item x="2449"/>
        <item x="2523"/>
        <item x="2941"/>
        <item x="512"/>
        <item x="462"/>
        <item x="2657"/>
        <item x="3578"/>
        <item x="4595"/>
        <item x="394"/>
        <item x="4348"/>
        <item x="2445"/>
        <item x="437"/>
        <item x="3576"/>
        <item x="436"/>
        <item x="2310"/>
        <item x="405"/>
        <item x="3616"/>
        <item x="4705"/>
        <item x="346"/>
        <item x="358"/>
        <item x="365"/>
        <item x="1629"/>
        <item x="16"/>
        <item x="1830"/>
        <item x="345"/>
        <item x="1616"/>
        <item x="1031"/>
        <item x="537"/>
        <item x="2153"/>
        <item x="2602"/>
        <item x="4649"/>
        <item x="3386"/>
        <item x="4350"/>
        <item x="2262"/>
        <item x="867"/>
        <item x="4355"/>
        <item x="523"/>
        <item x="498"/>
        <item x="18"/>
        <item x="2028"/>
        <item x="4359"/>
        <item x="2121"/>
        <item x="4672"/>
        <item x="503"/>
        <item x="198"/>
        <item x="2663"/>
        <item x="3524"/>
        <item x="4724"/>
        <item x="2150"/>
        <item x="202"/>
        <item x="2851"/>
        <item x="3779"/>
        <item x="2135"/>
        <item x="1491"/>
        <item x="1628"/>
        <item x="185"/>
        <item x="439"/>
        <item x="438"/>
        <item x="1626"/>
        <item x="3570"/>
        <item x="1861"/>
        <item x="308"/>
        <item x="3514"/>
        <item x="3519"/>
        <item x="482"/>
        <item x="22"/>
        <item x="2781"/>
        <item x="505"/>
        <item x="500"/>
        <item x="1630"/>
        <item x="441"/>
        <item x="23"/>
        <item x="450"/>
        <item x="460"/>
        <item x="3540"/>
        <item x="4682"/>
        <item x="320"/>
        <item x="324"/>
        <item x="4525"/>
        <item x="322"/>
        <item x="499"/>
        <item x="1820"/>
        <item x="1862"/>
        <item x="4398"/>
        <item x="2784"/>
        <item x="27"/>
        <item x="2790"/>
        <item x="451"/>
        <item x="2152"/>
        <item x="326"/>
        <item x="506"/>
        <item x="4442"/>
        <item x="2867"/>
        <item x="2845"/>
        <item x="347"/>
        <item x="497"/>
        <item x="15"/>
        <item x="25"/>
        <item x="2149"/>
        <item x="4363"/>
        <item x="4436"/>
        <item x="309"/>
        <item x="624"/>
        <item x="3612"/>
        <item x="2957"/>
        <item x="509"/>
        <item x="504"/>
        <item x="4439"/>
        <item x="4229"/>
        <item x="1787"/>
        <item x="102"/>
        <item x="435"/>
        <item x="24"/>
        <item x="501"/>
        <item x="180"/>
        <item x="3997"/>
        <item x="407"/>
        <item x="370"/>
        <item x="2609"/>
        <item x="26"/>
        <item x="1864"/>
        <item x="452"/>
        <item x="319"/>
        <item x="3564"/>
        <item x="368"/>
        <item x="307"/>
        <item x="4373"/>
        <item x="4369"/>
        <item x="101"/>
        <item x="507"/>
        <item x="2083"/>
        <item x="2662"/>
        <item x="453"/>
        <item x="321"/>
        <item x="9"/>
        <item x="4314"/>
        <item x="2059"/>
        <item x="3534"/>
        <item x="2607"/>
        <item x="1614"/>
        <item x="19"/>
        <item x="1863"/>
        <item x="3862"/>
        <item x="360"/>
        <item x="2718"/>
        <item x="3"/>
        <item x="4397"/>
        <item x="1824"/>
        <item x="344"/>
        <item x="369"/>
        <item x="2604"/>
        <item x="4185"/>
        <item x="2"/>
        <item x="3473"/>
        <item x="408"/>
        <item x="4677"/>
        <item x="1367"/>
        <item x="4316"/>
        <item x="203"/>
        <item x="3526"/>
        <item x="5"/>
        <item x="4315"/>
        <item x="2869"/>
        <item x="13"/>
        <item x="1882"/>
        <item x="4240"/>
        <item x="182"/>
        <item x="1631"/>
        <item x="2567"/>
        <item x="3531"/>
        <item x="4379"/>
        <item x="409"/>
        <item x="2538"/>
        <item x="3198"/>
        <item x="1841"/>
        <item x="421"/>
        <item x="4317"/>
        <item x="1636"/>
        <item x="11"/>
        <item x="7"/>
        <item x="3558"/>
        <item x="359"/>
        <item x="532"/>
        <item x="348"/>
        <item x="2147"/>
        <item x="2863"/>
        <item x="20"/>
        <item x="343"/>
        <item x="1612"/>
        <item x="420"/>
        <item x="3515"/>
        <item x="1876"/>
        <item x="4190"/>
        <item x="3521"/>
        <item x="3525"/>
        <item x="1309"/>
        <item x="2874"/>
        <item x="3516"/>
        <item x="1152"/>
        <item x="1794"/>
        <item x="3680"/>
        <item x="3529"/>
        <item x="534"/>
        <item x="3377"/>
        <item x="1328"/>
        <item x="2862"/>
        <item x="2878"/>
        <item x="2074"/>
        <item x="502"/>
        <item x="3613"/>
        <item x="1634"/>
        <item x="199"/>
        <item x="1877"/>
        <item x="2606"/>
        <item x="1622"/>
        <item x="2931"/>
        <item x="3368"/>
        <item x="2978"/>
        <item x="3197"/>
        <item x="982"/>
        <item x="3520"/>
        <item x="2881"/>
        <item x="406"/>
        <item x="397"/>
        <item x="4664"/>
        <item x="2395"/>
        <item x="391"/>
        <item x="1597"/>
        <item x="1618"/>
        <item x="169"/>
        <item x="3536"/>
        <item x="3541"/>
        <item x="3535"/>
        <item x="1578"/>
        <item x="4673"/>
        <item x="3501"/>
        <item x="1838"/>
        <item x="1620"/>
        <item x="2988"/>
        <item x="2910"/>
        <item x="1640"/>
        <item x="1684"/>
        <item x="530"/>
        <item x="3338"/>
        <item x="2698"/>
        <item x="3760"/>
        <item x="2805"/>
        <item x="1878"/>
        <item x="3592"/>
        <item x="2699"/>
        <item x="3530"/>
        <item x="517"/>
        <item x="1153"/>
        <item x="1607"/>
        <item x="1195"/>
        <item x="28"/>
        <item x="1149"/>
        <item x="410"/>
        <item x="2809"/>
        <item x="1879"/>
        <item x="2553"/>
        <item x="3996"/>
        <item x="390"/>
        <item x="2879"/>
        <item x="552"/>
        <item x="1644"/>
        <item x="2711"/>
        <item x="2034"/>
        <item x="3871"/>
        <item x="1642"/>
        <item x="2821"/>
        <item x="1884"/>
        <item x="3238"/>
        <item x="3472"/>
        <item x="3365"/>
        <item x="3575"/>
        <item x="1601"/>
        <item x="518"/>
        <item x="204"/>
        <item x="389"/>
        <item x="4"/>
        <item x="2655"/>
        <item x="10"/>
        <item x="2817"/>
        <item x="4157"/>
        <item x="2588"/>
        <item x="8"/>
        <item x="4713"/>
        <item x="6"/>
        <item x="3864"/>
        <item x="2872"/>
        <item x="3581"/>
        <item x="3568"/>
        <item x="2589"/>
        <item x="2590"/>
        <item x="1599"/>
        <item x="1301"/>
        <item x="1603"/>
        <item x="2664"/>
        <item x="2864"/>
        <item x="2967"/>
        <item x="2870"/>
        <item x="2085"/>
        <item x="3477"/>
        <item x="3646"/>
        <item x="2612"/>
        <item x="221"/>
        <item x="4216"/>
        <item x="3563"/>
        <item x="2916"/>
        <item x="3586"/>
        <item x="3835"/>
        <item x="519"/>
        <item x="2592"/>
        <item x="399"/>
        <item x="4643"/>
        <item x="1202"/>
        <item x="1586"/>
        <item x="3398"/>
        <item x="2702"/>
        <item x="2594"/>
        <item x="527"/>
        <item x="1155"/>
        <item x="2124"/>
        <item x="3364"/>
        <item x="2865"/>
        <item x="2134"/>
        <item x="3639"/>
        <item x="3865"/>
        <item x="1880"/>
        <item x="398"/>
        <item x="2911"/>
        <item x="3915"/>
        <item x="520"/>
        <item x="2036"/>
        <item x="1585"/>
        <item x="3494"/>
        <item x="4385"/>
        <item x="2563"/>
        <item x="4791"/>
        <item x="2697"/>
        <item x="12"/>
        <item x="2613"/>
        <item x="401"/>
        <item x="1826"/>
        <item x="2128"/>
        <item x="2136"/>
        <item x="2965"/>
        <item x="400"/>
        <item x="2871"/>
        <item x="211"/>
        <item x="2064"/>
        <item x="2119"/>
        <item x="402"/>
        <item x="141"/>
        <item x="2966"/>
        <item x="2587"/>
        <item x="1321"/>
        <item x="4806"/>
        <item x="2131"/>
        <item x="521"/>
        <item x="2617"/>
        <item x="4700"/>
        <item x="3758"/>
        <item x="2701"/>
        <item x="2968"/>
        <item x="2648"/>
        <item x="3484"/>
        <item x="1881"/>
        <item x="2063"/>
        <item x="2616"/>
        <item x="1587"/>
        <item x="2627"/>
        <item x="4122"/>
        <item x="2042"/>
        <item x="1208"/>
        <item x="2654"/>
        <item x="2065"/>
        <item x="3322"/>
        <item x="2615"/>
        <item x="2125"/>
        <item x="2912"/>
        <item x="2913"/>
        <item x="1605"/>
        <item x="2992"/>
        <item x="3808"/>
        <item x="2693"/>
        <item x="2836"/>
        <item x="2630"/>
        <item x="1584"/>
        <item x="2880"/>
        <item x="2813"/>
        <item x="2915"/>
        <item x="2680"/>
        <item x="522"/>
        <item x="528"/>
        <item x="3636"/>
        <item x="3542"/>
        <item x="2569"/>
        <item x="525"/>
        <item x="2937"/>
        <item x="2933"/>
        <item x="2935"/>
        <item x="2873"/>
        <item x="1582"/>
        <item x="526"/>
        <item x="2960"/>
        <item x="3676"/>
        <item x="3580"/>
        <item x="1793"/>
        <item x="3591"/>
        <item x="3212"/>
        <item x="2969"/>
        <item x="3644"/>
        <item x="1637"/>
        <item x="1635"/>
        <item x="2700"/>
        <item x="2694"/>
        <item x="2939"/>
        <item x="996"/>
        <item x="1886"/>
        <item x="2062"/>
        <item x="1639"/>
        <item x="3863"/>
        <item x="2914"/>
        <item x="2614"/>
        <item x="2696"/>
        <item x="2970"/>
        <item x="2825"/>
        <item x="3384"/>
        <item x="1633"/>
        <item x="1580"/>
        <item x="4243"/>
        <item x="167"/>
        <item x="2695"/>
        <item x="3500"/>
        <item x="2723"/>
        <item x="2571"/>
        <item x="4023"/>
        <item x="2958"/>
        <item x="210"/>
        <item x="2959"/>
        <item x="2060"/>
        <item x="3585"/>
        <item x="4233"/>
        <item x="2963"/>
        <item x="3232"/>
        <item x="1331"/>
        <item x="987"/>
        <item x="2539"/>
        <item x="3332"/>
        <item x="209"/>
        <item x="4125"/>
        <item x="229"/>
        <item x="1641"/>
        <item x="3790"/>
        <item x="166"/>
        <item x="1645"/>
        <item x="2751"/>
        <item x="2961"/>
        <item x="3567"/>
        <item x="2268"/>
        <item x="2982"/>
        <item x="2719"/>
        <item x="3832"/>
        <item x="154"/>
        <item x="2983"/>
        <item x="2721"/>
        <item x="1206"/>
        <item x="2722"/>
        <item x="168"/>
        <item x="4239"/>
        <item x="2962"/>
        <item x="165"/>
        <item x="992"/>
        <item x="1643"/>
        <item x="4071"/>
        <item x="2980"/>
        <item x="3471"/>
        <item x="2381"/>
        <item x="1985"/>
        <item x="2061"/>
        <item x="3574"/>
        <item x="3634"/>
        <item x="984"/>
        <item x="2566"/>
        <item x="2984"/>
        <item x="3382"/>
        <item x="2032"/>
        <item x="3242"/>
        <item x="4635"/>
        <item x="208"/>
        <item x="3225"/>
        <item x="2866"/>
        <item x="3562"/>
        <item x="4161"/>
        <item x="2979"/>
        <item x="4162"/>
        <item x="3507"/>
        <item x="1844"/>
        <item x="1847"/>
        <item x="2509"/>
        <item x="1566"/>
        <item x="1835"/>
        <item x="991"/>
        <item x="4529"/>
        <item x="2720"/>
        <item x="3614"/>
        <item x="207"/>
        <item x="3995"/>
        <item x="4077"/>
        <item x="1332"/>
        <item x="2676"/>
        <item x="3497"/>
        <item x="4191"/>
        <item x="2999"/>
        <item x="205"/>
        <item x="1833"/>
        <item x="3220"/>
        <item x="3766"/>
        <item x="3276"/>
        <item x="1828"/>
        <item x="2942"/>
        <item x="2981"/>
        <item x="999"/>
        <item x="2524"/>
        <item x="2651"/>
        <item x="578"/>
        <item x="1998"/>
        <item x="3483"/>
        <item x="1850"/>
        <item x="2035"/>
        <item x="3771"/>
        <item x="4357"/>
        <item x="3496"/>
        <item x="3277"/>
        <item x="1856"/>
        <item x="4813"/>
        <item x="3498"/>
        <item x="4205"/>
        <item x="3268"/>
        <item x="4361"/>
        <item x="3499"/>
        <item x="3910"/>
        <item x="4156"/>
        <item x="3929"/>
        <item x="3410"/>
        <item x="3867"/>
        <item x="4215"/>
        <item x="2712"/>
        <item x="1897"/>
        <item x="164"/>
        <item x="4660"/>
        <item x="1203"/>
        <item x="1889"/>
        <item x="4271"/>
        <item x="3411"/>
        <item x="1336"/>
        <item x="1853"/>
        <item x="3866"/>
        <item x="3333"/>
        <item x="3444"/>
        <item x="2556"/>
        <item x="3952"/>
        <item x="4378"/>
        <item x="2044"/>
        <item x="132"/>
        <item x="3914"/>
        <item x="2839"/>
        <item x="3980"/>
        <item x="4657"/>
        <item x="3485"/>
        <item x="2714"/>
        <item x="3594"/>
        <item x="4622"/>
        <item x="2027"/>
        <item x="2351"/>
        <item x="2533"/>
        <item x="2570"/>
        <item x="2713"/>
        <item x="909"/>
        <item x="2725"/>
        <item x="3381"/>
        <item x="1330"/>
        <item x="2715"/>
        <item x="2536"/>
        <item x="4188"/>
        <item x="2716"/>
        <item x="2535"/>
        <item x="2717"/>
        <item x="1044"/>
        <item x="2456"/>
        <item x="4210"/>
        <item x="2537"/>
        <item x="2521"/>
        <item x="4198"/>
        <item x="4725"/>
        <item x="3296"/>
        <item x="4711"/>
        <item x="4633"/>
        <item x="4659"/>
        <item x="4372"/>
        <item x="1343"/>
        <item x="4382"/>
        <item x="4211"/>
        <item x="3626"/>
        <item x="4354"/>
        <item x="3930"/>
        <item x="930"/>
        <item x="2534"/>
        <item x="4352"/>
        <item x="1204"/>
        <item x="4214"/>
        <item x="4358"/>
        <item x="4021"/>
        <item x="3837"/>
        <item x="4192"/>
        <item x="3941"/>
        <item x="2532"/>
        <item x="981"/>
        <item x="4730"/>
        <item x="4213"/>
        <item x="4809"/>
        <item x="3408"/>
        <item x="4367"/>
        <item x="3495"/>
        <item x="4652"/>
        <item x="3334"/>
        <item x="4212"/>
        <item x="4692"/>
        <item x="3413"/>
        <item x="3836"/>
        <item x="1002"/>
        <item x="1300"/>
        <item x="3239"/>
        <item x="2038"/>
        <item x="4810"/>
        <item x="3409"/>
        <item x="4377"/>
        <item x="3963"/>
        <item x="4808"/>
        <item x="4689"/>
        <item x="4495"/>
        <item x="4683"/>
        <item x="4720"/>
        <item x="4811"/>
        <item x="4129"/>
        <item x="184"/>
        <item x="268"/>
        <item x="3482"/>
        <item x="4648"/>
        <item x="1333"/>
        <item x="4123"/>
        <item x="183"/>
        <item x="1344"/>
        <item x="2007"/>
        <item x="3336"/>
        <item x="3588"/>
        <item x="4368"/>
        <item x="4626"/>
        <item x="4658"/>
        <item x="4807"/>
        <item x="4082"/>
        <item x="1986"/>
        <item x="2508"/>
        <item x="4632"/>
        <item x="4217"/>
        <item x="2687"/>
        <item x="4244"/>
        <item x="2030"/>
        <item x="282"/>
        <item x="3383"/>
        <item x="3925"/>
        <item x="4381"/>
        <item x="1297"/>
        <item x="2389"/>
        <item x="292"/>
        <item x="4288"/>
        <item x="2686"/>
        <item x="2666"/>
        <item x="3911"/>
        <item x="2583"/>
        <item x="4618"/>
        <item x="4362"/>
        <item x="1318"/>
        <item x="3335"/>
        <item x="4704"/>
        <item x="1198"/>
        <item x="3532"/>
        <item x="3686"/>
        <item x="2685"/>
        <item x="4675"/>
        <item x="3793"/>
        <item x="4812"/>
        <item x="2491"/>
        <item x="4218"/>
        <item x="1205"/>
        <item x="3486"/>
        <item x="4662"/>
        <item x="2649"/>
        <item x="4228"/>
        <item x="2582"/>
        <item x="3107"/>
        <item x="4656"/>
        <item x="3387"/>
        <item x="3844"/>
        <item x="3604"/>
        <item x="3762"/>
        <item x="3734"/>
        <item x="4695"/>
        <item x="4017"/>
        <item x="3685"/>
        <item x="2090"/>
        <item x="4078"/>
        <item x="4256"/>
        <item x="1299"/>
        <item x="1102"/>
        <item x="2052"/>
        <item x="163"/>
        <item x="3610"/>
        <item x="4199"/>
        <item x="1334"/>
        <item x="3841"/>
        <item x="3404"/>
        <item x="2282"/>
        <item x="186"/>
        <item x="3351"/>
        <item x="1949"/>
        <item x="3783"/>
        <item x="4027"/>
        <item x="2495"/>
        <item x="3537"/>
        <item x="3378"/>
        <item x="3849"/>
        <item x="4139"/>
        <item x="2045"/>
        <item x="2390"/>
        <item x="2684"/>
        <item x="3517"/>
        <item x="2436"/>
        <item x="3476"/>
        <item x="3596"/>
        <item x="3481"/>
        <item x="3804"/>
        <item x="3512"/>
        <item x="2683"/>
        <item x="1326"/>
        <item x="4200"/>
        <item x="4003"/>
        <item x="1199"/>
        <item x="3781"/>
        <item x="1015"/>
        <item x="3998"/>
        <item x="4201"/>
        <item x="2559"/>
        <item x="4149"/>
        <item x="4693"/>
        <item x="3846"/>
        <item x="1575"/>
        <item x="3738"/>
        <item x="3979"/>
        <item x="2274"/>
        <item x="4623"/>
        <item x="1087"/>
        <item x="1559"/>
        <item x="3696"/>
        <item x="276"/>
        <item x="3608"/>
        <item x="3732"/>
        <item x="2041"/>
        <item x="3691"/>
        <item x="1323"/>
        <item x="2273"/>
        <item x="2529"/>
        <item x="4011"/>
        <item x="1951"/>
        <item x="3744"/>
        <item x="3621"/>
        <item x="3330"/>
        <item x="3278"/>
        <item x="1996"/>
        <item x="4676"/>
        <item x="4195"/>
        <item x="2146"/>
        <item x="2000"/>
        <item x="2275"/>
        <item x="4512"/>
        <item x="4799"/>
        <item x="2706"/>
        <item x="1207"/>
        <item x="404"/>
        <item x="1327"/>
        <item x="1993"/>
        <item x="157"/>
        <item x="1325"/>
        <item x="4189"/>
        <item x="1997"/>
        <item x="2323"/>
        <item x="3774"/>
        <item x="160"/>
        <item x="155"/>
        <item x="2558"/>
        <item x="3246"/>
        <item x="3325"/>
        <item x="2271"/>
        <item x="3328"/>
        <item x="105"/>
        <item x="3260"/>
        <item x="3650"/>
        <item x="1324"/>
        <item x="4619"/>
        <item x="3924"/>
        <item x="4016"/>
        <item x="2402"/>
        <item x="3376"/>
        <item x="966"/>
        <item x="3326"/>
        <item x="2401"/>
        <item x="4196"/>
        <item x="3704"/>
        <item x="3854"/>
        <item x="3280"/>
        <item x="4815"/>
        <item x="3545"/>
        <item x="2301"/>
        <item x="2564"/>
        <item x="962"/>
        <item x="2551"/>
        <item x="170"/>
        <item x="156"/>
        <item x="4814"/>
        <item x="1547"/>
        <item x="4521"/>
        <item x="3279"/>
        <item x="1335"/>
        <item x="3407"/>
        <item x="3801"/>
        <item x="4091"/>
        <item x="4645"/>
        <item x="4193"/>
        <item x="4646"/>
        <item x="4644"/>
        <item x="148"/>
        <item x="3956"/>
        <item x="1001"/>
        <item x="3940"/>
        <item x="2531"/>
        <item x="4414"/>
        <item x="1038"/>
        <item x="2560"/>
        <item x="4651"/>
        <item x="4168"/>
        <item x="159"/>
        <item x="2520"/>
        <item x="3522"/>
        <item x="3655"/>
        <item x="958"/>
        <item x="2997"/>
        <item x="4366"/>
        <item x="3180"/>
        <item x="2469"/>
        <item x="4671"/>
        <item x="4012"/>
        <item x="3802"/>
        <item x="4639"/>
        <item x="2391"/>
        <item x="3478"/>
        <item x="2393"/>
        <item x="3327"/>
        <item x="3480"/>
        <item x="3968"/>
        <item x="1054"/>
        <item x="4818"/>
        <item x="4500"/>
        <item x="1534"/>
        <item x="158"/>
        <item x="4819"/>
        <item x="4225"/>
        <item x="1803"/>
        <item x="225"/>
        <item x="2392"/>
        <item x="3936"/>
        <item x="1988"/>
        <item x="4226"/>
        <item x="4227"/>
        <item x="4224"/>
        <item x="3217"/>
        <item x="4018"/>
        <item x="4817"/>
        <item x="3693"/>
        <item x="4001"/>
        <item x="4816"/>
        <item x="1989"/>
        <item x="3295"/>
        <item x="1935"/>
        <item x="1990"/>
        <item x="3852"/>
        <item x="4514"/>
        <item x="2557"/>
        <item x="2001"/>
        <item x="4684"/>
        <item x="3595"/>
        <item x="4773"/>
        <item x="895"/>
        <item x="3666"/>
        <item x="2526"/>
        <item x="4183"/>
        <item x="593"/>
        <item x="3770"/>
        <item x="2565"/>
        <item x="4223"/>
        <item x="4030"/>
        <item x="2561"/>
        <item x="1551"/>
        <item x="3796"/>
        <item x="1120"/>
        <item x="1798"/>
        <item x="2530"/>
        <item x="4717"/>
        <item x="2002"/>
        <item x="4628"/>
        <item x="1991"/>
        <item x="1999"/>
        <item x="3754"/>
        <item x="1305"/>
        <item x="3923"/>
        <item x="4083"/>
        <item x="1306"/>
        <item x="1987"/>
        <item x="516"/>
        <item x="4234"/>
        <item x="1304"/>
        <item x="4531"/>
        <item x="3301"/>
        <item x="4468"/>
        <item x="1904"/>
        <item x="4241"/>
        <item x="1307"/>
        <item x="3323"/>
        <item x="3412"/>
        <item x="4258"/>
        <item x="951"/>
        <item x="1200"/>
        <item x="3527"/>
        <item x="3695"/>
        <item x="2270"/>
        <item x="944"/>
        <item x="3329"/>
        <item x="1063"/>
        <item x="2207"/>
        <item x="4010"/>
        <item x="3706"/>
        <item x="2073"/>
        <item x="3797"/>
        <item x="1992"/>
        <item x="2025"/>
        <item x="634"/>
        <item x="3972"/>
        <item x="973"/>
        <item x="1939"/>
        <item x="3648"/>
        <item x="3598"/>
        <item x="931"/>
        <item x="3300"/>
        <item x="2527"/>
        <item x="902"/>
        <item x="1003"/>
        <item x="1510"/>
        <item x="2016"/>
        <item x="2013"/>
        <item x="1172"/>
        <item x="3600"/>
        <item x="1930"/>
        <item x="3874"/>
        <item x="2585"/>
        <item x="290"/>
        <item x="1196"/>
        <item x="2020"/>
        <item x="2019"/>
        <item x="2492"/>
        <item x="3324"/>
        <item x="2303"/>
        <item x="1936"/>
        <item x="4653"/>
        <item x="2679"/>
        <item x="2452"/>
        <item x="1553"/>
        <item x="4650"/>
        <item x="3759"/>
        <item x="1801"/>
        <item x="4753"/>
        <item x="1944"/>
        <item x="3466"/>
        <item x="3605"/>
        <item x="1895"/>
        <item x="4146"/>
        <item x="396"/>
        <item x="3463"/>
        <item x="3750"/>
        <item x="2304"/>
        <item x="4219"/>
        <item x="2299"/>
        <item x="2528"/>
        <item x="2584"/>
        <item x="985"/>
        <item x="932"/>
        <item x="1556"/>
        <item x="4707"/>
        <item x="4513"/>
        <item x="4637"/>
        <item x="2269"/>
        <item x="1799"/>
        <item x="4081"/>
        <item x="3935"/>
        <item x="3352"/>
        <item x="3370"/>
        <item x="3708"/>
        <item x="4723"/>
        <item x="4133"/>
        <item x="4716"/>
        <item x="3374"/>
        <item x="3672"/>
        <item x="3710"/>
        <item x="2003"/>
        <item x="2008"/>
        <item x="980"/>
        <item x="3919"/>
        <item x="3868"/>
        <item x="3602"/>
        <item x="4709"/>
        <item x="2258"/>
        <item x="4375"/>
        <item x="1934"/>
        <item x="4524"/>
        <item x="3946"/>
        <item x="1929"/>
        <item x="935"/>
        <item x="412"/>
        <item x="1095"/>
        <item x="2272"/>
        <item x="3736"/>
        <item x="2286"/>
        <item x="1892"/>
        <item x="1319"/>
        <item x="1187"/>
        <item x="934"/>
        <item x="1070"/>
        <item x="916"/>
        <item x="3299"/>
        <item x="1905"/>
        <item x="1940"/>
        <item x="936"/>
        <item x="1994"/>
        <item x="4118"/>
        <item x="2087"/>
        <item x="3826"/>
        <item x="4564"/>
        <item x="3166"/>
        <item x="3479"/>
        <item x="4088"/>
        <item x="3659"/>
        <item x="3177"/>
        <item x="287"/>
        <item x="3550"/>
        <item x="3625"/>
        <item x="4142"/>
        <item x="894"/>
        <item x="1557"/>
        <item x="1908"/>
        <item x="465"/>
        <item x="1103"/>
        <item x="3389"/>
        <item x="3298"/>
        <item x="2298"/>
        <item x="1565"/>
        <item x="1023"/>
        <item x="2283"/>
        <item x="3178"/>
        <item x="1303"/>
        <item x="4130"/>
        <item x="4013"/>
        <item x="1069"/>
        <item x="3317"/>
        <item x="1520"/>
        <item x="4182"/>
        <item x="3281"/>
        <item x="2048"/>
        <item x="3623"/>
        <item x="4222"/>
        <item x="3206"/>
        <item x="288"/>
        <item x="3920"/>
        <item x="4522"/>
        <item x="990"/>
        <item x="3784"/>
        <item x="1211"/>
        <item x="284"/>
        <item x="2394"/>
        <item x="1078"/>
        <item x="3674"/>
        <item x="4136"/>
        <item x="1006"/>
        <item x="1104"/>
        <item x="3551"/>
        <item x="1249"/>
        <item x="289"/>
        <item x="173"/>
        <item x="933"/>
        <item x="3913"/>
        <item x="1090"/>
        <item x="3487"/>
        <item x="285"/>
        <item x="1302"/>
        <item x="1030"/>
        <item x="1143"/>
        <item x="1089"/>
        <item x="3939"/>
        <item x="4087"/>
        <item x="1310"/>
        <item x="2208"/>
        <item x="4024"/>
        <item x="3474"/>
        <item x="3606"/>
        <item x="3945"/>
        <item x="4647"/>
        <item x="277"/>
        <item x="2285"/>
        <item x="3683"/>
        <item x="4220"/>
        <item x="4600"/>
        <item x="4147"/>
        <item x="1017"/>
        <item x="2297"/>
        <item x="524"/>
        <item x="1511"/>
        <item x="2287"/>
        <item x="1043"/>
        <item x="4072"/>
        <item x="857"/>
        <item x="3548"/>
        <item x="1501"/>
        <item x="1907"/>
        <item x="4533"/>
        <item x="3373"/>
        <item x="3681"/>
        <item x="3049"/>
        <item x="3670"/>
        <item x="1091"/>
        <item x="2006"/>
        <item x="1537"/>
        <item x="3883"/>
        <item x="4140"/>
        <item x="1109"/>
        <item x="3454"/>
        <item x="1943"/>
        <item x="4069"/>
        <item x="4702"/>
        <item x="2516"/>
        <item x="4733"/>
        <item x="4627"/>
        <item x="4687"/>
        <item x="2266"/>
        <item x="1018"/>
        <item x="2088"/>
        <item x="3297"/>
        <item x="2221"/>
        <item x="3957"/>
        <item x="3902"/>
        <item x="1558"/>
        <item x="4202"/>
        <item x="2388"/>
        <item x="4654"/>
        <item x="4221"/>
        <item x="2548"/>
        <item x="1021"/>
        <item x="1982"/>
        <item x="3549"/>
        <item x="886"/>
        <item x="1022"/>
        <item x="648"/>
        <item x="2210"/>
        <item x="1040"/>
        <item x="2265"/>
        <item x="1014"/>
        <item x="1020"/>
        <item x="2546"/>
        <item x="4298"/>
        <item x="1011"/>
        <item x="4820"/>
        <item x="4253"/>
        <item x="1552"/>
        <item x="3743"/>
        <item x="923"/>
        <item x="2332"/>
        <item x="4089"/>
        <item x="4028"/>
        <item x="2227"/>
        <item x="550"/>
        <item x="988"/>
        <item x="2403"/>
        <item x="1055"/>
        <item x="2379"/>
        <item x="106"/>
        <item x="4096"/>
        <item x="3974"/>
        <item x="2284"/>
        <item x="2296"/>
        <item x="4180"/>
        <item x="1106"/>
        <item x="3660"/>
        <item x="1108"/>
        <item x="4126"/>
        <item x="3547"/>
        <item x="868"/>
        <item x="3934"/>
        <item x="3800"/>
        <item x="4143"/>
        <item x="1542"/>
        <item x="2550"/>
        <item x="3255"/>
        <item x="2309"/>
        <item x="2331"/>
        <item x="4259"/>
        <item x="3967"/>
        <item x="3256"/>
        <item x="1008"/>
        <item x="286"/>
        <item x="1092"/>
        <item x="4086"/>
        <item x="967"/>
        <item x="4295"/>
        <item x="4170"/>
        <item x="1019"/>
        <item x="3601"/>
        <item x="3546"/>
        <item x="2224"/>
        <item x="1116"/>
        <item x="1107"/>
        <item x="997"/>
        <item x="1906"/>
        <item x="1041"/>
        <item x="3873"/>
        <item x="3795"/>
        <item x="3257"/>
        <item x="2047"/>
        <item x="3859"/>
        <item x="2267"/>
        <item x="3931"/>
        <item x="1004"/>
        <item x="2494"/>
        <item x="4691"/>
        <item x="1995"/>
        <item x="2054"/>
        <item x="2049"/>
        <item x="2222"/>
        <item x="998"/>
        <item x="3258"/>
        <item x="2671"/>
        <item x="2834"/>
        <item x="4636"/>
        <item x="3827"/>
        <item x="2053"/>
        <item x="1056"/>
        <item x="912"/>
        <item x="1060"/>
        <item x="4805"/>
        <item x="4073"/>
        <item x="4290"/>
        <item x="3962"/>
        <item x="1093"/>
        <item x="1042"/>
        <item x="1175"/>
        <item x="3876"/>
        <item x="3597"/>
        <item x="1105"/>
        <item x="2055"/>
        <item x="3777"/>
        <item x="1329"/>
        <item x="3259"/>
        <item x="4787"/>
        <item x="3462"/>
        <item x="2572"/>
        <item x="3955"/>
        <item x="4151"/>
        <item x="1094"/>
        <item x="4760"/>
        <item x="1910"/>
        <item x="3999"/>
        <item x="171"/>
        <item x="4697"/>
        <item x="2549"/>
        <item x="3829"/>
        <item x="4178"/>
        <item x="4472"/>
        <item x="2493"/>
        <item x="2404"/>
        <item x="2051"/>
        <item x="994"/>
        <item x="3735"/>
        <item x="1197"/>
        <item x="4150"/>
        <item x="1009"/>
        <item x="3489"/>
        <item x="874"/>
        <item x="4283"/>
        <item x="3475"/>
        <item x="2050"/>
        <item x="4197"/>
        <item x="1902"/>
        <item x="995"/>
        <item x="295"/>
        <item x="2505"/>
        <item x="4804"/>
        <item x="3607"/>
        <item x="4074"/>
        <item x="4731"/>
        <item x="4251"/>
        <item x="2281"/>
        <item x="1045"/>
        <item x="2540"/>
        <item x="4703"/>
        <item x="3445"/>
        <item x="3725"/>
        <item x="4710"/>
        <item x="993"/>
        <item x="3858"/>
        <item x="2324"/>
        <item x="2215"/>
        <item x="2580"/>
        <item x="986"/>
        <item x="1057"/>
        <item x="3029"/>
        <item x="2288"/>
        <item x="3245"/>
        <item x="1544"/>
        <item x="2278"/>
        <item x="2066"/>
        <item x="1509"/>
        <item x="1561"/>
        <item x="4090"/>
        <item x="2460"/>
        <item x="3615"/>
        <item x="4526"/>
        <item x="2081"/>
        <item x="4396"/>
        <item x="3877"/>
        <item x="2004"/>
        <item x="1555"/>
        <item x="1059"/>
        <item x="4798"/>
        <item x="2056"/>
        <item x="4797"/>
        <item x="2307"/>
        <item x="4291"/>
        <item x="1000"/>
        <item x="1013"/>
        <item x="3468"/>
        <item x="1046"/>
        <item x="1337"/>
        <item x="2396"/>
        <item x="4236"/>
        <item x="274"/>
        <item x="3320"/>
        <item x="3657"/>
        <item x="1012"/>
        <item x="3599"/>
        <item x="2046"/>
        <item x="4780"/>
        <item x="1058"/>
        <item x="4726"/>
        <item x="1554"/>
        <item x="3603"/>
        <item x="3664"/>
        <item x="1005"/>
        <item x="3176"/>
        <item x="4655"/>
        <item x="2057"/>
        <item x="3399"/>
        <item x="2223"/>
        <item x="983"/>
        <item x="3253"/>
        <item x="989"/>
        <item x="4230"/>
        <item x="1538"/>
        <item x="172"/>
        <item x="4680"/>
        <item x="4800"/>
        <item x="1560"/>
        <item x="4176"/>
        <item x="4722"/>
        <item x="1536"/>
        <item x="1007"/>
        <item x="4803"/>
        <item x="2279"/>
        <item x="1061"/>
        <item x="968"/>
        <item x="2755"/>
        <item x="2387"/>
        <item x="1180"/>
        <item x="4174"/>
        <item x="1010"/>
        <item x="1909"/>
        <item x="4728"/>
        <item x="2581"/>
        <item x="4475"/>
        <item x="961"/>
        <item x="4801"/>
        <item x="2280"/>
        <item x="913"/>
        <item x="4467"/>
        <item x="2522"/>
        <item x="2212"/>
        <item x="3778"/>
        <item x="2213"/>
        <item x="1338"/>
        <item x="4718"/>
        <item x="2525"/>
        <item x="1047"/>
        <item x="3488"/>
        <item x="3346"/>
        <item x="3789"/>
        <item x="2058"/>
        <item x="3909"/>
        <item x="187"/>
        <item x="3447"/>
        <item x="1563"/>
        <item x="3179"/>
        <item x="911"/>
        <item x="3842"/>
        <item x="4604"/>
        <item x="2398"/>
        <item x="149"/>
        <item x="1514"/>
        <item x="4777"/>
        <item x="4714"/>
        <item x="4245"/>
        <item x="2555"/>
        <item x="1185"/>
        <item x="546"/>
        <item x="536"/>
        <item x="4690"/>
        <item x="539"/>
        <item x="4084"/>
        <item x="556"/>
        <item x="971"/>
        <item x="953"/>
        <item x="1540"/>
        <item x="4152"/>
        <item x="4552"/>
        <item x="4699"/>
        <item x="4708"/>
        <item x="1564"/>
        <item x="3922"/>
        <item x="4007"/>
        <item x="3403"/>
        <item x="1539"/>
        <item x="4721"/>
        <item x="4712"/>
        <item x="3490"/>
        <item x="2544"/>
        <item x="3227"/>
        <item x="970"/>
        <item x="3042"/>
        <item x="2554"/>
        <item x="2382"/>
        <item x="4255"/>
        <item x="1562"/>
        <item x="955"/>
        <item x="543"/>
        <item x="954"/>
        <item x="914"/>
        <item x="972"/>
        <item x="2376"/>
        <item x="969"/>
        <item x="1532"/>
        <item x="2475"/>
        <item x="373"/>
        <item x="2543"/>
        <item x="2541"/>
        <item x="4264"/>
        <item x="3662"/>
        <item x="1250"/>
        <item x="977"/>
        <item x="4268"/>
        <item x="3347"/>
        <item x="3133"/>
        <item x="4775"/>
        <item x="542"/>
        <item x="4802"/>
        <item x="4093"/>
        <item x="1492"/>
        <item x="188"/>
        <item x="979"/>
        <item x="554"/>
        <item x="945"/>
        <item x="592"/>
        <item x="4617"/>
        <item x="937"/>
        <item x="2386"/>
        <item x="1531"/>
        <item x="4776"/>
        <item x="2329"/>
        <item x="2380"/>
        <item x="1446"/>
        <item x="3441"/>
        <item x="2552"/>
        <item x="4729"/>
        <item x="3443"/>
        <item x="3048"/>
        <item x="1311"/>
        <item x="1541"/>
        <item x="2305"/>
        <item x="1515"/>
        <item x="4155"/>
        <item x="1340"/>
        <item x="3870"/>
        <item x="2209"/>
        <item x="4496"/>
        <item x="976"/>
        <item x="283"/>
        <item x="975"/>
        <item x="3742"/>
        <item x="2159"/>
        <item x="3446"/>
        <item x="2547"/>
        <item x="2399"/>
        <item x="897"/>
        <item x="603"/>
        <item x="3174"/>
        <item x="904"/>
        <item x="4527"/>
        <item x="4661"/>
        <item x="143"/>
        <item x="2496"/>
        <item x="1339"/>
        <item x="2400"/>
        <item x="949"/>
        <item x="1432"/>
        <item x="4109"/>
        <item x="946"/>
        <item x="3440"/>
        <item x="4249"/>
        <item x="2513"/>
        <item x="190"/>
        <item x="4237"/>
        <item x="3847"/>
        <item x="2542"/>
        <item x="3044"/>
        <item x="2397"/>
        <item x="2302"/>
        <item x="152"/>
        <item x="3856"/>
        <item x="3753"/>
        <item x="2218"/>
        <item x="4778"/>
        <item x="974"/>
        <item x="929"/>
        <item x="3175"/>
        <item x="2242"/>
        <item x="978"/>
        <item x="4796"/>
        <item x="791"/>
        <item x="4263"/>
        <item x="1292"/>
        <item x="3764"/>
        <item x="905"/>
        <item x="2158"/>
        <item x="947"/>
        <item x="903"/>
        <item x="4602"/>
        <item x="950"/>
        <item x="664"/>
        <item x="4601"/>
        <item x="2076"/>
        <item x="4754"/>
        <item x="4782"/>
        <item x="3400"/>
        <item x="3960"/>
        <item x="3928"/>
        <item x="1313"/>
        <item x="3362"/>
        <item x="4154"/>
        <item x="3912"/>
        <item x="2077"/>
        <item x="4772"/>
        <item x="1186"/>
        <item x="2277"/>
        <item x="3971"/>
        <item x="4640"/>
        <item x="1341"/>
        <item x="4231"/>
        <item x="960"/>
        <item x="915"/>
        <item x="4551"/>
        <item x="2157"/>
        <item x="1317"/>
        <item x="3460"/>
        <item x="3890"/>
        <item x="4101"/>
        <item x="2075"/>
        <item x="3947"/>
        <item x="948"/>
        <item x="928"/>
        <item x="861"/>
        <item x="4759"/>
        <item x="1947"/>
        <item x="2986"/>
        <item x="2765"/>
        <item x="3402"/>
        <item x="4642"/>
        <item x="1437"/>
        <item x="3807"/>
        <item x="956"/>
        <item x="4755"/>
        <item x="3839"/>
        <item x="2333"/>
        <item x="4781"/>
        <item x="2005"/>
        <item x="4603"/>
        <item x="4769"/>
        <item x="1438"/>
        <item x="2220"/>
        <item x="3060"/>
        <item x="910"/>
        <item x="3853"/>
        <item x="3348"/>
        <item x="4308"/>
        <item x="1475"/>
        <item x="3887"/>
        <item x="4771"/>
        <item x="4310"/>
        <item x="3903"/>
        <item x="4641"/>
        <item x="3303"/>
        <item x="4785"/>
        <item x="3638"/>
        <item x="4779"/>
        <item x="4663"/>
        <item x="2078"/>
        <item x="959"/>
        <item x="896"/>
        <item x="3331"/>
        <item x="3465"/>
        <item x="150"/>
        <item x="3493"/>
        <item x="3949"/>
        <item x="2384"/>
        <item x="3350"/>
        <item x="151"/>
        <item x="1315"/>
        <item x="3933"/>
        <item x="1517"/>
        <item x="4208"/>
        <item x="147"/>
        <item x="2385"/>
        <item x="4667"/>
        <item x="2080"/>
        <item x="4606"/>
        <item x="2497"/>
        <item x="1530"/>
        <item x="4784"/>
        <item x="1533"/>
        <item x="3491"/>
        <item x="1518"/>
        <item x="1433"/>
        <item x="952"/>
        <item x="4153"/>
        <item x="4120"/>
        <item x="4757"/>
        <item x="2079"/>
        <item x="142"/>
        <item x="963"/>
        <item x="545"/>
        <item x="2470"/>
        <item x="3788"/>
        <item x="4770"/>
        <item x="1516"/>
        <item x="899"/>
        <item x="1076"/>
        <item x="3938"/>
        <item x="1024"/>
        <item x="4756"/>
        <item x="1077"/>
        <item x="3630"/>
        <item x="2383"/>
        <item x="3401"/>
        <item x="3950"/>
        <item x="3848"/>
        <item x="898"/>
        <item x="4783"/>
        <item x="4204"/>
        <item x="4272"/>
        <item x="3442"/>
        <item x="906"/>
        <item x="231"/>
        <item x="3843"/>
        <item x="3944"/>
        <item x="3349"/>
        <item x="92"/>
        <item x="705"/>
        <item x="3885"/>
        <item x="4768"/>
        <item x="3027"/>
        <item x="1499"/>
        <item x="1072"/>
        <item x="901"/>
        <item x="2407"/>
        <item x="4758"/>
        <item x="3041"/>
        <item x="3840"/>
        <item x="3130"/>
        <item x="3916"/>
        <item x="3729"/>
        <item x="4306"/>
        <item x="1075"/>
        <item x="2238"/>
        <item x="1528"/>
        <item x="1546"/>
        <item x="4166"/>
        <item x="957"/>
        <item x="1025"/>
        <item x="3345"/>
        <item x="1435"/>
        <item x="145"/>
        <item x="3132"/>
        <item x="2211"/>
        <item x="1097"/>
        <item x="3904"/>
        <item x="1447"/>
        <item x="1529"/>
        <item x="2704"/>
        <item x="3455"/>
        <item x="3905"/>
        <item x="940"/>
        <item x="1436"/>
        <item x="2216"/>
        <item x="924"/>
        <item x="1450"/>
        <item x="879"/>
        <item x="2405"/>
        <item x="457"/>
        <item x="4097"/>
        <item x="1036"/>
        <item x="279"/>
        <item x="3851"/>
        <item x="3620"/>
        <item x="3492"/>
        <item x="3105"/>
        <item x="1074"/>
        <item x="2473"/>
        <item x="4553"/>
        <item x="2276"/>
        <item x="964"/>
        <item x="3450"/>
        <item x="1508"/>
        <item x="1037"/>
        <item x="3857"/>
        <item x="4100"/>
        <item x="4094"/>
        <item x="1451"/>
        <item x="1434"/>
        <item x="2026"/>
        <item x="146"/>
        <item x="3805"/>
        <item x="1448"/>
        <item x="3906"/>
        <item x="3649"/>
        <item x="1449"/>
        <item x="2579"/>
        <item x="1503"/>
        <item x="3453"/>
        <item x="3834"/>
        <item x="756"/>
        <item x="927"/>
        <item x="4605"/>
        <item x="4786"/>
        <item x="908"/>
        <item x="1081"/>
        <item x="4207"/>
        <item x="1029"/>
        <item x="1121"/>
        <item x="917"/>
        <item x="3451"/>
        <item x="1452"/>
        <item x="1082"/>
        <item x="907"/>
        <item x="4067"/>
        <item x="1519"/>
        <item x="4203"/>
        <item x="2406"/>
        <item x="1064"/>
        <item x="247"/>
        <item x="3966"/>
        <item x="3918"/>
        <item x="1098"/>
        <item x="3982"/>
        <item x="1123"/>
        <item x="3976"/>
        <item x="3632"/>
        <item x="1577"/>
        <item x="1753"/>
        <item x="2217"/>
        <item x="4184"/>
        <item x="4767"/>
        <item x="3458"/>
        <item x="4209"/>
        <item x="965"/>
        <item x="3127"/>
        <item x="3763"/>
        <item x="144"/>
        <item x="3831"/>
        <item x="1776"/>
        <item x="1026"/>
        <item x="1181"/>
        <item x="4031"/>
        <item x="4774"/>
        <item x="3452"/>
        <item x="3880"/>
        <item x="3126"/>
        <item x="900"/>
        <item x="1073"/>
        <item x="4634"/>
        <item x="4825"/>
        <item x="1513"/>
        <item x="2753"/>
        <item x="1039"/>
        <item x="2320"/>
        <item x="725"/>
        <item x="3893"/>
        <item x="865"/>
        <item x="4300"/>
        <item x="4285"/>
        <item x="1177"/>
        <item x="3134"/>
        <item x="1083"/>
        <item x="1970"/>
        <item x="943"/>
        <item x="487"/>
        <item x="941"/>
        <item x="1068"/>
        <item x="1496"/>
        <item x="4206"/>
        <item x="2507"/>
        <item x="4304"/>
        <item x="1049"/>
        <item x="925"/>
        <item x="3908"/>
        <item x="1769"/>
        <item x="1778"/>
        <item x="4282"/>
        <item x="2219"/>
        <item x="3845"/>
        <item x="4607"/>
        <item x="4302"/>
        <item x="179"/>
        <item x="3907"/>
        <item x="1138"/>
        <item x="942"/>
        <item x="4465"/>
        <item x="2214"/>
        <item x="3728"/>
        <item x="1100"/>
        <item x="1183"/>
        <item x="1522"/>
        <item x="4015"/>
        <item x="3951"/>
        <item x="176"/>
        <item x="3958"/>
        <item x="4669"/>
        <item x="3219"/>
        <item x="4079"/>
        <item x="3981"/>
        <item x="3459"/>
        <item x="926"/>
        <item x="3128"/>
        <item x="2091"/>
        <item x="3838"/>
        <item x="1084"/>
        <item x="1548"/>
        <item x="4464"/>
        <item x="3136"/>
        <item x="1110"/>
        <item x="1048"/>
        <item x="3727"/>
        <item x="4577"/>
        <item x="1113"/>
        <item x="1550"/>
        <item x="4107"/>
        <item x="4665"/>
        <item x="1122"/>
        <item x="939"/>
        <item x="1088"/>
        <item x="281"/>
        <item x="1101"/>
        <item x="4511"/>
        <item x="178"/>
        <item x="3640"/>
        <item x="1028"/>
        <item x="1086"/>
        <item x="1182"/>
        <item x="3129"/>
        <item x="890"/>
        <item x="1050"/>
        <item x="1117"/>
        <item x="3855"/>
        <item x="1545"/>
        <item x="2489"/>
        <item x="1111"/>
        <item x="2455"/>
        <item x="1085"/>
        <item x="665"/>
        <item x="2487"/>
        <item x="4261"/>
        <item x="1521"/>
        <item x="883"/>
        <item x="1112"/>
        <item x="2484"/>
        <item x="1780"/>
        <item x="2472"/>
        <item x="2488"/>
        <item x="3969"/>
        <item x="3252"/>
        <item x="3860"/>
        <item x="1035"/>
        <item x="1027"/>
        <item x="2252"/>
        <item x="2468"/>
        <item x="4674"/>
        <item x="1779"/>
        <item x="280"/>
        <item x="4789"/>
        <item x="1184"/>
        <item x="2485"/>
        <item x="870"/>
        <item x="1523"/>
        <item x="4794"/>
        <item x="3726"/>
        <item x="918"/>
        <item x="1053"/>
        <item x="1525"/>
        <item x="177"/>
        <item x="887"/>
        <item x="1096"/>
        <item x="3043"/>
        <item x="859"/>
        <item x="551"/>
        <item x="4620"/>
        <item x="278"/>
        <item x="1099"/>
        <item x="4276"/>
        <item x="2471"/>
        <item x="875"/>
        <item x="596"/>
        <item x="1504"/>
        <item x="3054"/>
        <item x="2483"/>
        <item x="1549"/>
        <item x="1505"/>
        <item x="275"/>
        <item x="1062"/>
        <item x="802"/>
        <item x="2170"/>
        <item x="3448"/>
        <item x="4114"/>
        <item x="4070"/>
        <item x="1115"/>
        <item x="1966"/>
        <item x="866"/>
        <item x="2490"/>
        <item x="800"/>
        <item x="3139"/>
        <item x="1118"/>
        <item x="3628"/>
        <item x="1033"/>
        <item x="4532"/>
        <item x="1969"/>
        <item x="1114"/>
        <item x="3372"/>
        <item x="1034"/>
        <item x="1119"/>
        <item x="175"/>
        <item x="4792"/>
        <item x="1524"/>
        <item x="3833"/>
        <item x="3058"/>
        <item x="2161"/>
        <item x="1912"/>
        <item x="1065"/>
        <item x="1777"/>
        <item x="2169"/>
        <item x="1968"/>
        <item x="1032"/>
        <item x="3641"/>
        <item x="794"/>
        <item x="4625"/>
        <item x="4570"/>
        <item x="1423"/>
        <item x="4284"/>
        <item x="796"/>
        <item x="871"/>
        <item x="828"/>
        <item x="2166"/>
        <item x="2160"/>
        <item x="4098"/>
        <item x="672"/>
        <item x="297"/>
        <item x="670"/>
        <item x="4260"/>
        <item x="1052"/>
        <item x="4113"/>
        <item x="3062"/>
        <item x="4474"/>
        <item x="3449"/>
        <item x="2162"/>
        <item x="4262"/>
        <item x="4105"/>
        <item x="4281"/>
        <item x="4115"/>
        <item x="3633"/>
        <item x="673"/>
        <item x="1526"/>
        <item x="2164"/>
        <item x="555"/>
        <item x="717"/>
        <item x="3001"/>
        <item x="676"/>
        <item x="1506"/>
        <item x="2642"/>
        <item x="4068"/>
        <item x="3635"/>
        <item x="535"/>
        <item x="792"/>
        <item x="3052"/>
        <item x="668"/>
        <item x="1067"/>
        <item x="4287"/>
        <item x="938"/>
        <item x="1066"/>
        <item x="174"/>
        <item x="3850"/>
        <item x="2486"/>
        <item x="1894"/>
        <item x="133"/>
        <item x="3137"/>
        <item x="3131"/>
        <item x="4762"/>
        <item x="1967"/>
        <item x="2600"/>
        <item x="4766"/>
        <item x="1971"/>
        <item x="3709"/>
        <item x="228"/>
        <item x="4763"/>
        <item x="4257"/>
        <item x="4670"/>
        <item x="715"/>
        <item x="3747"/>
        <item x="3055"/>
        <item x="713"/>
        <item x="2308"/>
        <item x="707"/>
        <item x="4006"/>
        <item x="4116"/>
        <item x="799"/>
        <item x="2163"/>
        <item x="3700"/>
        <item x="711"/>
        <item x="2012"/>
        <item x="3031"/>
        <item x="4280"/>
        <item x="3456"/>
        <item x="4615"/>
        <item x="3359"/>
        <item x="88"/>
        <item x="1124"/>
        <item x="1051"/>
        <item x="2466"/>
        <item x="3207"/>
        <item x="1291"/>
        <item x="885"/>
        <item x="3282"/>
        <item x="3138"/>
        <item x="4765"/>
        <item x="232"/>
        <item x="3961"/>
        <item x="1507"/>
        <item x="97"/>
        <item x="2165"/>
        <item x="2018"/>
        <item x="3675"/>
        <item x="4095"/>
        <item x="3733"/>
        <item x="4537"/>
        <item x="294"/>
        <item x="3665"/>
        <item x="3740"/>
        <item x="549"/>
        <item x="4019"/>
        <item x="666"/>
        <item x="558"/>
        <item x="4764"/>
        <item x="1543"/>
        <item x="1918"/>
        <item x="3897"/>
        <item x="872"/>
        <item x="4076"/>
        <item x="2461"/>
        <item x="2167"/>
        <item x="4448"/>
        <item x="1454"/>
        <item x="922"/>
        <item x="3978"/>
        <item x="632"/>
        <item x="271"/>
        <item x="1179"/>
        <item x="787"/>
        <item x="561"/>
        <item x="4611"/>
        <item x="709"/>
        <item x="3654"/>
        <item x="674"/>
        <item x="3690"/>
        <item x="669"/>
        <item x="4267"/>
        <item x="562"/>
        <item x="811"/>
        <item x="829"/>
        <item x="273"/>
        <item x="4761"/>
        <item x="4823"/>
        <item x="3973"/>
        <item x="784"/>
        <item x="270"/>
        <item x="671"/>
        <item x="4822"/>
        <item x="858"/>
        <item x="4824"/>
        <item x="667"/>
        <item x="1574"/>
        <item x="675"/>
        <item x="4557"/>
        <item x="663"/>
        <item x="557"/>
        <item x="2015"/>
        <item x="560"/>
        <item x="2022"/>
        <item x="272"/>
        <item x="559"/>
        <item x="889"/>
        <item x="95"/>
        <item x="919"/>
        <item x="2462"/>
        <item x="2068"/>
        <item x="712"/>
        <item x="2319"/>
        <item x="3899"/>
        <item x="3135"/>
        <item x="1276"/>
        <item x="801"/>
        <item x="2464"/>
        <item x="2010"/>
        <item x="2067"/>
        <item x="2024"/>
        <item x="82"/>
        <item x="565"/>
        <item x="1972"/>
        <item x="4463"/>
        <item x="1145"/>
        <item x="1572"/>
        <item x="2754"/>
        <item x="2474"/>
        <item x="568"/>
        <item x="803"/>
        <item x="2084"/>
        <item x="2728"/>
        <item x="783"/>
        <item x="1277"/>
        <item x="4563"/>
        <item x="2168"/>
        <item x="567"/>
        <item x="789"/>
        <item x="4581"/>
        <item x="99"/>
        <item x="2328"/>
        <item x="4002"/>
        <item x="4821"/>
        <item x="563"/>
        <item x="2373"/>
        <item x="227"/>
        <item x="4171"/>
        <item x="4559"/>
        <item x="4681"/>
        <item x="4124"/>
        <item x="2069"/>
        <item x="3730"/>
        <item x="4572"/>
        <item x="4103"/>
        <item x="755"/>
        <item x="3026"/>
        <item x="2463"/>
        <item x="4826"/>
        <item x="620"/>
        <item x="1178"/>
        <item x="3304"/>
        <item x="769"/>
        <item x="3917"/>
        <item x="714"/>
        <item x="564"/>
        <item x="3457"/>
        <item x="1512"/>
        <item x="785"/>
        <item x="4568"/>
        <item x="3927"/>
        <item x="617"/>
        <item x="3739"/>
        <item x="3057"/>
        <item x="788"/>
        <item x="614"/>
        <item x="716"/>
        <item x="4609"/>
        <item x="4567"/>
        <item x="1139"/>
        <item x="566"/>
        <item x="795"/>
        <item x="4583"/>
        <item x="3882"/>
        <item x="1893"/>
        <item x="4608"/>
        <item x="1710"/>
        <item x="4279"/>
        <item x="2172"/>
        <item x="2371"/>
        <item x="892"/>
        <item x="786"/>
        <item x="797"/>
        <item x="3047"/>
        <item x="4561"/>
        <item x="616"/>
        <item x="1474"/>
        <item x="1567"/>
        <item x="4117"/>
        <item x="1016"/>
        <item x="793"/>
        <item x="4509"/>
        <item x="3937"/>
        <item x="1212"/>
        <item x="2173"/>
        <item x="748"/>
        <item x="3954"/>
        <item x="2476"/>
        <item x="4566"/>
        <item x="621"/>
        <item x="798"/>
        <item x="3305"/>
        <item x="2070"/>
        <item x="1255"/>
        <item x="921"/>
        <item x="2481"/>
        <item x="3020"/>
        <item x="2467"/>
        <item x="862"/>
        <item x="4752"/>
        <item x="1131"/>
        <item x="1724"/>
        <item x="3953"/>
        <item x="618"/>
        <item x="3036"/>
        <item x="2482"/>
        <item x="619"/>
        <item x="4578"/>
        <item x="3369"/>
        <item x="2459"/>
        <item x="758"/>
        <item x="2480"/>
        <item x="2306"/>
        <item x="710"/>
        <item x="3970"/>
        <item x="3308"/>
        <item x="1959"/>
        <item x="135"/>
        <item x="878"/>
        <item x="3926"/>
        <item x="4613"/>
        <item x="4610"/>
        <item x="4501"/>
        <item x="790"/>
        <item x="832"/>
        <item x="4560"/>
        <item x="3012"/>
        <item x="2175"/>
        <item x="1568"/>
        <item x="2071"/>
        <item x="3263"/>
        <item x="1142"/>
        <item x="1128"/>
        <item x="2465"/>
        <item x="1140"/>
        <item x="3942"/>
        <item x="1270"/>
        <item x="3647"/>
        <item x="2072"/>
        <item x="4579"/>
        <item x="2352"/>
        <item x="1571"/>
        <item x="1188"/>
        <item x="1482"/>
        <item x="2477"/>
        <item x="765"/>
        <item x="3293"/>
        <item x="1256"/>
        <item x="139"/>
        <item x="1960"/>
        <item x="1269"/>
        <item x="1770"/>
        <item x="3294"/>
        <item x="3943"/>
        <item x="2370"/>
        <item x="4565"/>
        <item x="768"/>
        <item x="622"/>
        <item x="2009"/>
        <item x="4574"/>
        <item x="1156"/>
        <item x="1486"/>
        <item x="3948"/>
        <item x="4696"/>
        <item x="2023"/>
        <item x="3307"/>
        <item x="647"/>
        <item x="812"/>
        <item x="3360"/>
        <item x="706"/>
        <item x="4582"/>
        <item x="3292"/>
        <item x="1414"/>
        <item x="4307"/>
        <item x="4309"/>
        <item x="2479"/>
        <item x="4451"/>
        <item x="814"/>
        <item x="583"/>
        <item x="2512"/>
        <item x="1487"/>
        <item x="3033"/>
        <item x="1961"/>
        <item x="2703"/>
        <item x="1484"/>
        <item x="652"/>
        <item x="4630"/>
        <item x="2372"/>
        <item x="612"/>
        <item x="4580"/>
        <item x="1192"/>
        <item x="650"/>
        <item x="3645"/>
        <item x="2368"/>
        <item x="576"/>
        <item x="374"/>
        <item x="3932"/>
        <item x="728"/>
        <item x="2478"/>
        <item x="1765"/>
        <item x="1271"/>
        <item x="3397"/>
        <item x="1251"/>
        <item x="1456"/>
        <item x="1766"/>
        <item x="3017"/>
        <item x="2369"/>
        <item x="3201"/>
        <item x="704"/>
        <item x="1254"/>
        <item x="1485"/>
        <item x="763"/>
        <item x="2353"/>
        <item x="708"/>
        <item x="104"/>
        <item x="1141"/>
        <item x="3965"/>
        <item x="2995"/>
        <item x="2367"/>
        <item x="1257"/>
        <item x="608"/>
        <item x="2705"/>
        <item x="732"/>
        <item x="1952"/>
        <item x="3291"/>
        <item x="856"/>
        <item x="1804"/>
        <item x="3275"/>
        <item x="4575"/>
        <item x="1260"/>
        <item x="1293"/>
        <item x="1455"/>
        <item x="1176"/>
        <item x="1439"/>
        <item x="4544"/>
        <item x="1476"/>
        <item x="3290"/>
        <item x="2771"/>
        <item x="1911"/>
        <item x="2707"/>
        <item x="3262"/>
        <item x="1495"/>
        <item x="4466"/>
        <item x="3959"/>
        <item x="269"/>
        <item x="3013"/>
        <item x="1272"/>
        <item x="4562"/>
        <item x="1914"/>
        <item x="2290"/>
        <item x="1493"/>
        <item x="4278"/>
        <item x="3306"/>
        <item x="606"/>
        <item x="3046"/>
        <item x="3776"/>
        <item x="134"/>
        <item x="3261"/>
        <item x="2656"/>
        <item x="3038"/>
        <item x="4106"/>
        <item x="1259"/>
        <item x="825"/>
        <item x="2668"/>
        <item x="1424"/>
        <item x="1962"/>
        <item x="1440"/>
        <item x="610"/>
        <item x="3266"/>
        <item x="724"/>
        <item x="3014"/>
        <item x="4303"/>
        <item x="649"/>
        <item x="601"/>
        <item x="4301"/>
        <item x="4246"/>
        <item x="1261"/>
        <item x="4576"/>
        <item x="2760"/>
        <item x="4455"/>
        <item x="813"/>
        <item x="81"/>
        <item x="726"/>
        <item x="569"/>
        <item x="651"/>
        <item x="2727"/>
        <item x="4252"/>
        <item x="2987"/>
        <item x="2756"/>
        <item x="4275"/>
        <item x="2011"/>
        <item x="1274"/>
        <item x="920"/>
        <item x="3964"/>
        <item x="4556"/>
        <item x="2021"/>
        <item x="2757"/>
        <item x="4516"/>
        <item x="1480"/>
        <item x="1527"/>
        <item x="230"/>
        <item x="4121"/>
        <item x="1490"/>
        <item x="4452"/>
        <item x="1489"/>
        <item x="4471"/>
        <item x="3015"/>
        <item x="2758"/>
        <item x="1129"/>
        <item x="571"/>
        <item x="4715"/>
        <item x="604"/>
        <item x="681"/>
        <item x="1258"/>
        <item x="481"/>
        <item x="4558"/>
        <item x="816"/>
        <item x="1488"/>
        <item x="136"/>
        <item x="4305"/>
        <item x="2357"/>
        <item x="553"/>
        <item x="4750"/>
        <item x="3018"/>
        <item x="1457"/>
        <item x="831"/>
        <item x="734"/>
        <item x="3213"/>
        <item x="677"/>
        <item x="3921"/>
        <item x="2545"/>
        <item x="1898"/>
        <item x="138"/>
        <item x="570"/>
        <item x="3016"/>
        <item x="4528"/>
        <item x="2359"/>
        <item x="4573"/>
        <item x="864"/>
        <item x="1697"/>
        <item x="1569"/>
        <item x="1408"/>
        <item x="4254"/>
        <item x="4238"/>
        <item x="722"/>
        <item x="1286"/>
        <item x="1458"/>
        <item x="1948"/>
        <item x="1899"/>
        <item x="3059"/>
        <item x="4169"/>
        <item x="2358"/>
        <item x="1144"/>
        <item x="1916"/>
        <item x="137"/>
        <item x="3321"/>
        <item x="730"/>
        <item x="3032"/>
        <item x="3751"/>
        <item x="3395"/>
        <item x="4571"/>
        <item x="1478"/>
        <item x="1127"/>
        <item x="2741"/>
        <item x="2667"/>
        <item x="2014"/>
        <item x="1279"/>
        <item x="2708"/>
        <item x="4232"/>
        <item x="3003"/>
        <item x="2759"/>
        <item x="678"/>
        <item x="4719"/>
        <item x="638"/>
        <item x="1795"/>
        <item x="1283"/>
        <item x="4108"/>
        <item x="4541"/>
        <item x="1682"/>
        <item x="1453"/>
        <item x="2356"/>
        <item x="2017"/>
        <item x="4250"/>
        <item x="833"/>
        <item x="602"/>
        <item x="1917"/>
        <item x="760"/>
        <item x="4274"/>
        <item x="1919"/>
        <item x="4014"/>
        <item x="1806"/>
        <item x="1130"/>
        <item x="1278"/>
        <item x="680"/>
        <item x="4612"/>
        <item x="2709"/>
        <item x="1425"/>
        <item x="4706"/>
        <item x="4688"/>
        <item x="757"/>
        <item x="4144"/>
        <item x="1426"/>
        <item x="2354"/>
        <item x="1903"/>
        <item x="3264"/>
        <item x="4148"/>
        <item x="4299"/>
        <item x="804"/>
        <item x="740"/>
        <item x="1173"/>
        <item x="4137"/>
        <item x="3977"/>
        <item x="4554"/>
        <item x="745"/>
        <item x="4104"/>
        <item x="3265"/>
        <item x="3698"/>
        <item x="743"/>
        <item x="830"/>
        <item x="1980"/>
        <item x="718"/>
        <item x="1429"/>
        <item x="2355"/>
        <item x="4026"/>
        <item x="2710"/>
        <item x="4591"/>
        <item x="683"/>
        <item x="719"/>
        <item x="4827"/>
        <item x="1441"/>
        <item x="2375"/>
        <item x="4727"/>
        <item x="1431"/>
        <item x="761"/>
        <item x="4131"/>
        <item x="4127"/>
        <item x="1498"/>
        <item x="727"/>
        <item x="1983"/>
        <item x="2653"/>
        <item x="4134"/>
        <item x="1462"/>
        <item x="540"/>
        <item x="817"/>
        <item x="1174"/>
        <item x="4698"/>
        <item x="1723"/>
        <item x="1273"/>
        <item x="2689"/>
        <item x="646"/>
        <item x="84"/>
        <item x="1071"/>
        <item x="1953"/>
        <item x="731"/>
        <item x="4539"/>
        <item x="1444"/>
        <item x="4543"/>
        <item x="876"/>
        <item x="1445"/>
        <item x="1428"/>
        <item x="1481"/>
        <item x="4473"/>
        <item x="1477"/>
        <item x="4163"/>
        <item x="4592"/>
        <item x="720"/>
        <item x="1464"/>
        <item x="4266"/>
        <item x="3091"/>
        <item x="744"/>
        <item x="654"/>
        <item x="826"/>
        <item x="721"/>
        <item x="1965"/>
        <item x="4470"/>
        <item x="1465"/>
        <item x="1790"/>
        <item x="733"/>
        <item x="1413"/>
        <item x="723"/>
        <item x="1459"/>
        <item x="741"/>
        <item x="818"/>
        <item x="1147"/>
        <item x="739"/>
        <item x="4540"/>
        <item x="1913"/>
        <item x="642"/>
        <item x="2082"/>
        <item x="4538"/>
        <item x="742"/>
        <item x="1570"/>
        <item x="1443"/>
        <item x="4454"/>
        <item x="1933"/>
        <item x="4542"/>
        <item x="4450"/>
        <item x="615"/>
        <item x="3037"/>
        <item x="644"/>
        <item x="3251"/>
        <item x="4523"/>
        <item x="1284"/>
        <item x="2678"/>
        <item x="1737"/>
        <item x="575"/>
        <item x="1409"/>
        <item x="1442"/>
        <item x="1938"/>
        <item x="572"/>
        <item x="2573"/>
        <item x="4534"/>
        <item x="4510"/>
        <item x="2182"/>
        <item x="3094"/>
        <item x="2688"/>
        <item x="1767"/>
        <item x="2179"/>
        <item x="4828"/>
        <item x="3040"/>
        <item x="3388"/>
        <item x="1285"/>
        <item x="729"/>
        <item x="4449"/>
        <item x="3975"/>
        <item x="2510"/>
        <item x="2691"/>
        <item x="2690"/>
        <item x="2772"/>
        <item x="2180"/>
        <item x="3337"/>
        <item x="827"/>
        <item x="1768"/>
        <item x="4631"/>
        <item x="4517"/>
        <item x="640"/>
        <item x="4075"/>
        <item x="1775"/>
        <item x="1275"/>
        <item x="4614"/>
        <item x="3092"/>
        <item x="1125"/>
        <item x="262"/>
        <item x="4469"/>
        <item x="1289"/>
        <item x="3622"/>
        <item x="2257"/>
        <item x="3254"/>
        <item x="1958"/>
        <item x="637"/>
        <item x="4679"/>
        <item x="3093"/>
        <item x="2225"/>
        <item x="631"/>
        <item x="3100"/>
        <item x="3288"/>
        <item x="2577"/>
        <item x="1891"/>
        <item x="1920"/>
        <item x="96"/>
        <item x="1280"/>
        <item x="746"/>
        <item x="2574"/>
        <item x="1427"/>
        <item x="1955"/>
        <item x="679"/>
        <item x="1467"/>
        <item x="3096"/>
        <item x="653"/>
        <item x="1460"/>
        <item x="3095"/>
        <item x="639"/>
        <item x="1412"/>
        <item x="2742"/>
        <item x="2575"/>
        <item x="1963"/>
        <item x="2453"/>
        <item x="1921"/>
        <item x="1264"/>
        <item x="3247"/>
        <item x="1735"/>
        <item x="1736"/>
        <item x="2192"/>
        <item x="759"/>
        <item x="2692"/>
        <item x="4506"/>
        <item x="1263"/>
        <item x="2184"/>
        <item x="4829"/>
        <item x="3103"/>
        <item x="1191"/>
        <item x="2366"/>
        <item x="1771"/>
        <item x="851"/>
        <item x="4832"/>
        <item x="737"/>
        <item x="735"/>
        <item x="2365"/>
        <item x="3707"/>
        <item x="3215"/>
        <item x="682"/>
        <item x="3311"/>
        <item x="1483"/>
        <item x="3097"/>
        <item x="2377"/>
        <item x="1126"/>
        <item x="815"/>
        <item x="1942"/>
        <item x="1752"/>
        <item x="645"/>
        <item x="625"/>
        <item x="2457"/>
        <item x="641"/>
        <item x="2361"/>
        <item x="1946"/>
        <item x="4585"/>
        <item x="1420"/>
        <item x="750"/>
        <item x="1262"/>
        <item x="819"/>
        <item x="1265"/>
        <item x="635"/>
        <item x="1954"/>
        <item x="1132"/>
        <item x="86"/>
        <item x="1268"/>
        <item x="538"/>
        <item x="1282"/>
        <item x="3688"/>
        <item x="770"/>
        <item x="4831"/>
        <item x="3098"/>
        <item x="1419"/>
        <item x="1416"/>
        <item x="107"/>
        <item x="772"/>
        <item x="1727"/>
        <item x="643"/>
        <item x="1928"/>
        <item x="1288"/>
        <item x="1466"/>
        <item x="1773"/>
        <item x="1668"/>
        <item x="2629"/>
        <item x="2511"/>
        <item x="623"/>
        <item x="781"/>
        <item x="2576"/>
        <item x="2185"/>
        <item x="3101"/>
        <item x="752"/>
        <item x="1774"/>
        <item x="3701"/>
        <item x="773"/>
        <item x="701"/>
        <item x="4005"/>
        <item x="1410"/>
        <item x="1728"/>
        <item x="633"/>
        <item x="881"/>
        <item x="1151"/>
        <item x="4128"/>
        <item x="2660"/>
        <item x="3396"/>
        <item x="775"/>
        <item x="1417"/>
        <item x="2593"/>
        <item x="1461"/>
        <item x="3642"/>
        <item x="2675"/>
        <item x="1772"/>
        <item x="613"/>
        <item x="4549"/>
        <item x="698"/>
        <item x="4546"/>
        <item x="1281"/>
        <item x="1479"/>
        <item x="2518"/>
        <item x="693"/>
        <item x="1421"/>
        <item x="626"/>
        <item x="259"/>
        <item x="3746"/>
        <item x="2362"/>
        <item x="630"/>
        <item x="1973"/>
        <item x="4830"/>
        <item x="1655"/>
        <item x="3344"/>
        <item x="2650"/>
        <item x="1730"/>
        <item x="696"/>
        <item x="3697"/>
        <item x="4547"/>
        <item x="627"/>
        <item x="1733"/>
        <item x="3250"/>
        <item x="694"/>
        <item x="1500"/>
        <item x="702"/>
        <item x="777"/>
        <item x="590"/>
        <item x="4550"/>
        <item x="628"/>
        <item x="2360"/>
        <item x="2363"/>
        <item x="585"/>
        <item x="747"/>
        <item x="2029"/>
        <item x="586"/>
        <item x="3312"/>
        <item x="882"/>
        <item x="3102"/>
        <item x="4545"/>
        <item x="776"/>
        <item x="4132"/>
        <item x="3757"/>
        <item x="263"/>
        <item x="660"/>
        <item x="754"/>
        <item x="1411"/>
        <item x="3099"/>
        <item x="4135"/>
        <item x="1469"/>
        <item x="3249"/>
        <item x="1133"/>
        <item x="1430"/>
        <item x="1463"/>
        <item x="738"/>
        <item x="4138"/>
        <item x="4270"/>
        <item x="3886"/>
        <item x="1974"/>
        <item x="4548"/>
        <item x="1468"/>
        <item x="1287"/>
        <item x="584"/>
        <item x="588"/>
        <item x="589"/>
        <item x="1964"/>
        <item x="655"/>
        <item x="767"/>
        <item x="1977"/>
        <item x="782"/>
        <item x="4520"/>
        <item x="1134"/>
        <item x="2181"/>
        <item x="587"/>
        <item x="779"/>
        <item x="2187"/>
        <item x="4141"/>
        <item x="2591"/>
        <item x="582"/>
        <item x="824"/>
        <item x="1266"/>
        <item x="778"/>
        <item x="66"/>
        <item x="2763"/>
        <item x="1415"/>
        <item x="3405"/>
        <item x="2239"/>
        <item x="2313"/>
        <item x="2031"/>
        <item x="2682"/>
        <item x="3618"/>
        <item x="751"/>
        <item x="3631"/>
        <item x="4145"/>
        <item x="3656"/>
        <item x="1734"/>
        <item x="3108"/>
        <item x="3663"/>
        <item x="1975"/>
        <item x="771"/>
        <item x="3110"/>
        <item x="1470"/>
        <item x="1957"/>
        <item x="2043"/>
        <item x="3313"/>
        <item x="4751"/>
        <item x="611"/>
        <item x="68"/>
        <item x="1896"/>
        <item x="3248"/>
        <item x="1716"/>
        <item x="3667"/>
        <item x="4569"/>
        <item x="820"/>
        <item x="573"/>
        <item x="4172"/>
        <item x="2240"/>
        <item x="1473"/>
        <item x="3677"/>
        <item x="580"/>
        <item x="3889"/>
        <item x="774"/>
        <item x="2562"/>
        <item x="3155"/>
        <item x="1976"/>
        <item x="3673"/>
        <item x="65"/>
        <item x="2647"/>
        <item x="62"/>
        <item x="684"/>
        <item x="2033"/>
        <item x="1761"/>
        <item x="1956"/>
        <item x="3775"/>
        <item x="1418"/>
        <item x="574"/>
        <item x="93"/>
        <item x="2364"/>
        <item x="658"/>
        <item x="1651"/>
        <item x="3892"/>
        <item x="4181"/>
        <item x="823"/>
        <item x="1763"/>
        <item x="3768"/>
        <item x="3652"/>
        <item x="629"/>
        <item x="2638"/>
        <item x="844"/>
        <item x="1764"/>
        <item x="607"/>
        <item x="489"/>
        <item x="4749"/>
        <item x="3687"/>
        <item x="1717"/>
        <item x="1698"/>
        <item x="821"/>
        <item x="1136"/>
        <item x="67"/>
        <item x="1135"/>
        <item x="4004"/>
        <item x="2659"/>
        <item x="1148"/>
        <item x="3235"/>
        <item x="780"/>
        <item x="1267"/>
        <item x="1762"/>
        <item x="810"/>
        <item x="3319"/>
        <item x="845"/>
        <item x="3682"/>
        <item x="4505"/>
        <item x="595"/>
        <item x="1472"/>
        <item x="1471"/>
        <item x="822"/>
        <item x="2637"/>
        <item x="4598"/>
        <item x="1979"/>
        <item x="63"/>
        <item x="3799"/>
        <item x="2235"/>
        <item x="3705"/>
        <item x="659"/>
        <item x="1686"/>
        <item x="3104"/>
        <item x="736"/>
        <item x="1711"/>
        <item x="4536"/>
        <item x="2735"/>
        <item x="581"/>
        <item x="4624"/>
        <item x="1760"/>
        <item x="2670"/>
        <item x="3310"/>
        <item x="4597"/>
        <item x="90"/>
        <item x="4594"/>
        <item x="636"/>
        <item x="850"/>
        <item x="449"/>
        <item x="3692"/>
        <item x="4599"/>
        <item x="764"/>
        <item x="2190"/>
        <item x="3617"/>
        <item x="1915"/>
        <item x="2233"/>
        <item x="4009"/>
        <item x="691"/>
        <item x="579"/>
        <item x="766"/>
        <item x="3314"/>
        <item x="2191"/>
        <item x="685"/>
        <item x="1709"/>
        <item x="3671"/>
        <item x="31"/>
        <item x="73"/>
        <item x="662"/>
        <item x="2632"/>
        <item x="3366"/>
        <item x="2148"/>
        <item x="753"/>
        <item x="1150"/>
        <item x="4456"/>
        <item x="591"/>
        <item x="2635"/>
        <item x="2661"/>
        <item x="2037"/>
        <item x="2626"/>
        <item x="2674"/>
        <item x="4173"/>
        <item x="2633"/>
        <item x="226"/>
        <item x="103"/>
        <item x="261"/>
        <item x="4179"/>
        <item x="71"/>
        <item x="4621"/>
        <item x="3106"/>
        <item x="762"/>
        <item x="69"/>
        <item x="4175"/>
        <item x="1696"/>
        <item x="56"/>
        <item x="689"/>
        <item x="4748"/>
        <item x="688"/>
        <item x="594"/>
        <item x="3083"/>
        <item x="4177"/>
        <item x="3289"/>
        <item x="1725"/>
        <item x="4478"/>
        <item x="206"/>
        <item x="2311"/>
        <item x="690"/>
        <item x="2673"/>
        <item x="834"/>
        <item x="3898"/>
        <item x="266"/>
        <item x="2669"/>
        <item x="2634"/>
        <item x="1137"/>
        <item x="3318"/>
        <item x="686"/>
        <item x="835"/>
        <item x="64"/>
        <item x="4453"/>
        <item x="4596"/>
        <item x="2232"/>
        <item x="100"/>
        <item x="2854"/>
        <item x="2636"/>
        <item x="836"/>
        <item x="838"/>
        <item x="2748"/>
        <item x="687"/>
        <item x="3894"/>
        <item x="609"/>
        <item x="3208"/>
        <item x="1687"/>
        <item x="2672"/>
        <item x="1693"/>
        <item x="3651"/>
        <item x="2040"/>
        <item x="2318"/>
        <item x="2726"/>
        <item x="3216"/>
        <item x="891"/>
        <item x="2326"/>
        <item x="254"/>
        <item x="258"/>
        <item x="74"/>
        <item x="79"/>
        <item x="80"/>
        <item x="70"/>
        <item x="3269"/>
        <item x="4587"/>
        <item x="94"/>
        <item x="2230"/>
        <item x="252"/>
        <item x="1669"/>
        <item x="3901"/>
        <item x="3661"/>
        <item x="2255"/>
        <item x="256"/>
        <item x="4593"/>
        <item x="257"/>
        <item x="3315"/>
        <item x="2183"/>
        <item x="4535"/>
        <item x="605"/>
        <item x="848"/>
        <item x="1726"/>
        <item x="78"/>
        <item x="1681"/>
        <item x="4297"/>
        <item x="251"/>
        <item x="249"/>
        <item x="2998"/>
        <item x="2186"/>
        <item x="599"/>
        <item x="1652"/>
        <item x="4584"/>
        <item x="3371"/>
        <item x="255"/>
        <item x="657"/>
        <item x="4589"/>
        <item x="2498"/>
        <item x="3267"/>
        <item x="661"/>
        <item x="2261"/>
        <item x="2752"/>
        <item x="4590"/>
        <item x="4462"/>
        <item x="837"/>
        <item x="4490"/>
        <item x="3810"/>
        <item x="4734"/>
        <item x="4629"/>
        <item x="854"/>
        <item x="4616"/>
        <item x="1900"/>
        <item x="1679"/>
        <item x="3339"/>
        <item x="53"/>
        <item x="3684"/>
        <item x="250"/>
        <item x="841"/>
        <item x="2321"/>
        <item x="3270"/>
        <item x="840"/>
        <item x="1688"/>
        <item x="34"/>
        <item x="248"/>
        <item x="2744"/>
        <item x="1656"/>
        <item x="2745"/>
        <item x="4701"/>
        <item x="4747"/>
        <item x="2241"/>
        <item x="61"/>
        <item x="1683"/>
        <item x="1154"/>
        <item x="3694"/>
        <item x="3881"/>
        <item x="3302"/>
        <item x="2253"/>
        <item x="1692"/>
        <item x="3773"/>
        <item x="4745"/>
        <item x="1653"/>
        <item x="42"/>
        <item x="1690"/>
        <item x="597"/>
        <item x="40"/>
        <item x="1757"/>
        <item x="3224"/>
        <item x="4743"/>
        <item x="849"/>
        <item x="3088"/>
        <item x="77"/>
        <item x="4742"/>
        <item x="4457"/>
        <item x="260"/>
        <item x="700"/>
        <item x="1678"/>
        <item x="91"/>
        <item x="2226"/>
        <item x="3787"/>
        <item x="2746"/>
        <item x="1689"/>
        <item x="1680"/>
        <item x="4740"/>
        <item x="1931"/>
        <item x="2499"/>
        <item x="1673"/>
        <item x="3375"/>
        <item x="2231"/>
        <item x="4461"/>
        <item x="4744"/>
        <item x="46"/>
        <item x="1758"/>
        <item x="1978"/>
        <item x="4746"/>
        <item x="2501"/>
        <item x="847"/>
        <item x="3786"/>
        <item x="3702"/>
        <item x="4489"/>
        <item x="805"/>
        <item x="2743"/>
        <item x="1932"/>
        <item x="808"/>
        <item x="1731"/>
        <item x="1694"/>
        <item x="1732"/>
        <item x="699"/>
        <item x="2244"/>
        <item x="1937"/>
        <item x="2246"/>
        <item x="2250"/>
        <item x="3087"/>
        <item x="2736"/>
        <item x="1672"/>
        <item x="3767"/>
        <item x="2312"/>
        <item x="703"/>
        <item x="98"/>
        <item x="1674"/>
        <item x="3756"/>
        <item x="3380"/>
        <item x="3089"/>
        <item x="3086"/>
        <item x="1658"/>
        <item x="1676"/>
        <item x="3379"/>
        <item x="2502"/>
        <item x="1671"/>
        <item x="4477"/>
        <item x="4485"/>
        <item x="1677"/>
        <item x="4493"/>
        <item x="3084"/>
        <item x="3991"/>
        <item x="1675"/>
        <item x="3983"/>
        <item x="2749"/>
        <item x="1670"/>
        <item x="1950"/>
        <item x="3090"/>
        <item x="3340"/>
        <item x="4459"/>
        <item x="1649"/>
        <item x="4686"/>
        <item x="809"/>
        <item x="3678"/>
        <item x="1941"/>
        <item x="600"/>
        <item x="3990"/>
        <item x="3271"/>
        <item x="2500"/>
        <item x="1786"/>
        <item x="50"/>
        <item x="3085"/>
        <item x="3202"/>
        <item x="2315"/>
        <item x="3030"/>
        <item x="1945"/>
        <item x="2639"/>
        <item x="1718"/>
        <item x="598"/>
        <item x="1650"/>
        <item x="1661"/>
        <item x="2314"/>
        <item x="2327"/>
        <item x="2317"/>
        <item x="852"/>
        <item x="2248"/>
        <item x="3228"/>
        <item x="3798"/>
        <item x="1789"/>
        <item x="76"/>
        <item x="54"/>
        <item x="3272"/>
        <item x="3113"/>
        <item x="1756"/>
        <item x="264"/>
        <item x="4160"/>
        <item x="41"/>
        <item x="4498"/>
        <item x="37"/>
        <item x="2316"/>
        <item x="4486"/>
        <item x="1708"/>
        <item x="51"/>
        <item x="3341"/>
        <item x="806"/>
        <item x="2234"/>
        <item x="4586"/>
        <item x="3244"/>
        <item x="3203"/>
        <item x="4503"/>
        <item x="2665"/>
        <item x="4588"/>
        <item x="3309"/>
        <item x="59"/>
        <item x="45"/>
        <item x="2228"/>
        <item x="3761"/>
        <item x="1663"/>
        <item x="2640"/>
        <item x="72"/>
        <item x="2237"/>
        <item x="4460"/>
        <item x="4458"/>
        <item x="3745"/>
        <item x="1648"/>
        <item x="2747"/>
        <item x="3772"/>
        <item x="3316"/>
        <item x="2761"/>
        <item x="4164"/>
        <item x="656"/>
        <item x="3021"/>
        <item x="3273"/>
        <item x="3755"/>
        <item x="4479"/>
        <item x="2504"/>
        <item x="3342"/>
        <item x="4488"/>
        <item x="1664"/>
        <item x="58"/>
        <item x="1666"/>
        <item x="3109"/>
        <item x="32"/>
        <item x="1755"/>
        <item x="4167"/>
        <item x="2503"/>
        <item x="3343"/>
        <item x="692"/>
        <item x="4080"/>
        <item x="3111"/>
        <item x="3274"/>
        <item x="38"/>
        <item x="2641"/>
        <item x="3000"/>
        <item x="3076"/>
        <item x="695"/>
        <item x="75"/>
        <item x="1754"/>
        <item x="2229"/>
        <item x="1923"/>
        <item x="3643"/>
        <item x="3390"/>
        <item x="3147"/>
        <item x="4494"/>
        <item x="4476"/>
        <item x="47"/>
        <item x="697"/>
        <item x="3624"/>
        <item x="3809"/>
        <item x="1654"/>
        <item x="4481"/>
        <item x="3658"/>
        <item x="30"/>
        <item x="3668"/>
        <item x="2599"/>
        <item x="807"/>
        <item x="3063"/>
        <item x="2643"/>
        <item x="2737"/>
        <item x="1657"/>
        <item x="2652"/>
        <item x="44"/>
        <item x="3803"/>
        <item x="2322"/>
        <item x="3780"/>
        <item x="3010"/>
        <item x="49"/>
        <item x="3064"/>
        <item x="2738"/>
        <item x="2247"/>
        <item x="3077"/>
        <item x="4499"/>
        <item x="1796"/>
        <item x="1922"/>
        <item x="2292"/>
        <item x="1927"/>
        <item x="39"/>
        <item x="1924"/>
        <item x="2123"/>
        <item x="1712"/>
        <item x="1739"/>
        <item x="3731"/>
        <item x="3195"/>
        <item x="3785"/>
        <item x="2620"/>
        <item x="3353"/>
        <item x="1729"/>
        <item x="2254"/>
        <item x="2681"/>
        <item x="4484"/>
        <item x="1926"/>
        <item x="43"/>
        <item x="2291"/>
        <item x="4492"/>
        <item x="35"/>
        <item x="3167"/>
        <item x="3749"/>
        <item x="846"/>
        <item x="223"/>
        <item x="2236"/>
        <item x="1659"/>
        <item x="1740"/>
        <item x="853"/>
        <item x="2729"/>
        <item x="1715"/>
        <item x="3200"/>
        <item x="3791"/>
        <item x="4491"/>
        <item x="1713"/>
        <item x="2294"/>
        <item x="3221"/>
        <item x="843"/>
        <item x="1714"/>
        <item x="4487"/>
        <item x="3806"/>
        <item x="3792"/>
        <item x="1742"/>
        <item x="1791"/>
        <item x="2628"/>
        <item x="4483"/>
        <item x="3391"/>
        <item x="3283"/>
        <item x="1722"/>
        <item x="1759"/>
        <item x="2740"/>
        <item x="3168"/>
        <item x="2293"/>
        <item x="2625"/>
        <item x="839"/>
        <item x="842"/>
        <item x="3078"/>
        <item x="3169"/>
        <item x="2251"/>
        <item x="1660"/>
        <item x="3222"/>
        <item x="1781"/>
        <item x="2619"/>
        <item x="1785"/>
        <item x="2622"/>
        <item x="1665"/>
        <item x="2618"/>
        <item x="4504"/>
        <item x="3287"/>
        <item x="57"/>
        <item x="4165"/>
        <item x="1784"/>
        <item x="3002"/>
        <item x="89"/>
        <item x="2739"/>
        <item x="2631"/>
        <item x="2646"/>
        <item x="1741"/>
        <item x="3679"/>
        <item x="1782"/>
        <item x="1783"/>
        <item x="1719"/>
        <item x="4685"/>
        <item x="1745"/>
        <item x="3082"/>
        <item x="1662"/>
        <item x="4737"/>
        <item x="1925"/>
        <item x="3065"/>
        <item x="4482"/>
        <item x="3011"/>
        <item x="85"/>
        <item x="2249"/>
        <item x="2621"/>
        <item x="2645"/>
        <item x="3285"/>
        <item x="3794"/>
        <item x="4480"/>
        <item x="2295"/>
        <item x="87"/>
        <item x="265"/>
        <item x="3284"/>
        <item x="1667"/>
        <item x="3069"/>
        <item x="3286"/>
        <item x="3989"/>
        <item x="1743"/>
        <item x="3080"/>
        <item x="1738"/>
        <item x="2677"/>
        <item x="3024"/>
        <item x="3392"/>
        <item x="3669"/>
        <item x="4736"/>
        <item x="3079"/>
        <item x="4739"/>
        <item x="3150"/>
        <item x="3022"/>
        <item x="2644"/>
        <item x="1720"/>
        <item x="3066"/>
        <item x="52"/>
        <item x="33"/>
        <item x="83"/>
        <item x="3081"/>
        <item x="3782"/>
        <item x="3689"/>
        <item x="3888"/>
        <item x="3354"/>
        <item x="3068"/>
        <item x="2624"/>
        <item x="3699"/>
        <item x="3884"/>
        <item x="3025"/>
        <item x="3703"/>
        <item x="1750"/>
        <item x="3234"/>
        <item x="3153"/>
        <item x="1748"/>
        <item x="3984"/>
        <item x="3985"/>
        <item x="1691"/>
        <item x="4092"/>
        <item x="3629"/>
        <item x="3019"/>
        <item x="1747"/>
        <item x="3149"/>
        <item x="3023"/>
        <item x="60"/>
        <item x="48"/>
        <item x="3891"/>
        <item x="3181"/>
        <item x="3653"/>
        <item x="3233"/>
        <item x="3394"/>
        <item x="3112"/>
        <item x="3986"/>
        <item x="3070"/>
        <item x="3004"/>
        <item x="3152"/>
        <item x="4020"/>
        <item x="3154"/>
        <item x="55"/>
        <item x="2762"/>
        <item x="3229"/>
        <item x="2731"/>
        <item x="3823"/>
        <item x="3151"/>
        <item x="3236"/>
        <item x="3752"/>
        <item x="3987"/>
        <item x="3009"/>
        <item x="1744"/>
        <item x="2189"/>
        <item x="3196"/>
        <item x="3120"/>
        <item x="3005"/>
        <item x="2730"/>
        <item x="234"/>
        <item x="3114"/>
        <item x="2623"/>
        <item x="3619"/>
        <item x="3209"/>
        <item x="239"/>
        <item x="3071"/>
        <item x="3988"/>
        <item x="3117"/>
        <item x="3124"/>
        <item x="3007"/>
        <item x="3393"/>
        <item x="3006"/>
        <item x="2188"/>
        <item x="3895"/>
        <item x="3115"/>
        <item x="2734"/>
        <item x="3214"/>
        <item x="3356"/>
        <item x="240"/>
        <item x="3769"/>
        <item x="3355"/>
        <item x="2245"/>
        <item x="3357"/>
        <item x="3067"/>
        <item x="1749"/>
        <item x="3896"/>
        <item x="2750"/>
        <item x="2766"/>
        <item x="3075"/>
        <item x="1751"/>
        <item x="1746"/>
        <item x="3122"/>
        <item x="241"/>
        <item x="3072"/>
        <item x="237"/>
        <item x="3123"/>
        <item x="4000"/>
        <item x="2732"/>
        <item x="3119"/>
        <item x="3741"/>
        <item x="2764"/>
        <item x="2194"/>
        <item x="2769"/>
        <item x="3900"/>
        <item x="3125"/>
        <item x="2768"/>
        <item x="3825"/>
        <item x="1695"/>
        <item x="3712"/>
        <item x="2733"/>
        <item x="235"/>
        <item x="3074"/>
        <item x="3073"/>
        <item x="2767"/>
        <item x="233"/>
        <item x="2243"/>
        <item x="3121"/>
        <item x="3039"/>
        <item x="3028"/>
        <item x="3824"/>
        <item x="3116"/>
        <item x="3811"/>
        <item x="2996"/>
        <item x="222"/>
        <item x="3045"/>
        <item x="243"/>
        <item x="1705"/>
        <item x="3182"/>
        <item x="3118"/>
        <item x="3051"/>
        <item x="3243"/>
        <item x="245"/>
        <item x="3148"/>
        <item x="3165"/>
        <item x="3164"/>
        <item x="3034"/>
        <item x="3008"/>
        <item x="3237"/>
        <item x="2202"/>
        <item x="3184"/>
        <item x="2196"/>
        <item x="2122"/>
        <item x="3193"/>
        <item x="3170"/>
        <item x="3241"/>
        <item x="3186"/>
        <item x="2289"/>
        <item x="3035"/>
        <item x="238"/>
        <item x="2198"/>
        <item x="3189"/>
        <item x="2203"/>
        <item x="3187"/>
        <item x="2204"/>
        <item x="3156"/>
        <item x="2260"/>
        <item x="2206"/>
        <item x="3183"/>
        <item x="2200"/>
        <item x="3191"/>
        <item x="1699"/>
        <item x="3194"/>
        <item x="2201"/>
        <item x="36"/>
        <item x="3157"/>
        <item x="2205"/>
        <item x="2259"/>
        <item x="3719"/>
        <item x="246"/>
        <item x="3717"/>
        <item x="224"/>
        <item x="3713"/>
        <item x="3190"/>
        <item x="2197"/>
        <item x="3160"/>
        <item x="3050"/>
        <item x="3173"/>
        <item x="2199"/>
        <item x="3161"/>
        <item x="3715"/>
        <item x="3192"/>
        <item x="3163"/>
        <item x="242"/>
        <item x="3722"/>
        <item x="3171"/>
        <item x="3185"/>
        <item x="3820"/>
        <item x="3162"/>
        <item x="3158"/>
        <item x="3822"/>
        <item x="3993"/>
        <item x="3172"/>
        <item x="236"/>
        <item x="1704"/>
        <item x="3724"/>
        <item x="3637"/>
        <item x="3818"/>
        <item x="3812"/>
        <item x="3992"/>
        <item x="244"/>
        <item x="3188"/>
        <item x="3720"/>
        <item x="3141"/>
        <item x="3816"/>
        <item x="3140"/>
        <item x="3714"/>
        <item x="3718"/>
        <item x="3814"/>
        <item x="3821"/>
        <item x="3721"/>
        <item x="3817"/>
        <item x="3159"/>
        <item x="3819"/>
        <item x="3813"/>
        <item x="3469"/>
        <item x="3716"/>
        <item x="3142"/>
        <item x="1706"/>
        <item x="3723"/>
        <item x="3627"/>
        <item x="3144"/>
        <item x="3143"/>
        <item x="3711"/>
        <item x="3815"/>
        <item x="1700"/>
        <item x="1701"/>
        <item x="3145"/>
        <item x="1702"/>
        <item x="3146"/>
        <item x="1703"/>
        <item x="2177"/>
        <item x="1707"/>
        <item x="2171"/>
        <item x="2176"/>
        <item x="2174"/>
        <item x="1079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6"/>
  </rowFields>
  <rowItems count="77">
    <i>
      <x/>
    </i>
    <i r="1">
      <x v="33"/>
    </i>
    <i r="1">
      <x v="141"/>
    </i>
    <i>
      <x v="2"/>
    </i>
    <i r="1">
      <x v="14"/>
    </i>
    <i r="1">
      <x v="23"/>
    </i>
    <i>
      <x v="3"/>
    </i>
    <i r="1">
      <x v="3"/>
    </i>
    <i r="1">
      <x v="7"/>
    </i>
    <i r="1">
      <x v="10"/>
    </i>
    <i r="1">
      <x v="11"/>
    </i>
    <i r="1">
      <x v="17"/>
    </i>
    <i r="1">
      <x v="24"/>
    </i>
    <i r="1">
      <x v="27"/>
    </i>
    <i r="1">
      <x v="38"/>
    </i>
    <i r="1">
      <x v="48"/>
    </i>
    <i r="1">
      <x v="60"/>
    </i>
    <i r="1">
      <x v="82"/>
    </i>
    <i r="1">
      <x v="84"/>
    </i>
    <i r="1">
      <x v="85"/>
    </i>
    <i r="1">
      <x v="87"/>
    </i>
    <i r="1">
      <x v="109"/>
    </i>
    <i r="1">
      <x v="123"/>
    </i>
    <i r="1">
      <x v="128"/>
    </i>
    <i>
      <x v="4"/>
    </i>
    <i r="1">
      <x v="39"/>
    </i>
    <i>
      <x v="5"/>
    </i>
    <i r="1">
      <x v="1"/>
    </i>
    <i r="1">
      <x v="56"/>
    </i>
    <i>
      <x v="6"/>
    </i>
    <i r="1">
      <x v="89"/>
    </i>
    <i r="1">
      <x v="93"/>
    </i>
    <i r="1">
      <x v="110"/>
    </i>
    <i r="1">
      <x v="133"/>
    </i>
    <i>
      <x v="7"/>
    </i>
    <i r="1">
      <x v="30"/>
    </i>
    <i r="1">
      <x v="51"/>
    </i>
    <i r="1">
      <x v="129"/>
    </i>
    <i r="1">
      <x v="144"/>
    </i>
    <i>
      <x v="8"/>
    </i>
    <i r="1">
      <x v="2"/>
    </i>
    <i r="1">
      <x v="22"/>
    </i>
    <i r="1">
      <x v="42"/>
    </i>
    <i>
      <x v="9"/>
    </i>
    <i r="1">
      <x v="9"/>
    </i>
    <i r="1">
      <x v="68"/>
    </i>
    <i r="1">
      <x v="69"/>
    </i>
    <i r="1">
      <x v="137"/>
    </i>
    <i>
      <x v="10"/>
    </i>
    <i r="1">
      <x v="80"/>
    </i>
    <i>
      <x v="12"/>
    </i>
    <i r="1">
      <x v="29"/>
    </i>
    <i r="1">
      <x v="53"/>
    </i>
    <i r="1">
      <x v="79"/>
    </i>
    <i r="1">
      <x v="81"/>
    </i>
    <i r="1">
      <x v="95"/>
    </i>
    <i>
      <x v="13"/>
    </i>
    <i r="1">
      <x v="111"/>
    </i>
    <i r="1">
      <x v="147"/>
    </i>
    <i>
      <x v="14"/>
    </i>
    <i r="1">
      <x/>
    </i>
    <i r="1">
      <x v="44"/>
    </i>
    <i r="1">
      <x v="54"/>
    </i>
    <i r="1">
      <x v="74"/>
    </i>
    <i r="1">
      <x v="77"/>
    </i>
    <i r="1">
      <x v="113"/>
    </i>
    <i r="1">
      <x v="124"/>
    </i>
    <i r="1">
      <x v="127"/>
    </i>
    <i r="1">
      <x v="130"/>
    </i>
    <i>
      <x v="15"/>
    </i>
    <i r="1">
      <x v="96"/>
    </i>
    <i>
      <x v="16"/>
    </i>
    <i r="1">
      <x v="34"/>
    </i>
    <i r="1">
      <x v="142"/>
    </i>
    <i>
      <x v="18"/>
    </i>
    <i r="1">
      <x v="32"/>
    </i>
    <i t="grand">
      <x/>
    </i>
  </rowItems>
  <colFields count="2">
    <field x="8"/>
    <field x="16"/>
  </colFields>
  <colItems count="4">
    <i>
      <x v="5"/>
    </i>
    <i>
      <x v="6"/>
    </i>
    <i>
      <x v="7"/>
    </i>
    <i t="grand">
      <x/>
    </i>
  </colItems>
  <pageFields count="1">
    <pageField fld="7" item="2" hier="-1"/>
  </pageFields>
  <dataFields count="1">
    <dataField name="Sum af KlimaKorrigeretKwh" fld="17" baseField="0" baseItem="0"/>
  </dataFields>
  <formats count="9">
    <format dxfId="14">
      <pivotArea type="all" dataOnly="0" outline="0" fieldPosition="0"/>
    </format>
    <format dxfId="13">
      <pivotArea dataOnly="0" labelOnly="1" fieldPosition="0">
        <references count="1">
          <reference field="8" count="1">
            <x v="0"/>
          </reference>
        </references>
      </pivotArea>
    </format>
    <format dxfId="12">
      <pivotArea dataOnly="0" labelOnly="1" fieldPosition="0">
        <references count="1">
          <reference field="8" count="1">
            <x v="1"/>
          </reference>
        </references>
      </pivotArea>
    </format>
    <format dxfId="11">
      <pivotArea dataOnly="0" labelOnly="1" fieldPosition="0">
        <references count="1">
          <reference field="8" count="1">
            <x v="2"/>
          </reference>
        </references>
      </pivotArea>
    </format>
    <format dxfId="10">
      <pivotArea dataOnly="0" labelOnly="1" fieldPosition="0">
        <references count="1">
          <reference field="8" count="1">
            <x v="3"/>
          </reference>
        </references>
      </pivotArea>
    </format>
    <format dxfId="9">
      <pivotArea dataOnly="0" labelOnly="1" fieldPosition="0">
        <references count="1">
          <reference field="8" count="1">
            <x v="4"/>
          </reference>
        </references>
      </pivotArea>
    </format>
    <format dxfId="8">
      <pivotArea dataOnly="0" labelOnly="1" fieldPosition="0">
        <references count="1">
          <reference field="8" count="1">
            <x v="5"/>
          </reference>
        </references>
      </pivotArea>
    </format>
    <format dxfId="7">
      <pivotArea dataOnly="0" labelOnly="1" fieldPosition="0">
        <references count="1">
          <reference field="8" count="1">
            <x v="6"/>
          </reference>
        </references>
      </pivotArea>
    </format>
    <format dxfId="6">
      <pivotArea dataOnly="0" labelOnly="1" fieldPosition="0">
        <references count="1">
          <reference field="8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4" minRefreshableVersion="3" useAutoFormatting="1" itemPrintTitles="1" createdVersion="4" indent="0" outline="1" outlineData="1" multipleFieldFilters="0">
  <location ref="A3:BW25" firstHeaderRow="1" firstDataRow="3" firstDataCol="1" rowPageCount="1" colPageCount="1"/>
  <pivotFields count="25">
    <pivotField axis="axisRow" showAll="0">
      <items count="21">
        <item sd="0" x="0"/>
        <item sd="0" x="1"/>
        <item sd="0" x="2"/>
        <item sd="0" x="3"/>
        <item sd="0" x="5"/>
        <item sd="0" x="11"/>
        <item sd="0" x="8"/>
        <item sd="0" x="12"/>
        <item sd="0" x="9"/>
        <item sd="0" x="13"/>
        <item sd="0" x="10"/>
        <item m="1" x="19"/>
        <item sd="0" x="4"/>
        <item sd="0" x="14"/>
        <item sd="0" x="6"/>
        <item sd="0" x="7"/>
        <item sd="0" x="15"/>
        <item sd="0" x="16"/>
        <item x="17"/>
        <item x="18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49">
        <item x="108"/>
        <item x="62"/>
        <item x="79"/>
        <item x="16"/>
        <item x="125"/>
        <item x="126"/>
        <item x="127"/>
        <item x="17"/>
        <item x="18"/>
        <item x="87"/>
        <item x="14"/>
        <item x="19"/>
        <item x="2"/>
        <item x="20"/>
        <item x="10"/>
        <item x="13"/>
        <item x="21"/>
        <item x="22"/>
        <item x="23"/>
        <item x="80"/>
        <item x="94"/>
        <item x="24"/>
        <item x="81"/>
        <item x="11"/>
        <item x="25"/>
        <item x="109"/>
        <item x="63"/>
        <item x="26"/>
        <item x="57"/>
        <item x="15"/>
        <item x="75"/>
        <item x="128"/>
        <item x="132"/>
        <item x="0"/>
        <item x="122"/>
        <item x="27"/>
        <item x="28"/>
        <item x="74"/>
        <item x="29"/>
        <item x="60"/>
        <item x="64"/>
        <item x="135"/>
        <item x="53"/>
        <item x="136"/>
        <item x="115"/>
        <item x="69"/>
        <item x="106"/>
        <item x="134"/>
        <item x="31"/>
        <item x="88"/>
        <item x="33"/>
        <item x="76"/>
        <item x="82"/>
        <item x="96"/>
        <item x="110"/>
        <item x="3"/>
        <item x="65"/>
        <item x="137"/>
        <item x="138"/>
        <item x="66"/>
        <item x="34"/>
        <item x="35"/>
        <item x="61"/>
        <item x="36"/>
        <item x="32"/>
        <item x="4"/>
        <item x="5"/>
        <item x="37"/>
        <item x="89"/>
        <item x="90"/>
        <item x="58"/>
        <item x="129"/>
        <item x="139"/>
        <item x="140"/>
        <item x="111"/>
        <item x="86"/>
        <item x="102"/>
        <item x="112"/>
        <item x="100"/>
        <item x="97"/>
        <item x="95"/>
        <item x="56"/>
        <item x="38"/>
        <item x="39"/>
        <item x="41"/>
        <item x="42"/>
        <item x="133"/>
        <item x="43"/>
        <item x="51"/>
        <item x="70"/>
        <item x="103"/>
        <item x="144"/>
        <item x="124"/>
        <item x="54"/>
        <item x="107"/>
        <item x="98"/>
        <item x="119"/>
        <item x="8"/>
        <item x="44"/>
        <item x="67"/>
        <item x="55"/>
        <item x="12"/>
        <item x="141"/>
        <item m="1" x="146"/>
        <item m="1" x="145"/>
        <item m="1" x="147"/>
        <item x="59"/>
        <item x="45"/>
        <item x="30"/>
        <item x="46"/>
        <item x="71"/>
        <item x="105"/>
        <item x="142"/>
        <item x="113"/>
        <item x="47"/>
        <item x="52"/>
        <item x="68"/>
        <item x="120"/>
        <item x="7"/>
        <item x="6"/>
        <item x="50"/>
        <item x="121"/>
        <item x="117"/>
        <item x="48"/>
        <item x="114"/>
        <item x="143"/>
        <item x="99"/>
        <item x="93"/>
        <item x="40"/>
        <item x="49"/>
        <item x="77"/>
        <item x="116"/>
        <item x="101"/>
        <item x="130"/>
        <item x="72"/>
        <item x="9"/>
        <item x="118"/>
        <item x="73"/>
        <item x="92"/>
        <item x="131"/>
        <item x="85"/>
        <item x="83"/>
        <item x="1"/>
        <item x="123"/>
        <item x="84"/>
        <item x="78"/>
        <item x="91"/>
        <item x="104"/>
        <item t="default"/>
      </items>
    </pivotField>
    <pivotField axis="axisPage" multipleItemSelectionAllowed="1" showAll="0">
      <items count="4">
        <item x="0"/>
        <item h="1" x="1"/>
        <item x="2"/>
        <item t="default"/>
      </items>
    </pivotField>
    <pivotField axis="axisCol" showAll="0">
      <items count="10">
        <item x="6"/>
        <item x="5"/>
        <item x="4"/>
        <item x="3"/>
        <item x="2"/>
        <item x="1"/>
        <item x="7"/>
        <item x="0"/>
        <item x="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axis="axisCol" showAll="0">
      <items count="13">
        <item x="2"/>
        <item x="7"/>
        <item x="1"/>
        <item x="3"/>
        <item x="5"/>
        <item x="4"/>
        <item x="6"/>
        <item h="1" x="9"/>
        <item x="8"/>
        <item x="0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6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 r="1">
      <x v="32"/>
    </i>
    <i t="grand">
      <x/>
    </i>
  </rowItems>
  <colFields count="2">
    <field x="8"/>
    <field x="16"/>
  </colFields>
  <colItems count="7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t="default">
      <x v="3"/>
    </i>
    <i>
      <x v="4"/>
      <x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t="default">
      <x v="4"/>
    </i>
    <i>
      <x v="5"/>
      <x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t="default">
      <x v="5"/>
    </i>
    <i>
      <x v="6"/>
      <x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t="default">
      <x v="6"/>
    </i>
    <i>
      <x v="7"/>
      <x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t="default">
      <x v="7"/>
    </i>
    <i t="grand">
      <x/>
    </i>
  </colItems>
  <pageFields count="1">
    <pageField fld="7" hier="-1"/>
  </pageFields>
  <dataFields count="1">
    <dataField name="Sum af Forbrugt" fld="9" baseField="0" baseItem="0"/>
  </dataFields>
  <formats count="2">
    <format dxfId="5">
      <pivotArea type="all" dataOnly="0" outline="0" fieldPosition="0"/>
    </format>
    <format dxfId="4">
      <pivotArea type="all" dataOnly="0" outline="0" fieldPosition="0"/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3" cacheId="1" applyNumberFormats="0" applyBorderFormats="0" applyFontFormats="0" applyPatternFormats="0" applyAlignmentFormats="0" applyWidthHeightFormats="1" dataCaption="Værdier" updatedVersion="4" minRefreshableVersion="3" useAutoFormatting="1" itemPrintTitles="1" createdVersion="4" indent="0" outline="1" outlineData="1" multipleFieldFilters="0">
  <location ref="A3:J28" firstHeaderRow="1" firstDataRow="3" firstDataCol="1" rowPageCount="1" colPageCount="1"/>
  <pivotFields count="25">
    <pivotField axis="axisRow" showAll="0">
      <items count="19">
        <item x="0"/>
        <item x="1"/>
        <item sd="0" x="2"/>
        <item sd="0" x="3"/>
        <item sd="0" x="5"/>
        <item sd="0" x="11"/>
        <item sd="0" x="8"/>
        <item sd="0" x="12"/>
        <item sd="0" x="9"/>
        <item sd="0" x="13"/>
        <item x="10"/>
        <item sd="0" x="4"/>
        <item sd="0" x="14"/>
        <item sd="0" x="6"/>
        <item sd="0" x="7"/>
        <item sd="0" x="15"/>
        <item x="16"/>
        <item x="17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49">
        <item x="108"/>
        <item x="62"/>
        <item x="79"/>
        <item x="16"/>
        <item x="125"/>
        <item x="126"/>
        <item x="127"/>
        <item x="17"/>
        <item x="18"/>
        <item x="87"/>
        <item x="14"/>
        <item x="19"/>
        <item x="2"/>
        <item x="20"/>
        <item x="10"/>
        <item x="13"/>
        <item x="21"/>
        <item x="22"/>
        <item x="23"/>
        <item x="80"/>
        <item x="94"/>
        <item x="24"/>
        <item x="81"/>
        <item x="11"/>
        <item x="25"/>
        <item x="109"/>
        <item x="63"/>
        <item x="26"/>
        <item x="57"/>
        <item x="15"/>
        <item x="75"/>
        <item x="128"/>
        <item x="132"/>
        <item x="0"/>
        <item x="122"/>
        <item x="27"/>
        <item x="28"/>
        <item x="74"/>
        <item x="29"/>
        <item x="60"/>
        <item x="64"/>
        <item x="135"/>
        <item x="53"/>
        <item x="136"/>
        <item x="115"/>
        <item x="69"/>
        <item x="106"/>
        <item x="134"/>
        <item x="31"/>
        <item x="88"/>
        <item x="33"/>
        <item x="76"/>
        <item x="82"/>
        <item x="96"/>
        <item x="110"/>
        <item x="3"/>
        <item x="65"/>
        <item x="137"/>
        <item x="138"/>
        <item x="66"/>
        <item x="34"/>
        <item x="35"/>
        <item x="61"/>
        <item x="36"/>
        <item x="32"/>
        <item x="4"/>
        <item x="5"/>
        <item x="37"/>
        <item x="89"/>
        <item x="90"/>
        <item x="58"/>
        <item x="129"/>
        <item x="139"/>
        <item x="140"/>
        <item x="111"/>
        <item x="86"/>
        <item x="102"/>
        <item x="112"/>
        <item x="100"/>
        <item x="97"/>
        <item x="95"/>
        <item x="56"/>
        <item x="38"/>
        <item x="39"/>
        <item x="41"/>
        <item x="42"/>
        <item x="133"/>
        <item x="43"/>
        <item x="51"/>
        <item x="70"/>
        <item x="103"/>
        <item x="144"/>
        <item x="124"/>
        <item x="54"/>
        <item x="107"/>
        <item x="98"/>
        <item x="119"/>
        <item x="8"/>
        <item x="44"/>
        <item x="67"/>
        <item x="55"/>
        <item x="12"/>
        <item x="141"/>
        <item m="1" x="147"/>
        <item m="1" x="146"/>
        <item m="1" x="145"/>
        <item x="59"/>
        <item x="45"/>
        <item x="30"/>
        <item x="46"/>
        <item x="71"/>
        <item x="105"/>
        <item x="142"/>
        <item x="113"/>
        <item x="47"/>
        <item x="52"/>
        <item x="68"/>
        <item x="120"/>
        <item x="7"/>
        <item x="6"/>
        <item x="50"/>
        <item x="121"/>
        <item x="117"/>
        <item x="48"/>
        <item x="114"/>
        <item x="143"/>
        <item x="99"/>
        <item x="93"/>
        <item x="40"/>
        <item x="49"/>
        <item x="77"/>
        <item x="116"/>
        <item x="101"/>
        <item x="130"/>
        <item x="72"/>
        <item x="9"/>
        <item x="118"/>
        <item x="73"/>
        <item x="92"/>
        <item x="131"/>
        <item x="85"/>
        <item x="83"/>
        <item x="1"/>
        <item x="123"/>
        <item x="84"/>
        <item x="78"/>
        <item x="91"/>
        <item x="104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Col" showAll="0">
      <items count="9">
        <item sd="0" x="6"/>
        <item sd="0" x="5"/>
        <item sd="0" x="4"/>
        <item sd="0" x="3"/>
        <item sd="0" x="2"/>
        <item sd="0" x="1"/>
        <item sd="0" x="7"/>
        <item sd="0"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axis="axisCol" showAll="0">
      <items count="12">
        <item h="1" x="2"/>
        <item x="7"/>
        <item x="1"/>
        <item x="3"/>
        <item x="5"/>
        <item x="4"/>
        <item x="6"/>
        <item h="1" x="9"/>
        <item h="1" x="8"/>
        <item h="1" x="0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6"/>
  </rowFields>
  <rowItems count="23">
    <i>
      <x/>
    </i>
    <i r="1">
      <x v="33"/>
    </i>
    <i r="1">
      <x v="142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r="1">
      <x v="37"/>
    </i>
    <i r="1">
      <x v="80"/>
    </i>
    <i r="1">
      <x v="106"/>
    </i>
    <i>
      <x v="11"/>
    </i>
    <i>
      <x v="12"/>
    </i>
    <i>
      <x v="13"/>
    </i>
    <i>
      <x v="14"/>
    </i>
    <i>
      <x v="15"/>
    </i>
    <i>
      <x v="17"/>
    </i>
    <i r="1">
      <x v="32"/>
    </i>
    <i t="grand">
      <x/>
    </i>
  </rowItems>
  <colFields count="2">
    <field x="8"/>
    <field x="16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7" hier="-1"/>
  </pageFields>
  <dataFields count="1">
    <dataField name="Sum af Forbrugt" fld="9" baseField="16" baseItem="0" numFmtId="168"/>
  </dataFields>
  <formats count="2">
    <format dxfId="3">
      <pivotArea type="all" dataOnly="0" outline="0" fieldPosition="0"/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4" cacheId="1" applyNumberFormats="0" applyBorderFormats="0" applyFontFormats="0" applyPatternFormats="0" applyAlignmentFormats="0" applyWidthHeightFormats="1" dataCaption="Værdier" updatedVersion="4" minRefreshableVersion="3" useAutoFormatting="1" itemPrintTitles="1" createdVersion="4" indent="0" outline="1" outlineData="1" multipleFieldFilters="0">
  <location ref="A3:J23" firstHeaderRow="1" firstDataRow="3" firstDataCol="1" rowPageCount="1" colPageCount="1"/>
  <pivotFields count="25">
    <pivotField axis="axisRow" showAll="0">
      <items count="19">
        <item sd="0" x="0"/>
        <item x="1"/>
        <item sd="0" x="2"/>
        <item sd="0" x="3"/>
        <item sd="0" x="5"/>
        <item sd="0" x="11"/>
        <item sd="0" x="8"/>
        <item sd="0" x="12"/>
        <item sd="0" x="9"/>
        <item sd="0" x="13"/>
        <item sd="0" x="10"/>
        <item sd="0" x="4"/>
        <item sd="0" x="14"/>
        <item sd="0" x="6"/>
        <item sd="0" x="7"/>
        <item sd="0" x="15"/>
        <item x="16"/>
        <item x="17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49">
        <item x="108"/>
        <item x="62"/>
        <item x="79"/>
        <item x="16"/>
        <item x="125"/>
        <item x="126"/>
        <item x="127"/>
        <item x="17"/>
        <item x="18"/>
        <item x="87"/>
        <item x="14"/>
        <item x="19"/>
        <item x="2"/>
        <item x="20"/>
        <item x="10"/>
        <item x="13"/>
        <item x="21"/>
        <item x="22"/>
        <item x="23"/>
        <item x="80"/>
        <item x="94"/>
        <item x="24"/>
        <item x="81"/>
        <item x="11"/>
        <item x="25"/>
        <item x="109"/>
        <item x="63"/>
        <item x="26"/>
        <item x="57"/>
        <item x="15"/>
        <item x="75"/>
        <item x="128"/>
        <item x="132"/>
        <item x="0"/>
        <item x="122"/>
        <item x="27"/>
        <item x="28"/>
        <item x="74"/>
        <item x="29"/>
        <item x="60"/>
        <item x="64"/>
        <item x="135"/>
        <item x="53"/>
        <item x="136"/>
        <item x="115"/>
        <item x="69"/>
        <item x="106"/>
        <item x="134"/>
        <item x="31"/>
        <item x="88"/>
        <item x="33"/>
        <item x="76"/>
        <item x="82"/>
        <item x="96"/>
        <item x="110"/>
        <item x="3"/>
        <item x="65"/>
        <item x="137"/>
        <item x="138"/>
        <item x="66"/>
        <item x="34"/>
        <item x="35"/>
        <item x="61"/>
        <item x="36"/>
        <item x="32"/>
        <item x="4"/>
        <item x="5"/>
        <item x="37"/>
        <item x="89"/>
        <item x="90"/>
        <item x="58"/>
        <item x="129"/>
        <item x="139"/>
        <item x="140"/>
        <item x="111"/>
        <item x="86"/>
        <item x="102"/>
        <item x="112"/>
        <item x="100"/>
        <item x="97"/>
        <item x="95"/>
        <item x="56"/>
        <item x="38"/>
        <item x="39"/>
        <item x="41"/>
        <item x="42"/>
        <item x="133"/>
        <item x="43"/>
        <item x="51"/>
        <item x="70"/>
        <item x="103"/>
        <item x="144"/>
        <item x="124"/>
        <item x="54"/>
        <item x="107"/>
        <item x="98"/>
        <item x="119"/>
        <item x="8"/>
        <item x="44"/>
        <item x="67"/>
        <item x="55"/>
        <item x="12"/>
        <item x="141"/>
        <item m="1" x="147"/>
        <item m="1" x="146"/>
        <item m="1" x="145"/>
        <item x="59"/>
        <item x="45"/>
        <item x="30"/>
        <item x="46"/>
        <item x="71"/>
        <item x="105"/>
        <item x="142"/>
        <item x="113"/>
        <item x="47"/>
        <item x="52"/>
        <item x="68"/>
        <item x="120"/>
        <item x="7"/>
        <item x="6"/>
        <item x="50"/>
        <item x="121"/>
        <item x="117"/>
        <item x="48"/>
        <item x="114"/>
        <item x="143"/>
        <item x="99"/>
        <item x="93"/>
        <item x="40"/>
        <item x="49"/>
        <item x="77"/>
        <item x="116"/>
        <item x="101"/>
        <item x="130"/>
        <item x="72"/>
        <item x="9"/>
        <item x="118"/>
        <item x="73"/>
        <item x="92"/>
        <item x="131"/>
        <item x="85"/>
        <item x="83"/>
        <item x="1"/>
        <item x="123"/>
        <item x="84"/>
        <item x="78"/>
        <item x="91"/>
        <item x="104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Col" showAll="0">
      <items count="9">
        <item sd="0" x="6"/>
        <item sd="0" x="5"/>
        <item sd="0" x="4"/>
        <item sd="0" x="3"/>
        <item sd="0" x="2"/>
        <item sd="0" x="1"/>
        <item sd="0" x="7"/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h="1" x="2"/>
        <item x="7"/>
        <item x="1"/>
        <item x="3"/>
        <item x="5"/>
        <item x="4"/>
        <item x="6"/>
        <item h="1" x="9"/>
        <item h="1" x="8"/>
        <item h="1" x="0"/>
        <item h="1" x="1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6"/>
  </rowFields>
  <rowItems count="18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 r="1">
      <x v="32"/>
    </i>
    <i t="grand">
      <x/>
    </i>
  </rowItems>
  <colFields count="2">
    <field x="8"/>
    <field x="16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7" hier="-1"/>
  </pageFields>
  <dataFields count="1">
    <dataField name="Sum af KlimaKorrigeretKwh" fld="17" baseField="0" baseItem="0" numFmtId="168"/>
  </dataFields>
  <formats count="2">
    <format dxfId="1">
      <pivotArea type="all" dataOnly="0" outline="0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3:W4979" tableType="xml" totalsRowShown="0">
  <autoFilter ref="A3:W4979"/>
  <sortState ref="A4:W4979">
    <sortCondition ref="A3:A4979"/>
  </sortState>
  <tableColumns count="23">
    <tableColumn id="6" uniqueName="Niveau3" name="Niveau3">
      <xmlColumnPr mapId="1" xpath="/root/row/@Niveau3" xmlDataType="string"/>
    </tableColumn>
    <tableColumn id="7" uniqueName="BBRnummer" name="BBRnummer">
      <xmlColumnPr mapId="1" xpath="/root/row/@BBRnummer" xmlDataType="string"/>
    </tableColumn>
    <tableColumn id="8" uniqueName="Egenref" name="Egenref">
      <xmlColumnPr mapId="1" xpath="/root/row/@Egenref" xmlDataType="string"/>
    </tableColumn>
    <tableColumn id="9" uniqueName="KF_Bygningsnr" name="KF_Bygningsnr">
      <xmlColumnPr mapId="1" xpath="/root/row/@KF_Bygningsnr" xmlDataType="integer"/>
    </tableColumn>
    <tableColumn id="10" uniqueName="Bygningsnr" name="Bygningsnr">
      <xmlColumnPr mapId="1" xpath="/root/row/@Bygningsnr" xmlDataType="string"/>
    </tableColumn>
    <tableColumn id="11" uniqueName="Bygningsnavn" name="Bygningsnavn">
      <xmlColumnPr mapId="1" xpath="/root/row/@Bygningsnavn" xmlDataType="string"/>
    </tableColumn>
    <tableColumn id="12" uniqueName="Aar" name="Aar">
      <xmlColumnPr mapId="1" xpath="/root/row/@Aar" xmlDataType="integer"/>
    </tableColumn>
    <tableColumn id="13" uniqueName="Forbrugt" name="Forbrugt">
      <xmlColumnPr mapId="1" xpath="/root/row/@Forbrugt" xmlDataType="double"/>
    </tableColumn>
    <tableColumn id="14" uniqueName="Antal_poster" name="Antal_poster">
      <xmlColumnPr mapId="1" xpath="/root/row/@Antal_poster" xmlDataType="integer"/>
    </tableColumn>
    <tableColumn id="15" uniqueName="Sidst_Aflaest" name="Sidst_Aflaest">
      <xmlColumnPr mapId="1" xpath="/root/row/@Sidst_Aflaest" xmlDataType="string"/>
    </tableColumn>
    <tableColumn id="16" uniqueName="Afkoeling" name="Afkoeling">
      <xmlColumnPr mapId="1" xpath="/root/row/@Afkoeling" xmlDataType="integer"/>
    </tableColumn>
    <tableColumn id="17" uniqueName="Areal" name="Areal">
      <xmlColumnPr mapId="1" xpath="/root/row/@Areal" xmlDataType="integer"/>
    </tableColumn>
    <tableColumn id="18" uniqueName="Noegletal" name="Noegletal">
      <xmlColumnPr mapId="1" xpath="/root/row/@Noegletal" xmlDataType="double"/>
    </tableColumn>
    <tableColumn id="19" uniqueName="ForbrugsArt" name="ForbrugsArt">
      <xmlColumnPr mapId="1" xpath="/root/row/@ForbrugsArt" xmlDataType="integer"/>
    </tableColumn>
    <tableColumn id="20" uniqueName="Forsyning" name="Forsyning">
      <xmlColumnPr mapId="1" xpath="/root/row/@Forsyning" xmlDataType="string"/>
    </tableColumn>
    <tableColumn id="21" uniqueName="KlimaKorrigeretKwh" name="KlimaKorrigeretKwh">
      <xmlColumnPr mapId="1" xpath="/root/row/@KlimaKorrigeretKwh" xmlDataType="double"/>
    </tableColumn>
    <tableColumn id="22" uniqueName="CO2KG" name="CO2KG">
      <xmlColumnPr mapId="1" xpath="/root/row/@CO2KG" xmlDataType="double"/>
    </tableColumn>
    <tableColumn id="23" uniqueName="Bimaaler" name="Bimaaler">
      <xmlColumnPr mapId="1" xpath="/root/row/@Bimaaler" xmlDataType="integer"/>
    </tableColumn>
    <tableColumn id="24" uniqueName="Maalernr" name="Maalernr">
      <xmlColumnPr mapId="1" xpath="/root/row/@Maalernr" xmlDataType="string"/>
    </tableColumn>
    <tableColumn id="25" uniqueName="Aftagenr" name="Aftagenr">
      <xmlColumnPr mapId="1" xpath="/root/row/@Aftagenr" xmlDataType="string"/>
    </tableColumn>
    <tableColumn id="26" uniqueName="Aflaest" name="Aflaest">
      <xmlColumnPr mapId="1" xpath="/root/row/@Aflaest" xmlDataType="double"/>
    </tableColumn>
    <tableColumn id="27" uniqueName="AfkoelingsMaalernr" name="AfkoelingsMaalernr">
      <xmlColumnPr mapId="1" xpath="/root/row/@AfkoelingsMaalernr" xmlDataType="integer"/>
    </tableColumn>
    <tableColumn id="28" uniqueName="MaalerLinienr" name="MaalerLinienr">
      <xmlColumnPr mapId="1" xpath="/root/row/@MaalerLinienr" xmlDataType="integer"/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13" displayName="Table13" ref="A3:Y4999" tableType="xml" totalsRowShown="0">
  <autoFilter ref="A3:Y4999">
    <filterColumn colId="6">
      <filters>
        <filter val="1.st. klasse huset, Hareskov Skole"/>
        <filter val="Annexgården"/>
        <filter val="Hareskov Bibliotek"/>
        <filter val="Hareskov Hallen, Måne 8"/>
        <filter val="Hareskovskole"/>
      </filters>
    </filterColumn>
    <filterColumn colId="8">
      <filters>
        <filter val="2014"/>
        <filter val="2015"/>
      </filters>
    </filterColumn>
  </autoFilter>
  <sortState ref="A4296:Y4534">
    <sortCondition ref="I3:I4991"/>
  </sortState>
  <tableColumns count="25">
    <tableColumn id="6" uniqueName="Niveau3" name="Niveau3">
      <xmlColumnPr mapId="1" xpath="/root/row/@Niveau3" xmlDataType="string"/>
    </tableColumn>
    <tableColumn id="7" uniqueName="BBRnummer" name="BBRnummer">
      <xmlColumnPr mapId="1" xpath="/root/row/@BBRnummer" xmlDataType="string"/>
    </tableColumn>
    <tableColumn id="8" uniqueName="Egenref" name="Egenref">
      <xmlColumnPr mapId="1" xpath="/root/row/@Egenref" xmlDataType="string"/>
    </tableColumn>
    <tableColumn id="9" uniqueName="KF_Bygningsnr" name="KF_Bygningsnr">
      <xmlColumnPr mapId="1" xpath="/root/row/@KF_Bygningsnr" xmlDataType="integer"/>
    </tableColumn>
    <tableColumn id="10" uniqueName="Bygningsnr" name="Bygningsnr">
      <xmlColumnPr mapId="1" xpath="/root/row/@Bygningsnr" xmlDataType="string"/>
    </tableColumn>
    <tableColumn id="11" uniqueName="Bygningsnavn" name="Bygningsnavn">
      <xmlColumnPr mapId="1" xpath="/root/row/@Bygningsnavn" xmlDataType="string"/>
    </tableColumn>
    <tableColumn id="1" uniqueName="1" name="Bygninger - NY" dataDxfId="16"/>
    <tableColumn id="49" uniqueName="49" name="Indgår / indgår ikke" dataDxfId="15"/>
    <tableColumn id="12" uniqueName="Aar" name="Aar">
      <xmlColumnPr mapId="1" xpath="/root/row/@Aar" xmlDataType="integer"/>
    </tableColumn>
    <tableColumn id="13" uniqueName="Forbrugt" name="Forbrugt" dataCellStyle="Komma">
      <xmlColumnPr mapId="1" xpath="/root/row/@Forbrugt" xmlDataType="double"/>
    </tableColumn>
    <tableColumn id="14" uniqueName="Antal_poster" name="Antal_poster">
      <xmlColumnPr mapId="1" xpath="/root/row/@Antal_poster" xmlDataType="integer"/>
    </tableColumn>
    <tableColumn id="15" uniqueName="Sidst_Aflaest" name="Sidst_Aflaest">
      <xmlColumnPr mapId="1" xpath="/root/row/@Sidst_Aflaest" xmlDataType="string"/>
    </tableColumn>
    <tableColumn id="16" uniqueName="Afkoeling" name="Afkoeling">
      <xmlColumnPr mapId="1" xpath="/root/row/@Afkoeling" xmlDataType="integer"/>
    </tableColumn>
    <tableColumn id="17" uniqueName="Areal" name="Areal">
      <xmlColumnPr mapId="1" xpath="/root/row/@Areal" xmlDataType="integer"/>
    </tableColumn>
    <tableColumn id="18" uniqueName="Noegletal" name="Noegletal">
      <xmlColumnPr mapId="1" xpath="/root/row/@Noegletal" xmlDataType="double"/>
    </tableColumn>
    <tableColumn id="19" uniqueName="ForbrugsArt" name="ForbrugsArt">
      <xmlColumnPr mapId="1" xpath="/root/row/@ForbrugsArt" xmlDataType="integer"/>
    </tableColumn>
    <tableColumn id="20" uniqueName="Forsyning" name="Forsyning">
      <xmlColumnPr mapId="1" xpath="/root/row/@Forsyning" xmlDataType="string"/>
    </tableColumn>
    <tableColumn id="21" uniqueName="KlimaKorrigeretKwh" name="KlimaKorrigeretKwh" dataCellStyle="Komma">
      <xmlColumnPr mapId="1" xpath="/root/row/@KlimaKorrigeretKwh" xmlDataType="double"/>
    </tableColumn>
    <tableColumn id="22" uniqueName="CO2KG" name="CO2KG">
      <xmlColumnPr mapId="1" xpath="/root/row/@CO2KG" xmlDataType="double"/>
    </tableColumn>
    <tableColumn id="23" uniqueName="Bimaaler" name="Bimaaler">
      <xmlColumnPr mapId="1" xpath="/root/row/@Bimaaler" xmlDataType="integer"/>
    </tableColumn>
    <tableColumn id="24" uniqueName="Maalernr" name="Maalernr">
      <xmlColumnPr mapId="1" xpath="/root/row/@Maalernr" xmlDataType="string"/>
    </tableColumn>
    <tableColumn id="25" uniqueName="Aftagenr" name="Aftagenr">
      <xmlColumnPr mapId="1" xpath="/root/row/@Aftagenr" xmlDataType="string"/>
    </tableColumn>
    <tableColumn id="26" uniqueName="Aflaest" name="Aflaest">
      <xmlColumnPr mapId="1" xpath="/root/row/@Aflaest" xmlDataType="double"/>
    </tableColumn>
    <tableColumn id="27" uniqueName="AfkoelingsMaalernr" name="AfkoelingsMaalernr">
      <xmlColumnPr mapId="1" xpath="/root/row/@AfkoelingsMaalernr" xmlDataType="integer"/>
    </tableColumn>
    <tableColumn id="28" uniqueName="MaalerLinienr" name="MaalerLinienr">
      <xmlColumnPr mapId="1" xpath="/root/row/@MaalerLinienr" xmlDataType="integer"/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4979"/>
  <sheetViews>
    <sheetView zoomScale="85" zoomScaleNormal="85" workbookViewId="0">
      <pane xSplit="1" ySplit="3" topLeftCell="I4914" activePane="bottomRight" state="frozen"/>
      <selection pane="topRight" activeCell="B1" sqref="B1"/>
      <selection pane="bottomLeft" activeCell="A2" sqref="A2"/>
      <selection pane="bottomRight" activeCell="C4960" sqref="C4960"/>
    </sheetView>
  </sheetViews>
  <sheetFormatPr defaultColWidth="8.85546875" defaultRowHeight="15" x14ac:dyDescent="0.25"/>
  <cols>
    <col min="1" max="1" width="29.28515625" bestFit="1" customWidth="1"/>
    <col min="2" max="2" width="16.28515625" bestFit="1" customWidth="1"/>
    <col min="3" max="3" width="44.85546875" bestFit="1" customWidth="1"/>
    <col min="4" max="4" width="16.28515625" bestFit="1" customWidth="1"/>
    <col min="5" max="5" width="13" bestFit="1" customWidth="1"/>
    <col min="6" max="6" width="46.85546875" bestFit="1" customWidth="1"/>
    <col min="7" max="7" width="6.28515625" bestFit="1" customWidth="1"/>
    <col min="8" max="8" width="11" bestFit="1" customWidth="1"/>
    <col min="9" max="9" width="14.7109375" bestFit="1" customWidth="1"/>
    <col min="10" max="10" width="14.85546875" bestFit="1" customWidth="1"/>
    <col min="11" max="11" width="11.85546875" bestFit="1" customWidth="1"/>
    <col min="12" max="12" width="8" bestFit="1" customWidth="1"/>
    <col min="13" max="13" width="12" customWidth="1"/>
    <col min="14" max="14" width="13.7109375" bestFit="1" customWidth="1"/>
    <col min="15" max="16" width="21.42578125" bestFit="1" customWidth="1"/>
    <col min="17" max="17" width="12" customWidth="1"/>
    <col min="18" max="18" width="11.140625" bestFit="1" customWidth="1"/>
    <col min="19" max="19" width="31.42578125" bestFit="1" customWidth="1"/>
    <col min="20" max="20" width="28.28515625" bestFit="1" customWidth="1"/>
    <col min="21" max="21" width="12.7109375" bestFit="1" customWidth="1"/>
    <col min="22" max="22" width="21.140625" bestFit="1" customWidth="1"/>
    <col min="23" max="23" width="15.85546875" bestFit="1" customWidth="1"/>
  </cols>
  <sheetData>
    <row r="1" spans="1:23" x14ac:dyDescent="0.25">
      <c r="A1" s="14" t="s">
        <v>1393</v>
      </c>
    </row>
    <row r="3" spans="1:23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22</v>
      </c>
    </row>
    <row r="4" spans="1:23" x14ac:dyDescent="0.25">
      <c r="A4" s="1" t="s">
        <v>24</v>
      </c>
      <c r="B4" s="1" t="s">
        <v>43</v>
      </c>
      <c r="C4" s="1" t="s">
        <v>98</v>
      </c>
      <c r="D4">
        <v>5484</v>
      </c>
      <c r="E4" s="1"/>
      <c r="F4" s="1" t="s">
        <v>246</v>
      </c>
      <c r="G4">
        <v>2015</v>
      </c>
      <c r="H4">
        <v>415.29</v>
      </c>
      <c r="I4">
        <v>5</v>
      </c>
      <c r="J4" s="1"/>
      <c r="K4">
        <v>0</v>
      </c>
      <c r="L4">
        <v>5672</v>
      </c>
      <c r="M4">
        <v>7.3216000000000003E-2</v>
      </c>
      <c r="N4">
        <v>3</v>
      </c>
      <c r="O4" s="1" t="s">
        <v>560</v>
      </c>
      <c r="P4">
        <v>415.29</v>
      </c>
      <c r="Q4">
        <v>332.23</v>
      </c>
      <c r="R4">
        <v>0</v>
      </c>
      <c r="S4" s="1" t="s">
        <v>571</v>
      </c>
      <c r="T4" s="1"/>
      <c r="U4">
        <v>415.29300000000001</v>
      </c>
      <c r="V4">
        <v>0</v>
      </c>
      <c r="W4">
        <v>57963</v>
      </c>
    </row>
    <row r="5" spans="1:23" x14ac:dyDescent="0.25">
      <c r="A5" s="1" t="s">
        <v>24</v>
      </c>
      <c r="B5" s="1" t="s">
        <v>43</v>
      </c>
      <c r="C5" s="1" t="s">
        <v>98</v>
      </c>
      <c r="D5">
        <v>5484</v>
      </c>
      <c r="E5" s="1"/>
      <c r="F5" s="1" t="s">
        <v>246</v>
      </c>
      <c r="G5">
        <v>2015</v>
      </c>
      <c r="H5">
        <v>0</v>
      </c>
      <c r="I5">
        <v>5</v>
      </c>
      <c r="J5" s="1" t="s">
        <v>393</v>
      </c>
      <c r="K5">
        <v>0</v>
      </c>
      <c r="L5">
        <v>5672</v>
      </c>
      <c r="M5">
        <v>0</v>
      </c>
      <c r="N5">
        <v>3</v>
      </c>
      <c r="O5" s="1" t="s">
        <v>560</v>
      </c>
      <c r="P5">
        <v>0</v>
      </c>
      <c r="Q5">
        <v>0</v>
      </c>
      <c r="R5">
        <v>0</v>
      </c>
      <c r="S5" s="1" t="s">
        <v>572</v>
      </c>
      <c r="T5" s="1"/>
      <c r="U5">
        <v>0</v>
      </c>
      <c r="V5">
        <v>0</v>
      </c>
      <c r="W5">
        <v>57970</v>
      </c>
    </row>
    <row r="6" spans="1:23" x14ac:dyDescent="0.25">
      <c r="A6" s="1" t="s">
        <v>24</v>
      </c>
      <c r="B6" s="1" t="s">
        <v>43</v>
      </c>
      <c r="C6" s="1" t="s">
        <v>98</v>
      </c>
      <c r="D6">
        <v>5484</v>
      </c>
      <c r="E6" s="1"/>
      <c r="F6" s="1" t="s">
        <v>246</v>
      </c>
      <c r="G6">
        <v>2014</v>
      </c>
      <c r="H6">
        <v>891.61</v>
      </c>
      <c r="I6">
        <v>12</v>
      </c>
      <c r="J6" s="1"/>
      <c r="K6">
        <v>0</v>
      </c>
      <c r="L6">
        <v>5672</v>
      </c>
      <c r="M6">
        <v>0.157192</v>
      </c>
      <c r="N6">
        <v>3</v>
      </c>
      <c r="O6" s="1" t="s">
        <v>560</v>
      </c>
      <c r="P6">
        <v>891.61</v>
      </c>
      <c r="Q6">
        <v>713.26</v>
      </c>
      <c r="R6">
        <v>0</v>
      </c>
      <c r="S6" s="1" t="s">
        <v>571</v>
      </c>
      <c r="T6" s="1"/>
      <c r="U6">
        <v>891.6</v>
      </c>
      <c r="V6">
        <v>0</v>
      </c>
      <c r="W6">
        <v>57963</v>
      </c>
    </row>
    <row r="7" spans="1:23" x14ac:dyDescent="0.25">
      <c r="A7" s="1" t="s">
        <v>24</v>
      </c>
      <c r="B7" s="1" t="s">
        <v>43</v>
      </c>
      <c r="C7" s="1" t="s">
        <v>98</v>
      </c>
      <c r="D7">
        <v>5484</v>
      </c>
      <c r="E7" s="1"/>
      <c r="F7" s="1" t="s">
        <v>246</v>
      </c>
      <c r="G7">
        <v>2014</v>
      </c>
      <c r="H7">
        <v>212.55</v>
      </c>
      <c r="I7">
        <v>12</v>
      </c>
      <c r="J7" s="1" t="s">
        <v>393</v>
      </c>
      <c r="K7">
        <v>0</v>
      </c>
      <c r="L7">
        <v>5672</v>
      </c>
      <c r="M7">
        <v>3.7471999999999998E-2</v>
      </c>
      <c r="N7">
        <v>3</v>
      </c>
      <c r="O7" s="1" t="s">
        <v>560</v>
      </c>
      <c r="P7">
        <v>212.55</v>
      </c>
      <c r="Q7">
        <v>170.05</v>
      </c>
      <c r="R7">
        <v>0</v>
      </c>
      <c r="S7" s="1" t="s">
        <v>572</v>
      </c>
      <c r="T7" s="1"/>
      <c r="U7">
        <v>212.55</v>
      </c>
      <c r="V7">
        <v>0</v>
      </c>
      <c r="W7">
        <v>57970</v>
      </c>
    </row>
    <row r="8" spans="1:23" x14ac:dyDescent="0.25">
      <c r="A8" s="1" t="s">
        <v>24</v>
      </c>
      <c r="B8" s="1" t="s">
        <v>43</v>
      </c>
      <c r="C8" s="1" t="s">
        <v>98</v>
      </c>
      <c r="D8">
        <v>5484</v>
      </c>
      <c r="E8" s="1"/>
      <c r="F8" s="1" t="s">
        <v>246</v>
      </c>
      <c r="G8">
        <v>2013</v>
      </c>
      <c r="H8">
        <v>620.69000000000005</v>
      </c>
      <c r="I8">
        <v>12</v>
      </c>
      <c r="J8" s="1"/>
      <c r="K8">
        <v>0</v>
      </c>
      <c r="L8">
        <v>5672</v>
      </c>
      <c r="M8">
        <v>0.109428</v>
      </c>
      <c r="N8">
        <v>3</v>
      </c>
      <c r="O8" s="1" t="s">
        <v>560</v>
      </c>
      <c r="P8">
        <v>620.69000000000005</v>
      </c>
      <c r="Q8">
        <v>496.55</v>
      </c>
      <c r="R8">
        <v>0</v>
      </c>
      <c r="S8" s="1" t="s">
        <v>571</v>
      </c>
      <c r="T8" s="1"/>
      <c r="U8">
        <v>620.67899999999997</v>
      </c>
      <c r="V8">
        <v>0</v>
      </c>
      <c r="W8">
        <v>57963</v>
      </c>
    </row>
    <row r="9" spans="1:23" x14ac:dyDescent="0.25">
      <c r="A9" s="1" t="s">
        <v>24</v>
      </c>
      <c r="B9" s="1" t="s">
        <v>43</v>
      </c>
      <c r="C9" s="1" t="s">
        <v>98</v>
      </c>
      <c r="D9">
        <v>5484</v>
      </c>
      <c r="E9" s="1"/>
      <c r="F9" s="1" t="s">
        <v>246</v>
      </c>
      <c r="G9">
        <v>2013</v>
      </c>
      <c r="H9">
        <v>609.82000000000005</v>
      </c>
      <c r="I9">
        <v>12</v>
      </c>
      <c r="J9" s="1" t="s">
        <v>393</v>
      </c>
      <c r="K9">
        <v>0</v>
      </c>
      <c r="L9">
        <v>5672</v>
      </c>
      <c r="M9">
        <v>0.107512</v>
      </c>
      <c r="N9">
        <v>3</v>
      </c>
      <c r="O9" s="1" t="s">
        <v>560</v>
      </c>
      <c r="P9">
        <v>609.82000000000005</v>
      </c>
      <c r="Q9">
        <v>487.85</v>
      </c>
      <c r="R9">
        <v>0</v>
      </c>
      <c r="S9" s="1" t="s">
        <v>572</v>
      </c>
      <c r="T9" s="1"/>
      <c r="U9">
        <v>609.82000000000005</v>
      </c>
      <c r="V9">
        <v>0</v>
      </c>
      <c r="W9">
        <v>57970</v>
      </c>
    </row>
    <row r="10" spans="1:23" x14ac:dyDescent="0.25">
      <c r="A10" s="1" t="s">
        <v>24</v>
      </c>
      <c r="B10" s="1" t="s">
        <v>43</v>
      </c>
      <c r="C10" s="1" t="s">
        <v>98</v>
      </c>
      <c r="D10">
        <v>5484</v>
      </c>
      <c r="E10" s="1"/>
      <c r="F10" s="1" t="s">
        <v>246</v>
      </c>
      <c r="G10">
        <v>2012</v>
      </c>
      <c r="H10">
        <v>964.57</v>
      </c>
      <c r="I10">
        <v>12</v>
      </c>
      <c r="J10" s="1"/>
      <c r="K10">
        <v>0</v>
      </c>
      <c r="L10">
        <v>5672</v>
      </c>
      <c r="M10">
        <v>0.17005500000000001</v>
      </c>
      <c r="N10">
        <v>3</v>
      </c>
      <c r="O10" s="1" t="s">
        <v>560</v>
      </c>
      <c r="P10">
        <v>964.57</v>
      </c>
      <c r="Q10">
        <v>771.65</v>
      </c>
      <c r="R10">
        <v>0</v>
      </c>
      <c r="S10" s="1" t="s">
        <v>571</v>
      </c>
      <c r="T10" s="1"/>
      <c r="U10">
        <v>964.56700000000001</v>
      </c>
      <c r="V10">
        <v>0</v>
      </c>
      <c r="W10">
        <v>57963</v>
      </c>
    </row>
    <row r="11" spans="1:23" x14ac:dyDescent="0.25">
      <c r="A11" s="1" t="s">
        <v>24</v>
      </c>
      <c r="B11" s="1" t="s">
        <v>43</v>
      </c>
      <c r="C11" s="1" t="s">
        <v>98</v>
      </c>
      <c r="D11">
        <v>5484</v>
      </c>
      <c r="E11" s="1"/>
      <c r="F11" s="1" t="s">
        <v>246</v>
      </c>
      <c r="G11">
        <v>2012</v>
      </c>
      <c r="H11">
        <v>638.91999999999996</v>
      </c>
      <c r="I11">
        <v>12</v>
      </c>
      <c r="J11" s="1" t="s">
        <v>393</v>
      </c>
      <c r="K11">
        <v>0</v>
      </c>
      <c r="L11">
        <v>5672</v>
      </c>
      <c r="M11">
        <v>0.11264200000000001</v>
      </c>
      <c r="N11">
        <v>3</v>
      </c>
      <c r="O11" s="1" t="s">
        <v>560</v>
      </c>
      <c r="P11">
        <v>638.91999999999996</v>
      </c>
      <c r="Q11">
        <v>511.14</v>
      </c>
      <c r="R11">
        <v>0</v>
      </c>
      <c r="S11" s="1" t="s">
        <v>572</v>
      </c>
      <c r="T11" s="1"/>
      <c r="U11">
        <v>638.91999999999996</v>
      </c>
      <c r="V11">
        <v>0</v>
      </c>
      <c r="W11">
        <v>57970</v>
      </c>
    </row>
    <row r="12" spans="1:23" x14ac:dyDescent="0.25">
      <c r="A12" s="1" t="s">
        <v>24</v>
      </c>
      <c r="B12" s="1" t="s">
        <v>43</v>
      </c>
      <c r="C12" s="1" t="s">
        <v>98</v>
      </c>
      <c r="D12">
        <v>5484</v>
      </c>
      <c r="E12" s="1"/>
      <c r="F12" s="1" t="s">
        <v>246</v>
      </c>
      <c r="G12">
        <v>2011</v>
      </c>
      <c r="H12">
        <v>979.87</v>
      </c>
      <c r="I12">
        <v>12</v>
      </c>
      <c r="J12" s="1"/>
      <c r="K12">
        <v>0</v>
      </c>
      <c r="L12">
        <v>5672</v>
      </c>
      <c r="M12">
        <v>0.17275199999999999</v>
      </c>
      <c r="N12">
        <v>3</v>
      </c>
      <c r="O12" s="1" t="s">
        <v>560</v>
      </c>
      <c r="P12">
        <v>979.87</v>
      </c>
      <c r="Q12">
        <v>783.86</v>
      </c>
      <c r="R12">
        <v>0</v>
      </c>
      <c r="S12" s="1" t="s">
        <v>571</v>
      </c>
      <c r="T12" s="1"/>
      <c r="U12">
        <v>979.84609999999998</v>
      </c>
      <c r="V12">
        <v>0</v>
      </c>
      <c r="W12">
        <v>57963</v>
      </c>
    </row>
    <row r="13" spans="1:23" x14ac:dyDescent="0.25">
      <c r="A13" s="1" t="s">
        <v>24</v>
      </c>
      <c r="B13" s="1" t="s">
        <v>43</v>
      </c>
      <c r="C13" s="1" t="s">
        <v>98</v>
      </c>
      <c r="D13">
        <v>5484</v>
      </c>
      <c r="E13" s="1"/>
      <c r="F13" s="1" t="s">
        <v>246</v>
      </c>
      <c r="G13">
        <v>2011</v>
      </c>
      <c r="H13">
        <v>677.13</v>
      </c>
      <c r="I13">
        <v>12</v>
      </c>
      <c r="J13" s="1" t="s">
        <v>393</v>
      </c>
      <c r="K13">
        <v>0</v>
      </c>
      <c r="L13">
        <v>5672</v>
      </c>
      <c r="M13">
        <v>0.119379</v>
      </c>
      <c r="N13">
        <v>3</v>
      </c>
      <c r="O13" s="1" t="s">
        <v>560</v>
      </c>
      <c r="P13">
        <v>677.13</v>
      </c>
      <c r="Q13">
        <v>541.69000000000005</v>
      </c>
      <c r="R13">
        <v>0</v>
      </c>
      <c r="S13" s="1" t="s">
        <v>572</v>
      </c>
      <c r="T13" s="1"/>
      <c r="U13">
        <v>677.12000999999998</v>
      </c>
      <c r="V13">
        <v>0</v>
      </c>
      <c r="W13">
        <v>57970</v>
      </c>
    </row>
    <row r="14" spans="1:23" x14ac:dyDescent="0.25">
      <c r="A14" s="1" t="s">
        <v>24</v>
      </c>
      <c r="B14" s="1" t="s">
        <v>43</v>
      </c>
      <c r="C14" s="1" t="s">
        <v>98</v>
      </c>
      <c r="D14">
        <v>5484</v>
      </c>
      <c r="E14" s="1"/>
      <c r="F14" s="1" t="s">
        <v>246</v>
      </c>
      <c r="G14">
        <v>2010</v>
      </c>
      <c r="H14">
        <v>977.7</v>
      </c>
      <c r="I14">
        <v>12</v>
      </c>
      <c r="J14" s="1"/>
      <c r="K14">
        <v>0</v>
      </c>
      <c r="L14">
        <v>5672</v>
      </c>
      <c r="M14">
        <v>0.17237</v>
      </c>
      <c r="N14">
        <v>3</v>
      </c>
      <c r="O14" s="1" t="s">
        <v>560</v>
      </c>
      <c r="P14">
        <v>977.7</v>
      </c>
      <c r="Q14">
        <v>782.17</v>
      </c>
      <c r="R14">
        <v>0</v>
      </c>
      <c r="S14" s="1" t="s">
        <v>571</v>
      </c>
      <c r="T14" s="1"/>
      <c r="U14">
        <v>977.70609999999999</v>
      </c>
      <c r="V14">
        <v>0</v>
      </c>
      <c r="W14">
        <v>57963</v>
      </c>
    </row>
    <row r="15" spans="1:23" x14ac:dyDescent="0.25">
      <c r="A15" s="1" t="s">
        <v>24</v>
      </c>
      <c r="B15" s="1" t="s">
        <v>43</v>
      </c>
      <c r="C15" s="1" t="s">
        <v>98</v>
      </c>
      <c r="D15">
        <v>5484</v>
      </c>
      <c r="E15" s="1"/>
      <c r="F15" s="1" t="s">
        <v>246</v>
      </c>
      <c r="G15">
        <v>2010</v>
      </c>
      <c r="H15">
        <v>596.76</v>
      </c>
      <c r="I15">
        <v>12</v>
      </c>
      <c r="J15" s="1" t="s">
        <v>393</v>
      </c>
      <c r="K15">
        <v>0</v>
      </c>
      <c r="L15">
        <v>5672</v>
      </c>
      <c r="M15">
        <v>0.105209</v>
      </c>
      <c r="N15">
        <v>3</v>
      </c>
      <c r="O15" s="1" t="s">
        <v>560</v>
      </c>
      <c r="P15">
        <v>596.76</v>
      </c>
      <c r="Q15">
        <v>477.42</v>
      </c>
      <c r="R15">
        <v>0</v>
      </c>
      <c r="S15" s="1" t="s">
        <v>572</v>
      </c>
      <c r="T15" s="1"/>
      <c r="U15">
        <v>596.76</v>
      </c>
      <c r="V15">
        <v>0</v>
      </c>
      <c r="W15">
        <v>57970</v>
      </c>
    </row>
    <row r="16" spans="1:23" x14ac:dyDescent="0.25">
      <c r="A16" s="1" t="s">
        <v>24</v>
      </c>
      <c r="B16" s="1" t="s">
        <v>43</v>
      </c>
      <c r="C16" s="1" t="s">
        <v>98</v>
      </c>
      <c r="D16">
        <v>5484</v>
      </c>
      <c r="E16" s="1"/>
      <c r="F16" s="1" t="s">
        <v>246</v>
      </c>
      <c r="G16">
        <v>2009</v>
      </c>
      <c r="H16">
        <v>965.48</v>
      </c>
      <c r="I16">
        <v>12</v>
      </c>
      <c r="J16" s="1"/>
      <c r="K16">
        <v>0</v>
      </c>
      <c r="L16">
        <v>5672</v>
      </c>
      <c r="M16">
        <v>0.17021500000000001</v>
      </c>
      <c r="N16">
        <v>3</v>
      </c>
      <c r="O16" s="1" t="s">
        <v>560</v>
      </c>
      <c r="P16">
        <v>965.48</v>
      </c>
      <c r="Q16">
        <v>772.36</v>
      </c>
      <c r="R16">
        <v>0</v>
      </c>
      <c r="S16" s="1" t="s">
        <v>571</v>
      </c>
      <c r="T16" s="1"/>
      <c r="U16">
        <v>965.47500000000002</v>
      </c>
      <c r="V16">
        <v>0</v>
      </c>
      <c r="W16">
        <v>57963</v>
      </c>
    </row>
    <row r="17" spans="1:23" x14ac:dyDescent="0.25">
      <c r="A17" s="1" t="s">
        <v>24</v>
      </c>
      <c r="B17" s="1" t="s">
        <v>43</v>
      </c>
      <c r="C17" s="1" t="s">
        <v>98</v>
      </c>
      <c r="D17">
        <v>5484</v>
      </c>
      <c r="E17" s="1"/>
      <c r="F17" s="1" t="s">
        <v>246</v>
      </c>
      <c r="G17">
        <v>2009</v>
      </c>
      <c r="H17">
        <v>673.93</v>
      </c>
      <c r="I17">
        <v>12</v>
      </c>
      <c r="J17" s="1" t="s">
        <v>393</v>
      </c>
      <c r="K17">
        <v>0</v>
      </c>
      <c r="L17">
        <v>5672</v>
      </c>
      <c r="M17">
        <v>0.118814</v>
      </c>
      <c r="N17">
        <v>3</v>
      </c>
      <c r="O17" s="1" t="s">
        <v>560</v>
      </c>
      <c r="P17">
        <v>673.93</v>
      </c>
      <c r="Q17">
        <v>539.14</v>
      </c>
      <c r="R17">
        <v>0</v>
      </c>
      <c r="S17" s="1" t="s">
        <v>572</v>
      </c>
      <c r="T17" s="1"/>
      <c r="U17">
        <v>673.93</v>
      </c>
      <c r="V17">
        <v>0</v>
      </c>
      <c r="W17">
        <v>57970</v>
      </c>
    </row>
    <row r="18" spans="1:23" x14ac:dyDescent="0.25">
      <c r="A18" s="1" t="s">
        <v>24</v>
      </c>
      <c r="B18" s="1" t="s">
        <v>43</v>
      </c>
      <c r="C18" s="1" t="s">
        <v>98</v>
      </c>
      <c r="D18">
        <v>5484</v>
      </c>
      <c r="E18" s="1"/>
      <c r="F18" s="1" t="s">
        <v>246</v>
      </c>
      <c r="G18">
        <v>2008</v>
      </c>
      <c r="H18">
        <v>1135.1400000000001</v>
      </c>
      <c r="I18">
        <v>12</v>
      </c>
      <c r="J18" s="1"/>
      <c r="K18">
        <v>0</v>
      </c>
      <c r="L18">
        <v>5672</v>
      </c>
      <c r="M18">
        <v>0.200126</v>
      </c>
      <c r="N18">
        <v>3</v>
      </c>
      <c r="O18" s="1" t="s">
        <v>560</v>
      </c>
      <c r="P18">
        <v>1135.1400000000001</v>
      </c>
      <c r="Q18">
        <v>908.1</v>
      </c>
      <c r="R18">
        <v>0</v>
      </c>
      <c r="S18" s="1" t="s">
        <v>571</v>
      </c>
      <c r="T18" s="1"/>
      <c r="U18">
        <v>1135.1379999999999</v>
      </c>
      <c r="V18">
        <v>0</v>
      </c>
      <c r="W18">
        <v>57963</v>
      </c>
    </row>
    <row r="19" spans="1:23" x14ac:dyDescent="0.25">
      <c r="A19" s="1" t="s">
        <v>24</v>
      </c>
      <c r="B19" s="1" t="s">
        <v>43</v>
      </c>
      <c r="C19" s="1" t="s">
        <v>98</v>
      </c>
      <c r="D19">
        <v>5484</v>
      </c>
      <c r="E19" s="1"/>
      <c r="F19" s="1" t="s">
        <v>246</v>
      </c>
      <c r="G19">
        <v>2008</v>
      </c>
      <c r="H19">
        <v>642.53</v>
      </c>
      <c r="I19">
        <v>12</v>
      </c>
      <c r="J19" s="1" t="s">
        <v>393</v>
      </c>
      <c r="K19">
        <v>0</v>
      </c>
      <c r="L19">
        <v>5672</v>
      </c>
      <c r="M19">
        <v>0.113279</v>
      </c>
      <c r="N19">
        <v>3</v>
      </c>
      <c r="O19" s="1" t="s">
        <v>560</v>
      </c>
      <c r="P19">
        <v>642.53</v>
      </c>
      <c r="Q19">
        <v>514.02</v>
      </c>
      <c r="R19">
        <v>0</v>
      </c>
      <c r="S19" s="1" t="s">
        <v>572</v>
      </c>
      <c r="T19" s="1"/>
      <c r="U19">
        <v>642.53</v>
      </c>
      <c r="V19">
        <v>0</v>
      </c>
      <c r="W19">
        <v>57970</v>
      </c>
    </row>
    <row r="20" spans="1:23" x14ac:dyDescent="0.25">
      <c r="A20" s="1" t="s">
        <v>24</v>
      </c>
      <c r="B20" s="1"/>
      <c r="C20" s="1" t="s">
        <v>99</v>
      </c>
      <c r="D20">
        <v>13925</v>
      </c>
      <c r="E20" s="1" t="s">
        <v>243</v>
      </c>
      <c r="F20" s="1" t="s">
        <v>247</v>
      </c>
      <c r="G20">
        <v>2015</v>
      </c>
      <c r="H20">
        <v>226.24</v>
      </c>
      <c r="I20">
        <v>5</v>
      </c>
      <c r="J20" s="1" t="s">
        <v>394</v>
      </c>
      <c r="K20">
        <v>0</v>
      </c>
      <c r="L20">
        <v>2349</v>
      </c>
      <c r="M20">
        <v>9.6309000000000006E-2</v>
      </c>
      <c r="N20">
        <v>3</v>
      </c>
      <c r="O20" s="1" t="s">
        <v>560</v>
      </c>
      <c r="P20">
        <v>226.24</v>
      </c>
      <c r="Q20">
        <v>180.99</v>
      </c>
      <c r="R20">
        <v>0</v>
      </c>
      <c r="S20" s="1" t="s">
        <v>573</v>
      </c>
      <c r="T20" s="1"/>
      <c r="U20">
        <v>226.244</v>
      </c>
      <c r="V20">
        <v>0</v>
      </c>
      <c r="W20">
        <v>77030</v>
      </c>
    </row>
    <row r="21" spans="1:23" x14ac:dyDescent="0.25">
      <c r="A21" s="1" t="s">
        <v>24</v>
      </c>
      <c r="B21" s="1"/>
      <c r="C21" s="1" t="s">
        <v>99</v>
      </c>
      <c r="D21">
        <v>13925</v>
      </c>
      <c r="E21" s="1" t="s">
        <v>243</v>
      </c>
      <c r="F21" s="1" t="s">
        <v>247</v>
      </c>
      <c r="G21">
        <v>2014</v>
      </c>
      <c r="H21">
        <v>591.4</v>
      </c>
      <c r="I21">
        <v>12</v>
      </c>
      <c r="J21" s="1" t="s">
        <v>394</v>
      </c>
      <c r="K21">
        <v>0</v>
      </c>
      <c r="L21">
        <v>2349</v>
      </c>
      <c r="M21">
        <v>0.25175500000000001</v>
      </c>
      <c r="N21">
        <v>3</v>
      </c>
      <c r="O21" s="1" t="s">
        <v>560</v>
      </c>
      <c r="P21">
        <v>591.4</v>
      </c>
      <c r="Q21">
        <v>473.13</v>
      </c>
      <c r="R21">
        <v>0</v>
      </c>
      <c r="S21" s="1" t="s">
        <v>573</v>
      </c>
      <c r="T21" s="1"/>
      <c r="U21">
        <v>591.40499999999997</v>
      </c>
      <c r="V21">
        <v>0</v>
      </c>
      <c r="W21">
        <v>77030</v>
      </c>
    </row>
    <row r="22" spans="1:23" x14ac:dyDescent="0.25">
      <c r="A22" s="1" t="s">
        <v>24</v>
      </c>
      <c r="B22" s="1"/>
      <c r="C22" s="1" t="s">
        <v>99</v>
      </c>
      <c r="D22">
        <v>13925</v>
      </c>
      <c r="E22" s="1" t="s">
        <v>243</v>
      </c>
      <c r="F22" s="1" t="s">
        <v>247</v>
      </c>
      <c r="G22">
        <v>2013</v>
      </c>
      <c r="H22">
        <v>546.16999999999996</v>
      </c>
      <c r="I22">
        <v>12</v>
      </c>
      <c r="J22" s="1" t="s">
        <v>394</v>
      </c>
      <c r="K22">
        <v>0</v>
      </c>
      <c r="L22">
        <v>2349</v>
      </c>
      <c r="M22">
        <v>0.23250100000000001</v>
      </c>
      <c r="N22">
        <v>3</v>
      </c>
      <c r="O22" s="1" t="s">
        <v>560</v>
      </c>
      <c r="P22">
        <v>546.16999999999996</v>
      </c>
      <c r="Q22">
        <v>436.9</v>
      </c>
      <c r="R22">
        <v>0</v>
      </c>
      <c r="S22" s="1" t="s">
        <v>573</v>
      </c>
      <c r="T22" s="1"/>
      <c r="U22">
        <v>546.15200000000004</v>
      </c>
      <c r="V22">
        <v>0</v>
      </c>
      <c r="W22">
        <v>77030</v>
      </c>
    </row>
    <row r="23" spans="1:23" x14ac:dyDescent="0.25">
      <c r="A23" s="1" t="s">
        <v>24</v>
      </c>
      <c r="B23" s="1"/>
      <c r="C23" s="1" t="s">
        <v>99</v>
      </c>
      <c r="D23">
        <v>13925</v>
      </c>
      <c r="E23" s="1" t="s">
        <v>243</v>
      </c>
      <c r="F23" s="1" t="s">
        <v>247</v>
      </c>
      <c r="G23">
        <v>2012</v>
      </c>
      <c r="H23">
        <v>477.29</v>
      </c>
      <c r="I23">
        <v>12</v>
      </c>
      <c r="J23" s="1" t="s">
        <v>394</v>
      </c>
      <c r="K23">
        <v>0</v>
      </c>
      <c r="L23">
        <v>2349</v>
      </c>
      <c r="M23">
        <v>0.203179</v>
      </c>
      <c r="N23">
        <v>3</v>
      </c>
      <c r="O23" s="1" t="s">
        <v>560</v>
      </c>
      <c r="P23">
        <v>477.29</v>
      </c>
      <c r="Q23">
        <v>381.84</v>
      </c>
      <c r="R23">
        <v>0</v>
      </c>
      <c r="S23" s="1" t="s">
        <v>573</v>
      </c>
      <c r="T23" s="1"/>
      <c r="U23">
        <v>477.29500000000002</v>
      </c>
      <c r="V23">
        <v>0</v>
      </c>
      <c r="W23">
        <v>77030</v>
      </c>
    </row>
    <row r="24" spans="1:23" x14ac:dyDescent="0.25">
      <c r="A24" s="1" t="s">
        <v>24</v>
      </c>
      <c r="B24" s="1"/>
      <c r="C24" s="1" t="s">
        <v>99</v>
      </c>
      <c r="D24">
        <v>13925</v>
      </c>
      <c r="E24" s="1" t="s">
        <v>243</v>
      </c>
      <c r="F24" s="1" t="s">
        <v>247</v>
      </c>
      <c r="G24">
        <v>2011</v>
      </c>
      <c r="H24">
        <v>369.55</v>
      </c>
      <c r="I24">
        <v>12</v>
      </c>
      <c r="J24" s="1" t="s">
        <v>394</v>
      </c>
      <c r="K24">
        <v>0</v>
      </c>
      <c r="L24">
        <v>2349</v>
      </c>
      <c r="M24">
        <v>0.15731500000000001</v>
      </c>
      <c r="N24">
        <v>3</v>
      </c>
      <c r="O24" s="1" t="s">
        <v>560</v>
      </c>
      <c r="P24">
        <v>369.55</v>
      </c>
      <c r="Q24">
        <v>295.64999999999998</v>
      </c>
      <c r="R24">
        <v>0</v>
      </c>
      <c r="S24" s="1" t="s">
        <v>573</v>
      </c>
      <c r="T24" s="1"/>
      <c r="U24">
        <v>369.54264000000001</v>
      </c>
      <c r="V24">
        <v>0</v>
      </c>
      <c r="W24">
        <v>77030</v>
      </c>
    </row>
    <row r="25" spans="1:23" x14ac:dyDescent="0.25">
      <c r="A25" s="1" t="s">
        <v>24</v>
      </c>
      <c r="B25" s="1"/>
      <c r="C25" s="1" t="s">
        <v>99</v>
      </c>
      <c r="D25">
        <v>13925</v>
      </c>
      <c r="E25" s="1" t="s">
        <v>243</v>
      </c>
      <c r="F25" s="1" t="s">
        <v>247</v>
      </c>
      <c r="G25">
        <v>2010</v>
      </c>
      <c r="H25">
        <v>489.89</v>
      </c>
      <c r="I25">
        <v>12</v>
      </c>
      <c r="J25" s="1" t="s">
        <v>394</v>
      </c>
      <c r="K25">
        <v>0</v>
      </c>
      <c r="L25">
        <v>2349</v>
      </c>
      <c r="M25">
        <v>0.20854300000000001</v>
      </c>
      <c r="N25">
        <v>3</v>
      </c>
      <c r="O25" s="1" t="s">
        <v>560</v>
      </c>
      <c r="P25">
        <v>489.89</v>
      </c>
      <c r="Q25">
        <v>391.92</v>
      </c>
      <c r="R25">
        <v>0</v>
      </c>
      <c r="S25" s="1" t="s">
        <v>573</v>
      </c>
      <c r="T25" s="1"/>
      <c r="U25">
        <v>489.89836000000003</v>
      </c>
      <c r="V25">
        <v>0</v>
      </c>
      <c r="W25">
        <v>77030</v>
      </c>
    </row>
    <row r="26" spans="1:23" x14ac:dyDescent="0.25">
      <c r="A26" s="1" t="s">
        <v>24</v>
      </c>
      <c r="B26" s="1"/>
      <c r="C26" s="1" t="s">
        <v>99</v>
      </c>
      <c r="D26">
        <v>13925</v>
      </c>
      <c r="E26" s="1" t="s">
        <v>243</v>
      </c>
      <c r="F26" s="1" t="s">
        <v>247</v>
      </c>
      <c r="G26">
        <v>2009</v>
      </c>
      <c r="H26">
        <v>603.41</v>
      </c>
      <c r="I26">
        <v>12</v>
      </c>
      <c r="J26" s="1" t="s">
        <v>394</v>
      </c>
      <c r="K26">
        <v>0</v>
      </c>
      <c r="L26">
        <v>2349</v>
      </c>
      <c r="M26">
        <v>0.25686799999999999</v>
      </c>
      <c r="N26">
        <v>3</v>
      </c>
      <c r="O26" s="1" t="s">
        <v>560</v>
      </c>
      <c r="P26">
        <v>603.41</v>
      </c>
      <c r="Q26">
        <v>482.72</v>
      </c>
      <c r="R26">
        <v>0</v>
      </c>
      <c r="S26" s="1" t="s">
        <v>573</v>
      </c>
      <c r="T26" s="1"/>
      <c r="U26">
        <v>603.40599999999995</v>
      </c>
      <c r="V26">
        <v>0</v>
      </c>
      <c r="W26">
        <v>77030</v>
      </c>
    </row>
    <row r="27" spans="1:23" x14ac:dyDescent="0.25">
      <c r="A27" s="1" t="s">
        <v>24</v>
      </c>
      <c r="B27" s="1"/>
      <c r="C27" s="1" t="s">
        <v>99</v>
      </c>
      <c r="D27">
        <v>13925</v>
      </c>
      <c r="E27" s="1" t="s">
        <v>243</v>
      </c>
      <c r="F27" s="1" t="s">
        <v>247</v>
      </c>
      <c r="G27">
        <v>2008</v>
      </c>
      <c r="H27">
        <v>690.34</v>
      </c>
      <c r="I27">
        <v>12</v>
      </c>
      <c r="J27" s="1" t="s">
        <v>394</v>
      </c>
      <c r="K27">
        <v>0</v>
      </c>
      <c r="L27">
        <v>2349</v>
      </c>
      <c r="M27">
        <v>0.29387400000000002</v>
      </c>
      <c r="N27">
        <v>3</v>
      </c>
      <c r="O27" s="1" t="s">
        <v>560</v>
      </c>
      <c r="P27">
        <v>690.34</v>
      </c>
      <c r="Q27">
        <v>552.29</v>
      </c>
      <c r="R27">
        <v>0</v>
      </c>
      <c r="S27" s="1" t="s">
        <v>573</v>
      </c>
      <c r="T27" s="1"/>
      <c r="U27">
        <v>690.34500000000003</v>
      </c>
      <c r="V27">
        <v>0</v>
      </c>
      <c r="W27">
        <v>77030</v>
      </c>
    </row>
    <row r="28" spans="1:23" x14ac:dyDescent="0.25">
      <c r="A28" s="1" t="s">
        <v>24</v>
      </c>
      <c r="B28" s="1"/>
      <c r="C28" s="1" t="s">
        <v>99</v>
      </c>
      <c r="D28">
        <v>9524</v>
      </c>
      <c r="E28" s="1"/>
      <c r="F28" s="1" t="s">
        <v>248</v>
      </c>
      <c r="G28">
        <v>2015</v>
      </c>
      <c r="H28">
        <v>228.22</v>
      </c>
      <c r="I28">
        <v>5</v>
      </c>
      <c r="J28" s="1" t="s">
        <v>394</v>
      </c>
      <c r="K28">
        <v>0</v>
      </c>
      <c r="L28">
        <v>2899</v>
      </c>
      <c r="M28">
        <v>7.8719999999999998E-2</v>
      </c>
      <c r="N28">
        <v>3</v>
      </c>
      <c r="O28" s="1" t="s">
        <v>560</v>
      </c>
      <c r="P28">
        <v>228.22</v>
      </c>
      <c r="Q28">
        <v>182.59</v>
      </c>
      <c r="R28">
        <v>0</v>
      </c>
      <c r="S28" s="1" t="s">
        <v>574</v>
      </c>
      <c r="T28" s="1"/>
      <c r="U28">
        <v>228.22300000000001</v>
      </c>
      <c r="V28">
        <v>0</v>
      </c>
      <c r="W28">
        <v>77029</v>
      </c>
    </row>
    <row r="29" spans="1:23" x14ac:dyDescent="0.25">
      <c r="A29" s="1" t="s">
        <v>24</v>
      </c>
      <c r="B29" s="1"/>
      <c r="C29" s="1" t="s">
        <v>99</v>
      </c>
      <c r="D29">
        <v>9524</v>
      </c>
      <c r="E29" s="1"/>
      <c r="F29" s="1" t="s">
        <v>248</v>
      </c>
      <c r="G29">
        <v>2014</v>
      </c>
      <c r="H29">
        <v>556.41</v>
      </c>
      <c r="I29">
        <v>12</v>
      </c>
      <c r="J29" s="1" t="s">
        <v>394</v>
      </c>
      <c r="K29">
        <v>0</v>
      </c>
      <c r="L29">
        <v>2899</v>
      </c>
      <c r="M29">
        <v>0.19192500000000001</v>
      </c>
      <c r="N29">
        <v>3</v>
      </c>
      <c r="O29" s="1" t="s">
        <v>560</v>
      </c>
      <c r="P29">
        <v>556.41</v>
      </c>
      <c r="Q29">
        <v>445.11</v>
      </c>
      <c r="R29">
        <v>0</v>
      </c>
      <c r="S29" s="1" t="s">
        <v>574</v>
      </c>
      <c r="T29" s="1"/>
      <c r="U29">
        <v>556.40800000000002</v>
      </c>
      <c r="V29">
        <v>0</v>
      </c>
      <c r="W29">
        <v>77029</v>
      </c>
    </row>
    <row r="30" spans="1:23" x14ac:dyDescent="0.25">
      <c r="A30" s="1" t="s">
        <v>24</v>
      </c>
      <c r="B30" s="1"/>
      <c r="C30" s="1" t="s">
        <v>99</v>
      </c>
      <c r="D30">
        <v>9524</v>
      </c>
      <c r="E30" s="1"/>
      <c r="F30" s="1" t="s">
        <v>248</v>
      </c>
      <c r="G30">
        <v>2013</v>
      </c>
      <c r="H30">
        <v>516.95000000000005</v>
      </c>
      <c r="I30">
        <v>12</v>
      </c>
      <c r="J30" s="1" t="s">
        <v>394</v>
      </c>
      <c r="K30">
        <v>0</v>
      </c>
      <c r="L30">
        <v>2899</v>
      </c>
      <c r="M30">
        <v>0.178313</v>
      </c>
      <c r="N30">
        <v>3</v>
      </c>
      <c r="O30" s="1" t="s">
        <v>560</v>
      </c>
      <c r="P30">
        <v>516.95000000000005</v>
      </c>
      <c r="Q30">
        <v>413.56</v>
      </c>
      <c r="R30">
        <v>0</v>
      </c>
      <c r="S30" s="1" t="s">
        <v>574</v>
      </c>
      <c r="T30" s="1"/>
      <c r="U30">
        <v>516.94399999999996</v>
      </c>
      <c r="V30">
        <v>0</v>
      </c>
      <c r="W30">
        <v>77029</v>
      </c>
    </row>
    <row r="31" spans="1:23" x14ac:dyDescent="0.25">
      <c r="A31" s="1" t="s">
        <v>24</v>
      </c>
      <c r="B31" s="1"/>
      <c r="C31" s="1" t="s">
        <v>99</v>
      </c>
      <c r="D31">
        <v>9524</v>
      </c>
      <c r="E31" s="1"/>
      <c r="F31" s="1" t="s">
        <v>248</v>
      </c>
      <c r="G31">
        <v>2012</v>
      </c>
      <c r="H31">
        <v>522.17999999999995</v>
      </c>
      <c r="I31">
        <v>12</v>
      </c>
      <c r="J31" s="1" t="s">
        <v>394</v>
      </c>
      <c r="K31">
        <v>0</v>
      </c>
      <c r="L31">
        <v>2899</v>
      </c>
      <c r="M31">
        <v>0.180117</v>
      </c>
      <c r="N31">
        <v>3</v>
      </c>
      <c r="O31" s="1" t="s">
        <v>560</v>
      </c>
      <c r="P31">
        <v>522.17999999999995</v>
      </c>
      <c r="Q31">
        <v>417.75</v>
      </c>
      <c r="R31">
        <v>0</v>
      </c>
      <c r="S31" s="1" t="s">
        <v>574</v>
      </c>
      <c r="T31" s="1"/>
      <c r="U31">
        <v>522.17899999999997</v>
      </c>
      <c r="V31">
        <v>0</v>
      </c>
      <c r="W31">
        <v>77029</v>
      </c>
    </row>
    <row r="32" spans="1:23" x14ac:dyDescent="0.25">
      <c r="A32" s="1" t="s">
        <v>24</v>
      </c>
      <c r="B32" s="1"/>
      <c r="C32" s="1" t="s">
        <v>99</v>
      </c>
      <c r="D32">
        <v>9524</v>
      </c>
      <c r="E32" s="1"/>
      <c r="F32" s="1" t="s">
        <v>248</v>
      </c>
      <c r="G32">
        <v>2011</v>
      </c>
      <c r="H32">
        <v>560.95000000000005</v>
      </c>
      <c r="I32">
        <v>12</v>
      </c>
      <c r="J32" s="1" t="s">
        <v>394</v>
      </c>
      <c r="K32">
        <v>0</v>
      </c>
      <c r="L32">
        <v>2899</v>
      </c>
      <c r="M32">
        <v>0.193491</v>
      </c>
      <c r="N32">
        <v>3</v>
      </c>
      <c r="O32" s="1" t="s">
        <v>560</v>
      </c>
      <c r="P32">
        <v>560.95000000000005</v>
      </c>
      <c r="Q32">
        <v>448.74</v>
      </c>
      <c r="R32">
        <v>0</v>
      </c>
      <c r="S32" s="1" t="s">
        <v>574</v>
      </c>
      <c r="T32" s="1"/>
      <c r="U32">
        <v>560.94600000000003</v>
      </c>
      <c r="V32">
        <v>0</v>
      </c>
      <c r="W32">
        <v>77029</v>
      </c>
    </row>
    <row r="33" spans="1:23" x14ac:dyDescent="0.25">
      <c r="A33" s="1" t="s">
        <v>24</v>
      </c>
      <c r="B33" s="1"/>
      <c r="C33" s="1" t="s">
        <v>99</v>
      </c>
      <c r="D33">
        <v>9524</v>
      </c>
      <c r="E33" s="1"/>
      <c r="F33" s="1" t="s">
        <v>248</v>
      </c>
      <c r="G33">
        <v>2010</v>
      </c>
      <c r="H33">
        <v>546.6</v>
      </c>
      <c r="I33">
        <v>12</v>
      </c>
      <c r="J33" s="1" t="s">
        <v>394</v>
      </c>
      <c r="K33">
        <v>0</v>
      </c>
      <c r="L33">
        <v>2899</v>
      </c>
      <c r="M33">
        <v>0.18854099999999999</v>
      </c>
      <c r="N33">
        <v>3</v>
      </c>
      <c r="O33" s="1" t="s">
        <v>560</v>
      </c>
      <c r="P33">
        <v>546.6</v>
      </c>
      <c r="Q33">
        <v>437.29</v>
      </c>
      <c r="R33">
        <v>0</v>
      </c>
      <c r="S33" s="1" t="s">
        <v>574</v>
      </c>
      <c r="T33" s="1"/>
      <c r="U33">
        <v>546.59799999999996</v>
      </c>
      <c r="V33">
        <v>0</v>
      </c>
      <c r="W33">
        <v>77029</v>
      </c>
    </row>
    <row r="34" spans="1:23" x14ac:dyDescent="0.25">
      <c r="A34" s="1" t="s">
        <v>24</v>
      </c>
      <c r="B34" s="1"/>
      <c r="C34" s="1" t="s">
        <v>99</v>
      </c>
      <c r="D34">
        <v>9524</v>
      </c>
      <c r="E34" s="1"/>
      <c r="F34" s="1" t="s">
        <v>248</v>
      </c>
      <c r="G34">
        <v>2009</v>
      </c>
      <c r="H34">
        <v>565.62</v>
      </c>
      <c r="I34">
        <v>12</v>
      </c>
      <c r="J34" s="1" t="s">
        <v>394</v>
      </c>
      <c r="K34">
        <v>0</v>
      </c>
      <c r="L34">
        <v>2899</v>
      </c>
      <c r="M34">
        <v>0.195101</v>
      </c>
      <c r="N34">
        <v>3</v>
      </c>
      <c r="O34" s="1" t="s">
        <v>560</v>
      </c>
      <c r="P34">
        <v>565.62</v>
      </c>
      <c r="Q34">
        <v>452.49</v>
      </c>
      <c r="R34">
        <v>0</v>
      </c>
      <c r="S34" s="1" t="s">
        <v>574</v>
      </c>
      <c r="T34" s="1"/>
      <c r="U34">
        <v>565.62099999999998</v>
      </c>
      <c r="V34">
        <v>0</v>
      </c>
      <c r="W34">
        <v>77029</v>
      </c>
    </row>
    <row r="35" spans="1:23" x14ac:dyDescent="0.25">
      <c r="A35" s="1" t="s">
        <v>24</v>
      </c>
      <c r="B35" s="1"/>
      <c r="C35" s="1" t="s">
        <v>99</v>
      </c>
      <c r="D35">
        <v>9524</v>
      </c>
      <c r="E35" s="1"/>
      <c r="F35" s="1" t="s">
        <v>248</v>
      </c>
      <c r="G35">
        <v>2008</v>
      </c>
      <c r="H35">
        <v>533.9</v>
      </c>
      <c r="I35">
        <v>12</v>
      </c>
      <c r="J35" s="1" t="s">
        <v>394</v>
      </c>
      <c r="K35">
        <v>0</v>
      </c>
      <c r="L35">
        <v>2899</v>
      </c>
      <c r="M35">
        <v>0.18415999999999999</v>
      </c>
      <c r="N35">
        <v>3</v>
      </c>
      <c r="O35" s="1" t="s">
        <v>560</v>
      </c>
      <c r="P35">
        <v>533.9</v>
      </c>
      <c r="Q35">
        <v>427.11</v>
      </c>
      <c r="R35">
        <v>0</v>
      </c>
      <c r="S35" s="1" t="s">
        <v>574</v>
      </c>
      <c r="T35" s="1"/>
      <c r="U35">
        <v>533.89413999999999</v>
      </c>
      <c r="V35">
        <v>0</v>
      </c>
      <c r="W35">
        <v>77029</v>
      </c>
    </row>
    <row r="36" spans="1:23" x14ac:dyDescent="0.25">
      <c r="A36" s="1" t="s">
        <v>24</v>
      </c>
      <c r="B36" s="1" t="s">
        <v>43</v>
      </c>
      <c r="C36" s="1" t="s">
        <v>98</v>
      </c>
      <c r="D36">
        <v>5484</v>
      </c>
      <c r="E36" s="1"/>
      <c r="F36" s="1" t="s">
        <v>246</v>
      </c>
      <c r="G36">
        <v>2015</v>
      </c>
      <c r="H36">
        <v>154110</v>
      </c>
      <c r="I36">
        <v>5</v>
      </c>
      <c r="J36" s="1"/>
      <c r="K36">
        <v>0</v>
      </c>
      <c r="L36">
        <v>5672</v>
      </c>
      <c r="M36">
        <v>27.169830999999999</v>
      </c>
      <c r="N36">
        <v>1</v>
      </c>
      <c r="O36" s="1" t="s">
        <v>562</v>
      </c>
      <c r="P36">
        <v>175047.74</v>
      </c>
      <c r="Q36">
        <v>32383831.899999999</v>
      </c>
      <c r="R36">
        <v>0</v>
      </c>
      <c r="S36" s="1" t="s">
        <v>750</v>
      </c>
      <c r="T36" s="1"/>
      <c r="U36">
        <v>154110</v>
      </c>
      <c r="V36">
        <v>0</v>
      </c>
      <c r="W36">
        <v>57974</v>
      </c>
    </row>
    <row r="37" spans="1:23" x14ac:dyDescent="0.25">
      <c r="A37" s="1" t="s">
        <v>24</v>
      </c>
      <c r="B37" s="1" t="s">
        <v>43</v>
      </c>
      <c r="C37" s="1" t="s">
        <v>98</v>
      </c>
      <c r="D37">
        <v>5484</v>
      </c>
      <c r="E37" s="1"/>
      <c r="F37" s="1" t="s">
        <v>246</v>
      </c>
      <c r="G37">
        <v>2015</v>
      </c>
      <c r="H37">
        <v>937124.44</v>
      </c>
      <c r="I37">
        <v>5</v>
      </c>
      <c r="J37" s="1"/>
      <c r="K37">
        <v>0</v>
      </c>
      <c r="L37">
        <v>5672</v>
      </c>
      <c r="M37">
        <v>165.216487</v>
      </c>
      <c r="N37">
        <v>1</v>
      </c>
      <c r="O37" s="1" t="s">
        <v>563</v>
      </c>
      <c r="P37">
        <v>1058175.3</v>
      </c>
      <c r="Q37">
        <v>5610846.3899999997</v>
      </c>
      <c r="R37">
        <v>1</v>
      </c>
      <c r="S37" s="1" t="s">
        <v>751</v>
      </c>
      <c r="T37" s="1"/>
      <c r="U37">
        <v>26859.399000000001</v>
      </c>
      <c r="V37">
        <v>0</v>
      </c>
      <c r="W37">
        <v>58291</v>
      </c>
    </row>
    <row r="38" spans="1:23" x14ac:dyDescent="0.25">
      <c r="A38" s="1" t="s">
        <v>24</v>
      </c>
      <c r="B38" s="1" t="s">
        <v>43</v>
      </c>
      <c r="C38" s="1" t="s">
        <v>98</v>
      </c>
      <c r="D38">
        <v>5484</v>
      </c>
      <c r="E38" s="1"/>
      <c r="F38" s="1" t="s">
        <v>246</v>
      </c>
      <c r="G38">
        <v>2015</v>
      </c>
      <c r="H38">
        <v>0</v>
      </c>
      <c r="I38">
        <v>5</v>
      </c>
      <c r="J38" s="1" t="s">
        <v>393</v>
      </c>
      <c r="K38">
        <v>0</v>
      </c>
      <c r="L38">
        <v>5672</v>
      </c>
      <c r="M38">
        <v>0</v>
      </c>
      <c r="N38">
        <v>1</v>
      </c>
      <c r="O38" s="1" t="s">
        <v>562</v>
      </c>
      <c r="P38">
        <v>0</v>
      </c>
      <c r="Q38">
        <v>0</v>
      </c>
      <c r="R38">
        <v>0</v>
      </c>
      <c r="S38" s="1" t="s">
        <v>752</v>
      </c>
      <c r="T38" s="1"/>
      <c r="U38">
        <v>0</v>
      </c>
      <c r="V38">
        <v>0</v>
      </c>
      <c r="W38">
        <v>57962</v>
      </c>
    </row>
    <row r="39" spans="1:23" x14ac:dyDescent="0.25">
      <c r="A39" s="1" t="s">
        <v>24</v>
      </c>
      <c r="B39" s="1" t="s">
        <v>43</v>
      </c>
      <c r="C39" s="1" t="s">
        <v>98</v>
      </c>
      <c r="D39">
        <v>5484</v>
      </c>
      <c r="E39" s="1"/>
      <c r="F39" s="1" t="s">
        <v>246</v>
      </c>
      <c r="G39">
        <v>2015</v>
      </c>
      <c r="H39">
        <v>0</v>
      </c>
      <c r="I39">
        <v>5</v>
      </c>
      <c r="J39" s="1"/>
      <c r="K39">
        <v>0</v>
      </c>
      <c r="L39">
        <v>5672</v>
      </c>
      <c r="M39">
        <v>0</v>
      </c>
      <c r="N39">
        <v>1</v>
      </c>
      <c r="O39" s="1" t="s">
        <v>563</v>
      </c>
      <c r="P39">
        <v>0</v>
      </c>
      <c r="Q39">
        <v>0</v>
      </c>
      <c r="R39">
        <v>1</v>
      </c>
      <c r="S39" s="1" t="s">
        <v>752</v>
      </c>
      <c r="T39" s="1"/>
      <c r="U39">
        <v>0</v>
      </c>
      <c r="V39">
        <v>0</v>
      </c>
      <c r="W39">
        <v>58292</v>
      </c>
    </row>
    <row r="40" spans="1:23" x14ac:dyDescent="0.25">
      <c r="A40" s="1" t="s">
        <v>24</v>
      </c>
      <c r="B40" s="1" t="s">
        <v>43</v>
      </c>
      <c r="C40" s="1" t="s">
        <v>98</v>
      </c>
      <c r="D40">
        <v>5484</v>
      </c>
      <c r="E40" s="1"/>
      <c r="F40" s="1" t="s">
        <v>246</v>
      </c>
      <c r="G40">
        <v>2014</v>
      </c>
      <c r="H40">
        <v>220979</v>
      </c>
      <c r="I40">
        <v>12</v>
      </c>
      <c r="J40" s="1"/>
      <c r="K40">
        <v>0</v>
      </c>
      <c r="L40">
        <v>5672</v>
      </c>
      <c r="M40">
        <v>38.958939000000001</v>
      </c>
      <c r="N40">
        <v>1</v>
      </c>
      <c r="O40" s="1" t="s">
        <v>562</v>
      </c>
      <c r="P40">
        <v>270573.82</v>
      </c>
      <c r="Q40">
        <v>19150159.68</v>
      </c>
      <c r="R40">
        <v>0</v>
      </c>
      <c r="S40" s="1" t="s">
        <v>750</v>
      </c>
      <c r="T40" s="1"/>
      <c r="U40">
        <v>220979.00013999999</v>
      </c>
      <c r="V40">
        <v>0</v>
      </c>
      <c r="W40">
        <v>57974</v>
      </c>
    </row>
    <row r="41" spans="1:23" x14ac:dyDescent="0.25">
      <c r="A41" s="1" t="s">
        <v>24</v>
      </c>
      <c r="B41" s="1" t="s">
        <v>43</v>
      </c>
      <c r="C41" s="1" t="s">
        <v>98</v>
      </c>
      <c r="D41">
        <v>5484</v>
      </c>
      <c r="E41" s="1"/>
      <c r="F41" s="1" t="s">
        <v>246</v>
      </c>
      <c r="G41">
        <v>2014</v>
      </c>
      <c r="H41">
        <v>347160.49</v>
      </c>
      <c r="I41">
        <v>12</v>
      </c>
      <c r="J41" s="1"/>
      <c r="K41">
        <v>0</v>
      </c>
      <c r="L41">
        <v>5672</v>
      </c>
      <c r="M41">
        <v>61.204931000000002</v>
      </c>
      <c r="N41">
        <v>1</v>
      </c>
      <c r="O41" s="1" t="s">
        <v>563</v>
      </c>
      <c r="P41">
        <v>413994.57</v>
      </c>
      <c r="Q41">
        <v>1390979.17</v>
      </c>
      <c r="R41">
        <v>1</v>
      </c>
      <c r="S41" s="1" t="s">
        <v>751</v>
      </c>
      <c r="T41" s="1"/>
      <c r="U41">
        <v>9950.1427800000001</v>
      </c>
      <c r="V41">
        <v>0</v>
      </c>
      <c r="W41">
        <v>58291</v>
      </c>
    </row>
    <row r="42" spans="1:23" x14ac:dyDescent="0.25">
      <c r="A42" s="1" t="s">
        <v>24</v>
      </c>
      <c r="B42" s="1" t="s">
        <v>43</v>
      </c>
      <c r="C42" s="1" t="s">
        <v>98</v>
      </c>
      <c r="D42">
        <v>5484</v>
      </c>
      <c r="E42" s="1"/>
      <c r="F42" s="1" t="s">
        <v>246</v>
      </c>
      <c r="G42">
        <v>2014</v>
      </c>
      <c r="H42">
        <v>117710.01</v>
      </c>
      <c r="I42">
        <v>12</v>
      </c>
      <c r="J42" s="1" t="s">
        <v>393</v>
      </c>
      <c r="K42">
        <v>0</v>
      </c>
      <c r="L42">
        <v>5672</v>
      </c>
      <c r="M42">
        <v>20.752455999999999</v>
      </c>
      <c r="N42">
        <v>1</v>
      </c>
      <c r="O42" s="1" t="s">
        <v>562</v>
      </c>
      <c r="P42">
        <v>143576.94</v>
      </c>
      <c r="Q42">
        <v>2391631.89</v>
      </c>
      <c r="R42">
        <v>0</v>
      </c>
      <c r="S42" s="1" t="s">
        <v>752</v>
      </c>
      <c r="T42" s="1"/>
      <c r="U42">
        <v>117710.01</v>
      </c>
      <c r="V42">
        <v>0</v>
      </c>
      <c r="W42">
        <v>57962</v>
      </c>
    </row>
    <row r="43" spans="1:23" x14ac:dyDescent="0.25">
      <c r="A43" s="1" t="s">
        <v>24</v>
      </c>
      <c r="B43" s="1" t="s">
        <v>43</v>
      </c>
      <c r="C43" s="1" t="s">
        <v>98</v>
      </c>
      <c r="D43">
        <v>5484</v>
      </c>
      <c r="E43" s="1"/>
      <c r="F43" s="1" t="s">
        <v>246</v>
      </c>
      <c r="G43">
        <v>2014</v>
      </c>
      <c r="H43">
        <v>146115.82999999999</v>
      </c>
      <c r="I43">
        <v>12</v>
      </c>
      <c r="J43" s="1"/>
      <c r="K43">
        <v>0</v>
      </c>
      <c r="L43">
        <v>5672</v>
      </c>
      <c r="M43">
        <v>25.760446000000002</v>
      </c>
      <c r="N43">
        <v>1</v>
      </c>
      <c r="O43" s="1" t="s">
        <v>563</v>
      </c>
      <c r="P43">
        <v>181994.9</v>
      </c>
      <c r="Q43">
        <v>412984.7</v>
      </c>
      <c r="R43">
        <v>1</v>
      </c>
      <c r="S43" s="1" t="s">
        <v>752</v>
      </c>
      <c r="T43" s="1"/>
      <c r="U43">
        <v>4187.8999999999996</v>
      </c>
      <c r="V43">
        <v>0</v>
      </c>
      <c r="W43">
        <v>58292</v>
      </c>
    </row>
    <row r="44" spans="1:23" x14ac:dyDescent="0.25">
      <c r="A44" s="1" t="s">
        <v>24</v>
      </c>
      <c r="B44" s="1" t="s">
        <v>43</v>
      </c>
      <c r="C44" s="1" t="s">
        <v>98</v>
      </c>
      <c r="D44">
        <v>5484</v>
      </c>
      <c r="E44" s="1"/>
      <c r="F44" s="1" t="s">
        <v>246</v>
      </c>
      <c r="G44">
        <v>2013</v>
      </c>
      <c r="H44">
        <v>220880</v>
      </c>
      <c r="I44">
        <v>12</v>
      </c>
      <c r="J44" s="1" t="s">
        <v>393</v>
      </c>
      <c r="K44">
        <v>0</v>
      </c>
      <c r="L44">
        <v>5672</v>
      </c>
      <c r="M44">
        <v>38.941485</v>
      </c>
      <c r="N44">
        <v>1</v>
      </c>
      <c r="O44" s="1" t="s">
        <v>562</v>
      </c>
      <c r="P44">
        <v>231011.99</v>
      </c>
      <c r="Q44">
        <v>42737.22</v>
      </c>
      <c r="R44">
        <v>0</v>
      </c>
      <c r="S44" s="1" t="s">
        <v>752</v>
      </c>
      <c r="T44" s="1"/>
      <c r="U44">
        <v>220880</v>
      </c>
      <c r="V44">
        <v>0</v>
      </c>
      <c r="W44">
        <v>57962</v>
      </c>
    </row>
    <row r="45" spans="1:23" x14ac:dyDescent="0.25">
      <c r="A45" s="1" t="s">
        <v>24</v>
      </c>
      <c r="B45" s="1" t="s">
        <v>43</v>
      </c>
      <c r="C45" s="1" t="s">
        <v>98</v>
      </c>
      <c r="D45">
        <v>5484</v>
      </c>
      <c r="E45" s="1"/>
      <c r="F45" s="1" t="s">
        <v>246</v>
      </c>
      <c r="G45">
        <v>2013</v>
      </c>
      <c r="H45">
        <v>242885</v>
      </c>
      <c r="I45">
        <v>12</v>
      </c>
      <c r="J45" s="1"/>
      <c r="K45">
        <v>0</v>
      </c>
      <c r="L45">
        <v>5672</v>
      </c>
      <c r="M45">
        <v>42.821001000000003</v>
      </c>
      <c r="N45">
        <v>1</v>
      </c>
      <c r="O45" s="1" t="s">
        <v>562</v>
      </c>
      <c r="P45">
        <v>256615.88</v>
      </c>
      <c r="Q45">
        <v>47473.93</v>
      </c>
      <c r="R45">
        <v>0</v>
      </c>
      <c r="S45" s="1" t="s">
        <v>750</v>
      </c>
      <c r="T45" s="1"/>
      <c r="U45">
        <v>242885</v>
      </c>
      <c r="V45">
        <v>0</v>
      </c>
      <c r="W45">
        <v>57974</v>
      </c>
    </row>
    <row r="46" spans="1:23" x14ac:dyDescent="0.25">
      <c r="A46" s="1" t="s">
        <v>24</v>
      </c>
      <c r="B46" s="1" t="s">
        <v>43</v>
      </c>
      <c r="C46" s="1" t="s">
        <v>98</v>
      </c>
      <c r="D46">
        <v>5484</v>
      </c>
      <c r="E46" s="1"/>
      <c r="F46" s="1" t="s">
        <v>246</v>
      </c>
      <c r="G46">
        <v>2013</v>
      </c>
      <c r="H46">
        <v>259402.44</v>
      </c>
      <c r="I46">
        <v>12</v>
      </c>
      <c r="J46" s="1"/>
      <c r="K46">
        <v>0</v>
      </c>
      <c r="L46">
        <v>5672</v>
      </c>
      <c r="M46">
        <v>45.733051000000003</v>
      </c>
      <c r="N46">
        <v>1</v>
      </c>
      <c r="O46" s="1" t="s">
        <v>563</v>
      </c>
      <c r="P46">
        <v>283541.88</v>
      </c>
      <c r="Q46">
        <v>1503.44</v>
      </c>
      <c r="R46">
        <v>1</v>
      </c>
      <c r="S46" s="1" t="s">
        <v>751</v>
      </c>
      <c r="T46" s="1"/>
      <c r="U46">
        <v>7434.8649999999998</v>
      </c>
      <c r="V46">
        <v>0</v>
      </c>
      <c r="W46">
        <v>58291</v>
      </c>
    </row>
    <row r="47" spans="1:23" x14ac:dyDescent="0.25">
      <c r="A47" s="1" t="s">
        <v>24</v>
      </c>
      <c r="B47" s="1" t="s">
        <v>43</v>
      </c>
      <c r="C47" s="1" t="s">
        <v>98</v>
      </c>
      <c r="D47">
        <v>5484</v>
      </c>
      <c r="E47" s="1"/>
      <c r="F47" s="1" t="s">
        <v>246</v>
      </c>
      <c r="G47">
        <v>2013</v>
      </c>
      <c r="H47">
        <v>174533.75</v>
      </c>
      <c r="I47">
        <v>12</v>
      </c>
      <c r="J47" s="1"/>
      <c r="K47">
        <v>0</v>
      </c>
      <c r="L47">
        <v>5672</v>
      </c>
      <c r="M47">
        <v>30.770568999999998</v>
      </c>
      <c r="N47">
        <v>1</v>
      </c>
      <c r="O47" s="1" t="s">
        <v>563</v>
      </c>
      <c r="P47">
        <v>188240.01</v>
      </c>
      <c r="Q47">
        <v>998.12</v>
      </c>
      <c r="R47">
        <v>1</v>
      </c>
      <c r="S47" s="1" t="s">
        <v>752</v>
      </c>
      <c r="T47" s="1"/>
      <c r="U47">
        <v>5002.3999999999996</v>
      </c>
      <c r="V47">
        <v>0</v>
      </c>
      <c r="W47">
        <v>58292</v>
      </c>
    </row>
    <row r="48" spans="1:23" x14ac:dyDescent="0.25">
      <c r="A48" s="1" t="s">
        <v>24</v>
      </c>
      <c r="B48" s="1" t="s">
        <v>43</v>
      </c>
      <c r="C48" s="1" t="s">
        <v>98</v>
      </c>
      <c r="D48">
        <v>5484</v>
      </c>
      <c r="E48" s="1"/>
      <c r="F48" s="1" t="s">
        <v>246</v>
      </c>
      <c r="G48">
        <v>2012</v>
      </c>
      <c r="H48">
        <v>219560</v>
      </c>
      <c r="I48">
        <v>12</v>
      </c>
      <c r="J48" s="1" t="s">
        <v>393</v>
      </c>
      <c r="K48">
        <v>0</v>
      </c>
      <c r="L48">
        <v>5672</v>
      </c>
      <c r="M48">
        <v>38.708767000000002</v>
      </c>
      <c r="N48">
        <v>1</v>
      </c>
      <c r="O48" s="1" t="s">
        <v>562</v>
      </c>
      <c r="P48">
        <v>230879.31</v>
      </c>
      <c r="Q48">
        <v>42712.68</v>
      </c>
      <c r="R48">
        <v>0</v>
      </c>
      <c r="S48" s="1" t="s">
        <v>752</v>
      </c>
      <c r="T48" s="1"/>
      <c r="U48">
        <v>219560</v>
      </c>
      <c r="V48">
        <v>0</v>
      </c>
      <c r="W48">
        <v>57962</v>
      </c>
    </row>
    <row r="49" spans="1:23" x14ac:dyDescent="0.25">
      <c r="A49" s="1" t="s">
        <v>24</v>
      </c>
      <c r="B49" s="1" t="s">
        <v>43</v>
      </c>
      <c r="C49" s="1" t="s">
        <v>98</v>
      </c>
      <c r="D49">
        <v>5484</v>
      </c>
      <c r="E49" s="1"/>
      <c r="F49" s="1" t="s">
        <v>246</v>
      </c>
      <c r="G49">
        <v>2012</v>
      </c>
      <c r="H49">
        <v>176477.12</v>
      </c>
      <c r="I49">
        <v>12</v>
      </c>
      <c r="J49" s="1"/>
      <c r="K49">
        <v>0</v>
      </c>
      <c r="L49">
        <v>5672</v>
      </c>
      <c r="M49">
        <v>31.113188999999998</v>
      </c>
      <c r="N49">
        <v>1</v>
      </c>
      <c r="O49" s="1" t="s">
        <v>563</v>
      </c>
      <c r="P49">
        <v>187388.96</v>
      </c>
      <c r="Q49">
        <v>993.63</v>
      </c>
      <c r="R49">
        <v>1</v>
      </c>
      <c r="S49" s="1" t="s">
        <v>752</v>
      </c>
      <c r="T49" s="1"/>
      <c r="U49">
        <v>5058.1000000000004</v>
      </c>
      <c r="V49">
        <v>0</v>
      </c>
      <c r="W49">
        <v>58292</v>
      </c>
    </row>
    <row r="50" spans="1:23" x14ac:dyDescent="0.25">
      <c r="A50" s="1" t="s">
        <v>24</v>
      </c>
      <c r="B50" s="1" t="s">
        <v>43</v>
      </c>
      <c r="C50" s="1" t="s">
        <v>98</v>
      </c>
      <c r="D50">
        <v>5484</v>
      </c>
      <c r="E50" s="1"/>
      <c r="F50" s="1" t="s">
        <v>246</v>
      </c>
      <c r="G50">
        <v>2012</v>
      </c>
      <c r="H50">
        <v>282805</v>
      </c>
      <c r="I50">
        <v>12</v>
      </c>
      <c r="J50" s="1"/>
      <c r="K50">
        <v>0</v>
      </c>
      <c r="L50">
        <v>5672</v>
      </c>
      <c r="M50">
        <v>49.858958000000001</v>
      </c>
      <c r="N50">
        <v>1</v>
      </c>
      <c r="O50" s="1" t="s">
        <v>562</v>
      </c>
      <c r="P50">
        <v>300570.59999999998</v>
      </c>
      <c r="Q50">
        <v>55605.57</v>
      </c>
      <c r="R50">
        <v>0</v>
      </c>
      <c r="S50" s="1" t="s">
        <v>750</v>
      </c>
      <c r="T50" s="1"/>
      <c r="U50">
        <v>282805</v>
      </c>
      <c r="V50">
        <v>0</v>
      </c>
      <c r="W50">
        <v>57974</v>
      </c>
    </row>
    <row r="51" spans="1:23" x14ac:dyDescent="0.25">
      <c r="A51" s="1" t="s">
        <v>24</v>
      </c>
      <c r="B51" s="1" t="s">
        <v>43</v>
      </c>
      <c r="C51" s="1" t="s">
        <v>98</v>
      </c>
      <c r="D51">
        <v>5484</v>
      </c>
      <c r="E51" s="1"/>
      <c r="F51" s="1" t="s">
        <v>246</v>
      </c>
      <c r="G51">
        <v>2012</v>
      </c>
      <c r="H51">
        <v>263391.78000000003</v>
      </c>
      <c r="I51">
        <v>12</v>
      </c>
      <c r="J51" s="1"/>
      <c r="K51">
        <v>0</v>
      </c>
      <c r="L51">
        <v>5672</v>
      </c>
      <c r="M51">
        <v>46.436377999999998</v>
      </c>
      <c r="N51">
        <v>1</v>
      </c>
      <c r="O51" s="1" t="s">
        <v>563</v>
      </c>
      <c r="P51">
        <v>274909.71999999997</v>
      </c>
      <c r="Q51">
        <v>1457.68</v>
      </c>
      <c r="R51">
        <v>1</v>
      </c>
      <c r="S51" s="1" t="s">
        <v>751</v>
      </c>
      <c r="T51" s="1"/>
      <c r="U51">
        <v>7549.2049999999999</v>
      </c>
      <c r="V51">
        <v>0</v>
      </c>
      <c r="W51">
        <v>58291</v>
      </c>
    </row>
    <row r="52" spans="1:23" x14ac:dyDescent="0.25">
      <c r="A52" s="1" t="s">
        <v>24</v>
      </c>
      <c r="B52" s="1" t="s">
        <v>43</v>
      </c>
      <c r="C52" s="1" t="s">
        <v>98</v>
      </c>
      <c r="D52">
        <v>5484</v>
      </c>
      <c r="E52" s="1"/>
      <c r="F52" s="1" t="s">
        <v>246</v>
      </c>
      <c r="G52">
        <v>2011</v>
      </c>
      <c r="H52">
        <v>222130</v>
      </c>
      <c r="I52">
        <v>12</v>
      </c>
      <c r="J52" s="1" t="s">
        <v>393</v>
      </c>
      <c r="K52">
        <v>0</v>
      </c>
      <c r="L52">
        <v>5672</v>
      </c>
      <c r="M52">
        <v>39.161861999999999</v>
      </c>
      <c r="N52">
        <v>1</v>
      </c>
      <c r="O52" s="1" t="s">
        <v>562</v>
      </c>
      <c r="P52">
        <v>240825.91</v>
      </c>
      <c r="Q52">
        <v>44552.800000000003</v>
      </c>
      <c r="R52">
        <v>0</v>
      </c>
      <c r="S52" s="1" t="s">
        <v>752</v>
      </c>
      <c r="T52" s="1"/>
      <c r="U52">
        <v>222129.99799999999</v>
      </c>
      <c r="V52">
        <v>0</v>
      </c>
      <c r="W52">
        <v>57962</v>
      </c>
    </row>
    <row r="53" spans="1:23" x14ac:dyDescent="0.25">
      <c r="A53" s="1" t="s">
        <v>24</v>
      </c>
      <c r="B53" s="1" t="s">
        <v>43</v>
      </c>
      <c r="C53" s="1" t="s">
        <v>98</v>
      </c>
      <c r="D53">
        <v>5484</v>
      </c>
      <c r="E53" s="1"/>
      <c r="F53" s="1" t="s">
        <v>246</v>
      </c>
      <c r="G53">
        <v>2011</v>
      </c>
      <c r="H53">
        <v>180796.48</v>
      </c>
      <c r="I53">
        <v>12</v>
      </c>
      <c r="J53" s="1"/>
      <c r="K53">
        <v>0</v>
      </c>
      <c r="L53">
        <v>5672</v>
      </c>
      <c r="M53">
        <v>31.874697999999999</v>
      </c>
      <c r="N53">
        <v>1</v>
      </c>
      <c r="O53" s="1" t="s">
        <v>563</v>
      </c>
      <c r="P53">
        <v>199266.76</v>
      </c>
      <c r="Q53">
        <v>1056.5899999999999</v>
      </c>
      <c r="R53">
        <v>1</v>
      </c>
      <c r="S53" s="1" t="s">
        <v>752</v>
      </c>
      <c r="T53" s="1"/>
      <c r="U53">
        <v>5181.8999000000003</v>
      </c>
      <c r="V53">
        <v>0</v>
      </c>
      <c r="W53">
        <v>58292</v>
      </c>
    </row>
    <row r="54" spans="1:23" x14ac:dyDescent="0.25">
      <c r="A54" s="1" t="s">
        <v>24</v>
      </c>
      <c r="B54" s="1" t="s">
        <v>43</v>
      </c>
      <c r="C54" s="1" t="s">
        <v>98</v>
      </c>
      <c r="D54">
        <v>5484</v>
      </c>
      <c r="E54" s="1"/>
      <c r="F54" s="1" t="s">
        <v>246</v>
      </c>
      <c r="G54">
        <v>2011</v>
      </c>
      <c r="H54">
        <v>243850</v>
      </c>
      <c r="I54">
        <v>12</v>
      </c>
      <c r="J54" s="1"/>
      <c r="K54">
        <v>0</v>
      </c>
      <c r="L54">
        <v>5672</v>
      </c>
      <c r="M54">
        <v>42.991132</v>
      </c>
      <c r="N54">
        <v>1</v>
      </c>
      <c r="O54" s="1" t="s">
        <v>562</v>
      </c>
      <c r="P54">
        <v>268605.53999999998</v>
      </c>
      <c r="Q54">
        <v>49692.04</v>
      </c>
      <c r="R54">
        <v>0</v>
      </c>
      <c r="S54" s="1" t="s">
        <v>750</v>
      </c>
      <c r="T54" s="1"/>
      <c r="U54">
        <v>243850.008</v>
      </c>
      <c r="V54">
        <v>0</v>
      </c>
      <c r="W54">
        <v>57974</v>
      </c>
    </row>
    <row r="55" spans="1:23" x14ac:dyDescent="0.25">
      <c r="A55" s="1" t="s">
        <v>24</v>
      </c>
      <c r="B55" s="1" t="s">
        <v>43</v>
      </c>
      <c r="C55" s="1" t="s">
        <v>98</v>
      </c>
      <c r="D55">
        <v>5484</v>
      </c>
      <c r="E55" s="1"/>
      <c r="F55" s="1" t="s">
        <v>246</v>
      </c>
      <c r="G55">
        <v>2011</v>
      </c>
      <c r="H55">
        <v>384793.44</v>
      </c>
      <c r="I55">
        <v>12</v>
      </c>
      <c r="J55" s="1"/>
      <c r="K55">
        <v>0</v>
      </c>
      <c r="L55">
        <v>5672</v>
      </c>
      <c r="M55">
        <v>67.839678000000006</v>
      </c>
      <c r="N55">
        <v>1</v>
      </c>
      <c r="O55" s="1" t="s">
        <v>563</v>
      </c>
      <c r="P55">
        <v>454030.18</v>
      </c>
      <c r="Q55">
        <v>2407.44</v>
      </c>
      <c r="R55">
        <v>1</v>
      </c>
      <c r="S55" s="1" t="s">
        <v>751</v>
      </c>
      <c r="T55" s="1"/>
      <c r="U55">
        <v>11028.76</v>
      </c>
      <c r="V55">
        <v>0</v>
      </c>
      <c r="W55">
        <v>58291</v>
      </c>
    </row>
    <row r="56" spans="1:23" x14ac:dyDescent="0.25">
      <c r="A56" s="1" t="s">
        <v>24</v>
      </c>
      <c r="B56" s="1" t="s">
        <v>43</v>
      </c>
      <c r="C56" s="1" t="s">
        <v>98</v>
      </c>
      <c r="D56">
        <v>5484</v>
      </c>
      <c r="E56" s="1"/>
      <c r="F56" s="1" t="s">
        <v>246</v>
      </c>
      <c r="G56">
        <v>2010</v>
      </c>
      <c r="H56">
        <v>305760</v>
      </c>
      <c r="I56">
        <v>12</v>
      </c>
      <c r="J56" s="1" t="s">
        <v>393</v>
      </c>
      <c r="K56">
        <v>0</v>
      </c>
      <c r="L56">
        <v>5672</v>
      </c>
      <c r="M56">
        <v>53.90596</v>
      </c>
      <c r="N56">
        <v>1</v>
      </c>
      <c r="O56" s="1" t="s">
        <v>562</v>
      </c>
      <c r="P56">
        <v>278355.18</v>
      </c>
      <c r="Q56">
        <v>51495.7</v>
      </c>
      <c r="R56">
        <v>0</v>
      </c>
      <c r="S56" s="1" t="s">
        <v>752</v>
      </c>
      <c r="T56" s="1"/>
      <c r="U56">
        <v>305760</v>
      </c>
      <c r="V56">
        <v>0</v>
      </c>
      <c r="W56">
        <v>57962</v>
      </c>
    </row>
    <row r="57" spans="1:23" x14ac:dyDescent="0.25">
      <c r="A57" s="1" t="s">
        <v>24</v>
      </c>
      <c r="B57" s="1" t="s">
        <v>43</v>
      </c>
      <c r="C57" s="1" t="s">
        <v>98</v>
      </c>
      <c r="D57">
        <v>5484</v>
      </c>
      <c r="E57" s="1"/>
      <c r="F57" s="1" t="s">
        <v>246</v>
      </c>
      <c r="G57">
        <v>2010</v>
      </c>
      <c r="H57">
        <v>243532.21</v>
      </c>
      <c r="I57">
        <v>12</v>
      </c>
      <c r="J57" s="1"/>
      <c r="K57">
        <v>0</v>
      </c>
      <c r="L57">
        <v>5672</v>
      </c>
      <c r="M57">
        <v>42.935105</v>
      </c>
      <c r="N57">
        <v>1</v>
      </c>
      <c r="O57" s="1" t="s">
        <v>563</v>
      </c>
      <c r="P57">
        <v>220068.5</v>
      </c>
      <c r="Q57">
        <v>1166.8900000000001</v>
      </c>
      <c r="R57">
        <v>1</v>
      </c>
      <c r="S57" s="1" t="s">
        <v>752</v>
      </c>
      <c r="T57" s="1"/>
      <c r="U57">
        <v>6980.0006000000003</v>
      </c>
      <c r="V57">
        <v>0</v>
      </c>
      <c r="W57">
        <v>58292</v>
      </c>
    </row>
    <row r="58" spans="1:23" x14ac:dyDescent="0.25">
      <c r="A58" s="1" t="s">
        <v>24</v>
      </c>
      <c r="B58" s="1" t="s">
        <v>43</v>
      </c>
      <c r="C58" s="1" t="s">
        <v>98</v>
      </c>
      <c r="D58">
        <v>5484</v>
      </c>
      <c r="E58" s="1"/>
      <c r="F58" s="1" t="s">
        <v>246</v>
      </c>
      <c r="G58">
        <v>2010</v>
      </c>
      <c r="H58">
        <v>258639.99</v>
      </c>
      <c r="I58">
        <v>12</v>
      </c>
      <c r="J58" s="1"/>
      <c r="K58">
        <v>0</v>
      </c>
      <c r="L58">
        <v>5672</v>
      </c>
      <c r="M58">
        <v>45.59863</v>
      </c>
      <c r="N58">
        <v>1</v>
      </c>
      <c r="O58" s="1" t="s">
        <v>562</v>
      </c>
      <c r="P58">
        <v>233724.53</v>
      </c>
      <c r="Q58">
        <v>43239.05</v>
      </c>
      <c r="R58">
        <v>0</v>
      </c>
      <c r="S58" s="1" t="s">
        <v>750</v>
      </c>
      <c r="T58" s="1"/>
      <c r="U58">
        <v>258639.99</v>
      </c>
      <c r="V58">
        <v>0</v>
      </c>
      <c r="W58">
        <v>57974</v>
      </c>
    </row>
    <row r="59" spans="1:23" x14ac:dyDescent="0.25">
      <c r="A59" s="1" t="s">
        <v>24</v>
      </c>
      <c r="B59" s="1" t="s">
        <v>43</v>
      </c>
      <c r="C59" s="1" t="s">
        <v>98</v>
      </c>
      <c r="D59">
        <v>5484</v>
      </c>
      <c r="E59" s="1"/>
      <c r="F59" s="1" t="s">
        <v>246</v>
      </c>
      <c r="G59">
        <v>2010</v>
      </c>
      <c r="H59">
        <v>408333.72</v>
      </c>
      <c r="I59">
        <v>12</v>
      </c>
      <c r="J59" s="1"/>
      <c r="K59">
        <v>0</v>
      </c>
      <c r="L59">
        <v>5672</v>
      </c>
      <c r="M59">
        <v>71.989866000000006</v>
      </c>
      <c r="N59">
        <v>1</v>
      </c>
      <c r="O59" s="1" t="s">
        <v>563</v>
      </c>
      <c r="P59">
        <v>411787.28</v>
      </c>
      <c r="Q59">
        <v>2183.46</v>
      </c>
      <c r="R59">
        <v>1</v>
      </c>
      <c r="S59" s="1" t="s">
        <v>751</v>
      </c>
      <c r="T59" s="1"/>
      <c r="U59">
        <v>11703.46</v>
      </c>
      <c r="V59">
        <v>0</v>
      </c>
      <c r="W59">
        <v>58291</v>
      </c>
    </row>
    <row r="60" spans="1:23" x14ac:dyDescent="0.25">
      <c r="A60" s="1" t="s">
        <v>24</v>
      </c>
      <c r="B60" s="1" t="s">
        <v>43</v>
      </c>
      <c r="C60" s="1" t="s">
        <v>98</v>
      </c>
      <c r="D60">
        <v>5484</v>
      </c>
      <c r="E60" s="1"/>
      <c r="F60" s="1" t="s">
        <v>246</v>
      </c>
      <c r="G60">
        <v>2009</v>
      </c>
      <c r="H60">
        <v>168781.01</v>
      </c>
      <c r="I60">
        <v>12</v>
      </c>
      <c r="J60" s="1" t="s">
        <v>393</v>
      </c>
      <c r="K60">
        <v>0</v>
      </c>
      <c r="L60">
        <v>5672</v>
      </c>
      <c r="M60">
        <v>29.756353000000001</v>
      </c>
      <c r="N60">
        <v>1</v>
      </c>
      <c r="O60" s="1" t="s">
        <v>562</v>
      </c>
      <c r="P60">
        <v>179516.26</v>
      </c>
      <c r="Q60">
        <v>33210.51</v>
      </c>
      <c r="R60">
        <v>0</v>
      </c>
      <c r="S60" s="1" t="s">
        <v>752</v>
      </c>
      <c r="T60" s="1"/>
      <c r="U60">
        <v>168781.01</v>
      </c>
      <c r="V60">
        <v>0</v>
      </c>
      <c r="W60">
        <v>57962</v>
      </c>
    </row>
    <row r="61" spans="1:23" x14ac:dyDescent="0.25">
      <c r="A61" s="1" t="s">
        <v>24</v>
      </c>
      <c r="B61" s="1" t="s">
        <v>43</v>
      </c>
      <c r="C61" s="1" t="s">
        <v>98</v>
      </c>
      <c r="D61">
        <v>5484</v>
      </c>
      <c r="E61" s="1"/>
      <c r="F61" s="1" t="s">
        <v>246</v>
      </c>
      <c r="G61">
        <v>2009</v>
      </c>
      <c r="H61">
        <v>214100</v>
      </c>
      <c r="I61">
        <v>12</v>
      </c>
      <c r="J61" s="1"/>
      <c r="K61">
        <v>0</v>
      </c>
      <c r="L61">
        <v>5672</v>
      </c>
      <c r="M61">
        <v>37.746161000000001</v>
      </c>
      <c r="N61">
        <v>1</v>
      </c>
      <c r="O61" s="1" t="s">
        <v>562</v>
      </c>
      <c r="P61">
        <v>228968.55</v>
      </c>
      <c r="Q61">
        <v>42359.18</v>
      </c>
      <c r="R61">
        <v>0</v>
      </c>
      <c r="S61" s="1" t="s">
        <v>750</v>
      </c>
      <c r="T61" s="1"/>
      <c r="U61">
        <v>214100</v>
      </c>
      <c r="V61">
        <v>0</v>
      </c>
      <c r="W61">
        <v>57974</v>
      </c>
    </row>
    <row r="62" spans="1:23" x14ac:dyDescent="0.25">
      <c r="A62" s="1" t="s">
        <v>24</v>
      </c>
      <c r="B62" s="1" t="s">
        <v>43</v>
      </c>
      <c r="C62" s="1" t="s">
        <v>98</v>
      </c>
      <c r="D62">
        <v>5484</v>
      </c>
      <c r="E62" s="1"/>
      <c r="F62" s="1" t="s">
        <v>246</v>
      </c>
      <c r="G62">
        <v>2009</v>
      </c>
      <c r="H62">
        <v>386833.46</v>
      </c>
      <c r="I62">
        <v>12</v>
      </c>
      <c r="J62" s="1"/>
      <c r="K62">
        <v>0</v>
      </c>
      <c r="L62">
        <v>5672</v>
      </c>
      <c r="M62">
        <v>68.199337</v>
      </c>
      <c r="N62">
        <v>1</v>
      </c>
      <c r="O62" s="1" t="s">
        <v>563</v>
      </c>
      <c r="P62">
        <v>497315.52</v>
      </c>
      <c r="Q62">
        <v>2636.96</v>
      </c>
      <c r="R62">
        <v>1</v>
      </c>
      <c r="S62" s="1" t="s">
        <v>751</v>
      </c>
      <c r="T62" s="1"/>
      <c r="U62">
        <v>11087.23</v>
      </c>
      <c r="V62">
        <v>0</v>
      </c>
      <c r="W62">
        <v>58291</v>
      </c>
    </row>
    <row r="63" spans="1:23" x14ac:dyDescent="0.25">
      <c r="A63" s="1" t="s">
        <v>24</v>
      </c>
      <c r="B63" s="1" t="s">
        <v>43</v>
      </c>
      <c r="C63" s="1" t="s">
        <v>98</v>
      </c>
      <c r="D63">
        <v>5484</v>
      </c>
      <c r="E63" s="1"/>
      <c r="F63" s="1" t="s">
        <v>246</v>
      </c>
      <c r="G63">
        <v>2009</v>
      </c>
      <c r="H63">
        <v>135017.10999999999</v>
      </c>
      <c r="I63">
        <v>12</v>
      </c>
      <c r="J63" s="1"/>
      <c r="K63">
        <v>0</v>
      </c>
      <c r="L63">
        <v>5672</v>
      </c>
      <c r="M63">
        <v>23.803725</v>
      </c>
      <c r="N63">
        <v>1</v>
      </c>
      <c r="O63" s="1" t="s">
        <v>563</v>
      </c>
      <c r="P63">
        <v>150076.88</v>
      </c>
      <c r="Q63">
        <v>795.77</v>
      </c>
      <c r="R63">
        <v>1</v>
      </c>
      <c r="S63" s="1" t="s">
        <v>752</v>
      </c>
      <c r="T63" s="1"/>
      <c r="U63">
        <v>3869.7935000000002</v>
      </c>
      <c r="V63">
        <v>0</v>
      </c>
      <c r="W63">
        <v>58292</v>
      </c>
    </row>
    <row r="64" spans="1:23" x14ac:dyDescent="0.25">
      <c r="A64" s="1" t="s">
        <v>24</v>
      </c>
      <c r="B64" s="1" t="s">
        <v>43</v>
      </c>
      <c r="C64" s="1" t="s">
        <v>98</v>
      </c>
      <c r="D64">
        <v>5484</v>
      </c>
      <c r="E64" s="1"/>
      <c r="F64" s="1" t="s">
        <v>246</v>
      </c>
      <c r="G64">
        <v>2008</v>
      </c>
      <c r="H64">
        <v>260588.98</v>
      </c>
      <c r="I64">
        <v>12</v>
      </c>
      <c r="J64" s="1" t="s">
        <v>393</v>
      </c>
      <c r="K64">
        <v>0</v>
      </c>
      <c r="L64">
        <v>5672</v>
      </c>
      <c r="M64">
        <v>45.942239999999998</v>
      </c>
      <c r="N64">
        <v>1</v>
      </c>
      <c r="O64" s="1" t="s">
        <v>562</v>
      </c>
      <c r="P64">
        <v>329778.32</v>
      </c>
      <c r="Q64">
        <v>61008.98</v>
      </c>
      <c r="R64">
        <v>0</v>
      </c>
      <c r="S64" s="1" t="s">
        <v>752</v>
      </c>
      <c r="T64" s="1"/>
      <c r="U64">
        <v>260588.98</v>
      </c>
      <c r="V64">
        <v>0</v>
      </c>
      <c r="W64">
        <v>57962</v>
      </c>
    </row>
    <row r="65" spans="1:23" x14ac:dyDescent="0.25">
      <c r="A65" s="1" t="s">
        <v>24</v>
      </c>
      <c r="B65" s="1" t="s">
        <v>43</v>
      </c>
      <c r="C65" s="1" t="s">
        <v>98</v>
      </c>
      <c r="D65">
        <v>5484</v>
      </c>
      <c r="E65" s="1"/>
      <c r="F65" s="1" t="s">
        <v>246</v>
      </c>
      <c r="G65">
        <v>2008</v>
      </c>
      <c r="H65">
        <v>194525.95</v>
      </c>
      <c r="I65">
        <v>12</v>
      </c>
      <c r="J65" s="1"/>
      <c r="K65">
        <v>0</v>
      </c>
      <c r="L65">
        <v>5672</v>
      </c>
      <c r="M65">
        <v>34.295225000000002</v>
      </c>
      <c r="N65">
        <v>1</v>
      </c>
      <c r="O65" s="1" t="s">
        <v>563</v>
      </c>
      <c r="P65">
        <v>251424.26</v>
      </c>
      <c r="Q65">
        <v>1333.14</v>
      </c>
      <c r="R65">
        <v>1</v>
      </c>
      <c r="S65" s="1" t="s">
        <v>752</v>
      </c>
      <c r="T65" s="1"/>
      <c r="U65">
        <v>5575.4062000000004</v>
      </c>
      <c r="V65">
        <v>0</v>
      </c>
      <c r="W65">
        <v>58292</v>
      </c>
    </row>
    <row r="66" spans="1:23" x14ac:dyDescent="0.25">
      <c r="A66" s="1" t="s">
        <v>24</v>
      </c>
      <c r="B66" s="1" t="s">
        <v>43</v>
      </c>
      <c r="C66" s="1" t="s">
        <v>98</v>
      </c>
      <c r="D66">
        <v>5484</v>
      </c>
      <c r="E66" s="1"/>
      <c r="F66" s="1" t="s">
        <v>246</v>
      </c>
      <c r="G66">
        <v>2008</v>
      </c>
      <c r="H66">
        <v>206630</v>
      </c>
      <c r="I66">
        <v>12</v>
      </c>
      <c r="J66" s="1"/>
      <c r="K66">
        <v>0</v>
      </c>
      <c r="L66">
        <v>5672</v>
      </c>
      <c r="M66">
        <v>36.429188000000003</v>
      </c>
      <c r="N66">
        <v>1</v>
      </c>
      <c r="O66" s="1" t="s">
        <v>562</v>
      </c>
      <c r="P66">
        <v>239554.09</v>
      </c>
      <c r="Q66">
        <v>44317.5</v>
      </c>
      <c r="R66">
        <v>0</v>
      </c>
      <c r="S66" s="1" t="s">
        <v>750</v>
      </c>
      <c r="T66" s="1"/>
      <c r="U66">
        <v>206630.003</v>
      </c>
      <c r="V66">
        <v>0</v>
      </c>
      <c r="W66">
        <v>57974</v>
      </c>
    </row>
    <row r="67" spans="1:23" x14ac:dyDescent="0.25">
      <c r="A67" s="1" t="s">
        <v>24</v>
      </c>
      <c r="B67" s="1" t="s">
        <v>43</v>
      </c>
      <c r="C67" s="1" t="s">
        <v>98</v>
      </c>
      <c r="D67">
        <v>5484</v>
      </c>
      <c r="E67" s="1"/>
      <c r="F67" s="1" t="s">
        <v>246</v>
      </c>
      <c r="G67">
        <v>2008</v>
      </c>
      <c r="H67">
        <v>366067.26</v>
      </c>
      <c r="I67">
        <v>12</v>
      </c>
      <c r="J67" s="1"/>
      <c r="K67">
        <v>0</v>
      </c>
      <c r="L67">
        <v>5672</v>
      </c>
      <c r="M67">
        <v>64.538223000000002</v>
      </c>
      <c r="N67">
        <v>1</v>
      </c>
      <c r="O67" s="1" t="s">
        <v>563</v>
      </c>
      <c r="P67">
        <v>452440.08</v>
      </c>
      <c r="Q67">
        <v>2399.0100000000002</v>
      </c>
      <c r="R67">
        <v>1</v>
      </c>
      <c r="S67" s="1" t="s">
        <v>751</v>
      </c>
      <c r="T67" s="1"/>
      <c r="U67">
        <v>10492.0399</v>
      </c>
      <c r="V67">
        <v>0</v>
      </c>
      <c r="W67">
        <v>58291</v>
      </c>
    </row>
    <row r="68" spans="1:23" x14ac:dyDescent="0.25">
      <c r="A68" s="1" t="s">
        <v>24</v>
      </c>
      <c r="B68" s="1"/>
      <c r="C68" s="1" t="s">
        <v>99</v>
      </c>
      <c r="D68">
        <v>9524</v>
      </c>
      <c r="E68" s="1"/>
      <c r="F68" s="1" t="s">
        <v>248</v>
      </c>
      <c r="G68">
        <v>2015</v>
      </c>
      <c r="H68">
        <v>95650</v>
      </c>
      <c r="I68">
        <v>5</v>
      </c>
      <c r="J68" s="1"/>
      <c r="K68">
        <v>0</v>
      </c>
      <c r="L68">
        <v>2899</v>
      </c>
      <c r="M68">
        <v>32.992997000000003</v>
      </c>
      <c r="N68">
        <v>1</v>
      </c>
      <c r="O68" s="1" t="s">
        <v>562</v>
      </c>
      <c r="P68">
        <v>108988.23</v>
      </c>
      <c r="Q68">
        <v>6975.24</v>
      </c>
      <c r="R68">
        <v>0</v>
      </c>
      <c r="S68" s="1" t="s">
        <v>753</v>
      </c>
      <c r="T68" s="1"/>
      <c r="U68">
        <v>95650</v>
      </c>
      <c r="V68">
        <v>0</v>
      </c>
      <c r="W68">
        <v>74459</v>
      </c>
    </row>
    <row r="69" spans="1:23" x14ac:dyDescent="0.25">
      <c r="A69" s="1" t="s">
        <v>24</v>
      </c>
      <c r="B69" s="1"/>
      <c r="C69" s="1" t="s">
        <v>99</v>
      </c>
      <c r="D69">
        <v>9524</v>
      </c>
      <c r="E69" s="1"/>
      <c r="F69" s="1" t="s">
        <v>248</v>
      </c>
      <c r="G69">
        <v>2015</v>
      </c>
      <c r="H69">
        <v>107066.93</v>
      </c>
      <c r="I69">
        <v>5</v>
      </c>
      <c r="J69" s="1"/>
      <c r="K69">
        <v>0</v>
      </c>
      <c r="L69">
        <v>2899</v>
      </c>
      <c r="M69">
        <v>36.931092</v>
      </c>
      <c r="N69">
        <v>1</v>
      </c>
      <c r="O69" s="1" t="s">
        <v>563</v>
      </c>
      <c r="P69">
        <v>122411.03</v>
      </c>
      <c r="Q69">
        <v>224.54</v>
      </c>
      <c r="R69">
        <v>1</v>
      </c>
      <c r="S69" s="1"/>
      <c r="T69" s="1"/>
      <c r="U69">
        <v>3068.7</v>
      </c>
      <c r="V69">
        <v>74459</v>
      </c>
      <c r="W69">
        <v>74460</v>
      </c>
    </row>
    <row r="70" spans="1:23" x14ac:dyDescent="0.25">
      <c r="A70" s="1" t="s">
        <v>24</v>
      </c>
      <c r="B70" s="1"/>
      <c r="C70" s="1" t="s">
        <v>99</v>
      </c>
      <c r="D70">
        <v>9524</v>
      </c>
      <c r="E70" s="1"/>
      <c r="F70" s="1" t="s">
        <v>248</v>
      </c>
      <c r="G70">
        <v>2014</v>
      </c>
      <c r="H70">
        <v>115350</v>
      </c>
      <c r="I70">
        <v>12</v>
      </c>
      <c r="J70" s="1"/>
      <c r="K70">
        <v>0</v>
      </c>
      <c r="L70">
        <v>2899</v>
      </c>
      <c r="M70">
        <v>39.788209999999999</v>
      </c>
      <c r="N70">
        <v>1</v>
      </c>
      <c r="O70" s="1" t="s">
        <v>562</v>
      </c>
      <c r="P70">
        <v>137742.20000000001</v>
      </c>
      <c r="Q70">
        <v>8815.5</v>
      </c>
      <c r="R70">
        <v>0</v>
      </c>
      <c r="S70" s="1" t="s">
        <v>753</v>
      </c>
      <c r="T70" s="1"/>
      <c r="U70">
        <v>115350</v>
      </c>
      <c r="V70">
        <v>0</v>
      </c>
      <c r="W70">
        <v>74459</v>
      </c>
    </row>
    <row r="71" spans="1:23" x14ac:dyDescent="0.25">
      <c r="A71" s="1" t="s">
        <v>24</v>
      </c>
      <c r="B71" s="1"/>
      <c r="C71" s="1" t="s">
        <v>99</v>
      </c>
      <c r="D71">
        <v>9524</v>
      </c>
      <c r="E71" s="1"/>
      <c r="F71" s="1" t="s">
        <v>248</v>
      </c>
      <c r="G71">
        <v>2014</v>
      </c>
      <c r="H71">
        <v>128970.89</v>
      </c>
      <c r="I71">
        <v>12</v>
      </c>
      <c r="J71" s="1"/>
      <c r="K71">
        <v>0</v>
      </c>
      <c r="L71">
        <v>2899</v>
      </c>
      <c r="M71">
        <v>44.486525999999998</v>
      </c>
      <c r="N71">
        <v>1</v>
      </c>
      <c r="O71" s="1" t="s">
        <v>563</v>
      </c>
      <c r="P71">
        <v>153385.26999999999</v>
      </c>
      <c r="Q71">
        <v>281.36</v>
      </c>
      <c r="R71">
        <v>1</v>
      </c>
      <c r="S71" s="1"/>
      <c r="T71" s="1"/>
      <c r="U71">
        <v>3696.5</v>
      </c>
      <c r="V71">
        <v>74459</v>
      </c>
      <c r="W71">
        <v>74460</v>
      </c>
    </row>
    <row r="72" spans="1:23" x14ac:dyDescent="0.25">
      <c r="A72" s="1" t="s">
        <v>24</v>
      </c>
      <c r="B72" s="1"/>
      <c r="C72" s="1" t="s">
        <v>99</v>
      </c>
      <c r="D72">
        <v>9524</v>
      </c>
      <c r="E72" s="1"/>
      <c r="F72" s="1" t="s">
        <v>248</v>
      </c>
      <c r="G72">
        <v>2013</v>
      </c>
      <c r="H72">
        <v>129490</v>
      </c>
      <c r="I72">
        <v>12</v>
      </c>
      <c r="J72" s="1"/>
      <c r="K72">
        <v>0</v>
      </c>
      <c r="L72">
        <v>2899</v>
      </c>
      <c r="M72">
        <v>44.665585</v>
      </c>
      <c r="N72">
        <v>1</v>
      </c>
      <c r="O72" s="1" t="s">
        <v>562</v>
      </c>
      <c r="P72">
        <v>135453.51</v>
      </c>
      <c r="Q72">
        <v>8669.02</v>
      </c>
      <c r="R72">
        <v>0</v>
      </c>
      <c r="S72" s="1" t="s">
        <v>753</v>
      </c>
      <c r="T72" s="1"/>
      <c r="U72">
        <v>129490</v>
      </c>
      <c r="V72">
        <v>0</v>
      </c>
      <c r="W72">
        <v>74459</v>
      </c>
    </row>
    <row r="73" spans="1:23" x14ac:dyDescent="0.25">
      <c r="A73" s="1" t="s">
        <v>24</v>
      </c>
      <c r="B73" s="1"/>
      <c r="C73" s="1" t="s">
        <v>99</v>
      </c>
      <c r="D73">
        <v>9524</v>
      </c>
      <c r="E73" s="1"/>
      <c r="F73" s="1" t="s">
        <v>248</v>
      </c>
      <c r="G73">
        <v>2013</v>
      </c>
      <c r="H73">
        <v>145533.16</v>
      </c>
      <c r="I73">
        <v>12</v>
      </c>
      <c r="J73" s="1"/>
      <c r="K73">
        <v>0</v>
      </c>
      <c r="L73">
        <v>2899</v>
      </c>
      <c r="M73">
        <v>50.199427</v>
      </c>
      <c r="N73">
        <v>1</v>
      </c>
      <c r="O73" s="1" t="s">
        <v>563</v>
      </c>
      <c r="P73">
        <v>152875.74</v>
      </c>
      <c r="Q73">
        <v>280.45</v>
      </c>
      <c r="R73">
        <v>1</v>
      </c>
      <c r="S73" s="1"/>
      <c r="T73" s="1"/>
      <c r="U73">
        <v>4171.2</v>
      </c>
      <c r="V73">
        <v>74459</v>
      </c>
      <c r="W73">
        <v>74460</v>
      </c>
    </row>
    <row r="74" spans="1:23" x14ac:dyDescent="0.25">
      <c r="A74" s="1" t="s">
        <v>24</v>
      </c>
      <c r="B74" s="1"/>
      <c r="C74" s="1" t="s">
        <v>99</v>
      </c>
      <c r="D74">
        <v>9524</v>
      </c>
      <c r="E74" s="1"/>
      <c r="F74" s="1" t="s">
        <v>248</v>
      </c>
      <c r="G74">
        <v>2012</v>
      </c>
      <c r="H74">
        <v>116476.31</v>
      </c>
      <c r="I74">
        <v>12</v>
      </c>
      <c r="J74" s="1"/>
      <c r="K74">
        <v>0</v>
      </c>
      <c r="L74">
        <v>2899</v>
      </c>
      <c r="M74">
        <v>40.176712999999999</v>
      </c>
      <c r="N74">
        <v>1</v>
      </c>
      <c r="O74" s="1" t="s">
        <v>562</v>
      </c>
      <c r="P74">
        <v>121841.34</v>
      </c>
      <c r="Q74">
        <v>22540.65</v>
      </c>
      <c r="R74">
        <v>0</v>
      </c>
      <c r="S74" s="1" t="s">
        <v>753</v>
      </c>
      <c r="T74" s="1"/>
      <c r="U74">
        <v>116476.31</v>
      </c>
      <c r="V74">
        <v>0</v>
      </c>
      <c r="W74">
        <v>74459</v>
      </c>
    </row>
    <row r="75" spans="1:23" x14ac:dyDescent="0.25">
      <c r="A75" s="1" t="s">
        <v>24</v>
      </c>
      <c r="B75" s="1"/>
      <c r="C75" s="1" t="s">
        <v>99</v>
      </c>
      <c r="D75">
        <v>9524</v>
      </c>
      <c r="E75" s="1"/>
      <c r="F75" s="1" t="s">
        <v>248</v>
      </c>
      <c r="G75">
        <v>2012</v>
      </c>
      <c r="H75">
        <v>109589.48</v>
      </c>
      <c r="I75">
        <v>12</v>
      </c>
      <c r="J75" s="1"/>
      <c r="K75">
        <v>0</v>
      </c>
      <c r="L75">
        <v>2899</v>
      </c>
      <c r="M75">
        <v>37.801206999999998</v>
      </c>
      <c r="N75">
        <v>1</v>
      </c>
      <c r="O75" s="1" t="s">
        <v>563</v>
      </c>
      <c r="P75">
        <v>113831.69</v>
      </c>
      <c r="Q75">
        <v>603.57000000000005</v>
      </c>
      <c r="R75">
        <v>1</v>
      </c>
      <c r="S75" s="1"/>
      <c r="T75" s="1"/>
      <c r="U75">
        <v>3141</v>
      </c>
      <c r="V75">
        <v>74459</v>
      </c>
      <c r="W75">
        <v>74460</v>
      </c>
    </row>
    <row r="76" spans="1:23" x14ac:dyDescent="0.25">
      <c r="A76" s="1" t="s">
        <v>24</v>
      </c>
      <c r="B76" s="1"/>
      <c r="C76" s="1" t="s">
        <v>99</v>
      </c>
      <c r="D76">
        <v>9524</v>
      </c>
      <c r="E76" s="1"/>
      <c r="F76" s="1" t="s">
        <v>248</v>
      </c>
      <c r="G76">
        <v>2011</v>
      </c>
      <c r="H76">
        <v>121383.7</v>
      </c>
      <c r="I76">
        <v>12</v>
      </c>
      <c r="J76" s="1"/>
      <c r="K76">
        <v>0</v>
      </c>
      <c r="L76">
        <v>2899</v>
      </c>
      <c r="M76">
        <v>41.869441999999999</v>
      </c>
      <c r="N76">
        <v>1</v>
      </c>
      <c r="O76" s="1" t="s">
        <v>562</v>
      </c>
      <c r="P76">
        <v>130873.11</v>
      </c>
      <c r="Q76">
        <v>24211.53</v>
      </c>
      <c r="R76">
        <v>0</v>
      </c>
      <c r="S76" s="1" t="s">
        <v>753</v>
      </c>
      <c r="T76" s="1"/>
      <c r="U76">
        <v>121383.7</v>
      </c>
      <c r="V76">
        <v>0</v>
      </c>
      <c r="W76">
        <v>74459</v>
      </c>
    </row>
    <row r="77" spans="1:23" x14ac:dyDescent="0.25">
      <c r="A77" s="1" t="s">
        <v>24</v>
      </c>
      <c r="B77" s="1"/>
      <c r="C77" s="1" t="s">
        <v>99</v>
      </c>
      <c r="D77">
        <v>9524</v>
      </c>
      <c r="E77" s="1"/>
      <c r="F77" s="1" t="s">
        <v>248</v>
      </c>
      <c r="G77">
        <v>2011</v>
      </c>
      <c r="H77">
        <v>109812.78</v>
      </c>
      <c r="I77">
        <v>12</v>
      </c>
      <c r="J77" s="1"/>
      <c r="K77">
        <v>0</v>
      </c>
      <c r="L77">
        <v>2899</v>
      </c>
      <c r="M77">
        <v>37.878231</v>
      </c>
      <c r="N77">
        <v>1</v>
      </c>
      <c r="O77" s="1" t="s">
        <v>563</v>
      </c>
      <c r="P77">
        <v>118496.77</v>
      </c>
      <c r="Q77">
        <v>628.30999999999995</v>
      </c>
      <c r="R77">
        <v>1</v>
      </c>
      <c r="S77" s="1"/>
      <c r="T77" s="1"/>
      <c r="U77">
        <v>3147.4</v>
      </c>
      <c r="V77">
        <v>74459</v>
      </c>
      <c r="W77">
        <v>74460</v>
      </c>
    </row>
    <row r="78" spans="1:23" x14ac:dyDescent="0.25">
      <c r="A78" s="1" t="s">
        <v>24</v>
      </c>
      <c r="B78" s="1"/>
      <c r="C78" s="1" t="s">
        <v>99</v>
      </c>
      <c r="D78">
        <v>9524</v>
      </c>
      <c r="E78" s="1"/>
      <c r="F78" s="1" t="s">
        <v>248</v>
      </c>
      <c r="G78">
        <v>2010</v>
      </c>
      <c r="H78">
        <v>164070.01</v>
      </c>
      <c r="I78">
        <v>12</v>
      </c>
      <c r="J78" s="1"/>
      <c r="K78">
        <v>0</v>
      </c>
      <c r="L78">
        <v>2899</v>
      </c>
      <c r="M78">
        <v>56.593428000000003</v>
      </c>
      <c r="N78">
        <v>1</v>
      </c>
      <c r="O78" s="1" t="s">
        <v>562</v>
      </c>
      <c r="P78">
        <v>149302.91</v>
      </c>
      <c r="Q78">
        <v>27621.02</v>
      </c>
      <c r="R78">
        <v>0</v>
      </c>
      <c r="S78" s="1" t="s">
        <v>753</v>
      </c>
      <c r="T78" s="1"/>
      <c r="U78">
        <v>164070.00099999999</v>
      </c>
      <c r="V78">
        <v>0</v>
      </c>
      <c r="W78">
        <v>74459</v>
      </c>
    </row>
    <row r="79" spans="1:23" x14ac:dyDescent="0.25">
      <c r="A79" s="1" t="s">
        <v>24</v>
      </c>
      <c r="B79" s="1"/>
      <c r="C79" s="1" t="s">
        <v>99</v>
      </c>
      <c r="D79">
        <v>9524</v>
      </c>
      <c r="E79" s="1"/>
      <c r="F79" s="1" t="s">
        <v>248</v>
      </c>
      <c r="G79">
        <v>2010</v>
      </c>
      <c r="H79">
        <v>177010.94</v>
      </c>
      <c r="I79">
        <v>12</v>
      </c>
      <c r="J79" s="1"/>
      <c r="K79">
        <v>0</v>
      </c>
      <c r="L79">
        <v>2899</v>
      </c>
      <c r="M79">
        <v>61.057203000000001</v>
      </c>
      <c r="N79">
        <v>1</v>
      </c>
      <c r="O79" s="1" t="s">
        <v>563</v>
      </c>
      <c r="P79">
        <v>161760.95999999999</v>
      </c>
      <c r="Q79">
        <v>857.71</v>
      </c>
      <c r="R79">
        <v>1</v>
      </c>
      <c r="S79" s="1"/>
      <c r="T79" s="1"/>
      <c r="U79">
        <v>5073.3999999999996</v>
      </c>
      <c r="V79">
        <v>74459</v>
      </c>
      <c r="W79">
        <v>74460</v>
      </c>
    </row>
    <row r="80" spans="1:23" x14ac:dyDescent="0.25">
      <c r="A80" s="1" t="s">
        <v>24</v>
      </c>
      <c r="B80" s="1"/>
      <c r="C80" s="1" t="s">
        <v>99</v>
      </c>
      <c r="D80">
        <v>9524</v>
      </c>
      <c r="E80" s="1"/>
      <c r="F80" s="1" t="s">
        <v>248</v>
      </c>
      <c r="G80">
        <v>2009</v>
      </c>
      <c r="H80">
        <v>140340</v>
      </c>
      <c r="I80">
        <v>12</v>
      </c>
      <c r="J80" s="1"/>
      <c r="K80">
        <v>0</v>
      </c>
      <c r="L80">
        <v>2899</v>
      </c>
      <c r="M80">
        <v>48.408126000000003</v>
      </c>
      <c r="N80">
        <v>1</v>
      </c>
      <c r="O80" s="1" t="s">
        <v>562</v>
      </c>
      <c r="P80">
        <v>148953.85999999999</v>
      </c>
      <c r="Q80">
        <v>27556.46</v>
      </c>
      <c r="R80">
        <v>0</v>
      </c>
      <c r="S80" s="1" t="s">
        <v>753</v>
      </c>
      <c r="T80" s="1"/>
      <c r="U80">
        <v>140340</v>
      </c>
      <c r="V80">
        <v>0</v>
      </c>
      <c r="W80">
        <v>74459</v>
      </c>
    </row>
    <row r="81" spans="1:23" x14ac:dyDescent="0.25">
      <c r="A81" s="1" t="s">
        <v>24</v>
      </c>
      <c r="B81" s="1"/>
      <c r="C81" s="1" t="s">
        <v>99</v>
      </c>
      <c r="D81">
        <v>9524</v>
      </c>
      <c r="E81" s="1"/>
      <c r="F81" s="1" t="s">
        <v>248</v>
      </c>
      <c r="G81">
        <v>2009</v>
      </c>
      <c r="H81">
        <v>196210.9</v>
      </c>
      <c r="I81">
        <v>12</v>
      </c>
      <c r="J81" s="1"/>
      <c r="K81">
        <v>0</v>
      </c>
      <c r="L81">
        <v>2899</v>
      </c>
      <c r="M81">
        <v>67.679935</v>
      </c>
      <c r="N81">
        <v>1</v>
      </c>
      <c r="O81" s="1" t="s">
        <v>563</v>
      </c>
      <c r="P81">
        <v>243722.8</v>
      </c>
      <c r="Q81">
        <v>1292.32</v>
      </c>
      <c r="R81">
        <v>1</v>
      </c>
      <c r="S81" s="1"/>
      <c r="T81" s="1"/>
      <c r="U81">
        <v>5623.7</v>
      </c>
      <c r="V81">
        <v>74459</v>
      </c>
      <c r="W81">
        <v>74460</v>
      </c>
    </row>
    <row r="82" spans="1:23" x14ac:dyDescent="0.25">
      <c r="A82" s="1" t="s">
        <v>24</v>
      </c>
      <c r="B82" s="1"/>
      <c r="C82" s="1" t="s">
        <v>99</v>
      </c>
      <c r="D82">
        <v>9524</v>
      </c>
      <c r="E82" s="1"/>
      <c r="F82" s="1" t="s">
        <v>248</v>
      </c>
      <c r="G82">
        <v>2008</v>
      </c>
      <c r="H82">
        <v>126260</v>
      </c>
      <c r="I82">
        <v>12</v>
      </c>
      <c r="J82" s="1"/>
      <c r="K82">
        <v>0</v>
      </c>
      <c r="L82">
        <v>2899</v>
      </c>
      <c r="M82">
        <v>43.551447000000003</v>
      </c>
      <c r="N82">
        <v>1</v>
      </c>
      <c r="O82" s="1" t="s">
        <v>562</v>
      </c>
      <c r="P82">
        <v>143880.32000000001</v>
      </c>
      <c r="Q82">
        <v>26617.86</v>
      </c>
      <c r="R82">
        <v>0</v>
      </c>
      <c r="S82" s="1" t="s">
        <v>753</v>
      </c>
      <c r="T82" s="1"/>
      <c r="U82">
        <v>126260</v>
      </c>
      <c r="V82">
        <v>0</v>
      </c>
      <c r="W82">
        <v>74459</v>
      </c>
    </row>
    <row r="83" spans="1:23" x14ac:dyDescent="0.25">
      <c r="A83" s="1" t="s">
        <v>24</v>
      </c>
      <c r="B83" s="1"/>
      <c r="C83" s="1" t="s">
        <v>99</v>
      </c>
      <c r="D83">
        <v>9524</v>
      </c>
      <c r="E83" s="1"/>
      <c r="F83" s="1" t="s">
        <v>248</v>
      </c>
      <c r="G83">
        <v>2008</v>
      </c>
      <c r="H83">
        <v>143038.53</v>
      </c>
      <c r="I83">
        <v>12</v>
      </c>
      <c r="J83" s="1"/>
      <c r="K83">
        <v>0</v>
      </c>
      <c r="L83">
        <v>2899</v>
      </c>
      <c r="M83">
        <v>49.338943</v>
      </c>
      <c r="N83">
        <v>1</v>
      </c>
      <c r="O83" s="1" t="s">
        <v>563</v>
      </c>
      <c r="P83">
        <v>161194.9</v>
      </c>
      <c r="Q83">
        <v>854.73</v>
      </c>
      <c r="R83">
        <v>1</v>
      </c>
      <c r="S83" s="1"/>
      <c r="T83" s="1"/>
      <c r="U83">
        <v>4099.7</v>
      </c>
      <c r="V83">
        <v>74459</v>
      </c>
      <c r="W83">
        <v>74460</v>
      </c>
    </row>
    <row r="84" spans="1:23" x14ac:dyDescent="0.25">
      <c r="A84" s="1" t="s">
        <v>24</v>
      </c>
      <c r="B84" s="1" t="s">
        <v>43</v>
      </c>
      <c r="C84" s="1" t="s">
        <v>98</v>
      </c>
      <c r="D84">
        <v>5484</v>
      </c>
      <c r="E84" s="1"/>
      <c r="F84" s="1" t="s">
        <v>246</v>
      </c>
      <c r="G84">
        <v>2015</v>
      </c>
      <c r="H84">
        <v>62891.67</v>
      </c>
      <c r="I84">
        <v>5</v>
      </c>
      <c r="J84" s="1" t="s">
        <v>393</v>
      </c>
      <c r="K84">
        <v>0</v>
      </c>
      <c r="L84">
        <v>5672</v>
      </c>
      <c r="M84">
        <v>11.087897999999999</v>
      </c>
      <c r="N84">
        <v>2</v>
      </c>
      <c r="O84" s="1" t="s">
        <v>569</v>
      </c>
      <c r="P84">
        <v>62891.67</v>
      </c>
      <c r="Q84">
        <v>25156.65</v>
      </c>
      <c r="R84">
        <v>0</v>
      </c>
      <c r="S84" s="1" t="s">
        <v>935</v>
      </c>
      <c r="T84" s="1" t="s">
        <v>1232</v>
      </c>
      <c r="U84">
        <v>62891.66</v>
      </c>
      <c r="V84">
        <v>0</v>
      </c>
      <c r="W84">
        <v>57961</v>
      </c>
    </row>
    <row r="85" spans="1:23" x14ac:dyDescent="0.25">
      <c r="A85" s="1" t="s">
        <v>24</v>
      </c>
      <c r="B85" s="1" t="s">
        <v>43</v>
      </c>
      <c r="C85" s="1" t="s">
        <v>98</v>
      </c>
      <c r="D85">
        <v>5484</v>
      </c>
      <c r="E85" s="1"/>
      <c r="F85" s="1" t="s">
        <v>246</v>
      </c>
      <c r="G85">
        <v>2014</v>
      </c>
      <c r="H85">
        <v>161625.57</v>
      </c>
      <c r="I85">
        <v>12</v>
      </c>
      <c r="J85" s="1" t="s">
        <v>393</v>
      </c>
      <c r="K85">
        <v>0</v>
      </c>
      <c r="L85">
        <v>5672</v>
      </c>
      <c r="M85">
        <v>28.494837</v>
      </c>
      <c r="N85">
        <v>2</v>
      </c>
      <c r="O85" s="1" t="s">
        <v>569</v>
      </c>
      <c r="P85">
        <v>161625.57</v>
      </c>
      <c r="Q85">
        <v>64650.22</v>
      </c>
      <c r="R85">
        <v>0</v>
      </c>
      <c r="S85" s="1" t="s">
        <v>935</v>
      </c>
      <c r="T85" s="1" t="s">
        <v>1232</v>
      </c>
      <c r="U85">
        <v>161625.568</v>
      </c>
      <c r="V85">
        <v>0</v>
      </c>
      <c r="W85">
        <v>57961</v>
      </c>
    </row>
    <row r="86" spans="1:23" x14ac:dyDescent="0.25">
      <c r="A86" s="1" t="s">
        <v>24</v>
      </c>
      <c r="B86" s="1" t="s">
        <v>43</v>
      </c>
      <c r="C86" s="1" t="s">
        <v>98</v>
      </c>
      <c r="D86">
        <v>5484</v>
      </c>
      <c r="E86" s="1"/>
      <c r="F86" s="1" t="s">
        <v>246</v>
      </c>
      <c r="G86">
        <v>2013</v>
      </c>
      <c r="H86">
        <v>161509.57</v>
      </c>
      <c r="I86">
        <v>12</v>
      </c>
      <c r="J86" s="1" t="s">
        <v>393</v>
      </c>
      <c r="K86">
        <v>0</v>
      </c>
      <c r="L86">
        <v>5672</v>
      </c>
      <c r="M86">
        <v>28.474385999999999</v>
      </c>
      <c r="N86">
        <v>2</v>
      </c>
      <c r="O86" s="1" t="s">
        <v>569</v>
      </c>
      <c r="P86">
        <v>161509.57</v>
      </c>
      <c r="Q86">
        <v>64603.83</v>
      </c>
      <c r="R86">
        <v>0</v>
      </c>
      <c r="S86" s="1" t="s">
        <v>935</v>
      </c>
      <c r="T86" s="1" t="s">
        <v>1232</v>
      </c>
      <c r="U86">
        <v>161509.57</v>
      </c>
      <c r="V86">
        <v>0</v>
      </c>
      <c r="W86">
        <v>57961</v>
      </c>
    </row>
    <row r="87" spans="1:23" x14ac:dyDescent="0.25">
      <c r="A87" s="1" t="s">
        <v>24</v>
      </c>
      <c r="B87" s="1" t="s">
        <v>43</v>
      </c>
      <c r="C87" s="1" t="s">
        <v>98</v>
      </c>
      <c r="D87">
        <v>5484</v>
      </c>
      <c r="E87" s="1"/>
      <c r="F87" s="1" t="s">
        <v>246</v>
      </c>
      <c r="G87">
        <v>2012</v>
      </c>
      <c r="H87">
        <v>168797.46</v>
      </c>
      <c r="I87">
        <v>12</v>
      </c>
      <c r="J87" s="1" t="s">
        <v>393</v>
      </c>
      <c r="K87">
        <v>0</v>
      </c>
      <c r="L87">
        <v>5672</v>
      </c>
      <c r="M87">
        <v>29.759253000000001</v>
      </c>
      <c r="N87">
        <v>2</v>
      </c>
      <c r="O87" s="1" t="s">
        <v>569</v>
      </c>
      <c r="P87">
        <v>168797.46</v>
      </c>
      <c r="Q87">
        <v>67518.98</v>
      </c>
      <c r="R87">
        <v>0</v>
      </c>
      <c r="S87" s="1" t="s">
        <v>935</v>
      </c>
      <c r="T87" s="1" t="s">
        <v>1232</v>
      </c>
      <c r="U87">
        <v>168797.46</v>
      </c>
      <c r="V87">
        <v>0</v>
      </c>
      <c r="W87">
        <v>57961</v>
      </c>
    </row>
    <row r="88" spans="1:23" x14ac:dyDescent="0.25">
      <c r="A88" s="1" t="s">
        <v>24</v>
      </c>
      <c r="B88" s="1" t="s">
        <v>43</v>
      </c>
      <c r="C88" s="1" t="s">
        <v>98</v>
      </c>
      <c r="D88">
        <v>5484</v>
      </c>
      <c r="E88" s="1"/>
      <c r="F88" s="1" t="s">
        <v>246</v>
      </c>
      <c r="G88">
        <v>2011</v>
      </c>
      <c r="H88">
        <v>191558.04</v>
      </c>
      <c r="I88">
        <v>12</v>
      </c>
      <c r="J88" s="1" t="s">
        <v>393</v>
      </c>
      <c r="K88">
        <v>0</v>
      </c>
      <c r="L88">
        <v>5672</v>
      </c>
      <c r="M88">
        <v>33.771977999999997</v>
      </c>
      <c r="N88">
        <v>2</v>
      </c>
      <c r="O88" s="1" t="s">
        <v>569</v>
      </c>
      <c r="P88">
        <v>191558.04</v>
      </c>
      <c r="Q88">
        <v>89840.72</v>
      </c>
      <c r="R88">
        <v>0</v>
      </c>
      <c r="S88" s="1" t="s">
        <v>935</v>
      </c>
      <c r="T88" s="1" t="s">
        <v>1232</v>
      </c>
      <c r="U88">
        <v>191558.02997999999</v>
      </c>
      <c r="V88">
        <v>0</v>
      </c>
      <c r="W88">
        <v>57961</v>
      </c>
    </row>
    <row r="89" spans="1:23" x14ac:dyDescent="0.25">
      <c r="A89" s="1" t="s">
        <v>24</v>
      </c>
      <c r="B89" s="1" t="s">
        <v>43</v>
      </c>
      <c r="C89" s="1" t="s">
        <v>98</v>
      </c>
      <c r="D89">
        <v>5484</v>
      </c>
      <c r="E89" s="1"/>
      <c r="F89" s="1" t="s">
        <v>246</v>
      </c>
      <c r="G89">
        <v>2010</v>
      </c>
      <c r="H89">
        <v>228726.5</v>
      </c>
      <c r="I89">
        <v>12</v>
      </c>
      <c r="J89" s="1" t="s">
        <v>393</v>
      </c>
      <c r="K89">
        <v>0</v>
      </c>
      <c r="L89">
        <v>5672</v>
      </c>
      <c r="M89">
        <v>40.324835</v>
      </c>
      <c r="N89">
        <v>2</v>
      </c>
      <c r="O89" s="1" t="s">
        <v>569</v>
      </c>
      <c r="P89">
        <v>228726.5</v>
      </c>
      <c r="Q89">
        <v>107272.74</v>
      </c>
      <c r="R89">
        <v>0</v>
      </c>
      <c r="S89" s="1" t="s">
        <v>935</v>
      </c>
      <c r="T89" s="1" t="s">
        <v>1232</v>
      </c>
      <c r="U89">
        <v>228726.49609</v>
      </c>
      <c r="V89">
        <v>0</v>
      </c>
      <c r="W89">
        <v>57961</v>
      </c>
    </row>
    <row r="90" spans="1:23" x14ac:dyDescent="0.25">
      <c r="A90" s="1" t="s">
        <v>24</v>
      </c>
      <c r="B90" s="1" t="s">
        <v>43</v>
      </c>
      <c r="C90" s="1" t="s">
        <v>98</v>
      </c>
      <c r="D90">
        <v>5484</v>
      </c>
      <c r="E90" s="1"/>
      <c r="F90" s="1" t="s">
        <v>246</v>
      </c>
      <c r="G90">
        <v>2009</v>
      </c>
      <c r="H90">
        <v>262974.08000000002</v>
      </c>
      <c r="I90">
        <v>12</v>
      </c>
      <c r="J90" s="1" t="s">
        <v>393</v>
      </c>
      <c r="K90">
        <v>0</v>
      </c>
      <c r="L90">
        <v>5672</v>
      </c>
      <c r="M90">
        <v>46.362735999999998</v>
      </c>
      <c r="N90">
        <v>2</v>
      </c>
      <c r="O90" s="1" t="s">
        <v>569</v>
      </c>
      <c r="P90">
        <v>262974.08000000002</v>
      </c>
      <c r="Q90">
        <v>123334.85</v>
      </c>
      <c r="R90">
        <v>0</v>
      </c>
      <c r="S90" s="1" t="s">
        <v>935</v>
      </c>
      <c r="T90" s="1" t="s">
        <v>1232</v>
      </c>
      <c r="U90">
        <v>262974.05963999999</v>
      </c>
      <c r="V90">
        <v>0</v>
      </c>
      <c r="W90">
        <v>57961</v>
      </c>
    </row>
    <row r="91" spans="1:23" x14ac:dyDescent="0.25">
      <c r="A91" s="1" t="s">
        <v>24</v>
      </c>
      <c r="B91" s="1" t="s">
        <v>43</v>
      </c>
      <c r="C91" s="1" t="s">
        <v>98</v>
      </c>
      <c r="D91">
        <v>5484</v>
      </c>
      <c r="E91" s="1"/>
      <c r="F91" s="1" t="s">
        <v>246</v>
      </c>
      <c r="G91">
        <v>2008</v>
      </c>
      <c r="H91">
        <v>252443.37</v>
      </c>
      <c r="I91">
        <v>12</v>
      </c>
      <c r="J91" s="1" t="s">
        <v>393</v>
      </c>
      <c r="K91">
        <v>0</v>
      </c>
      <c r="L91">
        <v>5672</v>
      </c>
      <c r="M91">
        <v>44.506155999999997</v>
      </c>
      <c r="N91">
        <v>2</v>
      </c>
      <c r="O91" s="1" t="s">
        <v>569</v>
      </c>
      <c r="P91">
        <v>252443.37</v>
      </c>
      <c r="Q91">
        <v>118395.95</v>
      </c>
      <c r="R91">
        <v>0</v>
      </c>
      <c r="S91" s="1" t="s">
        <v>935</v>
      </c>
      <c r="T91" s="1" t="s">
        <v>1232</v>
      </c>
      <c r="U91">
        <v>252443.37804000001</v>
      </c>
      <c r="V91">
        <v>0</v>
      </c>
      <c r="W91">
        <v>57961</v>
      </c>
    </row>
    <row r="92" spans="1:23" x14ac:dyDescent="0.25">
      <c r="A92" s="1" t="s">
        <v>24</v>
      </c>
      <c r="B92" s="1"/>
      <c r="C92" s="1" t="s">
        <v>99</v>
      </c>
      <c r="D92">
        <v>13925</v>
      </c>
      <c r="E92" s="1" t="s">
        <v>243</v>
      </c>
      <c r="F92" s="1" t="s">
        <v>247</v>
      </c>
      <c r="G92">
        <v>2015</v>
      </c>
      <c r="H92">
        <v>58535.82</v>
      </c>
      <c r="I92">
        <v>5</v>
      </c>
      <c r="J92" s="1" t="s">
        <v>394</v>
      </c>
      <c r="K92">
        <v>0</v>
      </c>
      <c r="L92">
        <v>2349</v>
      </c>
      <c r="M92">
        <v>24.918402</v>
      </c>
      <c r="N92">
        <v>2</v>
      </c>
      <c r="O92" s="1" t="s">
        <v>569</v>
      </c>
      <c r="P92">
        <v>58535.82</v>
      </c>
      <c r="Q92">
        <v>17560.740000000002</v>
      </c>
      <c r="R92">
        <v>0</v>
      </c>
      <c r="S92" s="1" t="s">
        <v>936</v>
      </c>
      <c r="T92" s="1" t="s">
        <v>1233</v>
      </c>
      <c r="U92">
        <v>58535.82</v>
      </c>
      <c r="V92">
        <v>0</v>
      </c>
      <c r="W92">
        <v>76856</v>
      </c>
    </row>
    <row r="93" spans="1:23" x14ac:dyDescent="0.25">
      <c r="A93" s="1" t="s">
        <v>24</v>
      </c>
      <c r="B93" s="1"/>
      <c r="C93" s="1" t="s">
        <v>99</v>
      </c>
      <c r="D93">
        <v>13925</v>
      </c>
      <c r="E93" s="1" t="s">
        <v>243</v>
      </c>
      <c r="F93" s="1" t="s">
        <v>247</v>
      </c>
      <c r="G93">
        <v>2014</v>
      </c>
      <c r="H93">
        <v>87968.24</v>
      </c>
      <c r="I93">
        <v>12</v>
      </c>
      <c r="J93" s="1" t="s">
        <v>394</v>
      </c>
      <c r="K93">
        <v>0</v>
      </c>
      <c r="L93">
        <v>2349</v>
      </c>
      <c r="M93">
        <v>37.447634999999998</v>
      </c>
      <c r="N93">
        <v>2</v>
      </c>
      <c r="O93" s="1" t="s">
        <v>569</v>
      </c>
      <c r="P93">
        <v>87968.24</v>
      </c>
      <c r="Q93">
        <v>26390.47</v>
      </c>
      <c r="R93">
        <v>0</v>
      </c>
      <c r="S93" s="1" t="s">
        <v>936</v>
      </c>
      <c r="T93" s="1" t="s">
        <v>1233</v>
      </c>
      <c r="U93">
        <v>87968.24</v>
      </c>
      <c r="V93">
        <v>0</v>
      </c>
      <c r="W93">
        <v>76856</v>
      </c>
    </row>
    <row r="94" spans="1:23" x14ac:dyDescent="0.25">
      <c r="A94" s="1" t="s">
        <v>24</v>
      </c>
      <c r="B94" s="1"/>
      <c r="C94" s="1" t="s">
        <v>99</v>
      </c>
      <c r="D94">
        <v>13925</v>
      </c>
      <c r="E94" s="1" t="s">
        <v>243</v>
      </c>
      <c r="F94" s="1" t="s">
        <v>247</v>
      </c>
      <c r="G94">
        <v>2013</v>
      </c>
      <c r="H94">
        <v>124177.7</v>
      </c>
      <c r="I94">
        <v>12</v>
      </c>
      <c r="J94" s="1" t="s">
        <v>394</v>
      </c>
      <c r="K94">
        <v>0</v>
      </c>
      <c r="L94">
        <v>2349</v>
      </c>
      <c r="M94">
        <v>52.861818999999997</v>
      </c>
      <c r="N94">
        <v>2</v>
      </c>
      <c r="O94" s="1" t="s">
        <v>569</v>
      </c>
      <c r="P94">
        <v>124177.7</v>
      </c>
      <c r="Q94">
        <v>37253.31</v>
      </c>
      <c r="R94">
        <v>0</v>
      </c>
      <c r="S94" s="1" t="s">
        <v>936</v>
      </c>
      <c r="T94" s="1" t="s">
        <v>1233</v>
      </c>
      <c r="U94">
        <v>124177.7</v>
      </c>
      <c r="V94">
        <v>0</v>
      </c>
      <c r="W94">
        <v>76856</v>
      </c>
    </row>
    <row r="95" spans="1:23" x14ac:dyDescent="0.25">
      <c r="A95" s="1" t="s">
        <v>24</v>
      </c>
      <c r="B95" s="1"/>
      <c r="C95" s="1" t="s">
        <v>99</v>
      </c>
      <c r="D95">
        <v>13925</v>
      </c>
      <c r="E95" s="1" t="s">
        <v>243</v>
      </c>
      <c r="F95" s="1" t="s">
        <v>247</v>
      </c>
      <c r="G95">
        <v>2012</v>
      </c>
      <c r="H95">
        <v>139838.37</v>
      </c>
      <c r="I95">
        <v>12</v>
      </c>
      <c r="J95" s="1" t="s">
        <v>394</v>
      </c>
      <c r="K95">
        <v>0</v>
      </c>
      <c r="L95">
        <v>2349</v>
      </c>
      <c r="M95">
        <v>59.528486999999998</v>
      </c>
      <c r="N95">
        <v>2</v>
      </c>
      <c r="O95" s="1" t="s">
        <v>569</v>
      </c>
      <c r="P95">
        <v>139838.37</v>
      </c>
      <c r="Q95">
        <v>55935.34</v>
      </c>
      <c r="R95">
        <v>0</v>
      </c>
      <c r="S95" s="1" t="s">
        <v>936</v>
      </c>
      <c r="T95" s="1" t="s">
        <v>1233</v>
      </c>
      <c r="U95">
        <v>139838.37100000001</v>
      </c>
      <c r="V95">
        <v>0</v>
      </c>
      <c r="W95">
        <v>76856</v>
      </c>
    </row>
    <row r="96" spans="1:23" x14ac:dyDescent="0.25">
      <c r="A96" s="1" t="s">
        <v>24</v>
      </c>
      <c r="B96" s="1"/>
      <c r="C96" s="1" t="s">
        <v>99</v>
      </c>
      <c r="D96">
        <v>13925</v>
      </c>
      <c r="E96" s="1" t="s">
        <v>243</v>
      </c>
      <c r="F96" s="1" t="s">
        <v>247</v>
      </c>
      <c r="G96">
        <v>2011</v>
      </c>
      <c r="H96">
        <v>38499.24</v>
      </c>
      <c r="I96">
        <v>12</v>
      </c>
      <c r="J96" s="1" t="s">
        <v>394</v>
      </c>
      <c r="K96">
        <v>0</v>
      </c>
      <c r="L96">
        <v>2349</v>
      </c>
      <c r="M96">
        <v>16.388930999999999</v>
      </c>
      <c r="N96">
        <v>2</v>
      </c>
      <c r="O96" s="1" t="s">
        <v>569</v>
      </c>
      <c r="P96">
        <v>38499.24</v>
      </c>
      <c r="Q96">
        <v>18056.14</v>
      </c>
      <c r="R96">
        <v>0</v>
      </c>
      <c r="S96" s="1" t="s">
        <v>936</v>
      </c>
      <c r="T96" s="1" t="s">
        <v>1233</v>
      </c>
      <c r="U96">
        <v>38499.24</v>
      </c>
      <c r="V96">
        <v>0</v>
      </c>
      <c r="W96">
        <v>76856</v>
      </c>
    </row>
    <row r="97" spans="1:23" x14ac:dyDescent="0.25">
      <c r="A97" s="1" t="s">
        <v>24</v>
      </c>
      <c r="B97" s="1"/>
      <c r="C97" s="1" t="s">
        <v>99</v>
      </c>
      <c r="D97">
        <v>13925</v>
      </c>
      <c r="E97" s="1" t="s">
        <v>243</v>
      </c>
      <c r="F97" s="1" t="s">
        <v>247</v>
      </c>
      <c r="G97">
        <v>2010</v>
      </c>
      <c r="H97">
        <v>94349.84</v>
      </c>
      <c r="I97">
        <v>12</v>
      </c>
      <c r="J97" s="1" t="s">
        <v>394</v>
      </c>
      <c r="K97">
        <v>0</v>
      </c>
      <c r="L97">
        <v>2349</v>
      </c>
      <c r="M97">
        <v>40.164250000000003</v>
      </c>
      <c r="N97">
        <v>2</v>
      </c>
      <c r="O97" s="1" t="s">
        <v>569</v>
      </c>
      <c r="P97">
        <v>94349.84</v>
      </c>
      <c r="Q97">
        <v>44250.07</v>
      </c>
      <c r="R97">
        <v>0</v>
      </c>
      <c r="S97" s="1" t="s">
        <v>936</v>
      </c>
      <c r="T97" s="1" t="s">
        <v>1233</v>
      </c>
      <c r="U97">
        <v>94349.84</v>
      </c>
      <c r="V97">
        <v>0</v>
      </c>
      <c r="W97">
        <v>76856</v>
      </c>
    </row>
    <row r="98" spans="1:23" x14ac:dyDescent="0.25">
      <c r="A98" s="1" t="s">
        <v>24</v>
      </c>
      <c r="B98" s="1"/>
      <c r="C98" s="1" t="s">
        <v>99</v>
      </c>
      <c r="D98">
        <v>13925</v>
      </c>
      <c r="E98" s="1" t="s">
        <v>243</v>
      </c>
      <c r="F98" s="1" t="s">
        <v>247</v>
      </c>
      <c r="G98">
        <v>2009</v>
      </c>
      <c r="H98">
        <v>77353.48</v>
      </c>
      <c r="I98">
        <v>12</v>
      </c>
      <c r="J98" s="1" t="s">
        <v>394</v>
      </c>
      <c r="K98">
        <v>0</v>
      </c>
      <c r="L98">
        <v>2349</v>
      </c>
      <c r="M98">
        <v>32.928984999999997</v>
      </c>
      <c r="N98">
        <v>2</v>
      </c>
      <c r="O98" s="1" t="s">
        <v>569</v>
      </c>
      <c r="P98">
        <v>77353.48</v>
      </c>
      <c r="Q98">
        <v>36278.78</v>
      </c>
      <c r="R98">
        <v>0</v>
      </c>
      <c r="S98" s="1" t="s">
        <v>936</v>
      </c>
      <c r="T98" s="1" t="s">
        <v>1233</v>
      </c>
      <c r="U98">
        <v>77353.48</v>
      </c>
      <c r="V98">
        <v>0</v>
      </c>
      <c r="W98">
        <v>76856</v>
      </c>
    </row>
    <row r="99" spans="1:23" x14ac:dyDescent="0.25">
      <c r="A99" s="1" t="s">
        <v>24</v>
      </c>
      <c r="B99" s="1"/>
      <c r="C99" s="1" t="s">
        <v>99</v>
      </c>
      <c r="D99">
        <v>13925</v>
      </c>
      <c r="E99" s="1" t="s">
        <v>243</v>
      </c>
      <c r="F99" s="1" t="s">
        <v>247</v>
      </c>
      <c r="G99">
        <v>2008</v>
      </c>
      <c r="H99">
        <v>44328.94</v>
      </c>
      <c r="I99">
        <v>12</v>
      </c>
      <c r="J99" s="1" t="s">
        <v>394</v>
      </c>
      <c r="K99">
        <v>0</v>
      </c>
      <c r="L99">
        <v>2349</v>
      </c>
      <c r="M99">
        <v>18.870605000000001</v>
      </c>
      <c r="N99">
        <v>2</v>
      </c>
      <c r="O99" s="1" t="s">
        <v>569</v>
      </c>
      <c r="P99">
        <v>44328.94</v>
      </c>
      <c r="Q99">
        <v>20790.259999999998</v>
      </c>
      <c r="R99">
        <v>0</v>
      </c>
      <c r="S99" s="1" t="s">
        <v>936</v>
      </c>
      <c r="T99" s="1" t="s">
        <v>1233</v>
      </c>
      <c r="U99">
        <v>44328.94</v>
      </c>
      <c r="V99">
        <v>0</v>
      </c>
      <c r="W99">
        <v>76856</v>
      </c>
    </row>
    <row r="100" spans="1:23" x14ac:dyDescent="0.25">
      <c r="A100" s="1" t="s">
        <v>24</v>
      </c>
      <c r="B100" s="1"/>
      <c r="C100" s="1" t="s">
        <v>99</v>
      </c>
      <c r="D100">
        <v>9524</v>
      </c>
      <c r="E100" s="1"/>
      <c r="F100" s="1" t="s">
        <v>248</v>
      </c>
      <c r="G100">
        <v>2015</v>
      </c>
      <c r="H100">
        <v>5013.3999999999996</v>
      </c>
      <c r="I100">
        <v>2</v>
      </c>
      <c r="J100" s="1" t="s">
        <v>506</v>
      </c>
      <c r="K100">
        <v>0</v>
      </c>
      <c r="L100">
        <v>2899</v>
      </c>
      <c r="M100">
        <v>1.729295</v>
      </c>
      <c r="N100">
        <v>2</v>
      </c>
      <c r="O100" s="1" t="s">
        <v>569</v>
      </c>
      <c r="P100">
        <v>5013.3999999999996</v>
      </c>
      <c r="Q100">
        <v>1504.02</v>
      </c>
      <c r="R100">
        <v>0</v>
      </c>
      <c r="S100" s="1" t="s">
        <v>937</v>
      </c>
      <c r="T100" s="1"/>
      <c r="U100">
        <v>5013.39732</v>
      </c>
      <c r="V100">
        <v>0</v>
      </c>
      <c r="W100">
        <v>92402</v>
      </c>
    </row>
    <row r="101" spans="1:23" x14ac:dyDescent="0.25">
      <c r="A101" s="1" t="s">
        <v>24</v>
      </c>
      <c r="B101" s="1"/>
      <c r="C101" s="1" t="s">
        <v>99</v>
      </c>
      <c r="D101">
        <v>9524</v>
      </c>
      <c r="E101" s="1"/>
      <c r="F101" s="1" t="s">
        <v>248</v>
      </c>
      <c r="G101">
        <v>2015</v>
      </c>
      <c r="H101">
        <v>11594.17</v>
      </c>
      <c r="I101">
        <v>2</v>
      </c>
      <c r="J101" s="1" t="s">
        <v>506</v>
      </c>
      <c r="K101">
        <v>0</v>
      </c>
      <c r="L101">
        <v>2899</v>
      </c>
      <c r="M101">
        <v>3.9992299999999998</v>
      </c>
      <c r="N101">
        <v>2</v>
      </c>
      <c r="O101" s="1" t="s">
        <v>569</v>
      </c>
      <c r="P101">
        <v>11594.17</v>
      </c>
      <c r="Q101">
        <v>3478.25</v>
      </c>
      <c r="R101">
        <v>1</v>
      </c>
      <c r="S101" s="1" t="s">
        <v>938</v>
      </c>
      <c r="T101" s="1"/>
      <c r="U101">
        <v>11594.16964</v>
      </c>
      <c r="V101">
        <v>0</v>
      </c>
      <c r="W101">
        <v>96538</v>
      </c>
    </row>
    <row r="102" spans="1:23" x14ac:dyDescent="0.25">
      <c r="A102" s="1" t="s">
        <v>24</v>
      </c>
      <c r="B102" s="1"/>
      <c r="C102" s="1" t="s">
        <v>99</v>
      </c>
      <c r="D102">
        <v>9524</v>
      </c>
      <c r="E102" s="1"/>
      <c r="F102" s="1" t="s">
        <v>248</v>
      </c>
      <c r="G102">
        <v>2015</v>
      </c>
      <c r="H102">
        <v>95539.3</v>
      </c>
      <c r="I102">
        <v>5</v>
      </c>
      <c r="J102" s="1" t="s">
        <v>394</v>
      </c>
      <c r="K102">
        <v>0</v>
      </c>
      <c r="L102">
        <v>2899</v>
      </c>
      <c r="M102">
        <v>32.954813000000001</v>
      </c>
      <c r="N102">
        <v>2</v>
      </c>
      <c r="O102" s="1" t="s">
        <v>569</v>
      </c>
      <c r="P102">
        <v>95539.3</v>
      </c>
      <c r="Q102">
        <v>28661.79</v>
      </c>
      <c r="R102">
        <v>0</v>
      </c>
      <c r="S102" s="1" t="s">
        <v>939</v>
      </c>
      <c r="T102" s="1"/>
      <c r="U102">
        <v>95539.302679999993</v>
      </c>
      <c r="V102">
        <v>0</v>
      </c>
      <c r="W102">
        <v>76870</v>
      </c>
    </row>
    <row r="103" spans="1:23" x14ac:dyDescent="0.25">
      <c r="A103" s="1" t="s">
        <v>24</v>
      </c>
      <c r="B103" s="1"/>
      <c r="C103" s="1" t="s">
        <v>99</v>
      </c>
      <c r="D103">
        <v>9524</v>
      </c>
      <c r="E103" s="1"/>
      <c r="F103" s="1" t="s">
        <v>248</v>
      </c>
      <c r="G103">
        <v>2014</v>
      </c>
      <c r="H103">
        <v>39218.33</v>
      </c>
      <c r="I103">
        <v>2</v>
      </c>
      <c r="J103" s="1" t="s">
        <v>506</v>
      </c>
      <c r="K103">
        <v>0</v>
      </c>
      <c r="L103">
        <v>2899</v>
      </c>
      <c r="M103">
        <v>13.527760000000001</v>
      </c>
      <c r="N103">
        <v>2</v>
      </c>
      <c r="O103" s="1" t="s">
        <v>569</v>
      </c>
      <c r="P103">
        <v>39218.33</v>
      </c>
      <c r="Q103">
        <v>11765.5</v>
      </c>
      <c r="R103">
        <v>1</v>
      </c>
      <c r="S103" s="1" t="s">
        <v>938</v>
      </c>
      <c r="T103" s="1"/>
      <c r="U103">
        <v>39218.330349999997</v>
      </c>
      <c r="V103">
        <v>0</v>
      </c>
      <c r="W103">
        <v>96538</v>
      </c>
    </row>
    <row r="104" spans="1:23" x14ac:dyDescent="0.25">
      <c r="A104" s="1" t="s">
        <v>24</v>
      </c>
      <c r="B104" s="1"/>
      <c r="C104" s="1" t="s">
        <v>99</v>
      </c>
      <c r="D104">
        <v>9524</v>
      </c>
      <c r="E104" s="1"/>
      <c r="F104" s="1" t="s">
        <v>248</v>
      </c>
      <c r="G104">
        <v>2014</v>
      </c>
      <c r="H104">
        <v>204726.99</v>
      </c>
      <c r="I104">
        <v>12</v>
      </c>
      <c r="J104" s="1" t="s">
        <v>394</v>
      </c>
      <c r="K104">
        <v>0</v>
      </c>
      <c r="L104">
        <v>2899</v>
      </c>
      <c r="M104">
        <v>70.617429000000001</v>
      </c>
      <c r="N104">
        <v>2</v>
      </c>
      <c r="O104" s="1" t="s">
        <v>569</v>
      </c>
      <c r="P104">
        <v>204726.99</v>
      </c>
      <c r="Q104">
        <v>61418.09</v>
      </c>
      <c r="R104">
        <v>0</v>
      </c>
      <c r="S104" s="1" t="s">
        <v>939</v>
      </c>
      <c r="T104" s="1"/>
      <c r="U104">
        <v>204726.99176</v>
      </c>
      <c r="V104">
        <v>0</v>
      </c>
      <c r="W104">
        <v>76870</v>
      </c>
    </row>
    <row r="105" spans="1:23" x14ac:dyDescent="0.25">
      <c r="A105" s="1" t="s">
        <v>24</v>
      </c>
      <c r="B105" s="1"/>
      <c r="C105" s="1" t="s">
        <v>99</v>
      </c>
      <c r="D105">
        <v>9524</v>
      </c>
      <c r="E105" s="1"/>
      <c r="F105" s="1" t="s">
        <v>248</v>
      </c>
      <c r="G105">
        <v>2014</v>
      </c>
      <c r="H105">
        <v>45629.01</v>
      </c>
      <c r="I105">
        <v>6</v>
      </c>
      <c r="J105" s="1" t="s">
        <v>506</v>
      </c>
      <c r="K105">
        <v>0</v>
      </c>
      <c r="L105">
        <v>2899</v>
      </c>
      <c r="M105">
        <v>15.739025</v>
      </c>
      <c r="N105">
        <v>2</v>
      </c>
      <c r="O105" s="1" t="s">
        <v>569</v>
      </c>
      <c r="P105">
        <v>45629.01</v>
      </c>
      <c r="Q105">
        <v>13688.71</v>
      </c>
      <c r="R105">
        <v>0</v>
      </c>
      <c r="S105" s="1" t="s">
        <v>937</v>
      </c>
      <c r="T105" s="1"/>
      <c r="U105">
        <v>45629.008240000003</v>
      </c>
      <c r="V105">
        <v>0</v>
      </c>
      <c r="W105">
        <v>92402</v>
      </c>
    </row>
    <row r="106" spans="1:23" x14ac:dyDescent="0.25">
      <c r="A106" s="1" t="s">
        <v>24</v>
      </c>
      <c r="B106" s="1"/>
      <c r="C106" s="1" t="s">
        <v>99</v>
      </c>
      <c r="D106">
        <v>9524</v>
      </c>
      <c r="E106" s="1"/>
      <c r="F106" s="1" t="s">
        <v>248</v>
      </c>
      <c r="G106">
        <v>2013</v>
      </c>
      <c r="H106">
        <v>163200.82</v>
      </c>
      <c r="I106">
        <v>12</v>
      </c>
      <c r="J106" s="1" t="s">
        <v>394</v>
      </c>
      <c r="K106">
        <v>0</v>
      </c>
      <c r="L106">
        <v>2899</v>
      </c>
      <c r="M106">
        <v>56.293615000000003</v>
      </c>
      <c r="N106">
        <v>2</v>
      </c>
      <c r="O106" s="1" t="s">
        <v>569</v>
      </c>
      <c r="P106">
        <v>163200.82</v>
      </c>
      <c r="Q106">
        <v>48960.25</v>
      </c>
      <c r="R106">
        <v>0</v>
      </c>
      <c r="S106" s="1" t="s">
        <v>939</v>
      </c>
      <c r="T106" s="1"/>
      <c r="U106">
        <v>163200.82185000001</v>
      </c>
      <c r="V106">
        <v>0</v>
      </c>
      <c r="W106">
        <v>76870</v>
      </c>
    </row>
    <row r="107" spans="1:23" x14ac:dyDescent="0.25">
      <c r="A107" s="1" t="s">
        <v>24</v>
      </c>
      <c r="B107" s="1"/>
      <c r="C107" s="1" t="s">
        <v>99</v>
      </c>
      <c r="D107">
        <v>9524</v>
      </c>
      <c r="E107" s="1"/>
      <c r="F107" s="1" t="s">
        <v>248</v>
      </c>
      <c r="G107">
        <v>2013</v>
      </c>
      <c r="H107">
        <v>43208.08</v>
      </c>
      <c r="I107">
        <v>8</v>
      </c>
      <c r="J107" s="1" t="s">
        <v>506</v>
      </c>
      <c r="K107">
        <v>0</v>
      </c>
      <c r="L107">
        <v>2899</v>
      </c>
      <c r="M107">
        <v>14.903962999999999</v>
      </c>
      <c r="N107">
        <v>2</v>
      </c>
      <c r="O107" s="1" t="s">
        <v>569</v>
      </c>
      <c r="P107">
        <v>43208.08</v>
      </c>
      <c r="Q107">
        <v>12962.42</v>
      </c>
      <c r="R107">
        <v>0</v>
      </c>
      <c r="S107" s="1" t="s">
        <v>937</v>
      </c>
      <c r="T107" s="1"/>
      <c r="U107">
        <v>43208.078150000001</v>
      </c>
      <c r="V107">
        <v>0</v>
      </c>
      <c r="W107">
        <v>92402</v>
      </c>
    </row>
    <row r="108" spans="1:23" x14ac:dyDescent="0.25">
      <c r="A108" s="1" t="s">
        <v>24</v>
      </c>
      <c r="B108" s="1"/>
      <c r="C108" s="1" t="s">
        <v>99</v>
      </c>
      <c r="D108">
        <v>9524</v>
      </c>
      <c r="E108" s="1"/>
      <c r="F108" s="1" t="s">
        <v>248</v>
      </c>
      <c r="G108">
        <v>2012</v>
      </c>
      <c r="H108">
        <v>193933.44</v>
      </c>
      <c r="I108">
        <v>12</v>
      </c>
      <c r="J108" s="1" t="s">
        <v>394</v>
      </c>
      <c r="K108">
        <v>0</v>
      </c>
      <c r="L108">
        <v>2899</v>
      </c>
      <c r="M108">
        <v>66.894360000000006</v>
      </c>
      <c r="N108">
        <v>2</v>
      </c>
      <c r="O108" s="1" t="s">
        <v>569</v>
      </c>
      <c r="P108">
        <v>193933.44</v>
      </c>
      <c r="Q108">
        <v>77573.37</v>
      </c>
      <c r="R108">
        <v>0</v>
      </c>
      <c r="S108" s="1" t="s">
        <v>939</v>
      </c>
      <c r="T108" s="1"/>
      <c r="U108">
        <v>193933.43272000001</v>
      </c>
      <c r="V108">
        <v>0</v>
      </c>
      <c r="W108">
        <v>76870</v>
      </c>
    </row>
    <row r="109" spans="1:23" x14ac:dyDescent="0.25">
      <c r="A109" s="1" t="s">
        <v>24</v>
      </c>
      <c r="B109" s="1"/>
      <c r="C109" s="1" t="s">
        <v>99</v>
      </c>
      <c r="D109">
        <v>9524</v>
      </c>
      <c r="E109" s="1"/>
      <c r="F109" s="1" t="s">
        <v>248</v>
      </c>
      <c r="G109">
        <v>2012</v>
      </c>
      <c r="H109">
        <v>22660.31</v>
      </c>
      <c r="I109">
        <v>7</v>
      </c>
      <c r="J109" s="1" t="s">
        <v>506</v>
      </c>
      <c r="K109">
        <v>0</v>
      </c>
      <c r="L109">
        <v>2899</v>
      </c>
      <c r="M109">
        <v>7.816325</v>
      </c>
      <c r="N109">
        <v>2</v>
      </c>
      <c r="O109" s="1" t="s">
        <v>569</v>
      </c>
      <c r="P109">
        <v>22660.31</v>
      </c>
      <c r="Q109">
        <v>9064.1299999999992</v>
      </c>
      <c r="R109">
        <v>0</v>
      </c>
      <c r="S109" s="1" t="s">
        <v>937</v>
      </c>
      <c r="T109" s="1"/>
      <c r="U109">
        <v>22660.316279999999</v>
      </c>
      <c r="V109">
        <v>0</v>
      </c>
      <c r="W109">
        <v>92402</v>
      </c>
    </row>
    <row r="110" spans="1:23" x14ac:dyDescent="0.25">
      <c r="A110" s="1" t="s">
        <v>24</v>
      </c>
      <c r="B110" s="1"/>
      <c r="C110" s="1" t="s">
        <v>99</v>
      </c>
      <c r="D110">
        <v>9524</v>
      </c>
      <c r="E110" s="1"/>
      <c r="F110" s="1" t="s">
        <v>248</v>
      </c>
      <c r="G110">
        <v>2011</v>
      </c>
      <c r="H110">
        <v>333483.59999999998</v>
      </c>
      <c r="I110">
        <v>12</v>
      </c>
      <c r="J110" s="1" t="s">
        <v>394</v>
      </c>
      <c r="K110">
        <v>0</v>
      </c>
      <c r="L110">
        <v>2899</v>
      </c>
      <c r="M110">
        <v>115.03004300000001</v>
      </c>
      <c r="N110">
        <v>2</v>
      </c>
      <c r="O110" s="1" t="s">
        <v>569</v>
      </c>
      <c r="P110">
        <v>333483.59999999998</v>
      </c>
      <c r="Q110">
        <v>156403.81</v>
      </c>
      <c r="R110">
        <v>0</v>
      </c>
      <c r="S110" s="1" t="s">
        <v>939</v>
      </c>
      <c r="T110" s="1"/>
      <c r="U110">
        <v>333483.59999999998</v>
      </c>
      <c r="V110">
        <v>0</v>
      </c>
      <c r="W110">
        <v>76870</v>
      </c>
    </row>
    <row r="111" spans="1:23" x14ac:dyDescent="0.25">
      <c r="A111" s="1" t="s">
        <v>24</v>
      </c>
      <c r="B111" s="1"/>
      <c r="C111" s="1" t="s">
        <v>99</v>
      </c>
      <c r="D111">
        <v>9524</v>
      </c>
      <c r="E111" s="1"/>
      <c r="F111" s="1" t="s">
        <v>248</v>
      </c>
      <c r="G111">
        <v>2010</v>
      </c>
      <c r="H111">
        <v>363640.61</v>
      </c>
      <c r="I111">
        <v>12</v>
      </c>
      <c r="J111" s="1" t="s">
        <v>394</v>
      </c>
      <c r="K111">
        <v>0</v>
      </c>
      <c r="L111">
        <v>2899</v>
      </c>
      <c r="M111">
        <v>125.432241</v>
      </c>
      <c r="N111">
        <v>2</v>
      </c>
      <c r="O111" s="1" t="s">
        <v>569</v>
      </c>
      <c r="P111">
        <v>363640.61</v>
      </c>
      <c r="Q111">
        <v>170547.45</v>
      </c>
      <c r="R111">
        <v>0</v>
      </c>
      <c r="S111" s="1" t="s">
        <v>939</v>
      </c>
      <c r="T111" s="1"/>
      <c r="U111">
        <v>363640.61</v>
      </c>
      <c r="V111">
        <v>0</v>
      </c>
      <c r="W111">
        <v>76870</v>
      </c>
    </row>
    <row r="112" spans="1:23" x14ac:dyDescent="0.25">
      <c r="A112" s="1" t="s">
        <v>24</v>
      </c>
      <c r="B112" s="1"/>
      <c r="C112" s="1" t="s">
        <v>99</v>
      </c>
      <c r="D112">
        <v>9524</v>
      </c>
      <c r="E112" s="1"/>
      <c r="F112" s="1" t="s">
        <v>248</v>
      </c>
      <c r="G112">
        <v>2009</v>
      </c>
      <c r="H112">
        <v>354205.72</v>
      </c>
      <c r="I112">
        <v>12</v>
      </c>
      <c r="J112" s="1" t="s">
        <v>394</v>
      </c>
      <c r="K112">
        <v>0</v>
      </c>
      <c r="L112">
        <v>2899</v>
      </c>
      <c r="M112">
        <v>122.17782</v>
      </c>
      <c r="N112">
        <v>2</v>
      </c>
      <c r="O112" s="1" t="s">
        <v>569</v>
      </c>
      <c r="P112">
        <v>354205.72</v>
      </c>
      <c r="Q112">
        <v>166122.48000000001</v>
      </c>
      <c r="R112">
        <v>0</v>
      </c>
      <c r="S112" s="1" t="s">
        <v>939</v>
      </c>
      <c r="T112" s="1"/>
      <c r="U112">
        <v>354205.72</v>
      </c>
      <c r="V112">
        <v>0</v>
      </c>
      <c r="W112">
        <v>76870</v>
      </c>
    </row>
    <row r="113" spans="1:23" x14ac:dyDescent="0.25">
      <c r="A113" s="1" t="s">
        <v>24</v>
      </c>
      <c r="B113" s="1"/>
      <c r="C113" s="1" t="s">
        <v>99</v>
      </c>
      <c r="D113">
        <v>9524</v>
      </c>
      <c r="E113" s="1"/>
      <c r="F113" s="1" t="s">
        <v>248</v>
      </c>
      <c r="G113">
        <v>2008</v>
      </c>
      <c r="H113">
        <v>414339.3</v>
      </c>
      <c r="I113">
        <v>12</v>
      </c>
      <c r="J113" s="1" t="s">
        <v>394</v>
      </c>
      <c r="K113">
        <v>0</v>
      </c>
      <c r="L113">
        <v>2899</v>
      </c>
      <c r="M113">
        <v>142.91997499999999</v>
      </c>
      <c r="N113">
        <v>2</v>
      </c>
      <c r="O113" s="1" t="s">
        <v>569</v>
      </c>
      <c r="P113">
        <v>414339.3</v>
      </c>
      <c r="Q113">
        <v>194325.13</v>
      </c>
      <c r="R113">
        <v>0</v>
      </c>
      <c r="S113" s="1" t="s">
        <v>939</v>
      </c>
      <c r="T113" s="1"/>
      <c r="U113">
        <v>414339.3</v>
      </c>
      <c r="V113">
        <v>0</v>
      </c>
      <c r="W113">
        <v>76870</v>
      </c>
    </row>
    <row r="114" spans="1:23" x14ac:dyDescent="0.25">
      <c r="A114" s="1" t="s">
        <v>25</v>
      </c>
      <c r="B114" s="1"/>
      <c r="C114" s="1" t="s">
        <v>100</v>
      </c>
      <c r="D114">
        <v>10227</v>
      </c>
      <c r="E114" s="1"/>
      <c r="F114" s="1" t="s">
        <v>249</v>
      </c>
      <c r="G114">
        <v>2014</v>
      </c>
      <c r="H114">
        <v>10.54</v>
      </c>
      <c r="I114">
        <v>3</v>
      </c>
      <c r="J114" s="1" t="s">
        <v>395</v>
      </c>
      <c r="K114">
        <v>0</v>
      </c>
      <c r="L114">
        <v>260</v>
      </c>
      <c r="M114">
        <v>4.0522000000000002E-2</v>
      </c>
      <c r="N114">
        <v>3</v>
      </c>
      <c r="O114" s="1" t="s">
        <v>560</v>
      </c>
      <c r="P114">
        <v>10.54</v>
      </c>
      <c r="Q114">
        <v>8.42</v>
      </c>
      <c r="R114">
        <v>0</v>
      </c>
      <c r="S114" s="1" t="s">
        <v>575</v>
      </c>
      <c r="T114" s="1"/>
      <c r="U114">
        <v>10.536110000000001</v>
      </c>
      <c r="V114">
        <v>0</v>
      </c>
      <c r="W114">
        <v>77470</v>
      </c>
    </row>
    <row r="115" spans="1:23" x14ac:dyDescent="0.25">
      <c r="A115" s="1" t="s">
        <v>25</v>
      </c>
      <c r="B115" s="1"/>
      <c r="C115" s="1" t="s">
        <v>100</v>
      </c>
      <c r="D115">
        <v>10227</v>
      </c>
      <c r="E115" s="1"/>
      <c r="F115" s="1" t="s">
        <v>249</v>
      </c>
      <c r="G115">
        <v>2013</v>
      </c>
      <c r="H115">
        <v>32.01</v>
      </c>
      <c r="I115">
        <v>4</v>
      </c>
      <c r="J115" s="1" t="s">
        <v>395</v>
      </c>
      <c r="K115">
        <v>0</v>
      </c>
      <c r="L115">
        <v>260</v>
      </c>
      <c r="M115">
        <v>0.123068</v>
      </c>
      <c r="N115">
        <v>3</v>
      </c>
      <c r="O115" s="1" t="s">
        <v>560</v>
      </c>
      <c r="P115">
        <v>32.01</v>
      </c>
      <c r="Q115">
        <v>25.63</v>
      </c>
      <c r="R115">
        <v>0</v>
      </c>
      <c r="S115" s="1" t="s">
        <v>575</v>
      </c>
      <c r="T115" s="1"/>
      <c r="U115">
        <v>32.022880000000001</v>
      </c>
      <c r="V115">
        <v>0</v>
      </c>
      <c r="W115">
        <v>77470</v>
      </c>
    </row>
    <row r="116" spans="1:23" x14ac:dyDescent="0.25">
      <c r="A116" s="1" t="s">
        <v>25</v>
      </c>
      <c r="B116" s="1"/>
      <c r="C116" s="1" t="s">
        <v>100</v>
      </c>
      <c r="D116">
        <v>10227</v>
      </c>
      <c r="E116" s="1"/>
      <c r="F116" s="1" t="s">
        <v>249</v>
      </c>
      <c r="G116">
        <v>2012</v>
      </c>
      <c r="H116">
        <v>35.549999999999997</v>
      </c>
      <c r="I116">
        <v>5</v>
      </c>
      <c r="J116" s="1" t="s">
        <v>395</v>
      </c>
      <c r="K116">
        <v>0</v>
      </c>
      <c r="L116">
        <v>260</v>
      </c>
      <c r="M116">
        <v>0.13667799999999999</v>
      </c>
      <c r="N116">
        <v>3</v>
      </c>
      <c r="O116" s="1" t="s">
        <v>560</v>
      </c>
      <c r="P116">
        <v>35.549999999999997</v>
      </c>
      <c r="Q116">
        <v>28.46</v>
      </c>
      <c r="R116">
        <v>0</v>
      </c>
      <c r="S116" s="1" t="s">
        <v>575</v>
      </c>
      <c r="T116" s="1"/>
      <c r="U116">
        <v>35.555300000000003</v>
      </c>
      <c r="V116">
        <v>0</v>
      </c>
      <c r="W116">
        <v>77470</v>
      </c>
    </row>
    <row r="117" spans="1:23" x14ac:dyDescent="0.25">
      <c r="A117" s="1" t="s">
        <v>25</v>
      </c>
      <c r="B117" s="1"/>
      <c r="C117" s="1" t="s">
        <v>100</v>
      </c>
      <c r="D117">
        <v>10227</v>
      </c>
      <c r="E117" s="1"/>
      <c r="F117" s="1" t="s">
        <v>249</v>
      </c>
      <c r="G117">
        <v>2011</v>
      </c>
      <c r="H117">
        <v>143.41</v>
      </c>
      <c r="I117">
        <v>2</v>
      </c>
      <c r="J117" s="1" t="s">
        <v>395</v>
      </c>
      <c r="K117">
        <v>0</v>
      </c>
      <c r="L117">
        <v>260</v>
      </c>
      <c r="M117">
        <v>0.55136399999999997</v>
      </c>
      <c r="N117">
        <v>3</v>
      </c>
      <c r="O117" s="1" t="s">
        <v>560</v>
      </c>
      <c r="P117">
        <v>143.41</v>
      </c>
      <c r="Q117">
        <v>114.7</v>
      </c>
      <c r="R117">
        <v>0</v>
      </c>
      <c r="S117" s="1" t="s">
        <v>575</v>
      </c>
      <c r="T117" s="1"/>
      <c r="U117">
        <v>143.38570000000001</v>
      </c>
      <c r="V117">
        <v>0</v>
      </c>
      <c r="W117">
        <v>77470</v>
      </c>
    </row>
    <row r="118" spans="1:23" x14ac:dyDescent="0.25">
      <c r="A118" s="1" t="s">
        <v>25</v>
      </c>
      <c r="B118" s="1"/>
      <c r="C118" s="1" t="s">
        <v>100</v>
      </c>
      <c r="D118">
        <v>10227</v>
      </c>
      <c r="E118" s="1"/>
      <c r="F118" s="1" t="s">
        <v>249</v>
      </c>
      <c r="G118">
        <v>2010</v>
      </c>
      <c r="H118">
        <v>33.26</v>
      </c>
      <c r="I118">
        <v>2</v>
      </c>
      <c r="J118" s="1" t="s">
        <v>395</v>
      </c>
      <c r="K118">
        <v>0</v>
      </c>
      <c r="L118">
        <v>260</v>
      </c>
      <c r="M118">
        <v>0.12787299999999999</v>
      </c>
      <c r="N118">
        <v>3</v>
      </c>
      <c r="O118" s="1" t="s">
        <v>560</v>
      </c>
      <c r="P118">
        <v>33.26</v>
      </c>
      <c r="Q118">
        <v>26.62</v>
      </c>
      <c r="R118">
        <v>0</v>
      </c>
      <c r="S118" s="1" t="s">
        <v>575</v>
      </c>
      <c r="T118" s="1"/>
      <c r="U118">
        <v>33.23912</v>
      </c>
      <c r="V118">
        <v>0</v>
      </c>
      <c r="W118">
        <v>77470</v>
      </c>
    </row>
    <row r="119" spans="1:23" x14ac:dyDescent="0.25">
      <c r="A119" s="1" t="s">
        <v>25</v>
      </c>
      <c r="B119" s="1"/>
      <c r="C119" s="1" t="s">
        <v>100</v>
      </c>
      <c r="D119">
        <v>10227</v>
      </c>
      <c r="E119" s="1"/>
      <c r="F119" s="1" t="s">
        <v>249</v>
      </c>
      <c r="G119">
        <v>2009</v>
      </c>
      <c r="H119">
        <v>29.62</v>
      </c>
      <c r="I119">
        <v>4</v>
      </c>
      <c r="J119" s="1" t="s">
        <v>395</v>
      </c>
      <c r="K119">
        <v>0</v>
      </c>
      <c r="L119">
        <v>260</v>
      </c>
      <c r="M119">
        <v>0.11387899999999999</v>
      </c>
      <c r="N119">
        <v>3</v>
      </c>
      <c r="O119" s="1" t="s">
        <v>560</v>
      </c>
      <c r="P119">
        <v>29.62</v>
      </c>
      <c r="Q119">
        <v>23.68</v>
      </c>
      <c r="R119">
        <v>0</v>
      </c>
      <c r="S119" s="1" t="s">
        <v>575</v>
      </c>
      <c r="T119" s="1"/>
      <c r="U119">
        <v>29.61252</v>
      </c>
      <c r="V119">
        <v>0</v>
      </c>
      <c r="W119">
        <v>77470</v>
      </c>
    </row>
    <row r="120" spans="1:23" x14ac:dyDescent="0.25">
      <c r="A120" s="1" t="s">
        <v>25</v>
      </c>
      <c r="B120" s="1"/>
      <c r="C120" s="1" t="s">
        <v>100</v>
      </c>
      <c r="D120">
        <v>10227</v>
      </c>
      <c r="E120" s="1"/>
      <c r="F120" s="1" t="s">
        <v>249</v>
      </c>
      <c r="G120">
        <v>2008</v>
      </c>
      <c r="H120">
        <v>44.53</v>
      </c>
      <c r="I120">
        <v>4</v>
      </c>
      <c r="J120" s="1" t="s">
        <v>395</v>
      </c>
      <c r="K120">
        <v>0</v>
      </c>
      <c r="L120">
        <v>260</v>
      </c>
      <c r="M120">
        <v>0.17120299999999999</v>
      </c>
      <c r="N120">
        <v>3</v>
      </c>
      <c r="O120" s="1" t="s">
        <v>560</v>
      </c>
      <c r="P120">
        <v>44.53</v>
      </c>
      <c r="Q120">
        <v>35.619999999999997</v>
      </c>
      <c r="R120">
        <v>0</v>
      </c>
      <c r="S120" s="1" t="s">
        <v>575</v>
      </c>
      <c r="T120" s="1"/>
      <c r="U120">
        <v>44.516480000000001</v>
      </c>
      <c r="V120">
        <v>0</v>
      </c>
      <c r="W120">
        <v>77470</v>
      </c>
    </row>
    <row r="121" spans="1:23" x14ac:dyDescent="0.25">
      <c r="A121" s="1" t="s">
        <v>25</v>
      </c>
      <c r="B121" s="1" t="s">
        <v>44</v>
      </c>
      <c r="C121" s="1" t="s">
        <v>101</v>
      </c>
      <c r="D121">
        <v>13906</v>
      </c>
      <c r="E121" s="1" t="s">
        <v>243</v>
      </c>
      <c r="F121" s="1" t="s">
        <v>250</v>
      </c>
      <c r="G121">
        <v>2012</v>
      </c>
      <c r="H121">
        <v>1.8</v>
      </c>
      <c r="I121">
        <v>2</v>
      </c>
      <c r="J121" s="1" t="s">
        <v>396</v>
      </c>
      <c r="K121">
        <v>0</v>
      </c>
      <c r="L121">
        <v>734</v>
      </c>
      <c r="M121">
        <v>2.4510000000000001E-3</v>
      </c>
      <c r="N121">
        <v>3</v>
      </c>
      <c r="O121" s="1" t="s">
        <v>560</v>
      </c>
      <c r="P121">
        <v>1.8</v>
      </c>
      <c r="Q121">
        <v>1.45</v>
      </c>
      <c r="R121">
        <v>0</v>
      </c>
      <c r="S121" s="1" t="s">
        <v>576</v>
      </c>
      <c r="T121" s="1"/>
      <c r="U121">
        <v>1.8</v>
      </c>
      <c r="V121">
        <v>0</v>
      </c>
      <c r="W121">
        <v>92372</v>
      </c>
    </row>
    <row r="122" spans="1:23" x14ac:dyDescent="0.25">
      <c r="A122" s="1" t="s">
        <v>25</v>
      </c>
      <c r="B122" s="1" t="s">
        <v>45</v>
      </c>
      <c r="C122" s="1" t="s">
        <v>102</v>
      </c>
      <c r="D122">
        <v>13363</v>
      </c>
      <c r="E122" s="1" t="s">
        <v>243</v>
      </c>
      <c r="F122" s="1" t="s">
        <v>102</v>
      </c>
      <c r="G122">
        <v>2012</v>
      </c>
      <c r="H122">
        <v>0</v>
      </c>
      <c r="I122">
        <v>1</v>
      </c>
      <c r="J122" s="1" t="s">
        <v>397</v>
      </c>
      <c r="K122">
        <v>0</v>
      </c>
      <c r="L122">
        <v>87</v>
      </c>
      <c r="M122">
        <v>0</v>
      </c>
      <c r="N122">
        <v>3</v>
      </c>
      <c r="O122" s="1" t="s">
        <v>560</v>
      </c>
      <c r="P122">
        <v>0</v>
      </c>
      <c r="Q122">
        <v>0</v>
      </c>
      <c r="R122">
        <v>0</v>
      </c>
      <c r="S122" s="1" t="s">
        <v>577</v>
      </c>
      <c r="T122" s="1"/>
      <c r="U122">
        <v>0</v>
      </c>
      <c r="V122">
        <v>0</v>
      </c>
      <c r="W122">
        <v>89460</v>
      </c>
    </row>
    <row r="123" spans="1:23" x14ac:dyDescent="0.25">
      <c r="A123" s="1" t="s">
        <v>25</v>
      </c>
      <c r="B123" s="1" t="s">
        <v>45</v>
      </c>
      <c r="C123" s="1" t="s">
        <v>102</v>
      </c>
      <c r="D123">
        <v>13363</v>
      </c>
      <c r="E123" s="1" t="s">
        <v>243</v>
      </c>
      <c r="F123" s="1" t="s">
        <v>102</v>
      </c>
      <c r="G123">
        <v>2011</v>
      </c>
      <c r="H123">
        <v>0</v>
      </c>
      <c r="I123">
        <v>4</v>
      </c>
      <c r="J123" s="1" t="s">
        <v>397</v>
      </c>
      <c r="K123">
        <v>0</v>
      </c>
      <c r="L123">
        <v>87</v>
      </c>
      <c r="M123">
        <v>0</v>
      </c>
      <c r="N123">
        <v>3</v>
      </c>
      <c r="O123" s="1" t="s">
        <v>560</v>
      </c>
      <c r="P123">
        <v>0</v>
      </c>
      <c r="Q123">
        <v>0</v>
      </c>
      <c r="R123">
        <v>0</v>
      </c>
      <c r="S123" s="1" t="s">
        <v>577</v>
      </c>
      <c r="T123" s="1"/>
      <c r="U123">
        <v>0</v>
      </c>
      <c r="V123">
        <v>0</v>
      </c>
      <c r="W123">
        <v>89460</v>
      </c>
    </row>
    <row r="124" spans="1:23" x14ac:dyDescent="0.25">
      <c r="A124" s="1" t="s">
        <v>25</v>
      </c>
      <c r="B124" s="1"/>
      <c r="C124" s="1" t="s">
        <v>103</v>
      </c>
      <c r="D124">
        <v>10322</v>
      </c>
      <c r="E124" s="1"/>
      <c r="F124" s="1" t="s">
        <v>251</v>
      </c>
      <c r="G124">
        <v>2014</v>
      </c>
      <c r="H124">
        <v>5.74</v>
      </c>
      <c r="I124">
        <v>3</v>
      </c>
      <c r="J124" s="1" t="s">
        <v>395</v>
      </c>
      <c r="K124">
        <v>0</v>
      </c>
      <c r="L124">
        <v>98</v>
      </c>
      <c r="M124">
        <v>5.8511000000000001E-2</v>
      </c>
      <c r="N124">
        <v>3</v>
      </c>
      <c r="O124" s="1" t="s">
        <v>560</v>
      </c>
      <c r="P124">
        <v>5.74</v>
      </c>
      <c r="Q124">
        <v>4.59</v>
      </c>
      <c r="R124">
        <v>0</v>
      </c>
      <c r="S124" s="1" t="s">
        <v>578</v>
      </c>
      <c r="T124" s="1"/>
      <c r="U124">
        <v>5.7430000000000003</v>
      </c>
      <c r="V124">
        <v>0</v>
      </c>
      <c r="W124">
        <v>77813</v>
      </c>
    </row>
    <row r="125" spans="1:23" x14ac:dyDescent="0.25">
      <c r="A125" s="1" t="s">
        <v>25</v>
      </c>
      <c r="B125" s="1"/>
      <c r="C125" s="1" t="s">
        <v>103</v>
      </c>
      <c r="D125">
        <v>10322</v>
      </c>
      <c r="E125" s="1"/>
      <c r="F125" s="1" t="s">
        <v>251</v>
      </c>
      <c r="G125">
        <v>2013</v>
      </c>
      <c r="H125">
        <v>20.3</v>
      </c>
      <c r="I125">
        <v>7</v>
      </c>
      <c r="J125" s="1" t="s">
        <v>395</v>
      </c>
      <c r="K125">
        <v>0</v>
      </c>
      <c r="L125">
        <v>98</v>
      </c>
      <c r="M125">
        <v>0.206931</v>
      </c>
      <c r="N125">
        <v>3</v>
      </c>
      <c r="O125" s="1" t="s">
        <v>560</v>
      </c>
      <c r="P125">
        <v>20.3</v>
      </c>
      <c r="Q125">
        <v>16.25</v>
      </c>
      <c r="R125">
        <v>0</v>
      </c>
      <c r="S125" s="1" t="s">
        <v>578</v>
      </c>
      <c r="T125" s="1"/>
      <c r="U125">
        <v>20.30256</v>
      </c>
      <c r="V125">
        <v>0</v>
      </c>
      <c r="W125">
        <v>77813</v>
      </c>
    </row>
    <row r="126" spans="1:23" x14ac:dyDescent="0.25">
      <c r="A126" s="1" t="s">
        <v>25</v>
      </c>
      <c r="B126" s="1"/>
      <c r="C126" s="1" t="s">
        <v>103</v>
      </c>
      <c r="D126">
        <v>10322</v>
      </c>
      <c r="E126" s="1"/>
      <c r="F126" s="1" t="s">
        <v>251</v>
      </c>
      <c r="G126">
        <v>2012</v>
      </c>
      <c r="H126">
        <v>104.68</v>
      </c>
      <c r="I126">
        <v>4</v>
      </c>
      <c r="J126" s="1" t="s">
        <v>395</v>
      </c>
      <c r="K126">
        <v>0</v>
      </c>
      <c r="L126">
        <v>98</v>
      </c>
      <c r="M126">
        <v>1.0670740000000001</v>
      </c>
      <c r="N126">
        <v>3</v>
      </c>
      <c r="O126" s="1" t="s">
        <v>560</v>
      </c>
      <c r="P126">
        <v>104.68</v>
      </c>
      <c r="Q126">
        <v>83.74</v>
      </c>
      <c r="R126">
        <v>0</v>
      </c>
      <c r="S126" s="1" t="s">
        <v>578</v>
      </c>
      <c r="T126" s="1"/>
      <c r="U126">
        <v>104.69745</v>
      </c>
      <c r="V126">
        <v>0</v>
      </c>
      <c r="W126">
        <v>77813</v>
      </c>
    </row>
    <row r="127" spans="1:23" x14ac:dyDescent="0.25">
      <c r="A127" s="1" t="s">
        <v>25</v>
      </c>
      <c r="B127" s="1"/>
      <c r="C127" s="1" t="s">
        <v>103</v>
      </c>
      <c r="D127">
        <v>10322</v>
      </c>
      <c r="E127" s="1"/>
      <c r="F127" s="1" t="s">
        <v>251</v>
      </c>
      <c r="G127">
        <v>2011</v>
      </c>
      <c r="H127">
        <v>136.97999999999999</v>
      </c>
      <c r="I127">
        <v>4</v>
      </c>
      <c r="J127" s="1" t="s">
        <v>395</v>
      </c>
      <c r="K127">
        <v>0</v>
      </c>
      <c r="L127">
        <v>98</v>
      </c>
      <c r="M127">
        <v>1.3963300000000001</v>
      </c>
      <c r="N127">
        <v>3</v>
      </c>
      <c r="O127" s="1" t="s">
        <v>560</v>
      </c>
      <c r="P127">
        <v>136.97999999999999</v>
      </c>
      <c r="Q127">
        <v>109.56</v>
      </c>
      <c r="R127">
        <v>0</v>
      </c>
      <c r="S127" s="1" t="s">
        <v>578</v>
      </c>
      <c r="T127" s="1"/>
      <c r="U127">
        <v>137.00002000000001</v>
      </c>
      <c r="V127">
        <v>0</v>
      </c>
      <c r="W127">
        <v>77813</v>
      </c>
    </row>
    <row r="128" spans="1:23" x14ac:dyDescent="0.25">
      <c r="A128" s="1" t="s">
        <v>25</v>
      </c>
      <c r="B128" s="1"/>
      <c r="C128" s="1" t="s">
        <v>103</v>
      </c>
      <c r="D128">
        <v>10322</v>
      </c>
      <c r="E128" s="1"/>
      <c r="F128" s="1" t="s">
        <v>251</v>
      </c>
      <c r="G128">
        <v>2010</v>
      </c>
      <c r="H128">
        <v>41.76</v>
      </c>
      <c r="I128">
        <v>3</v>
      </c>
      <c r="J128" s="1" t="s">
        <v>395</v>
      </c>
      <c r="K128">
        <v>0</v>
      </c>
      <c r="L128">
        <v>98</v>
      </c>
      <c r="M128">
        <v>0.42568800000000001</v>
      </c>
      <c r="N128">
        <v>3</v>
      </c>
      <c r="O128" s="1" t="s">
        <v>560</v>
      </c>
      <c r="P128">
        <v>41.76</v>
      </c>
      <c r="Q128">
        <v>33.42</v>
      </c>
      <c r="R128">
        <v>0</v>
      </c>
      <c r="S128" s="1" t="s">
        <v>578</v>
      </c>
      <c r="T128" s="1"/>
      <c r="U128">
        <v>41.76858</v>
      </c>
      <c r="V128">
        <v>0</v>
      </c>
      <c r="W128">
        <v>77813</v>
      </c>
    </row>
    <row r="129" spans="1:23" x14ac:dyDescent="0.25">
      <c r="A129" s="1" t="s">
        <v>25</v>
      </c>
      <c r="B129" s="1"/>
      <c r="C129" s="1" t="s">
        <v>103</v>
      </c>
      <c r="D129">
        <v>10322</v>
      </c>
      <c r="E129" s="1"/>
      <c r="F129" s="1" t="s">
        <v>251</v>
      </c>
      <c r="G129">
        <v>2009</v>
      </c>
      <c r="H129">
        <v>9.8699999999999992</v>
      </c>
      <c r="I129">
        <v>3</v>
      </c>
      <c r="J129" s="1" t="s">
        <v>395</v>
      </c>
      <c r="K129">
        <v>0</v>
      </c>
      <c r="L129">
        <v>98</v>
      </c>
      <c r="M129">
        <v>0.10061100000000001</v>
      </c>
      <c r="N129">
        <v>3</v>
      </c>
      <c r="O129" s="1" t="s">
        <v>560</v>
      </c>
      <c r="P129">
        <v>9.8699999999999992</v>
      </c>
      <c r="Q129">
        <v>7.89</v>
      </c>
      <c r="R129">
        <v>0</v>
      </c>
      <c r="S129" s="1" t="s">
        <v>578</v>
      </c>
      <c r="T129" s="1"/>
      <c r="U129">
        <v>9.8697199999999992</v>
      </c>
      <c r="V129">
        <v>0</v>
      </c>
      <c r="W129">
        <v>77813</v>
      </c>
    </row>
    <row r="130" spans="1:23" x14ac:dyDescent="0.25">
      <c r="A130" s="1" t="s">
        <v>25</v>
      </c>
      <c r="B130" s="1"/>
      <c r="C130" s="1" t="s">
        <v>103</v>
      </c>
      <c r="D130">
        <v>10322</v>
      </c>
      <c r="E130" s="1"/>
      <c r="F130" s="1" t="s">
        <v>251</v>
      </c>
      <c r="G130">
        <v>2008</v>
      </c>
      <c r="H130">
        <v>12.82</v>
      </c>
      <c r="I130">
        <v>3</v>
      </c>
      <c r="J130" s="1" t="s">
        <v>395</v>
      </c>
      <c r="K130">
        <v>0</v>
      </c>
      <c r="L130">
        <v>98</v>
      </c>
      <c r="M130">
        <v>0.13068199999999999</v>
      </c>
      <c r="N130">
        <v>3</v>
      </c>
      <c r="O130" s="1" t="s">
        <v>560</v>
      </c>
      <c r="P130">
        <v>12.82</v>
      </c>
      <c r="Q130">
        <v>10.27</v>
      </c>
      <c r="R130">
        <v>0</v>
      </c>
      <c r="S130" s="1" t="s">
        <v>578</v>
      </c>
      <c r="T130" s="1"/>
      <c r="U130">
        <v>12.820729999999999</v>
      </c>
      <c r="V130">
        <v>0</v>
      </c>
      <c r="W130">
        <v>77813</v>
      </c>
    </row>
    <row r="131" spans="1:23" x14ac:dyDescent="0.25">
      <c r="A131" s="1" t="s">
        <v>25</v>
      </c>
      <c r="B131" s="1"/>
      <c r="C131" s="1" t="s">
        <v>104</v>
      </c>
      <c r="D131">
        <v>10171</v>
      </c>
      <c r="E131" s="1"/>
      <c r="F131" s="1" t="s">
        <v>252</v>
      </c>
      <c r="G131">
        <v>2015</v>
      </c>
      <c r="H131">
        <v>1.6</v>
      </c>
      <c r="I131">
        <v>5</v>
      </c>
      <c r="J131" s="1" t="s">
        <v>398</v>
      </c>
      <c r="K131">
        <v>0</v>
      </c>
      <c r="L131">
        <v>353</v>
      </c>
      <c r="M131">
        <v>4.5310000000000003E-3</v>
      </c>
      <c r="N131">
        <v>3</v>
      </c>
      <c r="O131" s="1" t="s">
        <v>560</v>
      </c>
      <c r="P131">
        <v>1.6</v>
      </c>
      <c r="Q131">
        <v>1.28</v>
      </c>
      <c r="R131">
        <v>0</v>
      </c>
      <c r="S131" s="1" t="s">
        <v>579</v>
      </c>
      <c r="T131" s="1"/>
      <c r="U131">
        <v>1.6</v>
      </c>
      <c r="V131">
        <v>0</v>
      </c>
      <c r="W131">
        <v>77186</v>
      </c>
    </row>
    <row r="132" spans="1:23" x14ac:dyDescent="0.25">
      <c r="A132" s="1" t="s">
        <v>25</v>
      </c>
      <c r="B132" s="1"/>
      <c r="C132" s="1" t="s">
        <v>104</v>
      </c>
      <c r="D132">
        <v>10171</v>
      </c>
      <c r="E132" s="1"/>
      <c r="F132" s="1" t="s">
        <v>252</v>
      </c>
      <c r="G132">
        <v>2014</v>
      </c>
      <c r="H132">
        <v>61.8</v>
      </c>
      <c r="I132">
        <v>12</v>
      </c>
      <c r="J132" s="1" t="s">
        <v>398</v>
      </c>
      <c r="K132">
        <v>0</v>
      </c>
      <c r="L132">
        <v>353</v>
      </c>
      <c r="M132">
        <v>0.17502100000000001</v>
      </c>
      <c r="N132">
        <v>3</v>
      </c>
      <c r="O132" s="1" t="s">
        <v>560</v>
      </c>
      <c r="P132">
        <v>61.8</v>
      </c>
      <c r="Q132">
        <v>49.44</v>
      </c>
      <c r="R132">
        <v>0</v>
      </c>
      <c r="S132" s="1" t="s">
        <v>579</v>
      </c>
      <c r="T132" s="1"/>
      <c r="U132">
        <v>61.8</v>
      </c>
      <c r="V132">
        <v>0</v>
      </c>
      <c r="W132">
        <v>77186</v>
      </c>
    </row>
    <row r="133" spans="1:23" x14ac:dyDescent="0.25">
      <c r="A133" s="1" t="s">
        <v>25</v>
      </c>
      <c r="B133" s="1"/>
      <c r="C133" s="1" t="s">
        <v>104</v>
      </c>
      <c r="D133">
        <v>10171</v>
      </c>
      <c r="E133" s="1"/>
      <c r="F133" s="1" t="s">
        <v>252</v>
      </c>
      <c r="G133">
        <v>2013</v>
      </c>
      <c r="H133">
        <v>18.3</v>
      </c>
      <c r="I133">
        <v>12</v>
      </c>
      <c r="J133" s="1" t="s">
        <v>398</v>
      </c>
      <c r="K133">
        <v>0</v>
      </c>
      <c r="L133">
        <v>353</v>
      </c>
      <c r="M133">
        <v>5.1825999999999997E-2</v>
      </c>
      <c r="N133">
        <v>3</v>
      </c>
      <c r="O133" s="1" t="s">
        <v>560</v>
      </c>
      <c r="P133">
        <v>18.3</v>
      </c>
      <c r="Q133">
        <v>14.64</v>
      </c>
      <c r="R133">
        <v>0</v>
      </c>
      <c r="S133" s="1" t="s">
        <v>579</v>
      </c>
      <c r="T133" s="1"/>
      <c r="U133">
        <v>18.3</v>
      </c>
      <c r="V133">
        <v>0</v>
      </c>
      <c r="W133">
        <v>77186</v>
      </c>
    </row>
    <row r="134" spans="1:23" x14ac:dyDescent="0.25">
      <c r="A134" s="1" t="s">
        <v>25</v>
      </c>
      <c r="B134" s="1"/>
      <c r="C134" s="1" t="s">
        <v>104</v>
      </c>
      <c r="D134">
        <v>10171</v>
      </c>
      <c r="E134" s="1"/>
      <c r="F134" s="1" t="s">
        <v>252</v>
      </c>
      <c r="G134">
        <v>2012</v>
      </c>
      <c r="H134">
        <v>310.10000000000002</v>
      </c>
      <c r="I134">
        <v>12</v>
      </c>
      <c r="J134" s="1" t="s">
        <v>398</v>
      </c>
      <c r="K134">
        <v>0</v>
      </c>
      <c r="L134">
        <v>353</v>
      </c>
      <c r="M134">
        <v>0.87822100000000003</v>
      </c>
      <c r="N134">
        <v>3</v>
      </c>
      <c r="O134" s="1" t="s">
        <v>560</v>
      </c>
      <c r="P134">
        <v>310.10000000000002</v>
      </c>
      <c r="Q134">
        <v>248.08</v>
      </c>
      <c r="R134">
        <v>0</v>
      </c>
      <c r="S134" s="1" t="s">
        <v>579</v>
      </c>
      <c r="T134" s="1"/>
      <c r="U134">
        <v>310.10000000000002</v>
      </c>
      <c r="V134">
        <v>0</v>
      </c>
      <c r="W134">
        <v>77186</v>
      </c>
    </row>
    <row r="135" spans="1:23" x14ac:dyDescent="0.25">
      <c r="A135" s="1" t="s">
        <v>25</v>
      </c>
      <c r="B135" s="1"/>
      <c r="C135" s="1" t="s">
        <v>104</v>
      </c>
      <c r="D135">
        <v>10171</v>
      </c>
      <c r="E135" s="1"/>
      <c r="F135" s="1" t="s">
        <v>252</v>
      </c>
      <c r="G135">
        <v>2011</v>
      </c>
      <c r="H135">
        <v>166.98</v>
      </c>
      <c r="I135">
        <v>7</v>
      </c>
      <c r="J135" s="1" t="s">
        <v>398</v>
      </c>
      <c r="K135">
        <v>0</v>
      </c>
      <c r="L135">
        <v>353</v>
      </c>
      <c r="M135">
        <v>0.47289700000000001</v>
      </c>
      <c r="N135">
        <v>3</v>
      </c>
      <c r="O135" s="1" t="s">
        <v>560</v>
      </c>
      <c r="P135">
        <v>166.98</v>
      </c>
      <c r="Q135">
        <v>133.58000000000001</v>
      </c>
      <c r="R135">
        <v>0</v>
      </c>
      <c r="S135" s="1" t="s">
        <v>579</v>
      </c>
      <c r="T135" s="1"/>
      <c r="U135">
        <v>166.98177000000001</v>
      </c>
      <c r="V135">
        <v>0</v>
      </c>
      <c r="W135">
        <v>77186</v>
      </c>
    </row>
    <row r="136" spans="1:23" x14ac:dyDescent="0.25">
      <c r="A136" s="1" t="s">
        <v>25</v>
      </c>
      <c r="B136" s="1"/>
      <c r="C136" s="1" t="s">
        <v>104</v>
      </c>
      <c r="D136">
        <v>10171</v>
      </c>
      <c r="E136" s="1"/>
      <c r="F136" s="1" t="s">
        <v>252</v>
      </c>
      <c r="G136">
        <v>2010</v>
      </c>
      <c r="H136">
        <v>159.57</v>
      </c>
      <c r="I136">
        <v>2</v>
      </c>
      <c r="J136" s="1" t="s">
        <v>398</v>
      </c>
      <c r="K136">
        <v>0</v>
      </c>
      <c r="L136">
        <v>353</v>
      </c>
      <c r="M136">
        <v>0.45191100000000001</v>
      </c>
      <c r="N136">
        <v>3</v>
      </c>
      <c r="O136" s="1" t="s">
        <v>560</v>
      </c>
      <c r="P136">
        <v>159.57</v>
      </c>
      <c r="Q136">
        <v>127.65</v>
      </c>
      <c r="R136">
        <v>0</v>
      </c>
      <c r="S136" s="1" t="s">
        <v>579</v>
      </c>
      <c r="T136" s="1"/>
      <c r="U136">
        <v>159.56614999999999</v>
      </c>
      <c r="V136">
        <v>0</v>
      </c>
      <c r="W136">
        <v>77186</v>
      </c>
    </row>
    <row r="137" spans="1:23" x14ac:dyDescent="0.25">
      <c r="A137" s="1" t="s">
        <v>25</v>
      </c>
      <c r="B137" s="1"/>
      <c r="C137" s="1" t="s">
        <v>104</v>
      </c>
      <c r="D137">
        <v>10171</v>
      </c>
      <c r="E137" s="1"/>
      <c r="F137" s="1" t="s">
        <v>252</v>
      </c>
      <c r="G137">
        <v>2009</v>
      </c>
      <c r="H137">
        <v>73.989999999999995</v>
      </c>
      <c r="I137">
        <v>3</v>
      </c>
      <c r="J137" s="1" t="s">
        <v>398</v>
      </c>
      <c r="K137">
        <v>0</v>
      </c>
      <c r="L137">
        <v>353</v>
      </c>
      <c r="M137">
        <v>0.20954400000000001</v>
      </c>
      <c r="N137">
        <v>3</v>
      </c>
      <c r="O137" s="1" t="s">
        <v>560</v>
      </c>
      <c r="P137">
        <v>73.989999999999995</v>
      </c>
      <c r="Q137">
        <v>59.22</v>
      </c>
      <c r="R137">
        <v>0</v>
      </c>
      <c r="S137" s="1" t="s">
        <v>579</v>
      </c>
      <c r="T137" s="1"/>
      <c r="U137">
        <v>74.006619999999998</v>
      </c>
      <c r="V137">
        <v>0</v>
      </c>
      <c r="W137">
        <v>77186</v>
      </c>
    </row>
    <row r="138" spans="1:23" x14ac:dyDescent="0.25">
      <c r="A138" s="1" t="s">
        <v>25</v>
      </c>
      <c r="B138" s="1"/>
      <c r="C138" s="1" t="s">
        <v>104</v>
      </c>
      <c r="D138">
        <v>10171</v>
      </c>
      <c r="E138" s="1"/>
      <c r="F138" s="1" t="s">
        <v>252</v>
      </c>
      <c r="G138">
        <v>2008</v>
      </c>
      <c r="H138">
        <v>84</v>
      </c>
      <c r="I138">
        <v>4</v>
      </c>
      <c r="J138" s="1" t="s">
        <v>398</v>
      </c>
      <c r="K138">
        <v>0</v>
      </c>
      <c r="L138">
        <v>353</v>
      </c>
      <c r="M138">
        <v>0.23789199999999999</v>
      </c>
      <c r="N138">
        <v>3</v>
      </c>
      <c r="O138" s="1" t="s">
        <v>560</v>
      </c>
      <c r="P138">
        <v>84</v>
      </c>
      <c r="Q138">
        <v>67.2</v>
      </c>
      <c r="R138">
        <v>0</v>
      </c>
      <c r="S138" s="1" t="s">
        <v>579</v>
      </c>
      <c r="T138" s="1"/>
      <c r="U138">
        <v>83.998260000000002</v>
      </c>
      <c r="V138">
        <v>0</v>
      </c>
      <c r="W138">
        <v>77186</v>
      </c>
    </row>
    <row r="139" spans="1:23" x14ac:dyDescent="0.25">
      <c r="A139" s="1" t="s">
        <v>25</v>
      </c>
      <c r="B139" s="1"/>
      <c r="C139" s="1" t="s">
        <v>105</v>
      </c>
      <c r="D139">
        <v>10203</v>
      </c>
      <c r="E139" s="1"/>
      <c r="F139" s="1" t="s">
        <v>253</v>
      </c>
      <c r="G139">
        <v>2011</v>
      </c>
      <c r="H139">
        <v>0</v>
      </c>
      <c r="I139">
        <v>7</v>
      </c>
      <c r="J139" s="1" t="s">
        <v>399</v>
      </c>
      <c r="K139">
        <v>0</v>
      </c>
      <c r="L139">
        <v>178</v>
      </c>
      <c r="M139">
        <v>0</v>
      </c>
      <c r="N139">
        <v>3</v>
      </c>
      <c r="O139" s="1" t="s">
        <v>560</v>
      </c>
      <c r="P139">
        <v>0</v>
      </c>
      <c r="Q139">
        <v>0</v>
      </c>
      <c r="R139">
        <v>0</v>
      </c>
      <c r="S139" s="1" t="s">
        <v>577</v>
      </c>
      <c r="T139" s="1"/>
      <c r="U139">
        <v>0</v>
      </c>
      <c r="V139">
        <v>0</v>
      </c>
      <c r="W139">
        <v>77384</v>
      </c>
    </row>
    <row r="140" spans="1:23" x14ac:dyDescent="0.25">
      <c r="A140" s="1" t="s">
        <v>25</v>
      </c>
      <c r="B140" s="1"/>
      <c r="C140" s="1" t="s">
        <v>105</v>
      </c>
      <c r="D140">
        <v>10203</v>
      </c>
      <c r="E140" s="1"/>
      <c r="F140" s="1" t="s">
        <v>253</v>
      </c>
      <c r="G140">
        <v>2010</v>
      </c>
      <c r="H140">
        <v>1.0900000000000001</v>
      </c>
      <c r="I140">
        <v>11</v>
      </c>
      <c r="J140" s="1" t="s">
        <v>399</v>
      </c>
      <c r="K140">
        <v>0</v>
      </c>
      <c r="L140">
        <v>178</v>
      </c>
      <c r="M140">
        <v>6.1199999999999996E-3</v>
      </c>
      <c r="N140">
        <v>3</v>
      </c>
      <c r="O140" s="1" t="s">
        <v>560</v>
      </c>
      <c r="P140">
        <v>1.0900000000000001</v>
      </c>
      <c r="Q140">
        <v>0.87</v>
      </c>
      <c r="R140">
        <v>0</v>
      </c>
      <c r="S140" s="1" t="s">
        <v>577</v>
      </c>
      <c r="T140" s="1"/>
      <c r="U140">
        <v>1.08571</v>
      </c>
      <c r="V140">
        <v>0</v>
      </c>
      <c r="W140">
        <v>77384</v>
      </c>
    </row>
    <row r="141" spans="1:23" x14ac:dyDescent="0.25">
      <c r="A141" s="1" t="s">
        <v>25</v>
      </c>
      <c r="B141" s="1"/>
      <c r="C141" s="1" t="s">
        <v>105</v>
      </c>
      <c r="D141">
        <v>10203</v>
      </c>
      <c r="E141" s="1"/>
      <c r="F141" s="1" t="s">
        <v>253</v>
      </c>
      <c r="G141">
        <v>2009</v>
      </c>
      <c r="H141">
        <v>88.73</v>
      </c>
      <c r="I141">
        <v>11</v>
      </c>
      <c r="J141" s="1" t="s">
        <v>399</v>
      </c>
      <c r="K141">
        <v>0</v>
      </c>
      <c r="L141">
        <v>178</v>
      </c>
      <c r="M141">
        <v>0.49820300000000001</v>
      </c>
      <c r="N141">
        <v>3</v>
      </c>
      <c r="O141" s="1" t="s">
        <v>560</v>
      </c>
      <c r="P141">
        <v>88.73</v>
      </c>
      <c r="Q141">
        <v>70.98</v>
      </c>
      <c r="R141">
        <v>0</v>
      </c>
      <c r="S141" s="1" t="s">
        <v>577</v>
      </c>
      <c r="T141" s="1"/>
      <c r="U141">
        <v>88.720730000000003</v>
      </c>
      <c r="V141">
        <v>0</v>
      </c>
      <c r="W141">
        <v>77384</v>
      </c>
    </row>
    <row r="142" spans="1:23" x14ac:dyDescent="0.25">
      <c r="A142" s="1" t="s">
        <v>25</v>
      </c>
      <c r="B142" s="1"/>
      <c r="C142" s="1" t="s">
        <v>105</v>
      </c>
      <c r="D142">
        <v>10203</v>
      </c>
      <c r="E142" s="1"/>
      <c r="F142" s="1" t="s">
        <v>253</v>
      </c>
      <c r="G142">
        <v>2008</v>
      </c>
      <c r="H142">
        <v>93.14</v>
      </c>
      <c r="I142">
        <v>9</v>
      </c>
      <c r="J142" s="1" t="s">
        <v>399</v>
      </c>
      <c r="K142">
        <v>0</v>
      </c>
      <c r="L142">
        <v>178</v>
      </c>
      <c r="M142">
        <v>0.52296399999999998</v>
      </c>
      <c r="N142">
        <v>3</v>
      </c>
      <c r="O142" s="1" t="s">
        <v>560</v>
      </c>
      <c r="P142">
        <v>93.14</v>
      </c>
      <c r="Q142">
        <v>74.510000000000005</v>
      </c>
      <c r="R142">
        <v>0</v>
      </c>
      <c r="S142" s="1" t="s">
        <v>577</v>
      </c>
      <c r="T142" s="1"/>
      <c r="U142">
        <v>93.149600000000007</v>
      </c>
      <c r="V142">
        <v>0</v>
      </c>
      <c r="W142">
        <v>77384</v>
      </c>
    </row>
    <row r="143" spans="1:23" x14ac:dyDescent="0.25">
      <c r="A143" s="1" t="s">
        <v>25</v>
      </c>
      <c r="B143" s="1"/>
      <c r="C143" s="1" t="s">
        <v>100</v>
      </c>
      <c r="D143">
        <v>10227</v>
      </c>
      <c r="E143" s="1"/>
      <c r="F143" s="1" t="s">
        <v>249</v>
      </c>
      <c r="G143">
        <v>2014</v>
      </c>
      <c r="H143">
        <v>29516.400000000001</v>
      </c>
      <c r="I143">
        <v>3</v>
      </c>
      <c r="J143" s="1" t="s">
        <v>395</v>
      </c>
      <c r="K143">
        <v>0</v>
      </c>
      <c r="L143">
        <v>260</v>
      </c>
      <c r="M143">
        <v>113.480968</v>
      </c>
      <c r="N143">
        <v>1</v>
      </c>
      <c r="O143" s="1" t="s">
        <v>564</v>
      </c>
      <c r="P143">
        <v>36421.730000000003</v>
      </c>
      <c r="Q143">
        <v>7702.52</v>
      </c>
      <c r="R143">
        <v>0</v>
      </c>
      <c r="S143" s="1" t="s">
        <v>754</v>
      </c>
      <c r="T143" s="1" t="s">
        <v>1182</v>
      </c>
      <c r="U143">
        <v>2732.9999899999998</v>
      </c>
      <c r="V143">
        <v>0</v>
      </c>
      <c r="W143">
        <v>77471</v>
      </c>
    </row>
    <row r="144" spans="1:23" x14ac:dyDescent="0.25">
      <c r="A144" s="1" t="s">
        <v>25</v>
      </c>
      <c r="B144" s="1"/>
      <c r="C144" s="1" t="s">
        <v>100</v>
      </c>
      <c r="D144">
        <v>10227</v>
      </c>
      <c r="E144" s="1"/>
      <c r="F144" s="1" t="s">
        <v>249</v>
      </c>
      <c r="G144">
        <v>2013</v>
      </c>
      <c r="H144">
        <v>50828.77</v>
      </c>
      <c r="I144">
        <v>5</v>
      </c>
      <c r="J144" s="1" t="s">
        <v>395</v>
      </c>
      <c r="K144">
        <v>0</v>
      </c>
      <c r="L144">
        <v>260</v>
      </c>
      <c r="M144">
        <v>195.420107</v>
      </c>
      <c r="N144">
        <v>1</v>
      </c>
      <c r="O144" s="1" t="s">
        <v>564</v>
      </c>
      <c r="P144">
        <v>61144.6</v>
      </c>
      <c r="Q144">
        <v>12930.93</v>
      </c>
      <c r="R144">
        <v>0</v>
      </c>
      <c r="S144" s="1" t="s">
        <v>754</v>
      </c>
      <c r="T144" s="1" t="s">
        <v>1182</v>
      </c>
      <c r="U144">
        <v>4706.3654999999999</v>
      </c>
      <c r="V144">
        <v>0</v>
      </c>
      <c r="W144">
        <v>77471</v>
      </c>
    </row>
    <row r="145" spans="1:23" x14ac:dyDescent="0.25">
      <c r="A145" s="1" t="s">
        <v>25</v>
      </c>
      <c r="B145" s="1"/>
      <c r="C145" s="1" t="s">
        <v>100</v>
      </c>
      <c r="D145">
        <v>10227</v>
      </c>
      <c r="E145" s="1"/>
      <c r="F145" s="1" t="s">
        <v>249</v>
      </c>
      <c r="G145">
        <v>2012</v>
      </c>
      <c r="H145">
        <v>47993.08</v>
      </c>
      <c r="I145">
        <v>2</v>
      </c>
      <c r="J145" s="1" t="s">
        <v>395</v>
      </c>
      <c r="K145">
        <v>0</v>
      </c>
      <c r="L145">
        <v>260</v>
      </c>
      <c r="M145">
        <v>184.51779999999999</v>
      </c>
      <c r="N145">
        <v>1</v>
      </c>
      <c r="O145" s="1" t="s">
        <v>564</v>
      </c>
      <c r="P145">
        <v>53153.47</v>
      </c>
      <c r="Q145">
        <v>11240.98</v>
      </c>
      <c r="R145">
        <v>0</v>
      </c>
      <c r="S145" s="1" t="s">
        <v>754</v>
      </c>
      <c r="T145" s="1" t="s">
        <v>1182</v>
      </c>
      <c r="U145">
        <v>4443.80375</v>
      </c>
      <c r="V145">
        <v>0</v>
      </c>
      <c r="W145">
        <v>77471</v>
      </c>
    </row>
    <row r="146" spans="1:23" x14ac:dyDescent="0.25">
      <c r="A146" s="1" t="s">
        <v>25</v>
      </c>
      <c r="B146" s="1"/>
      <c r="C146" s="1" t="s">
        <v>100</v>
      </c>
      <c r="D146">
        <v>10227</v>
      </c>
      <c r="E146" s="1"/>
      <c r="F146" s="1" t="s">
        <v>249</v>
      </c>
      <c r="G146">
        <v>2011</v>
      </c>
      <c r="H146">
        <v>56080.76</v>
      </c>
      <c r="I146">
        <v>2</v>
      </c>
      <c r="J146" s="1" t="s">
        <v>395</v>
      </c>
      <c r="K146">
        <v>0</v>
      </c>
      <c r="L146">
        <v>260</v>
      </c>
      <c r="M146">
        <v>215.612302</v>
      </c>
      <c r="N146">
        <v>1</v>
      </c>
      <c r="O146" s="1" t="s">
        <v>564</v>
      </c>
      <c r="P146">
        <v>65695.839999999997</v>
      </c>
      <c r="Q146">
        <v>13893.44</v>
      </c>
      <c r="R146">
        <v>0</v>
      </c>
      <c r="S146" s="1" t="s">
        <v>754</v>
      </c>
      <c r="T146" s="1" t="s">
        <v>1182</v>
      </c>
      <c r="U146">
        <v>5192.6641099999997</v>
      </c>
      <c r="V146">
        <v>0</v>
      </c>
      <c r="W146">
        <v>77471</v>
      </c>
    </row>
    <row r="147" spans="1:23" x14ac:dyDescent="0.25">
      <c r="A147" s="1" t="s">
        <v>25</v>
      </c>
      <c r="B147" s="1"/>
      <c r="C147" s="1" t="s">
        <v>100</v>
      </c>
      <c r="D147">
        <v>10227</v>
      </c>
      <c r="E147" s="1"/>
      <c r="F147" s="1" t="s">
        <v>249</v>
      </c>
      <c r="G147">
        <v>2010</v>
      </c>
      <c r="H147">
        <v>60873.49</v>
      </c>
      <c r="I147">
        <v>3</v>
      </c>
      <c r="J147" s="1" t="s">
        <v>395</v>
      </c>
      <c r="K147">
        <v>0</v>
      </c>
      <c r="L147">
        <v>260</v>
      </c>
      <c r="M147">
        <v>234.038792</v>
      </c>
      <c r="N147">
        <v>1</v>
      </c>
      <c r="O147" s="1" t="s">
        <v>564</v>
      </c>
      <c r="P147">
        <v>68251.62</v>
      </c>
      <c r="Q147">
        <v>14433.96</v>
      </c>
      <c r="R147">
        <v>0</v>
      </c>
      <c r="S147" s="1" t="s">
        <v>754</v>
      </c>
      <c r="T147" s="1" t="s">
        <v>1182</v>
      </c>
      <c r="U147">
        <v>5636.4326099999998</v>
      </c>
      <c r="V147">
        <v>0</v>
      </c>
      <c r="W147">
        <v>77471</v>
      </c>
    </row>
    <row r="148" spans="1:23" x14ac:dyDescent="0.25">
      <c r="A148" s="1" t="s">
        <v>25</v>
      </c>
      <c r="B148" s="1"/>
      <c r="C148" s="1" t="s">
        <v>100</v>
      </c>
      <c r="D148">
        <v>10227</v>
      </c>
      <c r="E148" s="1"/>
      <c r="F148" s="1" t="s">
        <v>249</v>
      </c>
      <c r="G148">
        <v>2009</v>
      </c>
      <c r="H148">
        <v>54911.44</v>
      </c>
      <c r="I148">
        <v>4</v>
      </c>
      <c r="J148" s="1" t="s">
        <v>395</v>
      </c>
      <c r="K148">
        <v>0</v>
      </c>
      <c r="L148">
        <v>260</v>
      </c>
      <c r="M148">
        <v>211.116647</v>
      </c>
      <c r="N148">
        <v>1</v>
      </c>
      <c r="O148" s="1" t="s">
        <v>564</v>
      </c>
      <c r="P148">
        <v>66555.77</v>
      </c>
      <c r="Q148">
        <v>14075.32</v>
      </c>
      <c r="R148">
        <v>0</v>
      </c>
      <c r="S148" s="1" t="s">
        <v>754</v>
      </c>
      <c r="T148" s="1" t="s">
        <v>1182</v>
      </c>
      <c r="U148">
        <v>5084.3933900000002</v>
      </c>
      <c r="V148">
        <v>0</v>
      </c>
      <c r="W148">
        <v>77471</v>
      </c>
    </row>
    <row r="149" spans="1:23" x14ac:dyDescent="0.25">
      <c r="A149" s="1" t="s">
        <v>25</v>
      </c>
      <c r="B149" s="1"/>
      <c r="C149" s="1" t="s">
        <v>100</v>
      </c>
      <c r="D149">
        <v>10227</v>
      </c>
      <c r="E149" s="1"/>
      <c r="F149" s="1" t="s">
        <v>249</v>
      </c>
      <c r="G149">
        <v>2008</v>
      </c>
      <c r="H149">
        <v>47155.65</v>
      </c>
      <c r="I149">
        <v>4</v>
      </c>
      <c r="J149" s="1" t="s">
        <v>395</v>
      </c>
      <c r="K149">
        <v>0</v>
      </c>
      <c r="L149">
        <v>260</v>
      </c>
      <c r="M149">
        <v>181.29815400000001</v>
      </c>
      <c r="N149">
        <v>1</v>
      </c>
      <c r="O149" s="1" t="s">
        <v>564</v>
      </c>
      <c r="P149">
        <v>54583.7</v>
      </c>
      <c r="Q149">
        <v>11543.45</v>
      </c>
      <c r="R149">
        <v>0</v>
      </c>
      <c r="S149" s="1" t="s">
        <v>754</v>
      </c>
      <c r="T149" s="1" t="s">
        <v>1182</v>
      </c>
      <c r="U149">
        <v>4366.2637299999997</v>
      </c>
      <c r="V149">
        <v>0</v>
      </c>
      <c r="W149">
        <v>77471</v>
      </c>
    </row>
    <row r="150" spans="1:23" x14ac:dyDescent="0.25">
      <c r="A150" s="1" t="s">
        <v>25</v>
      </c>
      <c r="B150" s="1" t="s">
        <v>45</v>
      </c>
      <c r="C150" s="1" t="s">
        <v>102</v>
      </c>
      <c r="D150">
        <v>13363</v>
      </c>
      <c r="E150" s="1" t="s">
        <v>243</v>
      </c>
      <c r="F150" s="1" t="s">
        <v>102</v>
      </c>
      <c r="G150">
        <v>2012</v>
      </c>
      <c r="H150">
        <v>7.25</v>
      </c>
      <c r="I150">
        <v>2</v>
      </c>
      <c r="J150" s="1" t="s">
        <v>463</v>
      </c>
      <c r="K150">
        <v>0</v>
      </c>
      <c r="L150">
        <v>87</v>
      </c>
      <c r="M150">
        <v>8.3237000000000005E-2</v>
      </c>
      <c r="N150">
        <v>1</v>
      </c>
      <c r="O150" s="1" t="s">
        <v>564</v>
      </c>
      <c r="P150">
        <v>7.7</v>
      </c>
      <c r="Q150">
        <v>1.63</v>
      </c>
      <c r="R150">
        <v>0</v>
      </c>
      <c r="S150" s="1" t="s">
        <v>577</v>
      </c>
      <c r="T150" s="1"/>
      <c r="U150">
        <v>0.67098000000000002</v>
      </c>
      <c r="V150">
        <v>0</v>
      </c>
      <c r="W150">
        <v>89461</v>
      </c>
    </row>
    <row r="151" spans="1:23" x14ac:dyDescent="0.25">
      <c r="A151" s="1" t="s">
        <v>25</v>
      </c>
      <c r="B151" s="1" t="s">
        <v>45</v>
      </c>
      <c r="C151" s="1" t="s">
        <v>102</v>
      </c>
      <c r="D151">
        <v>13363</v>
      </c>
      <c r="E151" s="1" t="s">
        <v>243</v>
      </c>
      <c r="F151" s="1" t="s">
        <v>102</v>
      </c>
      <c r="G151">
        <v>2011</v>
      </c>
      <c r="H151">
        <v>0</v>
      </c>
      <c r="I151">
        <v>4</v>
      </c>
      <c r="J151" s="1" t="s">
        <v>463</v>
      </c>
      <c r="K151">
        <v>0</v>
      </c>
      <c r="L151">
        <v>87</v>
      </c>
      <c r="M151">
        <v>0</v>
      </c>
      <c r="N151">
        <v>1</v>
      </c>
      <c r="O151" s="1" t="s">
        <v>564</v>
      </c>
      <c r="P151">
        <v>0</v>
      </c>
      <c r="Q151">
        <v>0</v>
      </c>
      <c r="R151">
        <v>0</v>
      </c>
      <c r="S151" s="1" t="s">
        <v>577</v>
      </c>
      <c r="T151" s="1"/>
      <c r="U151">
        <v>0</v>
      </c>
      <c r="V151">
        <v>0</v>
      </c>
      <c r="W151">
        <v>89461</v>
      </c>
    </row>
    <row r="152" spans="1:23" x14ac:dyDescent="0.25">
      <c r="A152" s="1" t="s">
        <v>25</v>
      </c>
      <c r="B152" s="1"/>
      <c r="C152" s="1" t="s">
        <v>103</v>
      </c>
      <c r="D152">
        <v>10322</v>
      </c>
      <c r="E152" s="1"/>
      <c r="F152" s="1" t="s">
        <v>251</v>
      </c>
      <c r="G152">
        <v>2015</v>
      </c>
      <c r="H152">
        <v>1165.55</v>
      </c>
      <c r="I152">
        <v>1</v>
      </c>
      <c r="J152" s="1" t="s">
        <v>418</v>
      </c>
      <c r="K152">
        <v>0</v>
      </c>
      <c r="L152">
        <v>98</v>
      </c>
      <c r="M152">
        <v>11.881243</v>
      </c>
      <c r="N152">
        <v>1</v>
      </c>
      <c r="O152" s="1" t="s">
        <v>564</v>
      </c>
      <c r="P152">
        <v>1165.55</v>
      </c>
      <c r="Q152">
        <v>246.49</v>
      </c>
      <c r="R152">
        <v>0</v>
      </c>
      <c r="S152" s="1" t="s">
        <v>755</v>
      </c>
      <c r="T152" s="1" t="s">
        <v>1183</v>
      </c>
      <c r="U152">
        <v>107.92157</v>
      </c>
      <c r="V152">
        <v>0</v>
      </c>
      <c r="W152">
        <v>77814</v>
      </c>
    </row>
    <row r="153" spans="1:23" x14ac:dyDescent="0.25">
      <c r="A153" s="1" t="s">
        <v>25</v>
      </c>
      <c r="B153" s="1"/>
      <c r="C153" s="1" t="s">
        <v>103</v>
      </c>
      <c r="D153">
        <v>10322</v>
      </c>
      <c r="E153" s="1"/>
      <c r="F153" s="1" t="s">
        <v>251</v>
      </c>
      <c r="G153">
        <v>2014</v>
      </c>
      <c r="H153">
        <v>18810.32</v>
      </c>
      <c r="I153">
        <v>4</v>
      </c>
      <c r="J153" s="1" t="s">
        <v>418</v>
      </c>
      <c r="K153">
        <v>0</v>
      </c>
      <c r="L153">
        <v>98</v>
      </c>
      <c r="M153">
        <v>191.74638100000001</v>
      </c>
      <c r="N153">
        <v>1</v>
      </c>
      <c r="O153" s="1" t="s">
        <v>564</v>
      </c>
      <c r="P153">
        <v>18810.32</v>
      </c>
      <c r="Q153">
        <v>3978.04</v>
      </c>
      <c r="R153">
        <v>0</v>
      </c>
      <c r="S153" s="1" t="s">
        <v>755</v>
      </c>
      <c r="T153" s="1" t="s">
        <v>1183</v>
      </c>
      <c r="U153">
        <v>1741.69606</v>
      </c>
      <c r="V153">
        <v>0</v>
      </c>
      <c r="W153">
        <v>77814</v>
      </c>
    </row>
    <row r="154" spans="1:23" x14ac:dyDescent="0.25">
      <c r="A154" s="1" t="s">
        <v>25</v>
      </c>
      <c r="B154" s="1"/>
      <c r="C154" s="1" t="s">
        <v>103</v>
      </c>
      <c r="D154">
        <v>10322</v>
      </c>
      <c r="E154" s="1"/>
      <c r="F154" s="1" t="s">
        <v>251</v>
      </c>
      <c r="G154">
        <v>2013</v>
      </c>
      <c r="H154">
        <v>21829.77</v>
      </c>
      <c r="I154">
        <v>9</v>
      </c>
      <c r="J154" s="1" t="s">
        <v>418</v>
      </c>
      <c r="K154">
        <v>0</v>
      </c>
      <c r="L154">
        <v>98</v>
      </c>
      <c r="M154">
        <v>222.525688</v>
      </c>
      <c r="N154">
        <v>1</v>
      </c>
      <c r="O154" s="1" t="s">
        <v>564</v>
      </c>
      <c r="P154">
        <v>21829.77</v>
      </c>
      <c r="Q154">
        <v>4616.6000000000004</v>
      </c>
      <c r="R154">
        <v>0</v>
      </c>
      <c r="S154" s="1" t="s">
        <v>755</v>
      </c>
      <c r="T154" s="1" t="s">
        <v>1183</v>
      </c>
      <c r="U154">
        <v>2021.2750599999999</v>
      </c>
      <c r="V154">
        <v>0</v>
      </c>
      <c r="W154">
        <v>77814</v>
      </c>
    </row>
    <row r="155" spans="1:23" x14ac:dyDescent="0.25">
      <c r="A155" s="1" t="s">
        <v>25</v>
      </c>
      <c r="B155" s="1"/>
      <c r="C155" s="1" t="s">
        <v>103</v>
      </c>
      <c r="D155">
        <v>10322</v>
      </c>
      <c r="E155" s="1"/>
      <c r="F155" s="1" t="s">
        <v>251</v>
      </c>
      <c r="G155">
        <v>2012</v>
      </c>
      <c r="H155">
        <v>18274.759999999998</v>
      </c>
      <c r="I155">
        <v>5</v>
      </c>
      <c r="J155" s="1" t="s">
        <v>418</v>
      </c>
      <c r="K155">
        <v>0</v>
      </c>
      <c r="L155">
        <v>98</v>
      </c>
      <c r="M155">
        <v>186.28705400000001</v>
      </c>
      <c r="N155">
        <v>1</v>
      </c>
      <c r="O155" s="1" t="s">
        <v>564</v>
      </c>
      <c r="P155">
        <v>18274.759999999998</v>
      </c>
      <c r="Q155">
        <v>3864.79</v>
      </c>
      <c r="R155">
        <v>0</v>
      </c>
      <c r="S155" s="1" t="s">
        <v>755</v>
      </c>
      <c r="T155" s="1" t="s">
        <v>1183</v>
      </c>
      <c r="U155">
        <v>1692.1073100000001</v>
      </c>
      <c r="V155">
        <v>0</v>
      </c>
      <c r="W155">
        <v>77814</v>
      </c>
    </row>
    <row r="156" spans="1:23" x14ac:dyDescent="0.25">
      <c r="A156" s="1" t="s">
        <v>25</v>
      </c>
      <c r="B156" s="1"/>
      <c r="C156" s="1" t="s">
        <v>103</v>
      </c>
      <c r="D156">
        <v>10322</v>
      </c>
      <c r="E156" s="1"/>
      <c r="F156" s="1" t="s">
        <v>251</v>
      </c>
      <c r="G156">
        <v>2011</v>
      </c>
      <c r="H156">
        <v>25826.39</v>
      </c>
      <c r="I156">
        <v>4</v>
      </c>
      <c r="J156" s="1" t="s">
        <v>418</v>
      </c>
      <c r="K156">
        <v>0</v>
      </c>
      <c r="L156">
        <v>98</v>
      </c>
      <c r="M156">
        <v>263.26595300000002</v>
      </c>
      <c r="N156">
        <v>1</v>
      </c>
      <c r="O156" s="1" t="s">
        <v>564</v>
      </c>
      <c r="P156">
        <v>25826.39</v>
      </c>
      <c r="Q156">
        <v>5461.8</v>
      </c>
      <c r="R156">
        <v>0</v>
      </c>
      <c r="S156" s="1" t="s">
        <v>755</v>
      </c>
      <c r="T156" s="1" t="s">
        <v>1183</v>
      </c>
      <c r="U156">
        <v>2391.3333200000002</v>
      </c>
      <c r="V156">
        <v>0</v>
      </c>
      <c r="W156">
        <v>77814</v>
      </c>
    </row>
    <row r="157" spans="1:23" x14ac:dyDescent="0.25">
      <c r="A157" s="1" t="s">
        <v>25</v>
      </c>
      <c r="B157" s="1"/>
      <c r="C157" s="1" t="s">
        <v>103</v>
      </c>
      <c r="D157">
        <v>10322</v>
      </c>
      <c r="E157" s="1"/>
      <c r="F157" s="1" t="s">
        <v>251</v>
      </c>
      <c r="G157">
        <v>2010</v>
      </c>
      <c r="H157">
        <v>23583.66</v>
      </c>
      <c r="I157">
        <v>5</v>
      </c>
      <c r="J157" s="1" t="s">
        <v>418</v>
      </c>
      <c r="K157">
        <v>0</v>
      </c>
      <c r="L157">
        <v>98</v>
      </c>
      <c r="M157">
        <v>240.404281</v>
      </c>
      <c r="N157">
        <v>1</v>
      </c>
      <c r="O157" s="1" t="s">
        <v>564</v>
      </c>
      <c r="P157">
        <v>23583.66</v>
      </c>
      <c r="Q157">
        <v>4987.5200000000004</v>
      </c>
      <c r="R157">
        <v>0</v>
      </c>
      <c r="S157" s="1" t="s">
        <v>755</v>
      </c>
      <c r="T157" s="1" t="s">
        <v>1183</v>
      </c>
      <c r="U157">
        <v>2183.6735600000002</v>
      </c>
      <c r="V157">
        <v>0</v>
      </c>
      <c r="W157">
        <v>77814</v>
      </c>
    </row>
    <row r="158" spans="1:23" x14ac:dyDescent="0.25">
      <c r="A158" s="1" t="s">
        <v>25</v>
      </c>
      <c r="B158" s="1"/>
      <c r="C158" s="1" t="s">
        <v>103</v>
      </c>
      <c r="D158">
        <v>10322</v>
      </c>
      <c r="E158" s="1"/>
      <c r="F158" s="1" t="s">
        <v>251</v>
      </c>
      <c r="G158">
        <v>2009</v>
      </c>
      <c r="H158">
        <v>24604.799999999999</v>
      </c>
      <c r="I158">
        <v>3</v>
      </c>
      <c r="J158" s="1" t="s">
        <v>418</v>
      </c>
      <c r="K158">
        <v>0</v>
      </c>
      <c r="L158">
        <v>98</v>
      </c>
      <c r="M158">
        <v>250.813455</v>
      </c>
      <c r="N158">
        <v>1</v>
      </c>
      <c r="O158" s="1" t="s">
        <v>564</v>
      </c>
      <c r="P158">
        <v>24604.799999999999</v>
      </c>
      <c r="Q158">
        <v>5203.4799999999996</v>
      </c>
      <c r="R158">
        <v>0</v>
      </c>
      <c r="S158" s="1" t="s">
        <v>755</v>
      </c>
      <c r="T158" s="1" t="s">
        <v>1183</v>
      </c>
      <c r="U158">
        <v>2278.2238699999998</v>
      </c>
      <c r="V158">
        <v>0</v>
      </c>
      <c r="W158">
        <v>77814</v>
      </c>
    </row>
    <row r="159" spans="1:23" x14ac:dyDescent="0.25">
      <c r="A159" s="1" t="s">
        <v>25</v>
      </c>
      <c r="B159" s="1"/>
      <c r="C159" s="1" t="s">
        <v>103</v>
      </c>
      <c r="D159">
        <v>10322</v>
      </c>
      <c r="E159" s="1"/>
      <c r="F159" s="1" t="s">
        <v>251</v>
      </c>
      <c r="G159">
        <v>2008</v>
      </c>
      <c r="H159">
        <v>21404.97</v>
      </c>
      <c r="I159">
        <v>4</v>
      </c>
      <c r="J159" s="1" t="s">
        <v>418</v>
      </c>
      <c r="K159">
        <v>0</v>
      </c>
      <c r="L159">
        <v>98</v>
      </c>
      <c r="M159">
        <v>218.195412</v>
      </c>
      <c r="N159">
        <v>1</v>
      </c>
      <c r="O159" s="1" t="s">
        <v>564</v>
      </c>
      <c r="P159">
        <v>21404.97</v>
      </c>
      <c r="Q159">
        <v>4526.76</v>
      </c>
      <c r="R159">
        <v>0</v>
      </c>
      <c r="S159" s="1" t="s">
        <v>755</v>
      </c>
      <c r="T159" s="1" t="s">
        <v>1183</v>
      </c>
      <c r="U159">
        <v>1981.94235</v>
      </c>
      <c r="V159">
        <v>0</v>
      </c>
      <c r="W159">
        <v>77814</v>
      </c>
    </row>
    <row r="160" spans="1:23" x14ac:dyDescent="0.25">
      <c r="A160" s="1" t="s">
        <v>25</v>
      </c>
      <c r="B160" s="1"/>
      <c r="C160" s="1" t="s">
        <v>105</v>
      </c>
      <c r="D160">
        <v>10203</v>
      </c>
      <c r="E160" s="1"/>
      <c r="F160" s="1" t="s">
        <v>253</v>
      </c>
      <c r="G160">
        <v>2011</v>
      </c>
      <c r="H160">
        <v>4311.17</v>
      </c>
      <c r="I160">
        <v>7</v>
      </c>
      <c r="J160" s="1" t="s">
        <v>399</v>
      </c>
      <c r="K160">
        <v>0</v>
      </c>
      <c r="L160">
        <v>178</v>
      </c>
      <c r="M160">
        <v>24.206457</v>
      </c>
      <c r="N160">
        <v>1</v>
      </c>
      <c r="O160" s="1" t="s">
        <v>565</v>
      </c>
      <c r="P160">
        <v>5440.35</v>
      </c>
      <c r="Q160">
        <v>1006.47</v>
      </c>
      <c r="R160">
        <v>0</v>
      </c>
      <c r="S160" s="1" t="s">
        <v>756</v>
      </c>
      <c r="T160" s="1"/>
      <c r="U160">
        <v>4.3111699999999997</v>
      </c>
      <c r="V160">
        <v>0</v>
      </c>
      <c r="W160">
        <v>77385</v>
      </c>
    </row>
    <row r="161" spans="1:23" x14ac:dyDescent="0.25">
      <c r="A161" s="1" t="s">
        <v>25</v>
      </c>
      <c r="B161" s="1"/>
      <c r="C161" s="1" t="s">
        <v>105</v>
      </c>
      <c r="D161">
        <v>10203</v>
      </c>
      <c r="E161" s="1"/>
      <c r="F161" s="1" t="s">
        <v>253</v>
      </c>
      <c r="G161">
        <v>2010</v>
      </c>
      <c r="H161">
        <v>17437.16</v>
      </c>
      <c r="I161">
        <v>11</v>
      </c>
      <c r="J161" s="1" t="s">
        <v>399</v>
      </c>
      <c r="K161">
        <v>0</v>
      </c>
      <c r="L161">
        <v>178</v>
      </c>
      <c r="M161">
        <v>97.906569000000005</v>
      </c>
      <c r="N161">
        <v>1</v>
      </c>
      <c r="O161" s="1" t="s">
        <v>565</v>
      </c>
      <c r="P161">
        <v>16376.77</v>
      </c>
      <c r="Q161">
        <v>3029.68</v>
      </c>
      <c r="R161">
        <v>0</v>
      </c>
      <c r="S161" s="1" t="s">
        <v>756</v>
      </c>
      <c r="T161" s="1"/>
      <c r="U161">
        <v>17.437159999999999</v>
      </c>
      <c r="V161">
        <v>0</v>
      </c>
      <c r="W161">
        <v>77385</v>
      </c>
    </row>
    <row r="162" spans="1:23" x14ac:dyDescent="0.25">
      <c r="A162" s="1" t="s">
        <v>25</v>
      </c>
      <c r="B162" s="1"/>
      <c r="C162" s="1" t="s">
        <v>105</v>
      </c>
      <c r="D162">
        <v>10203</v>
      </c>
      <c r="E162" s="1"/>
      <c r="F162" s="1" t="s">
        <v>253</v>
      </c>
      <c r="G162">
        <v>2009</v>
      </c>
      <c r="H162">
        <v>20048.61</v>
      </c>
      <c r="I162">
        <v>11</v>
      </c>
      <c r="J162" s="1" t="s">
        <v>399</v>
      </c>
      <c r="K162">
        <v>0</v>
      </c>
      <c r="L162">
        <v>178</v>
      </c>
      <c r="M162">
        <v>112.569399</v>
      </c>
      <c r="N162">
        <v>1</v>
      </c>
      <c r="O162" s="1" t="s">
        <v>565</v>
      </c>
      <c r="P162">
        <v>21192.63</v>
      </c>
      <c r="Q162">
        <v>3920.64</v>
      </c>
      <c r="R162">
        <v>0</v>
      </c>
      <c r="S162" s="1" t="s">
        <v>756</v>
      </c>
      <c r="T162" s="1"/>
      <c r="U162">
        <v>20.04861</v>
      </c>
      <c r="V162">
        <v>0</v>
      </c>
      <c r="W162">
        <v>77385</v>
      </c>
    </row>
    <row r="163" spans="1:23" x14ac:dyDescent="0.25">
      <c r="A163" s="1" t="s">
        <v>25</v>
      </c>
      <c r="B163" s="1"/>
      <c r="C163" s="1" t="s">
        <v>105</v>
      </c>
      <c r="D163">
        <v>10203</v>
      </c>
      <c r="E163" s="1"/>
      <c r="F163" s="1" t="s">
        <v>253</v>
      </c>
      <c r="G163">
        <v>2008</v>
      </c>
      <c r="H163">
        <v>18532.240000000002</v>
      </c>
      <c r="I163">
        <v>9</v>
      </c>
      <c r="J163" s="1" t="s">
        <v>399</v>
      </c>
      <c r="K163">
        <v>0</v>
      </c>
      <c r="L163">
        <v>178</v>
      </c>
      <c r="M163">
        <v>104.055249</v>
      </c>
      <c r="N163">
        <v>1</v>
      </c>
      <c r="O163" s="1" t="s">
        <v>565</v>
      </c>
      <c r="P163">
        <v>21271.77</v>
      </c>
      <c r="Q163">
        <v>3935.25</v>
      </c>
      <c r="R163">
        <v>0</v>
      </c>
      <c r="S163" s="1" t="s">
        <v>756</v>
      </c>
      <c r="T163" s="1"/>
      <c r="U163">
        <v>18.532240000000002</v>
      </c>
      <c r="V163">
        <v>0</v>
      </c>
      <c r="W163">
        <v>77385</v>
      </c>
    </row>
    <row r="164" spans="1:23" x14ac:dyDescent="0.25">
      <c r="A164" s="1" t="s">
        <v>25</v>
      </c>
      <c r="B164" s="1"/>
      <c r="C164" s="1" t="s">
        <v>100</v>
      </c>
      <c r="D164">
        <v>10227</v>
      </c>
      <c r="E164" s="1"/>
      <c r="F164" s="1" t="s">
        <v>249</v>
      </c>
      <c r="G164">
        <v>2014</v>
      </c>
      <c r="H164">
        <v>2345.9</v>
      </c>
      <c r="I164">
        <v>3</v>
      </c>
      <c r="J164" s="1" t="s">
        <v>395</v>
      </c>
      <c r="K164">
        <v>0</v>
      </c>
      <c r="L164">
        <v>260</v>
      </c>
      <c r="M164">
        <v>9.0192230000000002</v>
      </c>
      <c r="N164">
        <v>2</v>
      </c>
      <c r="O164" s="1" t="s">
        <v>569</v>
      </c>
      <c r="P164">
        <v>2345.9</v>
      </c>
      <c r="Q164">
        <v>703.75</v>
      </c>
      <c r="R164">
        <v>0</v>
      </c>
      <c r="S164" s="1" t="s">
        <v>940</v>
      </c>
      <c r="T164" s="1" t="s">
        <v>1234</v>
      </c>
      <c r="U164">
        <v>2345.9117500000002</v>
      </c>
      <c r="V164">
        <v>0</v>
      </c>
      <c r="W164">
        <v>77469</v>
      </c>
    </row>
    <row r="165" spans="1:23" x14ac:dyDescent="0.25">
      <c r="A165" s="1" t="s">
        <v>25</v>
      </c>
      <c r="B165" s="1"/>
      <c r="C165" s="1" t="s">
        <v>100</v>
      </c>
      <c r="D165">
        <v>10227</v>
      </c>
      <c r="E165" s="1"/>
      <c r="F165" s="1" t="s">
        <v>249</v>
      </c>
      <c r="G165">
        <v>2013</v>
      </c>
      <c r="H165">
        <v>4947.6400000000003</v>
      </c>
      <c r="I165">
        <v>6</v>
      </c>
      <c r="J165" s="1" t="s">
        <v>395</v>
      </c>
      <c r="K165">
        <v>0</v>
      </c>
      <c r="L165">
        <v>260</v>
      </c>
      <c r="M165">
        <v>19.022068000000001</v>
      </c>
      <c r="N165">
        <v>2</v>
      </c>
      <c r="O165" s="1" t="s">
        <v>569</v>
      </c>
      <c r="P165">
        <v>4947.6400000000003</v>
      </c>
      <c r="Q165">
        <v>1484.28</v>
      </c>
      <c r="R165">
        <v>0</v>
      </c>
      <c r="S165" s="1" t="s">
        <v>940</v>
      </c>
      <c r="T165" s="1" t="s">
        <v>1234</v>
      </c>
      <c r="U165">
        <v>4947.6596799999998</v>
      </c>
      <c r="V165">
        <v>0</v>
      </c>
      <c r="W165">
        <v>77469</v>
      </c>
    </row>
    <row r="166" spans="1:23" x14ac:dyDescent="0.25">
      <c r="A166" s="1" t="s">
        <v>25</v>
      </c>
      <c r="B166" s="1"/>
      <c r="C166" s="1" t="s">
        <v>100</v>
      </c>
      <c r="D166">
        <v>10227</v>
      </c>
      <c r="E166" s="1"/>
      <c r="F166" s="1" t="s">
        <v>249</v>
      </c>
      <c r="G166">
        <v>2012</v>
      </c>
      <c r="H166">
        <v>5290.14</v>
      </c>
      <c r="I166">
        <v>5</v>
      </c>
      <c r="J166" s="1" t="s">
        <v>395</v>
      </c>
      <c r="K166">
        <v>0</v>
      </c>
      <c r="L166">
        <v>260</v>
      </c>
      <c r="M166">
        <v>20.338868999999999</v>
      </c>
      <c r="N166">
        <v>2</v>
      </c>
      <c r="O166" s="1" t="s">
        <v>569</v>
      </c>
      <c r="P166">
        <v>5290.14</v>
      </c>
      <c r="Q166">
        <v>2116.0500000000002</v>
      </c>
      <c r="R166">
        <v>0</v>
      </c>
      <c r="S166" s="1" t="s">
        <v>940</v>
      </c>
      <c r="T166" s="1" t="s">
        <v>1234</v>
      </c>
      <c r="U166">
        <v>5290.1428699999997</v>
      </c>
      <c r="V166">
        <v>0</v>
      </c>
      <c r="W166">
        <v>77469</v>
      </c>
    </row>
    <row r="167" spans="1:23" x14ac:dyDescent="0.25">
      <c r="A167" s="1" t="s">
        <v>25</v>
      </c>
      <c r="B167" s="1"/>
      <c r="C167" s="1" t="s">
        <v>100</v>
      </c>
      <c r="D167">
        <v>10227</v>
      </c>
      <c r="E167" s="1"/>
      <c r="F167" s="1" t="s">
        <v>249</v>
      </c>
      <c r="G167">
        <v>2011</v>
      </c>
      <c r="H167">
        <v>4853.62</v>
      </c>
      <c r="I167">
        <v>5</v>
      </c>
      <c r="J167" s="1" t="s">
        <v>395</v>
      </c>
      <c r="K167">
        <v>0</v>
      </c>
      <c r="L167">
        <v>260</v>
      </c>
      <c r="M167">
        <v>18.660592000000001</v>
      </c>
      <c r="N167">
        <v>2</v>
      </c>
      <c r="O167" s="1" t="s">
        <v>569</v>
      </c>
      <c r="P167">
        <v>4853.62</v>
      </c>
      <c r="Q167">
        <v>2276.33</v>
      </c>
      <c r="R167">
        <v>0</v>
      </c>
      <c r="S167" s="1" t="s">
        <v>940</v>
      </c>
      <c r="T167" s="1" t="s">
        <v>1234</v>
      </c>
      <c r="U167">
        <v>4853.6190399999996</v>
      </c>
      <c r="V167">
        <v>0</v>
      </c>
      <c r="W167">
        <v>77469</v>
      </c>
    </row>
    <row r="168" spans="1:23" x14ac:dyDescent="0.25">
      <c r="A168" s="1" t="s">
        <v>25</v>
      </c>
      <c r="B168" s="1"/>
      <c r="C168" s="1" t="s">
        <v>100</v>
      </c>
      <c r="D168">
        <v>10227</v>
      </c>
      <c r="E168" s="1"/>
      <c r="F168" s="1" t="s">
        <v>249</v>
      </c>
      <c r="G168">
        <v>2010</v>
      </c>
      <c r="H168">
        <v>5893.82</v>
      </c>
      <c r="I168">
        <v>3</v>
      </c>
      <c r="J168" s="1" t="s">
        <v>395</v>
      </c>
      <c r="K168">
        <v>0</v>
      </c>
      <c r="L168">
        <v>260</v>
      </c>
      <c r="M168">
        <v>22.659822999999999</v>
      </c>
      <c r="N168">
        <v>2</v>
      </c>
      <c r="O168" s="1" t="s">
        <v>569</v>
      </c>
      <c r="P168">
        <v>5893.82</v>
      </c>
      <c r="Q168">
        <v>2764.17</v>
      </c>
      <c r="R168">
        <v>0</v>
      </c>
      <c r="S168" s="1" t="s">
        <v>940</v>
      </c>
      <c r="T168" s="1" t="s">
        <v>1234</v>
      </c>
      <c r="U168">
        <v>5893.7943299999997</v>
      </c>
      <c r="V168">
        <v>0</v>
      </c>
      <c r="W168">
        <v>77469</v>
      </c>
    </row>
    <row r="169" spans="1:23" x14ac:dyDescent="0.25">
      <c r="A169" s="1" t="s">
        <v>25</v>
      </c>
      <c r="B169" s="1"/>
      <c r="C169" s="1" t="s">
        <v>100</v>
      </c>
      <c r="D169">
        <v>10227</v>
      </c>
      <c r="E169" s="1"/>
      <c r="F169" s="1" t="s">
        <v>249</v>
      </c>
      <c r="G169">
        <v>2009</v>
      </c>
      <c r="H169">
        <v>5598.54</v>
      </c>
      <c r="I169">
        <v>4</v>
      </c>
      <c r="J169" s="1" t="s">
        <v>395</v>
      </c>
      <c r="K169">
        <v>0</v>
      </c>
      <c r="L169">
        <v>260</v>
      </c>
      <c r="M169">
        <v>21.524567000000001</v>
      </c>
      <c r="N169">
        <v>2</v>
      </c>
      <c r="O169" s="1" t="s">
        <v>569</v>
      </c>
      <c r="P169">
        <v>5598.54</v>
      </c>
      <c r="Q169">
        <v>2625.73</v>
      </c>
      <c r="R169">
        <v>0</v>
      </c>
      <c r="S169" s="1" t="s">
        <v>940</v>
      </c>
      <c r="T169" s="1" t="s">
        <v>1234</v>
      </c>
      <c r="U169">
        <v>5598.5316899999998</v>
      </c>
      <c r="V169">
        <v>0</v>
      </c>
      <c r="W169">
        <v>77469</v>
      </c>
    </row>
    <row r="170" spans="1:23" x14ac:dyDescent="0.25">
      <c r="A170" s="1" t="s">
        <v>25</v>
      </c>
      <c r="B170" s="1"/>
      <c r="C170" s="1" t="s">
        <v>100</v>
      </c>
      <c r="D170">
        <v>10227</v>
      </c>
      <c r="E170" s="1"/>
      <c r="F170" s="1" t="s">
        <v>249</v>
      </c>
      <c r="G170">
        <v>2008</v>
      </c>
      <c r="H170">
        <v>4947.09</v>
      </c>
      <c r="I170">
        <v>4</v>
      </c>
      <c r="J170" s="1" t="s">
        <v>395</v>
      </c>
      <c r="K170">
        <v>0</v>
      </c>
      <c r="L170">
        <v>260</v>
      </c>
      <c r="M170">
        <v>19.019953000000001</v>
      </c>
      <c r="N170">
        <v>2</v>
      </c>
      <c r="O170" s="1" t="s">
        <v>569</v>
      </c>
      <c r="P170">
        <v>4947.09</v>
      </c>
      <c r="Q170">
        <v>2320.19</v>
      </c>
      <c r="R170">
        <v>0</v>
      </c>
      <c r="S170" s="1" t="s">
        <v>940</v>
      </c>
      <c r="T170" s="1" t="s">
        <v>1234</v>
      </c>
      <c r="U170">
        <v>4947.0878899999998</v>
      </c>
      <c r="V170">
        <v>0</v>
      </c>
      <c r="W170">
        <v>77469</v>
      </c>
    </row>
    <row r="171" spans="1:23" x14ac:dyDescent="0.25">
      <c r="A171" s="1" t="s">
        <v>25</v>
      </c>
      <c r="B171" s="1" t="s">
        <v>44</v>
      </c>
      <c r="C171" s="1" t="s">
        <v>101</v>
      </c>
      <c r="D171">
        <v>13906</v>
      </c>
      <c r="E171" s="1" t="s">
        <v>243</v>
      </c>
      <c r="F171" s="1" t="s">
        <v>250</v>
      </c>
      <c r="G171">
        <v>2013</v>
      </c>
      <c r="H171">
        <v>0</v>
      </c>
      <c r="I171">
        <v>3</v>
      </c>
      <c r="J171" s="1" t="s">
        <v>507</v>
      </c>
      <c r="K171">
        <v>0</v>
      </c>
      <c r="L171">
        <v>734</v>
      </c>
      <c r="M171">
        <v>0</v>
      </c>
      <c r="N171">
        <v>2</v>
      </c>
      <c r="O171" s="1" t="s">
        <v>569</v>
      </c>
      <c r="P171">
        <v>0</v>
      </c>
      <c r="Q171">
        <v>0</v>
      </c>
      <c r="R171">
        <v>0</v>
      </c>
      <c r="S171" s="1" t="s">
        <v>941</v>
      </c>
      <c r="T171" s="1" t="s">
        <v>1235</v>
      </c>
      <c r="U171">
        <v>0</v>
      </c>
      <c r="V171">
        <v>0</v>
      </c>
      <c r="W171">
        <v>92371</v>
      </c>
    </row>
    <row r="172" spans="1:23" x14ac:dyDescent="0.25">
      <c r="A172" s="1" t="s">
        <v>25</v>
      </c>
      <c r="B172" s="1" t="s">
        <v>44</v>
      </c>
      <c r="C172" s="1" t="s">
        <v>101</v>
      </c>
      <c r="D172">
        <v>13906</v>
      </c>
      <c r="E172" s="1" t="s">
        <v>243</v>
      </c>
      <c r="F172" s="1" t="s">
        <v>250</v>
      </c>
      <c r="G172">
        <v>2012</v>
      </c>
      <c r="H172">
        <v>51</v>
      </c>
      <c r="I172">
        <v>4</v>
      </c>
      <c r="J172" s="1" t="s">
        <v>507</v>
      </c>
      <c r="K172">
        <v>0</v>
      </c>
      <c r="L172">
        <v>734</v>
      </c>
      <c r="M172">
        <v>6.9472000000000006E-2</v>
      </c>
      <c r="N172">
        <v>2</v>
      </c>
      <c r="O172" s="1" t="s">
        <v>569</v>
      </c>
      <c r="P172">
        <v>51</v>
      </c>
      <c r="Q172">
        <v>20.399999999999999</v>
      </c>
      <c r="R172">
        <v>0</v>
      </c>
      <c r="S172" s="1" t="s">
        <v>941</v>
      </c>
      <c r="T172" s="1" t="s">
        <v>1235</v>
      </c>
      <c r="U172">
        <v>51</v>
      </c>
      <c r="V172">
        <v>0</v>
      </c>
      <c r="W172">
        <v>92371</v>
      </c>
    </row>
    <row r="173" spans="1:23" x14ac:dyDescent="0.25">
      <c r="A173" s="1" t="s">
        <v>25</v>
      </c>
      <c r="B173" s="1" t="s">
        <v>45</v>
      </c>
      <c r="C173" s="1" t="s">
        <v>102</v>
      </c>
      <c r="D173">
        <v>13363</v>
      </c>
      <c r="E173" s="1" t="s">
        <v>243</v>
      </c>
      <c r="F173" s="1" t="s">
        <v>102</v>
      </c>
      <c r="G173">
        <v>2013</v>
      </c>
      <c r="H173">
        <v>0</v>
      </c>
      <c r="I173">
        <v>1</v>
      </c>
      <c r="J173" s="1" t="s">
        <v>508</v>
      </c>
      <c r="K173">
        <v>0</v>
      </c>
      <c r="L173">
        <v>87</v>
      </c>
      <c r="M173">
        <v>0</v>
      </c>
      <c r="N173">
        <v>2</v>
      </c>
      <c r="O173" s="1" t="s">
        <v>569</v>
      </c>
      <c r="P173">
        <v>0</v>
      </c>
      <c r="Q173">
        <v>0</v>
      </c>
      <c r="R173">
        <v>0</v>
      </c>
      <c r="S173" s="1" t="s">
        <v>942</v>
      </c>
      <c r="T173" s="1" t="s">
        <v>1236</v>
      </c>
      <c r="U173">
        <v>0</v>
      </c>
      <c r="V173">
        <v>0</v>
      </c>
      <c r="W173">
        <v>89459</v>
      </c>
    </row>
    <row r="174" spans="1:23" x14ac:dyDescent="0.25">
      <c r="A174" s="1" t="s">
        <v>25</v>
      </c>
      <c r="B174" s="1" t="s">
        <v>45</v>
      </c>
      <c r="C174" s="1" t="s">
        <v>102</v>
      </c>
      <c r="D174">
        <v>13363</v>
      </c>
      <c r="E174" s="1" t="s">
        <v>243</v>
      </c>
      <c r="F174" s="1" t="s">
        <v>102</v>
      </c>
      <c r="G174">
        <v>2012</v>
      </c>
      <c r="H174">
        <v>4</v>
      </c>
      <c r="I174">
        <v>3</v>
      </c>
      <c r="J174" s="1" t="s">
        <v>508</v>
      </c>
      <c r="K174">
        <v>0</v>
      </c>
      <c r="L174">
        <v>87</v>
      </c>
      <c r="M174">
        <v>4.5924E-2</v>
      </c>
      <c r="N174">
        <v>2</v>
      </c>
      <c r="O174" s="1" t="s">
        <v>569</v>
      </c>
      <c r="P174">
        <v>4</v>
      </c>
      <c r="Q174">
        <v>1.6</v>
      </c>
      <c r="R174">
        <v>0</v>
      </c>
      <c r="S174" s="1" t="s">
        <v>942</v>
      </c>
      <c r="T174" s="1" t="s">
        <v>1236</v>
      </c>
      <c r="U174">
        <v>4</v>
      </c>
      <c r="V174">
        <v>0</v>
      </c>
      <c r="W174">
        <v>89459</v>
      </c>
    </row>
    <row r="175" spans="1:23" x14ac:dyDescent="0.25">
      <c r="A175" s="1" t="s">
        <v>25</v>
      </c>
      <c r="B175" s="1" t="s">
        <v>45</v>
      </c>
      <c r="C175" s="1" t="s">
        <v>102</v>
      </c>
      <c r="D175">
        <v>13363</v>
      </c>
      <c r="E175" s="1" t="s">
        <v>243</v>
      </c>
      <c r="F175" s="1" t="s">
        <v>102</v>
      </c>
      <c r="G175">
        <v>2011</v>
      </c>
      <c r="H175">
        <v>0</v>
      </c>
      <c r="I175">
        <v>6</v>
      </c>
      <c r="J175" s="1" t="s">
        <v>508</v>
      </c>
      <c r="K175">
        <v>0</v>
      </c>
      <c r="L175">
        <v>87</v>
      </c>
      <c r="M175">
        <v>0</v>
      </c>
      <c r="N175">
        <v>2</v>
      </c>
      <c r="O175" s="1" t="s">
        <v>569</v>
      </c>
      <c r="P175">
        <v>0</v>
      </c>
      <c r="Q175">
        <v>0</v>
      </c>
      <c r="R175">
        <v>0</v>
      </c>
      <c r="S175" s="1" t="s">
        <v>942</v>
      </c>
      <c r="T175" s="1" t="s">
        <v>1236</v>
      </c>
      <c r="U175">
        <v>0</v>
      </c>
      <c r="V175">
        <v>0</v>
      </c>
      <c r="W175">
        <v>89459</v>
      </c>
    </row>
    <row r="176" spans="1:23" x14ac:dyDescent="0.25">
      <c r="A176" s="1" t="s">
        <v>25</v>
      </c>
      <c r="B176" s="1"/>
      <c r="C176" s="1" t="s">
        <v>103</v>
      </c>
      <c r="D176">
        <v>10322</v>
      </c>
      <c r="E176" s="1"/>
      <c r="F176" s="1" t="s">
        <v>251</v>
      </c>
      <c r="G176">
        <v>2014</v>
      </c>
      <c r="H176">
        <v>1621.89</v>
      </c>
      <c r="I176">
        <v>2</v>
      </c>
      <c r="J176" s="1" t="s">
        <v>395</v>
      </c>
      <c r="K176">
        <v>0</v>
      </c>
      <c r="L176">
        <v>98</v>
      </c>
      <c r="M176">
        <v>16.533027000000001</v>
      </c>
      <c r="N176">
        <v>2</v>
      </c>
      <c r="O176" s="1" t="s">
        <v>569</v>
      </c>
      <c r="P176">
        <v>1621.89</v>
      </c>
      <c r="Q176">
        <v>486.56</v>
      </c>
      <c r="R176">
        <v>0</v>
      </c>
      <c r="S176" s="1" t="s">
        <v>943</v>
      </c>
      <c r="T176" s="1" t="s">
        <v>1237</v>
      </c>
      <c r="U176">
        <v>1621.8823600000001</v>
      </c>
      <c r="V176">
        <v>0</v>
      </c>
      <c r="W176">
        <v>77812</v>
      </c>
    </row>
    <row r="177" spans="1:23" x14ac:dyDescent="0.25">
      <c r="A177" s="1" t="s">
        <v>25</v>
      </c>
      <c r="B177" s="1"/>
      <c r="C177" s="1" t="s">
        <v>103</v>
      </c>
      <c r="D177">
        <v>10322</v>
      </c>
      <c r="E177" s="1"/>
      <c r="F177" s="1" t="s">
        <v>251</v>
      </c>
      <c r="G177">
        <v>2013</v>
      </c>
      <c r="H177">
        <v>3915.46</v>
      </c>
      <c r="I177">
        <v>7</v>
      </c>
      <c r="J177" s="1" t="s">
        <v>395</v>
      </c>
      <c r="K177">
        <v>0</v>
      </c>
      <c r="L177">
        <v>98</v>
      </c>
      <c r="M177">
        <v>39.912945000000001</v>
      </c>
      <c r="N177">
        <v>2</v>
      </c>
      <c r="O177" s="1" t="s">
        <v>569</v>
      </c>
      <c r="P177">
        <v>3915.46</v>
      </c>
      <c r="Q177">
        <v>1174.6199999999999</v>
      </c>
      <c r="R177">
        <v>0</v>
      </c>
      <c r="S177" s="1" t="s">
        <v>943</v>
      </c>
      <c r="T177" s="1" t="s">
        <v>1237</v>
      </c>
      <c r="U177">
        <v>3915.4509699999999</v>
      </c>
      <c r="V177">
        <v>0</v>
      </c>
      <c r="W177">
        <v>77812</v>
      </c>
    </row>
    <row r="178" spans="1:23" x14ac:dyDescent="0.25">
      <c r="A178" s="1" t="s">
        <v>25</v>
      </c>
      <c r="B178" s="1"/>
      <c r="C178" s="1" t="s">
        <v>103</v>
      </c>
      <c r="D178">
        <v>10322</v>
      </c>
      <c r="E178" s="1"/>
      <c r="F178" s="1" t="s">
        <v>251</v>
      </c>
      <c r="G178">
        <v>2012</v>
      </c>
      <c r="H178">
        <v>2223.39</v>
      </c>
      <c r="I178">
        <v>3</v>
      </c>
      <c r="J178" s="1" t="s">
        <v>395</v>
      </c>
      <c r="K178">
        <v>0</v>
      </c>
      <c r="L178">
        <v>98</v>
      </c>
      <c r="M178">
        <v>22.664525000000001</v>
      </c>
      <c r="N178">
        <v>2</v>
      </c>
      <c r="O178" s="1" t="s">
        <v>569</v>
      </c>
      <c r="P178">
        <v>2223.39</v>
      </c>
      <c r="Q178">
        <v>889.37</v>
      </c>
      <c r="R178">
        <v>0</v>
      </c>
      <c r="S178" s="1" t="s">
        <v>943</v>
      </c>
      <c r="T178" s="1" t="s">
        <v>1237</v>
      </c>
      <c r="U178">
        <v>2223.3939300000002</v>
      </c>
      <c r="V178">
        <v>0</v>
      </c>
      <c r="W178">
        <v>77812</v>
      </c>
    </row>
    <row r="179" spans="1:23" x14ac:dyDescent="0.25">
      <c r="A179" s="1" t="s">
        <v>25</v>
      </c>
      <c r="B179" s="1"/>
      <c r="C179" s="1" t="s">
        <v>103</v>
      </c>
      <c r="D179">
        <v>10322</v>
      </c>
      <c r="E179" s="1"/>
      <c r="F179" s="1" t="s">
        <v>251</v>
      </c>
      <c r="G179">
        <v>2011</v>
      </c>
      <c r="H179">
        <v>1638.93</v>
      </c>
      <c r="I179">
        <v>4</v>
      </c>
      <c r="J179" s="1" t="s">
        <v>395</v>
      </c>
      <c r="K179">
        <v>0</v>
      </c>
      <c r="L179">
        <v>98</v>
      </c>
      <c r="M179">
        <v>16.706727000000001</v>
      </c>
      <c r="N179">
        <v>2</v>
      </c>
      <c r="O179" s="1" t="s">
        <v>569</v>
      </c>
      <c r="P179">
        <v>1638.93</v>
      </c>
      <c r="Q179">
        <v>768.67</v>
      </c>
      <c r="R179">
        <v>0</v>
      </c>
      <c r="S179" s="1" t="s">
        <v>943</v>
      </c>
      <c r="T179" s="1" t="s">
        <v>1237</v>
      </c>
      <c r="U179">
        <v>1638.9394199999999</v>
      </c>
      <c r="V179">
        <v>0</v>
      </c>
      <c r="W179">
        <v>77812</v>
      </c>
    </row>
    <row r="180" spans="1:23" x14ac:dyDescent="0.25">
      <c r="A180" s="1" t="s">
        <v>25</v>
      </c>
      <c r="B180" s="1"/>
      <c r="C180" s="1" t="s">
        <v>103</v>
      </c>
      <c r="D180">
        <v>10322</v>
      </c>
      <c r="E180" s="1"/>
      <c r="F180" s="1" t="s">
        <v>251</v>
      </c>
      <c r="G180">
        <v>2010</v>
      </c>
      <c r="H180">
        <v>1588.63</v>
      </c>
      <c r="I180">
        <v>3</v>
      </c>
      <c r="J180" s="1" t="s">
        <v>395</v>
      </c>
      <c r="K180">
        <v>0</v>
      </c>
      <c r="L180">
        <v>98</v>
      </c>
      <c r="M180">
        <v>16.193985000000001</v>
      </c>
      <c r="N180">
        <v>2</v>
      </c>
      <c r="O180" s="1" t="s">
        <v>569</v>
      </c>
      <c r="P180">
        <v>1588.63</v>
      </c>
      <c r="Q180">
        <v>745.07</v>
      </c>
      <c r="R180">
        <v>0</v>
      </c>
      <c r="S180" s="1" t="s">
        <v>943</v>
      </c>
      <c r="T180" s="1" t="s">
        <v>1237</v>
      </c>
      <c r="U180">
        <v>1588.62672</v>
      </c>
      <c r="V180">
        <v>0</v>
      </c>
      <c r="W180">
        <v>77812</v>
      </c>
    </row>
    <row r="181" spans="1:23" x14ac:dyDescent="0.25">
      <c r="A181" s="1" t="s">
        <v>25</v>
      </c>
      <c r="B181" s="1"/>
      <c r="C181" s="1" t="s">
        <v>103</v>
      </c>
      <c r="D181">
        <v>10322</v>
      </c>
      <c r="E181" s="1"/>
      <c r="F181" s="1" t="s">
        <v>251</v>
      </c>
      <c r="G181">
        <v>2009</v>
      </c>
      <c r="H181">
        <v>1474.7</v>
      </c>
      <c r="I181">
        <v>3</v>
      </c>
      <c r="J181" s="1" t="s">
        <v>395</v>
      </c>
      <c r="K181">
        <v>0</v>
      </c>
      <c r="L181">
        <v>98</v>
      </c>
      <c r="M181">
        <v>15.032619</v>
      </c>
      <c r="N181">
        <v>2</v>
      </c>
      <c r="O181" s="1" t="s">
        <v>569</v>
      </c>
      <c r="P181">
        <v>1474.7</v>
      </c>
      <c r="Q181">
        <v>691.66</v>
      </c>
      <c r="R181">
        <v>0</v>
      </c>
      <c r="S181" s="1" t="s">
        <v>943</v>
      </c>
      <c r="T181" s="1" t="s">
        <v>1237</v>
      </c>
      <c r="U181">
        <v>1474.7066199999999</v>
      </c>
      <c r="V181">
        <v>0</v>
      </c>
      <c r="W181">
        <v>77812</v>
      </c>
    </row>
    <row r="182" spans="1:23" x14ac:dyDescent="0.25">
      <c r="A182" s="1" t="s">
        <v>25</v>
      </c>
      <c r="B182" s="1"/>
      <c r="C182" s="1" t="s">
        <v>103</v>
      </c>
      <c r="D182">
        <v>10322</v>
      </c>
      <c r="E182" s="1"/>
      <c r="F182" s="1" t="s">
        <v>251</v>
      </c>
      <c r="G182">
        <v>2008</v>
      </c>
      <c r="H182">
        <v>1630.03</v>
      </c>
      <c r="I182">
        <v>4</v>
      </c>
      <c r="J182" s="1" t="s">
        <v>395</v>
      </c>
      <c r="K182">
        <v>0</v>
      </c>
      <c r="L182">
        <v>98</v>
      </c>
      <c r="M182">
        <v>16.616004</v>
      </c>
      <c r="N182">
        <v>2</v>
      </c>
      <c r="O182" s="1" t="s">
        <v>569</v>
      </c>
      <c r="P182">
        <v>1630.03</v>
      </c>
      <c r="Q182">
        <v>764.5</v>
      </c>
      <c r="R182">
        <v>0</v>
      </c>
      <c r="S182" s="1" t="s">
        <v>943</v>
      </c>
      <c r="T182" s="1" t="s">
        <v>1237</v>
      </c>
      <c r="U182">
        <v>1630.03279</v>
      </c>
      <c r="V182">
        <v>0</v>
      </c>
      <c r="W182">
        <v>77812</v>
      </c>
    </row>
    <row r="183" spans="1:23" x14ac:dyDescent="0.25">
      <c r="A183" s="1" t="s">
        <v>25</v>
      </c>
      <c r="B183" s="1"/>
      <c r="C183" s="1" t="s">
        <v>230</v>
      </c>
      <c r="D183">
        <v>5948</v>
      </c>
      <c r="E183" s="1"/>
      <c r="F183" s="1" t="s">
        <v>371</v>
      </c>
      <c r="G183">
        <v>2011</v>
      </c>
      <c r="H183">
        <v>795.98</v>
      </c>
      <c r="I183">
        <v>2</v>
      </c>
      <c r="J183" s="1" t="s">
        <v>509</v>
      </c>
      <c r="K183">
        <v>0</v>
      </c>
      <c r="L183">
        <v>393</v>
      </c>
      <c r="M183">
        <v>2.0248789999999999</v>
      </c>
      <c r="N183">
        <v>2</v>
      </c>
      <c r="O183" s="1" t="s">
        <v>569</v>
      </c>
      <c r="P183">
        <v>795.98</v>
      </c>
      <c r="Q183">
        <v>373.34</v>
      </c>
      <c r="R183">
        <v>0</v>
      </c>
      <c r="S183" s="1" t="s">
        <v>944</v>
      </c>
      <c r="T183" s="1" t="s">
        <v>1238</v>
      </c>
      <c r="U183">
        <v>796.00001999999995</v>
      </c>
      <c r="V183">
        <v>0</v>
      </c>
      <c r="W183">
        <v>59962</v>
      </c>
    </row>
    <row r="184" spans="1:23" x14ac:dyDescent="0.25">
      <c r="A184" s="1" t="s">
        <v>25</v>
      </c>
      <c r="B184" s="1"/>
      <c r="C184" s="1" t="s">
        <v>230</v>
      </c>
      <c r="D184">
        <v>5948</v>
      </c>
      <c r="E184" s="1"/>
      <c r="F184" s="1" t="s">
        <v>371</v>
      </c>
      <c r="G184">
        <v>2010</v>
      </c>
      <c r="H184">
        <v>5288.13</v>
      </c>
      <c r="I184">
        <v>3</v>
      </c>
      <c r="J184" s="1" t="s">
        <v>509</v>
      </c>
      <c r="K184">
        <v>0</v>
      </c>
      <c r="L184">
        <v>393</v>
      </c>
      <c r="M184">
        <v>13.452378</v>
      </c>
      <c r="N184">
        <v>2</v>
      </c>
      <c r="O184" s="1" t="s">
        <v>569</v>
      </c>
      <c r="P184">
        <v>5288.13</v>
      </c>
      <c r="Q184">
        <v>2480.14</v>
      </c>
      <c r="R184">
        <v>0</v>
      </c>
      <c r="S184" s="1" t="s">
        <v>944</v>
      </c>
      <c r="T184" s="1" t="s">
        <v>1238</v>
      </c>
      <c r="U184">
        <v>5288.125</v>
      </c>
      <c r="V184">
        <v>0</v>
      </c>
      <c r="W184">
        <v>59962</v>
      </c>
    </row>
    <row r="185" spans="1:23" x14ac:dyDescent="0.25">
      <c r="A185" s="1" t="s">
        <v>25</v>
      </c>
      <c r="B185" s="1"/>
      <c r="C185" s="1" t="s">
        <v>230</v>
      </c>
      <c r="D185">
        <v>5948</v>
      </c>
      <c r="E185" s="1"/>
      <c r="F185" s="1" t="s">
        <v>371</v>
      </c>
      <c r="G185">
        <v>2009</v>
      </c>
      <c r="H185">
        <v>13106.5</v>
      </c>
      <c r="I185">
        <v>3</v>
      </c>
      <c r="J185" s="1" t="s">
        <v>509</v>
      </c>
      <c r="K185">
        <v>0</v>
      </c>
      <c r="L185">
        <v>393</v>
      </c>
      <c r="M185">
        <v>33.341388000000002</v>
      </c>
      <c r="N185">
        <v>2</v>
      </c>
      <c r="O185" s="1" t="s">
        <v>569</v>
      </c>
      <c r="P185">
        <v>13106.5</v>
      </c>
      <c r="Q185">
        <v>6146.95</v>
      </c>
      <c r="R185">
        <v>0</v>
      </c>
      <c r="S185" s="1" t="s">
        <v>944</v>
      </c>
      <c r="T185" s="1" t="s">
        <v>1238</v>
      </c>
      <c r="U185">
        <v>13106.483109999999</v>
      </c>
      <c r="V185">
        <v>0</v>
      </c>
      <c r="W185">
        <v>59962</v>
      </c>
    </row>
    <row r="186" spans="1:23" x14ac:dyDescent="0.25">
      <c r="A186" s="1" t="s">
        <v>25</v>
      </c>
      <c r="B186" s="1"/>
      <c r="C186" s="1" t="s">
        <v>230</v>
      </c>
      <c r="D186">
        <v>5948</v>
      </c>
      <c r="E186" s="1"/>
      <c r="F186" s="1" t="s">
        <v>371</v>
      </c>
      <c r="G186">
        <v>2008</v>
      </c>
      <c r="H186">
        <v>15115.26</v>
      </c>
      <c r="I186">
        <v>9</v>
      </c>
      <c r="J186" s="1" t="s">
        <v>509</v>
      </c>
      <c r="K186">
        <v>0</v>
      </c>
      <c r="L186">
        <v>393</v>
      </c>
      <c r="M186">
        <v>38.451436999999999</v>
      </c>
      <c r="N186">
        <v>2</v>
      </c>
      <c r="O186" s="1" t="s">
        <v>569</v>
      </c>
      <c r="P186">
        <v>15115.26</v>
      </c>
      <c r="Q186">
        <v>7089.05</v>
      </c>
      <c r="R186">
        <v>0</v>
      </c>
      <c r="S186" s="1" t="s">
        <v>944</v>
      </c>
      <c r="T186" s="1" t="s">
        <v>1238</v>
      </c>
      <c r="U186">
        <v>15115.2714</v>
      </c>
      <c r="V186">
        <v>0</v>
      </c>
      <c r="W186">
        <v>59962</v>
      </c>
    </row>
    <row r="187" spans="1:23" x14ac:dyDescent="0.25">
      <c r="A187" s="1" t="s">
        <v>25</v>
      </c>
      <c r="B187" s="1"/>
      <c r="C187" s="1" t="s">
        <v>104</v>
      </c>
      <c r="D187">
        <v>10171</v>
      </c>
      <c r="E187" s="1"/>
      <c r="F187" s="1" t="s">
        <v>252</v>
      </c>
      <c r="G187">
        <v>2015</v>
      </c>
      <c r="H187">
        <v>10252.43</v>
      </c>
      <c r="I187">
        <v>5</v>
      </c>
      <c r="J187" s="1" t="s">
        <v>510</v>
      </c>
      <c r="K187">
        <v>0</v>
      </c>
      <c r="L187">
        <v>353</v>
      </c>
      <c r="M187">
        <v>29.035485000000001</v>
      </c>
      <c r="N187">
        <v>2</v>
      </c>
      <c r="O187" s="1" t="s">
        <v>569</v>
      </c>
      <c r="P187">
        <v>10252.43</v>
      </c>
      <c r="Q187">
        <v>3075.73</v>
      </c>
      <c r="R187">
        <v>0</v>
      </c>
      <c r="S187" s="1" t="s">
        <v>945</v>
      </c>
      <c r="T187" s="1" t="s">
        <v>1239</v>
      </c>
      <c r="U187">
        <v>10252.429</v>
      </c>
      <c r="V187">
        <v>0</v>
      </c>
      <c r="W187">
        <v>77185</v>
      </c>
    </row>
    <row r="188" spans="1:23" x14ac:dyDescent="0.25">
      <c r="A188" s="1" t="s">
        <v>25</v>
      </c>
      <c r="B188" s="1"/>
      <c r="C188" s="1" t="s">
        <v>104</v>
      </c>
      <c r="D188">
        <v>10171</v>
      </c>
      <c r="E188" s="1"/>
      <c r="F188" s="1" t="s">
        <v>252</v>
      </c>
      <c r="G188">
        <v>2014</v>
      </c>
      <c r="H188">
        <v>18664.57</v>
      </c>
      <c r="I188">
        <v>11</v>
      </c>
      <c r="J188" s="1" t="s">
        <v>510</v>
      </c>
      <c r="K188">
        <v>0</v>
      </c>
      <c r="L188">
        <v>353</v>
      </c>
      <c r="M188">
        <v>52.859161</v>
      </c>
      <c r="N188">
        <v>2</v>
      </c>
      <c r="O188" s="1" t="s">
        <v>569</v>
      </c>
      <c r="P188">
        <v>18664.57</v>
      </c>
      <c r="Q188">
        <v>5599.36</v>
      </c>
      <c r="R188">
        <v>0</v>
      </c>
      <c r="S188" s="1" t="s">
        <v>945</v>
      </c>
      <c r="T188" s="1" t="s">
        <v>1239</v>
      </c>
      <c r="U188">
        <v>18664.554100000001</v>
      </c>
      <c r="V188">
        <v>0</v>
      </c>
      <c r="W188">
        <v>77185</v>
      </c>
    </row>
    <row r="189" spans="1:23" x14ac:dyDescent="0.25">
      <c r="A189" s="1" t="s">
        <v>25</v>
      </c>
      <c r="B189" s="1"/>
      <c r="C189" s="1" t="s">
        <v>104</v>
      </c>
      <c r="D189">
        <v>10171</v>
      </c>
      <c r="E189" s="1"/>
      <c r="F189" s="1" t="s">
        <v>252</v>
      </c>
      <c r="G189">
        <v>2013</v>
      </c>
      <c r="H189">
        <v>36244.120000000003</v>
      </c>
      <c r="I189">
        <v>12</v>
      </c>
      <c r="J189" s="1" t="s">
        <v>510</v>
      </c>
      <c r="K189">
        <v>0</v>
      </c>
      <c r="L189">
        <v>353</v>
      </c>
      <c r="M189">
        <v>102.645482</v>
      </c>
      <c r="N189">
        <v>2</v>
      </c>
      <c r="O189" s="1" t="s">
        <v>569</v>
      </c>
      <c r="P189">
        <v>36244.120000000003</v>
      </c>
      <c r="Q189">
        <v>10873.23</v>
      </c>
      <c r="R189">
        <v>0</v>
      </c>
      <c r="S189" s="1" t="s">
        <v>945</v>
      </c>
      <c r="T189" s="1" t="s">
        <v>1239</v>
      </c>
      <c r="U189">
        <v>36244.122300000003</v>
      </c>
      <c r="V189">
        <v>0</v>
      </c>
      <c r="W189">
        <v>77185</v>
      </c>
    </row>
    <row r="190" spans="1:23" x14ac:dyDescent="0.25">
      <c r="A190" s="1" t="s">
        <v>25</v>
      </c>
      <c r="B190" s="1"/>
      <c r="C190" s="1" t="s">
        <v>104</v>
      </c>
      <c r="D190">
        <v>10171</v>
      </c>
      <c r="E190" s="1"/>
      <c r="F190" s="1" t="s">
        <v>252</v>
      </c>
      <c r="G190">
        <v>2012</v>
      </c>
      <c r="H190">
        <v>33102.660000000003</v>
      </c>
      <c r="I190">
        <v>10</v>
      </c>
      <c r="J190" s="1" t="s">
        <v>510</v>
      </c>
      <c r="K190">
        <v>0</v>
      </c>
      <c r="L190">
        <v>353</v>
      </c>
      <c r="M190">
        <v>93.748683</v>
      </c>
      <c r="N190">
        <v>2</v>
      </c>
      <c r="O190" s="1" t="s">
        <v>569</v>
      </c>
      <c r="P190">
        <v>33102.660000000003</v>
      </c>
      <c r="Q190">
        <v>13241.08</v>
      </c>
      <c r="R190">
        <v>0</v>
      </c>
      <c r="S190" s="1" t="s">
        <v>945</v>
      </c>
      <c r="T190" s="1" t="s">
        <v>1239</v>
      </c>
      <c r="U190">
        <v>33102.665289999997</v>
      </c>
      <c r="V190">
        <v>0</v>
      </c>
      <c r="W190">
        <v>77185</v>
      </c>
    </row>
    <row r="191" spans="1:23" x14ac:dyDescent="0.25">
      <c r="A191" s="1" t="s">
        <v>25</v>
      </c>
      <c r="B191" s="1"/>
      <c r="C191" s="1" t="s">
        <v>104</v>
      </c>
      <c r="D191">
        <v>10171</v>
      </c>
      <c r="E191" s="1"/>
      <c r="F191" s="1" t="s">
        <v>252</v>
      </c>
      <c r="G191">
        <v>2011</v>
      </c>
      <c r="H191">
        <v>28086.98</v>
      </c>
      <c r="I191">
        <v>1</v>
      </c>
      <c r="J191" s="1" t="s">
        <v>510</v>
      </c>
      <c r="K191">
        <v>0</v>
      </c>
      <c r="L191">
        <v>353</v>
      </c>
      <c r="M191">
        <v>79.543981000000002</v>
      </c>
      <c r="N191">
        <v>2</v>
      </c>
      <c r="O191" s="1" t="s">
        <v>569</v>
      </c>
      <c r="P191">
        <v>28086.98</v>
      </c>
      <c r="Q191">
        <v>13172.79</v>
      </c>
      <c r="R191">
        <v>0</v>
      </c>
      <c r="S191" s="1" t="s">
        <v>945</v>
      </c>
      <c r="T191" s="1" t="s">
        <v>1239</v>
      </c>
      <c r="U191">
        <v>28087.001120000001</v>
      </c>
      <c r="V191">
        <v>0</v>
      </c>
      <c r="W191">
        <v>77185</v>
      </c>
    </row>
    <row r="192" spans="1:23" x14ac:dyDescent="0.25">
      <c r="A192" s="1" t="s">
        <v>25</v>
      </c>
      <c r="B192" s="1"/>
      <c r="C192" s="1" t="s">
        <v>104</v>
      </c>
      <c r="D192">
        <v>10171</v>
      </c>
      <c r="E192" s="1"/>
      <c r="F192" s="1" t="s">
        <v>252</v>
      </c>
      <c r="G192">
        <v>2010</v>
      </c>
      <c r="H192">
        <v>31061.34</v>
      </c>
      <c r="I192">
        <v>3</v>
      </c>
      <c r="J192" s="1" t="s">
        <v>510</v>
      </c>
      <c r="K192">
        <v>0</v>
      </c>
      <c r="L192">
        <v>353</v>
      </c>
      <c r="M192">
        <v>87.967544000000004</v>
      </c>
      <c r="N192">
        <v>2</v>
      </c>
      <c r="O192" s="1" t="s">
        <v>569</v>
      </c>
      <c r="P192">
        <v>31061.34</v>
      </c>
      <c r="Q192">
        <v>14567.75</v>
      </c>
      <c r="R192">
        <v>0</v>
      </c>
      <c r="S192" s="1" t="s">
        <v>945</v>
      </c>
      <c r="T192" s="1" t="s">
        <v>1239</v>
      </c>
      <c r="U192">
        <v>31061.353360000001</v>
      </c>
      <c r="V192">
        <v>0</v>
      </c>
      <c r="W192">
        <v>77185</v>
      </c>
    </row>
    <row r="193" spans="1:23" x14ac:dyDescent="0.25">
      <c r="A193" s="1" t="s">
        <v>25</v>
      </c>
      <c r="B193" s="1"/>
      <c r="C193" s="1" t="s">
        <v>104</v>
      </c>
      <c r="D193">
        <v>10171</v>
      </c>
      <c r="E193" s="1"/>
      <c r="F193" s="1" t="s">
        <v>252</v>
      </c>
      <c r="G193">
        <v>2009</v>
      </c>
      <c r="H193">
        <v>29212.06</v>
      </c>
      <c r="I193">
        <v>3</v>
      </c>
      <c r="J193" s="1" t="s">
        <v>510</v>
      </c>
      <c r="K193">
        <v>0</v>
      </c>
      <c r="L193">
        <v>353</v>
      </c>
      <c r="M193">
        <v>82.730273999999994</v>
      </c>
      <c r="N193">
        <v>2</v>
      </c>
      <c r="O193" s="1" t="s">
        <v>569</v>
      </c>
      <c r="P193">
        <v>29212.06</v>
      </c>
      <c r="Q193">
        <v>13700.43</v>
      </c>
      <c r="R193">
        <v>0</v>
      </c>
      <c r="S193" s="1" t="s">
        <v>945</v>
      </c>
      <c r="T193" s="1" t="s">
        <v>1239</v>
      </c>
      <c r="U193">
        <v>29212.031230000001</v>
      </c>
      <c r="V193">
        <v>0</v>
      </c>
      <c r="W193">
        <v>77185</v>
      </c>
    </row>
    <row r="194" spans="1:23" x14ac:dyDescent="0.25">
      <c r="A194" s="1" t="s">
        <v>25</v>
      </c>
      <c r="B194" s="1"/>
      <c r="C194" s="1" t="s">
        <v>104</v>
      </c>
      <c r="D194">
        <v>10171</v>
      </c>
      <c r="E194" s="1"/>
      <c r="F194" s="1" t="s">
        <v>252</v>
      </c>
      <c r="G194">
        <v>2008</v>
      </c>
      <c r="H194">
        <v>27496.95</v>
      </c>
      <c r="I194">
        <v>4</v>
      </c>
      <c r="J194" s="1" t="s">
        <v>510</v>
      </c>
      <c r="K194">
        <v>0</v>
      </c>
      <c r="L194">
        <v>353</v>
      </c>
      <c r="M194">
        <v>77.872981999999993</v>
      </c>
      <c r="N194">
        <v>2</v>
      </c>
      <c r="O194" s="1" t="s">
        <v>569</v>
      </c>
      <c r="P194">
        <v>27496.95</v>
      </c>
      <c r="Q194">
        <v>12896.06</v>
      </c>
      <c r="R194">
        <v>0</v>
      </c>
      <c r="S194" s="1" t="s">
        <v>945</v>
      </c>
      <c r="T194" s="1" t="s">
        <v>1239</v>
      </c>
      <c r="U194">
        <v>27496.952809999999</v>
      </c>
      <c r="V194">
        <v>0</v>
      </c>
      <c r="W194">
        <v>77185</v>
      </c>
    </row>
    <row r="195" spans="1:23" x14ac:dyDescent="0.25">
      <c r="A195" s="1" t="s">
        <v>25</v>
      </c>
      <c r="B195" s="1"/>
      <c r="C195" s="1" t="s">
        <v>105</v>
      </c>
      <c r="D195">
        <v>10203</v>
      </c>
      <c r="E195" s="1"/>
      <c r="F195" s="1" t="s">
        <v>253</v>
      </c>
      <c r="G195">
        <v>2012</v>
      </c>
      <c r="H195">
        <v>562.30999999999995</v>
      </c>
      <c r="I195">
        <v>1</v>
      </c>
      <c r="J195" s="1" t="s">
        <v>511</v>
      </c>
      <c r="K195">
        <v>0</v>
      </c>
      <c r="L195">
        <v>178</v>
      </c>
      <c r="M195">
        <v>3.1572710000000002</v>
      </c>
      <c r="N195">
        <v>2</v>
      </c>
      <c r="O195" s="1" t="s">
        <v>569</v>
      </c>
      <c r="P195">
        <v>562.30999999999995</v>
      </c>
      <c r="Q195">
        <v>224.94</v>
      </c>
      <c r="R195">
        <v>0</v>
      </c>
      <c r="S195" s="1" t="s">
        <v>946</v>
      </c>
      <c r="T195" s="1" t="s">
        <v>1240</v>
      </c>
      <c r="U195">
        <v>562.31637999999998</v>
      </c>
      <c r="V195">
        <v>0</v>
      </c>
      <c r="W195">
        <v>77383</v>
      </c>
    </row>
    <row r="196" spans="1:23" x14ac:dyDescent="0.25">
      <c r="A196" s="1" t="s">
        <v>25</v>
      </c>
      <c r="B196" s="1"/>
      <c r="C196" s="1" t="s">
        <v>105</v>
      </c>
      <c r="D196">
        <v>10203</v>
      </c>
      <c r="E196" s="1"/>
      <c r="F196" s="1" t="s">
        <v>253</v>
      </c>
      <c r="G196">
        <v>2011</v>
      </c>
      <c r="H196">
        <v>295.95</v>
      </c>
      <c r="I196">
        <v>7</v>
      </c>
      <c r="J196" s="1" t="s">
        <v>511</v>
      </c>
      <c r="K196">
        <v>0</v>
      </c>
      <c r="L196">
        <v>178</v>
      </c>
      <c r="M196">
        <v>1.6617059999999999</v>
      </c>
      <c r="N196">
        <v>2</v>
      </c>
      <c r="O196" s="1" t="s">
        <v>569</v>
      </c>
      <c r="P196">
        <v>295.95</v>
      </c>
      <c r="Q196">
        <v>138.80000000000001</v>
      </c>
      <c r="R196">
        <v>0</v>
      </c>
      <c r="S196" s="1" t="s">
        <v>946</v>
      </c>
      <c r="T196" s="1" t="s">
        <v>1240</v>
      </c>
      <c r="U196">
        <v>295.95632000000001</v>
      </c>
      <c r="V196">
        <v>0</v>
      </c>
      <c r="W196">
        <v>77383</v>
      </c>
    </row>
    <row r="197" spans="1:23" x14ac:dyDescent="0.25">
      <c r="A197" s="1" t="s">
        <v>25</v>
      </c>
      <c r="B197" s="1"/>
      <c r="C197" s="1" t="s">
        <v>105</v>
      </c>
      <c r="D197">
        <v>10203</v>
      </c>
      <c r="E197" s="1"/>
      <c r="F197" s="1" t="s">
        <v>253</v>
      </c>
      <c r="G197">
        <v>2010</v>
      </c>
      <c r="H197">
        <v>646.01</v>
      </c>
      <c r="I197">
        <v>11</v>
      </c>
      <c r="J197" s="1" t="s">
        <v>511</v>
      </c>
      <c r="K197">
        <v>0</v>
      </c>
      <c r="L197">
        <v>178</v>
      </c>
      <c r="M197">
        <v>3.6272310000000001</v>
      </c>
      <c r="N197">
        <v>2</v>
      </c>
      <c r="O197" s="1" t="s">
        <v>569</v>
      </c>
      <c r="P197">
        <v>646.01</v>
      </c>
      <c r="Q197">
        <v>302.97000000000003</v>
      </c>
      <c r="R197">
        <v>0</v>
      </c>
      <c r="S197" s="1" t="s">
        <v>946</v>
      </c>
      <c r="T197" s="1" t="s">
        <v>1240</v>
      </c>
      <c r="U197">
        <v>646.01297999999997</v>
      </c>
      <c r="V197">
        <v>0</v>
      </c>
      <c r="W197">
        <v>77383</v>
      </c>
    </row>
    <row r="198" spans="1:23" x14ac:dyDescent="0.25">
      <c r="A198" s="1" t="s">
        <v>25</v>
      </c>
      <c r="B198" s="1"/>
      <c r="C198" s="1" t="s">
        <v>105</v>
      </c>
      <c r="D198">
        <v>10203</v>
      </c>
      <c r="E198" s="1"/>
      <c r="F198" s="1" t="s">
        <v>253</v>
      </c>
      <c r="G198">
        <v>2009</v>
      </c>
      <c r="H198">
        <v>3205.04</v>
      </c>
      <c r="I198">
        <v>11</v>
      </c>
      <c r="J198" s="1" t="s">
        <v>511</v>
      </c>
      <c r="K198">
        <v>0</v>
      </c>
      <c r="L198">
        <v>178</v>
      </c>
      <c r="M198">
        <v>17.995732</v>
      </c>
      <c r="N198">
        <v>2</v>
      </c>
      <c r="O198" s="1" t="s">
        <v>569</v>
      </c>
      <c r="P198">
        <v>3205.04</v>
      </c>
      <c r="Q198">
        <v>1503.16</v>
      </c>
      <c r="R198">
        <v>0</v>
      </c>
      <c r="S198" s="1" t="s">
        <v>946</v>
      </c>
      <c r="T198" s="1" t="s">
        <v>1240</v>
      </c>
      <c r="U198">
        <v>3205.0368400000002</v>
      </c>
      <c r="V198">
        <v>0</v>
      </c>
      <c r="W198">
        <v>77383</v>
      </c>
    </row>
    <row r="199" spans="1:23" x14ac:dyDescent="0.25">
      <c r="A199" s="1" t="s">
        <v>25</v>
      </c>
      <c r="B199" s="1"/>
      <c r="C199" s="1" t="s">
        <v>105</v>
      </c>
      <c r="D199">
        <v>10203</v>
      </c>
      <c r="E199" s="1"/>
      <c r="F199" s="1" t="s">
        <v>253</v>
      </c>
      <c r="G199">
        <v>2008</v>
      </c>
      <c r="H199">
        <v>3138.37</v>
      </c>
      <c r="I199">
        <v>9</v>
      </c>
      <c r="J199" s="1" t="s">
        <v>511</v>
      </c>
      <c r="K199">
        <v>0</v>
      </c>
      <c r="L199">
        <v>178</v>
      </c>
      <c r="M199">
        <v>17.621392</v>
      </c>
      <c r="N199">
        <v>2</v>
      </c>
      <c r="O199" s="1" t="s">
        <v>569</v>
      </c>
      <c r="P199">
        <v>3138.37</v>
      </c>
      <c r="Q199">
        <v>1471.89</v>
      </c>
      <c r="R199">
        <v>0</v>
      </c>
      <c r="S199" s="1" t="s">
        <v>946</v>
      </c>
      <c r="T199" s="1" t="s">
        <v>1240</v>
      </c>
      <c r="U199">
        <v>3138.3587400000001</v>
      </c>
      <c r="V199">
        <v>0</v>
      </c>
      <c r="W199">
        <v>77383</v>
      </c>
    </row>
    <row r="200" spans="1:23" x14ac:dyDescent="0.25">
      <c r="A200" s="1" t="s">
        <v>25</v>
      </c>
      <c r="B200" s="1"/>
      <c r="C200" s="1" t="s">
        <v>231</v>
      </c>
      <c r="D200">
        <v>5947</v>
      </c>
      <c r="E200" s="1"/>
      <c r="F200" s="1" t="s">
        <v>372</v>
      </c>
      <c r="G200">
        <v>2011</v>
      </c>
      <c r="H200">
        <v>508.98</v>
      </c>
      <c r="I200">
        <v>3</v>
      </c>
      <c r="J200" s="1" t="s">
        <v>479</v>
      </c>
      <c r="K200">
        <v>0</v>
      </c>
      <c r="L200">
        <v>489</v>
      </c>
      <c r="M200">
        <v>1.040646</v>
      </c>
      <c r="N200">
        <v>2</v>
      </c>
      <c r="O200" s="1" t="s">
        <v>569</v>
      </c>
      <c r="P200">
        <v>508.98</v>
      </c>
      <c r="Q200">
        <v>238.73</v>
      </c>
      <c r="R200">
        <v>0</v>
      </c>
      <c r="S200" s="1" t="s">
        <v>947</v>
      </c>
      <c r="T200" s="1" t="s">
        <v>1241</v>
      </c>
      <c r="U200">
        <v>509</v>
      </c>
      <c r="V200">
        <v>0</v>
      </c>
      <c r="W200">
        <v>59959</v>
      </c>
    </row>
    <row r="201" spans="1:23" x14ac:dyDescent="0.25">
      <c r="A201" s="1" t="s">
        <v>25</v>
      </c>
      <c r="B201" s="1"/>
      <c r="C201" s="1" t="s">
        <v>231</v>
      </c>
      <c r="D201">
        <v>5947</v>
      </c>
      <c r="E201" s="1"/>
      <c r="F201" s="1" t="s">
        <v>372</v>
      </c>
      <c r="G201">
        <v>2010</v>
      </c>
      <c r="H201">
        <v>3978.82</v>
      </c>
      <c r="I201">
        <v>3</v>
      </c>
      <c r="J201" s="1" t="s">
        <v>479</v>
      </c>
      <c r="K201">
        <v>0</v>
      </c>
      <c r="L201">
        <v>489</v>
      </c>
      <c r="M201">
        <v>8.1349820000000008</v>
      </c>
      <c r="N201">
        <v>2</v>
      </c>
      <c r="O201" s="1" t="s">
        <v>569</v>
      </c>
      <c r="P201">
        <v>3978.82</v>
      </c>
      <c r="Q201">
        <v>1866.05</v>
      </c>
      <c r="R201">
        <v>0</v>
      </c>
      <c r="S201" s="1" t="s">
        <v>947</v>
      </c>
      <c r="T201" s="1" t="s">
        <v>1241</v>
      </c>
      <c r="U201">
        <v>3978.83401</v>
      </c>
      <c r="V201">
        <v>0</v>
      </c>
      <c r="W201">
        <v>59959</v>
      </c>
    </row>
    <row r="202" spans="1:23" x14ac:dyDescent="0.25">
      <c r="A202" s="1" t="s">
        <v>25</v>
      </c>
      <c r="B202" s="1"/>
      <c r="C202" s="1" t="s">
        <v>231</v>
      </c>
      <c r="D202">
        <v>5947</v>
      </c>
      <c r="E202" s="1"/>
      <c r="F202" s="1" t="s">
        <v>372</v>
      </c>
      <c r="G202">
        <v>2009</v>
      </c>
      <c r="H202">
        <v>16118.98</v>
      </c>
      <c r="I202">
        <v>2</v>
      </c>
      <c r="J202" s="1" t="s">
        <v>479</v>
      </c>
      <c r="K202">
        <v>0</v>
      </c>
      <c r="L202">
        <v>489</v>
      </c>
      <c r="M202">
        <v>32.956409000000001</v>
      </c>
      <c r="N202">
        <v>2</v>
      </c>
      <c r="O202" s="1" t="s">
        <v>569</v>
      </c>
      <c r="P202">
        <v>16118.98</v>
      </c>
      <c r="Q202">
        <v>7559.79</v>
      </c>
      <c r="R202">
        <v>0</v>
      </c>
      <c r="S202" s="1" t="s">
        <v>947</v>
      </c>
      <c r="T202" s="1" t="s">
        <v>1241</v>
      </c>
      <c r="U202">
        <v>16118.99458</v>
      </c>
      <c r="V202">
        <v>0</v>
      </c>
      <c r="W202">
        <v>59959</v>
      </c>
    </row>
    <row r="203" spans="1:23" x14ac:dyDescent="0.25">
      <c r="A203" s="1" t="s">
        <v>25</v>
      </c>
      <c r="B203" s="1"/>
      <c r="C203" s="1" t="s">
        <v>231</v>
      </c>
      <c r="D203">
        <v>5947</v>
      </c>
      <c r="E203" s="1"/>
      <c r="F203" s="1" t="s">
        <v>372</v>
      </c>
      <c r="G203">
        <v>2008</v>
      </c>
      <c r="H203">
        <v>17459.759999999998</v>
      </c>
      <c r="I203">
        <v>3</v>
      </c>
      <c r="J203" s="1" t="s">
        <v>479</v>
      </c>
      <c r="K203">
        <v>0</v>
      </c>
      <c r="L203">
        <v>489</v>
      </c>
      <c r="M203">
        <v>35.69773</v>
      </c>
      <c r="N203">
        <v>2</v>
      </c>
      <c r="O203" s="1" t="s">
        <v>569</v>
      </c>
      <c r="P203">
        <v>17459.759999999998</v>
      </c>
      <c r="Q203">
        <v>8188.64</v>
      </c>
      <c r="R203">
        <v>0</v>
      </c>
      <c r="S203" s="1" t="s">
        <v>947</v>
      </c>
      <c r="T203" s="1" t="s">
        <v>1241</v>
      </c>
      <c r="U203">
        <v>17459.786810000001</v>
      </c>
      <c r="V203">
        <v>0</v>
      </c>
      <c r="W203">
        <v>59959</v>
      </c>
    </row>
    <row r="204" spans="1:23" x14ac:dyDescent="0.25">
      <c r="A204" s="1" t="s">
        <v>26</v>
      </c>
      <c r="B204" s="1" t="s">
        <v>46</v>
      </c>
      <c r="C204" s="1" t="s">
        <v>106</v>
      </c>
      <c r="D204">
        <v>5478</v>
      </c>
      <c r="E204" s="1"/>
      <c r="F204" s="1" t="s">
        <v>254</v>
      </c>
      <c r="G204">
        <v>2015</v>
      </c>
      <c r="H204">
        <v>0</v>
      </c>
      <c r="I204">
        <v>5</v>
      </c>
      <c r="J204" s="1"/>
      <c r="K204">
        <v>0</v>
      </c>
      <c r="L204">
        <v>0</v>
      </c>
      <c r="M204">
        <v>0</v>
      </c>
      <c r="N204">
        <v>3</v>
      </c>
      <c r="O204" s="1" t="s">
        <v>560</v>
      </c>
      <c r="P204">
        <v>0</v>
      </c>
      <c r="Q204">
        <v>0</v>
      </c>
      <c r="R204">
        <v>1</v>
      </c>
      <c r="S204" s="1" t="s">
        <v>580</v>
      </c>
      <c r="T204" s="1"/>
      <c r="U204">
        <v>0</v>
      </c>
      <c r="V204">
        <v>0</v>
      </c>
      <c r="W204">
        <v>58275</v>
      </c>
    </row>
    <row r="205" spans="1:23" x14ac:dyDescent="0.25">
      <c r="A205" s="1" t="s">
        <v>26</v>
      </c>
      <c r="B205" s="1" t="s">
        <v>46</v>
      </c>
      <c r="C205" s="1" t="s">
        <v>106</v>
      </c>
      <c r="D205">
        <v>5478</v>
      </c>
      <c r="E205" s="1"/>
      <c r="F205" s="1" t="s">
        <v>254</v>
      </c>
      <c r="G205">
        <v>2015</v>
      </c>
      <c r="H205">
        <v>89.84</v>
      </c>
      <c r="I205">
        <v>5</v>
      </c>
      <c r="J205" s="1"/>
      <c r="K205">
        <v>0</v>
      </c>
      <c r="L205">
        <v>0</v>
      </c>
      <c r="M205">
        <v>898.4</v>
      </c>
      <c r="N205">
        <v>3</v>
      </c>
      <c r="O205" s="1" t="s">
        <v>560</v>
      </c>
      <c r="P205">
        <v>89.84</v>
      </c>
      <c r="Q205">
        <v>71.87</v>
      </c>
      <c r="R205">
        <v>1</v>
      </c>
      <c r="S205" s="1" t="s">
        <v>581</v>
      </c>
      <c r="T205" s="1"/>
      <c r="U205">
        <v>89.84</v>
      </c>
      <c r="V205">
        <v>0</v>
      </c>
      <c r="W205">
        <v>58276</v>
      </c>
    </row>
    <row r="206" spans="1:23" x14ac:dyDescent="0.25">
      <c r="A206" s="1" t="s">
        <v>26</v>
      </c>
      <c r="B206" s="1" t="s">
        <v>46</v>
      </c>
      <c r="C206" s="1" t="s">
        <v>106</v>
      </c>
      <c r="D206">
        <v>5478</v>
      </c>
      <c r="E206" s="1"/>
      <c r="F206" s="1" t="s">
        <v>254</v>
      </c>
      <c r="G206">
        <v>2014</v>
      </c>
      <c r="H206">
        <v>0</v>
      </c>
      <c r="I206">
        <v>12</v>
      </c>
      <c r="J206" s="1"/>
      <c r="K206">
        <v>0</v>
      </c>
      <c r="L206">
        <v>0</v>
      </c>
      <c r="M206">
        <v>0</v>
      </c>
      <c r="N206">
        <v>3</v>
      </c>
      <c r="O206" s="1" t="s">
        <v>560</v>
      </c>
      <c r="P206">
        <v>0</v>
      </c>
      <c r="Q206">
        <v>0</v>
      </c>
      <c r="R206">
        <v>1</v>
      </c>
      <c r="S206" s="1" t="s">
        <v>580</v>
      </c>
      <c r="T206" s="1"/>
      <c r="U206">
        <v>0</v>
      </c>
      <c r="V206">
        <v>0</v>
      </c>
      <c r="W206">
        <v>58275</v>
      </c>
    </row>
    <row r="207" spans="1:23" x14ac:dyDescent="0.25">
      <c r="A207" s="1" t="s">
        <v>26</v>
      </c>
      <c r="B207" s="1" t="s">
        <v>46</v>
      </c>
      <c r="C207" s="1" t="s">
        <v>106</v>
      </c>
      <c r="D207">
        <v>5478</v>
      </c>
      <c r="E207" s="1"/>
      <c r="F207" s="1" t="s">
        <v>254</v>
      </c>
      <c r="G207">
        <v>2014</v>
      </c>
      <c r="H207">
        <v>141.85</v>
      </c>
      <c r="I207">
        <v>12</v>
      </c>
      <c r="J207" s="1"/>
      <c r="K207">
        <v>0</v>
      </c>
      <c r="L207">
        <v>0</v>
      </c>
      <c r="M207">
        <v>1418.5</v>
      </c>
      <c r="N207">
        <v>3</v>
      </c>
      <c r="O207" s="1" t="s">
        <v>560</v>
      </c>
      <c r="P207">
        <v>141.85</v>
      </c>
      <c r="Q207">
        <v>113.46</v>
      </c>
      <c r="R207">
        <v>1</v>
      </c>
      <c r="S207" s="1" t="s">
        <v>581</v>
      </c>
      <c r="T207" s="1"/>
      <c r="U207">
        <v>141.85</v>
      </c>
      <c r="V207">
        <v>0</v>
      </c>
      <c r="W207">
        <v>58276</v>
      </c>
    </row>
    <row r="208" spans="1:23" x14ac:dyDescent="0.25">
      <c r="A208" s="1" t="s">
        <v>26</v>
      </c>
      <c r="B208" s="1" t="s">
        <v>46</v>
      </c>
      <c r="C208" s="1" t="s">
        <v>106</v>
      </c>
      <c r="D208">
        <v>5478</v>
      </c>
      <c r="E208" s="1"/>
      <c r="F208" s="1" t="s">
        <v>254</v>
      </c>
      <c r="G208">
        <v>2013</v>
      </c>
      <c r="H208">
        <v>0</v>
      </c>
      <c r="I208">
        <v>12</v>
      </c>
      <c r="J208" s="1"/>
      <c r="K208">
        <v>0</v>
      </c>
      <c r="L208">
        <v>0</v>
      </c>
      <c r="M208">
        <v>0</v>
      </c>
      <c r="N208">
        <v>3</v>
      </c>
      <c r="O208" s="1" t="s">
        <v>560</v>
      </c>
      <c r="P208">
        <v>0</v>
      </c>
      <c r="Q208">
        <v>0</v>
      </c>
      <c r="R208">
        <v>1</v>
      </c>
      <c r="S208" s="1" t="s">
        <v>580</v>
      </c>
      <c r="T208" s="1"/>
      <c r="U208">
        <v>0</v>
      </c>
      <c r="V208">
        <v>0</v>
      </c>
      <c r="W208">
        <v>58275</v>
      </c>
    </row>
    <row r="209" spans="1:23" x14ac:dyDescent="0.25">
      <c r="A209" s="1" t="s">
        <v>26</v>
      </c>
      <c r="B209" s="1" t="s">
        <v>46</v>
      </c>
      <c r="C209" s="1" t="s">
        <v>106</v>
      </c>
      <c r="D209">
        <v>5478</v>
      </c>
      <c r="E209" s="1"/>
      <c r="F209" s="1" t="s">
        <v>254</v>
      </c>
      <c r="G209">
        <v>2013</v>
      </c>
      <c r="H209">
        <v>122.51</v>
      </c>
      <c r="I209">
        <v>12</v>
      </c>
      <c r="J209" s="1"/>
      <c r="K209">
        <v>0</v>
      </c>
      <c r="L209">
        <v>0</v>
      </c>
      <c r="M209">
        <v>1225.0999999999999</v>
      </c>
      <c r="N209">
        <v>3</v>
      </c>
      <c r="O209" s="1" t="s">
        <v>560</v>
      </c>
      <c r="P209">
        <v>122.51</v>
      </c>
      <c r="Q209">
        <v>98</v>
      </c>
      <c r="R209">
        <v>1</v>
      </c>
      <c r="S209" s="1" t="s">
        <v>581</v>
      </c>
      <c r="T209" s="1"/>
      <c r="U209">
        <v>122.51</v>
      </c>
      <c r="V209">
        <v>0</v>
      </c>
      <c r="W209">
        <v>58276</v>
      </c>
    </row>
    <row r="210" spans="1:23" x14ac:dyDescent="0.25">
      <c r="A210" s="1" t="s">
        <v>26</v>
      </c>
      <c r="B210" s="1" t="s">
        <v>46</v>
      </c>
      <c r="C210" s="1" t="s">
        <v>106</v>
      </c>
      <c r="D210">
        <v>5478</v>
      </c>
      <c r="E210" s="1"/>
      <c r="F210" s="1" t="s">
        <v>254</v>
      </c>
      <c r="G210">
        <v>2012</v>
      </c>
      <c r="H210">
        <v>0</v>
      </c>
      <c r="I210">
        <v>12</v>
      </c>
      <c r="J210" s="1"/>
      <c r="K210">
        <v>0</v>
      </c>
      <c r="L210">
        <v>0</v>
      </c>
      <c r="M210">
        <v>0</v>
      </c>
      <c r="N210">
        <v>3</v>
      </c>
      <c r="O210" s="1" t="s">
        <v>560</v>
      </c>
      <c r="P210">
        <v>0</v>
      </c>
      <c r="Q210">
        <v>0</v>
      </c>
      <c r="R210">
        <v>1</v>
      </c>
      <c r="S210" s="1" t="s">
        <v>580</v>
      </c>
      <c r="T210" s="1"/>
      <c r="U210">
        <v>0</v>
      </c>
      <c r="V210">
        <v>0</v>
      </c>
      <c r="W210">
        <v>58275</v>
      </c>
    </row>
    <row r="211" spans="1:23" x14ac:dyDescent="0.25">
      <c r="A211" s="1" t="s">
        <v>26</v>
      </c>
      <c r="B211" s="1" t="s">
        <v>46</v>
      </c>
      <c r="C211" s="1" t="s">
        <v>106</v>
      </c>
      <c r="D211">
        <v>5478</v>
      </c>
      <c r="E211" s="1"/>
      <c r="F211" s="1" t="s">
        <v>254</v>
      </c>
      <c r="G211">
        <v>2012</v>
      </c>
      <c r="H211">
        <v>69.08</v>
      </c>
      <c r="I211">
        <v>12</v>
      </c>
      <c r="J211" s="1"/>
      <c r="K211">
        <v>0</v>
      </c>
      <c r="L211">
        <v>0</v>
      </c>
      <c r="M211">
        <v>690.8</v>
      </c>
      <c r="N211">
        <v>3</v>
      </c>
      <c r="O211" s="1" t="s">
        <v>560</v>
      </c>
      <c r="P211">
        <v>69.08</v>
      </c>
      <c r="Q211">
        <v>55.27</v>
      </c>
      <c r="R211">
        <v>1</v>
      </c>
      <c r="S211" s="1" t="s">
        <v>581</v>
      </c>
      <c r="T211" s="1"/>
      <c r="U211">
        <v>69.08</v>
      </c>
      <c r="V211">
        <v>0</v>
      </c>
      <c r="W211">
        <v>58276</v>
      </c>
    </row>
    <row r="212" spans="1:23" x14ac:dyDescent="0.25">
      <c r="A212" s="1" t="s">
        <v>26</v>
      </c>
      <c r="B212" s="1" t="s">
        <v>46</v>
      </c>
      <c r="C212" s="1" t="s">
        <v>106</v>
      </c>
      <c r="D212">
        <v>5478</v>
      </c>
      <c r="E212" s="1"/>
      <c r="F212" s="1" t="s">
        <v>254</v>
      </c>
      <c r="G212">
        <v>2011</v>
      </c>
      <c r="H212">
        <v>0</v>
      </c>
      <c r="I212">
        <v>12</v>
      </c>
      <c r="J212" s="1"/>
      <c r="K212">
        <v>0</v>
      </c>
      <c r="L212">
        <v>0</v>
      </c>
      <c r="M212">
        <v>0</v>
      </c>
      <c r="N212">
        <v>3</v>
      </c>
      <c r="O212" s="1" t="s">
        <v>560</v>
      </c>
      <c r="P212">
        <v>0</v>
      </c>
      <c r="Q212">
        <v>0</v>
      </c>
      <c r="R212">
        <v>1</v>
      </c>
      <c r="S212" s="1" t="s">
        <v>580</v>
      </c>
      <c r="T212" s="1"/>
      <c r="U212">
        <v>0</v>
      </c>
      <c r="V212">
        <v>0</v>
      </c>
      <c r="W212">
        <v>58275</v>
      </c>
    </row>
    <row r="213" spans="1:23" x14ac:dyDescent="0.25">
      <c r="A213" s="1" t="s">
        <v>26</v>
      </c>
      <c r="B213" s="1" t="s">
        <v>46</v>
      </c>
      <c r="C213" s="1" t="s">
        <v>106</v>
      </c>
      <c r="D213">
        <v>5478</v>
      </c>
      <c r="E213" s="1"/>
      <c r="F213" s="1" t="s">
        <v>254</v>
      </c>
      <c r="G213">
        <v>2011</v>
      </c>
      <c r="H213">
        <v>1.1000000000000001</v>
      </c>
      <c r="I213">
        <v>12</v>
      </c>
      <c r="J213" s="1"/>
      <c r="K213">
        <v>0</v>
      </c>
      <c r="L213">
        <v>0</v>
      </c>
      <c r="M213">
        <v>11</v>
      </c>
      <c r="N213">
        <v>3</v>
      </c>
      <c r="O213" s="1" t="s">
        <v>560</v>
      </c>
      <c r="P213">
        <v>1.1000000000000001</v>
      </c>
      <c r="Q213">
        <v>0.88</v>
      </c>
      <c r="R213">
        <v>1</v>
      </c>
      <c r="S213" s="1" t="s">
        <v>581</v>
      </c>
      <c r="T213" s="1"/>
      <c r="U213">
        <v>1.1000000000000001</v>
      </c>
      <c r="V213">
        <v>0</v>
      </c>
      <c r="W213">
        <v>58276</v>
      </c>
    </row>
    <row r="214" spans="1:23" x14ac:dyDescent="0.25">
      <c r="A214" s="1" t="s">
        <v>26</v>
      </c>
      <c r="B214" s="1" t="s">
        <v>46</v>
      </c>
      <c r="C214" s="1" t="s">
        <v>106</v>
      </c>
      <c r="D214">
        <v>5478</v>
      </c>
      <c r="E214" s="1"/>
      <c r="F214" s="1" t="s">
        <v>254</v>
      </c>
      <c r="G214">
        <v>2010</v>
      </c>
      <c r="H214">
        <v>0</v>
      </c>
      <c r="I214">
        <v>12</v>
      </c>
      <c r="J214" s="1"/>
      <c r="K214">
        <v>0</v>
      </c>
      <c r="L214">
        <v>0</v>
      </c>
      <c r="M214">
        <v>0</v>
      </c>
      <c r="N214">
        <v>3</v>
      </c>
      <c r="O214" s="1" t="s">
        <v>560</v>
      </c>
      <c r="P214">
        <v>0</v>
      </c>
      <c r="Q214">
        <v>0</v>
      </c>
      <c r="R214">
        <v>1</v>
      </c>
      <c r="S214" s="1" t="s">
        <v>580</v>
      </c>
      <c r="T214" s="1"/>
      <c r="U214">
        <v>0</v>
      </c>
      <c r="V214">
        <v>0</v>
      </c>
      <c r="W214">
        <v>58275</v>
      </c>
    </row>
    <row r="215" spans="1:23" x14ac:dyDescent="0.25">
      <c r="A215" s="1" t="s">
        <v>26</v>
      </c>
      <c r="B215" s="1" t="s">
        <v>46</v>
      </c>
      <c r="C215" s="1" t="s">
        <v>106</v>
      </c>
      <c r="D215">
        <v>5478</v>
      </c>
      <c r="E215" s="1"/>
      <c r="F215" s="1" t="s">
        <v>254</v>
      </c>
      <c r="G215">
        <v>2010</v>
      </c>
      <c r="H215">
        <v>5.46</v>
      </c>
      <c r="I215">
        <v>12</v>
      </c>
      <c r="J215" s="1"/>
      <c r="K215">
        <v>0</v>
      </c>
      <c r="L215">
        <v>0</v>
      </c>
      <c r="M215">
        <v>54.6</v>
      </c>
      <c r="N215">
        <v>3</v>
      </c>
      <c r="O215" s="1" t="s">
        <v>560</v>
      </c>
      <c r="P215">
        <v>5.46</v>
      </c>
      <c r="Q215">
        <v>4.3600000000000003</v>
      </c>
      <c r="R215">
        <v>1</v>
      </c>
      <c r="S215" s="1" t="s">
        <v>581</v>
      </c>
      <c r="T215" s="1"/>
      <c r="U215">
        <v>5.46</v>
      </c>
      <c r="V215">
        <v>0</v>
      </c>
      <c r="W215">
        <v>58276</v>
      </c>
    </row>
    <row r="216" spans="1:23" x14ac:dyDescent="0.25">
      <c r="A216" s="1" t="s">
        <v>26</v>
      </c>
      <c r="B216" s="1" t="s">
        <v>46</v>
      </c>
      <c r="C216" s="1" t="s">
        <v>106</v>
      </c>
      <c r="D216">
        <v>5478</v>
      </c>
      <c r="E216" s="1"/>
      <c r="F216" s="1" t="s">
        <v>254</v>
      </c>
      <c r="G216">
        <v>2009</v>
      </c>
      <c r="H216">
        <v>0</v>
      </c>
      <c r="I216">
        <v>12</v>
      </c>
      <c r="J216" s="1"/>
      <c r="K216">
        <v>0</v>
      </c>
      <c r="L216">
        <v>0</v>
      </c>
      <c r="M216">
        <v>0</v>
      </c>
      <c r="N216">
        <v>3</v>
      </c>
      <c r="O216" s="1" t="s">
        <v>560</v>
      </c>
      <c r="P216">
        <v>0</v>
      </c>
      <c r="Q216">
        <v>0</v>
      </c>
      <c r="R216">
        <v>1</v>
      </c>
      <c r="S216" s="1" t="s">
        <v>580</v>
      </c>
      <c r="T216" s="1"/>
      <c r="U216">
        <v>0</v>
      </c>
      <c r="V216">
        <v>0</v>
      </c>
      <c r="W216">
        <v>58275</v>
      </c>
    </row>
    <row r="217" spans="1:23" x14ac:dyDescent="0.25">
      <c r="A217" s="1" t="s">
        <v>26</v>
      </c>
      <c r="B217" s="1" t="s">
        <v>46</v>
      </c>
      <c r="C217" s="1" t="s">
        <v>106</v>
      </c>
      <c r="D217">
        <v>5478</v>
      </c>
      <c r="E217" s="1"/>
      <c r="F217" s="1" t="s">
        <v>254</v>
      </c>
      <c r="G217">
        <v>2009</v>
      </c>
      <c r="H217">
        <v>55.54</v>
      </c>
      <c r="I217">
        <v>12</v>
      </c>
      <c r="J217" s="1"/>
      <c r="K217">
        <v>0</v>
      </c>
      <c r="L217">
        <v>0</v>
      </c>
      <c r="M217">
        <v>555.4</v>
      </c>
      <c r="N217">
        <v>3</v>
      </c>
      <c r="O217" s="1" t="s">
        <v>560</v>
      </c>
      <c r="P217">
        <v>55.54</v>
      </c>
      <c r="Q217">
        <v>44.43</v>
      </c>
      <c r="R217">
        <v>1</v>
      </c>
      <c r="S217" s="1" t="s">
        <v>581</v>
      </c>
      <c r="T217" s="1"/>
      <c r="U217">
        <v>55.54</v>
      </c>
      <c r="V217">
        <v>0</v>
      </c>
      <c r="W217">
        <v>58276</v>
      </c>
    </row>
    <row r="218" spans="1:23" x14ac:dyDescent="0.25">
      <c r="A218" s="1" t="s">
        <v>26</v>
      </c>
      <c r="B218" s="1" t="s">
        <v>46</v>
      </c>
      <c r="C218" s="1" t="s">
        <v>106</v>
      </c>
      <c r="D218">
        <v>5478</v>
      </c>
      <c r="E218" s="1"/>
      <c r="F218" s="1" t="s">
        <v>254</v>
      </c>
      <c r="G218">
        <v>2008</v>
      </c>
      <c r="H218">
        <v>0</v>
      </c>
      <c r="I218">
        <v>12</v>
      </c>
      <c r="J218" s="1"/>
      <c r="K218">
        <v>0</v>
      </c>
      <c r="L218">
        <v>0</v>
      </c>
      <c r="M218">
        <v>0</v>
      </c>
      <c r="N218">
        <v>3</v>
      </c>
      <c r="O218" s="1" t="s">
        <v>560</v>
      </c>
      <c r="P218">
        <v>0</v>
      </c>
      <c r="Q218">
        <v>0</v>
      </c>
      <c r="R218">
        <v>1</v>
      </c>
      <c r="S218" s="1" t="s">
        <v>580</v>
      </c>
      <c r="T218" s="1"/>
      <c r="U218">
        <v>0</v>
      </c>
      <c r="V218">
        <v>0</v>
      </c>
      <c r="W218">
        <v>58275</v>
      </c>
    </row>
    <row r="219" spans="1:23" x14ac:dyDescent="0.25">
      <c r="A219" s="1" t="s">
        <v>26</v>
      </c>
      <c r="B219" s="1" t="s">
        <v>46</v>
      </c>
      <c r="C219" s="1" t="s">
        <v>106</v>
      </c>
      <c r="D219">
        <v>5478</v>
      </c>
      <c r="E219" s="1"/>
      <c r="F219" s="1" t="s">
        <v>254</v>
      </c>
      <c r="G219">
        <v>2008</v>
      </c>
      <c r="H219">
        <v>99.74</v>
      </c>
      <c r="I219">
        <v>12</v>
      </c>
      <c r="J219" s="1"/>
      <c r="K219">
        <v>0</v>
      </c>
      <c r="L219">
        <v>0</v>
      </c>
      <c r="M219">
        <v>997.4</v>
      </c>
      <c r="N219">
        <v>3</v>
      </c>
      <c r="O219" s="1" t="s">
        <v>560</v>
      </c>
      <c r="P219">
        <v>99.74</v>
      </c>
      <c r="Q219">
        <v>79.81</v>
      </c>
      <c r="R219">
        <v>1</v>
      </c>
      <c r="S219" s="1" t="s">
        <v>581</v>
      </c>
      <c r="T219" s="1"/>
      <c r="U219">
        <v>99.74</v>
      </c>
      <c r="V219">
        <v>0</v>
      </c>
      <c r="W219">
        <v>58276</v>
      </c>
    </row>
    <row r="220" spans="1:23" x14ac:dyDescent="0.25">
      <c r="A220" s="1" t="s">
        <v>26</v>
      </c>
      <c r="B220" s="1" t="s">
        <v>46</v>
      </c>
      <c r="C220" s="1" t="s">
        <v>106</v>
      </c>
      <c r="D220">
        <v>5477</v>
      </c>
      <c r="E220" s="1"/>
      <c r="F220" s="1" t="s">
        <v>106</v>
      </c>
      <c r="G220">
        <v>2015</v>
      </c>
      <c r="H220">
        <v>497.46</v>
      </c>
      <c r="I220">
        <v>5</v>
      </c>
      <c r="J220" s="1" t="s">
        <v>393</v>
      </c>
      <c r="K220">
        <v>0</v>
      </c>
      <c r="L220">
        <v>9829</v>
      </c>
      <c r="M220">
        <v>5.0610000000000002E-2</v>
      </c>
      <c r="N220">
        <v>3</v>
      </c>
      <c r="O220" s="1" t="s">
        <v>560</v>
      </c>
      <c r="P220">
        <v>497.46</v>
      </c>
      <c r="Q220">
        <v>397.97</v>
      </c>
      <c r="R220">
        <v>0</v>
      </c>
      <c r="S220" s="1" t="s">
        <v>582</v>
      </c>
      <c r="T220" s="1"/>
      <c r="U220">
        <v>497.46</v>
      </c>
      <c r="V220">
        <v>0</v>
      </c>
      <c r="W220">
        <v>57922</v>
      </c>
    </row>
    <row r="221" spans="1:23" x14ac:dyDescent="0.25">
      <c r="A221" s="1" t="s">
        <v>26</v>
      </c>
      <c r="B221" s="1" t="s">
        <v>46</v>
      </c>
      <c r="C221" s="1" t="s">
        <v>106</v>
      </c>
      <c r="D221">
        <v>5477</v>
      </c>
      <c r="E221" s="1"/>
      <c r="F221" s="1" t="s">
        <v>106</v>
      </c>
      <c r="G221">
        <v>2014</v>
      </c>
      <c r="H221">
        <v>1031.78</v>
      </c>
      <c r="I221">
        <v>12</v>
      </c>
      <c r="J221" s="1" t="s">
        <v>393</v>
      </c>
      <c r="K221">
        <v>0</v>
      </c>
      <c r="L221">
        <v>9829</v>
      </c>
      <c r="M221">
        <v>0.10497099999999999</v>
      </c>
      <c r="N221">
        <v>3</v>
      </c>
      <c r="O221" s="1" t="s">
        <v>560</v>
      </c>
      <c r="P221">
        <v>1031.78</v>
      </c>
      <c r="Q221">
        <v>825.42</v>
      </c>
      <c r="R221">
        <v>0</v>
      </c>
      <c r="S221" s="1" t="s">
        <v>582</v>
      </c>
      <c r="T221" s="1"/>
      <c r="U221">
        <v>1031.78</v>
      </c>
      <c r="V221">
        <v>0</v>
      </c>
      <c r="W221">
        <v>57922</v>
      </c>
    </row>
    <row r="222" spans="1:23" x14ac:dyDescent="0.25">
      <c r="A222" s="1" t="s">
        <v>26</v>
      </c>
      <c r="B222" s="1" t="s">
        <v>46</v>
      </c>
      <c r="C222" s="1" t="s">
        <v>106</v>
      </c>
      <c r="D222">
        <v>5477</v>
      </c>
      <c r="E222" s="1"/>
      <c r="F222" s="1" t="s">
        <v>106</v>
      </c>
      <c r="G222">
        <v>2013</v>
      </c>
      <c r="H222">
        <v>735.58</v>
      </c>
      <c r="I222">
        <v>12</v>
      </c>
      <c r="J222" s="1" t="s">
        <v>393</v>
      </c>
      <c r="K222">
        <v>0</v>
      </c>
      <c r="L222">
        <v>9829</v>
      </c>
      <c r="M222">
        <v>7.4836E-2</v>
      </c>
      <c r="N222">
        <v>3</v>
      </c>
      <c r="O222" s="1" t="s">
        <v>560</v>
      </c>
      <c r="P222">
        <v>735.58</v>
      </c>
      <c r="Q222">
        <v>588.47</v>
      </c>
      <c r="R222">
        <v>0</v>
      </c>
      <c r="S222" s="1" t="s">
        <v>582</v>
      </c>
      <c r="T222" s="1"/>
      <c r="U222">
        <v>735.58</v>
      </c>
      <c r="V222">
        <v>0</v>
      </c>
      <c r="W222">
        <v>57922</v>
      </c>
    </row>
    <row r="223" spans="1:23" x14ac:dyDescent="0.25">
      <c r="A223" s="1" t="s">
        <v>26</v>
      </c>
      <c r="B223" s="1" t="s">
        <v>46</v>
      </c>
      <c r="C223" s="1" t="s">
        <v>106</v>
      </c>
      <c r="D223">
        <v>5477</v>
      </c>
      <c r="E223" s="1"/>
      <c r="F223" s="1" t="s">
        <v>106</v>
      </c>
      <c r="G223">
        <v>2012</v>
      </c>
      <c r="H223">
        <v>434.42</v>
      </c>
      <c r="I223">
        <v>12</v>
      </c>
      <c r="J223" s="1" t="s">
        <v>393</v>
      </c>
      <c r="K223">
        <v>0</v>
      </c>
      <c r="L223">
        <v>9829</v>
      </c>
      <c r="M223">
        <v>4.4197E-2</v>
      </c>
      <c r="N223">
        <v>3</v>
      </c>
      <c r="O223" s="1" t="s">
        <v>560</v>
      </c>
      <c r="P223">
        <v>434.42</v>
      </c>
      <c r="Q223">
        <v>347.56</v>
      </c>
      <c r="R223">
        <v>0</v>
      </c>
      <c r="S223" s="1" t="s">
        <v>582</v>
      </c>
      <c r="T223" s="1"/>
      <c r="U223">
        <v>434.42</v>
      </c>
      <c r="V223">
        <v>0</v>
      </c>
      <c r="W223">
        <v>57922</v>
      </c>
    </row>
    <row r="224" spans="1:23" x14ac:dyDescent="0.25">
      <c r="A224" s="1" t="s">
        <v>26</v>
      </c>
      <c r="B224" s="1" t="s">
        <v>46</v>
      </c>
      <c r="C224" s="1" t="s">
        <v>106</v>
      </c>
      <c r="D224">
        <v>5477</v>
      </c>
      <c r="E224" s="1"/>
      <c r="F224" s="1" t="s">
        <v>106</v>
      </c>
      <c r="G224">
        <v>2011</v>
      </c>
      <c r="H224">
        <v>336.4</v>
      </c>
      <c r="I224">
        <v>12</v>
      </c>
      <c r="J224" s="1" t="s">
        <v>393</v>
      </c>
      <c r="K224">
        <v>0</v>
      </c>
      <c r="L224">
        <v>9829</v>
      </c>
      <c r="M224">
        <v>3.4223999999999997E-2</v>
      </c>
      <c r="N224">
        <v>3</v>
      </c>
      <c r="O224" s="1" t="s">
        <v>560</v>
      </c>
      <c r="P224">
        <v>336.4</v>
      </c>
      <c r="Q224">
        <v>269.11</v>
      </c>
      <c r="R224">
        <v>0</v>
      </c>
      <c r="S224" s="1" t="s">
        <v>582</v>
      </c>
      <c r="T224" s="1"/>
      <c r="U224">
        <v>336.4</v>
      </c>
      <c r="V224">
        <v>0</v>
      </c>
      <c r="W224">
        <v>57922</v>
      </c>
    </row>
    <row r="225" spans="1:23" x14ac:dyDescent="0.25">
      <c r="A225" s="1" t="s">
        <v>26</v>
      </c>
      <c r="B225" s="1" t="s">
        <v>46</v>
      </c>
      <c r="C225" s="1" t="s">
        <v>106</v>
      </c>
      <c r="D225">
        <v>5477</v>
      </c>
      <c r="E225" s="1"/>
      <c r="F225" s="1" t="s">
        <v>106</v>
      </c>
      <c r="G225">
        <v>2010</v>
      </c>
      <c r="H225">
        <v>501.06</v>
      </c>
      <c r="I225">
        <v>12</v>
      </c>
      <c r="J225" s="1" t="s">
        <v>393</v>
      </c>
      <c r="K225">
        <v>0</v>
      </c>
      <c r="L225">
        <v>9829</v>
      </c>
      <c r="M225">
        <v>5.0977000000000001E-2</v>
      </c>
      <c r="N225">
        <v>3</v>
      </c>
      <c r="O225" s="1" t="s">
        <v>560</v>
      </c>
      <c r="P225">
        <v>501.06</v>
      </c>
      <c r="Q225">
        <v>400.84</v>
      </c>
      <c r="R225">
        <v>0</v>
      </c>
      <c r="S225" s="1" t="s">
        <v>582</v>
      </c>
      <c r="T225" s="1"/>
      <c r="U225">
        <v>501.06</v>
      </c>
      <c r="V225">
        <v>0</v>
      </c>
      <c r="W225">
        <v>57922</v>
      </c>
    </row>
    <row r="226" spans="1:23" x14ac:dyDescent="0.25">
      <c r="A226" s="1" t="s">
        <v>26</v>
      </c>
      <c r="B226" s="1" t="s">
        <v>46</v>
      </c>
      <c r="C226" s="1" t="s">
        <v>106</v>
      </c>
      <c r="D226">
        <v>5477</v>
      </c>
      <c r="E226" s="1"/>
      <c r="F226" s="1" t="s">
        <v>106</v>
      </c>
      <c r="G226">
        <v>2009</v>
      </c>
      <c r="H226">
        <v>635.45000000000005</v>
      </c>
      <c r="I226">
        <v>12</v>
      </c>
      <c r="J226" s="1" t="s">
        <v>393</v>
      </c>
      <c r="K226">
        <v>0</v>
      </c>
      <c r="L226">
        <v>9829</v>
      </c>
      <c r="M226">
        <v>6.4648999999999998E-2</v>
      </c>
      <c r="N226">
        <v>3</v>
      </c>
      <c r="O226" s="1" t="s">
        <v>560</v>
      </c>
      <c r="P226">
        <v>635.45000000000005</v>
      </c>
      <c r="Q226">
        <v>508.38</v>
      </c>
      <c r="R226">
        <v>0</v>
      </c>
      <c r="S226" s="1" t="s">
        <v>582</v>
      </c>
      <c r="T226" s="1"/>
      <c r="U226">
        <v>635.45000000000005</v>
      </c>
      <c r="V226">
        <v>0</v>
      </c>
      <c r="W226">
        <v>57922</v>
      </c>
    </row>
    <row r="227" spans="1:23" x14ac:dyDescent="0.25">
      <c r="A227" s="1" t="s">
        <v>26</v>
      </c>
      <c r="B227" s="1" t="s">
        <v>46</v>
      </c>
      <c r="C227" s="1" t="s">
        <v>106</v>
      </c>
      <c r="D227">
        <v>5477</v>
      </c>
      <c r="E227" s="1"/>
      <c r="F227" s="1" t="s">
        <v>106</v>
      </c>
      <c r="G227">
        <v>2008</v>
      </c>
      <c r="H227">
        <v>960.7</v>
      </c>
      <c r="I227">
        <v>12</v>
      </c>
      <c r="J227" s="1" t="s">
        <v>393</v>
      </c>
      <c r="K227">
        <v>0</v>
      </c>
      <c r="L227">
        <v>9829</v>
      </c>
      <c r="M227">
        <v>9.7739999999999994E-2</v>
      </c>
      <c r="N227">
        <v>3</v>
      </c>
      <c r="O227" s="1" t="s">
        <v>560</v>
      </c>
      <c r="P227">
        <v>960.7</v>
      </c>
      <c r="Q227">
        <v>768.56</v>
      </c>
      <c r="R227">
        <v>0</v>
      </c>
      <c r="S227" s="1" t="s">
        <v>582</v>
      </c>
      <c r="T227" s="1"/>
      <c r="U227">
        <v>960.7</v>
      </c>
      <c r="V227">
        <v>0</v>
      </c>
      <c r="W227">
        <v>57922</v>
      </c>
    </row>
    <row r="228" spans="1:23" x14ac:dyDescent="0.25">
      <c r="A228" s="1" t="s">
        <v>26</v>
      </c>
      <c r="B228" s="1"/>
      <c r="C228" s="1" t="s">
        <v>107</v>
      </c>
      <c r="D228">
        <v>10123</v>
      </c>
      <c r="E228" s="1"/>
      <c r="F228" s="1" t="s">
        <v>255</v>
      </c>
      <c r="G228">
        <v>2015</v>
      </c>
      <c r="H228">
        <v>436.47</v>
      </c>
      <c r="I228">
        <v>5</v>
      </c>
      <c r="J228" s="1"/>
      <c r="K228">
        <v>0</v>
      </c>
      <c r="L228">
        <v>1413</v>
      </c>
      <c r="M228">
        <v>0.30887399999999998</v>
      </c>
      <c r="N228">
        <v>3</v>
      </c>
      <c r="O228" s="1" t="s">
        <v>560</v>
      </c>
      <c r="P228">
        <v>436.47</v>
      </c>
      <c r="Q228">
        <v>349.17</v>
      </c>
      <c r="R228">
        <v>0</v>
      </c>
      <c r="S228" s="1"/>
      <c r="T228" s="1"/>
      <c r="U228">
        <v>436.471</v>
      </c>
      <c r="V228">
        <v>0</v>
      </c>
      <c r="W228">
        <v>76937</v>
      </c>
    </row>
    <row r="229" spans="1:23" x14ac:dyDescent="0.25">
      <c r="A229" s="1" t="s">
        <v>26</v>
      </c>
      <c r="B229" s="1"/>
      <c r="C229" s="1" t="s">
        <v>107</v>
      </c>
      <c r="D229">
        <v>10123</v>
      </c>
      <c r="E229" s="1"/>
      <c r="F229" s="1" t="s">
        <v>255</v>
      </c>
      <c r="G229">
        <v>2014</v>
      </c>
      <c r="H229">
        <v>1565.98</v>
      </c>
      <c r="I229">
        <v>12</v>
      </c>
      <c r="J229" s="1"/>
      <c r="K229">
        <v>0</v>
      </c>
      <c r="L229">
        <v>1413</v>
      </c>
      <c r="M229">
        <v>1.108187</v>
      </c>
      <c r="N229">
        <v>3</v>
      </c>
      <c r="O229" s="1" t="s">
        <v>560</v>
      </c>
      <c r="P229">
        <v>1565.98</v>
      </c>
      <c r="Q229">
        <v>1252.79</v>
      </c>
      <c r="R229">
        <v>0</v>
      </c>
      <c r="S229" s="1"/>
      <c r="T229" s="1"/>
      <c r="U229">
        <v>1565.9749999999999</v>
      </c>
      <c r="V229">
        <v>0</v>
      </c>
      <c r="W229">
        <v>76937</v>
      </c>
    </row>
    <row r="230" spans="1:23" x14ac:dyDescent="0.25">
      <c r="A230" s="1" t="s">
        <v>26</v>
      </c>
      <c r="B230" s="1"/>
      <c r="C230" s="1" t="s">
        <v>107</v>
      </c>
      <c r="D230">
        <v>10123</v>
      </c>
      <c r="E230" s="1"/>
      <c r="F230" s="1" t="s">
        <v>255</v>
      </c>
      <c r="G230">
        <v>2013</v>
      </c>
      <c r="H230">
        <v>1926.87</v>
      </c>
      <c r="I230">
        <v>12</v>
      </c>
      <c r="J230" s="1"/>
      <c r="K230">
        <v>0</v>
      </c>
      <c r="L230">
        <v>1413</v>
      </c>
      <c r="M230">
        <v>1.3635759999999999</v>
      </c>
      <c r="N230">
        <v>3</v>
      </c>
      <c r="O230" s="1" t="s">
        <v>560</v>
      </c>
      <c r="P230">
        <v>1926.87</v>
      </c>
      <c r="Q230">
        <v>1541.49</v>
      </c>
      <c r="R230">
        <v>0</v>
      </c>
      <c r="S230" s="1"/>
      <c r="T230" s="1"/>
      <c r="U230">
        <v>1926.8779999999999</v>
      </c>
      <c r="V230">
        <v>0</v>
      </c>
      <c r="W230">
        <v>76937</v>
      </c>
    </row>
    <row r="231" spans="1:23" x14ac:dyDescent="0.25">
      <c r="A231" s="1" t="s">
        <v>26</v>
      </c>
      <c r="B231" s="1"/>
      <c r="C231" s="1" t="s">
        <v>107</v>
      </c>
      <c r="D231">
        <v>10123</v>
      </c>
      <c r="E231" s="1"/>
      <c r="F231" s="1" t="s">
        <v>255</v>
      </c>
      <c r="G231">
        <v>2012</v>
      </c>
      <c r="H231">
        <v>1860.98</v>
      </c>
      <c r="I231">
        <v>12</v>
      </c>
      <c r="J231" s="1"/>
      <c r="K231">
        <v>0</v>
      </c>
      <c r="L231">
        <v>1413</v>
      </c>
      <c r="M231">
        <v>1.316948</v>
      </c>
      <c r="N231">
        <v>3</v>
      </c>
      <c r="O231" s="1" t="s">
        <v>560</v>
      </c>
      <c r="P231">
        <v>1860.98</v>
      </c>
      <c r="Q231">
        <v>1488.79</v>
      </c>
      <c r="R231">
        <v>0</v>
      </c>
      <c r="S231" s="1"/>
      <c r="T231" s="1"/>
      <c r="U231">
        <v>1860.991</v>
      </c>
      <c r="V231">
        <v>0</v>
      </c>
      <c r="W231">
        <v>76937</v>
      </c>
    </row>
    <row r="232" spans="1:23" x14ac:dyDescent="0.25">
      <c r="A232" s="1" t="s">
        <v>26</v>
      </c>
      <c r="B232" s="1"/>
      <c r="C232" s="1" t="s">
        <v>107</v>
      </c>
      <c r="D232">
        <v>10123</v>
      </c>
      <c r="E232" s="1"/>
      <c r="F232" s="1" t="s">
        <v>255</v>
      </c>
      <c r="G232">
        <v>2011</v>
      </c>
      <c r="H232">
        <v>1727.76</v>
      </c>
      <c r="I232">
        <v>12</v>
      </c>
      <c r="J232" s="1"/>
      <c r="K232">
        <v>0</v>
      </c>
      <c r="L232">
        <v>1413</v>
      </c>
      <c r="M232">
        <v>1.2226729999999999</v>
      </c>
      <c r="N232">
        <v>3</v>
      </c>
      <c r="O232" s="1" t="s">
        <v>560</v>
      </c>
      <c r="P232">
        <v>1727.76</v>
      </c>
      <c r="Q232">
        <v>1382.19</v>
      </c>
      <c r="R232">
        <v>0</v>
      </c>
      <c r="S232" s="1"/>
      <c r="T232" s="1"/>
      <c r="U232">
        <v>1727.742</v>
      </c>
      <c r="V232">
        <v>0</v>
      </c>
      <c r="W232">
        <v>76937</v>
      </c>
    </row>
    <row r="233" spans="1:23" x14ac:dyDescent="0.25">
      <c r="A233" s="1" t="s">
        <v>26</v>
      </c>
      <c r="B233" s="1"/>
      <c r="C233" s="1" t="s">
        <v>107</v>
      </c>
      <c r="D233">
        <v>10123</v>
      </c>
      <c r="E233" s="1"/>
      <c r="F233" s="1" t="s">
        <v>255</v>
      </c>
      <c r="G233">
        <v>2010</v>
      </c>
      <c r="H233">
        <v>1555.69</v>
      </c>
      <c r="I233">
        <v>12</v>
      </c>
      <c r="J233" s="1"/>
      <c r="K233">
        <v>0</v>
      </c>
      <c r="L233">
        <v>1413</v>
      </c>
      <c r="M233">
        <v>1.100905</v>
      </c>
      <c r="N233">
        <v>3</v>
      </c>
      <c r="O233" s="1" t="s">
        <v>560</v>
      </c>
      <c r="P233">
        <v>1555.69</v>
      </c>
      <c r="Q233">
        <v>1244.55</v>
      </c>
      <c r="R233">
        <v>0</v>
      </c>
      <c r="S233" s="1"/>
      <c r="T233" s="1"/>
      <c r="U233">
        <v>1555.6949999999999</v>
      </c>
      <c r="V233">
        <v>0</v>
      </c>
      <c r="W233">
        <v>76937</v>
      </c>
    </row>
    <row r="234" spans="1:23" x14ac:dyDescent="0.25">
      <c r="A234" s="1" t="s">
        <v>26</v>
      </c>
      <c r="B234" s="1"/>
      <c r="C234" s="1" t="s">
        <v>107</v>
      </c>
      <c r="D234">
        <v>10123</v>
      </c>
      <c r="E234" s="1"/>
      <c r="F234" s="1" t="s">
        <v>255</v>
      </c>
      <c r="G234">
        <v>2009</v>
      </c>
      <c r="H234">
        <v>1509.57</v>
      </c>
      <c r="I234">
        <v>12</v>
      </c>
      <c r="J234" s="1"/>
      <c r="K234">
        <v>0</v>
      </c>
      <c r="L234">
        <v>1413</v>
      </c>
      <c r="M234">
        <v>1.068268</v>
      </c>
      <c r="N234">
        <v>3</v>
      </c>
      <c r="O234" s="1" t="s">
        <v>560</v>
      </c>
      <c r="P234">
        <v>1509.57</v>
      </c>
      <c r="Q234">
        <v>1207.67</v>
      </c>
      <c r="R234">
        <v>0</v>
      </c>
      <c r="S234" s="1"/>
      <c r="T234" s="1"/>
      <c r="U234">
        <v>1509.58</v>
      </c>
      <c r="V234">
        <v>0</v>
      </c>
      <c r="W234">
        <v>76937</v>
      </c>
    </row>
    <row r="235" spans="1:23" x14ac:dyDescent="0.25">
      <c r="A235" s="1" t="s">
        <v>26</v>
      </c>
      <c r="B235" s="1"/>
      <c r="C235" s="1" t="s">
        <v>107</v>
      </c>
      <c r="D235">
        <v>10123</v>
      </c>
      <c r="E235" s="1"/>
      <c r="F235" s="1" t="s">
        <v>255</v>
      </c>
      <c r="G235">
        <v>2008</v>
      </c>
      <c r="H235">
        <v>1157.79</v>
      </c>
      <c r="I235">
        <v>12</v>
      </c>
      <c r="J235" s="1"/>
      <c r="K235">
        <v>0</v>
      </c>
      <c r="L235">
        <v>1413</v>
      </c>
      <c r="M235">
        <v>0.819326</v>
      </c>
      <c r="N235">
        <v>3</v>
      </c>
      <c r="O235" s="1" t="s">
        <v>560</v>
      </c>
      <c r="P235">
        <v>1157.79</v>
      </c>
      <c r="Q235">
        <v>926.22</v>
      </c>
      <c r="R235">
        <v>0</v>
      </c>
      <c r="S235" s="1"/>
      <c r="T235" s="1"/>
      <c r="U235">
        <v>1157.7850000000001</v>
      </c>
      <c r="V235">
        <v>0</v>
      </c>
      <c r="W235">
        <v>76937</v>
      </c>
    </row>
    <row r="236" spans="1:23" x14ac:dyDescent="0.25">
      <c r="A236" s="1" t="s">
        <v>26</v>
      </c>
      <c r="B236" s="1"/>
      <c r="C236" s="1" t="s">
        <v>107</v>
      </c>
      <c r="D236">
        <v>10123</v>
      </c>
      <c r="E236" s="1"/>
      <c r="F236" s="1" t="s">
        <v>255</v>
      </c>
      <c r="G236">
        <v>2008</v>
      </c>
      <c r="H236">
        <v>131.61000000000001</v>
      </c>
      <c r="I236">
        <v>1</v>
      </c>
      <c r="J236" s="1" t="s">
        <v>400</v>
      </c>
      <c r="K236">
        <v>0</v>
      </c>
      <c r="L236">
        <v>1413</v>
      </c>
      <c r="M236">
        <v>9.3134999999999996E-2</v>
      </c>
      <c r="N236">
        <v>3</v>
      </c>
      <c r="O236" s="1" t="s">
        <v>560</v>
      </c>
      <c r="P236">
        <v>131.61000000000001</v>
      </c>
      <c r="Q236">
        <v>105.29</v>
      </c>
      <c r="R236">
        <v>0</v>
      </c>
      <c r="S236" s="1" t="s">
        <v>583</v>
      </c>
      <c r="T236" s="1"/>
      <c r="U236">
        <v>131.6129</v>
      </c>
      <c r="V236">
        <v>0</v>
      </c>
      <c r="W236">
        <v>77799</v>
      </c>
    </row>
    <row r="237" spans="1:23" x14ac:dyDescent="0.25">
      <c r="A237" s="1" t="s">
        <v>26</v>
      </c>
      <c r="B237" s="1" t="s">
        <v>47</v>
      </c>
      <c r="C237" s="1" t="s">
        <v>108</v>
      </c>
      <c r="D237">
        <v>6070</v>
      </c>
      <c r="E237" s="1"/>
      <c r="F237" s="1" t="s">
        <v>108</v>
      </c>
      <c r="G237">
        <v>2015</v>
      </c>
      <c r="H237">
        <v>38.090000000000003</v>
      </c>
      <c r="I237">
        <v>5</v>
      </c>
      <c r="J237" s="1" t="s">
        <v>401</v>
      </c>
      <c r="K237">
        <v>0</v>
      </c>
      <c r="L237">
        <v>800</v>
      </c>
      <c r="M237">
        <v>4.7606000000000002E-2</v>
      </c>
      <c r="N237">
        <v>3</v>
      </c>
      <c r="O237" s="1" t="s">
        <v>560</v>
      </c>
      <c r="P237">
        <v>38.090000000000003</v>
      </c>
      <c r="Q237">
        <v>30.48</v>
      </c>
      <c r="R237">
        <v>0</v>
      </c>
      <c r="S237" s="1" t="s">
        <v>584</v>
      </c>
      <c r="T237" s="1"/>
      <c r="U237">
        <v>38.092570000000002</v>
      </c>
      <c r="V237">
        <v>0</v>
      </c>
      <c r="W237">
        <v>60881</v>
      </c>
    </row>
    <row r="238" spans="1:23" x14ac:dyDescent="0.25">
      <c r="A238" s="1" t="s">
        <v>26</v>
      </c>
      <c r="B238" s="1" t="s">
        <v>47</v>
      </c>
      <c r="C238" s="1" t="s">
        <v>108</v>
      </c>
      <c r="D238">
        <v>6070</v>
      </c>
      <c r="E238" s="1"/>
      <c r="F238" s="1" t="s">
        <v>108</v>
      </c>
      <c r="G238">
        <v>2014</v>
      </c>
      <c r="H238">
        <v>125.39</v>
      </c>
      <c r="I238">
        <v>12</v>
      </c>
      <c r="J238" s="1" t="s">
        <v>401</v>
      </c>
      <c r="K238">
        <v>0</v>
      </c>
      <c r="L238">
        <v>800</v>
      </c>
      <c r="M238">
        <v>0.156717</v>
      </c>
      <c r="N238">
        <v>3</v>
      </c>
      <c r="O238" s="1" t="s">
        <v>560</v>
      </c>
      <c r="P238">
        <v>125.39</v>
      </c>
      <c r="Q238">
        <v>100.28</v>
      </c>
      <c r="R238">
        <v>0</v>
      </c>
      <c r="S238" s="1" t="s">
        <v>584</v>
      </c>
      <c r="T238" s="1"/>
      <c r="U238">
        <v>125.37174</v>
      </c>
      <c r="V238">
        <v>0</v>
      </c>
      <c r="W238">
        <v>60881</v>
      </c>
    </row>
    <row r="239" spans="1:23" x14ac:dyDescent="0.25">
      <c r="A239" s="1" t="s">
        <v>26</v>
      </c>
      <c r="B239" s="1" t="s">
        <v>47</v>
      </c>
      <c r="C239" s="1" t="s">
        <v>108</v>
      </c>
      <c r="D239">
        <v>6070</v>
      </c>
      <c r="E239" s="1"/>
      <c r="F239" s="1" t="s">
        <v>108</v>
      </c>
      <c r="G239">
        <v>2013</v>
      </c>
      <c r="H239">
        <v>111.97</v>
      </c>
      <c r="I239">
        <v>12</v>
      </c>
      <c r="J239" s="1" t="s">
        <v>401</v>
      </c>
      <c r="K239">
        <v>0</v>
      </c>
      <c r="L239">
        <v>800</v>
      </c>
      <c r="M239">
        <v>0.13994500000000001</v>
      </c>
      <c r="N239">
        <v>3</v>
      </c>
      <c r="O239" s="1" t="s">
        <v>560</v>
      </c>
      <c r="P239">
        <v>111.97</v>
      </c>
      <c r="Q239">
        <v>89.58</v>
      </c>
      <c r="R239">
        <v>0</v>
      </c>
      <c r="S239" s="1" t="s">
        <v>584</v>
      </c>
      <c r="T239" s="1"/>
      <c r="U239">
        <v>111.96766</v>
      </c>
      <c r="V239">
        <v>0</v>
      </c>
      <c r="W239">
        <v>60881</v>
      </c>
    </row>
    <row r="240" spans="1:23" x14ac:dyDescent="0.25">
      <c r="A240" s="1" t="s">
        <v>26</v>
      </c>
      <c r="B240" s="1" t="s">
        <v>47</v>
      </c>
      <c r="C240" s="1" t="s">
        <v>108</v>
      </c>
      <c r="D240">
        <v>6070</v>
      </c>
      <c r="E240" s="1"/>
      <c r="F240" s="1" t="s">
        <v>108</v>
      </c>
      <c r="G240">
        <v>2012</v>
      </c>
      <c r="H240">
        <v>130.54</v>
      </c>
      <c r="I240">
        <v>12</v>
      </c>
      <c r="J240" s="1" t="s">
        <v>401</v>
      </c>
      <c r="K240">
        <v>0</v>
      </c>
      <c r="L240">
        <v>800</v>
      </c>
      <c r="M240">
        <v>0.16315399999999999</v>
      </c>
      <c r="N240">
        <v>3</v>
      </c>
      <c r="O240" s="1" t="s">
        <v>560</v>
      </c>
      <c r="P240">
        <v>130.54</v>
      </c>
      <c r="Q240">
        <v>104.43</v>
      </c>
      <c r="R240">
        <v>0</v>
      </c>
      <c r="S240" s="1" t="s">
        <v>584</v>
      </c>
      <c r="T240" s="1"/>
      <c r="U240">
        <v>130.54799</v>
      </c>
      <c r="V240">
        <v>0</v>
      </c>
      <c r="W240">
        <v>60881</v>
      </c>
    </row>
    <row r="241" spans="1:23" x14ac:dyDescent="0.25">
      <c r="A241" s="1" t="s">
        <v>26</v>
      </c>
      <c r="B241" s="1" t="s">
        <v>47</v>
      </c>
      <c r="C241" s="1" t="s">
        <v>108</v>
      </c>
      <c r="D241">
        <v>6070</v>
      </c>
      <c r="E241" s="1"/>
      <c r="F241" s="1" t="s">
        <v>108</v>
      </c>
      <c r="G241">
        <v>2011</v>
      </c>
      <c r="H241">
        <v>130.24</v>
      </c>
      <c r="I241">
        <v>12</v>
      </c>
      <c r="J241" s="1" t="s">
        <v>401</v>
      </c>
      <c r="K241">
        <v>0</v>
      </c>
      <c r="L241">
        <v>800</v>
      </c>
      <c r="M241">
        <v>0.16277900000000001</v>
      </c>
      <c r="N241">
        <v>3</v>
      </c>
      <c r="O241" s="1" t="s">
        <v>560</v>
      </c>
      <c r="P241">
        <v>130.24</v>
      </c>
      <c r="Q241">
        <v>104.19</v>
      </c>
      <c r="R241">
        <v>0</v>
      </c>
      <c r="S241" s="1" t="s">
        <v>584</v>
      </c>
      <c r="T241" s="1"/>
      <c r="U241">
        <v>130.23769999999999</v>
      </c>
      <c r="V241">
        <v>0</v>
      </c>
      <c r="W241">
        <v>60881</v>
      </c>
    </row>
    <row r="242" spans="1:23" x14ac:dyDescent="0.25">
      <c r="A242" s="1" t="s">
        <v>26</v>
      </c>
      <c r="B242" s="1" t="s">
        <v>47</v>
      </c>
      <c r="C242" s="1" t="s">
        <v>108</v>
      </c>
      <c r="D242">
        <v>6070</v>
      </c>
      <c r="E242" s="1"/>
      <c r="F242" s="1" t="s">
        <v>108</v>
      </c>
      <c r="G242">
        <v>2010</v>
      </c>
      <c r="H242">
        <v>137.47999999999999</v>
      </c>
      <c r="I242">
        <v>12</v>
      </c>
      <c r="J242" s="1" t="s">
        <v>401</v>
      </c>
      <c r="K242">
        <v>0</v>
      </c>
      <c r="L242">
        <v>800</v>
      </c>
      <c r="M242">
        <v>0.17182800000000001</v>
      </c>
      <c r="N242">
        <v>3</v>
      </c>
      <c r="O242" s="1" t="s">
        <v>560</v>
      </c>
      <c r="P242">
        <v>137.47999999999999</v>
      </c>
      <c r="Q242">
        <v>109.97</v>
      </c>
      <c r="R242">
        <v>0</v>
      </c>
      <c r="S242" s="1" t="s">
        <v>584</v>
      </c>
      <c r="T242" s="1"/>
      <c r="U242">
        <v>137.47457</v>
      </c>
      <c r="V242">
        <v>0</v>
      </c>
      <c r="W242">
        <v>60881</v>
      </c>
    </row>
    <row r="243" spans="1:23" x14ac:dyDescent="0.25">
      <c r="A243" s="1" t="s">
        <v>26</v>
      </c>
      <c r="B243" s="1" t="s">
        <v>47</v>
      </c>
      <c r="C243" s="1" t="s">
        <v>108</v>
      </c>
      <c r="D243">
        <v>6070</v>
      </c>
      <c r="E243" s="1"/>
      <c r="F243" s="1" t="s">
        <v>108</v>
      </c>
      <c r="G243">
        <v>2009</v>
      </c>
      <c r="H243">
        <v>147.16</v>
      </c>
      <c r="I243">
        <v>12</v>
      </c>
      <c r="J243" s="1" t="s">
        <v>401</v>
      </c>
      <c r="K243">
        <v>0</v>
      </c>
      <c r="L243">
        <v>800</v>
      </c>
      <c r="M243">
        <v>0.18392700000000001</v>
      </c>
      <c r="N243">
        <v>3</v>
      </c>
      <c r="O243" s="1" t="s">
        <v>560</v>
      </c>
      <c r="P243">
        <v>147.16</v>
      </c>
      <c r="Q243">
        <v>117.72</v>
      </c>
      <c r="R243">
        <v>0</v>
      </c>
      <c r="S243" s="1" t="s">
        <v>584</v>
      </c>
      <c r="T243" s="1"/>
      <c r="U243">
        <v>147.14938000000001</v>
      </c>
      <c r="V243">
        <v>0</v>
      </c>
      <c r="W243">
        <v>60881</v>
      </c>
    </row>
    <row r="244" spans="1:23" x14ac:dyDescent="0.25">
      <c r="A244" s="1" t="s">
        <v>26</v>
      </c>
      <c r="B244" s="1" t="s">
        <v>47</v>
      </c>
      <c r="C244" s="1" t="s">
        <v>108</v>
      </c>
      <c r="D244">
        <v>6070</v>
      </c>
      <c r="E244" s="1"/>
      <c r="F244" s="1" t="s">
        <v>108</v>
      </c>
      <c r="G244">
        <v>2008</v>
      </c>
      <c r="H244">
        <v>210.62</v>
      </c>
      <c r="I244">
        <v>11</v>
      </c>
      <c r="J244" s="1" t="s">
        <v>401</v>
      </c>
      <c r="K244">
        <v>0</v>
      </c>
      <c r="L244">
        <v>800</v>
      </c>
      <c r="M244">
        <v>0.26324199999999998</v>
      </c>
      <c r="N244">
        <v>3</v>
      </c>
      <c r="O244" s="1" t="s">
        <v>560</v>
      </c>
      <c r="P244">
        <v>210.62</v>
      </c>
      <c r="Q244">
        <v>168.5</v>
      </c>
      <c r="R244">
        <v>0</v>
      </c>
      <c r="S244" s="1" t="s">
        <v>584</v>
      </c>
      <c r="T244" s="1"/>
      <c r="U244">
        <v>210.61574999999999</v>
      </c>
      <c r="V244">
        <v>0</v>
      </c>
      <c r="W244">
        <v>60881</v>
      </c>
    </row>
    <row r="245" spans="1:23" x14ac:dyDescent="0.25">
      <c r="A245" s="1" t="s">
        <v>26</v>
      </c>
      <c r="B245" s="1" t="s">
        <v>46</v>
      </c>
      <c r="C245" s="1" t="s">
        <v>106</v>
      </c>
      <c r="D245">
        <v>5477</v>
      </c>
      <c r="E245" s="1"/>
      <c r="F245" s="1" t="s">
        <v>106</v>
      </c>
      <c r="G245">
        <v>2015</v>
      </c>
      <c r="H245">
        <v>385430</v>
      </c>
      <c r="I245">
        <v>5</v>
      </c>
      <c r="J245" s="1" t="s">
        <v>393</v>
      </c>
      <c r="K245">
        <v>0</v>
      </c>
      <c r="L245">
        <v>9829</v>
      </c>
      <c r="M245">
        <v>39.213152000000001</v>
      </c>
      <c r="N245">
        <v>1</v>
      </c>
      <c r="O245" s="1" t="s">
        <v>562</v>
      </c>
      <c r="P245">
        <v>437096.94</v>
      </c>
      <c r="Q245">
        <v>80862933.900000006</v>
      </c>
      <c r="R245">
        <v>0</v>
      </c>
      <c r="S245" s="1" t="s">
        <v>757</v>
      </c>
      <c r="T245" s="1"/>
      <c r="U245">
        <v>385430</v>
      </c>
      <c r="V245">
        <v>0</v>
      </c>
      <c r="W245">
        <v>57921</v>
      </c>
    </row>
    <row r="246" spans="1:23" x14ac:dyDescent="0.25">
      <c r="A246" s="1" t="s">
        <v>26</v>
      </c>
      <c r="B246" s="1" t="s">
        <v>46</v>
      </c>
      <c r="C246" s="1" t="s">
        <v>106</v>
      </c>
      <c r="D246">
        <v>5477</v>
      </c>
      <c r="E246" s="1"/>
      <c r="F246" s="1" t="s">
        <v>106</v>
      </c>
      <c r="G246">
        <v>2015</v>
      </c>
      <c r="H246">
        <v>484001.05</v>
      </c>
      <c r="I246">
        <v>5</v>
      </c>
      <c r="J246" s="1" t="s">
        <v>393</v>
      </c>
      <c r="K246">
        <v>0</v>
      </c>
      <c r="L246">
        <v>9829</v>
      </c>
      <c r="M246">
        <v>49.241644000000001</v>
      </c>
      <c r="N246">
        <v>1</v>
      </c>
      <c r="O246" s="1" t="s">
        <v>563</v>
      </c>
      <c r="P246">
        <v>543744.22</v>
      </c>
      <c r="Q246">
        <v>2883137.87</v>
      </c>
      <c r="R246">
        <v>1</v>
      </c>
      <c r="S246" s="1" t="s">
        <v>757</v>
      </c>
      <c r="T246" s="1"/>
      <c r="U246">
        <v>13872.2</v>
      </c>
      <c r="V246">
        <v>0</v>
      </c>
      <c r="W246">
        <v>58277</v>
      </c>
    </row>
    <row r="247" spans="1:23" x14ac:dyDescent="0.25">
      <c r="A247" s="1" t="s">
        <v>26</v>
      </c>
      <c r="B247" s="1" t="s">
        <v>46</v>
      </c>
      <c r="C247" s="1" t="s">
        <v>106</v>
      </c>
      <c r="D247">
        <v>5477</v>
      </c>
      <c r="E247" s="1"/>
      <c r="F247" s="1" t="s">
        <v>106</v>
      </c>
      <c r="G247">
        <v>2014</v>
      </c>
      <c r="H247">
        <v>611620</v>
      </c>
      <c r="I247">
        <v>12</v>
      </c>
      <c r="J247" s="1" t="s">
        <v>393</v>
      </c>
      <c r="K247">
        <v>0</v>
      </c>
      <c r="L247">
        <v>9829</v>
      </c>
      <c r="M247">
        <v>62.225431999999998</v>
      </c>
      <c r="N247">
        <v>1</v>
      </c>
      <c r="O247" s="1" t="s">
        <v>562</v>
      </c>
      <c r="P247">
        <v>743319.27</v>
      </c>
      <c r="Q247">
        <v>51271821.479999997</v>
      </c>
      <c r="R247">
        <v>0</v>
      </c>
      <c r="S247" s="1" t="s">
        <v>757</v>
      </c>
      <c r="T247" s="1"/>
      <c r="U247">
        <v>611620</v>
      </c>
      <c r="V247">
        <v>0</v>
      </c>
      <c r="W247">
        <v>57921</v>
      </c>
    </row>
    <row r="248" spans="1:23" x14ac:dyDescent="0.25">
      <c r="A248" s="1" t="s">
        <v>26</v>
      </c>
      <c r="B248" s="1" t="s">
        <v>46</v>
      </c>
      <c r="C248" s="1" t="s">
        <v>106</v>
      </c>
      <c r="D248">
        <v>5477</v>
      </c>
      <c r="E248" s="1"/>
      <c r="F248" s="1" t="s">
        <v>106</v>
      </c>
      <c r="G248">
        <v>2014</v>
      </c>
      <c r="H248">
        <v>908172.75</v>
      </c>
      <c r="I248">
        <v>12</v>
      </c>
      <c r="J248" s="1" t="s">
        <v>393</v>
      </c>
      <c r="K248">
        <v>0</v>
      </c>
      <c r="L248">
        <v>9829</v>
      </c>
      <c r="M248">
        <v>92.396327999999997</v>
      </c>
      <c r="N248">
        <v>1</v>
      </c>
      <c r="O248" s="1" t="s">
        <v>563</v>
      </c>
      <c r="P248">
        <v>1104684.19</v>
      </c>
      <c r="Q248">
        <v>1651210.03</v>
      </c>
      <c r="R248">
        <v>1</v>
      </c>
      <c r="S248" s="1" t="s">
        <v>757</v>
      </c>
      <c r="T248" s="1"/>
      <c r="U248">
        <v>26029.599999999999</v>
      </c>
      <c r="V248">
        <v>0</v>
      </c>
      <c r="W248">
        <v>58277</v>
      </c>
    </row>
    <row r="249" spans="1:23" x14ac:dyDescent="0.25">
      <c r="A249" s="1" t="s">
        <v>26</v>
      </c>
      <c r="B249" s="1" t="s">
        <v>46</v>
      </c>
      <c r="C249" s="1" t="s">
        <v>106</v>
      </c>
      <c r="D249">
        <v>5477</v>
      </c>
      <c r="E249" s="1"/>
      <c r="F249" s="1" t="s">
        <v>106</v>
      </c>
      <c r="G249">
        <v>2013</v>
      </c>
      <c r="H249">
        <v>645550</v>
      </c>
      <c r="I249">
        <v>12</v>
      </c>
      <c r="J249" s="1" t="s">
        <v>393</v>
      </c>
      <c r="K249">
        <v>0</v>
      </c>
      <c r="L249">
        <v>9829</v>
      </c>
      <c r="M249">
        <v>65.677426999999994</v>
      </c>
      <c r="N249">
        <v>1</v>
      </c>
      <c r="O249" s="1" t="s">
        <v>562</v>
      </c>
      <c r="P249">
        <v>683857.16</v>
      </c>
      <c r="Q249">
        <v>126513.58</v>
      </c>
      <c r="R249">
        <v>0</v>
      </c>
      <c r="S249" s="1" t="s">
        <v>757</v>
      </c>
      <c r="T249" s="1"/>
      <c r="U249">
        <v>645550</v>
      </c>
      <c r="V249">
        <v>0</v>
      </c>
      <c r="W249">
        <v>57921</v>
      </c>
    </row>
    <row r="250" spans="1:23" x14ac:dyDescent="0.25">
      <c r="A250" s="1" t="s">
        <v>26</v>
      </c>
      <c r="B250" s="1" t="s">
        <v>46</v>
      </c>
      <c r="C250" s="1" t="s">
        <v>106</v>
      </c>
      <c r="D250">
        <v>5477</v>
      </c>
      <c r="E250" s="1"/>
      <c r="F250" s="1" t="s">
        <v>106</v>
      </c>
      <c r="G250">
        <v>2013</v>
      </c>
      <c r="H250">
        <v>1068963.31</v>
      </c>
      <c r="I250">
        <v>12</v>
      </c>
      <c r="J250" s="1" t="s">
        <v>393</v>
      </c>
      <c r="K250">
        <v>0</v>
      </c>
      <c r="L250">
        <v>9829</v>
      </c>
      <c r="M250">
        <v>108.754953</v>
      </c>
      <c r="N250">
        <v>1</v>
      </c>
      <c r="O250" s="1" t="s">
        <v>563</v>
      </c>
      <c r="P250">
        <v>1306171.23</v>
      </c>
      <c r="Q250">
        <v>6925.82</v>
      </c>
      <c r="R250">
        <v>1</v>
      </c>
      <c r="S250" s="1" t="s">
        <v>757</v>
      </c>
      <c r="T250" s="1"/>
      <c r="U250">
        <v>30638.1</v>
      </c>
      <c r="V250">
        <v>0</v>
      </c>
      <c r="W250">
        <v>58277</v>
      </c>
    </row>
    <row r="251" spans="1:23" x14ac:dyDescent="0.25">
      <c r="A251" s="1" t="s">
        <v>26</v>
      </c>
      <c r="B251" s="1" t="s">
        <v>46</v>
      </c>
      <c r="C251" s="1" t="s">
        <v>106</v>
      </c>
      <c r="D251">
        <v>5477</v>
      </c>
      <c r="E251" s="1"/>
      <c r="F251" s="1" t="s">
        <v>106</v>
      </c>
      <c r="G251">
        <v>2012</v>
      </c>
      <c r="H251">
        <v>603580</v>
      </c>
      <c r="I251">
        <v>12</v>
      </c>
      <c r="J251" s="1" t="s">
        <v>393</v>
      </c>
      <c r="K251">
        <v>0</v>
      </c>
      <c r="L251">
        <v>9829</v>
      </c>
      <c r="M251">
        <v>61.407452999999997</v>
      </c>
      <c r="N251">
        <v>1</v>
      </c>
      <c r="O251" s="1" t="s">
        <v>562</v>
      </c>
      <c r="P251">
        <v>632152.22</v>
      </c>
      <c r="Q251">
        <v>116948.18</v>
      </c>
      <c r="R251">
        <v>0</v>
      </c>
      <c r="S251" s="1" t="s">
        <v>757</v>
      </c>
      <c r="T251" s="1"/>
      <c r="U251">
        <v>603580</v>
      </c>
      <c r="V251">
        <v>0</v>
      </c>
      <c r="W251">
        <v>57921</v>
      </c>
    </row>
    <row r="252" spans="1:23" x14ac:dyDescent="0.25">
      <c r="A252" s="1" t="s">
        <v>26</v>
      </c>
      <c r="B252" s="1" t="s">
        <v>46</v>
      </c>
      <c r="C252" s="1" t="s">
        <v>106</v>
      </c>
      <c r="D252">
        <v>5477</v>
      </c>
      <c r="E252" s="1"/>
      <c r="F252" s="1" t="s">
        <v>106</v>
      </c>
      <c r="G252">
        <v>2012</v>
      </c>
      <c r="H252">
        <v>876482.16</v>
      </c>
      <c r="I252">
        <v>12</v>
      </c>
      <c r="J252" s="1" t="s">
        <v>393</v>
      </c>
      <c r="K252">
        <v>0</v>
      </c>
      <c r="L252">
        <v>9829</v>
      </c>
      <c r="M252">
        <v>89.172167999999999</v>
      </c>
      <c r="N252">
        <v>1</v>
      </c>
      <c r="O252" s="1" t="s">
        <v>563</v>
      </c>
      <c r="P252">
        <v>940549.93</v>
      </c>
      <c r="Q252">
        <v>4987.1499999999996</v>
      </c>
      <c r="R252">
        <v>1</v>
      </c>
      <c r="S252" s="1" t="s">
        <v>757</v>
      </c>
      <c r="T252" s="1"/>
      <c r="U252">
        <v>25121.3</v>
      </c>
      <c r="V252">
        <v>0</v>
      </c>
      <c r="W252">
        <v>58277</v>
      </c>
    </row>
    <row r="253" spans="1:23" x14ac:dyDescent="0.25">
      <c r="A253" s="1" t="s">
        <v>26</v>
      </c>
      <c r="B253" s="1" t="s">
        <v>46</v>
      </c>
      <c r="C253" s="1" t="s">
        <v>106</v>
      </c>
      <c r="D253">
        <v>5477</v>
      </c>
      <c r="E253" s="1"/>
      <c r="F253" s="1" t="s">
        <v>106</v>
      </c>
      <c r="G253">
        <v>2011</v>
      </c>
      <c r="H253">
        <v>505700</v>
      </c>
      <c r="I253">
        <v>12</v>
      </c>
      <c r="J253" s="1" t="s">
        <v>393</v>
      </c>
      <c r="K253">
        <v>0</v>
      </c>
      <c r="L253">
        <v>9829</v>
      </c>
      <c r="M253">
        <v>51.449266999999999</v>
      </c>
      <c r="N253">
        <v>1</v>
      </c>
      <c r="O253" s="1" t="s">
        <v>562</v>
      </c>
      <c r="P253">
        <v>553953.25</v>
      </c>
      <c r="Q253">
        <v>102481.36</v>
      </c>
      <c r="R253">
        <v>0</v>
      </c>
      <c r="S253" s="1" t="s">
        <v>757</v>
      </c>
      <c r="T253" s="1"/>
      <c r="U253">
        <v>505700</v>
      </c>
      <c r="V253">
        <v>0</v>
      </c>
      <c r="W253">
        <v>57921</v>
      </c>
    </row>
    <row r="254" spans="1:23" x14ac:dyDescent="0.25">
      <c r="A254" s="1" t="s">
        <v>26</v>
      </c>
      <c r="B254" s="1" t="s">
        <v>46</v>
      </c>
      <c r="C254" s="1" t="s">
        <v>106</v>
      </c>
      <c r="D254">
        <v>5477</v>
      </c>
      <c r="E254" s="1"/>
      <c r="F254" s="1" t="s">
        <v>106</v>
      </c>
      <c r="G254">
        <v>2011</v>
      </c>
      <c r="H254">
        <v>532759.82999999996</v>
      </c>
      <c r="I254">
        <v>12</v>
      </c>
      <c r="J254" s="1" t="s">
        <v>393</v>
      </c>
      <c r="K254">
        <v>0</v>
      </c>
      <c r="L254">
        <v>9829</v>
      </c>
      <c r="M254">
        <v>54.202300000000001</v>
      </c>
      <c r="N254">
        <v>1</v>
      </c>
      <c r="O254" s="1" t="s">
        <v>563</v>
      </c>
      <c r="P254">
        <v>585145.23</v>
      </c>
      <c r="Q254">
        <v>3102.65</v>
      </c>
      <c r="R254">
        <v>1</v>
      </c>
      <c r="S254" s="1" t="s">
        <v>757</v>
      </c>
      <c r="T254" s="1"/>
      <c r="U254">
        <v>15269.7</v>
      </c>
      <c r="V254">
        <v>0</v>
      </c>
      <c r="W254">
        <v>58277</v>
      </c>
    </row>
    <row r="255" spans="1:23" x14ac:dyDescent="0.25">
      <c r="A255" s="1" t="s">
        <v>26</v>
      </c>
      <c r="B255" s="1" t="s">
        <v>46</v>
      </c>
      <c r="C255" s="1" t="s">
        <v>106</v>
      </c>
      <c r="D255">
        <v>5477</v>
      </c>
      <c r="E255" s="1"/>
      <c r="F255" s="1" t="s">
        <v>106</v>
      </c>
      <c r="G255">
        <v>2010</v>
      </c>
      <c r="H255">
        <v>697655.01</v>
      </c>
      <c r="I255">
        <v>12</v>
      </c>
      <c r="J255" s="1" t="s">
        <v>393</v>
      </c>
      <c r="K255">
        <v>0</v>
      </c>
      <c r="L255">
        <v>9829</v>
      </c>
      <c r="M255">
        <v>70.978522999999996</v>
      </c>
      <c r="N255">
        <v>1</v>
      </c>
      <c r="O255" s="1" t="s">
        <v>562</v>
      </c>
      <c r="P255">
        <v>629426.46</v>
      </c>
      <c r="Q255">
        <v>116443.89</v>
      </c>
      <c r="R255">
        <v>0</v>
      </c>
      <c r="S255" s="1" t="s">
        <v>757</v>
      </c>
      <c r="T255" s="1"/>
      <c r="U255">
        <v>697655.01</v>
      </c>
      <c r="V255">
        <v>0</v>
      </c>
      <c r="W255">
        <v>57921</v>
      </c>
    </row>
    <row r="256" spans="1:23" x14ac:dyDescent="0.25">
      <c r="A256" s="1" t="s">
        <v>26</v>
      </c>
      <c r="B256" s="1" t="s">
        <v>46</v>
      </c>
      <c r="C256" s="1" t="s">
        <v>106</v>
      </c>
      <c r="D256">
        <v>5477</v>
      </c>
      <c r="E256" s="1"/>
      <c r="F256" s="1" t="s">
        <v>106</v>
      </c>
      <c r="G256">
        <v>2010</v>
      </c>
      <c r="H256">
        <v>1338687.44</v>
      </c>
      <c r="I256">
        <v>12</v>
      </c>
      <c r="J256" s="1" t="s">
        <v>393</v>
      </c>
      <c r="K256">
        <v>0</v>
      </c>
      <c r="L256">
        <v>9829</v>
      </c>
      <c r="M256">
        <v>136.19633899999999</v>
      </c>
      <c r="N256">
        <v>1</v>
      </c>
      <c r="O256" s="1" t="s">
        <v>563</v>
      </c>
      <c r="P256">
        <v>1248279.81</v>
      </c>
      <c r="Q256">
        <v>6618.85</v>
      </c>
      <c r="R256">
        <v>1</v>
      </c>
      <c r="S256" s="1" t="s">
        <v>757</v>
      </c>
      <c r="T256" s="1"/>
      <c r="U256">
        <v>38368.800000000003</v>
      </c>
      <c r="V256">
        <v>0</v>
      </c>
      <c r="W256">
        <v>58277</v>
      </c>
    </row>
    <row r="257" spans="1:23" x14ac:dyDescent="0.25">
      <c r="A257" s="1" t="s">
        <v>26</v>
      </c>
      <c r="B257" s="1" t="s">
        <v>46</v>
      </c>
      <c r="C257" s="1" t="s">
        <v>106</v>
      </c>
      <c r="D257">
        <v>5477</v>
      </c>
      <c r="E257" s="1"/>
      <c r="F257" s="1" t="s">
        <v>106</v>
      </c>
      <c r="G257">
        <v>2009</v>
      </c>
      <c r="H257">
        <v>723465</v>
      </c>
      <c r="I257">
        <v>12</v>
      </c>
      <c r="J257" s="1" t="s">
        <v>393</v>
      </c>
      <c r="K257">
        <v>0</v>
      </c>
      <c r="L257">
        <v>9829</v>
      </c>
      <c r="M257">
        <v>73.604399000000001</v>
      </c>
      <c r="N257">
        <v>1</v>
      </c>
      <c r="O257" s="1" t="s">
        <v>562</v>
      </c>
      <c r="P257">
        <v>772641.88</v>
      </c>
      <c r="Q257">
        <v>142938.75</v>
      </c>
      <c r="R257">
        <v>0</v>
      </c>
      <c r="S257" s="1" t="s">
        <v>757</v>
      </c>
      <c r="T257" s="1"/>
      <c r="U257">
        <v>723465</v>
      </c>
      <c r="V257">
        <v>0</v>
      </c>
      <c r="W257">
        <v>57921</v>
      </c>
    </row>
    <row r="258" spans="1:23" x14ac:dyDescent="0.25">
      <c r="A258" s="1" t="s">
        <v>26</v>
      </c>
      <c r="B258" s="1" t="s">
        <v>46</v>
      </c>
      <c r="C258" s="1" t="s">
        <v>106</v>
      </c>
      <c r="D258">
        <v>5477</v>
      </c>
      <c r="E258" s="1"/>
      <c r="F258" s="1" t="s">
        <v>106</v>
      </c>
      <c r="G258">
        <v>2009</v>
      </c>
      <c r="H258">
        <v>1148456.68</v>
      </c>
      <c r="I258">
        <v>12</v>
      </c>
      <c r="J258" s="1" t="s">
        <v>393</v>
      </c>
      <c r="K258">
        <v>0</v>
      </c>
      <c r="L258">
        <v>9829</v>
      </c>
      <c r="M258">
        <v>116.842506</v>
      </c>
      <c r="N258">
        <v>1</v>
      </c>
      <c r="O258" s="1" t="s">
        <v>563</v>
      </c>
      <c r="P258">
        <v>1379916.93</v>
      </c>
      <c r="Q258">
        <v>7316.84</v>
      </c>
      <c r="R258">
        <v>1</v>
      </c>
      <c r="S258" s="1" t="s">
        <v>757</v>
      </c>
      <c r="T258" s="1"/>
      <c r="U258">
        <v>32916.5</v>
      </c>
      <c r="V258">
        <v>0</v>
      </c>
      <c r="W258">
        <v>58277</v>
      </c>
    </row>
    <row r="259" spans="1:23" x14ac:dyDescent="0.25">
      <c r="A259" s="1" t="s">
        <v>26</v>
      </c>
      <c r="B259" s="1" t="s">
        <v>46</v>
      </c>
      <c r="C259" s="1" t="s">
        <v>106</v>
      </c>
      <c r="D259">
        <v>5477</v>
      </c>
      <c r="E259" s="1"/>
      <c r="F259" s="1" t="s">
        <v>106</v>
      </c>
      <c r="G259">
        <v>2008</v>
      </c>
      <c r="H259">
        <v>732640</v>
      </c>
      <c r="I259">
        <v>12</v>
      </c>
      <c r="J259" s="1" t="s">
        <v>393</v>
      </c>
      <c r="K259">
        <v>0</v>
      </c>
      <c r="L259">
        <v>9829</v>
      </c>
      <c r="M259">
        <v>74.537851000000003</v>
      </c>
      <c r="N259">
        <v>1</v>
      </c>
      <c r="O259" s="1" t="s">
        <v>562</v>
      </c>
      <c r="P259">
        <v>848651.36</v>
      </c>
      <c r="Q259">
        <v>157000.5</v>
      </c>
      <c r="R259">
        <v>0</v>
      </c>
      <c r="S259" s="1" t="s">
        <v>757</v>
      </c>
      <c r="T259" s="1"/>
      <c r="U259">
        <v>732640</v>
      </c>
      <c r="V259">
        <v>0</v>
      </c>
      <c r="W259">
        <v>57921</v>
      </c>
    </row>
    <row r="260" spans="1:23" x14ac:dyDescent="0.25">
      <c r="A260" s="1" t="s">
        <v>26</v>
      </c>
      <c r="B260" s="1" t="s">
        <v>46</v>
      </c>
      <c r="C260" s="1" t="s">
        <v>106</v>
      </c>
      <c r="D260">
        <v>5477</v>
      </c>
      <c r="E260" s="1"/>
      <c r="F260" s="1" t="s">
        <v>106</v>
      </c>
      <c r="G260">
        <v>2008</v>
      </c>
      <c r="H260">
        <v>942820.28</v>
      </c>
      <c r="I260">
        <v>12</v>
      </c>
      <c r="J260" s="1" t="s">
        <v>393</v>
      </c>
      <c r="K260">
        <v>0</v>
      </c>
      <c r="L260">
        <v>9829</v>
      </c>
      <c r="M260">
        <v>95.921323000000001</v>
      </c>
      <c r="N260">
        <v>1</v>
      </c>
      <c r="O260" s="1" t="s">
        <v>563</v>
      </c>
      <c r="P260">
        <v>1094981.8</v>
      </c>
      <c r="Q260">
        <v>5806.01</v>
      </c>
      <c r="R260">
        <v>1</v>
      </c>
      <c r="S260" s="1" t="s">
        <v>757</v>
      </c>
      <c r="T260" s="1"/>
      <c r="U260">
        <v>27022.65</v>
      </c>
      <c r="V260">
        <v>0</v>
      </c>
      <c r="W260">
        <v>58277</v>
      </c>
    </row>
    <row r="261" spans="1:23" x14ac:dyDescent="0.25">
      <c r="A261" s="1" t="s">
        <v>26</v>
      </c>
      <c r="B261" s="1"/>
      <c r="C261" s="1" t="s">
        <v>107</v>
      </c>
      <c r="D261">
        <v>10124</v>
      </c>
      <c r="E261" s="1"/>
      <c r="F261" s="1" t="s">
        <v>359</v>
      </c>
      <c r="G261">
        <v>2015</v>
      </c>
      <c r="H261">
        <v>76315</v>
      </c>
      <c r="I261">
        <v>5</v>
      </c>
      <c r="J261" s="1" t="s">
        <v>442</v>
      </c>
      <c r="K261">
        <v>0</v>
      </c>
      <c r="L261">
        <v>780</v>
      </c>
      <c r="M261">
        <v>97.827201000000002</v>
      </c>
      <c r="N261">
        <v>1</v>
      </c>
      <c r="O261" s="1" t="s">
        <v>562</v>
      </c>
      <c r="P261">
        <v>87097.919999999998</v>
      </c>
      <c r="Q261">
        <v>5574.27</v>
      </c>
      <c r="R261">
        <v>0</v>
      </c>
      <c r="S261" s="1" t="s">
        <v>758</v>
      </c>
      <c r="T261" s="1"/>
      <c r="U261">
        <v>76315</v>
      </c>
      <c r="V261">
        <v>0</v>
      </c>
      <c r="W261">
        <v>96143</v>
      </c>
    </row>
    <row r="262" spans="1:23" x14ac:dyDescent="0.25">
      <c r="A262" s="1" t="s">
        <v>26</v>
      </c>
      <c r="B262" s="1"/>
      <c r="C262" s="1" t="s">
        <v>107</v>
      </c>
      <c r="D262">
        <v>10124</v>
      </c>
      <c r="E262" s="1"/>
      <c r="F262" s="1" t="s">
        <v>359</v>
      </c>
      <c r="G262">
        <v>2015</v>
      </c>
      <c r="H262">
        <v>0</v>
      </c>
      <c r="I262">
        <v>5</v>
      </c>
      <c r="J262" s="1" t="s">
        <v>400</v>
      </c>
      <c r="K262">
        <v>0</v>
      </c>
      <c r="L262">
        <v>780</v>
      </c>
      <c r="M262">
        <v>0</v>
      </c>
      <c r="N262">
        <v>1</v>
      </c>
      <c r="O262" s="1" t="s">
        <v>564</v>
      </c>
      <c r="P262">
        <v>0</v>
      </c>
      <c r="Q262">
        <v>0</v>
      </c>
      <c r="R262">
        <v>0</v>
      </c>
      <c r="S262" s="1" t="s">
        <v>759</v>
      </c>
      <c r="T262" s="1" t="s">
        <v>1184</v>
      </c>
      <c r="U262">
        <v>0</v>
      </c>
      <c r="V262">
        <v>0</v>
      </c>
      <c r="W262">
        <v>77796</v>
      </c>
    </row>
    <row r="263" spans="1:23" x14ac:dyDescent="0.25">
      <c r="A263" s="1" t="s">
        <v>26</v>
      </c>
      <c r="B263" s="1"/>
      <c r="C263" s="1" t="s">
        <v>107</v>
      </c>
      <c r="D263">
        <v>10124</v>
      </c>
      <c r="E263" s="1"/>
      <c r="F263" s="1" t="s">
        <v>359</v>
      </c>
      <c r="G263">
        <v>2014</v>
      </c>
      <c r="H263">
        <v>51336</v>
      </c>
      <c r="I263">
        <v>10</v>
      </c>
      <c r="J263" s="1" t="s">
        <v>442</v>
      </c>
      <c r="K263">
        <v>0</v>
      </c>
      <c r="L263">
        <v>780</v>
      </c>
      <c r="M263">
        <v>65.806946999999994</v>
      </c>
      <c r="N263">
        <v>1</v>
      </c>
      <c r="O263" s="1" t="s">
        <v>562</v>
      </c>
      <c r="P263">
        <v>64274.91</v>
      </c>
      <c r="Q263">
        <v>4113.58</v>
      </c>
      <c r="R263">
        <v>0</v>
      </c>
      <c r="S263" s="1" t="s">
        <v>758</v>
      </c>
      <c r="T263" s="1"/>
      <c r="U263">
        <v>51336</v>
      </c>
      <c r="V263">
        <v>0</v>
      </c>
      <c r="W263">
        <v>96143</v>
      </c>
    </row>
    <row r="264" spans="1:23" x14ac:dyDescent="0.25">
      <c r="A264" s="1" t="s">
        <v>26</v>
      </c>
      <c r="B264" s="1"/>
      <c r="C264" s="1" t="s">
        <v>107</v>
      </c>
      <c r="D264">
        <v>10124</v>
      </c>
      <c r="E264" s="1"/>
      <c r="F264" s="1" t="s">
        <v>359</v>
      </c>
      <c r="G264">
        <v>2014</v>
      </c>
      <c r="H264">
        <v>58918.11</v>
      </c>
      <c r="I264">
        <v>12</v>
      </c>
      <c r="J264" s="1" t="s">
        <v>400</v>
      </c>
      <c r="K264">
        <v>0</v>
      </c>
      <c r="L264">
        <v>780</v>
      </c>
      <c r="M264">
        <v>75.526354999999995</v>
      </c>
      <c r="N264">
        <v>1</v>
      </c>
      <c r="O264" s="1" t="s">
        <v>564</v>
      </c>
      <c r="P264">
        <v>72607.929999999993</v>
      </c>
      <c r="Q264">
        <v>15355.24</v>
      </c>
      <c r="R264">
        <v>0</v>
      </c>
      <c r="S264" s="1" t="s">
        <v>759</v>
      </c>
      <c r="T264" s="1" t="s">
        <v>1184</v>
      </c>
      <c r="U264">
        <v>5455.38</v>
      </c>
      <c r="V264">
        <v>0</v>
      </c>
      <c r="W264">
        <v>77796</v>
      </c>
    </row>
    <row r="265" spans="1:23" x14ac:dyDescent="0.25">
      <c r="A265" s="1" t="s">
        <v>26</v>
      </c>
      <c r="B265" s="1"/>
      <c r="C265" s="1" t="s">
        <v>107</v>
      </c>
      <c r="D265">
        <v>10124</v>
      </c>
      <c r="E265" s="1"/>
      <c r="F265" s="1" t="s">
        <v>359</v>
      </c>
      <c r="G265">
        <v>2013</v>
      </c>
      <c r="H265">
        <v>145518.56</v>
      </c>
      <c r="I265">
        <v>12</v>
      </c>
      <c r="J265" s="1" t="s">
        <v>400</v>
      </c>
      <c r="K265">
        <v>0</v>
      </c>
      <c r="L265">
        <v>780</v>
      </c>
      <c r="M265">
        <v>186.538341</v>
      </c>
      <c r="N265">
        <v>1</v>
      </c>
      <c r="O265" s="1" t="s">
        <v>564</v>
      </c>
      <c r="P265">
        <v>151569.49</v>
      </c>
      <c r="Q265">
        <v>32054.16</v>
      </c>
      <c r="R265">
        <v>0</v>
      </c>
      <c r="S265" s="1" t="s">
        <v>759</v>
      </c>
      <c r="T265" s="1" t="s">
        <v>1184</v>
      </c>
      <c r="U265">
        <v>13473.94</v>
      </c>
      <c r="V265">
        <v>0</v>
      </c>
      <c r="W265">
        <v>77796</v>
      </c>
    </row>
    <row r="266" spans="1:23" x14ac:dyDescent="0.25">
      <c r="A266" s="1" t="s">
        <v>26</v>
      </c>
      <c r="B266" s="1"/>
      <c r="C266" s="1" t="s">
        <v>107</v>
      </c>
      <c r="D266">
        <v>10124</v>
      </c>
      <c r="E266" s="1"/>
      <c r="F266" s="1" t="s">
        <v>359</v>
      </c>
      <c r="G266">
        <v>2012</v>
      </c>
      <c r="H266">
        <v>172210.53</v>
      </c>
      <c r="I266">
        <v>12</v>
      </c>
      <c r="J266" s="1" t="s">
        <v>400</v>
      </c>
      <c r="K266">
        <v>0</v>
      </c>
      <c r="L266">
        <v>780</v>
      </c>
      <c r="M266">
        <v>220.75442799999999</v>
      </c>
      <c r="N266">
        <v>1</v>
      </c>
      <c r="O266" s="1" t="s">
        <v>564</v>
      </c>
      <c r="P266">
        <v>182025.49</v>
      </c>
      <c r="Q266">
        <v>38495.019999999997</v>
      </c>
      <c r="R266">
        <v>0</v>
      </c>
      <c r="S266" s="1" t="s">
        <v>759</v>
      </c>
      <c r="T266" s="1" t="s">
        <v>1184</v>
      </c>
      <c r="U266">
        <v>15945.42</v>
      </c>
      <c r="V266">
        <v>0</v>
      </c>
      <c r="W266">
        <v>77796</v>
      </c>
    </row>
    <row r="267" spans="1:23" x14ac:dyDescent="0.25">
      <c r="A267" s="1" t="s">
        <v>26</v>
      </c>
      <c r="B267" s="1"/>
      <c r="C267" s="1" t="s">
        <v>107</v>
      </c>
      <c r="D267">
        <v>10124</v>
      </c>
      <c r="E267" s="1"/>
      <c r="F267" s="1" t="s">
        <v>359</v>
      </c>
      <c r="G267">
        <v>2011</v>
      </c>
      <c r="H267">
        <v>157370.88</v>
      </c>
      <c r="I267">
        <v>12</v>
      </c>
      <c r="J267" s="1" t="s">
        <v>400</v>
      </c>
      <c r="K267">
        <v>0</v>
      </c>
      <c r="L267">
        <v>780</v>
      </c>
      <c r="M267">
        <v>201.731675</v>
      </c>
      <c r="N267">
        <v>1</v>
      </c>
      <c r="O267" s="1" t="s">
        <v>564</v>
      </c>
      <c r="P267">
        <v>170401.33</v>
      </c>
      <c r="Q267">
        <v>36036.730000000003</v>
      </c>
      <c r="R267">
        <v>0</v>
      </c>
      <c r="S267" s="1" t="s">
        <v>759</v>
      </c>
      <c r="T267" s="1" t="s">
        <v>1184</v>
      </c>
      <c r="U267">
        <v>14571.379300000001</v>
      </c>
      <c r="V267">
        <v>0</v>
      </c>
      <c r="W267">
        <v>77796</v>
      </c>
    </row>
    <row r="268" spans="1:23" x14ac:dyDescent="0.25">
      <c r="A268" s="1" t="s">
        <v>26</v>
      </c>
      <c r="B268" s="1"/>
      <c r="C268" s="1" t="s">
        <v>107</v>
      </c>
      <c r="D268">
        <v>10124</v>
      </c>
      <c r="E268" s="1"/>
      <c r="F268" s="1" t="s">
        <v>359</v>
      </c>
      <c r="G268">
        <v>2010</v>
      </c>
      <c r="H268">
        <v>197710.85</v>
      </c>
      <c r="I268">
        <v>12</v>
      </c>
      <c r="J268" s="1" t="s">
        <v>400</v>
      </c>
      <c r="K268">
        <v>0</v>
      </c>
      <c r="L268">
        <v>780</v>
      </c>
      <c r="M268">
        <v>253.44295600000001</v>
      </c>
      <c r="N268">
        <v>1</v>
      </c>
      <c r="O268" s="1" t="s">
        <v>564</v>
      </c>
      <c r="P268">
        <v>180324.99</v>
      </c>
      <c r="Q268">
        <v>38135.4</v>
      </c>
      <c r="R268">
        <v>0</v>
      </c>
      <c r="S268" s="1" t="s">
        <v>759</v>
      </c>
      <c r="T268" s="1" t="s">
        <v>1184</v>
      </c>
      <c r="U268">
        <v>18306.560000000001</v>
      </c>
      <c r="V268">
        <v>0</v>
      </c>
      <c r="W268">
        <v>77796</v>
      </c>
    </row>
    <row r="269" spans="1:23" x14ac:dyDescent="0.25">
      <c r="A269" s="1" t="s">
        <v>26</v>
      </c>
      <c r="B269" s="1"/>
      <c r="C269" s="1" t="s">
        <v>107</v>
      </c>
      <c r="D269">
        <v>10124</v>
      </c>
      <c r="E269" s="1"/>
      <c r="F269" s="1" t="s">
        <v>359</v>
      </c>
      <c r="G269">
        <v>2009</v>
      </c>
      <c r="H269">
        <v>159637.4</v>
      </c>
      <c r="I269">
        <v>12</v>
      </c>
      <c r="J269" s="1" t="s">
        <v>400</v>
      </c>
      <c r="K269">
        <v>0</v>
      </c>
      <c r="L269">
        <v>780</v>
      </c>
      <c r="M269">
        <v>204.63709700000001</v>
      </c>
      <c r="N269">
        <v>1</v>
      </c>
      <c r="O269" s="1" t="s">
        <v>564</v>
      </c>
      <c r="P269">
        <v>169676.89</v>
      </c>
      <c r="Q269">
        <v>35883.51</v>
      </c>
      <c r="R269">
        <v>0</v>
      </c>
      <c r="S269" s="1" t="s">
        <v>759</v>
      </c>
      <c r="T269" s="1" t="s">
        <v>1184</v>
      </c>
      <c r="U269">
        <v>14781.24</v>
      </c>
      <c r="V269">
        <v>0</v>
      </c>
      <c r="W269">
        <v>77796</v>
      </c>
    </row>
    <row r="270" spans="1:23" x14ac:dyDescent="0.25">
      <c r="A270" s="1" t="s">
        <v>26</v>
      </c>
      <c r="B270" s="1"/>
      <c r="C270" s="1" t="s">
        <v>107</v>
      </c>
      <c r="D270">
        <v>10124</v>
      </c>
      <c r="E270" s="1"/>
      <c r="F270" s="1" t="s">
        <v>359</v>
      </c>
      <c r="G270">
        <v>2008</v>
      </c>
      <c r="H270">
        <v>145926.57999999999</v>
      </c>
      <c r="I270">
        <v>12</v>
      </c>
      <c r="J270" s="1" t="s">
        <v>400</v>
      </c>
      <c r="K270">
        <v>0</v>
      </c>
      <c r="L270">
        <v>780</v>
      </c>
      <c r="M270">
        <v>187.061376</v>
      </c>
      <c r="N270">
        <v>1</v>
      </c>
      <c r="O270" s="1" t="s">
        <v>564</v>
      </c>
      <c r="P270">
        <v>164943.85</v>
      </c>
      <c r="Q270">
        <v>34882.57</v>
      </c>
      <c r="R270">
        <v>0</v>
      </c>
      <c r="S270" s="1" t="s">
        <v>759</v>
      </c>
      <c r="T270" s="1" t="s">
        <v>1184</v>
      </c>
      <c r="U270">
        <v>13511.71968</v>
      </c>
      <c r="V270">
        <v>0</v>
      </c>
      <c r="W270">
        <v>77796</v>
      </c>
    </row>
    <row r="271" spans="1:23" x14ac:dyDescent="0.25">
      <c r="A271" s="1" t="s">
        <v>26</v>
      </c>
      <c r="B271" s="1"/>
      <c r="C271" s="1" t="s">
        <v>107</v>
      </c>
      <c r="D271">
        <v>10123</v>
      </c>
      <c r="E271" s="1"/>
      <c r="F271" s="1" t="s">
        <v>255</v>
      </c>
      <c r="G271">
        <v>2015</v>
      </c>
      <c r="H271">
        <v>28916</v>
      </c>
      <c r="I271">
        <v>5</v>
      </c>
      <c r="J271" s="1" t="s">
        <v>464</v>
      </c>
      <c r="K271">
        <v>0</v>
      </c>
      <c r="L271">
        <v>1413</v>
      </c>
      <c r="M271">
        <v>20.462812</v>
      </c>
      <c r="N271">
        <v>1</v>
      </c>
      <c r="O271" s="1" t="s">
        <v>562</v>
      </c>
      <c r="P271">
        <v>32598.59</v>
      </c>
      <c r="Q271">
        <v>2086.31</v>
      </c>
      <c r="R271">
        <v>0</v>
      </c>
      <c r="S271" s="1" t="s">
        <v>760</v>
      </c>
      <c r="T271" s="1"/>
      <c r="U271">
        <v>28916</v>
      </c>
      <c r="V271">
        <v>0</v>
      </c>
      <c r="W271">
        <v>96273</v>
      </c>
    </row>
    <row r="272" spans="1:23" x14ac:dyDescent="0.25">
      <c r="A272" s="1" t="s">
        <v>26</v>
      </c>
      <c r="B272" s="1"/>
      <c r="C272" s="1" t="s">
        <v>107</v>
      </c>
      <c r="D272">
        <v>10123</v>
      </c>
      <c r="E272" s="1"/>
      <c r="F272" s="1" t="s">
        <v>255</v>
      </c>
      <c r="G272">
        <v>2015</v>
      </c>
      <c r="H272">
        <v>5.19</v>
      </c>
      <c r="I272">
        <v>5</v>
      </c>
      <c r="J272" s="1" t="s">
        <v>465</v>
      </c>
      <c r="K272">
        <v>0</v>
      </c>
      <c r="L272">
        <v>1413</v>
      </c>
      <c r="M272">
        <v>3.6719999999999999E-3</v>
      </c>
      <c r="N272">
        <v>1</v>
      </c>
      <c r="O272" s="1" t="s">
        <v>564</v>
      </c>
      <c r="P272">
        <v>5.19</v>
      </c>
      <c r="Q272">
        <v>1.1000000000000001</v>
      </c>
      <c r="R272">
        <v>0</v>
      </c>
      <c r="S272" s="1" t="s">
        <v>761</v>
      </c>
      <c r="T272" s="1" t="s">
        <v>1185</v>
      </c>
      <c r="U272">
        <v>0.48</v>
      </c>
      <c r="V272">
        <v>0</v>
      </c>
      <c r="W272">
        <v>77798</v>
      </c>
    </row>
    <row r="273" spans="1:23" x14ac:dyDescent="0.25">
      <c r="A273" s="1" t="s">
        <v>26</v>
      </c>
      <c r="B273" s="1"/>
      <c r="C273" s="1" t="s">
        <v>107</v>
      </c>
      <c r="D273">
        <v>10123</v>
      </c>
      <c r="E273" s="1"/>
      <c r="F273" s="1" t="s">
        <v>255</v>
      </c>
      <c r="G273">
        <v>2014</v>
      </c>
      <c r="H273">
        <v>19234</v>
      </c>
      <c r="I273">
        <v>8</v>
      </c>
      <c r="J273" s="1" t="s">
        <v>464</v>
      </c>
      <c r="K273">
        <v>0</v>
      </c>
      <c r="L273">
        <v>1413</v>
      </c>
      <c r="M273">
        <v>13.611209000000001</v>
      </c>
      <c r="N273">
        <v>1</v>
      </c>
      <c r="O273" s="1" t="s">
        <v>562</v>
      </c>
      <c r="P273">
        <v>22513.29</v>
      </c>
      <c r="Q273">
        <v>1440.86</v>
      </c>
      <c r="R273">
        <v>0</v>
      </c>
      <c r="S273" s="1" t="s">
        <v>760</v>
      </c>
      <c r="T273" s="1"/>
      <c r="U273">
        <v>19234</v>
      </c>
      <c r="V273">
        <v>0</v>
      </c>
      <c r="W273">
        <v>96273</v>
      </c>
    </row>
    <row r="274" spans="1:23" x14ac:dyDescent="0.25">
      <c r="A274" s="1" t="s">
        <v>26</v>
      </c>
      <c r="B274" s="1"/>
      <c r="C274" s="1" t="s">
        <v>107</v>
      </c>
      <c r="D274">
        <v>10123</v>
      </c>
      <c r="E274" s="1"/>
      <c r="F274" s="1" t="s">
        <v>255</v>
      </c>
      <c r="G274">
        <v>2014</v>
      </c>
      <c r="H274">
        <v>46159.64</v>
      </c>
      <c r="I274">
        <v>12</v>
      </c>
      <c r="J274" s="1" t="s">
        <v>465</v>
      </c>
      <c r="K274">
        <v>0</v>
      </c>
      <c r="L274">
        <v>1413</v>
      </c>
      <c r="M274">
        <v>32.665514999999999</v>
      </c>
      <c r="N274">
        <v>1</v>
      </c>
      <c r="O274" s="1" t="s">
        <v>564</v>
      </c>
      <c r="P274">
        <v>57138.86</v>
      </c>
      <c r="Q274">
        <v>12083.82</v>
      </c>
      <c r="R274">
        <v>0</v>
      </c>
      <c r="S274" s="1" t="s">
        <v>761</v>
      </c>
      <c r="T274" s="1" t="s">
        <v>1185</v>
      </c>
      <c r="U274">
        <v>4274.04</v>
      </c>
      <c r="V274">
        <v>0</v>
      </c>
      <c r="W274">
        <v>77798</v>
      </c>
    </row>
    <row r="275" spans="1:23" x14ac:dyDescent="0.25">
      <c r="A275" s="1" t="s">
        <v>26</v>
      </c>
      <c r="B275" s="1"/>
      <c r="C275" s="1" t="s">
        <v>107</v>
      </c>
      <c r="D275">
        <v>10123</v>
      </c>
      <c r="E275" s="1"/>
      <c r="F275" s="1" t="s">
        <v>255</v>
      </c>
      <c r="G275">
        <v>2013</v>
      </c>
      <c r="H275">
        <v>141946.78</v>
      </c>
      <c r="I275">
        <v>12</v>
      </c>
      <c r="J275" s="1" t="s">
        <v>465</v>
      </c>
      <c r="K275">
        <v>0</v>
      </c>
      <c r="L275">
        <v>1413</v>
      </c>
      <c r="M275">
        <v>100.450626</v>
      </c>
      <c r="N275">
        <v>1</v>
      </c>
      <c r="O275" s="1" t="s">
        <v>564</v>
      </c>
      <c r="P275">
        <v>147718.46</v>
      </c>
      <c r="Q275">
        <v>31239.73</v>
      </c>
      <c r="R275">
        <v>0</v>
      </c>
      <c r="S275" s="1" t="s">
        <v>761</v>
      </c>
      <c r="T275" s="1" t="s">
        <v>1185</v>
      </c>
      <c r="U275">
        <v>13143.22</v>
      </c>
      <c r="V275">
        <v>0</v>
      </c>
      <c r="W275">
        <v>77798</v>
      </c>
    </row>
    <row r="276" spans="1:23" x14ac:dyDescent="0.25">
      <c r="A276" s="1" t="s">
        <v>26</v>
      </c>
      <c r="B276" s="1"/>
      <c r="C276" s="1" t="s">
        <v>107</v>
      </c>
      <c r="D276">
        <v>10123</v>
      </c>
      <c r="E276" s="1"/>
      <c r="F276" s="1" t="s">
        <v>255</v>
      </c>
      <c r="G276">
        <v>2012</v>
      </c>
      <c r="H276">
        <v>166566.24</v>
      </c>
      <c r="I276">
        <v>12</v>
      </c>
      <c r="J276" s="1" t="s">
        <v>465</v>
      </c>
      <c r="K276">
        <v>0</v>
      </c>
      <c r="L276">
        <v>1413</v>
      </c>
      <c r="M276">
        <v>117.87293099999999</v>
      </c>
      <c r="N276">
        <v>1</v>
      </c>
      <c r="O276" s="1" t="s">
        <v>564</v>
      </c>
      <c r="P276">
        <v>173324.66</v>
      </c>
      <c r="Q276">
        <v>36654.959999999999</v>
      </c>
      <c r="R276">
        <v>0</v>
      </c>
      <c r="S276" s="1" t="s">
        <v>761</v>
      </c>
      <c r="T276" s="1" t="s">
        <v>1185</v>
      </c>
      <c r="U276">
        <v>15422.8</v>
      </c>
      <c r="V276">
        <v>0</v>
      </c>
      <c r="W276">
        <v>77798</v>
      </c>
    </row>
    <row r="277" spans="1:23" x14ac:dyDescent="0.25">
      <c r="A277" s="1" t="s">
        <v>26</v>
      </c>
      <c r="B277" s="1"/>
      <c r="C277" s="1" t="s">
        <v>107</v>
      </c>
      <c r="D277">
        <v>10123</v>
      </c>
      <c r="E277" s="1"/>
      <c r="F277" s="1" t="s">
        <v>255</v>
      </c>
      <c r="G277">
        <v>2011</v>
      </c>
      <c r="H277">
        <v>155086.26999999999</v>
      </c>
      <c r="I277">
        <v>12</v>
      </c>
      <c r="J277" s="1" t="s">
        <v>465</v>
      </c>
      <c r="K277">
        <v>0</v>
      </c>
      <c r="L277">
        <v>1413</v>
      </c>
      <c r="M277">
        <v>109.74897</v>
      </c>
      <c r="N277">
        <v>1</v>
      </c>
      <c r="O277" s="1" t="s">
        <v>564</v>
      </c>
      <c r="P277">
        <v>166453.45000000001</v>
      </c>
      <c r="Q277">
        <v>35201.81</v>
      </c>
      <c r="R277">
        <v>0</v>
      </c>
      <c r="S277" s="1" t="s">
        <v>761</v>
      </c>
      <c r="T277" s="1" t="s">
        <v>1185</v>
      </c>
      <c r="U277">
        <v>14359.84</v>
      </c>
      <c r="V277">
        <v>0</v>
      </c>
      <c r="W277">
        <v>77798</v>
      </c>
    </row>
    <row r="278" spans="1:23" x14ac:dyDescent="0.25">
      <c r="A278" s="1" t="s">
        <v>26</v>
      </c>
      <c r="B278" s="1"/>
      <c r="C278" s="1" t="s">
        <v>107</v>
      </c>
      <c r="D278">
        <v>10123</v>
      </c>
      <c r="E278" s="1"/>
      <c r="F278" s="1" t="s">
        <v>255</v>
      </c>
      <c r="G278">
        <v>2010</v>
      </c>
      <c r="H278">
        <v>155407.25</v>
      </c>
      <c r="I278">
        <v>6</v>
      </c>
      <c r="J278" s="1" t="s">
        <v>465</v>
      </c>
      <c r="K278">
        <v>0</v>
      </c>
      <c r="L278">
        <v>1413</v>
      </c>
      <c r="M278">
        <v>109.976116</v>
      </c>
      <c r="N278">
        <v>1</v>
      </c>
      <c r="O278" s="1" t="s">
        <v>564</v>
      </c>
      <c r="P278">
        <v>167568.04999999999</v>
      </c>
      <c r="Q278">
        <v>35437.53</v>
      </c>
      <c r="R278">
        <v>0</v>
      </c>
      <c r="S278" s="1" t="s">
        <v>761</v>
      </c>
      <c r="T278" s="1" t="s">
        <v>1185</v>
      </c>
      <c r="U278">
        <v>14389.560289999999</v>
      </c>
      <c r="V278">
        <v>0</v>
      </c>
      <c r="W278">
        <v>77798</v>
      </c>
    </row>
    <row r="279" spans="1:23" x14ac:dyDescent="0.25">
      <c r="A279" s="1" t="s">
        <v>26</v>
      </c>
      <c r="B279" s="1"/>
      <c r="C279" s="1" t="s">
        <v>107</v>
      </c>
      <c r="D279">
        <v>10123</v>
      </c>
      <c r="E279" s="1"/>
      <c r="F279" s="1" t="s">
        <v>255</v>
      </c>
      <c r="G279">
        <v>2009</v>
      </c>
      <c r="H279">
        <v>115035.66</v>
      </c>
      <c r="I279">
        <v>0</v>
      </c>
      <c r="J279" s="1" t="s">
        <v>465</v>
      </c>
      <c r="K279">
        <v>0</v>
      </c>
      <c r="L279">
        <v>1413</v>
      </c>
      <c r="M279">
        <v>81.406594999999996</v>
      </c>
      <c r="N279">
        <v>1</v>
      </c>
      <c r="O279" s="1" t="s">
        <v>564</v>
      </c>
      <c r="P279">
        <v>159793.18</v>
      </c>
      <c r="Q279">
        <v>33793.300000000003</v>
      </c>
      <c r="R279">
        <v>0</v>
      </c>
      <c r="S279" s="1" t="s">
        <v>761</v>
      </c>
      <c r="T279" s="1" t="s">
        <v>1185</v>
      </c>
      <c r="U279">
        <v>10651.45119</v>
      </c>
      <c r="V279">
        <v>0</v>
      </c>
      <c r="W279">
        <v>77798</v>
      </c>
    </row>
    <row r="280" spans="1:23" x14ac:dyDescent="0.25">
      <c r="A280" s="1" t="s">
        <v>26</v>
      </c>
      <c r="B280" s="1"/>
      <c r="C280" s="1" t="s">
        <v>107</v>
      </c>
      <c r="D280">
        <v>10123</v>
      </c>
      <c r="E280" s="1"/>
      <c r="F280" s="1" t="s">
        <v>255</v>
      </c>
      <c r="G280">
        <v>2008</v>
      </c>
      <c r="H280">
        <v>82761.7</v>
      </c>
      <c r="I280">
        <v>2</v>
      </c>
      <c r="J280" s="1" t="s">
        <v>465</v>
      </c>
      <c r="K280">
        <v>0</v>
      </c>
      <c r="L280">
        <v>1413</v>
      </c>
      <c r="M280">
        <v>58.567475000000002</v>
      </c>
      <c r="N280">
        <v>1</v>
      </c>
      <c r="O280" s="1" t="s">
        <v>564</v>
      </c>
      <c r="P280">
        <v>101544.66</v>
      </c>
      <c r="Q280">
        <v>21474.82</v>
      </c>
      <c r="R280">
        <v>0</v>
      </c>
      <c r="S280" s="1" t="s">
        <v>761</v>
      </c>
      <c r="T280" s="1" t="s">
        <v>1185</v>
      </c>
      <c r="U280">
        <v>7663.1224099999999</v>
      </c>
      <c r="V280">
        <v>0</v>
      </c>
      <c r="W280">
        <v>77798</v>
      </c>
    </row>
    <row r="281" spans="1:23" x14ac:dyDescent="0.25">
      <c r="A281" s="1" t="s">
        <v>26</v>
      </c>
      <c r="B281" s="1" t="s">
        <v>46</v>
      </c>
      <c r="C281" s="1" t="s">
        <v>106</v>
      </c>
      <c r="D281">
        <v>5477</v>
      </c>
      <c r="E281" s="1"/>
      <c r="F281" s="1" t="s">
        <v>106</v>
      </c>
      <c r="G281">
        <v>2015</v>
      </c>
      <c r="H281">
        <v>152066.49</v>
      </c>
      <c r="I281">
        <v>5</v>
      </c>
      <c r="J281" s="1" t="s">
        <v>393</v>
      </c>
      <c r="K281">
        <v>0</v>
      </c>
      <c r="L281">
        <v>9829</v>
      </c>
      <c r="M281">
        <v>15.471049000000001</v>
      </c>
      <c r="N281">
        <v>2</v>
      </c>
      <c r="O281" s="1" t="s">
        <v>569</v>
      </c>
      <c r="P281">
        <v>152066.49</v>
      </c>
      <c r="Q281">
        <v>60826.6</v>
      </c>
      <c r="R281">
        <v>0</v>
      </c>
      <c r="S281" s="1" t="s">
        <v>948</v>
      </c>
      <c r="T281" s="1" t="s">
        <v>1242</v>
      </c>
      <c r="U281">
        <v>152066.49</v>
      </c>
      <c r="V281">
        <v>0</v>
      </c>
      <c r="W281">
        <v>57920</v>
      </c>
    </row>
    <row r="282" spans="1:23" x14ac:dyDescent="0.25">
      <c r="A282" s="1" t="s">
        <v>26</v>
      </c>
      <c r="B282" s="1" t="s">
        <v>46</v>
      </c>
      <c r="C282" s="1" t="s">
        <v>106</v>
      </c>
      <c r="D282">
        <v>5477</v>
      </c>
      <c r="E282" s="1"/>
      <c r="F282" s="1" t="s">
        <v>106</v>
      </c>
      <c r="G282">
        <v>2014</v>
      </c>
      <c r="H282">
        <v>365467.65</v>
      </c>
      <c r="I282">
        <v>12</v>
      </c>
      <c r="J282" s="1" t="s">
        <v>393</v>
      </c>
      <c r="K282">
        <v>0</v>
      </c>
      <c r="L282">
        <v>9829</v>
      </c>
      <c r="M282">
        <v>37.182208000000003</v>
      </c>
      <c r="N282">
        <v>2</v>
      </c>
      <c r="O282" s="1" t="s">
        <v>569</v>
      </c>
      <c r="P282">
        <v>365467.65</v>
      </c>
      <c r="Q282">
        <v>146187.04999999999</v>
      </c>
      <c r="R282">
        <v>0</v>
      </c>
      <c r="S282" s="1" t="s">
        <v>948</v>
      </c>
      <c r="T282" s="1" t="s">
        <v>1242</v>
      </c>
      <c r="U282">
        <v>365467.65</v>
      </c>
      <c r="V282">
        <v>0</v>
      </c>
      <c r="W282">
        <v>57920</v>
      </c>
    </row>
    <row r="283" spans="1:23" x14ac:dyDescent="0.25">
      <c r="A283" s="1" t="s">
        <v>26</v>
      </c>
      <c r="B283" s="1" t="s">
        <v>46</v>
      </c>
      <c r="C283" s="1" t="s">
        <v>106</v>
      </c>
      <c r="D283">
        <v>5477</v>
      </c>
      <c r="E283" s="1"/>
      <c r="F283" s="1" t="s">
        <v>106</v>
      </c>
      <c r="G283">
        <v>2013</v>
      </c>
      <c r="H283">
        <v>229468.56</v>
      </c>
      <c r="I283">
        <v>12</v>
      </c>
      <c r="J283" s="1" t="s">
        <v>393</v>
      </c>
      <c r="K283">
        <v>0</v>
      </c>
      <c r="L283">
        <v>9829</v>
      </c>
      <c r="M283">
        <v>23.345835999999998</v>
      </c>
      <c r="N283">
        <v>2</v>
      </c>
      <c r="O283" s="1" t="s">
        <v>569</v>
      </c>
      <c r="P283">
        <v>229468.56</v>
      </c>
      <c r="Q283">
        <v>91787.4</v>
      </c>
      <c r="R283">
        <v>0</v>
      </c>
      <c r="S283" s="1" t="s">
        <v>948</v>
      </c>
      <c r="T283" s="1" t="s">
        <v>1242</v>
      </c>
      <c r="U283">
        <v>229468.56299999999</v>
      </c>
      <c r="V283">
        <v>0</v>
      </c>
      <c r="W283">
        <v>57920</v>
      </c>
    </row>
    <row r="284" spans="1:23" x14ac:dyDescent="0.25">
      <c r="A284" s="1" t="s">
        <v>26</v>
      </c>
      <c r="B284" s="1" t="s">
        <v>46</v>
      </c>
      <c r="C284" s="1" t="s">
        <v>106</v>
      </c>
      <c r="D284">
        <v>5477</v>
      </c>
      <c r="E284" s="1"/>
      <c r="F284" s="1" t="s">
        <v>106</v>
      </c>
      <c r="G284">
        <v>2012</v>
      </c>
      <c r="H284">
        <v>108181.67</v>
      </c>
      <c r="I284">
        <v>12</v>
      </c>
      <c r="J284" s="1" t="s">
        <v>393</v>
      </c>
      <c r="K284">
        <v>0</v>
      </c>
      <c r="L284">
        <v>9829</v>
      </c>
      <c r="M284">
        <v>11.006264</v>
      </c>
      <c r="N284">
        <v>2</v>
      </c>
      <c r="O284" s="1" t="s">
        <v>569</v>
      </c>
      <c r="P284">
        <v>108181.67</v>
      </c>
      <c r="Q284">
        <v>43272.66</v>
      </c>
      <c r="R284">
        <v>0</v>
      </c>
      <c r="S284" s="1" t="s">
        <v>948</v>
      </c>
      <c r="T284" s="1" t="s">
        <v>1242</v>
      </c>
      <c r="U284">
        <v>108181.671</v>
      </c>
      <c r="V284">
        <v>0</v>
      </c>
      <c r="W284">
        <v>57920</v>
      </c>
    </row>
    <row r="285" spans="1:23" x14ac:dyDescent="0.25">
      <c r="A285" s="1" t="s">
        <v>26</v>
      </c>
      <c r="B285" s="1" t="s">
        <v>46</v>
      </c>
      <c r="C285" s="1" t="s">
        <v>106</v>
      </c>
      <c r="D285">
        <v>5477</v>
      </c>
      <c r="E285" s="1"/>
      <c r="F285" s="1" t="s">
        <v>106</v>
      </c>
      <c r="G285">
        <v>2011</v>
      </c>
      <c r="H285">
        <v>85917.74</v>
      </c>
      <c r="I285">
        <v>12</v>
      </c>
      <c r="J285" s="1" t="s">
        <v>393</v>
      </c>
      <c r="K285">
        <v>0</v>
      </c>
      <c r="L285">
        <v>9829</v>
      </c>
      <c r="M285">
        <v>8.7411600000000007</v>
      </c>
      <c r="N285">
        <v>2</v>
      </c>
      <c r="O285" s="1" t="s">
        <v>569</v>
      </c>
      <c r="P285">
        <v>85917.74</v>
      </c>
      <c r="Q285">
        <v>40295.42</v>
      </c>
      <c r="R285">
        <v>0</v>
      </c>
      <c r="S285" s="1" t="s">
        <v>948</v>
      </c>
      <c r="T285" s="1" t="s">
        <v>1242</v>
      </c>
      <c r="U285">
        <v>85917.719670000006</v>
      </c>
      <c r="V285">
        <v>0</v>
      </c>
      <c r="W285">
        <v>57920</v>
      </c>
    </row>
    <row r="286" spans="1:23" x14ac:dyDescent="0.25">
      <c r="A286" s="1" t="s">
        <v>26</v>
      </c>
      <c r="B286" s="1" t="s">
        <v>46</v>
      </c>
      <c r="C286" s="1" t="s">
        <v>106</v>
      </c>
      <c r="D286">
        <v>5477</v>
      </c>
      <c r="E286" s="1"/>
      <c r="F286" s="1" t="s">
        <v>106</v>
      </c>
      <c r="G286">
        <v>2010</v>
      </c>
      <c r="H286">
        <v>147820.74</v>
      </c>
      <c r="I286">
        <v>12</v>
      </c>
      <c r="J286" s="1" t="s">
        <v>393</v>
      </c>
      <c r="K286">
        <v>0</v>
      </c>
      <c r="L286">
        <v>9829</v>
      </c>
      <c r="M286">
        <v>15.039092</v>
      </c>
      <c r="N286">
        <v>2</v>
      </c>
      <c r="O286" s="1" t="s">
        <v>569</v>
      </c>
      <c r="P286">
        <v>147820.74</v>
      </c>
      <c r="Q286">
        <v>69327.91</v>
      </c>
      <c r="R286">
        <v>0</v>
      </c>
      <c r="S286" s="1" t="s">
        <v>948</v>
      </c>
      <c r="T286" s="1" t="s">
        <v>1242</v>
      </c>
      <c r="U286">
        <v>147820.73063000001</v>
      </c>
      <c r="V286">
        <v>0</v>
      </c>
      <c r="W286">
        <v>57920</v>
      </c>
    </row>
    <row r="287" spans="1:23" x14ac:dyDescent="0.25">
      <c r="A287" s="1" t="s">
        <v>26</v>
      </c>
      <c r="B287" s="1" t="s">
        <v>46</v>
      </c>
      <c r="C287" s="1" t="s">
        <v>106</v>
      </c>
      <c r="D287">
        <v>5477</v>
      </c>
      <c r="E287" s="1"/>
      <c r="F287" s="1" t="s">
        <v>106</v>
      </c>
      <c r="G287">
        <v>2009</v>
      </c>
      <c r="H287">
        <v>193063.15</v>
      </c>
      <c r="I287">
        <v>12</v>
      </c>
      <c r="J287" s="1" t="s">
        <v>393</v>
      </c>
      <c r="K287">
        <v>0</v>
      </c>
      <c r="L287">
        <v>9829</v>
      </c>
      <c r="M287">
        <v>19.641995999999999</v>
      </c>
      <c r="N287">
        <v>2</v>
      </c>
      <c r="O287" s="1" t="s">
        <v>569</v>
      </c>
      <c r="P287">
        <v>193063.15</v>
      </c>
      <c r="Q287">
        <v>90546.57</v>
      </c>
      <c r="R287">
        <v>0</v>
      </c>
      <c r="S287" s="1" t="s">
        <v>948</v>
      </c>
      <c r="T287" s="1" t="s">
        <v>1242</v>
      </c>
      <c r="U287">
        <v>193063.12723000001</v>
      </c>
      <c r="V287">
        <v>0</v>
      </c>
      <c r="W287">
        <v>57920</v>
      </c>
    </row>
    <row r="288" spans="1:23" x14ac:dyDescent="0.25">
      <c r="A288" s="1" t="s">
        <v>26</v>
      </c>
      <c r="B288" s="1" t="s">
        <v>46</v>
      </c>
      <c r="C288" s="1" t="s">
        <v>106</v>
      </c>
      <c r="D288">
        <v>5477</v>
      </c>
      <c r="E288" s="1"/>
      <c r="F288" s="1" t="s">
        <v>106</v>
      </c>
      <c r="G288">
        <v>2008</v>
      </c>
      <c r="H288">
        <v>301881.03999999998</v>
      </c>
      <c r="I288">
        <v>12</v>
      </c>
      <c r="J288" s="1" t="s">
        <v>393</v>
      </c>
      <c r="K288">
        <v>0</v>
      </c>
      <c r="L288">
        <v>9829</v>
      </c>
      <c r="M288">
        <v>30.712987999999999</v>
      </c>
      <c r="N288">
        <v>2</v>
      </c>
      <c r="O288" s="1" t="s">
        <v>569</v>
      </c>
      <c r="P288">
        <v>301881.03999999998</v>
      </c>
      <c r="Q288">
        <v>141582.22</v>
      </c>
      <c r="R288">
        <v>0</v>
      </c>
      <c r="S288" s="1" t="s">
        <v>948</v>
      </c>
      <c r="T288" s="1" t="s">
        <v>1242</v>
      </c>
      <c r="U288">
        <v>301881.05482999998</v>
      </c>
      <c r="V288">
        <v>0</v>
      </c>
      <c r="W288">
        <v>57920</v>
      </c>
    </row>
    <row r="289" spans="1:23" x14ac:dyDescent="0.25">
      <c r="A289" s="1" t="s">
        <v>26</v>
      </c>
      <c r="B289" s="1"/>
      <c r="C289" s="1" t="s">
        <v>232</v>
      </c>
      <c r="D289">
        <v>14276</v>
      </c>
      <c r="E289" s="1" t="s">
        <v>245</v>
      </c>
      <c r="F289" s="1" t="s">
        <v>373</v>
      </c>
      <c r="G289">
        <v>2015</v>
      </c>
      <c r="H289">
        <v>323.86</v>
      </c>
      <c r="I289">
        <v>1</v>
      </c>
      <c r="J289" s="1" t="s">
        <v>512</v>
      </c>
      <c r="K289">
        <v>0</v>
      </c>
      <c r="L289">
        <v>315</v>
      </c>
      <c r="M289">
        <v>1.0278</v>
      </c>
      <c r="N289">
        <v>2</v>
      </c>
      <c r="O289" s="1" t="s">
        <v>569</v>
      </c>
      <c r="P289">
        <v>323.86</v>
      </c>
      <c r="Q289">
        <v>97.16</v>
      </c>
      <c r="R289">
        <v>0</v>
      </c>
      <c r="S289" s="1" t="s">
        <v>949</v>
      </c>
      <c r="T289" s="1" t="s">
        <v>1243</v>
      </c>
      <c r="U289">
        <v>323.86363999999998</v>
      </c>
      <c r="V289">
        <v>0</v>
      </c>
      <c r="W289">
        <v>94519</v>
      </c>
    </row>
    <row r="290" spans="1:23" x14ac:dyDescent="0.25">
      <c r="A290" s="1" t="s">
        <v>26</v>
      </c>
      <c r="B290" s="1"/>
      <c r="C290" s="1" t="s">
        <v>232</v>
      </c>
      <c r="D290">
        <v>14276</v>
      </c>
      <c r="E290" s="1" t="s">
        <v>245</v>
      </c>
      <c r="F290" s="1" t="s">
        <v>373</v>
      </c>
      <c r="G290">
        <v>2014</v>
      </c>
      <c r="H290">
        <v>5946.78</v>
      </c>
      <c r="I290">
        <v>3</v>
      </c>
      <c r="J290" s="1" t="s">
        <v>512</v>
      </c>
      <c r="K290">
        <v>0</v>
      </c>
      <c r="L290">
        <v>315</v>
      </c>
      <c r="M290">
        <v>18.872675000000001</v>
      </c>
      <c r="N290">
        <v>2</v>
      </c>
      <c r="O290" s="1" t="s">
        <v>569</v>
      </c>
      <c r="P290">
        <v>5946.78</v>
      </c>
      <c r="Q290">
        <v>1784.03</v>
      </c>
      <c r="R290">
        <v>0</v>
      </c>
      <c r="S290" s="1" t="s">
        <v>949</v>
      </c>
      <c r="T290" s="1" t="s">
        <v>1243</v>
      </c>
      <c r="U290">
        <v>5946.7746500000003</v>
      </c>
      <c r="V290">
        <v>0</v>
      </c>
      <c r="W290">
        <v>94519</v>
      </c>
    </row>
    <row r="291" spans="1:23" x14ac:dyDescent="0.25">
      <c r="A291" s="1" t="s">
        <v>26</v>
      </c>
      <c r="B291" s="1"/>
      <c r="C291" s="1" t="s">
        <v>232</v>
      </c>
      <c r="D291">
        <v>14276</v>
      </c>
      <c r="E291" s="1" t="s">
        <v>245</v>
      </c>
      <c r="F291" s="1" t="s">
        <v>373</v>
      </c>
      <c r="G291">
        <v>2013</v>
      </c>
      <c r="H291">
        <v>3149.36</v>
      </c>
      <c r="I291">
        <v>3</v>
      </c>
      <c r="J291" s="1" t="s">
        <v>512</v>
      </c>
      <c r="K291">
        <v>0</v>
      </c>
      <c r="L291">
        <v>315</v>
      </c>
      <c r="M291">
        <v>9.9947949999999999</v>
      </c>
      <c r="N291">
        <v>2</v>
      </c>
      <c r="O291" s="1" t="s">
        <v>569</v>
      </c>
      <c r="P291">
        <v>3149.36</v>
      </c>
      <c r="Q291">
        <v>944.8</v>
      </c>
      <c r="R291">
        <v>0</v>
      </c>
      <c r="S291" s="1" t="s">
        <v>949</v>
      </c>
      <c r="T291" s="1" t="s">
        <v>1243</v>
      </c>
      <c r="U291">
        <v>3149.3616999999999</v>
      </c>
      <c r="V291">
        <v>0</v>
      </c>
      <c r="W291">
        <v>94519</v>
      </c>
    </row>
    <row r="292" spans="1:23" x14ac:dyDescent="0.25">
      <c r="A292" s="1" t="s">
        <v>26</v>
      </c>
      <c r="B292" s="1"/>
      <c r="C292" s="1" t="s">
        <v>107</v>
      </c>
      <c r="D292">
        <v>10124</v>
      </c>
      <c r="E292" s="1"/>
      <c r="F292" s="1" t="s">
        <v>359</v>
      </c>
      <c r="G292">
        <v>2015</v>
      </c>
      <c r="H292">
        <v>4541.03</v>
      </c>
      <c r="I292">
        <v>5</v>
      </c>
      <c r="J292" s="1"/>
      <c r="K292">
        <v>0</v>
      </c>
      <c r="L292">
        <v>780</v>
      </c>
      <c r="M292">
        <v>5.8210870000000003</v>
      </c>
      <c r="N292">
        <v>2</v>
      </c>
      <c r="O292" s="1" t="s">
        <v>569</v>
      </c>
      <c r="P292">
        <v>4541.03</v>
      </c>
      <c r="Q292">
        <v>1362.31</v>
      </c>
      <c r="R292">
        <v>0</v>
      </c>
      <c r="S292" s="1"/>
      <c r="T292" s="1"/>
      <c r="U292">
        <v>4541.0280000000002</v>
      </c>
      <c r="V292">
        <v>0</v>
      </c>
      <c r="W292">
        <v>76939</v>
      </c>
    </row>
    <row r="293" spans="1:23" x14ac:dyDescent="0.25">
      <c r="A293" s="1" t="s">
        <v>26</v>
      </c>
      <c r="B293" s="1"/>
      <c r="C293" s="1" t="s">
        <v>107</v>
      </c>
      <c r="D293">
        <v>10124</v>
      </c>
      <c r="E293" s="1"/>
      <c r="F293" s="1" t="s">
        <v>359</v>
      </c>
      <c r="G293">
        <v>2014</v>
      </c>
      <c r="H293">
        <v>38993.75</v>
      </c>
      <c r="I293">
        <v>12</v>
      </c>
      <c r="J293" s="1"/>
      <c r="K293">
        <v>0</v>
      </c>
      <c r="L293">
        <v>780</v>
      </c>
      <c r="M293">
        <v>49.985577999999997</v>
      </c>
      <c r="N293">
        <v>2</v>
      </c>
      <c r="O293" s="1" t="s">
        <v>569</v>
      </c>
      <c r="P293">
        <v>38993.75</v>
      </c>
      <c r="Q293">
        <v>11698.15</v>
      </c>
      <c r="R293">
        <v>0</v>
      </c>
      <c r="S293" s="1"/>
      <c r="T293" s="1"/>
      <c r="U293">
        <v>38993.771999999997</v>
      </c>
      <c r="V293">
        <v>0</v>
      </c>
      <c r="W293">
        <v>76939</v>
      </c>
    </row>
    <row r="294" spans="1:23" x14ac:dyDescent="0.25">
      <c r="A294" s="1" t="s">
        <v>26</v>
      </c>
      <c r="B294" s="1"/>
      <c r="C294" s="1" t="s">
        <v>107</v>
      </c>
      <c r="D294">
        <v>10124</v>
      </c>
      <c r="E294" s="1"/>
      <c r="F294" s="1" t="s">
        <v>359</v>
      </c>
      <c r="G294">
        <v>2013</v>
      </c>
      <c r="H294">
        <v>46034.720000000001</v>
      </c>
      <c r="I294">
        <v>12</v>
      </c>
      <c r="J294" s="1"/>
      <c r="K294">
        <v>0</v>
      </c>
      <c r="L294">
        <v>780</v>
      </c>
      <c r="M294">
        <v>59.011305999999998</v>
      </c>
      <c r="N294">
        <v>2</v>
      </c>
      <c r="O294" s="1" t="s">
        <v>569</v>
      </c>
      <c r="P294">
        <v>46034.720000000001</v>
      </c>
      <c r="Q294">
        <v>13810.42</v>
      </c>
      <c r="R294">
        <v>0</v>
      </c>
      <c r="S294" s="1"/>
      <c r="T294" s="1"/>
      <c r="U294">
        <v>46034.724000000002</v>
      </c>
      <c r="V294">
        <v>0</v>
      </c>
      <c r="W294">
        <v>76939</v>
      </c>
    </row>
    <row r="295" spans="1:23" x14ac:dyDescent="0.25">
      <c r="A295" s="1" t="s">
        <v>26</v>
      </c>
      <c r="B295" s="1"/>
      <c r="C295" s="1" t="s">
        <v>107</v>
      </c>
      <c r="D295">
        <v>10124</v>
      </c>
      <c r="E295" s="1"/>
      <c r="F295" s="1" t="s">
        <v>359</v>
      </c>
      <c r="G295">
        <v>2012</v>
      </c>
      <c r="H295">
        <v>42046.65</v>
      </c>
      <c r="I295">
        <v>12</v>
      </c>
      <c r="J295" s="1"/>
      <c r="K295">
        <v>0</v>
      </c>
      <c r="L295">
        <v>780</v>
      </c>
      <c r="M295">
        <v>53.899051</v>
      </c>
      <c r="N295">
        <v>2</v>
      </c>
      <c r="O295" s="1" t="s">
        <v>569</v>
      </c>
      <c r="P295">
        <v>42046.65</v>
      </c>
      <c r="Q295">
        <v>16818.66</v>
      </c>
      <c r="R295">
        <v>0</v>
      </c>
      <c r="S295" s="1"/>
      <c r="T295" s="1"/>
      <c r="U295">
        <v>42046.631999999998</v>
      </c>
      <c r="V295">
        <v>0</v>
      </c>
      <c r="W295">
        <v>76939</v>
      </c>
    </row>
    <row r="296" spans="1:23" x14ac:dyDescent="0.25">
      <c r="A296" s="1" t="s">
        <v>26</v>
      </c>
      <c r="B296" s="1"/>
      <c r="C296" s="1" t="s">
        <v>107</v>
      </c>
      <c r="D296">
        <v>10124</v>
      </c>
      <c r="E296" s="1"/>
      <c r="F296" s="1" t="s">
        <v>359</v>
      </c>
      <c r="G296">
        <v>2011</v>
      </c>
      <c r="H296">
        <v>40986.35</v>
      </c>
      <c r="I296">
        <v>12</v>
      </c>
      <c r="J296" s="1"/>
      <c r="K296">
        <v>0</v>
      </c>
      <c r="L296">
        <v>780</v>
      </c>
      <c r="M296">
        <v>52.539866000000004</v>
      </c>
      <c r="N296">
        <v>2</v>
      </c>
      <c r="O296" s="1" t="s">
        <v>569</v>
      </c>
      <c r="P296">
        <v>40986.35</v>
      </c>
      <c r="Q296">
        <v>19222.59</v>
      </c>
      <c r="R296">
        <v>0</v>
      </c>
      <c r="S296" s="1"/>
      <c r="T296" s="1"/>
      <c r="U296">
        <v>40986.336000000003</v>
      </c>
      <c r="V296">
        <v>0</v>
      </c>
      <c r="W296">
        <v>76939</v>
      </c>
    </row>
    <row r="297" spans="1:23" x14ac:dyDescent="0.25">
      <c r="A297" s="1" t="s">
        <v>26</v>
      </c>
      <c r="B297" s="1"/>
      <c r="C297" s="1" t="s">
        <v>107</v>
      </c>
      <c r="D297">
        <v>10124</v>
      </c>
      <c r="E297" s="1"/>
      <c r="F297" s="1" t="s">
        <v>359</v>
      </c>
      <c r="G297">
        <v>2010</v>
      </c>
      <c r="H297">
        <v>43041.07</v>
      </c>
      <c r="I297">
        <v>12</v>
      </c>
      <c r="J297" s="1"/>
      <c r="K297">
        <v>0</v>
      </c>
      <c r="L297">
        <v>780</v>
      </c>
      <c r="M297">
        <v>55.173785000000002</v>
      </c>
      <c r="N297">
        <v>2</v>
      </c>
      <c r="O297" s="1" t="s">
        <v>569</v>
      </c>
      <c r="P297">
        <v>43041.07</v>
      </c>
      <c r="Q297">
        <v>20186.27</v>
      </c>
      <c r="R297">
        <v>0</v>
      </c>
      <c r="S297" s="1"/>
      <c r="T297" s="1"/>
      <c r="U297">
        <v>43041.06</v>
      </c>
      <c r="V297">
        <v>0</v>
      </c>
      <c r="W297">
        <v>76939</v>
      </c>
    </row>
    <row r="298" spans="1:23" x14ac:dyDescent="0.25">
      <c r="A298" s="1" t="s">
        <v>26</v>
      </c>
      <c r="B298" s="1"/>
      <c r="C298" s="1" t="s">
        <v>107</v>
      </c>
      <c r="D298">
        <v>10124</v>
      </c>
      <c r="E298" s="1"/>
      <c r="F298" s="1" t="s">
        <v>359</v>
      </c>
      <c r="G298">
        <v>2009</v>
      </c>
      <c r="H298">
        <v>41707.01</v>
      </c>
      <c r="I298">
        <v>12</v>
      </c>
      <c r="J298" s="1"/>
      <c r="K298">
        <v>0</v>
      </c>
      <c r="L298">
        <v>780</v>
      </c>
      <c r="M298">
        <v>53.463670999999998</v>
      </c>
      <c r="N298">
        <v>2</v>
      </c>
      <c r="O298" s="1" t="s">
        <v>569</v>
      </c>
      <c r="P298">
        <v>41707.01</v>
      </c>
      <c r="Q298">
        <v>19560.580000000002</v>
      </c>
      <c r="R298">
        <v>0</v>
      </c>
      <c r="S298" s="1"/>
      <c r="T298" s="1"/>
      <c r="U298">
        <v>41707.008000000002</v>
      </c>
      <c r="V298">
        <v>0</v>
      </c>
      <c r="W298">
        <v>76939</v>
      </c>
    </row>
    <row r="299" spans="1:23" x14ac:dyDescent="0.25">
      <c r="A299" s="1" t="s">
        <v>26</v>
      </c>
      <c r="B299" s="1"/>
      <c r="C299" s="1" t="s">
        <v>107</v>
      </c>
      <c r="D299">
        <v>10124</v>
      </c>
      <c r="E299" s="1"/>
      <c r="F299" s="1" t="s">
        <v>359</v>
      </c>
      <c r="G299">
        <v>2008</v>
      </c>
      <c r="H299">
        <v>14635.76</v>
      </c>
      <c r="I299">
        <v>3</v>
      </c>
      <c r="J299" s="1" t="s">
        <v>513</v>
      </c>
      <c r="K299">
        <v>0</v>
      </c>
      <c r="L299">
        <v>780</v>
      </c>
      <c r="M299">
        <v>18.761389000000001</v>
      </c>
      <c r="N299">
        <v>2</v>
      </c>
      <c r="O299" s="1" t="s">
        <v>569</v>
      </c>
      <c r="P299">
        <v>14635.76</v>
      </c>
      <c r="Q299">
        <v>6864.17</v>
      </c>
      <c r="R299">
        <v>0</v>
      </c>
      <c r="S299" s="1" t="s">
        <v>950</v>
      </c>
      <c r="T299" s="1"/>
      <c r="U299">
        <v>14635.753059999999</v>
      </c>
      <c r="V299">
        <v>0</v>
      </c>
      <c r="W299">
        <v>77436</v>
      </c>
    </row>
    <row r="300" spans="1:23" x14ac:dyDescent="0.25">
      <c r="A300" s="1" t="s">
        <v>26</v>
      </c>
      <c r="B300" s="1"/>
      <c r="C300" s="1" t="s">
        <v>107</v>
      </c>
      <c r="D300">
        <v>10124</v>
      </c>
      <c r="E300" s="1"/>
      <c r="F300" s="1" t="s">
        <v>359</v>
      </c>
      <c r="G300">
        <v>2008</v>
      </c>
      <c r="H300">
        <v>31982.720000000001</v>
      </c>
      <c r="I300">
        <v>12</v>
      </c>
      <c r="J300" s="1"/>
      <c r="K300">
        <v>0</v>
      </c>
      <c r="L300">
        <v>780</v>
      </c>
      <c r="M300">
        <v>40.99823</v>
      </c>
      <c r="N300">
        <v>2</v>
      </c>
      <c r="O300" s="1" t="s">
        <v>569</v>
      </c>
      <c r="P300">
        <v>31982.720000000001</v>
      </c>
      <c r="Q300">
        <v>14999.89</v>
      </c>
      <c r="R300">
        <v>0</v>
      </c>
      <c r="S300" s="1"/>
      <c r="T300" s="1"/>
      <c r="U300">
        <v>31982.712</v>
      </c>
      <c r="V300">
        <v>0</v>
      </c>
      <c r="W300">
        <v>76939</v>
      </c>
    </row>
    <row r="301" spans="1:23" x14ac:dyDescent="0.25">
      <c r="A301" s="1" t="s">
        <v>26</v>
      </c>
      <c r="B301" s="1"/>
      <c r="C301" s="1" t="s">
        <v>107</v>
      </c>
      <c r="D301">
        <v>10123</v>
      </c>
      <c r="E301" s="1"/>
      <c r="F301" s="1" t="s">
        <v>255</v>
      </c>
      <c r="G301">
        <v>2015</v>
      </c>
      <c r="H301">
        <v>10560.63</v>
      </c>
      <c r="I301">
        <v>5</v>
      </c>
      <c r="J301" s="1"/>
      <c r="K301">
        <v>0</v>
      </c>
      <c r="L301">
        <v>1413</v>
      </c>
      <c r="M301">
        <v>7.4733770000000002</v>
      </c>
      <c r="N301">
        <v>2</v>
      </c>
      <c r="O301" s="1" t="s">
        <v>569</v>
      </c>
      <c r="P301">
        <v>10560.63</v>
      </c>
      <c r="Q301">
        <v>3168.19</v>
      </c>
      <c r="R301">
        <v>0</v>
      </c>
      <c r="S301" s="1" t="s">
        <v>951</v>
      </c>
      <c r="T301" s="1" t="s">
        <v>1244</v>
      </c>
      <c r="U301">
        <v>10560.624</v>
      </c>
      <c r="V301">
        <v>0</v>
      </c>
      <c r="W301">
        <v>76936</v>
      </c>
    </row>
    <row r="302" spans="1:23" x14ac:dyDescent="0.25">
      <c r="A302" s="1" t="s">
        <v>26</v>
      </c>
      <c r="B302" s="1"/>
      <c r="C302" s="1" t="s">
        <v>107</v>
      </c>
      <c r="D302">
        <v>10123</v>
      </c>
      <c r="E302" s="1"/>
      <c r="F302" s="1" t="s">
        <v>255</v>
      </c>
      <c r="G302">
        <v>2014</v>
      </c>
      <c r="H302">
        <v>25341.22</v>
      </c>
      <c r="I302">
        <v>12</v>
      </c>
      <c r="J302" s="1"/>
      <c r="K302">
        <v>0</v>
      </c>
      <c r="L302">
        <v>1413</v>
      </c>
      <c r="M302">
        <v>17.933069</v>
      </c>
      <c r="N302">
        <v>2</v>
      </c>
      <c r="O302" s="1" t="s">
        <v>569</v>
      </c>
      <c r="P302">
        <v>25341.22</v>
      </c>
      <c r="Q302">
        <v>7602.37</v>
      </c>
      <c r="R302">
        <v>0</v>
      </c>
      <c r="S302" s="1" t="s">
        <v>951</v>
      </c>
      <c r="T302" s="1" t="s">
        <v>1244</v>
      </c>
      <c r="U302">
        <v>25341.221000000001</v>
      </c>
      <c r="V302">
        <v>0</v>
      </c>
      <c r="W302">
        <v>76936</v>
      </c>
    </row>
    <row r="303" spans="1:23" x14ac:dyDescent="0.25">
      <c r="A303" s="1" t="s">
        <v>26</v>
      </c>
      <c r="B303" s="1"/>
      <c r="C303" s="1" t="s">
        <v>107</v>
      </c>
      <c r="D303">
        <v>10123</v>
      </c>
      <c r="E303" s="1"/>
      <c r="F303" s="1" t="s">
        <v>255</v>
      </c>
      <c r="G303">
        <v>2013</v>
      </c>
      <c r="H303">
        <v>36854.44</v>
      </c>
      <c r="I303">
        <v>12</v>
      </c>
      <c r="J303" s="1"/>
      <c r="K303">
        <v>0</v>
      </c>
      <c r="L303">
        <v>1413</v>
      </c>
      <c r="M303">
        <v>26.080559999999998</v>
      </c>
      <c r="N303">
        <v>2</v>
      </c>
      <c r="O303" s="1" t="s">
        <v>569</v>
      </c>
      <c r="P303">
        <v>36854.44</v>
      </c>
      <c r="Q303">
        <v>11056.33</v>
      </c>
      <c r="R303">
        <v>0</v>
      </c>
      <c r="S303" s="1" t="s">
        <v>951</v>
      </c>
      <c r="T303" s="1" t="s">
        <v>1244</v>
      </c>
      <c r="U303">
        <v>36854.442000000003</v>
      </c>
      <c r="V303">
        <v>0</v>
      </c>
      <c r="W303">
        <v>76936</v>
      </c>
    </row>
    <row r="304" spans="1:23" x14ac:dyDescent="0.25">
      <c r="A304" s="1" t="s">
        <v>26</v>
      </c>
      <c r="B304" s="1"/>
      <c r="C304" s="1" t="s">
        <v>107</v>
      </c>
      <c r="D304">
        <v>10123</v>
      </c>
      <c r="E304" s="1"/>
      <c r="F304" s="1" t="s">
        <v>255</v>
      </c>
      <c r="G304">
        <v>2012</v>
      </c>
      <c r="H304">
        <v>31236.23</v>
      </c>
      <c r="I304">
        <v>12</v>
      </c>
      <c r="J304" s="1"/>
      <c r="K304">
        <v>0</v>
      </c>
      <c r="L304">
        <v>1413</v>
      </c>
      <c r="M304">
        <v>22.104755000000001</v>
      </c>
      <c r="N304">
        <v>2</v>
      </c>
      <c r="O304" s="1" t="s">
        <v>569</v>
      </c>
      <c r="P304">
        <v>31236.23</v>
      </c>
      <c r="Q304">
        <v>12494.51</v>
      </c>
      <c r="R304">
        <v>0</v>
      </c>
      <c r="S304" s="1" t="s">
        <v>951</v>
      </c>
      <c r="T304" s="1" t="s">
        <v>1244</v>
      </c>
      <c r="U304">
        <v>31236.223999999998</v>
      </c>
      <c r="V304">
        <v>0</v>
      </c>
      <c r="W304">
        <v>76936</v>
      </c>
    </row>
    <row r="305" spans="1:23" x14ac:dyDescent="0.25">
      <c r="A305" s="1" t="s">
        <v>26</v>
      </c>
      <c r="B305" s="1"/>
      <c r="C305" s="1" t="s">
        <v>107</v>
      </c>
      <c r="D305">
        <v>10123</v>
      </c>
      <c r="E305" s="1"/>
      <c r="F305" s="1" t="s">
        <v>255</v>
      </c>
      <c r="G305">
        <v>2011</v>
      </c>
      <c r="H305">
        <v>24142.04</v>
      </c>
      <c r="I305">
        <v>12</v>
      </c>
      <c r="J305" s="1"/>
      <c r="K305">
        <v>0</v>
      </c>
      <c r="L305">
        <v>1413</v>
      </c>
      <c r="M305">
        <v>17.084451999999999</v>
      </c>
      <c r="N305">
        <v>2</v>
      </c>
      <c r="O305" s="1" t="s">
        <v>569</v>
      </c>
      <c r="P305">
        <v>24142.04</v>
      </c>
      <c r="Q305">
        <v>11322.63</v>
      </c>
      <c r="R305">
        <v>0</v>
      </c>
      <c r="S305" s="1" t="s">
        <v>951</v>
      </c>
      <c r="T305" s="1" t="s">
        <v>1244</v>
      </c>
      <c r="U305">
        <v>24142.043000000001</v>
      </c>
      <c r="V305">
        <v>0</v>
      </c>
      <c r="W305">
        <v>76936</v>
      </c>
    </row>
    <row r="306" spans="1:23" x14ac:dyDescent="0.25">
      <c r="A306" s="1" t="s">
        <v>26</v>
      </c>
      <c r="B306" s="1"/>
      <c r="C306" s="1" t="s">
        <v>107</v>
      </c>
      <c r="D306">
        <v>10123</v>
      </c>
      <c r="E306" s="1"/>
      <c r="F306" s="1" t="s">
        <v>255</v>
      </c>
      <c r="G306">
        <v>2010</v>
      </c>
      <c r="H306">
        <v>30633.91</v>
      </c>
      <c r="I306">
        <v>12</v>
      </c>
      <c r="J306" s="1"/>
      <c r="K306">
        <v>0</v>
      </c>
      <c r="L306">
        <v>1413</v>
      </c>
      <c r="M306">
        <v>21.678515000000001</v>
      </c>
      <c r="N306">
        <v>2</v>
      </c>
      <c r="O306" s="1" t="s">
        <v>569</v>
      </c>
      <c r="P306">
        <v>30633.91</v>
      </c>
      <c r="Q306">
        <v>14367.31</v>
      </c>
      <c r="R306">
        <v>0</v>
      </c>
      <c r="S306" s="1" t="s">
        <v>951</v>
      </c>
      <c r="T306" s="1" t="s">
        <v>1244</v>
      </c>
      <c r="U306">
        <v>30633.913</v>
      </c>
      <c r="V306">
        <v>0</v>
      </c>
      <c r="W306">
        <v>76936</v>
      </c>
    </row>
    <row r="307" spans="1:23" x14ac:dyDescent="0.25">
      <c r="A307" s="1" t="s">
        <v>26</v>
      </c>
      <c r="B307" s="1"/>
      <c r="C307" s="1" t="s">
        <v>107</v>
      </c>
      <c r="D307">
        <v>10123</v>
      </c>
      <c r="E307" s="1"/>
      <c r="F307" s="1" t="s">
        <v>255</v>
      </c>
      <c r="G307">
        <v>2009</v>
      </c>
      <c r="H307">
        <v>29048.26</v>
      </c>
      <c r="I307">
        <v>12</v>
      </c>
      <c r="J307" s="1"/>
      <c r="K307">
        <v>0</v>
      </c>
      <c r="L307">
        <v>1413</v>
      </c>
      <c r="M307">
        <v>20.556407</v>
      </c>
      <c r="N307">
        <v>2</v>
      </c>
      <c r="O307" s="1" t="s">
        <v>569</v>
      </c>
      <c r="P307">
        <v>29048.26</v>
      </c>
      <c r="Q307">
        <v>13623.64</v>
      </c>
      <c r="R307">
        <v>0</v>
      </c>
      <c r="S307" s="1" t="s">
        <v>951</v>
      </c>
      <c r="T307" s="1" t="s">
        <v>1244</v>
      </c>
      <c r="U307">
        <v>29048.272000000001</v>
      </c>
      <c r="V307">
        <v>0</v>
      </c>
      <c r="W307">
        <v>76936</v>
      </c>
    </row>
    <row r="308" spans="1:23" x14ac:dyDescent="0.25">
      <c r="A308" s="1" t="s">
        <v>26</v>
      </c>
      <c r="B308" s="1"/>
      <c r="C308" s="1" t="s">
        <v>107</v>
      </c>
      <c r="D308">
        <v>10123</v>
      </c>
      <c r="E308" s="1"/>
      <c r="F308" s="1" t="s">
        <v>255</v>
      </c>
      <c r="G308">
        <v>2008</v>
      </c>
      <c r="H308">
        <v>3333.87</v>
      </c>
      <c r="I308">
        <v>1</v>
      </c>
      <c r="J308" s="1" t="s">
        <v>400</v>
      </c>
      <c r="K308">
        <v>0</v>
      </c>
      <c r="L308">
        <v>1413</v>
      </c>
      <c r="M308">
        <v>2.3592590000000002</v>
      </c>
      <c r="N308">
        <v>2</v>
      </c>
      <c r="O308" s="1" t="s">
        <v>569</v>
      </c>
      <c r="P308">
        <v>3333.87</v>
      </c>
      <c r="Q308">
        <v>1563.59</v>
      </c>
      <c r="R308">
        <v>0</v>
      </c>
      <c r="S308" s="1" t="s">
        <v>950</v>
      </c>
      <c r="T308" s="1"/>
      <c r="U308">
        <v>3333.8709699999999</v>
      </c>
      <c r="V308">
        <v>0</v>
      </c>
      <c r="W308">
        <v>77797</v>
      </c>
    </row>
    <row r="309" spans="1:23" x14ac:dyDescent="0.25">
      <c r="A309" s="1" t="s">
        <v>26</v>
      </c>
      <c r="B309" s="1"/>
      <c r="C309" s="1" t="s">
        <v>107</v>
      </c>
      <c r="D309">
        <v>10123</v>
      </c>
      <c r="E309" s="1"/>
      <c r="F309" s="1" t="s">
        <v>255</v>
      </c>
      <c r="G309">
        <v>2008</v>
      </c>
      <c r="H309">
        <v>18133.689999999999</v>
      </c>
      <c r="I309">
        <v>12</v>
      </c>
      <c r="J309" s="1"/>
      <c r="K309">
        <v>0</v>
      </c>
      <c r="L309">
        <v>1413</v>
      </c>
      <c r="M309">
        <v>12.832559</v>
      </c>
      <c r="N309">
        <v>2</v>
      </c>
      <c r="O309" s="1" t="s">
        <v>569</v>
      </c>
      <c r="P309">
        <v>18133.689999999999</v>
      </c>
      <c r="Q309">
        <v>8504.69</v>
      </c>
      <c r="R309">
        <v>0</v>
      </c>
      <c r="S309" s="1" t="s">
        <v>951</v>
      </c>
      <c r="T309" s="1" t="s">
        <v>1244</v>
      </c>
      <c r="U309">
        <v>18133.698700000001</v>
      </c>
      <c r="V309">
        <v>0</v>
      </c>
      <c r="W309">
        <v>76936</v>
      </c>
    </row>
    <row r="310" spans="1:23" x14ac:dyDescent="0.25">
      <c r="A310" s="1" t="s">
        <v>26</v>
      </c>
      <c r="B310" s="1" t="s">
        <v>47</v>
      </c>
      <c r="C310" s="1" t="s">
        <v>108</v>
      </c>
      <c r="D310">
        <v>6070</v>
      </c>
      <c r="E310" s="1"/>
      <c r="F310" s="1" t="s">
        <v>108</v>
      </c>
      <c r="G310">
        <v>2015</v>
      </c>
      <c r="H310">
        <v>3391.77</v>
      </c>
      <c r="I310">
        <v>5</v>
      </c>
      <c r="J310" s="1" t="s">
        <v>401</v>
      </c>
      <c r="K310">
        <v>0</v>
      </c>
      <c r="L310">
        <v>800</v>
      </c>
      <c r="M310">
        <v>4.2391819999999996</v>
      </c>
      <c r="N310">
        <v>2</v>
      </c>
      <c r="O310" s="1" t="s">
        <v>569</v>
      </c>
      <c r="P310">
        <v>3391.77</v>
      </c>
      <c r="Q310">
        <v>1356.7</v>
      </c>
      <c r="R310">
        <v>0</v>
      </c>
      <c r="S310" s="1" t="s">
        <v>952</v>
      </c>
      <c r="T310" s="1" t="s">
        <v>1245</v>
      </c>
      <c r="U310">
        <v>3391.7714299999998</v>
      </c>
      <c r="V310">
        <v>0</v>
      </c>
      <c r="W310">
        <v>60879</v>
      </c>
    </row>
    <row r="311" spans="1:23" x14ac:dyDescent="0.25">
      <c r="A311" s="1" t="s">
        <v>26</v>
      </c>
      <c r="B311" s="1" t="s">
        <v>47</v>
      </c>
      <c r="C311" s="1" t="s">
        <v>108</v>
      </c>
      <c r="D311">
        <v>6070</v>
      </c>
      <c r="E311" s="1"/>
      <c r="F311" s="1" t="s">
        <v>108</v>
      </c>
      <c r="G311">
        <v>2014</v>
      </c>
      <c r="H311">
        <v>7547.76</v>
      </c>
      <c r="I311">
        <v>12</v>
      </c>
      <c r="J311" s="1" t="s">
        <v>401</v>
      </c>
      <c r="K311">
        <v>0</v>
      </c>
      <c r="L311">
        <v>800</v>
      </c>
      <c r="M311">
        <v>9.4335199999999997</v>
      </c>
      <c r="N311">
        <v>2</v>
      </c>
      <c r="O311" s="1" t="s">
        <v>569</v>
      </c>
      <c r="P311">
        <v>7547.76</v>
      </c>
      <c r="Q311">
        <v>3019.09</v>
      </c>
      <c r="R311">
        <v>0</v>
      </c>
      <c r="S311" s="1" t="s">
        <v>952</v>
      </c>
      <c r="T311" s="1" t="s">
        <v>1245</v>
      </c>
      <c r="U311">
        <v>7547.7619000000004</v>
      </c>
      <c r="V311">
        <v>0</v>
      </c>
      <c r="W311">
        <v>60879</v>
      </c>
    </row>
    <row r="312" spans="1:23" x14ac:dyDescent="0.25">
      <c r="A312" s="1" t="s">
        <v>26</v>
      </c>
      <c r="B312" s="1" t="s">
        <v>47</v>
      </c>
      <c r="C312" s="1" t="s">
        <v>108</v>
      </c>
      <c r="D312">
        <v>6070</v>
      </c>
      <c r="E312" s="1"/>
      <c r="F312" s="1" t="s">
        <v>108</v>
      </c>
      <c r="G312">
        <v>2013</v>
      </c>
      <c r="H312">
        <v>10243.34</v>
      </c>
      <c r="I312">
        <v>12</v>
      </c>
      <c r="J312" s="1" t="s">
        <v>401</v>
      </c>
      <c r="K312">
        <v>0</v>
      </c>
      <c r="L312">
        <v>800</v>
      </c>
      <c r="M312">
        <v>12.802574</v>
      </c>
      <c r="N312">
        <v>2</v>
      </c>
      <c r="O312" s="1" t="s">
        <v>569</v>
      </c>
      <c r="P312">
        <v>10243.34</v>
      </c>
      <c r="Q312">
        <v>4097.34</v>
      </c>
      <c r="R312">
        <v>0</v>
      </c>
      <c r="S312" s="1" t="s">
        <v>952</v>
      </c>
      <c r="T312" s="1" t="s">
        <v>1245</v>
      </c>
      <c r="U312">
        <v>10243.333339999999</v>
      </c>
      <c r="V312">
        <v>0</v>
      </c>
      <c r="W312">
        <v>60879</v>
      </c>
    </row>
    <row r="313" spans="1:23" x14ac:dyDescent="0.25">
      <c r="A313" s="1" t="s">
        <v>26</v>
      </c>
      <c r="B313" s="1" t="s">
        <v>47</v>
      </c>
      <c r="C313" s="1" t="s">
        <v>108</v>
      </c>
      <c r="D313">
        <v>6070</v>
      </c>
      <c r="E313" s="1"/>
      <c r="F313" s="1" t="s">
        <v>108</v>
      </c>
      <c r="G313">
        <v>2012</v>
      </c>
      <c r="H313">
        <v>9901.52</v>
      </c>
      <c r="I313">
        <v>12</v>
      </c>
      <c r="J313" s="1" t="s">
        <v>401</v>
      </c>
      <c r="K313">
        <v>0</v>
      </c>
      <c r="L313">
        <v>800</v>
      </c>
      <c r="M313">
        <v>12.375353</v>
      </c>
      <c r="N313">
        <v>2</v>
      </c>
      <c r="O313" s="1" t="s">
        <v>569</v>
      </c>
      <c r="P313">
        <v>9901.52</v>
      </c>
      <c r="Q313">
        <v>3960.6</v>
      </c>
      <c r="R313">
        <v>0</v>
      </c>
      <c r="S313" s="1" t="s">
        <v>952</v>
      </c>
      <c r="T313" s="1" t="s">
        <v>1245</v>
      </c>
      <c r="U313">
        <v>9901.5192999999999</v>
      </c>
      <c r="V313">
        <v>0</v>
      </c>
      <c r="W313">
        <v>60879</v>
      </c>
    </row>
    <row r="314" spans="1:23" x14ac:dyDescent="0.25">
      <c r="A314" s="1" t="s">
        <v>26</v>
      </c>
      <c r="B314" s="1" t="s">
        <v>47</v>
      </c>
      <c r="C314" s="1" t="s">
        <v>108</v>
      </c>
      <c r="D314">
        <v>6070</v>
      </c>
      <c r="E314" s="1"/>
      <c r="F314" s="1" t="s">
        <v>108</v>
      </c>
      <c r="G314">
        <v>2011</v>
      </c>
      <c r="H314">
        <v>9310.81</v>
      </c>
      <c r="I314">
        <v>11</v>
      </c>
      <c r="J314" s="1" t="s">
        <v>401</v>
      </c>
      <c r="K314">
        <v>0</v>
      </c>
      <c r="L314">
        <v>800</v>
      </c>
      <c r="M314">
        <v>11.637057</v>
      </c>
      <c r="N314">
        <v>2</v>
      </c>
      <c r="O314" s="1" t="s">
        <v>569</v>
      </c>
      <c r="P314">
        <v>9310.81</v>
      </c>
      <c r="Q314">
        <v>4366.78</v>
      </c>
      <c r="R314">
        <v>0</v>
      </c>
      <c r="S314" s="1" t="s">
        <v>952</v>
      </c>
      <c r="T314" s="1" t="s">
        <v>1245</v>
      </c>
      <c r="U314">
        <v>9310.8140299999995</v>
      </c>
      <c r="V314">
        <v>0</v>
      </c>
      <c r="W314">
        <v>60879</v>
      </c>
    </row>
    <row r="315" spans="1:23" x14ac:dyDescent="0.25">
      <c r="A315" s="1" t="s">
        <v>26</v>
      </c>
      <c r="B315" s="1" t="s">
        <v>47</v>
      </c>
      <c r="C315" s="1" t="s">
        <v>108</v>
      </c>
      <c r="D315">
        <v>6070</v>
      </c>
      <c r="E315" s="1"/>
      <c r="F315" s="1" t="s">
        <v>108</v>
      </c>
      <c r="G315">
        <v>2010</v>
      </c>
      <c r="H315">
        <v>12026.14</v>
      </c>
      <c r="I315">
        <v>12</v>
      </c>
      <c r="J315" s="1" t="s">
        <v>401</v>
      </c>
      <c r="K315">
        <v>0</v>
      </c>
      <c r="L315">
        <v>800</v>
      </c>
      <c r="M315">
        <v>15.030796</v>
      </c>
      <c r="N315">
        <v>2</v>
      </c>
      <c r="O315" s="1" t="s">
        <v>569</v>
      </c>
      <c r="P315">
        <v>12026.14</v>
      </c>
      <c r="Q315">
        <v>5640.25</v>
      </c>
      <c r="R315">
        <v>0</v>
      </c>
      <c r="S315" s="1" t="s">
        <v>952</v>
      </c>
      <c r="T315" s="1" t="s">
        <v>1245</v>
      </c>
      <c r="U315">
        <v>12026.14285</v>
      </c>
      <c r="V315">
        <v>0</v>
      </c>
      <c r="W315">
        <v>60879</v>
      </c>
    </row>
    <row r="316" spans="1:23" x14ac:dyDescent="0.25">
      <c r="A316" s="1" t="s">
        <v>26</v>
      </c>
      <c r="B316" s="1" t="s">
        <v>47</v>
      </c>
      <c r="C316" s="1" t="s">
        <v>108</v>
      </c>
      <c r="D316">
        <v>6070</v>
      </c>
      <c r="E316" s="1"/>
      <c r="F316" s="1" t="s">
        <v>108</v>
      </c>
      <c r="G316">
        <v>2009</v>
      </c>
      <c r="H316">
        <v>10333</v>
      </c>
      <c r="I316">
        <v>12</v>
      </c>
      <c r="J316" s="1" t="s">
        <v>401</v>
      </c>
      <c r="K316">
        <v>0</v>
      </c>
      <c r="L316">
        <v>800</v>
      </c>
      <c r="M316">
        <v>12.914635000000001</v>
      </c>
      <c r="N316">
        <v>2</v>
      </c>
      <c r="O316" s="1" t="s">
        <v>569</v>
      </c>
      <c r="P316">
        <v>10333</v>
      </c>
      <c r="Q316">
        <v>4846.1899999999996</v>
      </c>
      <c r="R316">
        <v>0</v>
      </c>
      <c r="S316" s="1" t="s">
        <v>952</v>
      </c>
      <c r="T316" s="1" t="s">
        <v>1245</v>
      </c>
      <c r="U316">
        <v>10332.990470000001</v>
      </c>
      <c r="V316">
        <v>0</v>
      </c>
      <c r="W316">
        <v>60879</v>
      </c>
    </row>
    <row r="317" spans="1:23" x14ac:dyDescent="0.25">
      <c r="A317" s="1" t="s">
        <v>26</v>
      </c>
      <c r="B317" s="1" t="s">
        <v>47</v>
      </c>
      <c r="C317" s="1" t="s">
        <v>108</v>
      </c>
      <c r="D317">
        <v>6070</v>
      </c>
      <c r="E317" s="1"/>
      <c r="F317" s="1" t="s">
        <v>108</v>
      </c>
      <c r="G317">
        <v>2008</v>
      </c>
      <c r="H317">
        <v>10038.75</v>
      </c>
      <c r="I317">
        <v>11</v>
      </c>
      <c r="J317" s="1" t="s">
        <v>401</v>
      </c>
      <c r="K317">
        <v>0</v>
      </c>
      <c r="L317">
        <v>800</v>
      </c>
      <c r="M317">
        <v>12.546868999999999</v>
      </c>
      <c r="N317">
        <v>2</v>
      </c>
      <c r="O317" s="1" t="s">
        <v>569</v>
      </c>
      <c r="P317">
        <v>10038.75</v>
      </c>
      <c r="Q317">
        <v>4708.18</v>
      </c>
      <c r="R317">
        <v>0</v>
      </c>
      <c r="S317" s="1" t="s">
        <v>952</v>
      </c>
      <c r="T317" s="1" t="s">
        <v>1245</v>
      </c>
      <c r="U317">
        <v>10038.763419999999</v>
      </c>
      <c r="V317">
        <v>0</v>
      </c>
      <c r="W317">
        <v>60879</v>
      </c>
    </row>
    <row r="318" spans="1:23" x14ac:dyDescent="0.25">
      <c r="A318" s="1" t="s">
        <v>27</v>
      </c>
      <c r="B318" s="1" t="s">
        <v>48</v>
      </c>
      <c r="C318" s="1" t="s">
        <v>109</v>
      </c>
      <c r="D318">
        <v>5244</v>
      </c>
      <c r="E318" s="1"/>
      <c r="F318" s="1" t="s">
        <v>256</v>
      </c>
      <c r="G318">
        <v>2015</v>
      </c>
      <c r="H318">
        <v>91.73</v>
      </c>
      <c r="I318">
        <v>5</v>
      </c>
      <c r="J318" s="1" t="s">
        <v>402</v>
      </c>
      <c r="K318">
        <v>0</v>
      </c>
      <c r="L318">
        <v>560</v>
      </c>
      <c r="M318">
        <v>0.163774</v>
      </c>
      <c r="N318">
        <v>3</v>
      </c>
      <c r="O318" s="1" t="s">
        <v>560</v>
      </c>
      <c r="P318">
        <v>91.73</v>
      </c>
      <c r="Q318">
        <v>73.38</v>
      </c>
      <c r="R318">
        <v>0</v>
      </c>
      <c r="S318" s="1" t="s">
        <v>585</v>
      </c>
      <c r="T318" s="1"/>
      <c r="U318">
        <v>91.72</v>
      </c>
      <c r="V318">
        <v>0</v>
      </c>
      <c r="W318">
        <v>56615</v>
      </c>
    </row>
    <row r="319" spans="1:23" x14ac:dyDescent="0.25">
      <c r="A319" s="1" t="s">
        <v>27</v>
      </c>
      <c r="B319" s="1" t="s">
        <v>48</v>
      </c>
      <c r="C319" s="1" t="s">
        <v>109</v>
      </c>
      <c r="D319">
        <v>5244</v>
      </c>
      <c r="E319" s="1"/>
      <c r="F319" s="1" t="s">
        <v>256</v>
      </c>
      <c r="G319">
        <v>2014</v>
      </c>
      <c r="H319">
        <v>125.83</v>
      </c>
      <c r="I319">
        <v>12</v>
      </c>
      <c r="J319" s="1" t="s">
        <v>402</v>
      </c>
      <c r="K319">
        <v>0</v>
      </c>
      <c r="L319">
        <v>560</v>
      </c>
      <c r="M319">
        <v>0.22465599999999999</v>
      </c>
      <c r="N319">
        <v>3</v>
      </c>
      <c r="O319" s="1" t="s">
        <v>560</v>
      </c>
      <c r="P319">
        <v>125.83</v>
      </c>
      <c r="Q319">
        <v>100.67</v>
      </c>
      <c r="R319">
        <v>0</v>
      </c>
      <c r="S319" s="1" t="s">
        <v>585</v>
      </c>
      <c r="T319" s="1"/>
      <c r="U319">
        <v>125.842</v>
      </c>
      <c r="V319">
        <v>0</v>
      </c>
      <c r="W319">
        <v>56615</v>
      </c>
    </row>
    <row r="320" spans="1:23" x14ac:dyDescent="0.25">
      <c r="A320" s="1" t="s">
        <v>27</v>
      </c>
      <c r="B320" s="1" t="s">
        <v>48</v>
      </c>
      <c r="C320" s="1" t="s">
        <v>109</v>
      </c>
      <c r="D320">
        <v>5244</v>
      </c>
      <c r="E320" s="1"/>
      <c r="F320" s="1" t="s">
        <v>256</v>
      </c>
      <c r="G320">
        <v>2013</v>
      </c>
      <c r="H320">
        <v>247.55</v>
      </c>
      <c r="I320">
        <v>12</v>
      </c>
      <c r="J320" s="1" t="s">
        <v>402</v>
      </c>
      <c r="K320">
        <v>0</v>
      </c>
      <c r="L320">
        <v>560</v>
      </c>
      <c r="M320">
        <v>0.44197399999999998</v>
      </c>
      <c r="N320">
        <v>3</v>
      </c>
      <c r="O320" s="1" t="s">
        <v>560</v>
      </c>
      <c r="P320">
        <v>247.55</v>
      </c>
      <c r="Q320">
        <v>198.06</v>
      </c>
      <c r="R320">
        <v>0</v>
      </c>
      <c r="S320" s="1" t="s">
        <v>585</v>
      </c>
      <c r="T320" s="1"/>
      <c r="U320">
        <v>247.54599999999999</v>
      </c>
      <c r="V320">
        <v>0</v>
      </c>
      <c r="W320">
        <v>56615</v>
      </c>
    </row>
    <row r="321" spans="1:23" x14ac:dyDescent="0.25">
      <c r="A321" s="1" t="s">
        <v>27</v>
      </c>
      <c r="B321" s="1" t="s">
        <v>48</v>
      </c>
      <c r="C321" s="1" t="s">
        <v>109</v>
      </c>
      <c r="D321">
        <v>5244</v>
      </c>
      <c r="E321" s="1"/>
      <c r="F321" s="1" t="s">
        <v>256</v>
      </c>
      <c r="G321">
        <v>2012</v>
      </c>
      <c r="H321">
        <v>242.19</v>
      </c>
      <c r="I321">
        <v>12</v>
      </c>
      <c r="J321" s="1" t="s">
        <v>402</v>
      </c>
      <c r="K321">
        <v>0</v>
      </c>
      <c r="L321">
        <v>560</v>
      </c>
      <c r="M321">
        <v>0.43240400000000001</v>
      </c>
      <c r="N321">
        <v>3</v>
      </c>
      <c r="O321" s="1" t="s">
        <v>560</v>
      </c>
      <c r="P321">
        <v>242.19</v>
      </c>
      <c r="Q321">
        <v>193.76</v>
      </c>
      <c r="R321">
        <v>0</v>
      </c>
      <c r="S321" s="1" t="s">
        <v>585</v>
      </c>
      <c r="T321" s="1"/>
      <c r="U321">
        <v>242.20599999999999</v>
      </c>
      <c r="V321">
        <v>0</v>
      </c>
      <c r="W321">
        <v>56615</v>
      </c>
    </row>
    <row r="322" spans="1:23" x14ac:dyDescent="0.25">
      <c r="A322" s="1" t="s">
        <v>27</v>
      </c>
      <c r="B322" s="1" t="s">
        <v>48</v>
      </c>
      <c r="C322" s="1" t="s">
        <v>109</v>
      </c>
      <c r="D322">
        <v>5244</v>
      </c>
      <c r="E322" s="1"/>
      <c r="F322" s="1" t="s">
        <v>256</v>
      </c>
      <c r="G322">
        <v>2011</v>
      </c>
      <c r="H322">
        <v>237.22</v>
      </c>
      <c r="I322">
        <v>12</v>
      </c>
      <c r="J322" s="1" t="s">
        <v>402</v>
      </c>
      <c r="K322">
        <v>0</v>
      </c>
      <c r="L322">
        <v>560</v>
      </c>
      <c r="M322">
        <v>0.42353099999999999</v>
      </c>
      <c r="N322">
        <v>3</v>
      </c>
      <c r="O322" s="1" t="s">
        <v>560</v>
      </c>
      <c r="P322">
        <v>237.22</v>
      </c>
      <c r="Q322">
        <v>189.78</v>
      </c>
      <c r="R322">
        <v>0</v>
      </c>
      <c r="S322" s="1" t="s">
        <v>585</v>
      </c>
      <c r="T322" s="1"/>
      <c r="U322">
        <v>237.22499999999999</v>
      </c>
      <c r="V322">
        <v>0</v>
      </c>
      <c r="W322">
        <v>56615</v>
      </c>
    </row>
    <row r="323" spans="1:23" x14ac:dyDescent="0.25">
      <c r="A323" s="1" t="s">
        <v>27</v>
      </c>
      <c r="B323" s="1" t="s">
        <v>48</v>
      </c>
      <c r="C323" s="1" t="s">
        <v>109</v>
      </c>
      <c r="D323">
        <v>5244</v>
      </c>
      <c r="E323" s="1"/>
      <c r="F323" s="1" t="s">
        <v>256</v>
      </c>
      <c r="G323">
        <v>2010</v>
      </c>
      <c r="H323">
        <v>191.77</v>
      </c>
      <c r="I323">
        <v>12</v>
      </c>
      <c r="J323" s="1" t="s">
        <v>402</v>
      </c>
      <c r="K323">
        <v>0</v>
      </c>
      <c r="L323">
        <v>560</v>
      </c>
      <c r="M323">
        <v>0.34238499999999999</v>
      </c>
      <c r="N323">
        <v>3</v>
      </c>
      <c r="O323" s="1" t="s">
        <v>560</v>
      </c>
      <c r="P323">
        <v>191.77</v>
      </c>
      <c r="Q323">
        <v>153.38</v>
      </c>
      <c r="R323">
        <v>0</v>
      </c>
      <c r="S323" s="1" t="s">
        <v>585</v>
      </c>
      <c r="T323" s="1"/>
      <c r="U323">
        <v>191.751</v>
      </c>
      <c r="V323">
        <v>0</v>
      </c>
      <c r="W323">
        <v>56615</v>
      </c>
    </row>
    <row r="324" spans="1:23" x14ac:dyDescent="0.25">
      <c r="A324" s="1" t="s">
        <v>27</v>
      </c>
      <c r="B324" s="1" t="s">
        <v>48</v>
      </c>
      <c r="C324" s="1" t="s">
        <v>109</v>
      </c>
      <c r="D324">
        <v>5244</v>
      </c>
      <c r="E324" s="1"/>
      <c r="F324" s="1" t="s">
        <v>256</v>
      </c>
      <c r="G324">
        <v>2009</v>
      </c>
      <c r="H324">
        <v>305.60000000000002</v>
      </c>
      <c r="I324">
        <v>12</v>
      </c>
      <c r="J324" s="1" t="s">
        <v>402</v>
      </c>
      <c r="K324">
        <v>0</v>
      </c>
      <c r="L324">
        <v>560</v>
      </c>
      <c r="M324">
        <v>0.54561599999999999</v>
      </c>
      <c r="N324">
        <v>3</v>
      </c>
      <c r="O324" s="1" t="s">
        <v>560</v>
      </c>
      <c r="P324">
        <v>305.60000000000002</v>
      </c>
      <c r="Q324">
        <v>244.46</v>
      </c>
      <c r="R324">
        <v>0</v>
      </c>
      <c r="S324" s="1" t="s">
        <v>585</v>
      </c>
      <c r="T324" s="1"/>
      <c r="U324">
        <v>305.59100000000001</v>
      </c>
      <c r="V324">
        <v>0</v>
      </c>
      <c r="W324">
        <v>56615</v>
      </c>
    </row>
    <row r="325" spans="1:23" x14ac:dyDescent="0.25">
      <c r="A325" s="1" t="s">
        <v>27</v>
      </c>
      <c r="B325" s="1" t="s">
        <v>48</v>
      </c>
      <c r="C325" s="1" t="s">
        <v>109</v>
      </c>
      <c r="D325">
        <v>5244</v>
      </c>
      <c r="E325" s="1"/>
      <c r="F325" s="1" t="s">
        <v>256</v>
      </c>
      <c r="G325">
        <v>2008</v>
      </c>
      <c r="H325">
        <v>286.5</v>
      </c>
      <c r="I325">
        <v>12</v>
      </c>
      <c r="J325" s="1" t="s">
        <v>402</v>
      </c>
      <c r="K325">
        <v>0</v>
      </c>
      <c r="L325">
        <v>560</v>
      </c>
      <c r="M325">
        <v>0.51151500000000005</v>
      </c>
      <c r="N325">
        <v>3</v>
      </c>
      <c r="O325" s="1" t="s">
        <v>560</v>
      </c>
      <c r="P325">
        <v>286.5</v>
      </c>
      <c r="Q325">
        <v>229.2</v>
      </c>
      <c r="R325">
        <v>0</v>
      </c>
      <c r="S325" s="1" t="s">
        <v>585</v>
      </c>
      <c r="T325" s="1"/>
      <c r="U325">
        <v>286.5</v>
      </c>
      <c r="V325">
        <v>0</v>
      </c>
      <c r="W325">
        <v>56615</v>
      </c>
    </row>
    <row r="326" spans="1:23" x14ac:dyDescent="0.25">
      <c r="A326" s="1" t="s">
        <v>27</v>
      </c>
      <c r="B326" s="1"/>
      <c r="C326" s="1" t="s">
        <v>110</v>
      </c>
      <c r="D326">
        <v>9965</v>
      </c>
      <c r="E326" s="1"/>
      <c r="F326" s="1" t="s">
        <v>110</v>
      </c>
      <c r="G326">
        <v>2015</v>
      </c>
      <c r="H326">
        <v>138.1</v>
      </c>
      <c r="I326">
        <v>5</v>
      </c>
      <c r="J326" s="1" t="s">
        <v>403</v>
      </c>
      <c r="K326">
        <v>0</v>
      </c>
      <c r="L326">
        <v>715</v>
      </c>
      <c r="M326">
        <v>0.19311900000000001</v>
      </c>
      <c r="N326">
        <v>3</v>
      </c>
      <c r="O326" s="1" t="s">
        <v>560</v>
      </c>
      <c r="P326">
        <v>138.1</v>
      </c>
      <c r="Q326">
        <v>110.48</v>
      </c>
      <c r="R326">
        <v>0</v>
      </c>
      <c r="S326" s="1"/>
      <c r="T326" s="1"/>
      <c r="U326">
        <v>138.1</v>
      </c>
      <c r="V326">
        <v>0</v>
      </c>
      <c r="W326">
        <v>76373</v>
      </c>
    </row>
    <row r="327" spans="1:23" x14ac:dyDescent="0.25">
      <c r="A327" s="1" t="s">
        <v>27</v>
      </c>
      <c r="B327" s="1"/>
      <c r="C327" s="1" t="s">
        <v>110</v>
      </c>
      <c r="D327">
        <v>9965</v>
      </c>
      <c r="E327" s="1"/>
      <c r="F327" s="1" t="s">
        <v>110</v>
      </c>
      <c r="G327">
        <v>2014</v>
      </c>
      <c r="H327">
        <v>326.3</v>
      </c>
      <c r="I327">
        <v>12</v>
      </c>
      <c r="J327" s="1" t="s">
        <v>403</v>
      </c>
      <c r="K327">
        <v>0</v>
      </c>
      <c r="L327">
        <v>715</v>
      </c>
      <c r="M327">
        <v>0.45629900000000001</v>
      </c>
      <c r="N327">
        <v>3</v>
      </c>
      <c r="O327" s="1" t="s">
        <v>560</v>
      </c>
      <c r="P327">
        <v>326.3</v>
      </c>
      <c r="Q327">
        <v>261.04000000000002</v>
      </c>
      <c r="R327">
        <v>0</v>
      </c>
      <c r="S327" s="1"/>
      <c r="T327" s="1"/>
      <c r="U327">
        <v>326.29998999999998</v>
      </c>
      <c r="V327">
        <v>0</v>
      </c>
      <c r="W327">
        <v>76373</v>
      </c>
    </row>
    <row r="328" spans="1:23" x14ac:dyDescent="0.25">
      <c r="A328" s="1" t="s">
        <v>27</v>
      </c>
      <c r="B328" s="1"/>
      <c r="C328" s="1" t="s">
        <v>110</v>
      </c>
      <c r="D328">
        <v>9965</v>
      </c>
      <c r="E328" s="1"/>
      <c r="F328" s="1" t="s">
        <v>110</v>
      </c>
      <c r="G328">
        <v>2013</v>
      </c>
      <c r="H328">
        <v>367.9</v>
      </c>
      <c r="I328">
        <v>12</v>
      </c>
      <c r="J328" s="1" t="s">
        <v>403</v>
      </c>
      <c r="K328">
        <v>0</v>
      </c>
      <c r="L328">
        <v>715</v>
      </c>
      <c r="M328">
        <v>0.51447299999999996</v>
      </c>
      <c r="N328">
        <v>3</v>
      </c>
      <c r="O328" s="1" t="s">
        <v>560</v>
      </c>
      <c r="P328">
        <v>367.9</v>
      </c>
      <c r="Q328">
        <v>294.32</v>
      </c>
      <c r="R328">
        <v>0</v>
      </c>
      <c r="S328" s="1"/>
      <c r="T328" s="1"/>
      <c r="U328">
        <v>367.9</v>
      </c>
      <c r="V328">
        <v>0</v>
      </c>
      <c r="W328">
        <v>76373</v>
      </c>
    </row>
    <row r="329" spans="1:23" x14ac:dyDescent="0.25">
      <c r="A329" s="1" t="s">
        <v>27</v>
      </c>
      <c r="B329" s="1"/>
      <c r="C329" s="1" t="s">
        <v>110</v>
      </c>
      <c r="D329">
        <v>9965</v>
      </c>
      <c r="E329" s="1"/>
      <c r="F329" s="1" t="s">
        <v>110</v>
      </c>
      <c r="G329">
        <v>2012</v>
      </c>
      <c r="H329">
        <v>453.1</v>
      </c>
      <c r="I329">
        <v>12</v>
      </c>
      <c r="J329" s="1" t="s">
        <v>403</v>
      </c>
      <c r="K329">
        <v>0</v>
      </c>
      <c r="L329">
        <v>715</v>
      </c>
      <c r="M329">
        <v>0.63361699999999999</v>
      </c>
      <c r="N329">
        <v>3</v>
      </c>
      <c r="O329" s="1" t="s">
        <v>560</v>
      </c>
      <c r="P329">
        <v>453.1</v>
      </c>
      <c r="Q329">
        <v>362.48</v>
      </c>
      <c r="R329">
        <v>0</v>
      </c>
      <c r="S329" s="1"/>
      <c r="T329" s="1"/>
      <c r="U329">
        <v>453.1</v>
      </c>
      <c r="V329">
        <v>0</v>
      </c>
      <c r="W329">
        <v>76373</v>
      </c>
    </row>
    <row r="330" spans="1:23" x14ac:dyDescent="0.25">
      <c r="A330" s="1" t="s">
        <v>27</v>
      </c>
      <c r="B330" s="1"/>
      <c r="C330" s="1" t="s">
        <v>110</v>
      </c>
      <c r="D330">
        <v>9965</v>
      </c>
      <c r="E330" s="1"/>
      <c r="F330" s="1" t="s">
        <v>110</v>
      </c>
      <c r="G330">
        <v>2011</v>
      </c>
      <c r="H330">
        <v>571.20000000000005</v>
      </c>
      <c r="I330">
        <v>12</v>
      </c>
      <c r="J330" s="1" t="s">
        <v>403</v>
      </c>
      <c r="K330">
        <v>0</v>
      </c>
      <c r="L330">
        <v>715</v>
      </c>
      <c r="M330">
        <v>0.79876899999999995</v>
      </c>
      <c r="N330">
        <v>3</v>
      </c>
      <c r="O330" s="1" t="s">
        <v>560</v>
      </c>
      <c r="P330">
        <v>571.20000000000005</v>
      </c>
      <c r="Q330">
        <v>456.96</v>
      </c>
      <c r="R330">
        <v>0</v>
      </c>
      <c r="S330" s="1"/>
      <c r="T330" s="1"/>
      <c r="U330">
        <v>571.20000000000005</v>
      </c>
      <c r="V330">
        <v>0</v>
      </c>
      <c r="W330">
        <v>76373</v>
      </c>
    </row>
    <row r="331" spans="1:23" x14ac:dyDescent="0.25">
      <c r="A331" s="1" t="s">
        <v>27</v>
      </c>
      <c r="B331" s="1"/>
      <c r="C331" s="1" t="s">
        <v>110</v>
      </c>
      <c r="D331">
        <v>9965</v>
      </c>
      <c r="E331" s="1"/>
      <c r="F331" s="1" t="s">
        <v>110</v>
      </c>
      <c r="G331">
        <v>2010</v>
      </c>
      <c r="H331">
        <v>515.54</v>
      </c>
      <c r="I331">
        <v>12</v>
      </c>
      <c r="J331" s="1" t="s">
        <v>403</v>
      </c>
      <c r="K331">
        <v>0</v>
      </c>
      <c r="L331">
        <v>715</v>
      </c>
      <c r="M331">
        <v>0.72093399999999996</v>
      </c>
      <c r="N331">
        <v>3</v>
      </c>
      <c r="O331" s="1" t="s">
        <v>560</v>
      </c>
      <c r="P331">
        <v>515.54</v>
      </c>
      <c r="Q331">
        <v>412.44</v>
      </c>
      <c r="R331">
        <v>0</v>
      </c>
      <c r="S331" s="1"/>
      <c r="T331" s="1"/>
      <c r="U331">
        <v>515.54444000000001</v>
      </c>
      <c r="V331">
        <v>0</v>
      </c>
      <c r="W331">
        <v>76373</v>
      </c>
    </row>
    <row r="332" spans="1:23" x14ac:dyDescent="0.25">
      <c r="A332" s="1" t="s">
        <v>27</v>
      </c>
      <c r="B332" s="1"/>
      <c r="C332" s="1" t="s">
        <v>110</v>
      </c>
      <c r="D332">
        <v>9965</v>
      </c>
      <c r="E332" s="1"/>
      <c r="F332" s="1" t="s">
        <v>110</v>
      </c>
      <c r="G332">
        <v>2009</v>
      </c>
      <c r="H332">
        <v>549.29</v>
      </c>
      <c r="I332">
        <v>5</v>
      </c>
      <c r="J332" s="1" t="s">
        <v>403</v>
      </c>
      <c r="K332">
        <v>0</v>
      </c>
      <c r="L332">
        <v>715</v>
      </c>
      <c r="M332">
        <v>0.76812999999999998</v>
      </c>
      <c r="N332">
        <v>3</v>
      </c>
      <c r="O332" s="1" t="s">
        <v>560</v>
      </c>
      <c r="P332">
        <v>549.29</v>
      </c>
      <c r="Q332">
        <v>439.42</v>
      </c>
      <c r="R332">
        <v>0</v>
      </c>
      <c r="S332" s="1"/>
      <c r="T332" s="1"/>
      <c r="U332">
        <v>549.28126999999995</v>
      </c>
      <c r="V332">
        <v>0</v>
      </c>
      <c r="W332">
        <v>76373</v>
      </c>
    </row>
    <row r="333" spans="1:23" x14ac:dyDescent="0.25">
      <c r="A333" s="1" t="s">
        <v>27</v>
      </c>
      <c r="B333" s="1"/>
      <c r="C333" s="1" t="s">
        <v>110</v>
      </c>
      <c r="D333">
        <v>9965</v>
      </c>
      <c r="E333" s="1"/>
      <c r="F333" s="1" t="s">
        <v>110</v>
      </c>
      <c r="G333">
        <v>2008</v>
      </c>
      <c r="H333">
        <v>424.23</v>
      </c>
      <c r="I333">
        <v>5</v>
      </c>
      <c r="J333" s="1" t="s">
        <v>403</v>
      </c>
      <c r="K333">
        <v>0</v>
      </c>
      <c r="L333">
        <v>715</v>
      </c>
      <c r="M333">
        <v>0.59324500000000002</v>
      </c>
      <c r="N333">
        <v>3</v>
      </c>
      <c r="O333" s="1" t="s">
        <v>560</v>
      </c>
      <c r="P333">
        <v>424.23</v>
      </c>
      <c r="Q333">
        <v>339.37</v>
      </c>
      <c r="R333">
        <v>0</v>
      </c>
      <c r="S333" s="1"/>
      <c r="T333" s="1"/>
      <c r="U333">
        <v>424.22831000000002</v>
      </c>
      <c r="V333">
        <v>0</v>
      </c>
      <c r="W333">
        <v>76373</v>
      </c>
    </row>
    <row r="334" spans="1:23" x14ac:dyDescent="0.25">
      <c r="A334" s="1" t="s">
        <v>27</v>
      </c>
      <c r="B334" s="1" t="s">
        <v>49</v>
      </c>
      <c r="C334" s="1" t="s">
        <v>111</v>
      </c>
      <c r="D334">
        <v>5251</v>
      </c>
      <c r="E334" s="1"/>
      <c r="F334" s="1" t="s">
        <v>257</v>
      </c>
      <c r="G334">
        <v>2015</v>
      </c>
      <c r="H334">
        <v>14.98</v>
      </c>
      <c r="I334">
        <v>5</v>
      </c>
      <c r="J334" s="1" t="s">
        <v>404</v>
      </c>
      <c r="K334">
        <v>0</v>
      </c>
      <c r="L334">
        <v>375</v>
      </c>
      <c r="M334">
        <v>3.9935999999999999E-2</v>
      </c>
      <c r="N334">
        <v>3</v>
      </c>
      <c r="O334" s="1" t="s">
        <v>560</v>
      </c>
      <c r="P334">
        <v>14.98</v>
      </c>
      <c r="Q334">
        <v>11.98</v>
      </c>
      <c r="R334">
        <v>0</v>
      </c>
      <c r="S334" s="1" t="s">
        <v>586</v>
      </c>
      <c r="T334" s="1"/>
      <c r="U334">
        <v>14.981999999999999</v>
      </c>
      <c r="V334">
        <v>0</v>
      </c>
      <c r="W334">
        <v>56682</v>
      </c>
    </row>
    <row r="335" spans="1:23" x14ac:dyDescent="0.25">
      <c r="A335" s="1" t="s">
        <v>27</v>
      </c>
      <c r="B335" s="1" t="s">
        <v>49</v>
      </c>
      <c r="C335" s="1" t="s">
        <v>111</v>
      </c>
      <c r="D335">
        <v>5251</v>
      </c>
      <c r="E335" s="1"/>
      <c r="F335" s="1" t="s">
        <v>257</v>
      </c>
      <c r="G335">
        <v>2014</v>
      </c>
      <c r="H335">
        <v>39.86</v>
      </c>
      <c r="I335">
        <v>12</v>
      </c>
      <c r="J335" s="1" t="s">
        <v>404</v>
      </c>
      <c r="K335">
        <v>0</v>
      </c>
      <c r="L335">
        <v>375</v>
      </c>
      <c r="M335">
        <v>0.106264</v>
      </c>
      <c r="N335">
        <v>3</v>
      </c>
      <c r="O335" s="1" t="s">
        <v>560</v>
      </c>
      <c r="P335">
        <v>39.86</v>
      </c>
      <c r="Q335">
        <v>31.87</v>
      </c>
      <c r="R335">
        <v>0</v>
      </c>
      <c r="S335" s="1" t="s">
        <v>586</v>
      </c>
      <c r="T335" s="1"/>
      <c r="U335">
        <v>39.847999999999999</v>
      </c>
      <c r="V335">
        <v>0</v>
      </c>
      <c r="W335">
        <v>56682</v>
      </c>
    </row>
    <row r="336" spans="1:23" x14ac:dyDescent="0.25">
      <c r="A336" s="1" t="s">
        <v>27</v>
      </c>
      <c r="B336" s="1" t="s">
        <v>49</v>
      </c>
      <c r="C336" s="1" t="s">
        <v>111</v>
      </c>
      <c r="D336">
        <v>5251</v>
      </c>
      <c r="E336" s="1"/>
      <c r="F336" s="1" t="s">
        <v>257</v>
      </c>
      <c r="G336">
        <v>2013</v>
      </c>
      <c r="H336">
        <v>46.48</v>
      </c>
      <c r="I336">
        <v>12</v>
      </c>
      <c r="J336" s="1" t="s">
        <v>404</v>
      </c>
      <c r="K336">
        <v>0</v>
      </c>
      <c r="L336">
        <v>375</v>
      </c>
      <c r="M336">
        <v>0.123913</v>
      </c>
      <c r="N336">
        <v>3</v>
      </c>
      <c r="O336" s="1" t="s">
        <v>560</v>
      </c>
      <c r="P336">
        <v>46.48</v>
      </c>
      <c r="Q336">
        <v>37.17</v>
      </c>
      <c r="R336">
        <v>0</v>
      </c>
      <c r="S336" s="1" t="s">
        <v>586</v>
      </c>
      <c r="T336" s="1"/>
      <c r="U336">
        <v>46.472000000000001</v>
      </c>
      <c r="V336">
        <v>0</v>
      </c>
      <c r="W336">
        <v>56682</v>
      </c>
    </row>
    <row r="337" spans="1:23" x14ac:dyDescent="0.25">
      <c r="A337" s="1" t="s">
        <v>27</v>
      </c>
      <c r="B337" s="1" t="s">
        <v>49</v>
      </c>
      <c r="C337" s="1" t="s">
        <v>111</v>
      </c>
      <c r="D337">
        <v>5251</v>
      </c>
      <c r="E337" s="1"/>
      <c r="F337" s="1" t="s">
        <v>257</v>
      </c>
      <c r="G337">
        <v>2012</v>
      </c>
      <c r="H337">
        <v>73.430000000000007</v>
      </c>
      <c r="I337">
        <v>12</v>
      </c>
      <c r="J337" s="1" t="s">
        <v>404</v>
      </c>
      <c r="K337">
        <v>0</v>
      </c>
      <c r="L337">
        <v>375</v>
      </c>
      <c r="M337">
        <v>0.19576099999999999</v>
      </c>
      <c r="N337">
        <v>3</v>
      </c>
      <c r="O337" s="1" t="s">
        <v>560</v>
      </c>
      <c r="P337">
        <v>73.430000000000007</v>
      </c>
      <c r="Q337">
        <v>58.75</v>
      </c>
      <c r="R337">
        <v>0</v>
      </c>
      <c r="S337" s="1" t="s">
        <v>586</v>
      </c>
      <c r="T337" s="1"/>
      <c r="U337">
        <v>73.430999999999997</v>
      </c>
      <c r="V337">
        <v>0</v>
      </c>
      <c r="W337">
        <v>56682</v>
      </c>
    </row>
    <row r="338" spans="1:23" x14ac:dyDescent="0.25">
      <c r="A338" s="1" t="s">
        <v>27</v>
      </c>
      <c r="B338" s="1" t="s">
        <v>49</v>
      </c>
      <c r="C338" s="1" t="s">
        <v>111</v>
      </c>
      <c r="D338">
        <v>5251</v>
      </c>
      <c r="E338" s="1"/>
      <c r="F338" s="1" t="s">
        <v>257</v>
      </c>
      <c r="G338">
        <v>2011</v>
      </c>
      <c r="H338">
        <v>95.11</v>
      </c>
      <c r="I338">
        <v>12</v>
      </c>
      <c r="J338" s="1" t="s">
        <v>404</v>
      </c>
      <c r="K338">
        <v>0</v>
      </c>
      <c r="L338">
        <v>375</v>
      </c>
      <c r="M338">
        <v>0.25355899999999998</v>
      </c>
      <c r="N338">
        <v>3</v>
      </c>
      <c r="O338" s="1" t="s">
        <v>560</v>
      </c>
      <c r="P338">
        <v>95.11</v>
      </c>
      <c r="Q338">
        <v>76.069999999999993</v>
      </c>
      <c r="R338">
        <v>0</v>
      </c>
      <c r="S338" s="1" t="s">
        <v>586</v>
      </c>
      <c r="T338" s="1"/>
      <c r="U338">
        <v>95.11</v>
      </c>
      <c r="V338">
        <v>0</v>
      </c>
      <c r="W338">
        <v>56682</v>
      </c>
    </row>
    <row r="339" spans="1:23" x14ac:dyDescent="0.25">
      <c r="A339" s="1" t="s">
        <v>27</v>
      </c>
      <c r="B339" s="1" t="s">
        <v>49</v>
      </c>
      <c r="C339" s="1" t="s">
        <v>111</v>
      </c>
      <c r="D339">
        <v>5251</v>
      </c>
      <c r="E339" s="1"/>
      <c r="F339" s="1" t="s">
        <v>257</v>
      </c>
      <c r="G339">
        <v>2010</v>
      </c>
      <c r="H339">
        <v>121.35</v>
      </c>
      <c r="I339">
        <v>12</v>
      </c>
      <c r="J339" s="1" t="s">
        <v>404</v>
      </c>
      <c r="K339">
        <v>0</v>
      </c>
      <c r="L339">
        <v>375</v>
      </c>
      <c r="M339">
        <v>0.323513</v>
      </c>
      <c r="N339">
        <v>3</v>
      </c>
      <c r="O339" s="1" t="s">
        <v>560</v>
      </c>
      <c r="P339">
        <v>121.35</v>
      </c>
      <c r="Q339">
        <v>97.07</v>
      </c>
      <c r="R339">
        <v>0</v>
      </c>
      <c r="S339" s="1" t="s">
        <v>586</v>
      </c>
      <c r="T339" s="1"/>
      <c r="U339">
        <v>121.342</v>
      </c>
      <c r="V339">
        <v>0</v>
      </c>
      <c r="W339">
        <v>56682</v>
      </c>
    </row>
    <row r="340" spans="1:23" x14ac:dyDescent="0.25">
      <c r="A340" s="1" t="s">
        <v>27</v>
      </c>
      <c r="B340" s="1" t="s">
        <v>49</v>
      </c>
      <c r="C340" s="1" t="s">
        <v>111</v>
      </c>
      <c r="D340">
        <v>5251</v>
      </c>
      <c r="E340" s="1"/>
      <c r="F340" s="1" t="s">
        <v>257</v>
      </c>
      <c r="G340">
        <v>2009</v>
      </c>
      <c r="H340">
        <v>174.75</v>
      </c>
      <c r="I340">
        <v>12</v>
      </c>
      <c r="J340" s="1" t="s">
        <v>404</v>
      </c>
      <c r="K340">
        <v>0</v>
      </c>
      <c r="L340">
        <v>375</v>
      </c>
      <c r="M340">
        <v>0.46587499999999998</v>
      </c>
      <c r="N340">
        <v>3</v>
      </c>
      <c r="O340" s="1" t="s">
        <v>560</v>
      </c>
      <c r="P340">
        <v>174.75</v>
      </c>
      <c r="Q340">
        <v>139.78</v>
      </c>
      <c r="R340">
        <v>0</v>
      </c>
      <c r="S340" s="1" t="s">
        <v>586</v>
      </c>
      <c r="T340" s="1"/>
      <c r="U340">
        <v>174.73599999999999</v>
      </c>
      <c r="V340">
        <v>0</v>
      </c>
      <c r="W340">
        <v>56682</v>
      </c>
    </row>
    <row r="341" spans="1:23" x14ac:dyDescent="0.25">
      <c r="A341" s="1" t="s">
        <v>27</v>
      </c>
      <c r="B341" s="1" t="s">
        <v>49</v>
      </c>
      <c r="C341" s="1" t="s">
        <v>111</v>
      </c>
      <c r="D341">
        <v>5251</v>
      </c>
      <c r="E341" s="1"/>
      <c r="F341" s="1" t="s">
        <v>257</v>
      </c>
      <c r="G341">
        <v>2008</v>
      </c>
      <c r="H341">
        <v>158.05000000000001</v>
      </c>
      <c r="I341">
        <v>12</v>
      </c>
      <c r="J341" s="1" t="s">
        <v>404</v>
      </c>
      <c r="K341">
        <v>0</v>
      </c>
      <c r="L341">
        <v>375</v>
      </c>
      <c r="M341">
        <v>0.42135400000000001</v>
      </c>
      <c r="N341">
        <v>3</v>
      </c>
      <c r="O341" s="1" t="s">
        <v>560</v>
      </c>
      <c r="P341">
        <v>158.05000000000001</v>
      </c>
      <c r="Q341">
        <v>126.44</v>
      </c>
      <c r="R341">
        <v>0</v>
      </c>
      <c r="S341" s="1" t="s">
        <v>586</v>
      </c>
      <c r="T341" s="1"/>
      <c r="U341">
        <v>158.05099999999999</v>
      </c>
      <c r="V341">
        <v>0</v>
      </c>
      <c r="W341">
        <v>56682</v>
      </c>
    </row>
    <row r="342" spans="1:23" x14ac:dyDescent="0.25">
      <c r="A342" s="1" t="s">
        <v>27</v>
      </c>
      <c r="B342" s="1"/>
      <c r="C342" s="1" t="s">
        <v>112</v>
      </c>
      <c r="D342">
        <v>9980</v>
      </c>
      <c r="E342" s="1"/>
      <c r="F342" s="1" t="s">
        <v>258</v>
      </c>
      <c r="G342">
        <v>2015</v>
      </c>
      <c r="H342">
        <v>182.9</v>
      </c>
      <c r="I342">
        <v>5</v>
      </c>
      <c r="J342" s="1" t="s">
        <v>405</v>
      </c>
      <c r="K342">
        <v>0</v>
      </c>
      <c r="L342">
        <v>961</v>
      </c>
      <c r="M342">
        <v>0.190302</v>
      </c>
      <c r="N342">
        <v>3</v>
      </c>
      <c r="O342" s="1" t="s">
        <v>560</v>
      </c>
      <c r="P342">
        <v>182.9</v>
      </c>
      <c r="Q342">
        <v>146.32</v>
      </c>
      <c r="R342">
        <v>0</v>
      </c>
      <c r="S342" s="1" t="s">
        <v>587</v>
      </c>
      <c r="T342" s="1"/>
      <c r="U342">
        <v>182.9</v>
      </c>
      <c r="V342">
        <v>0</v>
      </c>
      <c r="W342">
        <v>76421</v>
      </c>
    </row>
    <row r="343" spans="1:23" x14ac:dyDescent="0.25">
      <c r="A343" s="1" t="s">
        <v>27</v>
      </c>
      <c r="B343" s="1"/>
      <c r="C343" s="1" t="s">
        <v>112</v>
      </c>
      <c r="D343">
        <v>9980</v>
      </c>
      <c r="E343" s="1"/>
      <c r="F343" s="1" t="s">
        <v>258</v>
      </c>
      <c r="G343">
        <v>2014</v>
      </c>
      <c r="H343">
        <v>521.9</v>
      </c>
      <c r="I343">
        <v>12</v>
      </c>
      <c r="J343" s="1" t="s">
        <v>405</v>
      </c>
      <c r="K343">
        <v>0</v>
      </c>
      <c r="L343">
        <v>961</v>
      </c>
      <c r="M343">
        <v>0.54302300000000003</v>
      </c>
      <c r="N343">
        <v>3</v>
      </c>
      <c r="O343" s="1" t="s">
        <v>560</v>
      </c>
      <c r="P343">
        <v>521.9</v>
      </c>
      <c r="Q343">
        <v>417.52</v>
      </c>
      <c r="R343">
        <v>0</v>
      </c>
      <c r="S343" s="1" t="s">
        <v>587</v>
      </c>
      <c r="T343" s="1"/>
      <c r="U343">
        <v>521.9</v>
      </c>
      <c r="V343">
        <v>0</v>
      </c>
      <c r="W343">
        <v>76421</v>
      </c>
    </row>
    <row r="344" spans="1:23" x14ac:dyDescent="0.25">
      <c r="A344" s="1" t="s">
        <v>27</v>
      </c>
      <c r="B344" s="1"/>
      <c r="C344" s="1" t="s">
        <v>112</v>
      </c>
      <c r="D344">
        <v>9980</v>
      </c>
      <c r="E344" s="1"/>
      <c r="F344" s="1" t="s">
        <v>258</v>
      </c>
      <c r="G344">
        <v>2013</v>
      </c>
      <c r="H344">
        <v>568.20000000000005</v>
      </c>
      <c r="I344">
        <v>12</v>
      </c>
      <c r="J344" s="1" t="s">
        <v>405</v>
      </c>
      <c r="K344">
        <v>0</v>
      </c>
      <c r="L344">
        <v>961</v>
      </c>
      <c r="M344">
        <v>0.59119699999999997</v>
      </c>
      <c r="N344">
        <v>3</v>
      </c>
      <c r="O344" s="1" t="s">
        <v>560</v>
      </c>
      <c r="P344">
        <v>568.20000000000005</v>
      </c>
      <c r="Q344">
        <v>454.56</v>
      </c>
      <c r="R344">
        <v>0</v>
      </c>
      <c r="S344" s="1" t="s">
        <v>587</v>
      </c>
      <c r="T344" s="1"/>
      <c r="U344">
        <v>568.20000000000005</v>
      </c>
      <c r="V344">
        <v>0</v>
      </c>
      <c r="W344">
        <v>76421</v>
      </c>
    </row>
    <row r="345" spans="1:23" x14ac:dyDescent="0.25">
      <c r="A345" s="1" t="s">
        <v>27</v>
      </c>
      <c r="B345" s="1"/>
      <c r="C345" s="1" t="s">
        <v>112</v>
      </c>
      <c r="D345">
        <v>9980</v>
      </c>
      <c r="E345" s="1"/>
      <c r="F345" s="1" t="s">
        <v>258</v>
      </c>
      <c r="G345">
        <v>2012</v>
      </c>
      <c r="H345">
        <v>523.70000000000005</v>
      </c>
      <c r="I345">
        <v>12</v>
      </c>
      <c r="J345" s="1" t="s">
        <v>405</v>
      </c>
      <c r="K345">
        <v>0</v>
      </c>
      <c r="L345">
        <v>961</v>
      </c>
      <c r="M345">
        <v>0.54489600000000005</v>
      </c>
      <c r="N345">
        <v>3</v>
      </c>
      <c r="O345" s="1" t="s">
        <v>560</v>
      </c>
      <c r="P345">
        <v>523.70000000000005</v>
      </c>
      <c r="Q345">
        <v>418.96</v>
      </c>
      <c r="R345">
        <v>0</v>
      </c>
      <c r="S345" s="1" t="s">
        <v>587</v>
      </c>
      <c r="T345" s="1"/>
      <c r="U345">
        <v>523.70000000000005</v>
      </c>
      <c r="V345">
        <v>0</v>
      </c>
      <c r="W345">
        <v>76421</v>
      </c>
    </row>
    <row r="346" spans="1:23" x14ac:dyDescent="0.25">
      <c r="A346" s="1" t="s">
        <v>27</v>
      </c>
      <c r="B346" s="1"/>
      <c r="C346" s="1" t="s">
        <v>112</v>
      </c>
      <c r="D346">
        <v>9980</v>
      </c>
      <c r="E346" s="1"/>
      <c r="F346" s="1" t="s">
        <v>258</v>
      </c>
      <c r="G346">
        <v>2011</v>
      </c>
      <c r="H346">
        <v>595.4</v>
      </c>
      <c r="I346">
        <v>12</v>
      </c>
      <c r="J346" s="1" t="s">
        <v>405</v>
      </c>
      <c r="K346">
        <v>0</v>
      </c>
      <c r="L346">
        <v>961</v>
      </c>
      <c r="M346">
        <v>0.61949799999999999</v>
      </c>
      <c r="N346">
        <v>3</v>
      </c>
      <c r="O346" s="1" t="s">
        <v>560</v>
      </c>
      <c r="P346">
        <v>595.4</v>
      </c>
      <c r="Q346">
        <v>476.32</v>
      </c>
      <c r="R346">
        <v>0</v>
      </c>
      <c r="S346" s="1" t="s">
        <v>587</v>
      </c>
      <c r="T346" s="1"/>
      <c r="U346">
        <v>595.4</v>
      </c>
      <c r="V346">
        <v>0</v>
      </c>
      <c r="W346">
        <v>76421</v>
      </c>
    </row>
    <row r="347" spans="1:23" x14ac:dyDescent="0.25">
      <c r="A347" s="1" t="s">
        <v>27</v>
      </c>
      <c r="B347" s="1"/>
      <c r="C347" s="1" t="s">
        <v>112</v>
      </c>
      <c r="D347">
        <v>9980</v>
      </c>
      <c r="E347" s="1"/>
      <c r="F347" s="1" t="s">
        <v>258</v>
      </c>
      <c r="G347">
        <v>2010</v>
      </c>
      <c r="H347">
        <v>526.29999999999995</v>
      </c>
      <c r="I347">
        <v>6</v>
      </c>
      <c r="J347" s="1" t="s">
        <v>405</v>
      </c>
      <c r="K347">
        <v>0</v>
      </c>
      <c r="L347">
        <v>961</v>
      </c>
      <c r="M347">
        <v>0.547601</v>
      </c>
      <c r="N347">
        <v>3</v>
      </c>
      <c r="O347" s="1" t="s">
        <v>560</v>
      </c>
      <c r="P347">
        <v>526.29999999999995</v>
      </c>
      <c r="Q347">
        <v>421.04</v>
      </c>
      <c r="R347">
        <v>0</v>
      </c>
      <c r="S347" s="1" t="s">
        <v>587</v>
      </c>
      <c r="T347" s="1"/>
      <c r="U347">
        <v>526.30002000000002</v>
      </c>
      <c r="V347">
        <v>0</v>
      </c>
      <c r="W347">
        <v>76421</v>
      </c>
    </row>
    <row r="348" spans="1:23" x14ac:dyDescent="0.25">
      <c r="A348" s="1" t="s">
        <v>27</v>
      </c>
      <c r="B348" s="1"/>
      <c r="C348" s="1" t="s">
        <v>112</v>
      </c>
      <c r="D348">
        <v>9980</v>
      </c>
      <c r="E348" s="1"/>
      <c r="F348" s="1" t="s">
        <v>258</v>
      </c>
      <c r="G348">
        <v>2010</v>
      </c>
      <c r="H348">
        <v>61.99</v>
      </c>
      <c r="I348">
        <v>3</v>
      </c>
      <c r="J348" s="1" t="s">
        <v>406</v>
      </c>
      <c r="K348">
        <v>0</v>
      </c>
      <c r="L348">
        <v>961</v>
      </c>
      <c r="M348">
        <v>6.4499000000000001E-2</v>
      </c>
      <c r="N348">
        <v>3</v>
      </c>
      <c r="O348" s="1" t="s">
        <v>560</v>
      </c>
      <c r="P348">
        <v>61.99</v>
      </c>
      <c r="Q348">
        <v>0</v>
      </c>
      <c r="R348">
        <v>1</v>
      </c>
      <c r="S348" s="1" t="s">
        <v>588</v>
      </c>
      <c r="T348" s="1"/>
      <c r="U348">
        <v>62</v>
      </c>
      <c r="V348">
        <v>0</v>
      </c>
      <c r="W348">
        <v>78372</v>
      </c>
    </row>
    <row r="349" spans="1:23" x14ac:dyDescent="0.25">
      <c r="A349" s="1" t="s">
        <v>27</v>
      </c>
      <c r="B349" s="1"/>
      <c r="C349" s="1" t="s">
        <v>112</v>
      </c>
      <c r="D349">
        <v>9980</v>
      </c>
      <c r="E349" s="1"/>
      <c r="F349" s="1" t="s">
        <v>258</v>
      </c>
      <c r="G349">
        <v>2009</v>
      </c>
      <c r="H349">
        <v>525.65</v>
      </c>
      <c r="I349">
        <v>9</v>
      </c>
      <c r="J349" s="1" t="s">
        <v>405</v>
      </c>
      <c r="K349">
        <v>0</v>
      </c>
      <c r="L349">
        <v>961</v>
      </c>
      <c r="M349">
        <v>0.54692499999999999</v>
      </c>
      <c r="N349">
        <v>3</v>
      </c>
      <c r="O349" s="1" t="s">
        <v>560</v>
      </c>
      <c r="P349">
        <v>525.65</v>
      </c>
      <c r="Q349">
        <v>420.55</v>
      </c>
      <c r="R349">
        <v>0</v>
      </c>
      <c r="S349" s="1" t="s">
        <v>587</v>
      </c>
      <c r="T349" s="1"/>
      <c r="U349">
        <v>525.67647999999997</v>
      </c>
      <c r="V349">
        <v>0</v>
      </c>
      <c r="W349">
        <v>76421</v>
      </c>
    </row>
    <row r="350" spans="1:23" x14ac:dyDescent="0.25">
      <c r="A350" s="1" t="s">
        <v>27</v>
      </c>
      <c r="B350" s="1"/>
      <c r="C350" s="1" t="s">
        <v>112</v>
      </c>
      <c r="D350">
        <v>9980</v>
      </c>
      <c r="E350" s="1"/>
      <c r="F350" s="1" t="s">
        <v>258</v>
      </c>
      <c r="G350">
        <v>2009</v>
      </c>
      <c r="H350">
        <v>118.44</v>
      </c>
      <c r="I350">
        <v>10</v>
      </c>
      <c r="J350" s="1" t="s">
        <v>406</v>
      </c>
      <c r="K350">
        <v>0</v>
      </c>
      <c r="L350">
        <v>961</v>
      </c>
      <c r="M350">
        <v>0.123233</v>
      </c>
      <c r="N350">
        <v>3</v>
      </c>
      <c r="O350" s="1" t="s">
        <v>560</v>
      </c>
      <c r="P350">
        <v>118.44</v>
      </c>
      <c r="Q350">
        <v>0</v>
      </c>
      <c r="R350">
        <v>1</v>
      </c>
      <c r="S350" s="1" t="s">
        <v>588</v>
      </c>
      <c r="T350" s="1"/>
      <c r="U350">
        <v>118.44119000000001</v>
      </c>
      <c r="V350">
        <v>0</v>
      </c>
      <c r="W350">
        <v>78372</v>
      </c>
    </row>
    <row r="351" spans="1:23" x14ac:dyDescent="0.25">
      <c r="A351" s="1" t="s">
        <v>27</v>
      </c>
      <c r="B351" s="1"/>
      <c r="C351" s="1" t="s">
        <v>112</v>
      </c>
      <c r="D351">
        <v>9980</v>
      </c>
      <c r="E351" s="1"/>
      <c r="F351" s="1" t="s">
        <v>258</v>
      </c>
      <c r="G351">
        <v>2008</v>
      </c>
      <c r="H351">
        <v>540.04</v>
      </c>
      <c r="I351">
        <v>4</v>
      </c>
      <c r="J351" s="1" t="s">
        <v>405</v>
      </c>
      <c r="K351">
        <v>0</v>
      </c>
      <c r="L351">
        <v>961</v>
      </c>
      <c r="M351">
        <v>0.56189699999999998</v>
      </c>
      <c r="N351">
        <v>3</v>
      </c>
      <c r="O351" s="1" t="s">
        <v>560</v>
      </c>
      <c r="P351">
        <v>540.04</v>
      </c>
      <c r="Q351">
        <v>432.05</v>
      </c>
      <c r="R351">
        <v>0</v>
      </c>
      <c r="S351" s="1" t="s">
        <v>587</v>
      </c>
      <c r="T351" s="1"/>
      <c r="U351">
        <v>540.03543999999999</v>
      </c>
      <c r="V351">
        <v>0</v>
      </c>
      <c r="W351">
        <v>76421</v>
      </c>
    </row>
    <row r="352" spans="1:23" x14ac:dyDescent="0.25">
      <c r="A352" s="1" t="s">
        <v>27</v>
      </c>
      <c r="B352" s="1"/>
      <c r="C352" s="1" t="s">
        <v>112</v>
      </c>
      <c r="D352">
        <v>9980</v>
      </c>
      <c r="E352" s="1"/>
      <c r="F352" s="1" t="s">
        <v>258</v>
      </c>
      <c r="G352">
        <v>2008</v>
      </c>
      <c r="H352">
        <v>46.56</v>
      </c>
      <c r="I352">
        <v>4</v>
      </c>
      <c r="J352" s="1" t="s">
        <v>406</v>
      </c>
      <c r="K352">
        <v>0</v>
      </c>
      <c r="L352">
        <v>961</v>
      </c>
      <c r="M352">
        <v>4.8444000000000001E-2</v>
      </c>
      <c r="N352">
        <v>3</v>
      </c>
      <c r="O352" s="1" t="s">
        <v>560</v>
      </c>
      <c r="P352">
        <v>46.56</v>
      </c>
      <c r="Q352">
        <v>0</v>
      </c>
      <c r="R352">
        <v>1</v>
      </c>
      <c r="S352" s="1" t="s">
        <v>588</v>
      </c>
      <c r="T352" s="1"/>
      <c r="U352">
        <v>46.558819999999997</v>
      </c>
      <c r="V352">
        <v>0</v>
      </c>
      <c r="W352">
        <v>78372</v>
      </c>
    </row>
    <row r="353" spans="1:23" x14ac:dyDescent="0.25">
      <c r="A353" s="1" t="s">
        <v>27</v>
      </c>
      <c r="B353" s="1" t="s">
        <v>50</v>
      </c>
      <c r="C353" s="1" t="s">
        <v>113</v>
      </c>
      <c r="D353">
        <v>5278</v>
      </c>
      <c r="E353" s="1"/>
      <c r="F353" s="1" t="s">
        <v>113</v>
      </c>
      <c r="G353">
        <v>2015</v>
      </c>
      <c r="H353">
        <v>165.25</v>
      </c>
      <c r="I353">
        <v>5</v>
      </c>
      <c r="J353" s="1" t="s">
        <v>404</v>
      </c>
      <c r="K353">
        <v>0</v>
      </c>
      <c r="L353">
        <v>760</v>
      </c>
      <c r="M353">
        <v>0.21740499999999999</v>
      </c>
      <c r="N353">
        <v>3</v>
      </c>
      <c r="O353" s="1" t="s">
        <v>560</v>
      </c>
      <c r="P353">
        <v>165.25</v>
      </c>
      <c r="Q353">
        <v>132.19999999999999</v>
      </c>
      <c r="R353">
        <v>0</v>
      </c>
      <c r="S353" s="1" t="s">
        <v>589</v>
      </c>
      <c r="T353" s="1"/>
      <c r="U353">
        <v>165.25399999999999</v>
      </c>
      <c r="V353">
        <v>0</v>
      </c>
      <c r="W353">
        <v>56875</v>
      </c>
    </row>
    <row r="354" spans="1:23" x14ac:dyDescent="0.25">
      <c r="A354" s="1" t="s">
        <v>27</v>
      </c>
      <c r="B354" s="1" t="s">
        <v>50</v>
      </c>
      <c r="C354" s="1" t="s">
        <v>113</v>
      </c>
      <c r="D354">
        <v>5278</v>
      </c>
      <c r="E354" s="1"/>
      <c r="F354" s="1" t="s">
        <v>113</v>
      </c>
      <c r="G354">
        <v>2014</v>
      </c>
      <c r="H354">
        <v>392.62</v>
      </c>
      <c r="I354">
        <v>12</v>
      </c>
      <c r="J354" s="1" t="s">
        <v>404</v>
      </c>
      <c r="K354">
        <v>0</v>
      </c>
      <c r="L354">
        <v>760</v>
      </c>
      <c r="M354">
        <v>0.51653700000000002</v>
      </c>
      <c r="N354">
        <v>3</v>
      </c>
      <c r="O354" s="1" t="s">
        <v>560</v>
      </c>
      <c r="P354">
        <v>392.62</v>
      </c>
      <c r="Q354">
        <v>314.10000000000002</v>
      </c>
      <c r="R354">
        <v>0</v>
      </c>
      <c r="S354" s="1" t="s">
        <v>589</v>
      </c>
      <c r="T354" s="1"/>
      <c r="U354">
        <v>392.62900000000002</v>
      </c>
      <c r="V354">
        <v>0</v>
      </c>
      <c r="W354">
        <v>56875</v>
      </c>
    </row>
    <row r="355" spans="1:23" x14ac:dyDescent="0.25">
      <c r="A355" s="1" t="s">
        <v>27</v>
      </c>
      <c r="B355" s="1" t="s">
        <v>50</v>
      </c>
      <c r="C355" s="1" t="s">
        <v>113</v>
      </c>
      <c r="D355">
        <v>5278</v>
      </c>
      <c r="E355" s="1"/>
      <c r="F355" s="1" t="s">
        <v>113</v>
      </c>
      <c r="G355">
        <v>2013</v>
      </c>
      <c r="H355">
        <v>343.49</v>
      </c>
      <c r="I355">
        <v>12</v>
      </c>
      <c r="J355" s="1" t="s">
        <v>404</v>
      </c>
      <c r="K355">
        <v>0</v>
      </c>
      <c r="L355">
        <v>760</v>
      </c>
      <c r="M355">
        <v>0.451901</v>
      </c>
      <c r="N355">
        <v>3</v>
      </c>
      <c r="O355" s="1" t="s">
        <v>560</v>
      </c>
      <c r="P355">
        <v>343.49</v>
      </c>
      <c r="Q355">
        <v>274.77</v>
      </c>
      <c r="R355">
        <v>0</v>
      </c>
      <c r="S355" s="1" t="s">
        <v>589</v>
      </c>
      <c r="T355" s="1"/>
      <c r="U355">
        <v>343.48500000000001</v>
      </c>
      <c r="V355">
        <v>0</v>
      </c>
      <c r="W355">
        <v>56875</v>
      </c>
    </row>
    <row r="356" spans="1:23" x14ac:dyDescent="0.25">
      <c r="A356" s="1" t="s">
        <v>27</v>
      </c>
      <c r="B356" s="1" t="s">
        <v>50</v>
      </c>
      <c r="C356" s="1" t="s">
        <v>113</v>
      </c>
      <c r="D356">
        <v>5278</v>
      </c>
      <c r="E356" s="1"/>
      <c r="F356" s="1" t="s">
        <v>113</v>
      </c>
      <c r="G356">
        <v>2012</v>
      </c>
      <c r="H356">
        <v>349.14</v>
      </c>
      <c r="I356">
        <v>12</v>
      </c>
      <c r="J356" s="1" t="s">
        <v>404</v>
      </c>
      <c r="K356">
        <v>0</v>
      </c>
      <c r="L356">
        <v>760</v>
      </c>
      <c r="M356">
        <v>0.45933400000000002</v>
      </c>
      <c r="N356">
        <v>3</v>
      </c>
      <c r="O356" s="1" t="s">
        <v>560</v>
      </c>
      <c r="P356">
        <v>349.14</v>
      </c>
      <c r="Q356">
        <v>279.32</v>
      </c>
      <c r="R356">
        <v>0</v>
      </c>
      <c r="S356" s="1" t="s">
        <v>589</v>
      </c>
      <c r="T356" s="1"/>
      <c r="U356">
        <v>349.14800000000002</v>
      </c>
      <c r="V356">
        <v>0</v>
      </c>
      <c r="W356">
        <v>56875</v>
      </c>
    </row>
    <row r="357" spans="1:23" x14ac:dyDescent="0.25">
      <c r="A357" s="1" t="s">
        <v>27</v>
      </c>
      <c r="B357" s="1" t="s">
        <v>50</v>
      </c>
      <c r="C357" s="1" t="s">
        <v>113</v>
      </c>
      <c r="D357">
        <v>5278</v>
      </c>
      <c r="E357" s="1"/>
      <c r="F357" s="1" t="s">
        <v>113</v>
      </c>
      <c r="G357">
        <v>2011</v>
      </c>
      <c r="H357">
        <v>383.55</v>
      </c>
      <c r="I357">
        <v>12</v>
      </c>
      <c r="J357" s="1" t="s">
        <v>404</v>
      </c>
      <c r="K357">
        <v>0</v>
      </c>
      <c r="L357">
        <v>760</v>
      </c>
      <c r="M357">
        <v>0.50460400000000005</v>
      </c>
      <c r="N357">
        <v>3</v>
      </c>
      <c r="O357" s="1" t="s">
        <v>560</v>
      </c>
      <c r="P357">
        <v>383.55</v>
      </c>
      <c r="Q357">
        <v>306.86</v>
      </c>
      <c r="R357">
        <v>0</v>
      </c>
      <c r="S357" s="1" t="s">
        <v>589</v>
      </c>
      <c r="T357" s="1"/>
      <c r="U357">
        <v>383.56400000000002</v>
      </c>
      <c r="V357">
        <v>0</v>
      </c>
      <c r="W357">
        <v>56875</v>
      </c>
    </row>
    <row r="358" spans="1:23" x14ac:dyDescent="0.25">
      <c r="A358" s="1" t="s">
        <v>27</v>
      </c>
      <c r="B358" s="1" t="s">
        <v>50</v>
      </c>
      <c r="C358" s="1" t="s">
        <v>113</v>
      </c>
      <c r="D358">
        <v>5278</v>
      </c>
      <c r="E358" s="1"/>
      <c r="F358" s="1" t="s">
        <v>113</v>
      </c>
      <c r="G358">
        <v>2010</v>
      </c>
      <c r="H358">
        <v>347.69</v>
      </c>
      <c r="I358">
        <v>12</v>
      </c>
      <c r="J358" s="1" t="s">
        <v>404</v>
      </c>
      <c r="K358">
        <v>0</v>
      </c>
      <c r="L358">
        <v>760</v>
      </c>
      <c r="M358">
        <v>0.457426</v>
      </c>
      <c r="N358">
        <v>3</v>
      </c>
      <c r="O358" s="1" t="s">
        <v>560</v>
      </c>
      <c r="P358">
        <v>347.69</v>
      </c>
      <c r="Q358">
        <v>278.14999999999998</v>
      </c>
      <c r="R358">
        <v>0</v>
      </c>
      <c r="S358" s="1" t="s">
        <v>589</v>
      </c>
      <c r="T358" s="1"/>
      <c r="U358">
        <v>347.69</v>
      </c>
      <c r="V358">
        <v>0</v>
      </c>
      <c r="W358">
        <v>56875</v>
      </c>
    </row>
    <row r="359" spans="1:23" x14ac:dyDescent="0.25">
      <c r="A359" s="1" t="s">
        <v>27</v>
      </c>
      <c r="B359" s="1" t="s">
        <v>50</v>
      </c>
      <c r="C359" s="1" t="s">
        <v>113</v>
      </c>
      <c r="D359">
        <v>5278</v>
      </c>
      <c r="E359" s="1"/>
      <c r="F359" s="1" t="s">
        <v>113</v>
      </c>
      <c r="G359">
        <v>2009</v>
      </c>
      <c r="H359">
        <v>84.9</v>
      </c>
      <c r="I359">
        <v>12</v>
      </c>
      <c r="J359" s="1" t="s">
        <v>404</v>
      </c>
      <c r="K359">
        <v>0</v>
      </c>
      <c r="L359">
        <v>760</v>
      </c>
      <c r="M359">
        <v>0.111695</v>
      </c>
      <c r="N359">
        <v>3</v>
      </c>
      <c r="O359" s="1" t="s">
        <v>560</v>
      </c>
      <c r="P359">
        <v>84.9</v>
      </c>
      <c r="Q359">
        <v>67.92</v>
      </c>
      <c r="R359">
        <v>0</v>
      </c>
      <c r="S359" s="1" t="s">
        <v>589</v>
      </c>
      <c r="T359" s="1"/>
      <c r="U359">
        <v>84.891000000000005</v>
      </c>
      <c r="V359">
        <v>0</v>
      </c>
      <c r="W359">
        <v>56875</v>
      </c>
    </row>
    <row r="360" spans="1:23" x14ac:dyDescent="0.25">
      <c r="A360" s="1" t="s">
        <v>27</v>
      </c>
      <c r="B360" s="1" t="s">
        <v>50</v>
      </c>
      <c r="C360" s="1" t="s">
        <v>113</v>
      </c>
      <c r="D360">
        <v>5278</v>
      </c>
      <c r="E360" s="1"/>
      <c r="F360" s="1" t="s">
        <v>113</v>
      </c>
      <c r="G360">
        <v>2008</v>
      </c>
      <c r="H360">
        <v>122.46</v>
      </c>
      <c r="I360">
        <v>12</v>
      </c>
      <c r="J360" s="1" t="s">
        <v>404</v>
      </c>
      <c r="K360">
        <v>0</v>
      </c>
      <c r="L360">
        <v>760</v>
      </c>
      <c r="M360">
        <v>0.16111</v>
      </c>
      <c r="N360">
        <v>3</v>
      </c>
      <c r="O360" s="1" t="s">
        <v>560</v>
      </c>
      <c r="P360">
        <v>122.46</v>
      </c>
      <c r="Q360">
        <v>97.96</v>
      </c>
      <c r="R360">
        <v>0</v>
      </c>
      <c r="S360" s="1" t="s">
        <v>589</v>
      </c>
      <c r="T360" s="1"/>
      <c r="U360">
        <v>122.473</v>
      </c>
      <c r="V360">
        <v>0</v>
      </c>
      <c r="W360">
        <v>56875</v>
      </c>
    </row>
    <row r="361" spans="1:23" x14ac:dyDescent="0.25">
      <c r="A361" s="1" t="s">
        <v>27</v>
      </c>
      <c r="B361" s="1" t="s">
        <v>51</v>
      </c>
      <c r="C361" s="1" t="s">
        <v>114</v>
      </c>
      <c r="D361">
        <v>5276</v>
      </c>
      <c r="E361" s="1"/>
      <c r="F361" s="1" t="s">
        <v>259</v>
      </c>
      <c r="G361">
        <v>2015</v>
      </c>
      <c r="H361">
        <v>39.880000000000003</v>
      </c>
      <c r="I361">
        <v>5</v>
      </c>
      <c r="J361" s="1" t="s">
        <v>407</v>
      </c>
      <c r="K361">
        <v>0</v>
      </c>
      <c r="L361">
        <v>284</v>
      </c>
      <c r="M361">
        <v>0.140373</v>
      </c>
      <c r="N361">
        <v>3</v>
      </c>
      <c r="O361" s="1" t="s">
        <v>560</v>
      </c>
      <c r="P361">
        <v>39.880000000000003</v>
      </c>
      <c r="Q361">
        <v>31.9</v>
      </c>
      <c r="R361">
        <v>0</v>
      </c>
      <c r="S361" s="1" t="s">
        <v>590</v>
      </c>
      <c r="T361" s="1"/>
      <c r="U361">
        <v>39.872</v>
      </c>
      <c r="V361">
        <v>0</v>
      </c>
      <c r="W361">
        <v>56863</v>
      </c>
    </row>
    <row r="362" spans="1:23" x14ac:dyDescent="0.25">
      <c r="A362" s="1" t="s">
        <v>27</v>
      </c>
      <c r="B362" s="1" t="s">
        <v>51</v>
      </c>
      <c r="C362" s="1" t="s">
        <v>114</v>
      </c>
      <c r="D362">
        <v>5276</v>
      </c>
      <c r="E362" s="1"/>
      <c r="F362" s="1" t="s">
        <v>259</v>
      </c>
      <c r="G362">
        <v>2014</v>
      </c>
      <c r="H362">
        <v>99.1</v>
      </c>
      <c r="I362">
        <v>12</v>
      </c>
      <c r="J362" s="1" t="s">
        <v>407</v>
      </c>
      <c r="K362">
        <v>0</v>
      </c>
      <c r="L362">
        <v>284</v>
      </c>
      <c r="M362">
        <v>0.34882000000000002</v>
      </c>
      <c r="N362">
        <v>3</v>
      </c>
      <c r="O362" s="1" t="s">
        <v>560</v>
      </c>
      <c r="P362">
        <v>99.1</v>
      </c>
      <c r="Q362">
        <v>79.27</v>
      </c>
      <c r="R362">
        <v>0</v>
      </c>
      <c r="S362" s="1" t="s">
        <v>590</v>
      </c>
      <c r="T362" s="1"/>
      <c r="U362">
        <v>99.099980000000002</v>
      </c>
      <c r="V362">
        <v>0</v>
      </c>
      <c r="W362">
        <v>56863</v>
      </c>
    </row>
    <row r="363" spans="1:23" x14ac:dyDescent="0.25">
      <c r="A363" s="1" t="s">
        <v>27</v>
      </c>
      <c r="B363" s="1" t="s">
        <v>51</v>
      </c>
      <c r="C363" s="1" t="s">
        <v>114</v>
      </c>
      <c r="D363">
        <v>5276</v>
      </c>
      <c r="E363" s="1"/>
      <c r="F363" s="1" t="s">
        <v>259</v>
      </c>
      <c r="G363">
        <v>2013</v>
      </c>
      <c r="H363">
        <v>106.74</v>
      </c>
      <c r="I363">
        <v>12</v>
      </c>
      <c r="J363" s="1" t="s">
        <v>407</v>
      </c>
      <c r="K363">
        <v>0</v>
      </c>
      <c r="L363">
        <v>284</v>
      </c>
      <c r="M363">
        <v>0.37571199999999999</v>
      </c>
      <c r="N363">
        <v>3</v>
      </c>
      <c r="O363" s="1" t="s">
        <v>560</v>
      </c>
      <c r="P363">
        <v>106.74</v>
      </c>
      <c r="Q363">
        <v>85.4</v>
      </c>
      <c r="R363">
        <v>0</v>
      </c>
      <c r="S363" s="1" t="s">
        <v>590</v>
      </c>
      <c r="T363" s="1"/>
      <c r="U363">
        <v>106.74299999999999</v>
      </c>
      <c r="V363">
        <v>0</v>
      </c>
      <c r="W363">
        <v>56863</v>
      </c>
    </row>
    <row r="364" spans="1:23" x14ac:dyDescent="0.25">
      <c r="A364" s="1" t="s">
        <v>27</v>
      </c>
      <c r="B364" s="1" t="s">
        <v>51</v>
      </c>
      <c r="C364" s="1" t="s">
        <v>114</v>
      </c>
      <c r="D364">
        <v>5276</v>
      </c>
      <c r="E364" s="1"/>
      <c r="F364" s="1" t="s">
        <v>259</v>
      </c>
      <c r="G364">
        <v>2012</v>
      </c>
      <c r="H364">
        <v>146.86000000000001</v>
      </c>
      <c r="I364">
        <v>12</v>
      </c>
      <c r="J364" s="1" t="s">
        <v>407</v>
      </c>
      <c r="K364">
        <v>0</v>
      </c>
      <c r="L364">
        <v>284</v>
      </c>
      <c r="M364">
        <v>0.51693</v>
      </c>
      <c r="N364">
        <v>3</v>
      </c>
      <c r="O364" s="1" t="s">
        <v>560</v>
      </c>
      <c r="P364">
        <v>146.86000000000001</v>
      </c>
      <c r="Q364">
        <v>117.5</v>
      </c>
      <c r="R364">
        <v>0</v>
      </c>
      <c r="S364" s="1" t="s">
        <v>590</v>
      </c>
      <c r="T364" s="1"/>
      <c r="U364">
        <v>146.87700000000001</v>
      </c>
      <c r="V364">
        <v>0</v>
      </c>
      <c r="W364">
        <v>56863</v>
      </c>
    </row>
    <row r="365" spans="1:23" x14ac:dyDescent="0.25">
      <c r="A365" s="1" t="s">
        <v>27</v>
      </c>
      <c r="B365" s="1" t="s">
        <v>51</v>
      </c>
      <c r="C365" s="1" t="s">
        <v>114</v>
      </c>
      <c r="D365">
        <v>5276</v>
      </c>
      <c r="E365" s="1"/>
      <c r="F365" s="1" t="s">
        <v>259</v>
      </c>
      <c r="G365">
        <v>2011</v>
      </c>
      <c r="H365">
        <v>233.34</v>
      </c>
      <c r="I365">
        <v>12</v>
      </c>
      <c r="J365" s="1" t="s">
        <v>407</v>
      </c>
      <c r="K365">
        <v>0</v>
      </c>
      <c r="L365">
        <v>284</v>
      </c>
      <c r="M365">
        <v>0.82133</v>
      </c>
      <c r="N365">
        <v>3</v>
      </c>
      <c r="O365" s="1" t="s">
        <v>560</v>
      </c>
      <c r="P365">
        <v>233.34</v>
      </c>
      <c r="Q365">
        <v>186.68</v>
      </c>
      <c r="R365">
        <v>0</v>
      </c>
      <c r="S365" s="1" t="s">
        <v>590</v>
      </c>
      <c r="T365" s="1"/>
      <c r="U365">
        <v>233.32900000000001</v>
      </c>
      <c r="V365">
        <v>0</v>
      </c>
      <c r="W365">
        <v>56863</v>
      </c>
    </row>
    <row r="366" spans="1:23" x14ac:dyDescent="0.25">
      <c r="A366" s="1" t="s">
        <v>27</v>
      </c>
      <c r="B366" s="1" t="s">
        <v>51</v>
      </c>
      <c r="C366" s="1" t="s">
        <v>114</v>
      </c>
      <c r="D366">
        <v>5276</v>
      </c>
      <c r="E366" s="1"/>
      <c r="F366" s="1" t="s">
        <v>259</v>
      </c>
      <c r="G366">
        <v>2010</v>
      </c>
      <c r="H366">
        <v>122.72</v>
      </c>
      <c r="I366">
        <v>12</v>
      </c>
      <c r="J366" s="1" t="s">
        <v>407</v>
      </c>
      <c r="K366">
        <v>0</v>
      </c>
      <c r="L366">
        <v>284</v>
      </c>
      <c r="M366">
        <v>0.43196000000000001</v>
      </c>
      <c r="N366">
        <v>3</v>
      </c>
      <c r="O366" s="1" t="s">
        <v>560</v>
      </c>
      <c r="P366">
        <v>122.72</v>
      </c>
      <c r="Q366">
        <v>98.17</v>
      </c>
      <c r="R366">
        <v>0</v>
      </c>
      <c r="S366" s="1" t="s">
        <v>590</v>
      </c>
      <c r="T366" s="1"/>
      <c r="U366">
        <v>122.73399999999999</v>
      </c>
      <c r="V366">
        <v>0</v>
      </c>
      <c r="W366">
        <v>56863</v>
      </c>
    </row>
    <row r="367" spans="1:23" x14ac:dyDescent="0.25">
      <c r="A367" s="1" t="s">
        <v>27</v>
      </c>
      <c r="B367" s="1" t="s">
        <v>51</v>
      </c>
      <c r="C367" s="1" t="s">
        <v>114</v>
      </c>
      <c r="D367">
        <v>5276</v>
      </c>
      <c r="E367" s="1"/>
      <c r="F367" s="1" t="s">
        <v>259</v>
      </c>
      <c r="G367">
        <v>2009</v>
      </c>
      <c r="H367">
        <v>106.54</v>
      </c>
      <c r="I367">
        <v>12</v>
      </c>
      <c r="J367" s="1" t="s">
        <v>407</v>
      </c>
      <c r="K367">
        <v>0</v>
      </c>
      <c r="L367">
        <v>284</v>
      </c>
      <c r="M367">
        <v>0.37500800000000001</v>
      </c>
      <c r="N367">
        <v>3</v>
      </c>
      <c r="O367" s="1" t="s">
        <v>560</v>
      </c>
      <c r="P367">
        <v>106.54</v>
      </c>
      <c r="Q367">
        <v>85.21</v>
      </c>
      <c r="R367">
        <v>0</v>
      </c>
      <c r="S367" s="1" t="s">
        <v>590</v>
      </c>
      <c r="T367" s="1"/>
      <c r="U367">
        <v>106.523</v>
      </c>
      <c r="V367">
        <v>0</v>
      </c>
      <c r="W367">
        <v>56863</v>
      </c>
    </row>
    <row r="368" spans="1:23" x14ac:dyDescent="0.25">
      <c r="A368" s="1" t="s">
        <v>27</v>
      </c>
      <c r="B368" s="1" t="s">
        <v>51</v>
      </c>
      <c r="C368" s="1" t="s">
        <v>114</v>
      </c>
      <c r="D368">
        <v>5276</v>
      </c>
      <c r="E368" s="1"/>
      <c r="F368" s="1" t="s">
        <v>259</v>
      </c>
      <c r="G368">
        <v>2008</v>
      </c>
      <c r="H368">
        <v>126.27</v>
      </c>
      <c r="I368">
        <v>12</v>
      </c>
      <c r="J368" s="1" t="s">
        <v>407</v>
      </c>
      <c r="K368">
        <v>0</v>
      </c>
      <c r="L368">
        <v>284</v>
      </c>
      <c r="M368">
        <v>0.44445600000000002</v>
      </c>
      <c r="N368">
        <v>3</v>
      </c>
      <c r="O368" s="1" t="s">
        <v>560</v>
      </c>
      <c r="P368">
        <v>126.27</v>
      </c>
      <c r="Q368">
        <v>101.03</v>
      </c>
      <c r="R368">
        <v>0</v>
      </c>
      <c r="S368" s="1" t="s">
        <v>590</v>
      </c>
      <c r="T368" s="1"/>
      <c r="U368">
        <v>126.27800000000001</v>
      </c>
      <c r="V368">
        <v>0</v>
      </c>
      <c r="W368">
        <v>56863</v>
      </c>
    </row>
    <row r="369" spans="1:23" x14ac:dyDescent="0.25">
      <c r="A369" s="1" t="s">
        <v>27</v>
      </c>
      <c r="B369" s="1"/>
      <c r="C369" s="1" t="s">
        <v>115</v>
      </c>
      <c r="D369">
        <v>9970</v>
      </c>
      <c r="E369" s="1"/>
      <c r="F369" s="1" t="s">
        <v>260</v>
      </c>
      <c r="G369">
        <v>2015</v>
      </c>
      <c r="H369">
        <v>232.84</v>
      </c>
      <c r="I369">
        <v>5</v>
      </c>
      <c r="J369" s="1" t="s">
        <v>408</v>
      </c>
      <c r="K369">
        <v>0</v>
      </c>
      <c r="L369">
        <v>864</v>
      </c>
      <c r="M369">
        <v>0.269459</v>
      </c>
      <c r="N369">
        <v>3</v>
      </c>
      <c r="O369" s="1" t="s">
        <v>560</v>
      </c>
      <c r="P369">
        <v>232.84</v>
      </c>
      <c r="Q369">
        <v>186.28</v>
      </c>
      <c r="R369">
        <v>0</v>
      </c>
      <c r="S369" s="1"/>
      <c r="T369" s="1"/>
      <c r="U369">
        <v>232.84399999999999</v>
      </c>
      <c r="V369">
        <v>0</v>
      </c>
      <c r="W369">
        <v>76388</v>
      </c>
    </row>
    <row r="370" spans="1:23" x14ac:dyDescent="0.25">
      <c r="A370" s="1" t="s">
        <v>27</v>
      </c>
      <c r="B370" s="1"/>
      <c r="C370" s="1" t="s">
        <v>115</v>
      </c>
      <c r="D370">
        <v>9970</v>
      </c>
      <c r="E370" s="1"/>
      <c r="F370" s="1" t="s">
        <v>260</v>
      </c>
      <c r="G370">
        <v>2014</v>
      </c>
      <c r="H370">
        <v>716.3</v>
      </c>
      <c r="I370">
        <v>12</v>
      </c>
      <c r="J370" s="1" t="s">
        <v>408</v>
      </c>
      <c r="K370">
        <v>0</v>
      </c>
      <c r="L370">
        <v>864</v>
      </c>
      <c r="M370">
        <v>0.82895399999999997</v>
      </c>
      <c r="N370">
        <v>3</v>
      </c>
      <c r="O370" s="1" t="s">
        <v>560</v>
      </c>
      <c r="P370">
        <v>716.3</v>
      </c>
      <c r="Q370">
        <v>573.04</v>
      </c>
      <c r="R370">
        <v>0</v>
      </c>
      <c r="S370" s="1"/>
      <c r="T370" s="1"/>
      <c r="U370">
        <v>716.3</v>
      </c>
      <c r="V370">
        <v>0</v>
      </c>
      <c r="W370">
        <v>76388</v>
      </c>
    </row>
    <row r="371" spans="1:23" x14ac:dyDescent="0.25">
      <c r="A371" s="1" t="s">
        <v>27</v>
      </c>
      <c r="B371" s="1"/>
      <c r="C371" s="1" t="s">
        <v>115</v>
      </c>
      <c r="D371">
        <v>9970</v>
      </c>
      <c r="E371" s="1"/>
      <c r="F371" s="1" t="s">
        <v>260</v>
      </c>
      <c r="G371">
        <v>2013</v>
      </c>
      <c r="H371">
        <v>691.9</v>
      </c>
      <c r="I371">
        <v>12</v>
      </c>
      <c r="J371" s="1" t="s">
        <v>408</v>
      </c>
      <c r="K371">
        <v>0</v>
      </c>
      <c r="L371">
        <v>864</v>
      </c>
      <c r="M371">
        <v>0.80071700000000001</v>
      </c>
      <c r="N371">
        <v>3</v>
      </c>
      <c r="O371" s="1" t="s">
        <v>560</v>
      </c>
      <c r="P371">
        <v>691.9</v>
      </c>
      <c r="Q371">
        <v>553.52</v>
      </c>
      <c r="R371">
        <v>0</v>
      </c>
      <c r="S371" s="1"/>
      <c r="T371" s="1"/>
      <c r="U371">
        <v>691.9</v>
      </c>
      <c r="V371">
        <v>0</v>
      </c>
      <c r="W371">
        <v>76388</v>
      </c>
    </row>
    <row r="372" spans="1:23" x14ac:dyDescent="0.25">
      <c r="A372" s="1" t="s">
        <v>27</v>
      </c>
      <c r="B372" s="1"/>
      <c r="C372" s="1" t="s">
        <v>115</v>
      </c>
      <c r="D372">
        <v>9970</v>
      </c>
      <c r="E372" s="1"/>
      <c r="F372" s="1" t="s">
        <v>260</v>
      </c>
      <c r="G372">
        <v>2012</v>
      </c>
      <c r="H372">
        <v>615.9</v>
      </c>
      <c r="I372">
        <v>12</v>
      </c>
      <c r="J372" s="1" t="s">
        <v>408</v>
      </c>
      <c r="K372">
        <v>0</v>
      </c>
      <c r="L372">
        <v>796</v>
      </c>
      <c r="M372">
        <v>0.77364599999999994</v>
      </c>
      <c r="N372">
        <v>3</v>
      </c>
      <c r="O372" s="1" t="s">
        <v>560</v>
      </c>
      <c r="P372">
        <v>615.9</v>
      </c>
      <c r="Q372">
        <v>492.72</v>
      </c>
      <c r="R372">
        <v>0</v>
      </c>
      <c r="S372" s="1"/>
      <c r="T372" s="1"/>
      <c r="U372">
        <v>615.9</v>
      </c>
      <c r="V372">
        <v>0</v>
      </c>
      <c r="W372">
        <v>76388</v>
      </c>
    </row>
    <row r="373" spans="1:23" x14ac:dyDescent="0.25">
      <c r="A373" s="1" t="s">
        <v>27</v>
      </c>
      <c r="B373" s="1"/>
      <c r="C373" s="1" t="s">
        <v>115</v>
      </c>
      <c r="D373">
        <v>9970</v>
      </c>
      <c r="E373" s="1"/>
      <c r="F373" s="1" t="s">
        <v>260</v>
      </c>
      <c r="G373">
        <v>2011</v>
      </c>
      <c r="H373">
        <v>478.5</v>
      </c>
      <c r="I373">
        <v>12</v>
      </c>
      <c r="J373" s="1" t="s">
        <v>408</v>
      </c>
      <c r="K373">
        <v>0</v>
      </c>
      <c r="L373">
        <v>774</v>
      </c>
      <c r="M373">
        <v>0.61813700000000005</v>
      </c>
      <c r="N373">
        <v>3</v>
      </c>
      <c r="O373" s="1" t="s">
        <v>560</v>
      </c>
      <c r="P373">
        <v>478.5</v>
      </c>
      <c r="Q373">
        <v>382.8</v>
      </c>
      <c r="R373">
        <v>0</v>
      </c>
      <c r="S373" s="1"/>
      <c r="T373" s="1"/>
      <c r="U373">
        <v>478.5</v>
      </c>
      <c r="V373">
        <v>0</v>
      </c>
      <c r="W373">
        <v>76388</v>
      </c>
    </row>
    <row r="374" spans="1:23" x14ac:dyDescent="0.25">
      <c r="A374" s="1" t="s">
        <v>27</v>
      </c>
      <c r="B374" s="1"/>
      <c r="C374" s="1" t="s">
        <v>115</v>
      </c>
      <c r="D374">
        <v>9970</v>
      </c>
      <c r="E374" s="1"/>
      <c r="F374" s="1" t="s">
        <v>260</v>
      </c>
      <c r="G374">
        <v>2010</v>
      </c>
      <c r="H374">
        <v>475.1</v>
      </c>
      <c r="I374">
        <v>12</v>
      </c>
      <c r="J374" s="1" t="s">
        <v>408</v>
      </c>
      <c r="K374">
        <v>0</v>
      </c>
      <c r="L374">
        <v>774</v>
      </c>
      <c r="M374">
        <v>0.61374399999999996</v>
      </c>
      <c r="N374">
        <v>3</v>
      </c>
      <c r="O374" s="1" t="s">
        <v>560</v>
      </c>
      <c r="P374">
        <v>475.1</v>
      </c>
      <c r="Q374">
        <v>380.08</v>
      </c>
      <c r="R374">
        <v>0</v>
      </c>
      <c r="S374" s="1"/>
      <c r="T374" s="1"/>
      <c r="U374">
        <v>475.1</v>
      </c>
      <c r="V374">
        <v>0</v>
      </c>
      <c r="W374">
        <v>76388</v>
      </c>
    </row>
    <row r="375" spans="1:23" x14ac:dyDescent="0.25">
      <c r="A375" s="1" t="s">
        <v>27</v>
      </c>
      <c r="B375" s="1"/>
      <c r="C375" s="1" t="s">
        <v>115</v>
      </c>
      <c r="D375">
        <v>9970</v>
      </c>
      <c r="E375" s="1"/>
      <c r="F375" s="1" t="s">
        <v>260</v>
      </c>
      <c r="G375">
        <v>2009</v>
      </c>
      <c r="H375">
        <v>543.19000000000005</v>
      </c>
      <c r="I375">
        <v>11</v>
      </c>
      <c r="J375" s="1" t="s">
        <v>408</v>
      </c>
      <c r="K375">
        <v>0</v>
      </c>
      <c r="L375">
        <v>774</v>
      </c>
      <c r="M375">
        <v>0.70170500000000002</v>
      </c>
      <c r="N375">
        <v>3</v>
      </c>
      <c r="O375" s="1" t="s">
        <v>560</v>
      </c>
      <c r="P375">
        <v>543.19000000000005</v>
      </c>
      <c r="Q375">
        <v>434.55</v>
      </c>
      <c r="R375">
        <v>0</v>
      </c>
      <c r="S375" s="1"/>
      <c r="T375" s="1"/>
      <c r="U375">
        <v>543.20001000000002</v>
      </c>
      <c r="V375">
        <v>0</v>
      </c>
      <c r="W375">
        <v>76388</v>
      </c>
    </row>
    <row r="376" spans="1:23" x14ac:dyDescent="0.25">
      <c r="A376" s="1" t="s">
        <v>27</v>
      </c>
      <c r="B376" s="1"/>
      <c r="C376" s="1" t="s">
        <v>115</v>
      </c>
      <c r="D376">
        <v>9970</v>
      </c>
      <c r="E376" s="1"/>
      <c r="F376" s="1" t="s">
        <v>260</v>
      </c>
      <c r="G376">
        <v>2008</v>
      </c>
      <c r="H376">
        <v>684.19</v>
      </c>
      <c r="I376">
        <v>7</v>
      </c>
      <c r="J376" s="1" t="s">
        <v>408</v>
      </c>
      <c r="K376">
        <v>0</v>
      </c>
      <c r="L376">
        <v>774</v>
      </c>
      <c r="M376">
        <v>0.88385199999999997</v>
      </c>
      <c r="N376">
        <v>3</v>
      </c>
      <c r="O376" s="1" t="s">
        <v>560</v>
      </c>
      <c r="P376">
        <v>684.19</v>
      </c>
      <c r="Q376">
        <v>547.34</v>
      </c>
      <c r="R376">
        <v>0</v>
      </c>
      <c r="S376" s="1"/>
      <c r="T376" s="1"/>
      <c r="U376">
        <v>684.16980000000001</v>
      </c>
      <c r="V376">
        <v>0</v>
      </c>
      <c r="W376">
        <v>76388</v>
      </c>
    </row>
    <row r="377" spans="1:23" x14ac:dyDescent="0.25">
      <c r="A377" s="1" t="s">
        <v>27</v>
      </c>
      <c r="B377" s="1" t="s">
        <v>52</v>
      </c>
      <c r="C377" s="1" t="s">
        <v>116</v>
      </c>
      <c r="D377">
        <v>5252</v>
      </c>
      <c r="E377" s="1"/>
      <c r="F377" s="1" t="s">
        <v>116</v>
      </c>
      <c r="G377">
        <v>2015</v>
      </c>
      <c r="H377">
        <v>167.74</v>
      </c>
      <c r="I377">
        <v>5</v>
      </c>
      <c r="J377" s="1" t="s">
        <v>404</v>
      </c>
      <c r="K377">
        <v>0</v>
      </c>
      <c r="L377">
        <v>752</v>
      </c>
      <c r="M377">
        <v>0.223028</v>
      </c>
      <c r="N377">
        <v>3</v>
      </c>
      <c r="O377" s="1" t="s">
        <v>560</v>
      </c>
      <c r="P377">
        <v>167.74</v>
      </c>
      <c r="Q377">
        <v>134.19</v>
      </c>
      <c r="R377">
        <v>0</v>
      </c>
      <c r="S377" s="1" t="s">
        <v>591</v>
      </c>
      <c r="T377" s="1"/>
      <c r="U377">
        <v>167.73699999999999</v>
      </c>
      <c r="V377">
        <v>0</v>
      </c>
      <c r="W377">
        <v>56689</v>
      </c>
    </row>
    <row r="378" spans="1:23" x14ac:dyDescent="0.25">
      <c r="A378" s="1" t="s">
        <v>27</v>
      </c>
      <c r="B378" s="1" t="s">
        <v>52</v>
      </c>
      <c r="C378" s="1" t="s">
        <v>116</v>
      </c>
      <c r="D378">
        <v>5252</v>
      </c>
      <c r="E378" s="1"/>
      <c r="F378" s="1" t="s">
        <v>116</v>
      </c>
      <c r="G378">
        <v>2014</v>
      </c>
      <c r="H378">
        <v>480.62</v>
      </c>
      <c r="I378">
        <v>12</v>
      </c>
      <c r="J378" s="1" t="s">
        <v>404</v>
      </c>
      <c r="K378">
        <v>0</v>
      </c>
      <c r="L378">
        <v>752</v>
      </c>
      <c r="M378">
        <v>0.63903699999999997</v>
      </c>
      <c r="N378">
        <v>3</v>
      </c>
      <c r="O378" s="1" t="s">
        <v>560</v>
      </c>
      <c r="P378">
        <v>480.62</v>
      </c>
      <c r="Q378">
        <v>384.49</v>
      </c>
      <c r="R378">
        <v>0</v>
      </c>
      <c r="S378" s="1" t="s">
        <v>591</v>
      </c>
      <c r="T378" s="1"/>
      <c r="U378">
        <v>480.61700000000002</v>
      </c>
      <c r="V378">
        <v>0</v>
      </c>
      <c r="W378">
        <v>56689</v>
      </c>
    </row>
    <row r="379" spans="1:23" x14ac:dyDescent="0.25">
      <c r="A379" s="1" t="s">
        <v>27</v>
      </c>
      <c r="B379" s="1" t="s">
        <v>52</v>
      </c>
      <c r="C379" s="1" t="s">
        <v>116</v>
      </c>
      <c r="D379">
        <v>5252</v>
      </c>
      <c r="E379" s="1"/>
      <c r="F379" s="1" t="s">
        <v>116</v>
      </c>
      <c r="G379">
        <v>2013</v>
      </c>
      <c r="H379">
        <v>404.13</v>
      </c>
      <c r="I379">
        <v>12</v>
      </c>
      <c r="J379" s="1" t="s">
        <v>404</v>
      </c>
      <c r="K379">
        <v>0</v>
      </c>
      <c r="L379">
        <v>752</v>
      </c>
      <c r="M379">
        <v>0.53733500000000001</v>
      </c>
      <c r="N379">
        <v>3</v>
      </c>
      <c r="O379" s="1" t="s">
        <v>560</v>
      </c>
      <c r="P379">
        <v>404.13</v>
      </c>
      <c r="Q379">
        <v>323.29000000000002</v>
      </c>
      <c r="R379">
        <v>0</v>
      </c>
      <c r="S379" s="1" t="s">
        <v>591</v>
      </c>
      <c r="T379" s="1"/>
      <c r="U379">
        <v>404.12700000000001</v>
      </c>
      <c r="V379">
        <v>0</v>
      </c>
      <c r="W379">
        <v>56689</v>
      </c>
    </row>
    <row r="380" spans="1:23" x14ac:dyDescent="0.25">
      <c r="A380" s="1" t="s">
        <v>27</v>
      </c>
      <c r="B380" s="1" t="s">
        <v>52</v>
      </c>
      <c r="C380" s="1" t="s">
        <v>116</v>
      </c>
      <c r="D380">
        <v>5252</v>
      </c>
      <c r="E380" s="1"/>
      <c r="F380" s="1" t="s">
        <v>116</v>
      </c>
      <c r="G380">
        <v>2012</v>
      </c>
      <c r="H380">
        <v>424.72</v>
      </c>
      <c r="I380">
        <v>12</v>
      </c>
      <c r="J380" s="1" t="s">
        <v>404</v>
      </c>
      <c r="K380">
        <v>0</v>
      </c>
      <c r="L380">
        <v>752</v>
      </c>
      <c r="M380">
        <v>0.56471199999999999</v>
      </c>
      <c r="N380">
        <v>3</v>
      </c>
      <c r="O380" s="1" t="s">
        <v>560</v>
      </c>
      <c r="P380">
        <v>424.72</v>
      </c>
      <c r="Q380">
        <v>339.77</v>
      </c>
      <c r="R380">
        <v>0</v>
      </c>
      <c r="S380" s="1" t="s">
        <v>591</v>
      </c>
      <c r="T380" s="1"/>
      <c r="U380">
        <v>424.71800000000002</v>
      </c>
      <c r="V380">
        <v>0</v>
      </c>
      <c r="W380">
        <v>56689</v>
      </c>
    </row>
    <row r="381" spans="1:23" x14ac:dyDescent="0.25">
      <c r="A381" s="1" t="s">
        <v>27</v>
      </c>
      <c r="B381" s="1" t="s">
        <v>52</v>
      </c>
      <c r="C381" s="1" t="s">
        <v>116</v>
      </c>
      <c r="D381">
        <v>5252</v>
      </c>
      <c r="E381" s="1"/>
      <c r="F381" s="1" t="s">
        <v>116</v>
      </c>
      <c r="G381">
        <v>2011</v>
      </c>
      <c r="H381">
        <v>419.28</v>
      </c>
      <c r="I381">
        <v>12</v>
      </c>
      <c r="J381" s="1" t="s">
        <v>404</v>
      </c>
      <c r="K381">
        <v>0</v>
      </c>
      <c r="L381">
        <v>752</v>
      </c>
      <c r="M381">
        <v>0.55747899999999995</v>
      </c>
      <c r="N381">
        <v>3</v>
      </c>
      <c r="O381" s="1" t="s">
        <v>560</v>
      </c>
      <c r="P381">
        <v>419.28</v>
      </c>
      <c r="Q381">
        <v>335.45</v>
      </c>
      <c r="R381">
        <v>0</v>
      </c>
      <c r="S381" s="1" t="s">
        <v>591</v>
      </c>
      <c r="T381" s="1"/>
      <c r="U381">
        <v>419.291</v>
      </c>
      <c r="V381">
        <v>0</v>
      </c>
      <c r="W381">
        <v>56689</v>
      </c>
    </row>
    <row r="382" spans="1:23" x14ac:dyDescent="0.25">
      <c r="A382" s="1" t="s">
        <v>27</v>
      </c>
      <c r="B382" s="1" t="s">
        <v>52</v>
      </c>
      <c r="C382" s="1" t="s">
        <v>116</v>
      </c>
      <c r="D382">
        <v>5252</v>
      </c>
      <c r="E382" s="1"/>
      <c r="F382" s="1" t="s">
        <v>116</v>
      </c>
      <c r="G382">
        <v>2010</v>
      </c>
      <c r="H382">
        <v>379.38</v>
      </c>
      <c r="I382">
        <v>12</v>
      </c>
      <c r="J382" s="1" t="s">
        <v>404</v>
      </c>
      <c r="K382">
        <v>0</v>
      </c>
      <c r="L382">
        <v>752</v>
      </c>
      <c r="M382">
        <v>0.50442699999999996</v>
      </c>
      <c r="N382">
        <v>3</v>
      </c>
      <c r="O382" s="1" t="s">
        <v>560</v>
      </c>
      <c r="P382">
        <v>379.38</v>
      </c>
      <c r="Q382">
        <v>303.5</v>
      </c>
      <c r="R382">
        <v>0</v>
      </c>
      <c r="S382" s="1" t="s">
        <v>591</v>
      </c>
      <c r="T382" s="1"/>
      <c r="U382">
        <v>379.36700000000002</v>
      </c>
      <c r="V382">
        <v>0</v>
      </c>
      <c r="W382">
        <v>56689</v>
      </c>
    </row>
    <row r="383" spans="1:23" x14ac:dyDescent="0.25">
      <c r="A383" s="1" t="s">
        <v>27</v>
      </c>
      <c r="B383" s="1" t="s">
        <v>52</v>
      </c>
      <c r="C383" s="1" t="s">
        <v>116</v>
      </c>
      <c r="D383">
        <v>5252</v>
      </c>
      <c r="E383" s="1"/>
      <c r="F383" s="1" t="s">
        <v>116</v>
      </c>
      <c r="G383">
        <v>2009</v>
      </c>
      <c r="H383">
        <v>378.39</v>
      </c>
      <c r="I383">
        <v>12</v>
      </c>
      <c r="J383" s="1" t="s">
        <v>404</v>
      </c>
      <c r="K383">
        <v>0</v>
      </c>
      <c r="L383">
        <v>752</v>
      </c>
      <c r="M383">
        <v>0.50311099999999997</v>
      </c>
      <c r="N383">
        <v>3</v>
      </c>
      <c r="O383" s="1" t="s">
        <v>560</v>
      </c>
      <c r="P383">
        <v>378.39</v>
      </c>
      <c r="Q383">
        <v>302.72000000000003</v>
      </c>
      <c r="R383">
        <v>0</v>
      </c>
      <c r="S383" s="1" t="s">
        <v>591</v>
      </c>
      <c r="T383" s="1"/>
      <c r="U383">
        <v>378.40199999999999</v>
      </c>
      <c r="V383">
        <v>0</v>
      </c>
      <c r="W383">
        <v>56689</v>
      </c>
    </row>
    <row r="384" spans="1:23" x14ac:dyDescent="0.25">
      <c r="A384" s="1" t="s">
        <v>27</v>
      </c>
      <c r="B384" s="1" t="s">
        <v>52</v>
      </c>
      <c r="C384" s="1" t="s">
        <v>116</v>
      </c>
      <c r="D384">
        <v>5252</v>
      </c>
      <c r="E384" s="1"/>
      <c r="F384" s="1" t="s">
        <v>116</v>
      </c>
      <c r="G384">
        <v>2008</v>
      </c>
      <c r="H384">
        <v>404.61</v>
      </c>
      <c r="I384">
        <v>12</v>
      </c>
      <c r="J384" s="1" t="s">
        <v>404</v>
      </c>
      <c r="K384">
        <v>0</v>
      </c>
      <c r="L384">
        <v>752</v>
      </c>
      <c r="M384">
        <v>0.53797300000000003</v>
      </c>
      <c r="N384">
        <v>3</v>
      </c>
      <c r="O384" s="1" t="s">
        <v>560</v>
      </c>
      <c r="P384">
        <v>404.61</v>
      </c>
      <c r="Q384">
        <v>323.69</v>
      </c>
      <c r="R384">
        <v>0</v>
      </c>
      <c r="S384" s="1" t="s">
        <v>591</v>
      </c>
      <c r="T384" s="1"/>
      <c r="U384">
        <v>404.62799999999999</v>
      </c>
      <c r="V384">
        <v>0</v>
      </c>
      <c r="W384">
        <v>56689</v>
      </c>
    </row>
    <row r="385" spans="1:23" x14ac:dyDescent="0.25">
      <c r="A385" s="1" t="s">
        <v>27</v>
      </c>
      <c r="B385" s="1"/>
      <c r="C385" s="1" t="s">
        <v>117</v>
      </c>
      <c r="D385">
        <v>9977</v>
      </c>
      <c r="E385" s="1"/>
      <c r="F385" s="1" t="s">
        <v>261</v>
      </c>
      <c r="G385">
        <v>2015</v>
      </c>
      <c r="H385">
        <v>167.85</v>
      </c>
      <c r="I385">
        <v>5</v>
      </c>
      <c r="J385" s="1" t="s">
        <v>405</v>
      </c>
      <c r="K385">
        <v>0</v>
      </c>
      <c r="L385">
        <v>487</v>
      </c>
      <c r="M385">
        <v>0.34459000000000001</v>
      </c>
      <c r="N385">
        <v>3</v>
      </c>
      <c r="O385" s="1" t="s">
        <v>560</v>
      </c>
      <c r="P385">
        <v>167.85</v>
      </c>
      <c r="Q385">
        <v>134.27000000000001</v>
      </c>
      <c r="R385">
        <v>0</v>
      </c>
      <c r="S385" s="1"/>
      <c r="T385" s="1"/>
      <c r="U385">
        <v>167.846</v>
      </c>
      <c r="V385">
        <v>0</v>
      </c>
      <c r="W385">
        <v>76403</v>
      </c>
    </row>
    <row r="386" spans="1:23" x14ac:dyDescent="0.25">
      <c r="A386" s="1" t="s">
        <v>27</v>
      </c>
      <c r="B386" s="1"/>
      <c r="C386" s="1" t="s">
        <v>117</v>
      </c>
      <c r="D386">
        <v>9977</v>
      </c>
      <c r="E386" s="1"/>
      <c r="F386" s="1" t="s">
        <v>261</v>
      </c>
      <c r="G386">
        <v>2014</v>
      </c>
      <c r="H386">
        <v>418.9</v>
      </c>
      <c r="I386">
        <v>12</v>
      </c>
      <c r="J386" s="1" t="s">
        <v>405</v>
      </c>
      <c r="K386">
        <v>0</v>
      </c>
      <c r="L386">
        <v>487</v>
      </c>
      <c r="M386">
        <v>0.85998699999999995</v>
      </c>
      <c r="N386">
        <v>3</v>
      </c>
      <c r="O386" s="1" t="s">
        <v>560</v>
      </c>
      <c r="P386">
        <v>418.9</v>
      </c>
      <c r="Q386">
        <v>335.12</v>
      </c>
      <c r="R386">
        <v>0</v>
      </c>
      <c r="S386" s="1"/>
      <c r="T386" s="1"/>
      <c r="U386">
        <v>418.9</v>
      </c>
      <c r="V386">
        <v>0</v>
      </c>
      <c r="W386">
        <v>76403</v>
      </c>
    </row>
    <row r="387" spans="1:23" x14ac:dyDescent="0.25">
      <c r="A387" s="1" t="s">
        <v>27</v>
      </c>
      <c r="B387" s="1"/>
      <c r="C387" s="1" t="s">
        <v>117</v>
      </c>
      <c r="D387">
        <v>9977</v>
      </c>
      <c r="E387" s="1"/>
      <c r="F387" s="1" t="s">
        <v>261</v>
      </c>
      <c r="G387">
        <v>2013</v>
      </c>
      <c r="H387">
        <v>422.6</v>
      </c>
      <c r="I387">
        <v>12</v>
      </c>
      <c r="J387" s="1" t="s">
        <v>405</v>
      </c>
      <c r="K387">
        <v>0</v>
      </c>
      <c r="L387">
        <v>487</v>
      </c>
      <c r="M387">
        <v>0.86758299999999999</v>
      </c>
      <c r="N387">
        <v>3</v>
      </c>
      <c r="O387" s="1" t="s">
        <v>560</v>
      </c>
      <c r="P387">
        <v>422.6</v>
      </c>
      <c r="Q387">
        <v>338.08</v>
      </c>
      <c r="R387">
        <v>0</v>
      </c>
      <c r="S387" s="1"/>
      <c r="T387" s="1"/>
      <c r="U387">
        <v>422.6</v>
      </c>
      <c r="V387">
        <v>0</v>
      </c>
      <c r="W387">
        <v>76403</v>
      </c>
    </row>
    <row r="388" spans="1:23" x14ac:dyDescent="0.25">
      <c r="A388" s="1" t="s">
        <v>27</v>
      </c>
      <c r="B388" s="1"/>
      <c r="C388" s="1" t="s">
        <v>117</v>
      </c>
      <c r="D388">
        <v>9977</v>
      </c>
      <c r="E388" s="1"/>
      <c r="F388" s="1" t="s">
        <v>261</v>
      </c>
      <c r="G388">
        <v>2012</v>
      </c>
      <c r="H388">
        <v>475.3</v>
      </c>
      <c r="I388">
        <v>12</v>
      </c>
      <c r="J388" s="1" t="s">
        <v>405</v>
      </c>
      <c r="K388">
        <v>0</v>
      </c>
      <c r="L388">
        <v>487</v>
      </c>
      <c r="M388">
        <v>0.97577400000000003</v>
      </c>
      <c r="N388">
        <v>3</v>
      </c>
      <c r="O388" s="1" t="s">
        <v>560</v>
      </c>
      <c r="P388">
        <v>475.3</v>
      </c>
      <c r="Q388">
        <v>380.24</v>
      </c>
      <c r="R388">
        <v>0</v>
      </c>
      <c r="S388" s="1"/>
      <c r="T388" s="1"/>
      <c r="U388">
        <v>475.3</v>
      </c>
      <c r="V388">
        <v>0</v>
      </c>
      <c r="W388">
        <v>76403</v>
      </c>
    </row>
    <row r="389" spans="1:23" x14ac:dyDescent="0.25">
      <c r="A389" s="1" t="s">
        <v>27</v>
      </c>
      <c r="B389" s="1"/>
      <c r="C389" s="1" t="s">
        <v>117</v>
      </c>
      <c r="D389">
        <v>9977</v>
      </c>
      <c r="E389" s="1"/>
      <c r="F389" s="1" t="s">
        <v>261</v>
      </c>
      <c r="G389">
        <v>2011</v>
      </c>
      <c r="H389">
        <v>678.1</v>
      </c>
      <c r="I389">
        <v>12</v>
      </c>
      <c r="J389" s="1" t="s">
        <v>405</v>
      </c>
      <c r="K389">
        <v>0</v>
      </c>
      <c r="L389">
        <v>487</v>
      </c>
      <c r="M389">
        <v>1.3921159999999999</v>
      </c>
      <c r="N389">
        <v>3</v>
      </c>
      <c r="O389" s="1" t="s">
        <v>560</v>
      </c>
      <c r="P389">
        <v>678.1</v>
      </c>
      <c r="Q389">
        <v>542.48</v>
      </c>
      <c r="R389">
        <v>0</v>
      </c>
      <c r="S389" s="1"/>
      <c r="T389" s="1"/>
      <c r="U389">
        <v>678.1</v>
      </c>
      <c r="V389">
        <v>0</v>
      </c>
      <c r="W389">
        <v>76403</v>
      </c>
    </row>
    <row r="390" spans="1:23" x14ac:dyDescent="0.25">
      <c r="A390" s="1" t="s">
        <v>27</v>
      </c>
      <c r="B390" s="1"/>
      <c r="C390" s="1" t="s">
        <v>117</v>
      </c>
      <c r="D390">
        <v>9977</v>
      </c>
      <c r="E390" s="1"/>
      <c r="F390" s="1" t="s">
        <v>261</v>
      </c>
      <c r="G390">
        <v>2010</v>
      </c>
      <c r="H390">
        <v>607.02</v>
      </c>
      <c r="I390">
        <v>5</v>
      </c>
      <c r="J390" s="1" t="s">
        <v>405</v>
      </c>
      <c r="K390">
        <v>0</v>
      </c>
      <c r="L390">
        <v>487</v>
      </c>
      <c r="M390">
        <v>1.246191</v>
      </c>
      <c r="N390">
        <v>3</v>
      </c>
      <c r="O390" s="1" t="s">
        <v>560</v>
      </c>
      <c r="P390">
        <v>607.02</v>
      </c>
      <c r="Q390">
        <v>485.61</v>
      </c>
      <c r="R390">
        <v>0</v>
      </c>
      <c r="S390" s="1"/>
      <c r="T390" s="1"/>
      <c r="U390">
        <v>607.00908000000004</v>
      </c>
      <c r="V390">
        <v>0</v>
      </c>
      <c r="W390">
        <v>76403</v>
      </c>
    </row>
    <row r="391" spans="1:23" x14ac:dyDescent="0.25">
      <c r="A391" s="1" t="s">
        <v>27</v>
      </c>
      <c r="B391" s="1"/>
      <c r="C391" s="1" t="s">
        <v>117</v>
      </c>
      <c r="D391">
        <v>9977</v>
      </c>
      <c r="E391" s="1"/>
      <c r="F391" s="1" t="s">
        <v>261</v>
      </c>
      <c r="G391">
        <v>2009</v>
      </c>
      <c r="H391">
        <v>408.85</v>
      </c>
      <c r="I391">
        <v>6</v>
      </c>
      <c r="J391" s="1" t="s">
        <v>405</v>
      </c>
      <c r="K391">
        <v>0</v>
      </c>
      <c r="L391">
        <v>487</v>
      </c>
      <c r="M391">
        <v>0.83935499999999996</v>
      </c>
      <c r="N391">
        <v>3</v>
      </c>
      <c r="O391" s="1" t="s">
        <v>560</v>
      </c>
      <c r="P391">
        <v>408.85</v>
      </c>
      <c r="Q391">
        <v>327.06</v>
      </c>
      <c r="R391">
        <v>0</v>
      </c>
      <c r="S391" s="1"/>
      <c r="T391" s="1"/>
      <c r="U391">
        <v>408.84384</v>
      </c>
      <c r="V391">
        <v>0</v>
      </c>
      <c r="W391">
        <v>76403</v>
      </c>
    </row>
    <row r="392" spans="1:23" x14ac:dyDescent="0.25">
      <c r="A392" s="1" t="s">
        <v>27</v>
      </c>
      <c r="B392" s="1"/>
      <c r="C392" s="1" t="s">
        <v>117</v>
      </c>
      <c r="D392">
        <v>9977</v>
      </c>
      <c r="E392" s="1"/>
      <c r="F392" s="1" t="s">
        <v>261</v>
      </c>
      <c r="G392">
        <v>2008</v>
      </c>
      <c r="H392">
        <v>328.63</v>
      </c>
      <c r="I392">
        <v>8</v>
      </c>
      <c r="J392" s="1" t="s">
        <v>405</v>
      </c>
      <c r="K392">
        <v>0</v>
      </c>
      <c r="L392">
        <v>487</v>
      </c>
      <c r="M392">
        <v>0.67466599999999999</v>
      </c>
      <c r="N392">
        <v>3</v>
      </c>
      <c r="O392" s="1" t="s">
        <v>560</v>
      </c>
      <c r="P392">
        <v>328.63</v>
      </c>
      <c r="Q392">
        <v>262.92</v>
      </c>
      <c r="R392">
        <v>0</v>
      </c>
      <c r="S392" s="1"/>
      <c r="T392" s="1"/>
      <c r="U392">
        <v>328.63828999999998</v>
      </c>
      <c r="V392">
        <v>0</v>
      </c>
      <c r="W392">
        <v>76403</v>
      </c>
    </row>
    <row r="393" spans="1:23" x14ac:dyDescent="0.25">
      <c r="A393" s="1" t="s">
        <v>27</v>
      </c>
      <c r="B393" s="1"/>
      <c r="C393" s="1" t="s">
        <v>118</v>
      </c>
      <c r="D393">
        <v>10018</v>
      </c>
      <c r="E393" s="1"/>
      <c r="F393" s="1" t="s">
        <v>262</v>
      </c>
      <c r="G393">
        <v>2015</v>
      </c>
      <c r="H393">
        <v>197.7</v>
      </c>
      <c r="I393">
        <v>5</v>
      </c>
      <c r="J393" s="1" t="s">
        <v>403</v>
      </c>
      <c r="K393">
        <v>0</v>
      </c>
      <c r="L393">
        <v>838</v>
      </c>
      <c r="M393">
        <v>0.23588999999999999</v>
      </c>
      <c r="N393">
        <v>3</v>
      </c>
      <c r="O393" s="1" t="s">
        <v>560</v>
      </c>
      <c r="P393">
        <v>197.7</v>
      </c>
      <c r="Q393">
        <v>158.16</v>
      </c>
      <c r="R393">
        <v>0</v>
      </c>
      <c r="S393" s="1" t="s">
        <v>592</v>
      </c>
      <c r="T393" s="1"/>
      <c r="U393">
        <v>197.7</v>
      </c>
      <c r="V393">
        <v>0</v>
      </c>
      <c r="W393">
        <v>76529</v>
      </c>
    </row>
    <row r="394" spans="1:23" x14ac:dyDescent="0.25">
      <c r="A394" s="1" t="s">
        <v>27</v>
      </c>
      <c r="B394" s="1"/>
      <c r="C394" s="1" t="s">
        <v>118</v>
      </c>
      <c r="D394">
        <v>10018</v>
      </c>
      <c r="E394" s="1"/>
      <c r="F394" s="1" t="s">
        <v>262</v>
      </c>
      <c r="G394">
        <v>2014</v>
      </c>
      <c r="H394">
        <v>433</v>
      </c>
      <c r="I394">
        <v>12</v>
      </c>
      <c r="J394" s="1" t="s">
        <v>403</v>
      </c>
      <c r="K394">
        <v>0</v>
      </c>
      <c r="L394">
        <v>838</v>
      </c>
      <c r="M394">
        <v>0.51664399999999999</v>
      </c>
      <c r="N394">
        <v>3</v>
      </c>
      <c r="O394" s="1" t="s">
        <v>560</v>
      </c>
      <c r="P394">
        <v>433</v>
      </c>
      <c r="Q394">
        <v>346.4</v>
      </c>
      <c r="R394">
        <v>0</v>
      </c>
      <c r="S394" s="1" t="s">
        <v>592</v>
      </c>
      <c r="T394" s="1"/>
      <c r="U394">
        <v>433</v>
      </c>
      <c r="V394">
        <v>0</v>
      </c>
      <c r="W394">
        <v>76529</v>
      </c>
    </row>
    <row r="395" spans="1:23" x14ac:dyDescent="0.25">
      <c r="A395" s="1" t="s">
        <v>27</v>
      </c>
      <c r="B395" s="1"/>
      <c r="C395" s="1" t="s">
        <v>118</v>
      </c>
      <c r="D395">
        <v>10018</v>
      </c>
      <c r="E395" s="1"/>
      <c r="F395" s="1" t="s">
        <v>262</v>
      </c>
      <c r="G395">
        <v>2013</v>
      </c>
      <c r="H395">
        <v>475.8</v>
      </c>
      <c r="I395">
        <v>12</v>
      </c>
      <c r="J395" s="1" t="s">
        <v>403</v>
      </c>
      <c r="K395">
        <v>0</v>
      </c>
      <c r="L395">
        <v>838</v>
      </c>
      <c r="M395">
        <v>0.56771199999999999</v>
      </c>
      <c r="N395">
        <v>3</v>
      </c>
      <c r="O395" s="1" t="s">
        <v>560</v>
      </c>
      <c r="P395">
        <v>475.8</v>
      </c>
      <c r="Q395">
        <v>380.64</v>
      </c>
      <c r="R395">
        <v>0</v>
      </c>
      <c r="S395" s="1" t="s">
        <v>592</v>
      </c>
      <c r="T395" s="1"/>
      <c r="U395">
        <v>475.8</v>
      </c>
      <c r="V395">
        <v>0</v>
      </c>
      <c r="W395">
        <v>76529</v>
      </c>
    </row>
    <row r="396" spans="1:23" x14ac:dyDescent="0.25">
      <c r="A396" s="1" t="s">
        <v>27</v>
      </c>
      <c r="B396" s="1"/>
      <c r="C396" s="1" t="s">
        <v>118</v>
      </c>
      <c r="D396">
        <v>10018</v>
      </c>
      <c r="E396" s="1"/>
      <c r="F396" s="1" t="s">
        <v>262</v>
      </c>
      <c r="G396">
        <v>2012</v>
      </c>
      <c r="H396">
        <v>437.7</v>
      </c>
      <c r="I396">
        <v>12</v>
      </c>
      <c r="J396" s="1" t="s">
        <v>403</v>
      </c>
      <c r="K396">
        <v>0</v>
      </c>
      <c r="L396">
        <v>838</v>
      </c>
      <c r="M396">
        <v>0.52225200000000005</v>
      </c>
      <c r="N396">
        <v>3</v>
      </c>
      <c r="O396" s="1" t="s">
        <v>560</v>
      </c>
      <c r="P396">
        <v>437.7</v>
      </c>
      <c r="Q396">
        <v>350.16</v>
      </c>
      <c r="R396">
        <v>0</v>
      </c>
      <c r="S396" s="1" t="s">
        <v>592</v>
      </c>
      <c r="T396" s="1"/>
      <c r="U396">
        <v>437.7</v>
      </c>
      <c r="V396">
        <v>0</v>
      </c>
      <c r="W396">
        <v>76529</v>
      </c>
    </row>
    <row r="397" spans="1:23" x14ac:dyDescent="0.25">
      <c r="A397" s="1" t="s">
        <v>27</v>
      </c>
      <c r="B397" s="1"/>
      <c r="C397" s="1" t="s">
        <v>118</v>
      </c>
      <c r="D397">
        <v>10018</v>
      </c>
      <c r="E397" s="1"/>
      <c r="F397" s="1" t="s">
        <v>262</v>
      </c>
      <c r="G397">
        <v>2011</v>
      </c>
      <c r="H397">
        <v>428.5</v>
      </c>
      <c r="I397">
        <v>12</v>
      </c>
      <c r="J397" s="1" t="s">
        <v>403</v>
      </c>
      <c r="K397">
        <v>0</v>
      </c>
      <c r="L397">
        <v>838</v>
      </c>
      <c r="M397">
        <v>0.51127500000000003</v>
      </c>
      <c r="N397">
        <v>3</v>
      </c>
      <c r="O397" s="1" t="s">
        <v>560</v>
      </c>
      <c r="P397">
        <v>428.5</v>
      </c>
      <c r="Q397">
        <v>342.8</v>
      </c>
      <c r="R397">
        <v>0</v>
      </c>
      <c r="S397" s="1" t="s">
        <v>592</v>
      </c>
      <c r="T397" s="1"/>
      <c r="U397">
        <v>428.5</v>
      </c>
      <c r="V397">
        <v>0</v>
      </c>
      <c r="W397">
        <v>76529</v>
      </c>
    </row>
    <row r="398" spans="1:23" x14ac:dyDescent="0.25">
      <c r="A398" s="1" t="s">
        <v>27</v>
      </c>
      <c r="B398" s="1"/>
      <c r="C398" s="1" t="s">
        <v>118</v>
      </c>
      <c r="D398">
        <v>10018</v>
      </c>
      <c r="E398" s="1"/>
      <c r="F398" s="1" t="s">
        <v>262</v>
      </c>
      <c r="G398">
        <v>2010</v>
      </c>
      <c r="H398">
        <v>569.54</v>
      </c>
      <c r="I398">
        <v>12</v>
      </c>
      <c r="J398" s="1" t="s">
        <v>403</v>
      </c>
      <c r="K398">
        <v>0</v>
      </c>
      <c r="L398">
        <v>838</v>
      </c>
      <c r="M398">
        <v>0.67956000000000005</v>
      </c>
      <c r="N398">
        <v>3</v>
      </c>
      <c r="O398" s="1" t="s">
        <v>560</v>
      </c>
      <c r="P398">
        <v>569.54</v>
      </c>
      <c r="Q398">
        <v>455.63</v>
      </c>
      <c r="R398">
        <v>0</v>
      </c>
      <c r="S398" s="1" t="s">
        <v>592</v>
      </c>
      <c r="T398" s="1"/>
      <c r="U398">
        <v>569.54142000000002</v>
      </c>
      <c r="V398">
        <v>0</v>
      </c>
      <c r="W398">
        <v>76529</v>
      </c>
    </row>
    <row r="399" spans="1:23" x14ac:dyDescent="0.25">
      <c r="A399" s="1" t="s">
        <v>27</v>
      </c>
      <c r="B399" s="1"/>
      <c r="C399" s="1" t="s">
        <v>118</v>
      </c>
      <c r="D399">
        <v>10018</v>
      </c>
      <c r="E399" s="1"/>
      <c r="F399" s="1" t="s">
        <v>262</v>
      </c>
      <c r="G399">
        <v>2009</v>
      </c>
      <c r="H399">
        <v>617.34</v>
      </c>
      <c r="I399">
        <v>3</v>
      </c>
      <c r="J399" s="1" t="s">
        <v>403</v>
      </c>
      <c r="K399">
        <v>0</v>
      </c>
      <c r="L399">
        <v>838</v>
      </c>
      <c r="M399">
        <v>0.73659399999999997</v>
      </c>
      <c r="N399">
        <v>3</v>
      </c>
      <c r="O399" s="1" t="s">
        <v>560</v>
      </c>
      <c r="P399">
        <v>617.34</v>
      </c>
      <c r="Q399">
        <v>493.86</v>
      </c>
      <c r="R399">
        <v>0</v>
      </c>
      <c r="S399" s="1" t="s">
        <v>592</v>
      </c>
      <c r="T399" s="1"/>
      <c r="U399">
        <v>617.34520999999995</v>
      </c>
      <c r="V399">
        <v>0</v>
      </c>
      <c r="W399">
        <v>76529</v>
      </c>
    </row>
    <row r="400" spans="1:23" x14ac:dyDescent="0.25">
      <c r="A400" s="1" t="s">
        <v>27</v>
      </c>
      <c r="B400" s="1"/>
      <c r="C400" s="1" t="s">
        <v>118</v>
      </c>
      <c r="D400">
        <v>10018</v>
      </c>
      <c r="E400" s="1"/>
      <c r="F400" s="1" t="s">
        <v>262</v>
      </c>
      <c r="G400">
        <v>2008</v>
      </c>
      <c r="H400">
        <v>563.30999999999995</v>
      </c>
      <c r="I400">
        <v>5</v>
      </c>
      <c r="J400" s="1" t="s">
        <v>403</v>
      </c>
      <c r="K400">
        <v>0</v>
      </c>
      <c r="L400">
        <v>838</v>
      </c>
      <c r="M400">
        <v>0.67212700000000003</v>
      </c>
      <c r="N400">
        <v>3</v>
      </c>
      <c r="O400" s="1" t="s">
        <v>560</v>
      </c>
      <c r="P400">
        <v>563.30999999999995</v>
      </c>
      <c r="Q400">
        <v>450.65</v>
      </c>
      <c r="R400">
        <v>0</v>
      </c>
      <c r="S400" s="1" t="s">
        <v>592</v>
      </c>
      <c r="T400" s="1"/>
      <c r="U400">
        <v>563.31335000000001</v>
      </c>
      <c r="V400">
        <v>0</v>
      </c>
      <c r="W400">
        <v>76529</v>
      </c>
    </row>
    <row r="401" spans="1:23" x14ac:dyDescent="0.25">
      <c r="A401" s="1" t="s">
        <v>27</v>
      </c>
      <c r="B401" s="1" t="s">
        <v>53</v>
      </c>
      <c r="C401" s="1" t="s">
        <v>119</v>
      </c>
      <c r="D401">
        <v>5486</v>
      </c>
      <c r="E401" s="1"/>
      <c r="F401" s="1" t="s">
        <v>263</v>
      </c>
      <c r="G401">
        <v>2015</v>
      </c>
      <c r="H401">
        <v>-3.34</v>
      </c>
      <c r="I401">
        <v>5</v>
      </c>
      <c r="J401" s="1" t="s">
        <v>404</v>
      </c>
      <c r="K401">
        <v>0</v>
      </c>
      <c r="L401">
        <v>417</v>
      </c>
      <c r="M401">
        <v>-8.0070000000000002E-3</v>
      </c>
      <c r="N401">
        <v>3</v>
      </c>
      <c r="O401" s="1" t="s">
        <v>560</v>
      </c>
      <c r="P401">
        <v>-3.34</v>
      </c>
      <c r="Q401">
        <v>-2.65</v>
      </c>
      <c r="R401">
        <v>0</v>
      </c>
      <c r="S401" s="1" t="s">
        <v>593</v>
      </c>
      <c r="T401" s="1"/>
      <c r="U401">
        <v>-3.3170000000000002</v>
      </c>
      <c r="V401">
        <v>0</v>
      </c>
      <c r="W401">
        <v>57985</v>
      </c>
    </row>
    <row r="402" spans="1:23" x14ac:dyDescent="0.25">
      <c r="A402" s="1" t="s">
        <v>27</v>
      </c>
      <c r="B402" s="1" t="s">
        <v>53</v>
      </c>
      <c r="C402" s="1" t="s">
        <v>119</v>
      </c>
      <c r="D402">
        <v>5486</v>
      </c>
      <c r="E402" s="1"/>
      <c r="F402" s="1" t="s">
        <v>263</v>
      </c>
      <c r="G402">
        <v>2015</v>
      </c>
      <c r="H402">
        <v>134.02000000000001</v>
      </c>
      <c r="I402">
        <v>5</v>
      </c>
      <c r="J402" s="1" t="s">
        <v>404</v>
      </c>
      <c r="K402">
        <v>0</v>
      </c>
      <c r="L402">
        <v>417</v>
      </c>
      <c r="M402">
        <v>0.32131300000000002</v>
      </c>
      <c r="N402">
        <v>3</v>
      </c>
      <c r="O402" s="1" t="s">
        <v>560</v>
      </c>
      <c r="P402">
        <v>134.02000000000001</v>
      </c>
      <c r="Q402">
        <v>107.21</v>
      </c>
      <c r="R402">
        <v>0</v>
      </c>
      <c r="S402" s="1" t="s">
        <v>594</v>
      </c>
      <c r="T402" s="1"/>
      <c r="U402">
        <v>134.01599999999999</v>
      </c>
      <c r="V402">
        <v>0</v>
      </c>
      <c r="W402">
        <v>60151</v>
      </c>
    </row>
    <row r="403" spans="1:23" x14ac:dyDescent="0.25">
      <c r="A403" s="1" t="s">
        <v>27</v>
      </c>
      <c r="B403" s="1" t="s">
        <v>53</v>
      </c>
      <c r="C403" s="1" t="s">
        <v>119</v>
      </c>
      <c r="D403">
        <v>5486</v>
      </c>
      <c r="E403" s="1"/>
      <c r="F403" s="1" t="s">
        <v>263</v>
      </c>
      <c r="G403">
        <v>2014</v>
      </c>
      <c r="H403">
        <v>-4.8099999999999996</v>
      </c>
      <c r="I403">
        <v>12</v>
      </c>
      <c r="J403" s="1" t="s">
        <v>404</v>
      </c>
      <c r="K403">
        <v>0</v>
      </c>
      <c r="L403">
        <v>417</v>
      </c>
      <c r="M403">
        <v>-1.1532000000000001E-2</v>
      </c>
      <c r="N403">
        <v>3</v>
      </c>
      <c r="O403" s="1" t="s">
        <v>560</v>
      </c>
      <c r="P403">
        <v>-4.8099999999999996</v>
      </c>
      <c r="Q403">
        <v>-3.89</v>
      </c>
      <c r="R403">
        <v>0</v>
      </c>
      <c r="S403" s="1" t="s">
        <v>593</v>
      </c>
      <c r="T403" s="1"/>
      <c r="U403">
        <v>-4.8490000000000002</v>
      </c>
      <c r="V403">
        <v>0</v>
      </c>
      <c r="W403">
        <v>57985</v>
      </c>
    </row>
    <row r="404" spans="1:23" x14ac:dyDescent="0.25">
      <c r="A404" s="1" t="s">
        <v>27</v>
      </c>
      <c r="B404" s="1" t="s">
        <v>53</v>
      </c>
      <c r="C404" s="1" t="s">
        <v>119</v>
      </c>
      <c r="D404">
        <v>5486</v>
      </c>
      <c r="E404" s="1"/>
      <c r="F404" s="1" t="s">
        <v>263</v>
      </c>
      <c r="G404">
        <v>2014</v>
      </c>
      <c r="H404">
        <v>313.75</v>
      </c>
      <c r="I404">
        <v>12</v>
      </c>
      <c r="J404" s="1" t="s">
        <v>404</v>
      </c>
      <c r="K404">
        <v>0</v>
      </c>
      <c r="L404">
        <v>417</v>
      </c>
      <c r="M404">
        <v>0.75221700000000002</v>
      </c>
      <c r="N404">
        <v>3</v>
      </c>
      <c r="O404" s="1" t="s">
        <v>560</v>
      </c>
      <c r="P404">
        <v>313.75</v>
      </c>
      <c r="Q404">
        <v>250.99</v>
      </c>
      <c r="R404">
        <v>0</v>
      </c>
      <c r="S404" s="1" t="s">
        <v>594</v>
      </c>
      <c r="T404" s="1"/>
      <c r="U404">
        <v>313.74700000000001</v>
      </c>
      <c r="V404">
        <v>0</v>
      </c>
      <c r="W404">
        <v>60151</v>
      </c>
    </row>
    <row r="405" spans="1:23" x14ac:dyDescent="0.25">
      <c r="A405" s="1" t="s">
        <v>27</v>
      </c>
      <c r="B405" s="1" t="s">
        <v>53</v>
      </c>
      <c r="C405" s="1" t="s">
        <v>119</v>
      </c>
      <c r="D405">
        <v>5486</v>
      </c>
      <c r="E405" s="1"/>
      <c r="F405" s="1" t="s">
        <v>263</v>
      </c>
      <c r="G405">
        <v>2013</v>
      </c>
      <c r="H405">
        <v>-2.13</v>
      </c>
      <c r="I405">
        <v>12</v>
      </c>
      <c r="J405" s="1" t="s">
        <v>404</v>
      </c>
      <c r="K405">
        <v>0</v>
      </c>
      <c r="L405">
        <v>417</v>
      </c>
      <c r="M405">
        <v>-5.1060000000000003E-3</v>
      </c>
      <c r="N405">
        <v>3</v>
      </c>
      <c r="O405" s="1" t="s">
        <v>560</v>
      </c>
      <c r="P405">
        <v>-2.13</v>
      </c>
      <c r="Q405">
        <v>-1.7</v>
      </c>
      <c r="R405">
        <v>0</v>
      </c>
      <c r="S405" s="1" t="s">
        <v>593</v>
      </c>
      <c r="T405" s="1"/>
      <c r="U405">
        <v>-2.1419999999999999</v>
      </c>
      <c r="V405">
        <v>0</v>
      </c>
      <c r="W405">
        <v>57985</v>
      </c>
    </row>
    <row r="406" spans="1:23" x14ac:dyDescent="0.25">
      <c r="A406" s="1" t="s">
        <v>27</v>
      </c>
      <c r="B406" s="1" t="s">
        <v>53</v>
      </c>
      <c r="C406" s="1" t="s">
        <v>119</v>
      </c>
      <c r="D406">
        <v>5486</v>
      </c>
      <c r="E406" s="1"/>
      <c r="F406" s="1" t="s">
        <v>263</v>
      </c>
      <c r="G406">
        <v>2013</v>
      </c>
      <c r="H406">
        <v>300.83</v>
      </c>
      <c r="I406">
        <v>12</v>
      </c>
      <c r="J406" s="1" t="s">
        <v>404</v>
      </c>
      <c r="K406">
        <v>0</v>
      </c>
      <c r="L406">
        <v>417</v>
      </c>
      <c r="M406">
        <v>0.72124100000000002</v>
      </c>
      <c r="N406">
        <v>3</v>
      </c>
      <c r="O406" s="1" t="s">
        <v>560</v>
      </c>
      <c r="P406">
        <v>300.83</v>
      </c>
      <c r="Q406">
        <v>240.68</v>
      </c>
      <c r="R406">
        <v>0</v>
      </c>
      <c r="S406" s="1" t="s">
        <v>594</v>
      </c>
      <c r="T406" s="1"/>
      <c r="U406">
        <v>300.82900000000001</v>
      </c>
      <c r="V406">
        <v>0</v>
      </c>
      <c r="W406">
        <v>60151</v>
      </c>
    </row>
    <row r="407" spans="1:23" x14ac:dyDescent="0.25">
      <c r="A407" s="1" t="s">
        <v>27</v>
      </c>
      <c r="B407" s="1" t="s">
        <v>53</v>
      </c>
      <c r="C407" s="1" t="s">
        <v>119</v>
      </c>
      <c r="D407">
        <v>5486</v>
      </c>
      <c r="E407" s="1"/>
      <c r="F407" s="1" t="s">
        <v>263</v>
      </c>
      <c r="G407">
        <v>2012</v>
      </c>
      <c r="H407">
        <v>15.28</v>
      </c>
      <c r="I407">
        <v>12</v>
      </c>
      <c r="J407" s="1" t="s">
        <v>404</v>
      </c>
      <c r="K407">
        <v>0</v>
      </c>
      <c r="L407">
        <v>417</v>
      </c>
      <c r="M407">
        <v>3.6632999999999999E-2</v>
      </c>
      <c r="N407">
        <v>3</v>
      </c>
      <c r="O407" s="1" t="s">
        <v>560</v>
      </c>
      <c r="P407">
        <v>15.28</v>
      </c>
      <c r="Q407">
        <v>12.25</v>
      </c>
      <c r="R407">
        <v>0</v>
      </c>
      <c r="S407" s="1" t="s">
        <v>593</v>
      </c>
      <c r="T407" s="1"/>
      <c r="U407">
        <v>15.294</v>
      </c>
      <c r="V407">
        <v>0</v>
      </c>
      <c r="W407">
        <v>57985</v>
      </c>
    </row>
    <row r="408" spans="1:23" x14ac:dyDescent="0.25">
      <c r="A408" s="1" t="s">
        <v>27</v>
      </c>
      <c r="B408" s="1" t="s">
        <v>53</v>
      </c>
      <c r="C408" s="1" t="s">
        <v>119</v>
      </c>
      <c r="D408">
        <v>5486</v>
      </c>
      <c r="E408" s="1"/>
      <c r="F408" s="1" t="s">
        <v>263</v>
      </c>
      <c r="G408">
        <v>2012</v>
      </c>
      <c r="H408">
        <v>398.87</v>
      </c>
      <c r="I408">
        <v>12</v>
      </c>
      <c r="J408" s="1" t="s">
        <v>404</v>
      </c>
      <c r="K408">
        <v>0</v>
      </c>
      <c r="L408">
        <v>417</v>
      </c>
      <c r="M408">
        <v>0.95629299999999995</v>
      </c>
      <c r="N408">
        <v>3</v>
      </c>
      <c r="O408" s="1" t="s">
        <v>560</v>
      </c>
      <c r="P408">
        <v>398.87</v>
      </c>
      <c r="Q408">
        <v>319.11</v>
      </c>
      <c r="R408">
        <v>0</v>
      </c>
      <c r="S408" s="1" t="s">
        <v>594</v>
      </c>
      <c r="T408" s="1"/>
      <c r="U408">
        <v>398.87599999999998</v>
      </c>
      <c r="V408">
        <v>0</v>
      </c>
      <c r="W408">
        <v>60151</v>
      </c>
    </row>
    <row r="409" spans="1:23" x14ac:dyDescent="0.25">
      <c r="A409" s="1" t="s">
        <v>27</v>
      </c>
      <c r="B409" s="1" t="s">
        <v>53</v>
      </c>
      <c r="C409" s="1" t="s">
        <v>119</v>
      </c>
      <c r="D409">
        <v>5486</v>
      </c>
      <c r="E409" s="1"/>
      <c r="F409" s="1" t="s">
        <v>263</v>
      </c>
      <c r="G409">
        <v>2011</v>
      </c>
      <c r="H409">
        <v>52.19</v>
      </c>
      <c r="I409">
        <v>12</v>
      </c>
      <c r="J409" s="1" t="s">
        <v>404</v>
      </c>
      <c r="K409">
        <v>0</v>
      </c>
      <c r="L409">
        <v>417</v>
      </c>
      <c r="M409">
        <v>0.12512499999999999</v>
      </c>
      <c r="N409">
        <v>3</v>
      </c>
      <c r="O409" s="1" t="s">
        <v>560</v>
      </c>
      <c r="P409">
        <v>52.19</v>
      </c>
      <c r="Q409">
        <v>41.75</v>
      </c>
      <c r="R409">
        <v>0</v>
      </c>
      <c r="S409" s="1" t="s">
        <v>593</v>
      </c>
      <c r="T409" s="1"/>
      <c r="U409">
        <v>52.195999999999998</v>
      </c>
      <c r="V409">
        <v>0</v>
      </c>
      <c r="W409">
        <v>57985</v>
      </c>
    </row>
    <row r="410" spans="1:23" x14ac:dyDescent="0.25">
      <c r="A410" s="1" t="s">
        <v>27</v>
      </c>
      <c r="B410" s="1" t="s">
        <v>53</v>
      </c>
      <c r="C410" s="1" t="s">
        <v>119</v>
      </c>
      <c r="D410">
        <v>5486</v>
      </c>
      <c r="E410" s="1"/>
      <c r="F410" s="1" t="s">
        <v>263</v>
      </c>
      <c r="G410">
        <v>2011</v>
      </c>
      <c r="H410">
        <v>353.71</v>
      </c>
      <c r="I410">
        <v>12</v>
      </c>
      <c r="J410" s="1" t="s">
        <v>404</v>
      </c>
      <c r="K410">
        <v>0</v>
      </c>
      <c r="L410">
        <v>417</v>
      </c>
      <c r="M410">
        <v>0.84802200000000005</v>
      </c>
      <c r="N410">
        <v>3</v>
      </c>
      <c r="O410" s="1" t="s">
        <v>560</v>
      </c>
      <c r="P410">
        <v>353.71</v>
      </c>
      <c r="Q410">
        <v>282.98</v>
      </c>
      <c r="R410">
        <v>0</v>
      </c>
      <c r="S410" s="1" t="s">
        <v>594</v>
      </c>
      <c r="T410" s="1"/>
      <c r="U410">
        <v>353.71100000000001</v>
      </c>
      <c r="V410">
        <v>0</v>
      </c>
      <c r="W410">
        <v>60151</v>
      </c>
    </row>
    <row r="411" spans="1:23" x14ac:dyDescent="0.25">
      <c r="A411" s="1" t="s">
        <v>27</v>
      </c>
      <c r="B411" s="1" t="s">
        <v>53</v>
      </c>
      <c r="C411" s="1" t="s">
        <v>119</v>
      </c>
      <c r="D411">
        <v>5486</v>
      </c>
      <c r="E411" s="1"/>
      <c r="F411" s="1" t="s">
        <v>263</v>
      </c>
      <c r="G411">
        <v>2010</v>
      </c>
      <c r="H411">
        <v>26.26</v>
      </c>
      <c r="I411">
        <v>12</v>
      </c>
      <c r="J411" s="1" t="s">
        <v>404</v>
      </c>
      <c r="K411">
        <v>0</v>
      </c>
      <c r="L411">
        <v>417</v>
      </c>
      <c r="M411">
        <v>6.2958E-2</v>
      </c>
      <c r="N411">
        <v>3</v>
      </c>
      <c r="O411" s="1" t="s">
        <v>560</v>
      </c>
      <c r="P411">
        <v>26.26</v>
      </c>
      <c r="Q411">
        <v>21.02</v>
      </c>
      <c r="R411">
        <v>0</v>
      </c>
      <c r="S411" s="1" t="s">
        <v>593</v>
      </c>
      <c r="T411" s="1"/>
      <c r="U411">
        <v>26.265000000000001</v>
      </c>
      <c r="V411">
        <v>0</v>
      </c>
      <c r="W411">
        <v>57985</v>
      </c>
    </row>
    <row r="412" spans="1:23" x14ac:dyDescent="0.25">
      <c r="A412" s="1" t="s">
        <v>27</v>
      </c>
      <c r="B412" s="1" t="s">
        <v>53</v>
      </c>
      <c r="C412" s="1" t="s">
        <v>119</v>
      </c>
      <c r="D412">
        <v>5486</v>
      </c>
      <c r="E412" s="1"/>
      <c r="F412" s="1" t="s">
        <v>263</v>
      </c>
      <c r="G412">
        <v>2010</v>
      </c>
      <c r="H412">
        <v>436.66</v>
      </c>
      <c r="I412">
        <v>12</v>
      </c>
      <c r="J412" s="1" t="s">
        <v>404</v>
      </c>
      <c r="K412">
        <v>0</v>
      </c>
      <c r="L412">
        <v>417</v>
      </c>
      <c r="M412">
        <v>1.0468949999999999</v>
      </c>
      <c r="N412">
        <v>3</v>
      </c>
      <c r="O412" s="1" t="s">
        <v>560</v>
      </c>
      <c r="P412">
        <v>436.66</v>
      </c>
      <c r="Q412">
        <v>349.32</v>
      </c>
      <c r="R412">
        <v>0</v>
      </c>
      <c r="S412" s="1" t="s">
        <v>594</v>
      </c>
      <c r="T412" s="1"/>
      <c r="U412">
        <v>436.661</v>
      </c>
      <c r="V412">
        <v>0</v>
      </c>
      <c r="W412">
        <v>60151</v>
      </c>
    </row>
    <row r="413" spans="1:23" x14ac:dyDescent="0.25">
      <c r="A413" s="1" t="s">
        <v>27</v>
      </c>
      <c r="B413" s="1" t="s">
        <v>53</v>
      </c>
      <c r="C413" s="1" t="s">
        <v>119</v>
      </c>
      <c r="D413">
        <v>5486</v>
      </c>
      <c r="E413" s="1"/>
      <c r="F413" s="1" t="s">
        <v>263</v>
      </c>
      <c r="G413">
        <v>2009</v>
      </c>
      <c r="H413">
        <v>13.68</v>
      </c>
      <c r="I413">
        <v>12</v>
      </c>
      <c r="J413" s="1" t="s">
        <v>404</v>
      </c>
      <c r="K413">
        <v>0</v>
      </c>
      <c r="L413">
        <v>417</v>
      </c>
      <c r="M413">
        <v>3.2797E-2</v>
      </c>
      <c r="N413">
        <v>3</v>
      </c>
      <c r="O413" s="1" t="s">
        <v>560</v>
      </c>
      <c r="P413">
        <v>13.68</v>
      </c>
      <c r="Q413">
        <v>11.01</v>
      </c>
      <c r="R413">
        <v>0</v>
      </c>
      <c r="S413" s="1" t="s">
        <v>593</v>
      </c>
      <c r="T413" s="1"/>
      <c r="U413">
        <v>13.733000000000001</v>
      </c>
      <c r="V413">
        <v>0</v>
      </c>
      <c r="W413">
        <v>57985</v>
      </c>
    </row>
    <row r="414" spans="1:23" x14ac:dyDescent="0.25">
      <c r="A414" s="1" t="s">
        <v>27</v>
      </c>
      <c r="B414" s="1" t="s">
        <v>53</v>
      </c>
      <c r="C414" s="1" t="s">
        <v>119</v>
      </c>
      <c r="D414">
        <v>5486</v>
      </c>
      <c r="E414" s="1"/>
      <c r="F414" s="1" t="s">
        <v>263</v>
      </c>
      <c r="G414">
        <v>2009</v>
      </c>
      <c r="H414">
        <v>278.41000000000003</v>
      </c>
      <c r="I414">
        <v>12</v>
      </c>
      <c r="J414" s="1" t="s">
        <v>404</v>
      </c>
      <c r="K414">
        <v>0</v>
      </c>
      <c r="L414">
        <v>417</v>
      </c>
      <c r="M414">
        <v>0.667489</v>
      </c>
      <c r="N414">
        <v>3</v>
      </c>
      <c r="O414" s="1" t="s">
        <v>560</v>
      </c>
      <c r="P414">
        <v>278.41000000000003</v>
      </c>
      <c r="Q414">
        <v>222.7</v>
      </c>
      <c r="R414">
        <v>0</v>
      </c>
      <c r="S414" s="1" t="s">
        <v>594</v>
      </c>
      <c r="T414" s="1"/>
      <c r="U414">
        <v>278.39299999999997</v>
      </c>
      <c r="V414">
        <v>0</v>
      </c>
      <c r="W414">
        <v>60151</v>
      </c>
    </row>
    <row r="415" spans="1:23" x14ac:dyDescent="0.25">
      <c r="A415" s="1" t="s">
        <v>27</v>
      </c>
      <c r="B415" s="1" t="s">
        <v>53</v>
      </c>
      <c r="C415" s="1" t="s">
        <v>119</v>
      </c>
      <c r="D415">
        <v>5486</v>
      </c>
      <c r="E415" s="1"/>
      <c r="F415" s="1" t="s">
        <v>263</v>
      </c>
      <c r="G415">
        <v>2008</v>
      </c>
      <c r="H415">
        <v>28.92</v>
      </c>
      <c r="I415">
        <v>12</v>
      </c>
      <c r="J415" s="1" t="s">
        <v>404</v>
      </c>
      <c r="K415">
        <v>0</v>
      </c>
      <c r="L415">
        <v>417</v>
      </c>
      <c r="M415">
        <v>6.9334999999999994E-2</v>
      </c>
      <c r="N415">
        <v>3</v>
      </c>
      <c r="O415" s="1" t="s">
        <v>560</v>
      </c>
      <c r="P415">
        <v>28.92</v>
      </c>
      <c r="Q415">
        <v>23.14</v>
      </c>
      <c r="R415">
        <v>0</v>
      </c>
      <c r="S415" s="1" t="s">
        <v>593</v>
      </c>
      <c r="T415" s="1"/>
      <c r="U415">
        <v>28.911999999999999</v>
      </c>
      <c r="V415">
        <v>0</v>
      </c>
      <c r="W415">
        <v>57985</v>
      </c>
    </row>
    <row r="416" spans="1:23" x14ac:dyDescent="0.25">
      <c r="A416" s="1" t="s">
        <v>27</v>
      </c>
      <c r="B416" s="1" t="s">
        <v>53</v>
      </c>
      <c r="C416" s="1" t="s">
        <v>119</v>
      </c>
      <c r="D416">
        <v>5486</v>
      </c>
      <c r="E416" s="1"/>
      <c r="F416" s="1" t="s">
        <v>263</v>
      </c>
      <c r="G416">
        <v>2008</v>
      </c>
      <c r="H416">
        <v>247.99</v>
      </c>
      <c r="I416">
        <v>12</v>
      </c>
      <c r="J416" s="1" t="s">
        <v>404</v>
      </c>
      <c r="K416">
        <v>0</v>
      </c>
      <c r="L416">
        <v>417</v>
      </c>
      <c r="M416">
        <v>0.594557</v>
      </c>
      <c r="N416">
        <v>3</v>
      </c>
      <c r="O416" s="1" t="s">
        <v>560</v>
      </c>
      <c r="P416">
        <v>247.99</v>
      </c>
      <c r="Q416">
        <v>198.4</v>
      </c>
      <c r="R416">
        <v>0</v>
      </c>
      <c r="S416" s="1" t="s">
        <v>594</v>
      </c>
      <c r="T416" s="1"/>
      <c r="U416">
        <v>248.00899999999999</v>
      </c>
      <c r="V416">
        <v>0</v>
      </c>
      <c r="W416">
        <v>60151</v>
      </c>
    </row>
    <row r="417" spans="1:23" x14ac:dyDescent="0.25">
      <c r="A417" s="1" t="s">
        <v>27</v>
      </c>
      <c r="B417" s="1"/>
      <c r="C417" s="1" t="s">
        <v>120</v>
      </c>
      <c r="D417">
        <v>10058</v>
      </c>
      <c r="E417" s="1"/>
      <c r="F417" s="1" t="s">
        <v>120</v>
      </c>
      <c r="G417">
        <v>2015</v>
      </c>
      <c r="H417">
        <v>364.6</v>
      </c>
      <c r="I417">
        <v>5</v>
      </c>
      <c r="J417" s="1" t="s">
        <v>409</v>
      </c>
      <c r="K417">
        <v>0</v>
      </c>
      <c r="L417">
        <v>692</v>
      </c>
      <c r="M417">
        <v>0.52680199999999999</v>
      </c>
      <c r="N417">
        <v>3</v>
      </c>
      <c r="O417" s="1" t="s">
        <v>560</v>
      </c>
      <c r="P417">
        <v>364.6</v>
      </c>
      <c r="Q417">
        <v>291.68</v>
      </c>
      <c r="R417">
        <v>0</v>
      </c>
      <c r="S417" s="1"/>
      <c r="T417" s="1"/>
      <c r="U417">
        <v>364.6</v>
      </c>
      <c r="V417">
        <v>0</v>
      </c>
      <c r="W417">
        <v>76685</v>
      </c>
    </row>
    <row r="418" spans="1:23" x14ac:dyDescent="0.25">
      <c r="A418" s="1" t="s">
        <v>27</v>
      </c>
      <c r="B418" s="1"/>
      <c r="C418" s="1" t="s">
        <v>120</v>
      </c>
      <c r="D418">
        <v>10058</v>
      </c>
      <c r="E418" s="1"/>
      <c r="F418" s="1" t="s">
        <v>120</v>
      </c>
      <c r="G418">
        <v>2014</v>
      </c>
      <c r="H418">
        <v>911.7</v>
      </c>
      <c r="I418">
        <v>12</v>
      </c>
      <c r="J418" s="1" t="s">
        <v>409</v>
      </c>
      <c r="K418">
        <v>0</v>
      </c>
      <c r="L418">
        <v>692</v>
      </c>
      <c r="M418">
        <v>1.3172950000000001</v>
      </c>
      <c r="N418">
        <v>3</v>
      </c>
      <c r="O418" s="1" t="s">
        <v>560</v>
      </c>
      <c r="P418">
        <v>911.7</v>
      </c>
      <c r="Q418">
        <v>729.36</v>
      </c>
      <c r="R418">
        <v>0</v>
      </c>
      <c r="S418" s="1"/>
      <c r="T418" s="1"/>
      <c r="U418">
        <v>911.69997999999998</v>
      </c>
      <c r="V418">
        <v>0</v>
      </c>
      <c r="W418">
        <v>76685</v>
      </c>
    </row>
    <row r="419" spans="1:23" x14ac:dyDescent="0.25">
      <c r="A419" s="1" t="s">
        <v>27</v>
      </c>
      <c r="B419" s="1"/>
      <c r="C419" s="1" t="s">
        <v>120</v>
      </c>
      <c r="D419">
        <v>10058</v>
      </c>
      <c r="E419" s="1"/>
      <c r="F419" s="1" t="s">
        <v>120</v>
      </c>
      <c r="G419">
        <v>2013</v>
      </c>
      <c r="H419">
        <v>962.2</v>
      </c>
      <c r="I419">
        <v>12</v>
      </c>
      <c r="J419" s="1" t="s">
        <v>409</v>
      </c>
      <c r="K419">
        <v>0</v>
      </c>
      <c r="L419">
        <v>692</v>
      </c>
      <c r="M419">
        <v>1.390261</v>
      </c>
      <c r="N419">
        <v>3</v>
      </c>
      <c r="O419" s="1" t="s">
        <v>560</v>
      </c>
      <c r="P419">
        <v>962.2</v>
      </c>
      <c r="Q419">
        <v>769.76</v>
      </c>
      <c r="R419">
        <v>0</v>
      </c>
      <c r="S419" s="1"/>
      <c r="T419" s="1"/>
      <c r="U419">
        <v>962.2</v>
      </c>
      <c r="V419">
        <v>0</v>
      </c>
      <c r="W419">
        <v>76685</v>
      </c>
    </row>
    <row r="420" spans="1:23" x14ac:dyDescent="0.25">
      <c r="A420" s="1" t="s">
        <v>27</v>
      </c>
      <c r="B420" s="1"/>
      <c r="C420" s="1" t="s">
        <v>120</v>
      </c>
      <c r="D420">
        <v>10058</v>
      </c>
      <c r="E420" s="1"/>
      <c r="F420" s="1" t="s">
        <v>120</v>
      </c>
      <c r="G420">
        <v>2012</v>
      </c>
      <c r="H420">
        <v>903.6</v>
      </c>
      <c r="I420">
        <v>12</v>
      </c>
      <c r="J420" s="1" t="s">
        <v>409</v>
      </c>
      <c r="K420">
        <v>0</v>
      </c>
      <c r="L420">
        <v>692</v>
      </c>
      <c r="M420">
        <v>1.3055909999999999</v>
      </c>
      <c r="N420">
        <v>3</v>
      </c>
      <c r="O420" s="1" t="s">
        <v>560</v>
      </c>
      <c r="P420">
        <v>903.6</v>
      </c>
      <c r="Q420">
        <v>722.88</v>
      </c>
      <c r="R420">
        <v>0</v>
      </c>
      <c r="S420" s="1"/>
      <c r="T420" s="1"/>
      <c r="U420">
        <v>903.6</v>
      </c>
      <c r="V420">
        <v>0</v>
      </c>
      <c r="W420">
        <v>76685</v>
      </c>
    </row>
    <row r="421" spans="1:23" x14ac:dyDescent="0.25">
      <c r="A421" s="1" t="s">
        <v>27</v>
      </c>
      <c r="B421" s="1"/>
      <c r="C421" s="1" t="s">
        <v>120</v>
      </c>
      <c r="D421">
        <v>10058</v>
      </c>
      <c r="E421" s="1"/>
      <c r="F421" s="1" t="s">
        <v>120</v>
      </c>
      <c r="G421">
        <v>2011</v>
      </c>
      <c r="H421">
        <v>776.4</v>
      </c>
      <c r="I421">
        <v>12</v>
      </c>
      <c r="J421" s="1" t="s">
        <v>409</v>
      </c>
      <c r="K421">
        <v>0</v>
      </c>
      <c r="L421">
        <v>692</v>
      </c>
      <c r="M421">
        <v>1.1218030000000001</v>
      </c>
      <c r="N421">
        <v>3</v>
      </c>
      <c r="O421" s="1" t="s">
        <v>560</v>
      </c>
      <c r="P421">
        <v>776.4</v>
      </c>
      <c r="Q421">
        <v>621.12</v>
      </c>
      <c r="R421">
        <v>0</v>
      </c>
      <c r="S421" s="1"/>
      <c r="T421" s="1"/>
      <c r="U421">
        <v>776.4</v>
      </c>
      <c r="V421">
        <v>0</v>
      </c>
      <c r="W421">
        <v>76685</v>
      </c>
    </row>
    <row r="422" spans="1:23" x14ac:dyDescent="0.25">
      <c r="A422" s="1" t="s">
        <v>27</v>
      </c>
      <c r="B422" s="1"/>
      <c r="C422" s="1" t="s">
        <v>120</v>
      </c>
      <c r="D422">
        <v>10058</v>
      </c>
      <c r="E422" s="1"/>
      <c r="F422" s="1" t="s">
        <v>120</v>
      </c>
      <c r="G422">
        <v>2010</v>
      </c>
      <c r="H422">
        <v>371.37</v>
      </c>
      <c r="I422">
        <v>6</v>
      </c>
      <c r="J422" s="1" t="s">
        <v>409</v>
      </c>
      <c r="K422">
        <v>0</v>
      </c>
      <c r="L422">
        <v>692</v>
      </c>
      <c r="M422">
        <v>0.53658399999999995</v>
      </c>
      <c r="N422">
        <v>3</v>
      </c>
      <c r="O422" s="1" t="s">
        <v>560</v>
      </c>
      <c r="P422">
        <v>371.37</v>
      </c>
      <c r="Q422">
        <v>297.10000000000002</v>
      </c>
      <c r="R422">
        <v>0</v>
      </c>
      <c r="S422" s="1"/>
      <c r="T422" s="1"/>
      <c r="U422">
        <v>371.37975</v>
      </c>
      <c r="V422">
        <v>0</v>
      </c>
      <c r="W422">
        <v>76685</v>
      </c>
    </row>
    <row r="423" spans="1:23" x14ac:dyDescent="0.25">
      <c r="A423" s="1" t="s">
        <v>27</v>
      </c>
      <c r="B423" s="1"/>
      <c r="C423" s="1" t="s">
        <v>120</v>
      </c>
      <c r="D423">
        <v>10058</v>
      </c>
      <c r="E423" s="1"/>
      <c r="F423" s="1" t="s">
        <v>120</v>
      </c>
      <c r="G423">
        <v>2009</v>
      </c>
      <c r="H423">
        <v>351.24</v>
      </c>
      <c r="I423">
        <v>5</v>
      </c>
      <c r="J423" s="1" t="s">
        <v>409</v>
      </c>
      <c r="K423">
        <v>0</v>
      </c>
      <c r="L423">
        <v>692</v>
      </c>
      <c r="M423">
        <v>0.507498</v>
      </c>
      <c r="N423">
        <v>3</v>
      </c>
      <c r="O423" s="1" t="s">
        <v>560</v>
      </c>
      <c r="P423">
        <v>351.24</v>
      </c>
      <c r="Q423">
        <v>281</v>
      </c>
      <c r="R423">
        <v>0</v>
      </c>
      <c r="S423" s="1"/>
      <c r="T423" s="1"/>
      <c r="U423">
        <v>351.25229999999999</v>
      </c>
      <c r="V423">
        <v>0</v>
      </c>
      <c r="W423">
        <v>76685</v>
      </c>
    </row>
    <row r="424" spans="1:23" x14ac:dyDescent="0.25">
      <c r="A424" s="1" t="s">
        <v>27</v>
      </c>
      <c r="B424" s="1"/>
      <c r="C424" s="1" t="s">
        <v>120</v>
      </c>
      <c r="D424">
        <v>10058</v>
      </c>
      <c r="E424" s="1"/>
      <c r="F424" s="1" t="s">
        <v>120</v>
      </c>
      <c r="G424">
        <v>2008</v>
      </c>
      <c r="H424">
        <v>460.6</v>
      </c>
      <c r="I424">
        <v>4</v>
      </c>
      <c r="J424" s="1" t="s">
        <v>409</v>
      </c>
      <c r="K424">
        <v>0</v>
      </c>
      <c r="L424">
        <v>692</v>
      </c>
      <c r="M424">
        <v>0.66551000000000005</v>
      </c>
      <c r="N424">
        <v>3</v>
      </c>
      <c r="O424" s="1" t="s">
        <v>560</v>
      </c>
      <c r="P424">
        <v>460.6</v>
      </c>
      <c r="Q424">
        <v>368.48</v>
      </c>
      <c r="R424">
        <v>0</v>
      </c>
      <c r="S424" s="1"/>
      <c r="T424" s="1"/>
      <c r="U424">
        <v>460.59796</v>
      </c>
      <c r="V424">
        <v>0</v>
      </c>
      <c r="W424">
        <v>76685</v>
      </c>
    </row>
    <row r="425" spans="1:23" x14ac:dyDescent="0.25">
      <c r="A425" s="1" t="s">
        <v>27</v>
      </c>
      <c r="B425" s="1" t="s">
        <v>54</v>
      </c>
      <c r="C425" s="1" t="s">
        <v>121</v>
      </c>
      <c r="D425">
        <v>5428</v>
      </c>
      <c r="E425" s="1"/>
      <c r="F425" s="1" t="s">
        <v>264</v>
      </c>
      <c r="G425">
        <v>2015</v>
      </c>
      <c r="H425">
        <v>149.5</v>
      </c>
      <c r="I425">
        <v>5</v>
      </c>
      <c r="J425" s="1" t="s">
        <v>410</v>
      </c>
      <c r="K425">
        <v>0</v>
      </c>
      <c r="L425">
        <v>679</v>
      </c>
      <c r="M425">
        <v>0.22014400000000001</v>
      </c>
      <c r="N425">
        <v>3</v>
      </c>
      <c r="O425" s="1" t="s">
        <v>560</v>
      </c>
      <c r="P425">
        <v>149.5</v>
      </c>
      <c r="Q425">
        <v>119.62</v>
      </c>
      <c r="R425">
        <v>0</v>
      </c>
      <c r="S425" s="1" t="s">
        <v>595</v>
      </c>
      <c r="T425" s="1"/>
      <c r="U425">
        <v>149.50700000000001</v>
      </c>
      <c r="V425">
        <v>0</v>
      </c>
      <c r="W425">
        <v>57404</v>
      </c>
    </row>
    <row r="426" spans="1:23" x14ac:dyDescent="0.25">
      <c r="A426" s="1" t="s">
        <v>27</v>
      </c>
      <c r="B426" s="1" t="s">
        <v>54</v>
      </c>
      <c r="C426" s="1" t="s">
        <v>121</v>
      </c>
      <c r="D426">
        <v>5428</v>
      </c>
      <c r="E426" s="1"/>
      <c r="F426" s="1" t="s">
        <v>264</v>
      </c>
      <c r="G426">
        <v>2014</v>
      </c>
      <c r="H426">
        <v>438.16</v>
      </c>
      <c r="I426">
        <v>12</v>
      </c>
      <c r="J426" s="1" t="s">
        <v>410</v>
      </c>
      <c r="K426">
        <v>0</v>
      </c>
      <c r="L426">
        <v>679</v>
      </c>
      <c r="M426">
        <v>0.64520599999999995</v>
      </c>
      <c r="N426">
        <v>3</v>
      </c>
      <c r="O426" s="1" t="s">
        <v>560</v>
      </c>
      <c r="P426">
        <v>438.16</v>
      </c>
      <c r="Q426">
        <v>350.55</v>
      </c>
      <c r="R426">
        <v>0</v>
      </c>
      <c r="S426" s="1" t="s">
        <v>595</v>
      </c>
      <c r="T426" s="1"/>
      <c r="U426">
        <v>438.18</v>
      </c>
      <c r="V426">
        <v>0</v>
      </c>
      <c r="W426">
        <v>57404</v>
      </c>
    </row>
    <row r="427" spans="1:23" x14ac:dyDescent="0.25">
      <c r="A427" s="1" t="s">
        <v>27</v>
      </c>
      <c r="B427" s="1" t="s">
        <v>54</v>
      </c>
      <c r="C427" s="1" t="s">
        <v>121</v>
      </c>
      <c r="D427">
        <v>5428</v>
      </c>
      <c r="E427" s="1"/>
      <c r="F427" s="1" t="s">
        <v>264</v>
      </c>
      <c r="G427">
        <v>2013</v>
      </c>
      <c r="H427">
        <v>762.86</v>
      </c>
      <c r="I427">
        <v>13</v>
      </c>
      <c r="J427" s="1" t="s">
        <v>410</v>
      </c>
      <c r="K427">
        <v>0</v>
      </c>
      <c r="L427">
        <v>679</v>
      </c>
      <c r="M427">
        <v>1.1233390000000001</v>
      </c>
      <c r="N427">
        <v>3</v>
      </c>
      <c r="O427" s="1" t="s">
        <v>560</v>
      </c>
      <c r="P427">
        <v>762.86</v>
      </c>
      <c r="Q427">
        <v>610.28</v>
      </c>
      <c r="R427">
        <v>0</v>
      </c>
      <c r="S427" s="1" t="s">
        <v>595</v>
      </c>
      <c r="T427" s="1"/>
      <c r="U427">
        <v>762.84789999999998</v>
      </c>
      <c r="V427">
        <v>0</v>
      </c>
      <c r="W427">
        <v>57404</v>
      </c>
    </row>
    <row r="428" spans="1:23" x14ac:dyDescent="0.25">
      <c r="A428" s="1" t="s">
        <v>27</v>
      </c>
      <c r="B428" s="1" t="s">
        <v>54</v>
      </c>
      <c r="C428" s="1" t="s">
        <v>121</v>
      </c>
      <c r="D428">
        <v>5428</v>
      </c>
      <c r="E428" s="1"/>
      <c r="F428" s="1" t="s">
        <v>264</v>
      </c>
      <c r="G428">
        <v>2012</v>
      </c>
      <c r="H428">
        <v>1097.74</v>
      </c>
      <c r="I428">
        <v>12</v>
      </c>
      <c r="J428" s="1" t="s">
        <v>410</v>
      </c>
      <c r="K428">
        <v>0</v>
      </c>
      <c r="L428">
        <v>679</v>
      </c>
      <c r="M428">
        <v>1.6164620000000001</v>
      </c>
      <c r="N428">
        <v>3</v>
      </c>
      <c r="O428" s="1" t="s">
        <v>560</v>
      </c>
      <c r="P428">
        <v>1097.74</v>
      </c>
      <c r="Q428">
        <v>878.18</v>
      </c>
      <c r="R428">
        <v>0</v>
      </c>
      <c r="S428" s="1" t="s">
        <v>595</v>
      </c>
      <c r="T428" s="1"/>
      <c r="U428">
        <v>1097.7440099999999</v>
      </c>
      <c r="V428">
        <v>0</v>
      </c>
      <c r="W428">
        <v>57404</v>
      </c>
    </row>
    <row r="429" spans="1:23" x14ac:dyDescent="0.25">
      <c r="A429" s="1" t="s">
        <v>27</v>
      </c>
      <c r="B429" s="1" t="s">
        <v>54</v>
      </c>
      <c r="C429" s="1" t="s">
        <v>121</v>
      </c>
      <c r="D429">
        <v>5428</v>
      </c>
      <c r="E429" s="1"/>
      <c r="F429" s="1" t="s">
        <v>264</v>
      </c>
      <c r="G429">
        <v>2011</v>
      </c>
      <c r="H429">
        <v>1056.74</v>
      </c>
      <c r="I429">
        <v>12</v>
      </c>
      <c r="J429" s="1" t="s">
        <v>410</v>
      </c>
      <c r="K429">
        <v>0</v>
      </c>
      <c r="L429">
        <v>679</v>
      </c>
      <c r="M429">
        <v>1.5560879999999999</v>
      </c>
      <c r="N429">
        <v>3</v>
      </c>
      <c r="O429" s="1" t="s">
        <v>560</v>
      </c>
      <c r="P429">
        <v>1056.74</v>
      </c>
      <c r="Q429">
        <v>845.37</v>
      </c>
      <c r="R429">
        <v>0</v>
      </c>
      <c r="S429" s="1" t="s">
        <v>595</v>
      </c>
      <c r="T429" s="1"/>
      <c r="U429">
        <v>1056.73153</v>
      </c>
      <c r="V429">
        <v>0</v>
      </c>
      <c r="W429">
        <v>57404</v>
      </c>
    </row>
    <row r="430" spans="1:23" x14ac:dyDescent="0.25">
      <c r="A430" s="1" t="s">
        <v>27</v>
      </c>
      <c r="B430" s="1" t="s">
        <v>54</v>
      </c>
      <c r="C430" s="1" t="s">
        <v>121</v>
      </c>
      <c r="D430">
        <v>5428</v>
      </c>
      <c r="E430" s="1"/>
      <c r="F430" s="1" t="s">
        <v>264</v>
      </c>
      <c r="G430">
        <v>2010</v>
      </c>
      <c r="H430">
        <v>1151.74</v>
      </c>
      <c r="I430">
        <v>12</v>
      </c>
      <c r="J430" s="1" t="s">
        <v>410</v>
      </c>
      <c r="K430">
        <v>0</v>
      </c>
      <c r="L430">
        <v>679</v>
      </c>
      <c r="M430">
        <v>1.6959789999999999</v>
      </c>
      <c r="N430">
        <v>3</v>
      </c>
      <c r="O430" s="1" t="s">
        <v>560</v>
      </c>
      <c r="P430">
        <v>1151.74</v>
      </c>
      <c r="Q430">
        <v>921.37</v>
      </c>
      <c r="R430">
        <v>0</v>
      </c>
      <c r="S430" s="1" t="s">
        <v>595</v>
      </c>
      <c r="T430" s="1"/>
      <c r="U430">
        <v>1151.7295300000001</v>
      </c>
      <c r="V430">
        <v>0</v>
      </c>
      <c r="W430">
        <v>57404</v>
      </c>
    </row>
    <row r="431" spans="1:23" x14ac:dyDescent="0.25">
      <c r="A431" s="1" t="s">
        <v>27</v>
      </c>
      <c r="B431" s="1" t="s">
        <v>54</v>
      </c>
      <c r="C431" s="1" t="s">
        <v>121</v>
      </c>
      <c r="D431">
        <v>5428</v>
      </c>
      <c r="E431" s="1"/>
      <c r="F431" s="1" t="s">
        <v>264</v>
      </c>
      <c r="G431">
        <v>2009</v>
      </c>
      <c r="H431">
        <v>1136.8599999999999</v>
      </c>
      <c r="I431">
        <v>12</v>
      </c>
      <c r="J431" s="1" t="s">
        <v>410</v>
      </c>
      <c r="K431">
        <v>0</v>
      </c>
      <c r="L431">
        <v>679</v>
      </c>
      <c r="M431">
        <v>1.6740679999999999</v>
      </c>
      <c r="N431">
        <v>3</v>
      </c>
      <c r="O431" s="1" t="s">
        <v>560</v>
      </c>
      <c r="P431">
        <v>1136.8599999999999</v>
      </c>
      <c r="Q431">
        <v>909.47</v>
      </c>
      <c r="R431">
        <v>0</v>
      </c>
      <c r="S431" s="1" t="s">
        <v>595</v>
      </c>
      <c r="T431" s="1"/>
      <c r="U431">
        <v>1136.84853</v>
      </c>
      <c r="V431">
        <v>0</v>
      </c>
      <c r="W431">
        <v>57404</v>
      </c>
    </row>
    <row r="432" spans="1:23" x14ac:dyDescent="0.25">
      <c r="A432" s="1" t="s">
        <v>27</v>
      </c>
      <c r="B432" s="1" t="s">
        <v>54</v>
      </c>
      <c r="C432" s="1" t="s">
        <v>121</v>
      </c>
      <c r="D432">
        <v>5428</v>
      </c>
      <c r="E432" s="1"/>
      <c r="F432" s="1" t="s">
        <v>264</v>
      </c>
      <c r="G432">
        <v>2008</v>
      </c>
      <c r="H432">
        <v>1160.51</v>
      </c>
      <c r="I432">
        <v>12</v>
      </c>
      <c r="J432" s="1" t="s">
        <v>410</v>
      </c>
      <c r="K432">
        <v>0</v>
      </c>
      <c r="L432">
        <v>679</v>
      </c>
      <c r="M432">
        <v>1.7088939999999999</v>
      </c>
      <c r="N432">
        <v>3</v>
      </c>
      <c r="O432" s="1" t="s">
        <v>560</v>
      </c>
      <c r="P432">
        <v>1160.51</v>
      </c>
      <c r="Q432">
        <v>928.43</v>
      </c>
      <c r="R432">
        <v>0</v>
      </c>
      <c r="S432" s="1" t="s">
        <v>595</v>
      </c>
      <c r="T432" s="1"/>
      <c r="U432">
        <v>1160.5120099999999</v>
      </c>
      <c r="V432">
        <v>0</v>
      </c>
      <c r="W432">
        <v>57404</v>
      </c>
    </row>
    <row r="433" spans="1:23" x14ac:dyDescent="0.25">
      <c r="A433" s="1" t="s">
        <v>27</v>
      </c>
      <c r="B433" s="1" t="s">
        <v>55</v>
      </c>
      <c r="C433" s="1" t="s">
        <v>122</v>
      </c>
      <c r="D433">
        <v>5262</v>
      </c>
      <c r="E433" s="1"/>
      <c r="F433" s="1" t="s">
        <v>122</v>
      </c>
      <c r="G433">
        <v>2015</v>
      </c>
      <c r="H433">
        <v>393.58</v>
      </c>
      <c r="I433">
        <v>5</v>
      </c>
      <c r="J433" s="1" t="s">
        <v>411</v>
      </c>
      <c r="K433">
        <v>0</v>
      </c>
      <c r="L433">
        <v>874</v>
      </c>
      <c r="M433">
        <v>0.450268</v>
      </c>
      <c r="N433">
        <v>3</v>
      </c>
      <c r="O433" s="1" t="s">
        <v>560</v>
      </c>
      <c r="P433">
        <v>393.58</v>
      </c>
      <c r="Q433">
        <v>314.87</v>
      </c>
      <c r="R433">
        <v>0</v>
      </c>
      <c r="S433" s="1" t="s">
        <v>596</v>
      </c>
      <c r="T433" s="1"/>
      <c r="U433">
        <v>393.57900000000001</v>
      </c>
      <c r="V433">
        <v>0</v>
      </c>
      <c r="W433">
        <v>56739</v>
      </c>
    </row>
    <row r="434" spans="1:23" x14ac:dyDescent="0.25">
      <c r="A434" s="1" t="s">
        <v>27</v>
      </c>
      <c r="B434" s="1" t="s">
        <v>55</v>
      </c>
      <c r="C434" s="1" t="s">
        <v>122</v>
      </c>
      <c r="D434">
        <v>5262</v>
      </c>
      <c r="E434" s="1"/>
      <c r="F434" s="1" t="s">
        <v>122</v>
      </c>
      <c r="G434">
        <v>2014</v>
      </c>
      <c r="H434">
        <v>550.15</v>
      </c>
      <c r="I434">
        <v>12</v>
      </c>
      <c r="J434" s="1" t="s">
        <v>411</v>
      </c>
      <c r="K434">
        <v>0</v>
      </c>
      <c r="L434">
        <v>874</v>
      </c>
      <c r="M434">
        <v>0.62939000000000001</v>
      </c>
      <c r="N434">
        <v>3</v>
      </c>
      <c r="O434" s="1" t="s">
        <v>560</v>
      </c>
      <c r="P434">
        <v>550.15</v>
      </c>
      <c r="Q434">
        <v>440.11</v>
      </c>
      <c r="R434">
        <v>0</v>
      </c>
      <c r="S434" s="1" t="s">
        <v>596</v>
      </c>
      <c r="T434" s="1"/>
      <c r="U434">
        <v>550.13699999999994</v>
      </c>
      <c r="V434">
        <v>0</v>
      </c>
      <c r="W434">
        <v>56739</v>
      </c>
    </row>
    <row r="435" spans="1:23" x14ac:dyDescent="0.25">
      <c r="A435" s="1" t="s">
        <v>27</v>
      </c>
      <c r="B435" s="1" t="s">
        <v>55</v>
      </c>
      <c r="C435" s="1" t="s">
        <v>122</v>
      </c>
      <c r="D435">
        <v>5262</v>
      </c>
      <c r="E435" s="1"/>
      <c r="F435" s="1" t="s">
        <v>122</v>
      </c>
      <c r="G435">
        <v>2013</v>
      </c>
      <c r="H435">
        <v>470.8</v>
      </c>
      <c r="I435">
        <v>12</v>
      </c>
      <c r="J435" s="1" t="s">
        <v>411</v>
      </c>
      <c r="K435">
        <v>0</v>
      </c>
      <c r="L435">
        <v>874</v>
      </c>
      <c r="M435">
        <v>0.53861099999999995</v>
      </c>
      <c r="N435">
        <v>3</v>
      </c>
      <c r="O435" s="1" t="s">
        <v>560</v>
      </c>
      <c r="P435">
        <v>470.8</v>
      </c>
      <c r="Q435">
        <v>376.65</v>
      </c>
      <c r="R435">
        <v>0</v>
      </c>
      <c r="S435" s="1" t="s">
        <v>596</v>
      </c>
      <c r="T435" s="1"/>
      <c r="U435">
        <v>470.79500000000002</v>
      </c>
      <c r="V435">
        <v>0</v>
      </c>
      <c r="W435">
        <v>56739</v>
      </c>
    </row>
    <row r="436" spans="1:23" x14ac:dyDescent="0.25">
      <c r="A436" s="1" t="s">
        <v>27</v>
      </c>
      <c r="B436" s="1" t="s">
        <v>55</v>
      </c>
      <c r="C436" s="1" t="s">
        <v>122</v>
      </c>
      <c r="D436">
        <v>5262</v>
      </c>
      <c r="E436" s="1"/>
      <c r="F436" s="1" t="s">
        <v>122</v>
      </c>
      <c r="G436">
        <v>2012</v>
      </c>
      <c r="H436">
        <v>757.34</v>
      </c>
      <c r="I436">
        <v>12</v>
      </c>
      <c r="J436" s="1" t="s">
        <v>411</v>
      </c>
      <c r="K436">
        <v>0</v>
      </c>
      <c r="L436">
        <v>874</v>
      </c>
      <c r="M436">
        <v>0.86642200000000003</v>
      </c>
      <c r="N436">
        <v>3</v>
      </c>
      <c r="O436" s="1" t="s">
        <v>560</v>
      </c>
      <c r="P436">
        <v>757.34</v>
      </c>
      <c r="Q436">
        <v>605.87</v>
      </c>
      <c r="R436">
        <v>0</v>
      </c>
      <c r="S436" s="1" t="s">
        <v>596</v>
      </c>
      <c r="T436" s="1"/>
      <c r="U436">
        <v>757.34900000000005</v>
      </c>
      <c r="V436">
        <v>0</v>
      </c>
      <c r="W436">
        <v>56739</v>
      </c>
    </row>
    <row r="437" spans="1:23" x14ac:dyDescent="0.25">
      <c r="A437" s="1" t="s">
        <v>27</v>
      </c>
      <c r="B437" s="1" t="s">
        <v>55</v>
      </c>
      <c r="C437" s="1" t="s">
        <v>122</v>
      </c>
      <c r="D437">
        <v>5262</v>
      </c>
      <c r="E437" s="1"/>
      <c r="F437" s="1" t="s">
        <v>122</v>
      </c>
      <c r="G437">
        <v>2011</v>
      </c>
      <c r="H437">
        <v>562.64</v>
      </c>
      <c r="I437">
        <v>2</v>
      </c>
      <c r="J437" s="1" t="s">
        <v>411</v>
      </c>
      <c r="K437">
        <v>0</v>
      </c>
      <c r="L437">
        <v>874</v>
      </c>
      <c r="M437">
        <v>0.643679</v>
      </c>
      <c r="N437">
        <v>3</v>
      </c>
      <c r="O437" s="1" t="s">
        <v>560</v>
      </c>
      <c r="P437">
        <v>562.64</v>
      </c>
      <c r="Q437">
        <v>450.12</v>
      </c>
      <c r="R437">
        <v>0</v>
      </c>
      <c r="S437" s="1" t="s">
        <v>596</v>
      </c>
      <c r="T437" s="1"/>
      <c r="U437">
        <v>562.64130999999998</v>
      </c>
      <c r="V437">
        <v>0</v>
      </c>
      <c r="W437">
        <v>56739</v>
      </c>
    </row>
    <row r="438" spans="1:23" x14ac:dyDescent="0.25">
      <c r="A438" s="1" t="s">
        <v>27</v>
      </c>
      <c r="B438" s="1" t="s">
        <v>55</v>
      </c>
      <c r="C438" s="1" t="s">
        <v>122</v>
      </c>
      <c r="D438">
        <v>5262</v>
      </c>
      <c r="E438" s="1"/>
      <c r="F438" s="1" t="s">
        <v>122</v>
      </c>
      <c r="G438">
        <v>2010</v>
      </c>
      <c r="H438">
        <v>626.95000000000005</v>
      </c>
      <c r="I438">
        <v>1</v>
      </c>
      <c r="J438" s="1" t="s">
        <v>411</v>
      </c>
      <c r="K438">
        <v>0</v>
      </c>
      <c r="L438">
        <v>874</v>
      </c>
      <c r="M438">
        <v>0.717252</v>
      </c>
      <c r="N438">
        <v>3</v>
      </c>
      <c r="O438" s="1" t="s">
        <v>560</v>
      </c>
      <c r="P438">
        <v>626.95000000000005</v>
      </c>
      <c r="Q438">
        <v>501.53</v>
      </c>
      <c r="R438">
        <v>0</v>
      </c>
      <c r="S438" s="1" t="s">
        <v>596</v>
      </c>
      <c r="T438" s="1"/>
      <c r="U438">
        <v>626.91502000000003</v>
      </c>
      <c r="V438">
        <v>0</v>
      </c>
      <c r="W438">
        <v>56739</v>
      </c>
    </row>
    <row r="439" spans="1:23" x14ac:dyDescent="0.25">
      <c r="A439" s="1" t="s">
        <v>27</v>
      </c>
      <c r="B439" s="1" t="s">
        <v>55</v>
      </c>
      <c r="C439" s="1" t="s">
        <v>122</v>
      </c>
      <c r="D439">
        <v>5262</v>
      </c>
      <c r="E439" s="1"/>
      <c r="F439" s="1" t="s">
        <v>122</v>
      </c>
      <c r="G439">
        <v>2009</v>
      </c>
      <c r="H439">
        <v>654.4</v>
      </c>
      <c r="I439">
        <v>1</v>
      </c>
      <c r="J439" s="1" t="s">
        <v>411</v>
      </c>
      <c r="K439">
        <v>0</v>
      </c>
      <c r="L439">
        <v>874</v>
      </c>
      <c r="M439">
        <v>0.74865499999999996</v>
      </c>
      <c r="N439">
        <v>3</v>
      </c>
      <c r="O439" s="1" t="s">
        <v>560</v>
      </c>
      <c r="P439">
        <v>654.4</v>
      </c>
      <c r="Q439">
        <v>523.52</v>
      </c>
      <c r="R439">
        <v>0</v>
      </c>
      <c r="S439" s="1" t="s">
        <v>596</v>
      </c>
      <c r="T439" s="1"/>
      <c r="U439">
        <v>654.42148999999995</v>
      </c>
      <c r="V439">
        <v>0</v>
      </c>
      <c r="W439">
        <v>56739</v>
      </c>
    </row>
    <row r="440" spans="1:23" x14ac:dyDescent="0.25">
      <c r="A440" s="1" t="s">
        <v>27</v>
      </c>
      <c r="B440" s="1" t="s">
        <v>55</v>
      </c>
      <c r="C440" s="1" t="s">
        <v>122</v>
      </c>
      <c r="D440">
        <v>5262</v>
      </c>
      <c r="E440" s="1"/>
      <c r="F440" s="1" t="s">
        <v>122</v>
      </c>
      <c r="G440">
        <v>2008</v>
      </c>
      <c r="H440">
        <v>892.12</v>
      </c>
      <c r="I440">
        <v>1</v>
      </c>
      <c r="J440" s="1" t="s">
        <v>411</v>
      </c>
      <c r="K440">
        <v>0</v>
      </c>
      <c r="L440">
        <v>874</v>
      </c>
      <c r="M440">
        <v>1.020615</v>
      </c>
      <c r="N440">
        <v>3</v>
      </c>
      <c r="O440" s="1" t="s">
        <v>560</v>
      </c>
      <c r="P440">
        <v>892.12</v>
      </c>
      <c r="Q440">
        <v>713.7</v>
      </c>
      <c r="R440">
        <v>0</v>
      </c>
      <c r="S440" s="1" t="s">
        <v>596</v>
      </c>
      <c r="T440" s="1"/>
      <c r="U440">
        <v>892.10973000000001</v>
      </c>
      <c r="V440">
        <v>0</v>
      </c>
      <c r="W440">
        <v>56739</v>
      </c>
    </row>
    <row r="441" spans="1:23" x14ac:dyDescent="0.25">
      <c r="A441" s="1" t="s">
        <v>27</v>
      </c>
      <c r="B441" s="1" t="s">
        <v>56</v>
      </c>
      <c r="C441" s="1" t="s">
        <v>123</v>
      </c>
      <c r="D441">
        <v>5264</v>
      </c>
      <c r="E441" s="1"/>
      <c r="F441" s="1" t="s">
        <v>123</v>
      </c>
      <c r="G441">
        <v>2015</v>
      </c>
      <c r="H441">
        <v>97.17</v>
      </c>
      <c r="I441">
        <v>5</v>
      </c>
      <c r="J441" s="1" t="s">
        <v>402</v>
      </c>
      <c r="K441">
        <v>0</v>
      </c>
      <c r="L441">
        <v>333</v>
      </c>
      <c r="M441">
        <v>0.29171399999999997</v>
      </c>
      <c r="N441">
        <v>3</v>
      </c>
      <c r="O441" s="1" t="s">
        <v>560</v>
      </c>
      <c r="P441">
        <v>97.17</v>
      </c>
      <c r="Q441">
        <v>77.739999999999995</v>
      </c>
      <c r="R441">
        <v>0</v>
      </c>
      <c r="S441" s="1" t="s">
        <v>597</v>
      </c>
      <c r="T441" s="1"/>
      <c r="U441">
        <v>97.171999999999997</v>
      </c>
      <c r="V441">
        <v>0</v>
      </c>
      <c r="W441">
        <v>56769</v>
      </c>
    </row>
    <row r="442" spans="1:23" x14ac:dyDescent="0.25">
      <c r="A442" s="1" t="s">
        <v>27</v>
      </c>
      <c r="B442" s="1" t="s">
        <v>56</v>
      </c>
      <c r="C442" s="1" t="s">
        <v>123</v>
      </c>
      <c r="D442">
        <v>5264</v>
      </c>
      <c r="E442" s="1"/>
      <c r="F442" s="1" t="s">
        <v>123</v>
      </c>
      <c r="G442">
        <v>2014</v>
      </c>
      <c r="H442">
        <v>270.54000000000002</v>
      </c>
      <c r="I442">
        <v>12</v>
      </c>
      <c r="J442" s="1" t="s">
        <v>402</v>
      </c>
      <c r="K442">
        <v>0</v>
      </c>
      <c r="L442">
        <v>333</v>
      </c>
      <c r="M442">
        <v>0.81218800000000002</v>
      </c>
      <c r="N442">
        <v>3</v>
      </c>
      <c r="O442" s="1" t="s">
        <v>560</v>
      </c>
      <c r="P442">
        <v>270.54000000000002</v>
      </c>
      <c r="Q442">
        <v>216.43</v>
      </c>
      <c r="R442">
        <v>0</v>
      </c>
      <c r="S442" s="1" t="s">
        <v>597</v>
      </c>
      <c r="T442" s="1"/>
      <c r="U442">
        <v>270.54399999999998</v>
      </c>
      <c r="V442">
        <v>0</v>
      </c>
      <c r="W442">
        <v>56769</v>
      </c>
    </row>
    <row r="443" spans="1:23" x14ac:dyDescent="0.25">
      <c r="A443" s="1" t="s">
        <v>27</v>
      </c>
      <c r="B443" s="1" t="s">
        <v>56</v>
      </c>
      <c r="C443" s="1" t="s">
        <v>123</v>
      </c>
      <c r="D443">
        <v>5264</v>
      </c>
      <c r="E443" s="1"/>
      <c r="F443" s="1" t="s">
        <v>123</v>
      </c>
      <c r="G443">
        <v>2013</v>
      </c>
      <c r="H443">
        <v>254.09</v>
      </c>
      <c r="I443">
        <v>12</v>
      </c>
      <c r="J443" s="1" t="s">
        <v>402</v>
      </c>
      <c r="K443">
        <v>0</v>
      </c>
      <c r="L443">
        <v>333</v>
      </c>
      <c r="M443">
        <v>0.76280300000000001</v>
      </c>
      <c r="N443">
        <v>3</v>
      </c>
      <c r="O443" s="1" t="s">
        <v>560</v>
      </c>
      <c r="P443">
        <v>254.09</v>
      </c>
      <c r="Q443">
        <v>203.27</v>
      </c>
      <c r="R443">
        <v>0</v>
      </c>
      <c r="S443" s="1" t="s">
        <v>597</v>
      </c>
      <c r="T443" s="1"/>
      <c r="U443">
        <v>254.09100000000001</v>
      </c>
      <c r="V443">
        <v>0</v>
      </c>
      <c r="W443">
        <v>56769</v>
      </c>
    </row>
    <row r="444" spans="1:23" x14ac:dyDescent="0.25">
      <c r="A444" s="1" t="s">
        <v>27</v>
      </c>
      <c r="B444" s="1" t="s">
        <v>56</v>
      </c>
      <c r="C444" s="1" t="s">
        <v>123</v>
      </c>
      <c r="D444">
        <v>5264</v>
      </c>
      <c r="E444" s="1"/>
      <c r="F444" s="1" t="s">
        <v>123</v>
      </c>
      <c r="G444">
        <v>2012</v>
      </c>
      <c r="H444">
        <v>243.22</v>
      </c>
      <c r="I444">
        <v>12</v>
      </c>
      <c r="J444" s="1" t="s">
        <v>402</v>
      </c>
      <c r="K444">
        <v>0</v>
      </c>
      <c r="L444">
        <v>333</v>
      </c>
      <c r="M444">
        <v>0.73017100000000001</v>
      </c>
      <c r="N444">
        <v>3</v>
      </c>
      <c r="O444" s="1" t="s">
        <v>560</v>
      </c>
      <c r="P444">
        <v>243.22</v>
      </c>
      <c r="Q444">
        <v>194.57</v>
      </c>
      <c r="R444">
        <v>0</v>
      </c>
      <c r="S444" s="1" t="s">
        <v>597</v>
      </c>
      <c r="T444" s="1"/>
      <c r="U444">
        <v>243.22399999999999</v>
      </c>
      <c r="V444">
        <v>0</v>
      </c>
      <c r="W444">
        <v>56769</v>
      </c>
    </row>
    <row r="445" spans="1:23" x14ac:dyDescent="0.25">
      <c r="A445" s="1" t="s">
        <v>27</v>
      </c>
      <c r="B445" s="1" t="s">
        <v>56</v>
      </c>
      <c r="C445" s="1" t="s">
        <v>123</v>
      </c>
      <c r="D445">
        <v>5264</v>
      </c>
      <c r="E445" s="1"/>
      <c r="F445" s="1" t="s">
        <v>123</v>
      </c>
      <c r="G445">
        <v>2011</v>
      </c>
      <c r="H445">
        <v>276.04000000000002</v>
      </c>
      <c r="I445">
        <v>12</v>
      </c>
      <c r="J445" s="1" t="s">
        <v>402</v>
      </c>
      <c r="K445">
        <v>0</v>
      </c>
      <c r="L445">
        <v>333</v>
      </c>
      <c r="M445">
        <v>0.82869999999999999</v>
      </c>
      <c r="N445">
        <v>3</v>
      </c>
      <c r="O445" s="1" t="s">
        <v>560</v>
      </c>
      <c r="P445">
        <v>276.04000000000002</v>
      </c>
      <c r="Q445">
        <v>220.83</v>
      </c>
      <c r="R445">
        <v>0</v>
      </c>
      <c r="S445" s="1" t="s">
        <v>597</v>
      </c>
      <c r="T445" s="1"/>
      <c r="U445">
        <v>276.03899000000001</v>
      </c>
      <c r="V445">
        <v>0</v>
      </c>
      <c r="W445">
        <v>56769</v>
      </c>
    </row>
    <row r="446" spans="1:23" x14ac:dyDescent="0.25">
      <c r="A446" s="1" t="s">
        <v>27</v>
      </c>
      <c r="B446" s="1" t="s">
        <v>56</v>
      </c>
      <c r="C446" s="1" t="s">
        <v>123</v>
      </c>
      <c r="D446">
        <v>5264</v>
      </c>
      <c r="E446" s="1"/>
      <c r="F446" s="1" t="s">
        <v>123</v>
      </c>
      <c r="G446">
        <v>2010</v>
      </c>
      <c r="H446">
        <v>281.17</v>
      </c>
      <c r="I446">
        <v>12</v>
      </c>
      <c r="J446" s="1" t="s">
        <v>402</v>
      </c>
      <c r="K446">
        <v>0</v>
      </c>
      <c r="L446">
        <v>333</v>
      </c>
      <c r="M446">
        <v>0.84409999999999996</v>
      </c>
      <c r="N446">
        <v>3</v>
      </c>
      <c r="O446" s="1" t="s">
        <v>560</v>
      </c>
      <c r="P446">
        <v>281.17</v>
      </c>
      <c r="Q446">
        <v>224.93</v>
      </c>
      <c r="R446">
        <v>0</v>
      </c>
      <c r="S446" s="1" t="s">
        <v>597</v>
      </c>
      <c r="T446" s="1"/>
      <c r="U446">
        <v>281.16800000000001</v>
      </c>
      <c r="V446">
        <v>0</v>
      </c>
      <c r="W446">
        <v>56769</v>
      </c>
    </row>
    <row r="447" spans="1:23" x14ac:dyDescent="0.25">
      <c r="A447" s="1" t="s">
        <v>27</v>
      </c>
      <c r="B447" s="1" t="s">
        <v>56</v>
      </c>
      <c r="C447" s="1" t="s">
        <v>123</v>
      </c>
      <c r="D447">
        <v>5264</v>
      </c>
      <c r="E447" s="1"/>
      <c r="F447" s="1" t="s">
        <v>123</v>
      </c>
      <c r="G447">
        <v>2009</v>
      </c>
      <c r="H447">
        <v>303.89</v>
      </c>
      <c r="I447">
        <v>12</v>
      </c>
      <c r="J447" s="1" t="s">
        <v>402</v>
      </c>
      <c r="K447">
        <v>0</v>
      </c>
      <c r="L447">
        <v>333</v>
      </c>
      <c r="M447">
        <v>0.91230800000000001</v>
      </c>
      <c r="N447">
        <v>3</v>
      </c>
      <c r="O447" s="1" t="s">
        <v>560</v>
      </c>
      <c r="P447">
        <v>303.89</v>
      </c>
      <c r="Q447">
        <v>243.11</v>
      </c>
      <c r="R447">
        <v>0</v>
      </c>
      <c r="S447" s="1" t="s">
        <v>597</v>
      </c>
      <c r="T447" s="1"/>
      <c r="U447">
        <v>303.88099999999997</v>
      </c>
      <c r="V447">
        <v>0</v>
      </c>
      <c r="W447">
        <v>56769</v>
      </c>
    </row>
    <row r="448" spans="1:23" x14ac:dyDescent="0.25">
      <c r="A448" s="1" t="s">
        <v>27</v>
      </c>
      <c r="B448" s="1" t="s">
        <v>56</v>
      </c>
      <c r="C448" s="1" t="s">
        <v>123</v>
      </c>
      <c r="D448">
        <v>5264</v>
      </c>
      <c r="E448" s="1"/>
      <c r="F448" s="1" t="s">
        <v>123</v>
      </c>
      <c r="G448">
        <v>2008</v>
      </c>
      <c r="H448">
        <v>302.29000000000002</v>
      </c>
      <c r="I448">
        <v>12</v>
      </c>
      <c r="J448" s="1" t="s">
        <v>402</v>
      </c>
      <c r="K448">
        <v>0</v>
      </c>
      <c r="L448">
        <v>333</v>
      </c>
      <c r="M448">
        <v>0.90750500000000001</v>
      </c>
      <c r="N448">
        <v>3</v>
      </c>
      <c r="O448" s="1" t="s">
        <v>560</v>
      </c>
      <c r="P448">
        <v>302.29000000000002</v>
      </c>
      <c r="Q448">
        <v>241.85</v>
      </c>
      <c r="R448">
        <v>0</v>
      </c>
      <c r="S448" s="1" t="s">
        <v>597</v>
      </c>
      <c r="T448" s="1"/>
      <c r="U448">
        <v>302.3</v>
      </c>
      <c r="V448">
        <v>0</v>
      </c>
      <c r="W448">
        <v>56769</v>
      </c>
    </row>
    <row r="449" spans="1:23" x14ac:dyDescent="0.25">
      <c r="A449" s="1" t="s">
        <v>27</v>
      </c>
      <c r="B449" s="1"/>
      <c r="C449" s="1" t="s">
        <v>124</v>
      </c>
      <c r="D449">
        <v>9957</v>
      </c>
      <c r="E449" s="1"/>
      <c r="F449" s="1" t="s">
        <v>265</v>
      </c>
      <c r="G449">
        <v>2015</v>
      </c>
      <c r="H449">
        <v>152.26</v>
      </c>
      <c r="I449">
        <v>5</v>
      </c>
      <c r="J449" s="1" t="s">
        <v>399</v>
      </c>
      <c r="K449">
        <v>0</v>
      </c>
      <c r="L449">
        <v>646</v>
      </c>
      <c r="M449">
        <v>0.23566000000000001</v>
      </c>
      <c r="N449">
        <v>3</v>
      </c>
      <c r="O449" s="1" t="s">
        <v>560</v>
      </c>
      <c r="P449">
        <v>152.26</v>
      </c>
      <c r="Q449">
        <v>121.81</v>
      </c>
      <c r="R449">
        <v>0</v>
      </c>
      <c r="S449" s="1"/>
      <c r="T449" s="1"/>
      <c r="U449">
        <v>152.262</v>
      </c>
      <c r="V449">
        <v>0</v>
      </c>
      <c r="W449">
        <v>76342</v>
      </c>
    </row>
    <row r="450" spans="1:23" x14ac:dyDescent="0.25">
      <c r="A450" s="1" t="s">
        <v>27</v>
      </c>
      <c r="B450" s="1"/>
      <c r="C450" s="1" t="s">
        <v>124</v>
      </c>
      <c r="D450">
        <v>9957</v>
      </c>
      <c r="E450" s="1"/>
      <c r="F450" s="1" t="s">
        <v>265</v>
      </c>
      <c r="G450">
        <v>2014</v>
      </c>
      <c r="H450">
        <v>406.2</v>
      </c>
      <c r="I450">
        <v>12</v>
      </c>
      <c r="J450" s="1" t="s">
        <v>399</v>
      </c>
      <c r="K450">
        <v>0</v>
      </c>
      <c r="L450">
        <v>646</v>
      </c>
      <c r="M450">
        <v>0.628695</v>
      </c>
      <c r="N450">
        <v>3</v>
      </c>
      <c r="O450" s="1" t="s">
        <v>560</v>
      </c>
      <c r="P450">
        <v>406.2</v>
      </c>
      <c r="Q450">
        <v>324.95999999999998</v>
      </c>
      <c r="R450">
        <v>0</v>
      </c>
      <c r="S450" s="1"/>
      <c r="T450" s="1"/>
      <c r="U450">
        <v>406.2</v>
      </c>
      <c r="V450">
        <v>0</v>
      </c>
      <c r="W450">
        <v>76342</v>
      </c>
    </row>
    <row r="451" spans="1:23" x14ac:dyDescent="0.25">
      <c r="A451" s="1" t="s">
        <v>27</v>
      </c>
      <c r="B451" s="1"/>
      <c r="C451" s="1" t="s">
        <v>124</v>
      </c>
      <c r="D451">
        <v>9957</v>
      </c>
      <c r="E451" s="1"/>
      <c r="F451" s="1" t="s">
        <v>265</v>
      </c>
      <c r="G451">
        <v>2013</v>
      </c>
      <c r="H451">
        <v>695.5</v>
      </c>
      <c r="I451">
        <v>12</v>
      </c>
      <c r="J451" s="1" t="s">
        <v>399</v>
      </c>
      <c r="K451">
        <v>0</v>
      </c>
      <c r="L451">
        <v>646</v>
      </c>
      <c r="M451">
        <v>1.0764579999999999</v>
      </c>
      <c r="N451">
        <v>3</v>
      </c>
      <c r="O451" s="1" t="s">
        <v>560</v>
      </c>
      <c r="P451">
        <v>695.5</v>
      </c>
      <c r="Q451">
        <v>556.4</v>
      </c>
      <c r="R451">
        <v>0</v>
      </c>
      <c r="S451" s="1"/>
      <c r="T451" s="1"/>
      <c r="U451">
        <v>695.5</v>
      </c>
      <c r="V451">
        <v>0</v>
      </c>
      <c r="W451">
        <v>76342</v>
      </c>
    </row>
    <row r="452" spans="1:23" x14ac:dyDescent="0.25">
      <c r="A452" s="1" t="s">
        <v>27</v>
      </c>
      <c r="B452" s="1"/>
      <c r="C452" s="1" t="s">
        <v>124</v>
      </c>
      <c r="D452">
        <v>9957</v>
      </c>
      <c r="E452" s="1"/>
      <c r="F452" s="1" t="s">
        <v>265</v>
      </c>
      <c r="G452">
        <v>2012</v>
      </c>
      <c r="H452">
        <v>665.5</v>
      </c>
      <c r="I452">
        <v>12</v>
      </c>
      <c r="J452" s="1" t="s">
        <v>399</v>
      </c>
      <c r="K452">
        <v>0</v>
      </c>
      <c r="L452">
        <v>646</v>
      </c>
      <c r="M452">
        <v>1.0300260000000001</v>
      </c>
      <c r="N452">
        <v>3</v>
      </c>
      <c r="O452" s="1" t="s">
        <v>560</v>
      </c>
      <c r="P452">
        <v>665.5</v>
      </c>
      <c r="Q452">
        <v>532.4</v>
      </c>
      <c r="R452">
        <v>0</v>
      </c>
      <c r="S452" s="1"/>
      <c r="T452" s="1"/>
      <c r="U452">
        <v>665.5</v>
      </c>
      <c r="V452">
        <v>0</v>
      </c>
      <c r="W452">
        <v>76342</v>
      </c>
    </row>
    <row r="453" spans="1:23" x14ac:dyDescent="0.25">
      <c r="A453" s="1" t="s">
        <v>27</v>
      </c>
      <c r="B453" s="1"/>
      <c r="C453" s="1" t="s">
        <v>124</v>
      </c>
      <c r="D453">
        <v>9957</v>
      </c>
      <c r="E453" s="1"/>
      <c r="F453" s="1" t="s">
        <v>265</v>
      </c>
      <c r="G453">
        <v>2011</v>
      </c>
      <c r="H453">
        <v>424.55</v>
      </c>
      <c r="I453">
        <v>7</v>
      </c>
      <c r="J453" s="1" t="s">
        <v>399</v>
      </c>
      <c r="K453">
        <v>0</v>
      </c>
      <c r="L453">
        <v>646</v>
      </c>
      <c r="M453">
        <v>0.65709600000000001</v>
      </c>
      <c r="N453">
        <v>3</v>
      </c>
      <c r="O453" s="1" t="s">
        <v>560</v>
      </c>
      <c r="P453">
        <v>424.55</v>
      </c>
      <c r="Q453">
        <v>339.63</v>
      </c>
      <c r="R453">
        <v>0</v>
      </c>
      <c r="S453" s="1"/>
      <c r="T453" s="1"/>
      <c r="U453">
        <v>424.52940000000001</v>
      </c>
      <c r="V453">
        <v>0</v>
      </c>
      <c r="W453">
        <v>76342</v>
      </c>
    </row>
    <row r="454" spans="1:23" x14ac:dyDescent="0.25">
      <c r="A454" s="1" t="s">
        <v>27</v>
      </c>
      <c r="B454" s="1"/>
      <c r="C454" s="1" t="s">
        <v>124</v>
      </c>
      <c r="D454">
        <v>9957</v>
      </c>
      <c r="E454" s="1"/>
      <c r="F454" s="1" t="s">
        <v>265</v>
      </c>
      <c r="G454">
        <v>2010</v>
      </c>
      <c r="H454">
        <v>409.78</v>
      </c>
      <c r="I454">
        <v>3</v>
      </c>
      <c r="J454" s="1" t="s">
        <v>399</v>
      </c>
      <c r="K454">
        <v>0</v>
      </c>
      <c r="L454">
        <v>646</v>
      </c>
      <c r="M454">
        <v>0.63423600000000002</v>
      </c>
      <c r="N454">
        <v>3</v>
      </c>
      <c r="O454" s="1" t="s">
        <v>560</v>
      </c>
      <c r="P454">
        <v>409.78</v>
      </c>
      <c r="Q454">
        <v>327.85</v>
      </c>
      <c r="R454">
        <v>0</v>
      </c>
      <c r="S454" s="1"/>
      <c r="T454" s="1"/>
      <c r="U454">
        <v>409.79201999999998</v>
      </c>
      <c r="V454">
        <v>0</v>
      </c>
      <c r="W454">
        <v>76342</v>
      </c>
    </row>
    <row r="455" spans="1:23" x14ac:dyDescent="0.25">
      <c r="A455" s="1" t="s">
        <v>27</v>
      </c>
      <c r="B455" s="1"/>
      <c r="C455" s="1" t="s">
        <v>124</v>
      </c>
      <c r="D455">
        <v>9957</v>
      </c>
      <c r="E455" s="1"/>
      <c r="F455" s="1" t="s">
        <v>265</v>
      </c>
      <c r="G455">
        <v>2009</v>
      </c>
      <c r="H455">
        <v>355.94</v>
      </c>
      <c r="I455">
        <v>4</v>
      </c>
      <c r="J455" s="1" t="s">
        <v>399</v>
      </c>
      <c r="K455">
        <v>0</v>
      </c>
      <c r="L455">
        <v>646</v>
      </c>
      <c r="M455">
        <v>0.55090499999999998</v>
      </c>
      <c r="N455">
        <v>3</v>
      </c>
      <c r="O455" s="1" t="s">
        <v>560</v>
      </c>
      <c r="P455">
        <v>355.94</v>
      </c>
      <c r="Q455">
        <v>284.77999999999997</v>
      </c>
      <c r="R455">
        <v>0</v>
      </c>
      <c r="S455" s="1"/>
      <c r="T455" s="1"/>
      <c r="U455">
        <v>355.95445000000001</v>
      </c>
      <c r="V455">
        <v>0</v>
      </c>
      <c r="W455">
        <v>76342</v>
      </c>
    </row>
    <row r="456" spans="1:23" x14ac:dyDescent="0.25">
      <c r="A456" s="1" t="s">
        <v>27</v>
      </c>
      <c r="B456" s="1"/>
      <c r="C456" s="1" t="s">
        <v>124</v>
      </c>
      <c r="D456">
        <v>9957</v>
      </c>
      <c r="E456" s="1"/>
      <c r="F456" s="1" t="s">
        <v>265</v>
      </c>
      <c r="G456">
        <v>2008</v>
      </c>
      <c r="H456">
        <v>322.83</v>
      </c>
      <c r="I456">
        <v>5</v>
      </c>
      <c r="J456" s="1" t="s">
        <v>399</v>
      </c>
      <c r="K456">
        <v>0</v>
      </c>
      <c r="L456">
        <v>646</v>
      </c>
      <c r="M456">
        <v>0.49965900000000002</v>
      </c>
      <c r="N456">
        <v>3</v>
      </c>
      <c r="O456" s="1" t="s">
        <v>560</v>
      </c>
      <c r="P456">
        <v>322.83</v>
      </c>
      <c r="Q456">
        <v>258.24</v>
      </c>
      <c r="R456">
        <v>0</v>
      </c>
      <c r="S456" s="1"/>
      <c r="T456" s="1"/>
      <c r="U456">
        <v>322.82515000000001</v>
      </c>
      <c r="V456">
        <v>0</v>
      </c>
      <c r="W456">
        <v>76342</v>
      </c>
    </row>
    <row r="457" spans="1:23" x14ac:dyDescent="0.25">
      <c r="A457" s="1" t="s">
        <v>27</v>
      </c>
      <c r="B457" s="1" t="s">
        <v>57</v>
      </c>
      <c r="C457" s="1" t="s">
        <v>125</v>
      </c>
      <c r="D457">
        <v>5269</v>
      </c>
      <c r="E457" s="1"/>
      <c r="F457" s="1" t="s">
        <v>266</v>
      </c>
      <c r="G457">
        <v>2015</v>
      </c>
      <c r="H457">
        <v>126.73</v>
      </c>
      <c r="I457">
        <v>5</v>
      </c>
      <c r="J457" s="1" t="s">
        <v>393</v>
      </c>
      <c r="K457">
        <v>0</v>
      </c>
      <c r="L457">
        <v>607</v>
      </c>
      <c r="M457">
        <v>0.20874599999999999</v>
      </c>
      <c r="N457">
        <v>3</v>
      </c>
      <c r="O457" s="1" t="s">
        <v>560</v>
      </c>
      <c r="P457">
        <v>126.73</v>
      </c>
      <c r="Q457">
        <v>101.39</v>
      </c>
      <c r="R457">
        <v>0</v>
      </c>
      <c r="S457" s="1" t="s">
        <v>598</v>
      </c>
      <c r="T457" s="1"/>
      <c r="U457">
        <v>126.736</v>
      </c>
      <c r="V457">
        <v>0</v>
      </c>
      <c r="W457">
        <v>56820</v>
      </c>
    </row>
    <row r="458" spans="1:23" x14ac:dyDescent="0.25">
      <c r="A458" s="1" t="s">
        <v>27</v>
      </c>
      <c r="B458" s="1" t="s">
        <v>57</v>
      </c>
      <c r="C458" s="1" t="s">
        <v>125</v>
      </c>
      <c r="D458">
        <v>5269</v>
      </c>
      <c r="E458" s="1"/>
      <c r="F458" s="1" t="s">
        <v>266</v>
      </c>
      <c r="G458">
        <v>2014</v>
      </c>
      <c r="H458">
        <v>322.22000000000003</v>
      </c>
      <c r="I458">
        <v>12</v>
      </c>
      <c r="J458" s="1" t="s">
        <v>393</v>
      </c>
      <c r="K458">
        <v>0</v>
      </c>
      <c r="L458">
        <v>607</v>
      </c>
      <c r="M458">
        <v>0.530752</v>
      </c>
      <c r="N458">
        <v>3</v>
      </c>
      <c r="O458" s="1" t="s">
        <v>560</v>
      </c>
      <c r="P458">
        <v>322.22000000000003</v>
      </c>
      <c r="Q458">
        <v>257.79000000000002</v>
      </c>
      <c r="R458">
        <v>0</v>
      </c>
      <c r="S458" s="1" t="s">
        <v>598</v>
      </c>
      <c r="T458" s="1"/>
      <c r="U458">
        <v>322.22800000000001</v>
      </c>
      <c r="V458">
        <v>0</v>
      </c>
      <c r="W458">
        <v>56820</v>
      </c>
    </row>
    <row r="459" spans="1:23" x14ac:dyDescent="0.25">
      <c r="A459" s="1" t="s">
        <v>27</v>
      </c>
      <c r="B459" s="1" t="s">
        <v>57</v>
      </c>
      <c r="C459" s="1" t="s">
        <v>125</v>
      </c>
      <c r="D459">
        <v>5269</v>
      </c>
      <c r="E459" s="1"/>
      <c r="F459" s="1" t="s">
        <v>266</v>
      </c>
      <c r="G459">
        <v>2013</v>
      </c>
      <c r="H459">
        <v>376.5</v>
      </c>
      <c r="I459">
        <v>12</v>
      </c>
      <c r="J459" s="1" t="s">
        <v>393</v>
      </c>
      <c r="K459">
        <v>0</v>
      </c>
      <c r="L459">
        <v>607</v>
      </c>
      <c r="M459">
        <v>0.62016099999999996</v>
      </c>
      <c r="N459">
        <v>3</v>
      </c>
      <c r="O459" s="1" t="s">
        <v>560</v>
      </c>
      <c r="P459">
        <v>376.5</v>
      </c>
      <c r="Q459">
        <v>301.18</v>
      </c>
      <c r="R459">
        <v>0</v>
      </c>
      <c r="S459" s="1" t="s">
        <v>598</v>
      </c>
      <c r="T459" s="1"/>
      <c r="U459">
        <v>376.49599999999998</v>
      </c>
      <c r="V459">
        <v>0</v>
      </c>
      <c r="W459">
        <v>56820</v>
      </c>
    </row>
    <row r="460" spans="1:23" x14ac:dyDescent="0.25">
      <c r="A460" s="1" t="s">
        <v>27</v>
      </c>
      <c r="B460" s="1" t="s">
        <v>57</v>
      </c>
      <c r="C460" s="1" t="s">
        <v>125</v>
      </c>
      <c r="D460">
        <v>5269</v>
      </c>
      <c r="E460" s="1"/>
      <c r="F460" s="1" t="s">
        <v>266</v>
      </c>
      <c r="G460">
        <v>2012</v>
      </c>
      <c r="H460">
        <v>278.05</v>
      </c>
      <c r="I460">
        <v>12</v>
      </c>
      <c r="J460" s="1" t="s">
        <v>393</v>
      </c>
      <c r="K460">
        <v>0</v>
      </c>
      <c r="L460">
        <v>607</v>
      </c>
      <c r="M460">
        <v>0.45799699999999999</v>
      </c>
      <c r="N460">
        <v>3</v>
      </c>
      <c r="O460" s="1" t="s">
        <v>560</v>
      </c>
      <c r="P460">
        <v>278.05</v>
      </c>
      <c r="Q460">
        <v>222.45</v>
      </c>
      <c r="R460">
        <v>0</v>
      </c>
      <c r="S460" s="1" t="s">
        <v>598</v>
      </c>
      <c r="T460" s="1"/>
      <c r="U460">
        <v>278.06200000000001</v>
      </c>
      <c r="V460">
        <v>0</v>
      </c>
      <c r="W460">
        <v>56820</v>
      </c>
    </row>
    <row r="461" spans="1:23" x14ac:dyDescent="0.25">
      <c r="A461" s="1" t="s">
        <v>27</v>
      </c>
      <c r="B461" s="1" t="s">
        <v>57</v>
      </c>
      <c r="C461" s="1" t="s">
        <v>125</v>
      </c>
      <c r="D461">
        <v>5269</v>
      </c>
      <c r="E461" s="1"/>
      <c r="F461" s="1" t="s">
        <v>266</v>
      </c>
      <c r="G461">
        <v>2011</v>
      </c>
      <c r="H461">
        <v>325.45999999999998</v>
      </c>
      <c r="I461">
        <v>12</v>
      </c>
      <c r="J461" s="1" t="s">
        <v>393</v>
      </c>
      <c r="K461">
        <v>0</v>
      </c>
      <c r="L461">
        <v>607</v>
      </c>
      <c r="M461">
        <v>0.53608900000000004</v>
      </c>
      <c r="N461">
        <v>3</v>
      </c>
      <c r="O461" s="1" t="s">
        <v>560</v>
      </c>
      <c r="P461">
        <v>325.45999999999998</v>
      </c>
      <c r="Q461">
        <v>260.37</v>
      </c>
      <c r="R461">
        <v>0</v>
      </c>
      <c r="S461" s="1" t="s">
        <v>598</v>
      </c>
      <c r="T461" s="1"/>
      <c r="U461">
        <v>325.46199999999999</v>
      </c>
      <c r="V461">
        <v>0</v>
      </c>
      <c r="W461">
        <v>56820</v>
      </c>
    </row>
    <row r="462" spans="1:23" x14ac:dyDescent="0.25">
      <c r="A462" s="1" t="s">
        <v>27</v>
      </c>
      <c r="B462" s="1" t="s">
        <v>57</v>
      </c>
      <c r="C462" s="1" t="s">
        <v>125</v>
      </c>
      <c r="D462">
        <v>5269</v>
      </c>
      <c r="E462" s="1"/>
      <c r="F462" s="1" t="s">
        <v>266</v>
      </c>
      <c r="G462">
        <v>2010</v>
      </c>
      <c r="H462">
        <v>272.95999999999998</v>
      </c>
      <c r="I462">
        <v>12</v>
      </c>
      <c r="J462" s="1" t="s">
        <v>393</v>
      </c>
      <c r="K462">
        <v>0</v>
      </c>
      <c r="L462">
        <v>607</v>
      </c>
      <c r="M462">
        <v>0.44961200000000001</v>
      </c>
      <c r="N462">
        <v>3</v>
      </c>
      <c r="O462" s="1" t="s">
        <v>560</v>
      </c>
      <c r="P462">
        <v>272.95999999999998</v>
      </c>
      <c r="Q462">
        <v>218.36</v>
      </c>
      <c r="R462">
        <v>0</v>
      </c>
      <c r="S462" s="1" t="s">
        <v>598</v>
      </c>
      <c r="T462" s="1"/>
      <c r="U462">
        <v>272.96048999999999</v>
      </c>
      <c r="V462">
        <v>0</v>
      </c>
      <c r="W462">
        <v>56820</v>
      </c>
    </row>
    <row r="463" spans="1:23" x14ac:dyDescent="0.25">
      <c r="A463" s="1" t="s">
        <v>27</v>
      </c>
      <c r="B463" s="1" t="s">
        <v>57</v>
      </c>
      <c r="C463" s="1" t="s">
        <v>125</v>
      </c>
      <c r="D463">
        <v>5269</v>
      </c>
      <c r="E463" s="1"/>
      <c r="F463" s="1" t="s">
        <v>266</v>
      </c>
      <c r="G463">
        <v>2009</v>
      </c>
      <c r="H463">
        <v>294.47000000000003</v>
      </c>
      <c r="I463">
        <v>12</v>
      </c>
      <c r="J463" s="1" t="s">
        <v>393</v>
      </c>
      <c r="K463">
        <v>0</v>
      </c>
      <c r="L463">
        <v>607</v>
      </c>
      <c r="M463">
        <v>0.485043</v>
      </c>
      <c r="N463">
        <v>3</v>
      </c>
      <c r="O463" s="1" t="s">
        <v>560</v>
      </c>
      <c r="P463">
        <v>294.47000000000003</v>
      </c>
      <c r="Q463">
        <v>235.59</v>
      </c>
      <c r="R463">
        <v>0</v>
      </c>
      <c r="S463" s="1" t="s">
        <v>598</v>
      </c>
      <c r="T463" s="1"/>
      <c r="U463">
        <v>294.47751</v>
      </c>
      <c r="V463">
        <v>0</v>
      </c>
      <c r="W463">
        <v>56820</v>
      </c>
    </row>
    <row r="464" spans="1:23" x14ac:dyDescent="0.25">
      <c r="A464" s="1" t="s">
        <v>27</v>
      </c>
      <c r="B464" s="1" t="s">
        <v>57</v>
      </c>
      <c r="C464" s="1" t="s">
        <v>125</v>
      </c>
      <c r="D464">
        <v>5269</v>
      </c>
      <c r="E464" s="1"/>
      <c r="F464" s="1" t="s">
        <v>266</v>
      </c>
      <c r="G464">
        <v>2008</v>
      </c>
      <c r="H464">
        <v>363.23</v>
      </c>
      <c r="I464">
        <v>12</v>
      </c>
      <c r="J464" s="1" t="s">
        <v>393</v>
      </c>
      <c r="K464">
        <v>0</v>
      </c>
      <c r="L464">
        <v>607</v>
      </c>
      <c r="M464">
        <v>0.59830300000000003</v>
      </c>
      <c r="N464">
        <v>3</v>
      </c>
      <c r="O464" s="1" t="s">
        <v>560</v>
      </c>
      <c r="P464">
        <v>363.23</v>
      </c>
      <c r="Q464">
        <v>290.58</v>
      </c>
      <c r="R464">
        <v>0</v>
      </c>
      <c r="S464" s="1" t="s">
        <v>598</v>
      </c>
      <c r="T464" s="1"/>
      <c r="U464">
        <v>363.23700000000002</v>
      </c>
      <c r="V464">
        <v>0</v>
      </c>
      <c r="W464">
        <v>56820</v>
      </c>
    </row>
    <row r="465" spans="1:23" x14ac:dyDescent="0.25">
      <c r="A465" s="1" t="s">
        <v>27</v>
      </c>
      <c r="B465" s="1"/>
      <c r="C465" s="1" t="s">
        <v>126</v>
      </c>
      <c r="D465">
        <v>10017</v>
      </c>
      <c r="E465" s="1"/>
      <c r="F465" s="1" t="s">
        <v>267</v>
      </c>
      <c r="G465">
        <v>2015</v>
      </c>
      <c r="H465">
        <v>210.2</v>
      </c>
      <c r="I465">
        <v>5</v>
      </c>
      <c r="J465" s="1" t="s">
        <v>405</v>
      </c>
      <c r="K465">
        <v>0</v>
      </c>
      <c r="L465">
        <v>602</v>
      </c>
      <c r="M465">
        <v>0.349111</v>
      </c>
      <c r="N465">
        <v>3</v>
      </c>
      <c r="O465" s="1" t="s">
        <v>560</v>
      </c>
      <c r="P465">
        <v>210.2</v>
      </c>
      <c r="Q465">
        <v>168.16</v>
      </c>
      <c r="R465">
        <v>0</v>
      </c>
      <c r="S465" s="1"/>
      <c r="T465" s="1"/>
      <c r="U465">
        <v>210.2</v>
      </c>
      <c r="V465">
        <v>0</v>
      </c>
      <c r="W465">
        <v>76520</v>
      </c>
    </row>
    <row r="466" spans="1:23" x14ac:dyDescent="0.25">
      <c r="A466" s="1" t="s">
        <v>27</v>
      </c>
      <c r="B466" s="1"/>
      <c r="C466" s="1" t="s">
        <v>126</v>
      </c>
      <c r="D466">
        <v>10017</v>
      </c>
      <c r="E466" s="1"/>
      <c r="F466" s="1" t="s">
        <v>267</v>
      </c>
      <c r="G466">
        <v>2014</v>
      </c>
      <c r="H466">
        <v>487.5</v>
      </c>
      <c r="I466">
        <v>12</v>
      </c>
      <c r="J466" s="1" t="s">
        <v>405</v>
      </c>
      <c r="K466">
        <v>0</v>
      </c>
      <c r="L466">
        <v>602</v>
      </c>
      <c r="M466">
        <v>0.809666</v>
      </c>
      <c r="N466">
        <v>3</v>
      </c>
      <c r="O466" s="1" t="s">
        <v>560</v>
      </c>
      <c r="P466">
        <v>487.5</v>
      </c>
      <c r="Q466">
        <v>390</v>
      </c>
      <c r="R466">
        <v>0</v>
      </c>
      <c r="S466" s="1"/>
      <c r="T466" s="1"/>
      <c r="U466">
        <v>487.5</v>
      </c>
      <c r="V466">
        <v>0</v>
      </c>
      <c r="W466">
        <v>76520</v>
      </c>
    </row>
    <row r="467" spans="1:23" x14ac:dyDescent="0.25">
      <c r="A467" s="1" t="s">
        <v>27</v>
      </c>
      <c r="B467" s="1"/>
      <c r="C467" s="1" t="s">
        <v>126</v>
      </c>
      <c r="D467">
        <v>10017</v>
      </c>
      <c r="E467" s="1"/>
      <c r="F467" s="1" t="s">
        <v>267</v>
      </c>
      <c r="G467">
        <v>2013</v>
      </c>
      <c r="H467">
        <v>393.2</v>
      </c>
      <c r="I467">
        <v>12</v>
      </c>
      <c r="J467" s="1" t="s">
        <v>405</v>
      </c>
      <c r="K467">
        <v>0</v>
      </c>
      <c r="L467">
        <v>602</v>
      </c>
      <c r="M467">
        <v>0.65304700000000004</v>
      </c>
      <c r="N467">
        <v>3</v>
      </c>
      <c r="O467" s="1" t="s">
        <v>560</v>
      </c>
      <c r="P467">
        <v>393.2</v>
      </c>
      <c r="Q467">
        <v>314.56</v>
      </c>
      <c r="R467">
        <v>0</v>
      </c>
      <c r="S467" s="1"/>
      <c r="T467" s="1"/>
      <c r="U467">
        <v>393.2</v>
      </c>
      <c r="V467">
        <v>0</v>
      </c>
      <c r="W467">
        <v>76520</v>
      </c>
    </row>
    <row r="468" spans="1:23" x14ac:dyDescent="0.25">
      <c r="A468" s="1" t="s">
        <v>27</v>
      </c>
      <c r="B468" s="1"/>
      <c r="C468" s="1" t="s">
        <v>126</v>
      </c>
      <c r="D468">
        <v>10017</v>
      </c>
      <c r="E468" s="1"/>
      <c r="F468" s="1" t="s">
        <v>267</v>
      </c>
      <c r="G468">
        <v>2012</v>
      </c>
      <c r="H468">
        <v>558.6</v>
      </c>
      <c r="I468">
        <v>12</v>
      </c>
      <c r="J468" s="1" t="s">
        <v>405</v>
      </c>
      <c r="K468">
        <v>0</v>
      </c>
      <c r="L468">
        <v>602</v>
      </c>
      <c r="M468">
        <v>0.92775200000000002</v>
      </c>
      <c r="N468">
        <v>3</v>
      </c>
      <c r="O468" s="1" t="s">
        <v>560</v>
      </c>
      <c r="P468">
        <v>558.6</v>
      </c>
      <c r="Q468">
        <v>446.88</v>
      </c>
      <c r="R468">
        <v>0</v>
      </c>
      <c r="S468" s="1"/>
      <c r="T468" s="1"/>
      <c r="U468">
        <v>558.6</v>
      </c>
      <c r="V468">
        <v>0</v>
      </c>
      <c r="W468">
        <v>76520</v>
      </c>
    </row>
    <row r="469" spans="1:23" x14ac:dyDescent="0.25">
      <c r="A469" s="1" t="s">
        <v>27</v>
      </c>
      <c r="B469" s="1"/>
      <c r="C469" s="1" t="s">
        <v>126</v>
      </c>
      <c r="D469">
        <v>10017</v>
      </c>
      <c r="E469" s="1"/>
      <c r="F469" s="1" t="s">
        <v>267</v>
      </c>
      <c r="G469">
        <v>2011</v>
      </c>
      <c r="H469">
        <v>467.5</v>
      </c>
      <c r="I469">
        <v>12</v>
      </c>
      <c r="J469" s="1" t="s">
        <v>405</v>
      </c>
      <c r="K469">
        <v>0</v>
      </c>
      <c r="L469">
        <v>602</v>
      </c>
      <c r="M469">
        <v>0.77644899999999994</v>
      </c>
      <c r="N469">
        <v>3</v>
      </c>
      <c r="O469" s="1" t="s">
        <v>560</v>
      </c>
      <c r="P469">
        <v>467.5</v>
      </c>
      <c r="Q469">
        <v>374</v>
      </c>
      <c r="R469">
        <v>0</v>
      </c>
      <c r="S469" s="1"/>
      <c r="T469" s="1"/>
      <c r="U469">
        <v>467.5</v>
      </c>
      <c r="V469">
        <v>0</v>
      </c>
      <c r="W469">
        <v>76520</v>
      </c>
    </row>
    <row r="470" spans="1:23" x14ac:dyDescent="0.25">
      <c r="A470" s="1" t="s">
        <v>27</v>
      </c>
      <c r="B470" s="1"/>
      <c r="C470" s="1" t="s">
        <v>126</v>
      </c>
      <c r="D470">
        <v>10017</v>
      </c>
      <c r="E470" s="1"/>
      <c r="F470" s="1" t="s">
        <v>267</v>
      </c>
      <c r="G470">
        <v>2010</v>
      </c>
      <c r="H470">
        <v>464.81</v>
      </c>
      <c r="I470">
        <v>9</v>
      </c>
      <c r="J470" s="1" t="s">
        <v>405</v>
      </c>
      <c r="K470">
        <v>0</v>
      </c>
      <c r="L470">
        <v>602</v>
      </c>
      <c r="M470">
        <v>0.77198100000000003</v>
      </c>
      <c r="N470">
        <v>3</v>
      </c>
      <c r="O470" s="1" t="s">
        <v>560</v>
      </c>
      <c r="P470">
        <v>464.81</v>
      </c>
      <c r="Q470">
        <v>371.86</v>
      </c>
      <c r="R470">
        <v>0</v>
      </c>
      <c r="S470" s="1"/>
      <c r="T470" s="1"/>
      <c r="U470">
        <v>464.81333999999998</v>
      </c>
      <c r="V470">
        <v>0</v>
      </c>
      <c r="W470">
        <v>76520</v>
      </c>
    </row>
    <row r="471" spans="1:23" x14ac:dyDescent="0.25">
      <c r="A471" s="1" t="s">
        <v>27</v>
      </c>
      <c r="B471" s="1"/>
      <c r="C471" s="1" t="s">
        <v>126</v>
      </c>
      <c r="D471">
        <v>10017</v>
      </c>
      <c r="E471" s="1"/>
      <c r="F471" s="1" t="s">
        <v>267</v>
      </c>
      <c r="G471">
        <v>2009</v>
      </c>
      <c r="H471">
        <v>511.83</v>
      </c>
      <c r="I471">
        <v>11</v>
      </c>
      <c r="J471" s="1" t="s">
        <v>405</v>
      </c>
      <c r="K471">
        <v>0</v>
      </c>
      <c r="L471">
        <v>602</v>
      </c>
      <c r="M471">
        <v>0.850074</v>
      </c>
      <c r="N471">
        <v>3</v>
      </c>
      <c r="O471" s="1" t="s">
        <v>560</v>
      </c>
      <c r="P471">
        <v>511.83</v>
      </c>
      <c r="Q471">
        <v>409.47</v>
      </c>
      <c r="R471">
        <v>0</v>
      </c>
      <c r="S471" s="1"/>
      <c r="T471" s="1"/>
      <c r="U471">
        <v>511.82979</v>
      </c>
      <c r="V471">
        <v>0</v>
      </c>
      <c r="W471">
        <v>76520</v>
      </c>
    </row>
    <row r="472" spans="1:23" x14ac:dyDescent="0.25">
      <c r="A472" s="1" t="s">
        <v>27</v>
      </c>
      <c r="B472" s="1"/>
      <c r="C472" s="1" t="s">
        <v>126</v>
      </c>
      <c r="D472">
        <v>10017</v>
      </c>
      <c r="E472" s="1"/>
      <c r="F472" s="1" t="s">
        <v>267</v>
      </c>
      <c r="G472">
        <v>2008</v>
      </c>
      <c r="H472">
        <v>511.58</v>
      </c>
      <c r="I472">
        <v>9</v>
      </c>
      <c r="J472" s="1" t="s">
        <v>405</v>
      </c>
      <c r="K472">
        <v>0</v>
      </c>
      <c r="L472">
        <v>602</v>
      </c>
      <c r="M472">
        <v>0.84965900000000005</v>
      </c>
      <c r="N472">
        <v>3</v>
      </c>
      <c r="O472" s="1" t="s">
        <v>560</v>
      </c>
      <c r="P472">
        <v>511.58</v>
      </c>
      <c r="Q472">
        <v>409.28</v>
      </c>
      <c r="R472">
        <v>0</v>
      </c>
      <c r="S472" s="1"/>
      <c r="T472" s="1"/>
      <c r="U472">
        <v>511.58373</v>
      </c>
      <c r="V472">
        <v>0</v>
      </c>
      <c r="W472">
        <v>76520</v>
      </c>
    </row>
    <row r="473" spans="1:23" x14ac:dyDescent="0.25">
      <c r="A473" s="1" t="s">
        <v>27</v>
      </c>
      <c r="B473" s="1"/>
      <c r="C473" s="1" t="s">
        <v>127</v>
      </c>
      <c r="D473">
        <v>10164</v>
      </c>
      <c r="E473" s="1"/>
      <c r="F473" s="1" t="s">
        <v>127</v>
      </c>
      <c r="G473">
        <v>2015</v>
      </c>
      <c r="H473">
        <v>67.5</v>
      </c>
      <c r="I473">
        <v>5</v>
      </c>
      <c r="J473" s="1" t="s">
        <v>405</v>
      </c>
      <c r="K473">
        <v>0</v>
      </c>
      <c r="L473">
        <v>219</v>
      </c>
      <c r="M473">
        <v>0.30807800000000002</v>
      </c>
      <c r="N473">
        <v>3</v>
      </c>
      <c r="O473" s="1" t="s">
        <v>560</v>
      </c>
      <c r="P473">
        <v>67.5</v>
      </c>
      <c r="Q473">
        <v>54</v>
      </c>
      <c r="R473">
        <v>0</v>
      </c>
      <c r="S473" s="1"/>
      <c r="T473" s="1"/>
      <c r="U473">
        <v>67.5</v>
      </c>
      <c r="V473">
        <v>0</v>
      </c>
      <c r="W473">
        <v>77154</v>
      </c>
    </row>
    <row r="474" spans="1:23" x14ac:dyDescent="0.25">
      <c r="A474" s="1" t="s">
        <v>27</v>
      </c>
      <c r="B474" s="1"/>
      <c r="C474" s="1" t="s">
        <v>127</v>
      </c>
      <c r="D474">
        <v>10164</v>
      </c>
      <c r="E474" s="1"/>
      <c r="F474" s="1" t="s">
        <v>127</v>
      </c>
      <c r="G474">
        <v>2014</v>
      </c>
      <c r="H474">
        <v>171.5</v>
      </c>
      <c r="I474">
        <v>12</v>
      </c>
      <c r="J474" s="1" t="s">
        <v>405</v>
      </c>
      <c r="K474">
        <v>0</v>
      </c>
      <c r="L474">
        <v>219</v>
      </c>
      <c r="M474">
        <v>0.78274699999999997</v>
      </c>
      <c r="N474">
        <v>3</v>
      </c>
      <c r="O474" s="1" t="s">
        <v>560</v>
      </c>
      <c r="P474">
        <v>171.5</v>
      </c>
      <c r="Q474">
        <v>137.19999999999999</v>
      </c>
      <c r="R474">
        <v>0</v>
      </c>
      <c r="S474" s="1"/>
      <c r="T474" s="1"/>
      <c r="U474">
        <v>171.5</v>
      </c>
      <c r="V474">
        <v>0</v>
      </c>
      <c r="W474">
        <v>77154</v>
      </c>
    </row>
    <row r="475" spans="1:23" x14ac:dyDescent="0.25">
      <c r="A475" s="1" t="s">
        <v>27</v>
      </c>
      <c r="B475" s="1"/>
      <c r="C475" s="1" t="s">
        <v>127</v>
      </c>
      <c r="D475">
        <v>10164</v>
      </c>
      <c r="E475" s="1"/>
      <c r="F475" s="1" t="s">
        <v>127</v>
      </c>
      <c r="G475">
        <v>2013</v>
      </c>
      <c r="H475">
        <v>174.6</v>
      </c>
      <c r="I475">
        <v>12</v>
      </c>
      <c r="J475" s="1" t="s">
        <v>405</v>
      </c>
      <c r="K475">
        <v>0</v>
      </c>
      <c r="L475">
        <v>219</v>
      </c>
      <c r="M475">
        <v>0.79689600000000005</v>
      </c>
      <c r="N475">
        <v>3</v>
      </c>
      <c r="O475" s="1" t="s">
        <v>560</v>
      </c>
      <c r="P475">
        <v>174.6</v>
      </c>
      <c r="Q475">
        <v>139.68</v>
      </c>
      <c r="R475">
        <v>0</v>
      </c>
      <c r="S475" s="1"/>
      <c r="T475" s="1"/>
      <c r="U475">
        <v>174.6</v>
      </c>
      <c r="V475">
        <v>0</v>
      </c>
      <c r="W475">
        <v>77154</v>
      </c>
    </row>
    <row r="476" spans="1:23" x14ac:dyDescent="0.25">
      <c r="A476" s="1" t="s">
        <v>27</v>
      </c>
      <c r="B476" s="1"/>
      <c r="C476" s="1" t="s">
        <v>127</v>
      </c>
      <c r="D476">
        <v>10164</v>
      </c>
      <c r="E476" s="1"/>
      <c r="F476" s="1" t="s">
        <v>127</v>
      </c>
      <c r="G476">
        <v>2012</v>
      </c>
      <c r="H476">
        <v>170</v>
      </c>
      <c r="I476">
        <v>12</v>
      </c>
      <c r="J476" s="1" t="s">
        <v>405</v>
      </c>
      <c r="K476">
        <v>0</v>
      </c>
      <c r="L476">
        <v>219</v>
      </c>
      <c r="M476">
        <v>0.77590099999999995</v>
      </c>
      <c r="N476">
        <v>3</v>
      </c>
      <c r="O476" s="1" t="s">
        <v>560</v>
      </c>
      <c r="P476">
        <v>170</v>
      </c>
      <c r="Q476">
        <v>136</v>
      </c>
      <c r="R476">
        <v>0</v>
      </c>
      <c r="S476" s="1"/>
      <c r="T476" s="1"/>
      <c r="U476">
        <v>170</v>
      </c>
      <c r="V476">
        <v>0</v>
      </c>
      <c r="W476">
        <v>77154</v>
      </c>
    </row>
    <row r="477" spans="1:23" x14ac:dyDescent="0.25">
      <c r="A477" s="1" t="s">
        <v>27</v>
      </c>
      <c r="B477" s="1"/>
      <c r="C477" s="1" t="s">
        <v>127</v>
      </c>
      <c r="D477">
        <v>10164</v>
      </c>
      <c r="E477" s="1"/>
      <c r="F477" s="1" t="s">
        <v>127</v>
      </c>
      <c r="G477">
        <v>2011</v>
      </c>
      <c r="H477">
        <v>152.9</v>
      </c>
      <c r="I477">
        <v>12</v>
      </c>
      <c r="J477" s="1" t="s">
        <v>405</v>
      </c>
      <c r="K477">
        <v>0</v>
      </c>
      <c r="L477">
        <v>219</v>
      </c>
      <c r="M477">
        <v>0.69785399999999997</v>
      </c>
      <c r="N477">
        <v>3</v>
      </c>
      <c r="O477" s="1" t="s">
        <v>560</v>
      </c>
      <c r="P477">
        <v>152.9</v>
      </c>
      <c r="Q477">
        <v>122.32</v>
      </c>
      <c r="R477">
        <v>0</v>
      </c>
      <c r="S477" s="1"/>
      <c r="T477" s="1"/>
      <c r="U477">
        <v>152.9</v>
      </c>
      <c r="V477">
        <v>0</v>
      </c>
      <c r="W477">
        <v>77154</v>
      </c>
    </row>
    <row r="478" spans="1:23" x14ac:dyDescent="0.25">
      <c r="A478" s="1" t="s">
        <v>27</v>
      </c>
      <c r="B478" s="1"/>
      <c r="C478" s="1" t="s">
        <v>127</v>
      </c>
      <c r="D478">
        <v>10164</v>
      </c>
      <c r="E478" s="1"/>
      <c r="F478" s="1" t="s">
        <v>127</v>
      </c>
      <c r="G478">
        <v>2010</v>
      </c>
      <c r="H478">
        <v>195.51</v>
      </c>
      <c r="I478">
        <v>12</v>
      </c>
      <c r="J478" s="1" t="s">
        <v>405</v>
      </c>
      <c r="K478">
        <v>0</v>
      </c>
      <c r="L478">
        <v>219</v>
      </c>
      <c r="M478">
        <v>0.89233200000000001</v>
      </c>
      <c r="N478">
        <v>3</v>
      </c>
      <c r="O478" s="1" t="s">
        <v>560</v>
      </c>
      <c r="P478">
        <v>195.51</v>
      </c>
      <c r="Q478">
        <v>156.41999999999999</v>
      </c>
      <c r="R478">
        <v>0</v>
      </c>
      <c r="S478" s="1"/>
      <c r="T478" s="1"/>
      <c r="U478">
        <v>195.51669000000001</v>
      </c>
      <c r="V478">
        <v>0</v>
      </c>
      <c r="W478">
        <v>77154</v>
      </c>
    </row>
    <row r="479" spans="1:23" x14ac:dyDescent="0.25">
      <c r="A479" s="1" t="s">
        <v>27</v>
      </c>
      <c r="B479" s="1"/>
      <c r="C479" s="1" t="s">
        <v>127</v>
      </c>
      <c r="D479">
        <v>10164</v>
      </c>
      <c r="E479" s="1"/>
      <c r="F479" s="1" t="s">
        <v>127</v>
      </c>
      <c r="G479">
        <v>2009</v>
      </c>
      <c r="H479">
        <v>221.33</v>
      </c>
      <c r="I479">
        <v>11</v>
      </c>
      <c r="J479" s="1" t="s">
        <v>405</v>
      </c>
      <c r="K479">
        <v>0</v>
      </c>
      <c r="L479">
        <v>219</v>
      </c>
      <c r="M479">
        <v>1.010178</v>
      </c>
      <c r="N479">
        <v>3</v>
      </c>
      <c r="O479" s="1" t="s">
        <v>560</v>
      </c>
      <c r="P479">
        <v>221.33</v>
      </c>
      <c r="Q479">
        <v>177.09</v>
      </c>
      <c r="R479">
        <v>0</v>
      </c>
      <c r="S479" s="1"/>
      <c r="T479" s="1"/>
      <c r="U479">
        <v>221.35167000000001</v>
      </c>
      <c r="V479">
        <v>0</v>
      </c>
      <c r="W479">
        <v>77154</v>
      </c>
    </row>
    <row r="480" spans="1:23" x14ac:dyDescent="0.25">
      <c r="A480" s="1" t="s">
        <v>27</v>
      </c>
      <c r="B480" s="1"/>
      <c r="C480" s="1" t="s">
        <v>127</v>
      </c>
      <c r="D480">
        <v>10164</v>
      </c>
      <c r="E480" s="1"/>
      <c r="F480" s="1" t="s">
        <v>127</v>
      </c>
      <c r="G480">
        <v>2008</v>
      </c>
      <c r="H480">
        <v>199.3</v>
      </c>
      <c r="I480">
        <v>3</v>
      </c>
      <c r="J480" s="1" t="s">
        <v>405</v>
      </c>
      <c r="K480">
        <v>0</v>
      </c>
      <c r="L480">
        <v>219</v>
      </c>
      <c r="M480">
        <v>0.90963000000000005</v>
      </c>
      <c r="N480">
        <v>3</v>
      </c>
      <c r="O480" s="1" t="s">
        <v>560</v>
      </c>
      <c r="P480">
        <v>199.3</v>
      </c>
      <c r="Q480">
        <v>159.41999999999999</v>
      </c>
      <c r="R480">
        <v>0</v>
      </c>
      <c r="S480" s="1"/>
      <c r="T480" s="1"/>
      <c r="U480">
        <v>199.28515999999999</v>
      </c>
      <c r="V480">
        <v>0</v>
      </c>
      <c r="W480">
        <v>77154</v>
      </c>
    </row>
    <row r="481" spans="1:23" x14ac:dyDescent="0.25">
      <c r="A481" s="1" t="s">
        <v>27</v>
      </c>
      <c r="B481" s="1"/>
      <c r="C481" s="1" t="s">
        <v>128</v>
      </c>
      <c r="D481">
        <v>10169</v>
      </c>
      <c r="E481" s="1"/>
      <c r="F481" s="1" t="s">
        <v>268</v>
      </c>
      <c r="G481">
        <v>2015</v>
      </c>
      <c r="H481">
        <v>168</v>
      </c>
      <c r="I481">
        <v>5</v>
      </c>
      <c r="J481" s="1" t="s">
        <v>405</v>
      </c>
      <c r="K481">
        <v>0</v>
      </c>
      <c r="L481">
        <v>721</v>
      </c>
      <c r="M481">
        <v>0.23297699999999999</v>
      </c>
      <c r="N481">
        <v>3</v>
      </c>
      <c r="O481" s="1" t="s">
        <v>560</v>
      </c>
      <c r="P481">
        <v>168</v>
      </c>
      <c r="Q481">
        <v>134.4</v>
      </c>
      <c r="R481">
        <v>0</v>
      </c>
      <c r="S481" s="1" t="s">
        <v>599</v>
      </c>
      <c r="T481" s="1"/>
      <c r="U481">
        <v>168</v>
      </c>
      <c r="V481">
        <v>0</v>
      </c>
      <c r="W481">
        <v>77181</v>
      </c>
    </row>
    <row r="482" spans="1:23" x14ac:dyDescent="0.25">
      <c r="A482" s="1" t="s">
        <v>27</v>
      </c>
      <c r="B482" s="1"/>
      <c r="C482" s="1" t="s">
        <v>128</v>
      </c>
      <c r="D482">
        <v>10169</v>
      </c>
      <c r="E482" s="1"/>
      <c r="F482" s="1" t="s">
        <v>268</v>
      </c>
      <c r="G482">
        <v>2014</v>
      </c>
      <c r="H482">
        <v>384.4</v>
      </c>
      <c r="I482">
        <v>12</v>
      </c>
      <c r="J482" s="1" t="s">
        <v>405</v>
      </c>
      <c r="K482">
        <v>0</v>
      </c>
      <c r="L482">
        <v>721</v>
      </c>
      <c r="M482">
        <v>0.53307400000000005</v>
      </c>
      <c r="N482">
        <v>3</v>
      </c>
      <c r="O482" s="1" t="s">
        <v>560</v>
      </c>
      <c r="P482">
        <v>384.4</v>
      </c>
      <c r="Q482">
        <v>307.52</v>
      </c>
      <c r="R482">
        <v>0</v>
      </c>
      <c r="S482" s="1" t="s">
        <v>599</v>
      </c>
      <c r="T482" s="1"/>
      <c r="U482">
        <v>384.4</v>
      </c>
      <c r="V482">
        <v>0</v>
      </c>
      <c r="W482">
        <v>77181</v>
      </c>
    </row>
    <row r="483" spans="1:23" x14ac:dyDescent="0.25">
      <c r="A483" s="1" t="s">
        <v>27</v>
      </c>
      <c r="B483" s="1"/>
      <c r="C483" s="1" t="s">
        <v>128</v>
      </c>
      <c r="D483">
        <v>10169</v>
      </c>
      <c r="E483" s="1"/>
      <c r="F483" s="1" t="s">
        <v>268</v>
      </c>
      <c r="G483">
        <v>2013</v>
      </c>
      <c r="H483">
        <v>522.4</v>
      </c>
      <c r="I483">
        <v>12</v>
      </c>
      <c r="J483" s="1" t="s">
        <v>405</v>
      </c>
      <c r="K483">
        <v>0</v>
      </c>
      <c r="L483">
        <v>721</v>
      </c>
      <c r="M483">
        <v>0.72444799999999998</v>
      </c>
      <c r="N483">
        <v>3</v>
      </c>
      <c r="O483" s="1" t="s">
        <v>560</v>
      </c>
      <c r="P483">
        <v>522.4</v>
      </c>
      <c r="Q483">
        <v>417.92</v>
      </c>
      <c r="R483">
        <v>0</v>
      </c>
      <c r="S483" s="1" t="s">
        <v>599</v>
      </c>
      <c r="T483" s="1"/>
      <c r="U483">
        <v>522.4</v>
      </c>
      <c r="V483">
        <v>0</v>
      </c>
      <c r="W483">
        <v>77181</v>
      </c>
    </row>
    <row r="484" spans="1:23" x14ac:dyDescent="0.25">
      <c r="A484" s="1" t="s">
        <v>27</v>
      </c>
      <c r="B484" s="1"/>
      <c r="C484" s="1" t="s">
        <v>128</v>
      </c>
      <c r="D484">
        <v>10169</v>
      </c>
      <c r="E484" s="1"/>
      <c r="F484" s="1" t="s">
        <v>268</v>
      </c>
      <c r="G484">
        <v>2012</v>
      </c>
      <c r="H484">
        <v>534.79999999999995</v>
      </c>
      <c r="I484">
        <v>12</v>
      </c>
      <c r="J484" s="1" t="s">
        <v>405</v>
      </c>
      <c r="K484">
        <v>0</v>
      </c>
      <c r="L484">
        <v>721</v>
      </c>
      <c r="M484">
        <v>0.74164399999999997</v>
      </c>
      <c r="N484">
        <v>3</v>
      </c>
      <c r="O484" s="1" t="s">
        <v>560</v>
      </c>
      <c r="P484">
        <v>534.79999999999995</v>
      </c>
      <c r="Q484">
        <v>427.84</v>
      </c>
      <c r="R484">
        <v>0</v>
      </c>
      <c r="S484" s="1" t="s">
        <v>599</v>
      </c>
      <c r="T484" s="1"/>
      <c r="U484">
        <v>534.79999999999995</v>
      </c>
      <c r="V484">
        <v>0</v>
      </c>
      <c r="W484">
        <v>77181</v>
      </c>
    </row>
    <row r="485" spans="1:23" x14ac:dyDescent="0.25">
      <c r="A485" s="1" t="s">
        <v>27</v>
      </c>
      <c r="B485" s="1"/>
      <c r="C485" s="1" t="s">
        <v>128</v>
      </c>
      <c r="D485">
        <v>10169</v>
      </c>
      <c r="E485" s="1"/>
      <c r="F485" s="1" t="s">
        <v>268</v>
      </c>
      <c r="G485">
        <v>2011</v>
      </c>
      <c r="H485">
        <v>567.9</v>
      </c>
      <c r="I485">
        <v>12</v>
      </c>
      <c r="J485" s="1" t="s">
        <v>405</v>
      </c>
      <c r="K485">
        <v>0</v>
      </c>
      <c r="L485">
        <v>721</v>
      </c>
      <c r="M485">
        <v>0.78754599999999997</v>
      </c>
      <c r="N485">
        <v>3</v>
      </c>
      <c r="O485" s="1" t="s">
        <v>560</v>
      </c>
      <c r="P485">
        <v>567.9</v>
      </c>
      <c r="Q485">
        <v>454.32</v>
      </c>
      <c r="R485">
        <v>0</v>
      </c>
      <c r="S485" s="1" t="s">
        <v>599</v>
      </c>
      <c r="T485" s="1"/>
      <c r="U485">
        <v>567.9</v>
      </c>
      <c r="V485">
        <v>0</v>
      </c>
      <c r="W485">
        <v>77181</v>
      </c>
    </row>
    <row r="486" spans="1:23" x14ac:dyDescent="0.25">
      <c r="A486" s="1" t="s">
        <v>27</v>
      </c>
      <c r="B486" s="1"/>
      <c r="C486" s="1" t="s">
        <v>128</v>
      </c>
      <c r="D486">
        <v>10169</v>
      </c>
      <c r="E486" s="1"/>
      <c r="F486" s="1" t="s">
        <v>268</v>
      </c>
      <c r="G486">
        <v>2010</v>
      </c>
      <c r="H486">
        <v>594.91999999999996</v>
      </c>
      <c r="I486">
        <v>6</v>
      </c>
      <c r="J486" s="1" t="s">
        <v>405</v>
      </c>
      <c r="K486">
        <v>0</v>
      </c>
      <c r="L486">
        <v>721</v>
      </c>
      <c r="M486">
        <v>0.825017</v>
      </c>
      <c r="N486">
        <v>3</v>
      </c>
      <c r="O486" s="1" t="s">
        <v>560</v>
      </c>
      <c r="P486">
        <v>594.91999999999996</v>
      </c>
      <c r="Q486">
        <v>475.93</v>
      </c>
      <c r="R486">
        <v>0</v>
      </c>
      <c r="S486" s="1" t="s">
        <v>599</v>
      </c>
      <c r="T486" s="1"/>
      <c r="U486">
        <v>594.92643999999996</v>
      </c>
      <c r="V486">
        <v>0</v>
      </c>
      <c r="W486">
        <v>77181</v>
      </c>
    </row>
    <row r="487" spans="1:23" x14ac:dyDescent="0.25">
      <c r="A487" s="1" t="s">
        <v>27</v>
      </c>
      <c r="B487" s="1"/>
      <c r="C487" s="1" t="s">
        <v>128</v>
      </c>
      <c r="D487">
        <v>10169</v>
      </c>
      <c r="E487" s="1"/>
      <c r="F487" s="1" t="s">
        <v>268</v>
      </c>
      <c r="G487">
        <v>2009</v>
      </c>
      <c r="H487">
        <v>420.49</v>
      </c>
      <c r="I487">
        <v>4</v>
      </c>
      <c r="J487" s="1" t="s">
        <v>405</v>
      </c>
      <c r="K487">
        <v>0</v>
      </c>
      <c r="L487">
        <v>721</v>
      </c>
      <c r="M487">
        <v>0.58312299999999995</v>
      </c>
      <c r="N487">
        <v>3</v>
      </c>
      <c r="O487" s="1" t="s">
        <v>560</v>
      </c>
      <c r="P487">
        <v>420.49</v>
      </c>
      <c r="Q487">
        <v>336.39</v>
      </c>
      <c r="R487">
        <v>0</v>
      </c>
      <c r="S487" s="1" t="s">
        <v>599</v>
      </c>
      <c r="T487" s="1"/>
      <c r="U487">
        <v>420.51819999999998</v>
      </c>
      <c r="V487">
        <v>0</v>
      </c>
      <c r="W487">
        <v>77181</v>
      </c>
    </row>
    <row r="488" spans="1:23" x14ac:dyDescent="0.25">
      <c r="A488" s="1" t="s">
        <v>27</v>
      </c>
      <c r="B488" s="1"/>
      <c r="C488" s="1" t="s">
        <v>128</v>
      </c>
      <c r="D488">
        <v>10169</v>
      </c>
      <c r="E488" s="1"/>
      <c r="F488" s="1" t="s">
        <v>268</v>
      </c>
      <c r="G488">
        <v>2008</v>
      </c>
      <c r="H488">
        <v>360.81</v>
      </c>
      <c r="I488">
        <v>6</v>
      </c>
      <c r="J488" s="1" t="s">
        <v>405</v>
      </c>
      <c r="K488">
        <v>0</v>
      </c>
      <c r="L488">
        <v>721</v>
      </c>
      <c r="M488">
        <v>0.50036000000000003</v>
      </c>
      <c r="N488">
        <v>3</v>
      </c>
      <c r="O488" s="1" t="s">
        <v>560</v>
      </c>
      <c r="P488">
        <v>360.81</v>
      </c>
      <c r="Q488">
        <v>288.64999999999998</v>
      </c>
      <c r="R488">
        <v>0</v>
      </c>
      <c r="S488" s="1" t="s">
        <v>599</v>
      </c>
      <c r="T488" s="1"/>
      <c r="U488">
        <v>360.80219</v>
      </c>
      <c r="V488">
        <v>0</v>
      </c>
      <c r="W488">
        <v>77181</v>
      </c>
    </row>
    <row r="489" spans="1:23" x14ac:dyDescent="0.25">
      <c r="A489" s="1" t="s">
        <v>27</v>
      </c>
      <c r="B489" s="1" t="s">
        <v>53</v>
      </c>
      <c r="C489" s="1" t="s">
        <v>129</v>
      </c>
      <c r="D489">
        <v>5447</v>
      </c>
      <c r="E489" s="1"/>
      <c r="F489" s="1" t="s">
        <v>269</v>
      </c>
      <c r="G489">
        <v>2015</v>
      </c>
      <c r="H489">
        <v>110.85</v>
      </c>
      <c r="I489">
        <v>5</v>
      </c>
      <c r="J489" s="1" t="s">
        <v>412</v>
      </c>
      <c r="K489">
        <v>0</v>
      </c>
      <c r="L489">
        <v>480</v>
      </c>
      <c r="M489">
        <v>0.23088900000000001</v>
      </c>
      <c r="N489">
        <v>3</v>
      </c>
      <c r="O489" s="1" t="s">
        <v>560</v>
      </c>
      <c r="P489">
        <v>110.85</v>
      </c>
      <c r="Q489">
        <v>88.68</v>
      </c>
      <c r="R489">
        <v>0</v>
      </c>
      <c r="S489" s="1"/>
      <c r="T489" s="1"/>
      <c r="U489">
        <v>110.84699999999999</v>
      </c>
      <c r="V489">
        <v>0</v>
      </c>
      <c r="W489">
        <v>57507</v>
      </c>
    </row>
    <row r="490" spans="1:23" x14ac:dyDescent="0.25">
      <c r="A490" s="1" t="s">
        <v>27</v>
      </c>
      <c r="B490" s="1" t="s">
        <v>53</v>
      </c>
      <c r="C490" s="1" t="s">
        <v>129</v>
      </c>
      <c r="D490">
        <v>5447</v>
      </c>
      <c r="E490" s="1"/>
      <c r="F490" s="1" t="s">
        <v>269</v>
      </c>
      <c r="G490">
        <v>2014</v>
      </c>
      <c r="H490">
        <v>336.7</v>
      </c>
      <c r="I490">
        <v>12</v>
      </c>
      <c r="J490" s="1" t="s">
        <v>412</v>
      </c>
      <c r="K490">
        <v>0</v>
      </c>
      <c r="L490">
        <v>480</v>
      </c>
      <c r="M490">
        <v>0.70131200000000005</v>
      </c>
      <c r="N490">
        <v>3</v>
      </c>
      <c r="O490" s="1" t="s">
        <v>560</v>
      </c>
      <c r="P490">
        <v>336.7</v>
      </c>
      <c r="Q490">
        <v>269.39999999999998</v>
      </c>
      <c r="R490">
        <v>0</v>
      </c>
      <c r="S490" s="1"/>
      <c r="T490" s="1"/>
      <c r="U490">
        <v>336.721</v>
      </c>
      <c r="V490">
        <v>0</v>
      </c>
      <c r="W490">
        <v>57507</v>
      </c>
    </row>
    <row r="491" spans="1:23" x14ac:dyDescent="0.25">
      <c r="A491" s="1" t="s">
        <v>27</v>
      </c>
      <c r="B491" s="1" t="s">
        <v>53</v>
      </c>
      <c r="C491" s="1" t="s">
        <v>129</v>
      </c>
      <c r="D491">
        <v>5447</v>
      </c>
      <c r="E491" s="1"/>
      <c r="F491" s="1" t="s">
        <v>269</v>
      </c>
      <c r="G491">
        <v>2013</v>
      </c>
      <c r="H491">
        <v>357.4</v>
      </c>
      <c r="I491">
        <v>12</v>
      </c>
      <c r="J491" s="1" t="s">
        <v>412</v>
      </c>
      <c r="K491">
        <v>0</v>
      </c>
      <c r="L491">
        <v>480</v>
      </c>
      <c r="M491">
        <v>0.74442799999999998</v>
      </c>
      <c r="N491">
        <v>3</v>
      </c>
      <c r="O491" s="1" t="s">
        <v>560</v>
      </c>
      <c r="P491">
        <v>357.4</v>
      </c>
      <c r="Q491">
        <v>285.93</v>
      </c>
      <c r="R491">
        <v>0</v>
      </c>
      <c r="S491" s="1"/>
      <c r="T491" s="1"/>
      <c r="U491">
        <v>357.41699999999997</v>
      </c>
      <c r="V491">
        <v>0</v>
      </c>
      <c r="W491">
        <v>57507</v>
      </c>
    </row>
    <row r="492" spans="1:23" x14ac:dyDescent="0.25">
      <c r="A492" s="1" t="s">
        <v>27</v>
      </c>
      <c r="B492" s="1" t="s">
        <v>53</v>
      </c>
      <c r="C492" s="1" t="s">
        <v>129</v>
      </c>
      <c r="D492">
        <v>5447</v>
      </c>
      <c r="E492" s="1"/>
      <c r="F492" s="1" t="s">
        <v>269</v>
      </c>
      <c r="G492">
        <v>2012</v>
      </c>
      <c r="H492">
        <v>439.8</v>
      </c>
      <c r="I492">
        <v>12</v>
      </c>
      <c r="J492" s="1" t="s">
        <v>412</v>
      </c>
      <c r="K492">
        <v>0</v>
      </c>
      <c r="L492">
        <v>480</v>
      </c>
      <c r="M492">
        <v>0.91605899999999996</v>
      </c>
      <c r="N492">
        <v>3</v>
      </c>
      <c r="O492" s="1" t="s">
        <v>560</v>
      </c>
      <c r="P492">
        <v>439.8</v>
      </c>
      <c r="Q492">
        <v>351.82</v>
      </c>
      <c r="R492">
        <v>0</v>
      </c>
      <c r="S492" s="1"/>
      <c r="T492" s="1"/>
      <c r="U492">
        <v>439.803</v>
      </c>
      <c r="V492">
        <v>0</v>
      </c>
      <c r="W492">
        <v>57507</v>
      </c>
    </row>
    <row r="493" spans="1:23" x14ac:dyDescent="0.25">
      <c r="A493" s="1" t="s">
        <v>27</v>
      </c>
      <c r="B493" s="1" t="s">
        <v>53</v>
      </c>
      <c r="C493" s="1" t="s">
        <v>129</v>
      </c>
      <c r="D493">
        <v>5447</v>
      </c>
      <c r="E493" s="1"/>
      <c r="F493" s="1" t="s">
        <v>269</v>
      </c>
      <c r="G493">
        <v>2011</v>
      </c>
      <c r="H493">
        <v>522.75</v>
      </c>
      <c r="I493">
        <v>12</v>
      </c>
      <c r="J493" s="1" t="s">
        <v>412</v>
      </c>
      <c r="K493">
        <v>0</v>
      </c>
      <c r="L493">
        <v>480</v>
      </c>
      <c r="M493">
        <v>1.088835</v>
      </c>
      <c r="N493">
        <v>3</v>
      </c>
      <c r="O493" s="1" t="s">
        <v>560</v>
      </c>
      <c r="P493">
        <v>522.75</v>
      </c>
      <c r="Q493">
        <v>418.19</v>
      </c>
      <c r="R493">
        <v>0</v>
      </c>
      <c r="S493" s="1"/>
      <c r="T493" s="1"/>
      <c r="U493">
        <v>522.74800000000005</v>
      </c>
      <c r="V493">
        <v>0</v>
      </c>
      <c r="W493">
        <v>57507</v>
      </c>
    </row>
    <row r="494" spans="1:23" x14ac:dyDescent="0.25">
      <c r="A494" s="1" t="s">
        <v>27</v>
      </c>
      <c r="B494" s="1" t="s">
        <v>53</v>
      </c>
      <c r="C494" s="1" t="s">
        <v>129</v>
      </c>
      <c r="D494">
        <v>5447</v>
      </c>
      <c r="E494" s="1"/>
      <c r="F494" s="1" t="s">
        <v>269</v>
      </c>
      <c r="G494">
        <v>2010</v>
      </c>
      <c r="H494">
        <v>449.95</v>
      </c>
      <c r="I494">
        <v>12</v>
      </c>
      <c r="J494" s="1" t="s">
        <v>412</v>
      </c>
      <c r="K494">
        <v>0</v>
      </c>
      <c r="L494">
        <v>480</v>
      </c>
      <c r="M494">
        <v>0.93720000000000003</v>
      </c>
      <c r="N494">
        <v>3</v>
      </c>
      <c r="O494" s="1" t="s">
        <v>560</v>
      </c>
      <c r="P494">
        <v>449.95</v>
      </c>
      <c r="Q494">
        <v>359.96</v>
      </c>
      <c r="R494">
        <v>0</v>
      </c>
      <c r="S494" s="1"/>
      <c r="T494" s="1"/>
      <c r="U494">
        <v>449.94600000000003</v>
      </c>
      <c r="V494">
        <v>0</v>
      </c>
      <c r="W494">
        <v>57507</v>
      </c>
    </row>
    <row r="495" spans="1:23" x14ac:dyDescent="0.25">
      <c r="A495" s="1" t="s">
        <v>27</v>
      </c>
      <c r="B495" s="1" t="s">
        <v>53</v>
      </c>
      <c r="C495" s="1" t="s">
        <v>129</v>
      </c>
      <c r="D495">
        <v>5447</v>
      </c>
      <c r="E495" s="1"/>
      <c r="F495" s="1" t="s">
        <v>269</v>
      </c>
      <c r="G495">
        <v>2009</v>
      </c>
      <c r="H495">
        <v>458.01</v>
      </c>
      <c r="I495">
        <v>12</v>
      </c>
      <c r="J495" s="1" t="s">
        <v>412</v>
      </c>
      <c r="K495">
        <v>0</v>
      </c>
      <c r="L495">
        <v>480</v>
      </c>
      <c r="M495">
        <v>0.95398799999999995</v>
      </c>
      <c r="N495">
        <v>3</v>
      </c>
      <c r="O495" s="1" t="s">
        <v>560</v>
      </c>
      <c r="P495">
        <v>458.01</v>
      </c>
      <c r="Q495">
        <v>366.38</v>
      </c>
      <c r="R495">
        <v>0</v>
      </c>
      <c r="S495" s="1"/>
      <c r="T495" s="1"/>
      <c r="U495">
        <v>457.99400000000003</v>
      </c>
      <c r="V495">
        <v>0</v>
      </c>
      <c r="W495">
        <v>57507</v>
      </c>
    </row>
    <row r="496" spans="1:23" x14ac:dyDescent="0.25">
      <c r="A496" s="1" t="s">
        <v>27</v>
      </c>
      <c r="B496" s="1" t="s">
        <v>53</v>
      </c>
      <c r="C496" s="1" t="s">
        <v>129</v>
      </c>
      <c r="D496">
        <v>5447</v>
      </c>
      <c r="E496" s="1"/>
      <c r="F496" s="1" t="s">
        <v>269</v>
      </c>
      <c r="G496">
        <v>2008</v>
      </c>
      <c r="H496">
        <v>419.66</v>
      </c>
      <c r="I496">
        <v>12</v>
      </c>
      <c r="J496" s="1" t="s">
        <v>412</v>
      </c>
      <c r="K496">
        <v>0</v>
      </c>
      <c r="L496">
        <v>480</v>
      </c>
      <c r="M496">
        <v>0.87410900000000002</v>
      </c>
      <c r="N496">
        <v>3</v>
      </c>
      <c r="O496" s="1" t="s">
        <v>560</v>
      </c>
      <c r="P496">
        <v>419.66</v>
      </c>
      <c r="Q496">
        <v>335.73</v>
      </c>
      <c r="R496">
        <v>0</v>
      </c>
      <c r="S496" s="1"/>
      <c r="T496" s="1"/>
      <c r="U496">
        <v>419.66199999999998</v>
      </c>
      <c r="V496">
        <v>0</v>
      </c>
      <c r="W496">
        <v>57507</v>
      </c>
    </row>
    <row r="497" spans="1:23" x14ac:dyDescent="0.25">
      <c r="A497" s="1" t="s">
        <v>27</v>
      </c>
      <c r="B497" s="1" t="s">
        <v>58</v>
      </c>
      <c r="C497" s="1" t="s">
        <v>130</v>
      </c>
      <c r="D497">
        <v>5272</v>
      </c>
      <c r="E497" s="1"/>
      <c r="F497" s="1" t="s">
        <v>270</v>
      </c>
      <c r="G497">
        <v>2015</v>
      </c>
      <c r="H497">
        <v>95.71</v>
      </c>
      <c r="I497">
        <v>5</v>
      </c>
      <c r="J497" s="1" t="s">
        <v>413</v>
      </c>
      <c r="K497">
        <v>0</v>
      </c>
      <c r="L497">
        <v>541</v>
      </c>
      <c r="M497">
        <v>0.17688000000000001</v>
      </c>
      <c r="N497">
        <v>3</v>
      </c>
      <c r="O497" s="1" t="s">
        <v>560</v>
      </c>
      <c r="P497">
        <v>95.71</v>
      </c>
      <c r="Q497">
        <v>76.569999999999993</v>
      </c>
      <c r="R497">
        <v>0</v>
      </c>
      <c r="S497" s="1" t="s">
        <v>600</v>
      </c>
      <c r="T497" s="1"/>
      <c r="U497">
        <v>95.713999999999999</v>
      </c>
      <c r="V497">
        <v>0</v>
      </c>
      <c r="W497">
        <v>56838</v>
      </c>
    </row>
    <row r="498" spans="1:23" x14ac:dyDescent="0.25">
      <c r="A498" s="1" t="s">
        <v>27</v>
      </c>
      <c r="B498" s="1" t="s">
        <v>58</v>
      </c>
      <c r="C498" s="1" t="s">
        <v>130</v>
      </c>
      <c r="D498">
        <v>5272</v>
      </c>
      <c r="E498" s="1"/>
      <c r="F498" s="1" t="s">
        <v>270</v>
      </c>
      <c r="G498">
        <v>2014</v>
      </c>
      <c r="H498">
        <v>284.10000000000002</v>
      </c>
      <c r="I498">
        <v>12</v>
      </c>
      <c r="J498" s="1" t="s">
        <v>413</v>
      </c>
      <c r="K498">
        <v>0</v>
      </c>
      <c r="L498">
        <v>541</v>
      </c>
      <c r="M498">
        <v>0.52504099999999998</v>
      </c>
      <c r="N498">
        <v>3</v>
      </c>
      <c r="O498" s="1" t="s">
        <v>560</v>
      </c>
      <c r="P498">
        <v>284.10000000000002</v>
      </c>
      <c r="Q498">
        <v>227.28</v>
      </c>
      <c r="R498">
        <v>0</v>
      </c>
      <c r="S498" s="1" t="s">
        <v>600</v>
      </c>
      <c r="T498" s="1"/>
      <c r="U498">
        <v>284.11200000000002</v>
      </c>
      <c r="V498">
        <v>0</v>
      </c>
      <c r="W498">
        <v>56838</v>
      </c>
    </row>
    <row r="499" spans="1:23" x14ac:dyDescent="0.25">
      <c r="A499" s="1" t="s">
        <v>27</v>
      </c>
      <c r="B499" s="1" t="s">
        <v>58</v>
      </c>
      <c r="C499" s="1" t="s">
        <v>130</v>
      </c>
      <c r="D499">
        <v>5272</v>
      </c>
      <c r="E499" s="1"/>
      <c r="F499" s="1" t="s">
        <v>270</v>
      </c>
      <c r="G499">
        <v>2013</v>
      </c>
      <c r="H499">
        <v>284.36</v>
      </c>
      <c r="I499">
        <v>12</v>
      </c>
      <c r="J499" s="1" t="s">
        <v>413</v>
      </c>
      <c r="K499">
        <v>0</v>
      </c>
      <c r="L499">
        <v>541</v>
      </c>
      <c r="M499">
        <v>0.52552200000000004</v>
      </c>
      <c r="N499">
        <v>3</v>
      </c>
      <c r="O499" s="1" t="s">
        <v>560</v>
      </c>
      <c r="P499">
        <v>284.36</v>
      </c>
      <c r="Q499">
        <v>227.48</v>
      </c>
      <c r="R499">
        <v>0</v>
      </c>
      <c r="S499" s="1" t="s">
        <v>600</v>
      </c>
      <c r="T499" s="1"/>
      <c r="U499">
        <v>284.34399999999999</v>
      </c>
      <c r="V499">
        <v>0</v>
      </c>
      <c r="W499">
        <v>56838</v>
      </c>
    </row>
    <row r="500" spans="1:23" x14ac:dyDescent="0.25">
      <c r="A500" s="1" t="s">
        <v>27</v>
      </c>
      <c r="B500" s="1" t="s">
        <v>58</v>
      </c>
      <c r="C500" s="1" t="s">
        <v>130</v>
      </c>
      <c r="D500">
        <v>5272</v>
      </c>
      <c r="E500" s="1"/>
      <c r="F500" s="1" t="s">
        <v>270</v>
      </c>
      <c r="G500">
        <v>2012</v>
      </c>
      <c r="H500">
        <v>287.02</v>
      </c>
      <c r="I500">
        <v>12</v>
      </c>
      <c r="J500" s="1" t="s">
        <v>413</v>
      </c>
      <c r="K500">
        <v>0</v>
      </c>
      <c r="L500">
        <v>541</v>
      </c>
      <c r="M500">
        <v>0.53043700000000005</v>
      </c>
      <c r="N500">
        <v>3</v>
      </c>
      <c r="O500" s="1" t="s">
        <v>560</v>
      </c>
      <c r="P500">
        <v>287.02</v>
      </c>
      <c r="Q500">
        <v>229.61</v>
      </c>
      <c r="R500">
        <v>0</v>
      </c>
      <c r="S500" s="1" t="s">
        <v>600</v>
      </c>
      <c r="T500" s="1"/>
      <c r="U500">
        <v>287.02499999999998</v>
      </c>
      <c r="V500">
        <v>0</v>
      </c>
      <c r="W500">
        <v>56838</v>
      </c>
    </row>
    <row r="501" spans="1:23" x14ac:dyDescent="0.25">
      <c r="A501" s="1" t="s">
        <v>27</v>
      </c>
      <c r="B501" s="1" t="s">
        <v>58</v>
      </c>
      <c r="C501" s="1" t="s">
        <v>130</v>
      </c>
      <c r="D501">
        <v>5272</v>
      </c>
      <c r="E501" s="1"/>
      <c r="F501" s="1" t="s">
        <v>270</v>
      </c>
      <c r="G501">
        <v>2011</v>
      </c>
      <c r="H501">
        <v>334.25</v>
      </c>
      <c r="I501">
        <v>12</v>
      </c>
      <c r="J501" s="1" t="s">
        <v>413</v>
      </c>
      <c r="K501">
        <v>0</v>
      </c>
      <c r="L501">
        <v>541</v>
      </c>
      <c r="M501">
        <v>0.61772300000000002</v>
      </c>
      <c r="N501">
        <v>3</v>
      </c>
      <c r="O501" s="1" t="s">
        <v>560</v>
      </c>
      <c r="P501">
        <v>334.25</v>
      </c>
      <c r="Q501">
        <v>267.39</v>
      </c>
      <c r="R501">
        <v>0</v>
      </c>
      <c r="S501" s="1" t="s">
        <v>600</v>
      </c>
      <c r="T501" s="1"/>
      <c r="U501">
        <v>334.24900000000002</v>
      </c>
      <c r="V501">
        <v>0</v>
      </c>
      <c r="W501">
        <v>56838</v>
      </c>
    </row>
    <row r="502" spans="1:23" x14ac:dyDescent="0.25">
      <c r="A502" s="1" t="s">
        <v>27</v>
      </c>
      <c r="B502" s="1" t="s">
        <v>58</v>
      </c>
      <c r="C502" s="1" t="s">
        <v>130</v>
      </c>
      <c r="D502">
        <v>5272</v>
      </c>
      <c r="E502" s="1"/>
      <c r="F502" s="1" t="s">
        <v>270</v>
      </c>
      <c r="G502">
        <v>2010</v>
      </c>
      <c r="H502">
        <v>415.36</v>
      </c>
      <c r="I502">
        <v>12</v>
      </c>
      <c r="J502" s="1" t="s">
        <v>413</v>
      </c>
      <c r="K502">
        <v>0</v>
      </c>
      <c r="L502">
        <v>541</v>
      </c>
      <c r="M502">
        <v>0.767621</v>
      </c>
      <c r="N502">
        <v>3</v>
      </c>
      <c r="O502" s="1" t="s">
        <v>560</v>
      </c>
      <c r="P502">
        <v>415.36</v>
      </c>
      <c r="Q502">
        <v>332.3</v>
      </c>
      <c r="R502">
        <v>0</v>
      </c>
      <c r="S502" s="1" t="s">
        <v>600</v>
      </c>
      <c r="T502" s="1"/>
      <c r="U502">
        <v>415.35399999999998</v>
      </c>
      <c r="V502">
        <v>0</v>
      </c>
      <c r="W502">
        <v>56838</v>
      </c>
    </row>
    <row r="503" spans="1:23" x14ac:dyDescent="0.25">
      <c r="A503" s="1" t="s">
        <v>27</v>
      </c>
      <c r="B503" s="1" t="s">
        <v>58</v>
      </c>
      <c r="C503" s="1" t="s">
        <v>130</v>
      </c>
      <c r="D503">
        <v>5272</v>
      </c>
      <c r="E503" s="1"/>
      <c r="F503" s="1" t="s">
        <v>270</v>
      </c>
      <c r="G503">
        <v>2009</v>
      </c>
      <c r="H503">
        <v>382.23</v>
      </c>
      <c r="I503">
        <v>12</v>
      </c>
      <c r="J503" s="1" t="s">
        <v>413</v>
      </c>
      <c r="K503">
        <v>0</v>
      </c>
      <c r="L503">
        <v>541</v>
      </c>
      <c r="M503">
        <v>0.70639399999999997</v>
      </c>
      <c r="N503">
        <v>3</v>
      </c>
      <c r="O503" s="1" t="s">
        <v>560</v>
      </c>
      <c r="P503">
        <v>382.23</v>
      </c>
      <c r="Q503">
        <v>305.8</v>
      </c>
      <c r="R503">
        <v>0</v>
      </c>
      <c r="S503" s="1" t="s">
        <v>600</v>
      </c>
      <c r="T503" s="1"/>
      <c r="U503">
        <v>382.23700000000002</v>
      </c>
      <c r="V503">
        <v>0</v>
      </c>
      <c r="W503">
        <v>56838</v>
      </c>
    </row>
    <row r="504" spans="1:23" x14ac:dyDescent="0.25">
      <c r="A504" s="1" t="s">
        <v>27</v>
      </c>
      <c r="B504" s="1" t="s">
        <v>58</v>
      </c>
      <c r="C504" s="1" t="s">
        <v>130</v>
      </c>
      <c r="D504">
        <v>5272</v>
      </c>
      <c r="E504" s="1"/>
      <c r="F504" s="1" t="s">
        <v>270</v>
      </c>
      <c r="G504">
        <v>2008</v>
      </c>
      <c r="H504">
        <v>411.25</v>
      </c>
      <c r="I504">
        <v>12</v>
      </c>
      <c r="J504" s="1" t="s">
        <v>413</v>
      </c>
      <c r="K504">
        <v>0</v>
      </c>
      <c r="L504">
        <v>541</v>
      </c>
      <c r="M504">
        <v>0.76002499999999995</v>
      </c>
      <c r="N504">
        <v>3</v>
      </c>
      <c r="O504" s="1" t="s">
        <v>560</v>
      </c>
      <c r="P504">
        <v>411.25</v>
      </c>
      <c r="Q504">
        <v>328.97</v>
      </c>
      <c r="R504">
        <v>0</v>
      </c>
      <c r="S504" s="1" t="s">
        <v>600</v>
      </c>
      <c r="T504" s="1"/>
      <c r="U504">
        <v>411.22800000000001</v>
      </c>
      <c r="V504">
        <v>0</v>
      </c>
      <c r="W504">
        <v>56838</v>
      </c>
    </row>
    <row r="505" spans="1:23" x14ac:dyDescent="0.25">
      <c r="A505" s="1" t="s">
        <v>27</v>
      </c>
      <c r="B505" s="1"/>
      <c r="C505" s="1" t="s">
        <v>131</v>
      </c>
      <c r="D505">
        <v>9952</v>
      </c>
      <c r="E505" s="1"/>
      <c r="F505" s="1" t="s">
        <v>271</v>
      </c>
      <c r="G505">
        <v>2015</v>
      </c>
      <c r="H505">
        <v>113.4</v>
      </c>
      <c r="I505">
        <v>5</v>
      </c>
      <c r="J505" s="1" t="s">
        <v>405</v>
      </c>
      <c r="K505">
        <v>0</v>
      </c>
      <c r="L505">
        <v>473</v>
      </c>
      <c r="M505">
        <v>0.23969499999999999</v>
      </c>
      <c r="N505">
        <v>3</v>
      </c>
      <c r="O505" s="1" t="s">
        <v>560</v>
      </c>
      <c r="P505">
        <v>113.4</v>
      </c>
      <c r="Q505">
        <v>90.72</v>
      </c>
      <c r="R505">
        <v>0</v>
      </c>
      <c r="S505" s="1" t="s">
        <v>601</v>
      </c>
      <c r="T505" s="1"/>
      <c r="U505">
        <v>113.4</v>
      </c>
      <c r="V505">
        <v>0</v>
      </c>
      <c r="W505">
        <v>76305</v>
      </c>
    </row>
    <row r="506" spans="1:23" x14ac:dyDescent="0.25">
      <c r="A506" s="1" t="s">
        <v>27</v>
      </c>
      <c r="B506" s="1"/>
      <c r="C506" s="1" t="s">
        <v>131</v>
      </c>
      <c r="D506">
        <v>9952</v>
      </c>
      <c r="E506" s="1"/>
      <c r="F506" s="1" t="s">
        <v>271</v>
      </c>
      <c r="G506">
        <v>2014</v>
      </c>
      <c r="H506">
        <v>265.7</v>
      </c>
      <c r="I506">
        <v>12</v>
      </c>
      <c r="J506" s="1" t="s">
        <v>405</v>
      </c>
      <c r="K506">
        <v>0</v>
      </c>
      <c r="L506">
        <v>473</v>
      </c>
      <c r="M506">
        <v>0.56161399999999995</v>
      </c>
      <c r="N506">
        <v>3</v>
      </c>
      <c r="O506" s="1" t="s">
        <v>560</v>
      </c>
      <c r="P506">
        <v>265.7</v>
      </c>
      <c r="Q506">
        <v>212.56</v>
      </c>
      <c r="R506">
        <v>0</v>
      </c>
      <c r="S506" s="1" t="s">
        <v>601</v>
      </c>
      <c r="T506" s="1"/>
      <c r="U506">
        <v>265.7</v>
      </c>
      <c r="V506">
        <v>0</v>
      </c>
      <c r="W506">
        <v>76305</v>
      </c>
    </row>
    <row r="507" spans="1:23" x14ac:dyDescent="0.25">
      <c r="A507" s="1" t="s">
        <v>27</v>
      </c>
      <c r="B507" s="1"/>
      <c r="C507" s="1" t="s">
        <v>131</v>
      </c>
      <c r="D507">
        <v>9952</v>
      </c>
      <c r="E507" s="1"/>
      <c r="F507" s="1" t="s">
        <v>271</v>
      </c>
      <c r="G507">
        <v>2013</v>
      </c>
      <c r="H507">
        <v>269</v>
      </c>
      <c r="I507">
        <v>12</v>
      </c>
      <c r="J507" s="1" t="s">
        <v>405</v>
      </c>
      <c r="K507">
        <v>0</v>
      </c>
      <c r="L507">
        <v>473</v>
      </c>
      <c r="M507">
        <v>0.56859000000000004</v>
      </c>
      <c r="N507">
        <v>3</v>
      </c>
      <c r="O507" s="1" t="s">
        <v>560</v>
      </c>
      <c r="P507">
        <v>269</v>
      </c>
      <c r="Q507">
        <v>215.2</v>
      </c>
      <c r="R507">
        <v>0</v>
      </c>
      <c r="S507" s="1" t="s">
        <v>601</v>
      </c>
      <c r="T507" s="1"/>
      <c r="U507">
        <v>269</v>
      </c>
      <c r="V507">
        <v>0</v>
      </c>
      <c r="W507">
        <v>76305</v>
      </c>
    </row>
    <row r="508" spans="1:23" x14ac:dyDescent="0.25">
      <c r="A508" s="1" t="s">
        <v>27</v>
      </c>
      <c r="B508" s="1"/>
      <c r="C508" s="1" t="s">
        <v>131</v>
      </c>
      <c r="D508">
        <v>9952</v>
      </c>
      <c r="E508" s="1"/>
      <c r="F508" s="1" t="s">
        <v>271</v>
      </c>
      <c r="G508">
        <v>2012</v>
      </c>
      <c r="H508">
        <v>287.60000000000002</v>
      </c>
      <c r="I508">
        <v>12</v>
      </c>
      <c r="J508" s="1" t="s">
        <v>405</v>
      </c>
      <c r="K508">
        <v>0</v>
      </c>
      <c r="L508">
        <v>473</v>
      </c>
      <c r="M508">
        <v>0.60790500000000003</v>
      </c>
      <c r="N508">
        <v>3</v>
      </c>
      <c r="O508" s="1" t="s">
        <v>560</v>
      </c>
      <c r="P508">
        <v>287.60000000000002</v>
      </c>
      <c r="Q508">
        <v>230.08</v>
      </c>
      <c r="R508">
        <v>0</v>
      </c>
      <c r="S508" s="1" t="s">
        <v>601</v>
      </c>
      <c r="T508" s="1"/>
      <c r="U508">
        <v>287.60000000000002</v>
      </c>
      <c r="V508">
        <v>0</v>
      </c>
      <c r="W508">
        <v>76305</v>
      </c>
    </row>
    <row r="509" spans="1:23" x14ac:dyDescent="0.25">
      <c r="A509" s="1" t="s">
        <v>27</v>
      </c>
      <c r="B509" s="1"/>
      <c r="C509" s="1" t="s">
        <v>131</v>
      </c>
      <c r="D509">
        <v>9952</v>
      </c>
      <c r="E509" s="1"/>
      <c r="F509" s="1" t="s">
        <v>271</v>
      </c>
      <c r="G509">
        <v>2011</v>
      </c>
      <c r="H509">
        <v>304.10000000000002</v>
      </c>
      <c r="I509">
        <v>12</v>
      </c>
      <c r="J509" s="1" t="s">
        <v>405</v>
      </c>
      <c r="K509">
        <v>0</v>
      </c>
      <c r="L509">
        <v>473</v>
      </c>
      <c r="M509">
        <v>0.64278100000000005</v>
      </c>
      <c r="N509">
        <v>3</v>
      </c>
      <c r="O509" s="1" t="s">
        <v>560</v>
      </c>
      <c r="P509">
        <v>304.10000000000002</v>
      </c>
      <c r="Q509">
        <v>243.28</v>
      </c>
      <c r="R509">
        <v>0</v>
      </c>
      <c r="S509" s="1" t="s">
        <v>601</v>
      </c>
      <c r="T509" s="1"/>
      <c r="U509">
        <v>304.10000000000002</v>
      </c>
      <c r="V509">
        <v>0</v>
      </c>
      <c r="W509">
        <v>76305</v>
      </c>
    </row>
    <row r="510" spans="1:23" x14ac:dyDescent="0.25">
      <c r="A510" s="1" t="s">
        <v>27</v>
      </c>
      <c r="B510" s="1"/>
      <c r="C510" s="1" t="s">
        <v>131</v>
      </c>
      <c r="D510">
        <v>9952</v>
      </c>
      <c r="E510" s="1"/>
      <c r="F510" s="1" t="s">
        <v>271</v>
      </c>
      <c r="G510">
        <v>2010</v>
      </c>
      <c r="H510">
        <v>372</v>
      </c>
      <c r="I510">
        <v>7</v>
      </c>
      <c r="J510" s="1" t="s">
        <v>405</v>
      </c>
      <c r="K510">
        <v>0</v>
      </c>
      <c r="L510">
        <v>473</v>
      </c>
      <c r="M510">
        <v>0.78630299999999997</v>
      </c>
      <c r="N510">
        <v>3</v>
      </c>
      <c r="O510" s="1" t="s">
        <v>560</v>
      </c>
      <c r="P510">
        <v>372</v>
      </c>
      <c r="Q510">
        <v>297.58999999999997</v>
      </c>
      <c r="R510">
        <v>0</v>
      </c>
      <c r="S510" s="1" t="s">
        <v>601</v>
      </c>
      <c r="T510" s="1"/>
      <c r="U510">
        <v>372.00000999999997</v>
      </c>
      <c r="V510">
        <v>0</v>
      </c>
      <c r="W510">
        <v>76305</v>
      </c>
    </row>
    <row r="511" spans="1:23" x14ac:dyDescent="0.25">
      <c r="A511" s="1" t="s">
        <v>27</v>
      </c>
      <c r="B511" s="1"/>
      <c r="C511" s="1" t="s">
        <v>131</v>
      </c>
      <c r="D511">
        <v>9952</v>
      </c>
      <c r="E511" s="1"/>
      <c r="F511" s="1" t="s">
        <v>271</v>
      </c>
      <c r="G511">
        <v>2009</v>
      </c>
      <c r="H511">
        <v>288.06</v>
      </c>
      <c r="I511">
        <v>8</v>
      </c>
      <c r="J511" s="1" t="s">
        <v>405</v>
      </c>
      <c r="K511">
        <v>0</v>
      </c>
      <c r="L511">
        <v>473</v>
      </c>
      <c r="M511">
        <v>0.608877</v>
      </c>
      <c r="N511">
        <v>3</v>
      </c>
      <c r="O511" s="1" t="s">
        <v>560</v>
      </c>
      <c r="P511">
        <v>288.06</v>
      </c>
      <c r="Q511">
        <v>230.43</v>
      </c>
      <c r="R511">
        <v>0</v>
      </c>
      <c r="S511" s="1" t="s">
        <v>601</v>
      </c>
      <c r="T511" s="1"/>
      <c r="U511">
        <v>288.05441999999999</v>
      </c>
      <c r="V511">
        <v>0</v>
      </c>
      <c r="W511">
        <v>76305</v>
      </c>
    </row>
    <row r="512" spans="1:23" x14ac:dyDescent="0.25">
      <c r="A512" s="1" t="s">
        <v>27</v>
      </c>
      <c r="B512" s="1"/>
      <c r="C512" s="1" t="s">
        <v>131</v>
      </c>
      <c r="D512">
        <v>9952</v>
      </c>
      <c r="E512" s="1"/>
      <c r="F512" s="1" t="s">
        <v>271</v>
      </c>
      <c r="G512">
        <v>2008</v>
      </c>
      <c r="H512">
        <v>311.19</v>
      </c>
      <c r="I512">
        <v>3</v>
      </c>
      <c r="J512" s="1" t="s">
        <v>405</v>
      </c>
      <c r="K512">
        <v>0</v>
      </c>
      <c r="L512">
        <v>473</v>
      </c>
      <c r="M512">
        <v>0.65776699999999999</v>
      </c>
      <c r="N512">
        <v>3</v>
      </c>
      <c r="O512" s="1" t="s">
        <v>560</v>
      </c>
      <c r="P512">
        <v>311.19</v>
      </c>
      <c r="Q512">
        <v>248.94</v>
      </c>
      <c r="R512">
        <v>0</v>
      </c>
      <c r="S512" s="1" t="s">
        <v>601</v>
      </c>
      <c r="T512" s="1"/>
      <c r="U512">
        <v>311.15983999999997</v>
      </c>
      <c r="V512">
        <v>0</v>
      </c>
      <c r="W512">
        <v>76305</v>
      </c>
    </row>
    <row r="513" spans="1:23" x14ac:dyDescent="0.25">
      <c r="A513" s="1" t="s">
        <v>27</v>
      </c>
      <c r="B513" s="1" t="s">
        <v>59</v>
      </c>
      <c r="C513" s="1" t="s">
        <v>132</v>
      </c>
      <c r="D513">
        <v>5277</v>
      </c>
      <c r="E513" s="1"/>
      <c r="F513" s="1" t="s">
        <v>272</v>
      </c>
      <c r="G513">
        <v>2015</v>
      </c>
      <c r="H513">
        <v>180.17</v>
      </c>
      <c r="I513">
        <v>5</v>
      </c>
      <c r="J513" s="1" t="s">
        <v>404</v>
      </c>
      <c r="K513">
        <v>0</v>
      </c>
      <c r="L513">
        <v>585</v>
      </c>
      <c r="M513">
        <v>0.30792999999999998</v>
      </c>
      <c r="N513">
        <v>3</v>
      </c>
      <c r="O513" s="1" t="s">
        <v>560</v>
      </c>
      <c r="P513">
        <v>180.17</v>
      </c>
      <c r="Q513">
        <v>144.13999999999999</v>
      </c>
      <c r="R513">
        <v>0</v>
      </c>
      <c r="S513" s="1" t="s">
        <v>602</v>
      </c>
      <c r="T513" s="1"/>
      <c r="U513">
        <v>180.166</v>
      </c>
      <c r="V513">
        <v>0</v>
      </c>
      <c r="W513">
        <v>56869</v>
      </c>
    </row>
    <row r="514" spans="1:23" x14ac:dyDescent="0.25">
      <c r="A514" s="1" t="s">
        <v>27</v>
      </c>
      <c r="B514" s="1" t="s">
        <v>59</v>
      </c>
      <c r="C514" s="1" t="s">
        <v>132</v>
      </c>
      <c r="D514">
        <v>5277</v>
      </c>
      <c r="E514" s="1"/>
      <c r="F514" s="1" t="s">
        <v>272</v>
      </c>
      <c r="G514">
        <v>2014</v>
      </c>
      <c r="H514">
        <v>419.53</v>
      </c>
      <c r="I514">
        <v>12</v>
      </c>
      <c r="J514" s="1" t="s">
        <v>404</v>
      </c>
      <c r="K514">
        <v>0</v>
      </c>
      <c r="L514">
        <v>585</v>
      </c>
      <c r="M514">
        <v>0.71702200000000005</v>
      </c>
      <c r="N514">
        <v>3</v>
      </c>
      <c r="O514" s="1" t="s">
        <v>560</v>
      </c>
      <c r="P514">
        <v>419.53</v>
      </c>
      <c r="Q514">
        <v>335.59</v>
      </c>
      <c r="R514">
        <v>0</v>
      </c>
      <c r="S514" s="1" t="s">
        <v>602</v>
      </c>
      <c r="T514" s="1"/>
      <c r="U514">
        <v>419.51</v>
      </c>
      <c r="V514">
        <v>0</v>
      </c>
      <c r="W514">
        <v>56869</v>
      </c>
    </row>
    <row r="515" spans="1:23" x14ac:dyDescent="0.25">
      <c r="A515" s="1" t="s">
        <v>27</v>
      </c>
      <c r="B515" s="1" t="s">
        <v>59</v>
      </c>
      <c r="C515" s="1" t="s">
        <v>132</v>
      </c>
      <c r="D515">
        <v>5277</v>
      </c>
      <c r="E515" s="1"/>
      <c r="F515" s="1" t="s">
        <v>272</v>
      </c>
      <c r="G515">
        <v>2013</v>
      </c>
      <c r="H515">
        <v>516.65</v>
      </c>
      <c r="I515">
        <v>12</v>
      </c>
      <c r="J515" s="1" t="s">
        <v>404</v>
      </c>
      <c r="K515">
        <v>0</v>
      </c>
      <c r="L515">
        <v>585</v>
      </c>
      <c r="M515">
        <v>0.88301099999999999</v>
      </c>
      <c r="N515">
        <v>3</v>
      </c>
      <c r="O515" s="1" t="s">
        <v>560</v>
      </c>
      <c r="P515">
        <v>516.65</v>
      </c>
      <c r="Q515">
        <v>413.32</v>
      </c>
      <c r="R515">
        <v>0</v>
      </c>
      <c r="S515" s="1" t="s">
        <v>602</v>
      </c>
      <c r="T515" s="1"/>
      <c r="U515">
        <v>516.66300000000001</v>
      </c>
      <c r="V515">
        <v>0</v>
      </c>
      <c r="W515">
        <v>56869</v>
      </c>
    </row>
    <row r="516" spans="1:23" x14ac:dyDescent="0.25">
      <c r="A516" s="1" t="s">
        <v>27</v>
      </c>
      <c r="B516" s="1" t="s">
        <v>59</v>
      </c>
      <c r="C516" s="1" t="s">
        <v>132</v>
      </c>
      <c r="D516">
        <v>5277</v>
      </c>
      <c r="E516" s="1"/>
      <c r="F516" s="1" t="s">
        <v>272</v>
      </c>
      <c r="G516">
        <v>2012</v>
      </c>
      <c r="H516">
        <v>258.8</v>
      </c>
      <c r="I516">
        <v>12</v>
      </c>
      <c r="J516" s="1" t="s">
        <v>404</v>
      </c>
      <c r="K516">
        <v>0</v>
      </c>
      <c r="L516">
        <v>585</v>
      </c>
      <c r="M516">
        <v>0.44231700000000002</v>
      </c>
      <c r="N516">
        <v>3</v>
      </c>
      <c r="O516" s="1" t="s">
        <v>560</v>
      </c>
      <c r="P516">
        <v>258.8</v>
      </c>
      <c r="Q516">
        <v>207.04</v>
      </c>
      <c r="R516">
        <v>0</v>
      </c>
      <c r="S516" s="1" t="s">
        <v>602</v>
      </c>
      <c r="T516" s="1"/>
      <c r="U516">
        <v>258.80700000000002</v>
      </c>
      <c r="V516">
        <v>0</v>
      </c>
      <c r="W516">
        <v>56869</v>
      </c>
    </row>
    <row r="517" spans="1:23" x14ac:dyDescent="0.25">
      <c r="A517" s="1" t="s">
        <v>27</v>
      </c>
      <c r="B517" s="1" t="s">
        <v>59</v>
      </c>
      <c r="C517" s="1" t="s">
        <v>132</v>
      </c>
      <c r="D517">
        <v>5277</v>
      </c>
      <c r="E517" s="1"/>
      <c r="F517" s="1" t="s">
        <v>272</v>
      </c>
      <c r="G517">
        <v>2011</v>
      </c>
      <c r="H517">
        <v>300.38</v>
      </c>
      <c r="I517">
        <v>12</v>
      </c>
      <c r="J517" s="1" t="s">
        <v>404</v>
      </c>
      <c r="K517">
        <v>0</v>
      </c>
      <c r="L517">
        <v>585</v>
      </c>
      <c r="M517">
        <v>0.51338200000000001</v>
      </c>
      <c r="N517">
        <v>3</v>
      </c>
      <c r="O517" s="1" t="s">
        <v>560</v>
      </c>
      <c r="P517">
        <v>300.38</v>
      </c>
      <c r="Q517">
        <v>240.31</v>
      </c>
      <c r="R517">
        <v>0</v>
      </c>
      <c r="S517" s="1" t="s">
        <v>602</v>
      </c>
      <c r="T517" s="1"/>
      <c r="U517">
        <v>300.38499000000002</v>
      </c>
      <c r="V517">
        <v>0</v>
      </c>
      <c r="W517">
        <v>56869</v>
      </c>
    </row>
    <row r="518" spans="1:23" x14ac:dyDescent="0.25">
      <c r="A518" s="1" t="s">
        <v>27</v>
      </c>
      <c r="B518" s="1" t="s">
        <v>59</v>
      </c>
      <c r="C518" s="1" t="s">
        <v>132</v>
      </c>
      <c r="D518">
        <v>5277</v>
      </c>
      <c r="E518" s="1"/>
      <c r="F518" s="1" t="s">
        <v>272</v>
      </c>
      <c r="G518">
        <v>2010</v>
      </c>
      <c r="H518">
        <v>326.88</v>
      </c>
      <c r="I518">
        <v>12</v>
      </c>
      <c r="J518" s="1" t="s">
        <v>404</v>
      </c>
      <c r="K518">
        <v>0</v>
      </c>
      <c r="L518">
        <v>585</v>
      </c>
      <c r="M518">
        <v>0.55867299999999998</v>
      </c>
      <c r="N518">
        <v>3</v>
      </c>
      <c r="O518" s="1" t="s">
        <v>560</v>
      </c>
      <c r="P518">
        <v>326.88</v>
      </c>
      <c r="Q518">
        <v>261.48</v>
      </c>
      <c r="R518">
        <v>0</v>
      </c>
      <c r="S518" s="1" t="s">
        <v>602</v>
      </c>
      <c r="T518" s="1"/>
      <c r="U518">
        <v>326.85500000000002</v>
      </c>
      <c r="V518">
        <v>0</v>
      </c>
      <c r="W518">
        <v>56869</v>
      </c>
    </row>
    <row r="519" spans="1:23" x14ac:dyDescent="0.25">
      <c r="A519" s="1" t="s">
        <v>27</v>
      </c>
      <c r="B519" s="1" t="s">
        <v>59</v>
      </c>
      <c r="C519" s="1" t="s">
        <v>132</v>
      </c>
      <c r="D519">
        <v>5277</v>
      </c>
      <c r="E519" s="1"/>
      <c r="F519" s="1" t="s">
        <v>272</v>
      </c>
      <c r="G519">
        <v>2009</v>
      </c>
      <c r="H519">
        <v>286.17</v>
      </c>
      <c r="I519">
        <v>12</v>
      </c>
      <c r="J519" s="1" t="s">
        <v>404</v>
      </c>
      <c r="K519">
        <v>0</v>
      </c>
      <c r="L519">
        <v>585</v>
      </c>
      <c r="M519">
        <v>0.489095</v>
      </c>
      <c r="N519">
        <v>3</v>
      </c>
      <c r="O519" s="1" t="s">
        <v>560</v>
      </c>
      <c r="P519">
        <v>286.17</v>
      </c>
      <c r="Q519">
        <v>228.93</v>
      </c>
      <c r="R519">
        <v>0</v>
      </c>
      <c r="S519" s="1" t="s">
        <v>602</v>
      </c>
      <c r="T519" s="1"/>
      <c r="U519">
        <v>286.17399999999998</v>
      </c>
      <c r="V519">
        <v>0</v>
      </c>
      <c r="W519">
        <v>56869</v>
      </c>
    </row>
    <row r="520" spans="1:23" x14ac:dyDescent="0.25">
      <c r="A520" s="1" t="s">
        <v>27</v>
      </c>
      <c r="B520" s="1" t="s">
        <v>59</v>
      </c>
      <c r="C520" s="1" t="s">
        <v>132</v>
      </c>
      <c r="D520">
        <v>5277</v>
      </c>
      <c r="E520" s="1"/>
      <c r="F520" s="1" t="s">
        <v>272</v>
      </c>
      <c r="G520">
        <v>2008</v>
      </c>
      <c r="H520">
        <v>254.09</v>
      </c>
      <c r="I520">
        <v>12</v>
      </c>
      <c r="J520" s="1" t="s">
        <v>404</v>
      </c>
      <c r="K520">
        <v>0</v>
      </c>
      <c r="L520">
        <v>585</v>
      </c>
      <c r="M520">
        <v>0.43426700000000001</v>
      </c>
      <c r="N520">
        <v>3</v>
      </c>
      <c r="O520" s="1" t="s">
        <v>560</v>
      </c>
      <c r="P520">
        <v>254.09</v>
      </c>
      <c r="Q520">
        <v>203.26</v>
      </c>
      <c r="R520">
        <v>0</v>
      </c>
      <c r="S520" s="1" t="s">
        <v>602</v>
      </c>
      <c r="T520" s="1"/>
      <c r="U520">
        <v>254.083</v>
      </c>
      <c r="V520">
        <v>0</v>
      </c>
      <c r="W520">
        <v>56869</v>
      </c>
    </row>
    <row r="521" spans="1:23" x14ac:dyDescent="0.25">
      <c r="A521" s="1" t="s">
        <v>27</v>
      </c>
      <c r="B521" s="1" t="s">
        <v>60</v>
      </c>
      <c r="C521" s="1" t="s">
        <v>133</v>
      </c>
      <c r="D521">
        <v>5274</v>
      </c>
      <c r="E521" s="1"/>
      <c r="F521" s="1" t="s">
        <v>273</v>
      </c>
      <c r="G521">
        <v>2015</v>
      </c>
      <c r="H521">
        <v>108.24</v>
      </c>
      <c r="I521">
        <v>5</v>
      </c>
      <c r="J521" s="1" t="s">
        <v>402</v>
      </c>
      <c r="K521">
        <v>0</v>
      </c>
      <c r="L521">
        <v>586</v>
      </c>
      <c r="M521">
        <v>0.18467800000000001</v>
      </c>
      <c r="N521">
        <v>3</v>
      </c>
      <c r="O521" s="1" t="s">
        <v>560</v>
      </c>
      <c r="P521">
        <v>108.24</v>
      </c>
      <c r="Q521">
        <v>86.6</v>
      </c>
      <c r="R521">
        <v>0</v>
      </c>
      <c r="S521" s="1" t="s">
        <v>603</v>
      </c>
      <c r="T521" s="1"/>
      <c r="U521">
        <v>108.24</v>
      </c>
      <c r="V521">
        <v>0</v>
      </c>
      <c r="W521">
        <v>56851</v>
      </c>
    </row>
    <row r="522" spans="1:23" x14ac:dyDescent="0.25">
      <c r="A522" s="1" t="s">
        <v>27</v>
      </c>
      <c r="B522" s="1" t="s">
        <v>60</v>
      </c>
      <c r="C522" s="1" t="s">
        <v>133</v>
      </c>
      <c r="D522">
        <v>5274</v>
      </c>
      <c r="E522" s="1"/>
      <c r="F522" s="1" t="s">
        <v>273</v>
      </c>
      <c r="G522">
        <v>2014</v>
      </c>
      <c r="H522">
        <v>285.95999999999998</v>
      </c>
      <c r="I522">
        <v>12</v>
      </c>
      <c r="J522" s="1" t="s">
        <v>402</v>
      </c>
      <c r="K522">
        <v>0</v>
      </c>
      <c r="L522">
        <v>586</v>
      </c>
      <c r="M522">
        <v>0.48790299999999998</v>
      </c>
      <c r="N522">
        <v>3</v>
      </c>
      <c r="O522" s="1" t="s">
        <v>560</v>
      </c>
      <c r="P522">
        <v>285.95999999999998</v>
      </c>
      <c r="Q522">
        <v>228.78</v>
      </c>
      <c r="R522">
        <v>0</v>
      </c>
      <c r="S522" s="1" t="s">
        <v>603</v>
      </c>
      <c r="T522" s="1"/>
      <c r="U522">
        <v>285.96100000000001</v>
      </c>
      <c r="V522">
        <v>0</v>
      </c>
      <c r="W522">
        <v>56851</v>
      </c>
    </row>
    <row r="523" spans="1:23" x14ac:dyDescent="0.25">
      <c r="A523" s="1" t="s">
        <v>27</v>
      </c>
      <c r="B523" s="1" t="s">
        <v>60</v>
      </c>
      <c r="C523" s="1" t="s">
        <v>133</v>
      </c>
      <c r="D523">
        <v>5274</v>
      </c>
      <c r="E523" s="1"/>
      <c r="F523" s="1" t="s">
        <v>273</v>
      </c>
      <c r="G523">
        <v>2013</v>
      </c>
      <c r="H523">
        <v>248.67</v>
      </c>
      <c r="I523">
        <v>12</v>
      </c>
      <c r="J523" s="1" t="s">
        <v>402</v>
      </c>
      <c r="K523">
        <v>0</v>
      </c>
      <c r="L523">
        <v>586</v>
      </c>
      <c r="M523">
        <v>0.42427900000000002</v>
      </c>
      <c r="N523">
        <v>3</v>
      </c>
      <c r="O523" s="1" t="s">
        <v>560</v>
      </c>
      <c r="P523">
        <v>248.67</v>
      </c>
      <c r="Q523">
        <v>198.95</v>
      </c>
      <c r="R523">
        <v>0</v>
      </c>
      <c r="S523" s="1" t="s">
        <v>603</v>
      </c>
      <c r="T523" s="1"/>
      <c r="U523">
        <v>248.68100000000001</v>
      </c>
      <c r="V523">
        <v>0</v>
      </c>
      <c r="W523">
        <v>56851</v>
      </c>
    </row>
    <row r="524" spans="1:23" x14ac:dyDescent="0.25">
      <c r="A524" s="1" t="s">
        <v>27</v>
      </c>
      <c r="B524" s="1" t="s">
        <v>60</v>
      </c>
      <c r="C524" s="1" t="s">
        <v>133</v>
      </c>
      <c r="D524">
        <v>5274</v>
      </c>
      <c r="E524" s="1"/>
      <c r="F524" s="1" t="s">
        <v>273</v>
      </c>
      <c r="G524">
        <v>2012</v>
      </c>
      <c r="H524">
        <v>222.03</v>
      </c>
      <c r="I524">
        <v>12</v>
      </c>
      <c r="J524" s="1" t="s">
        <v>402</v>
      </c>
      <c r="K524">
        <v>0</v>
      </c>
      <c r="L524">
        <v>586</v>
      </c>
      <c r="M524">
        <v>0.378826</v>
      </c>
      <c r="N524">
        <v>3</v>
      </c>
      <c r="O524" s="1" t="s">
        <v>560</v>
      </c>
      <c r="P524">
        <v>222.03</v>
      </c>
      <c r="Q524">
        <v>177.6</v>
      </c>
      <c r="R524">
        <v>0</v>
      </c>
      <c r="S524" s="1" t="s">
        <v>603</v>
      </c>
      <c r="T524" s="1"/>
      <c r="U524">
        <v>222.01</v>
      </c>
      <c r="V524">
        <v>0</v>
      </c>
      <c r="W524">
        <v>56851</v>
      </c>
    </row>
    <row r="525" spans="1:23" x14ac:dyDescent="0.25">
      <c r="A525" s="1" t="s">
        <v>27</v>
      </c>
      <c r="B525" s="1" t="s">
        <v>60</v>
      </c>
      <c r="C525" s="1" t="s">
        <v>133</v>
      </c>
      <c r="D525">
        <v>5274</v>
      </c>
      <c r="E525" s="1"/>
      <c r="F525" s="1" t="s">
        <v>273</v>
      </c>
      <c r="G525">
        <v>2011</v>
      </c>
      <c r="H525">
        <v>229.52</v>
      </c>
      <c r="I525">
        <v>12</v>
      </c>
      <c r="J525" s="1" t="s">
        <v>402</v>
      </c>
      <c r="K525">
        <v>0</v>
      </c>
      <c r="L525">
        <v>586</v>
      </c>
      <c r="M525">
        <v>0.39160499999999998</v>
      </c>
      <c r="N525">
        <v>3</v>
      </c>
      <c r="O525" s="1" t="s">
        <v>560</v>
      </c>
      <c r="P525">
        <v>229.52</v>
      </c>
      <c r="Q525">
        <v>183.6</v>
      </c>
      <c r="R525">
        <v>0</v>
      </c>
      <c r="S525" s="1" t="s">
        <v>603</v>
      </c>
      <c r="T525" s="1"/>
      <c r="U525">
        <v>229.512</v>
      </c>
      <c r="V525">
        <v>0</v>
      </c>
      <c r="W525">
        <v>56851</v>
      </c>
    </row>
    <row r="526" spans="1:23" x14ac:dyDescent="0.25">
      <c r="A526" s="1" t="s">
        <v>27</v>
      </c>
      <c r="B526" s="1" t="s">
        <v>60</v>
      </c>
      <c r="C526" s="1" t="s">
        <v>133</v>
      </c>
      <c r="D526">
        <v>5274</v>
      </c>
      <c r="E526" s="1"/>
      <c r="F526" s="1" t="s">
        <v>273</v>
      </c>
      <c r="G526">
        <v>2010</v>
      </c>
      <c r="H526">
        <v>307.51</v>
      </c>
      <c r="I526">
        <v>12</v>
      </c>
      <c r="J526" s="1" t="s">
        <v>402</v>
      </c>
      <c r="K526">
        <v>0</v>
      </c>
      <c r="L526">
        <v>586</v>
      </c>
      <c r="M526">
        <v>0.524671</v>
      </c>
      <c r="N526">
        <v>3</v>
      </c>
      <c r="O526" s="1" t="s">
        <v>560</v>
      </c>
      <c r="P526">
        <v>307.51</v>
      </c>
      <c r="Q526">
        <v>246</v>
      </c>
      <c r="R526">
        <v>0</v>
      </c>
      <c r="S526" s="1" t="s">
        <v>603</v>
      </c>
      <c r="T526" s="1"/>
      <c r="U526">
        <v>307.50099999999998</v>
      </c>
      <c r="V526">
        <v>0</v>
      </c>
      <c r="W526">
        <v>56851</v>
      </c>
    </row>
    <row r="527" spans="1:23" x14ac:dyDescent="0.25">
      <c r="A527" s="1" t="s">
        <v>27</v>
      </c>
      <c r="B527" s="1" t="s">
        <v>60</v>
      </c>
      <c r="C527" s="1" t="s">
        <v>133</v>
      </c>
      <c r="D527">
        <v>5274</v>
      </c>
      <c r="E527" s="1"/>
      <c r="F527" s="1" t="s">
        <v>273</v>
      </c>
      <c r="G527">
        <v>2009</v>
      </c>
      <c r="H527">
        <v>331.1</v>
      </c>
      <c r="I527">
        <v>12</v>
      </c>
      <c r="J527" s="1" t="s">
        <v>402</v>
      </c>
      <c r="K527">
        <v>0</v>
      </c>
      <c r="L527">
        <v>586</v>
      </c>
      <c r="M527">
        <v>0.56491999999999998</v>
      </c>
      <c r="N527">
        <v>3</v>
      </c>
      <c r="O527" s="1" t="s">
        <v>560</v>
      </c>
      <c r="P527">
        <v>331.1</v>
      </c>
      <c r="Q527">
        <v>264.86</v>
      </c>
      <c r="R527">
        <v>0</v>
      </c>
      <c r="S527" s="1" t="s">
        <v>603</v>
      </c>
      <c r="T527" s="1"/>
      <c r="U527">
        <v>331.10500000000002</v>
      </c>
      <c r="V527">
        <v>0</v>
      </c>
      <c r="W527">
        <v>56851</v>
      </c>
    </row>
    <row r="528" spans="1:23" x14ac:dyDescent="0.25">
      <c r="A528" s="1" t="s">
        <v>27</v>
      </c>
      <c r="B528" s="1" t="s">
        <v>60</v>
      </c>
      <c r="C528" s="1" t="s">
        <v>133</v>
      </c>
      <c r="D528">
        <v>5274</v>
      </c>
      <c r="E528" s="1"/>
      <c r="F528" s="1" t="s">
        <v>273</v>
      </c>
      <c r="G528">
        <v>2008</v>
      </c>
      <c r="H528">
        <v>307.38</v>
      </c>
      <c r="I528">
        <v>12</v>
      </c>
      <c r="J528" s="1" t="s">
        <v>402</v>
      </c>
      <c r="K528">
        <v>0</v>
      </c>
      <c r="L528">
        <v>586</v>
      </c>
      <c r="M528">
        <v>0.52444900000000005</v>
      </c>
      <c r="N528">
        <v>3</v>
      </c>
      <c r="O528" s="1" t="s">
        <v>560</v>
      </c>
      <c r="P528">
        <v>307.38</v>
      </c>
      <c r="Q528">
        <v>245.91</v>
      </c>
      <c r="R528">
        <v>0</v>
      </c>
      <c r="S528" s="1" t="s">
        <v>603</v>
      </c>
      <c r="T528" s="1"/>
      <c r="U528">
        <v>307.37799999999999</v>
      </c>
      <c r="V528">
        <v>0</v>
      </c>
      <c r="W528">
        <v>56851</v>
      </c>
    </row>
    <row r="529" spans="1:23" x14ac:dyDescent="0.25">
      <c r="A529" s="1" t="s">
        <v>27</v>
      </c>
      <c r="B529" s="1" t="s">
        <v>61</v>
      </c>
      <c r="C529" s="1" t="s">
        <v>134</v>
      </c>
      <c r="D529">
        <v>5247</v>
      </c>
      <c r="E529" s="1"/>
      <c r="F529" s="1" t="s">
        <v>274</v>
      </c>
      <c r="G529">
        <v>2015</v>
      </c>
      <c r="H529">
        <v>108.53</v>
      </c>
      <c r="I529">
        <v>5</v>
      </c>
      <c r="J529" s="1" t="s">
        <v>404</v>
      </c>
      <c r="K529">
        <v>0</v>
      </c>
      <c r="L529">
        <v>284</v>
      </c>
      <c r="M529">
        <v>0.38201299999999999</v>
      </c>
      <c r="N529">
        <v>3</v>
      </c>
      <c r="O529" s="1" t="s">
        <v>560</v>
      </c>
      <c r="P529">
        <v>108.53</v>
      </c>
      <c r="Q529">
        <v>86.84</v>
      </c>
      <c r="R529">
        <v>0</v>
      </c>
      <c r="S529" s="1" t="s">
        <v>604</v>
      </c>
      <c r="T529" s="1"/>
      <c r="U529">
        <v>108.53700000000001</v>
      </c>
      <c r="V529">
        <v>0</v>
      </c>
      <c r="W529">
        <v>56638</v>
      </c>
    </row>
    <row r="530" spans="1:23" x14ac:dyDescent="0.25">
      <c r="A530" s="1" t="s">
        <v>27</v>
      </c>
      <c r="B530" s="1" t="s">
        <v>61</v>
      </c>
      <c r="C530" s="1" t="s">
        <v>134</v>
      </c>
      <c r="D530">
        <v>5247</v>
      </c>
      <c r="E530" s="1"/>
      <c r="F530" s="1" t="s">
        <v>274</v>
      </c>
      <c r="G530">
        <v>2014</v>
      </c>
      <c r="H530">
        <v>208.99</v>
      </c>
      <c r="I530">
        <v>12</v>
      </c>
      <c r="J530" s="1" t="s">
        <v>404</v>
      </c>
      <c r="K530">
        <v>0</v>
      </c>
      <c r="L530">
        <v>284</v>
      </c>
      <c r="M530">
        <v>0.73562099999999997</v>
      </c>
      <c r="N530">
        <v>3</v>
      </c>
      <c r="O530" s="1" t="s">
        <v>560</v>
      </c>
      <c r="P530">
        <v>208.99</v>
      </c>
      <c r="Q530">
        <v>167.19</v>
      </c>
      <c r="R530">
        <v>0</v>
      </c>
      <c r="S530" s="1" t="s">
        <v>604</v>
      </c>
      <c r="T530" s="1"/>
      <c r="U530">
        <v>208.99100000000001</v>
      </c>
      <c r="V530">
        <v>0</v>
      </c>
      <c r="W530">
        <v>56638</v>
      </c>
    </row>
    <row r="531" spans="1:23" x14ac:dyDescent="0.25">
      <c r="A531" s="1" t="s">
        <v>27</v>
      </c>
      <c r="B531" s="1" t="s">
        <v>61</v>
      </c>
      <c r="C531" s="1" t="s">
        <v>134</v>
      </c>
      <c r="D531">
        <v>5247</v>
      </c>
      <c r="E531" s="1"/>
      <c r="F531" s="1" t="s">
        <v>274</v>
      </c>
      <c r="G531">
        <v>2013</v>
      </c>
      <c r="H531">
        <v>193.47</v>
      </c>
      <c r="I531">
        <v>12</v>
      </c>
      <c r="J531" s="1" t="s">
        <v>404</v>
      </c>
      <c r="K531">
        <v>0</v>
      </c>
      <c r="L531">
        <v>284</v>
      </c>
      <c r="M531">
        <v>0.68099200000000004</v>
      </c>
      <c r="N531">
        <v>3</v>
      </c>
      <c r="O531" s="1" t="s">
        <v>560</v>
      </c>
      <c r="P531">
        <v>193.47</v>
      </c>
      <c r="Q531">
        <v>154.77000000000001</v>
      </c>
      <c r="R531">
        <v>0</v>
      </c>
      <c r="S531" s="1" t="s">
        <v>604</v>
      </c>
      <c r="T531" s="1"/>
      <c r="U531">
        <v>193.477</v>
      </c>
      <c r="V531">
        <v>0</v>
      </c>
      <c r="W531">
        <v>56638</v>
      </c>
    </row>
    <row r="532" spans="1:23" x14ac:dyDescent="0.25">
      <c r="A532" s="1" t="s">
        <v>27</v>
      </c>
      <c r="B532" s="1" t="s">
        <v>61</v>
      </c>
      <c r="C532" s="1" t="s">
        <v>134</v>
      </c>
      <c r="D532">
        <v>5247</v>
      </c>
      <c r="E532" s="1"/>
      <c r="F532" s="1" t="s">
        <v>274</v>
      </c>
      <c r="G532">
        <v>2012</v>
      </c>
      <c r="H532">
        <v>162.84</v>
      </c>
      <c r="I532">
        <v>12</v>
      </c>
      <c r="J532" s="1" t="s">
        <v>404</v>
      </c>
      <c r="K532">
        <v>0</v>
      </c>
      <c r="L532">
        <v>284</v>
      </c>
      <c r="M532">
        <v>0.57317799999999997</v>
      </c>
      <c r="N532">
        <v>3</v>
      </c>
      <c r="O532" s="1" t="s">
        <v>560</v>
      </c>
      <c r="P532">
        <v>162.84</v>
      </c>
      <c r="Q532">
        <v>130.28</v>
      </c>
      <c r="R532">
        <v>0</v>
      </c>
      <c r="S532" s="1" t="s">
        <v>604</v>
      </c>
      <c r="T532" s="1"/>
      <c r="U532">
        <v>162.83199999999999</v>
      </c>
      <c r="V532">
        <v>0</v>
      </c>
      <c r="W532">
        <v>56638</v>
      </c>
    </row>
    <row r="533" spans="1:23" x14ac:dyDescent="0.25">
      <c r="A533" s="1" t="s">
        <v>27</v>
      </c>
      <c r="B533" s="1" t="s">
        <v>61</v>
      </c>
      <c r="C533" s="1" t="s">
        <v>134</v>
      </c>
      <c r="D533">
        <v>5247</v>
      </c>
      <c r="E533" s="1"/>
      <c r="F533" s="1" t="s">
        <v>274</v>
      </c>
      <c r="G533">
        <v>2011</v>
      </c>
      <c r="H533">
        <v>188.05</v>
      </c>
      <c r="I533">
        <v>12</v>
      </c>
      <c r="J533" s="1" t="s">
        <v>404</v>
      </c>
      <c r="K533">
        <v>0</v>
      </c>
      <c r="L533">
        <v>284</v>
      </c>
      <c r="M533">
        <v>0.661914</v>
      </c>
      <c r="N533">
        <v>3</v>
      </c>
      <c r="O533" s="1" t="s">
        <v>560</v>
      </c>
      <c r="P533">
        <v>188.05</v>
      </c>
      <c r="Q533">
        <v>150.46</v>
      </c>
      <c r="R533">
        <v>0</v>
      </c>
      <c r="S533" s="1" t="s">
        <v>604</v>
      </c>
      <c r="T533" s="1"/>
      <c r="U533">
        <v>188.06</v>
      </c>
      <c r="V533">
        <v>0</v>
      </c>
      <c r="W533">
        <v>56638</v>
      </c>
    </row>
    <row r="534" spans="1:23" x14ac:dyDescent="0.25">
      <c r="A534" s="1" t="s">
        <v>27</v>
      </c>
      <c r="B534" s="1" t="s">
        <v>61</v>
      </c>
      <c r="C534" s="1" t="s">
        <v>134</v>
      </c>
      <c r="D534">
        <v>5247</v>
      </c>
      <c r="E534" s="1"/>
      <c r="F534" s="1" t="s">
        <v>274</v>
      </c>
      <c r="G534">
        <v>2010</v>
      </c>
      <c r="H534">
        <v>187.86</v>
      </c>
      <c r="I534">
        <v>12</v>
      </c>
      <c r="J534" s="1" t="s">
        <v>404</v>
      </c>
      <c r="K534">
        <v>0</v>
      </c>
      <c r="L534">
        <v>284</v>
      </c>
      <c r="M534">
        <v>0.661246</v>
      </c>
      <c r="N534">
        <v>3</v>
      </c>
      <c r="O534" s="1" t="s">
        <v>560</v>
      </c>
      <c r="P534">
        <v>187.86</v>
      </c>
      <c r="Q534">
        <v>150.27000000000001</v>
      </c>
      <c r="R534">
        <v>0</v>
      </c>
      <c r="S534" s="1" t="s">
        <v>604</v>
      </c>
      <c r="T534" s="1"/>
      <c r="U534">
        <v>187.84759</v>
      </c>
      <c r="V534">
        <v>0</v>
      </c>
      <c r="W534">
        <v>56638</v>
      </c>
    </row>
    <row r="535" spans="1:23" x14ac:dyDescent="0.25">
      <c r="A535" s="1" t="s">
        <v>27</v>
      </c>
      <c r="B535" s="1" t="s">
        <v>61</v>
      </c>
      <c r="C535" s="1" t="s">
        <v>134</v>
      </c>
      <c r="D535">
        <v>5247</v>
      </c>
      <c r="E535" s="1"/>
      <c r="F535" s="1" t="s">
        <v>274</v>
      </c>
      <c r="G535">
        <v>2009</v>
      </c>
      <c r="H535">
        <v>226.07</v>
      </c>
      <c r="I535">
        <v>12</v>
      </c>
      <c r="J535" s="1" t="s">
        <v>404</v>
      </c>
      <c r="K535">
        <v>0</v>
      </c>
      <c r="L535">
        <v>284</v>
      </c>
      <c r="M535">
        <v>0.79574</v>
      </c>
      <c r="N535">
        <v>3</v>
      </c>
      <c r="O535" s="1" t="s">
        <v>560</v>
      </c>
      <c r="P535">
        <v>226.07</v>
      </c>
      <c r="Q535">
        <v>180.85</v>
      </c>
      <c r="R535">
        <v>0</v>
      </c>
      <c r="S535" s="1" t="s">
        <v>604</v>
      </c>
      <c r="T535" s="1"/>
      <c r="U535">
        <v>226.04942</v>
      </c>
      <c r="V535">
        <v>0</v>
      </c>
      <c r="W535">
        <v>56638</v>
      </c>
    </row>
    <row r="536" spans="1:23" x14ac:dyDescent="0.25">
      <c r="A536" s="1" t="s">
        <v>27</v>
      </c>
      <c r="B536" s="1" t="s">
        <v>61</v>
      </c>
      <c r="C536" s="1" t="s">
        <v>134</v>
      </c>
      <c r="D536">
        <v>5247</v>
      </c>
      <c r="E536" s="1"/>
      <c r="F536" s="1" t="s">
        <v>274</v>
      </c>
      <c r="G536">
        <v>2008</v>
      </c>
      <c r="H536">
        <v>255.95</v>
      </c>
      <c r="I536">
        <v>12</v>
      </c>
      <c r="J536" s="1" t="s">
        <v>404</v>
      </c>
      <c r="K536">
        <v>0</v>
      </c>
      <c r="L536">
        <v>284</v>
      </c>
      <c r="M536">
        <v>0.90091500000000002</v>
      </c>
      <c r="N536">
        <v>3</v>
      </c>
      <c r="O536" s="1" t="s">
        <v>560</v>
      </c>
      <c r="P536">
        <v>255.95</v>
      </c>
      <c r="Q536">
        <v>204.75</v>
      </c>
      <c r="R536">
        <v>0</v>
      </c>
      <c r="S536" s="1" t="s">
        <v>604</v>
      </c>
      <c r="T536" s="1"/>
      <c r="U536">
        <v>255.946</v>
      </c>
      <c r="V536">
        <v>0</v>
      </c>
      <c r="W536">
        <v>56638</v>
      </c>
    </row>
    <row r="537" spans="1:23" x14ac:dyDescent="0.25">
      <c r="A537" s="1" t="s">
        <v>27</v>
      </c>
      <c r="B537" s="1"/>
      <c r="C537" s="1" t="s">
        <v>135</v>
      </c>
      <c r="D537">
        <v>10019</v>
      </c>
      <c r="E537" s="1"/>
      <c r="F537" s="1" t="s">
        <v>275</v>
      </c>
      <c r="G537">
        <v>2015</v>
      </c>
      <c r="H537">
        <v>204.9</v>
      </c>
      <c r="I537">
        <v>5</v>
      </c>
      <c r="J537" s="1" t="s">
        <v>405</v>
      </c>
      <c r="K537">
        <v>0</v>
      </c>
      <c r="L537">
        <v>598</v>
      </c>
      <c r="M537">
        <v>0.342584</v>
      </c>
      <c r="N537">
        <v>3</v>
      </c>
      <c r="O537" s="1" t="s">
        <v>560</v>
      </c>
      <c r="P537">
        <v>204.9</v>
      </c>
      <c r="Q537">
        <v>163.92</v>
      </c>
      <c r="R537">
        <v>0</v>
      </c>
      <c r="S537" s="1" t="s">
        <v>605</v>
      </c>
      <c r="T537" s="1"/>
      <c r="U537">
        <v>204.9</v>
      </c>
      <c r="V537">
        <v>0</v>
      </c>
      <c r="W537">
        <v>76532</v>
      </c>
    </row>
    <row r="538" spans="1:23" x14ac:dyDescent="0.25">
      <c r="A538" s="1" t="s">
        <v>27</v>
      </c>
      <c r="B538" s="1"/>
      <c r="C538" s="1" t="s">
        <v>135</v>
      </c>
      <c r="D538">
        <v>10019</v>
      </c>
      <c r="E538" s="1"/>
      <c r="F538" s="1" t="s">
        <v>275</v>
      </c>
      <c r="G538">
        <v>2014</v>
      </c>
      <c r="H538">
        <v>479.7</v>
      </c>
      <c r="I538">
        <v>12</v>
      </c>
      <c r="J538" s="1" t="s">
        <v>405</v>
      </c>
      <c r="K538">
        <v>0</v>
      </c>
      <c r="L538">
        <v>598</v>
      </c>
      <c r="M538">
        <v>0.80203899999999995</v>
      </c>
      <c r="N538">
        <v>3</v>
      </c>
      <c r="O538" s="1" t="s">
        <v>560</v>
      </c>
      <c r="P538">
        <v>479.7</v>
      </c>
      <c r="Q538">
        <v>383.76</v>
      </c>
      <c r="R538">
        <v>0</v>
      </c>
      <c r="S538" s="1" t="s">
        <v>605</v>
      </c>
      <c r="T538" s="1"/>
      <c r="U538">
        <v>479.70001000000002</v>
      </c>
      <c r="V538">
        <v>0</v>
      </c>
      <c r="W538">
        <v>76532</v>
      </c>
    </row>
    <row r="539" spans="1:23" x14ac:dyDescent="0.25">
      <c r="A539" s="1" t="s">
        <v>27</v>
      </c>
      <c r="B539" s="1"/>
      <c r="C539" s="1" t="s">
        <v>135</v>
      </c>
      <c r="D539">
        <v>10019</v>
      </c>
      <c r="E539" s="1"/>
      <c r="F539" s="1" t="s">
        <v>275</v>
      </c>
      <c r="G539">
        <v>2013</v>
      </c>
      <c r="H539">
        <v>545.70000000000005</v>
      </c>
      <c r="I539">
        <v>12</v>
      </c>
      <c r="J539" s="1" t="s">
        <v>405</v>
      </c>
      <c r="K539">
        <v>0</v>
      </c>
      <c r="L539">
        <v>598</v>
      </c>
      <c r="M539">
        <v>0.91238900000000001</v>
      </c>
      <c r="N539">
        <v>3</v>
      </c>
      <c r="O539" s="1" t="s">
        <v>560</v>
      </c>
      <c r="P539">
        <v>545.70000000000005</v>
      </c>
      <c r="Q539">
        <v>436.56</v>
      </c>
      <c r="R539">
        <v>0</v>
      </c>
      <c r="S539" s="1" t="s">
        <v>605</v>
      </c>
      <c r="T539" s="1"/>
      <c r="U539">
        <v>545.70000000000005</v>
      </c>
      <c r="V539">
        <v>0</v>
      </c>
      <c r="W539">
        <v>76532</v>
      </c>
    </row>
    <row r="540" spans="1:23" x14ac:dyDescent="0.25">
      <c r="A540" s="1" t="s">
        <v>27</v>
      </c>
      <c r="B540" s="1"/>
      <c r="C540" s="1" t="s">
        <v>135</v>
      </c>
      <c r="D540">
        <v>10019</v>
      </c>
      <c r="E540" s="1"/>
      <c r="F540" s="1" t="s">
        <v>275</v>
      </c>
      <c r="G540">
        <v>2012</v>
      </c>
      <c r="H540">
        <v>489.7</v>
      </c>
      <c r="I540">
        <v>12</v>
      </c>
      <c r="J540" s="1" t="s">
        <v>405</v>
      </c>
      <c r="K540">
        <v>0</v>
      </c>
      <c r="L540">
        <v>598</v>
      </c>
      <c r="M540">
        <v>0.81875900000000001</v>
      </c>
      <c r="N540">
        <v>3</v>
      </c>
      <c r="O540" s="1" t="s">
        <v>560</v>
      </c>
      <c r="P540">
        <v>489.7</v>
      </c>
      <c r="Q540">
        <v>391.76</v>
      </c>
      <c r="R540">
        <v>0</v>
      </c>
      <c r="S540" s="1" t="s">
        <v>605</v>
      </c>
      <c r="T540" s="1"/>
      <c r="U540">
        <v>489.7</v>
      </c>
      <c r="V540">
        <v>0</v>
      </c>
      <c r="W540">
        <v>76532</v>
      </c>
    </row>
    <row r="541" spans="1:23" x14ac:dyDescent="0.25">
      <c r="A541" s="1" t="s">
        <v>27</v>
      </c>
      <c r="B541" s="1"/>
      <c r="C541" s="1" t="s">
        <v>135</v>
      </c>
      <c r="D541">
        <v>10019</v>
      </c>
      <c r="E541" s="1"/>
      <c r="F541" s="1" t="s">
        <v>275</v>
      </c>
      <c r="G541">
        <v>2011</v>
      </c>
      <c r="H541">
        <v>527.20000000000005</v>
      </c>
      <c r="I541">
        <v>12</v>
      </c>
      <c r="J541" s="1" t="s">
        <v>405</v>
      </c>
      <c r="K541">
        <v>0</v>
      </c>
      <c r="L541">
        <v>598</v>
      </c>
      <c r="M541">
        <v>0.88145700000000005</v>
      </c>
      <c r="N541">
        <v>3</v>
      </c>
      <c r="O541" s="1" t="s">
        <v>560</v>
      </c>
      <c r="P541">
        <v>527.20000000000005</v>
      </c>
      <c r="Q541">
        <v>421.76</v>
      </c>
      <c r="R541">
        <v>0</v>
      </c>
      <c r="S541" s="1" t="s">
        <v>605</v>
      </c>
      <c r="T541" s="1"/>
      <c r="U541">
        <v>527.20000000000005</v>
      </c>
      <c r="V541">
        <v>0</v>
      </c>
      <c r="W541">
        <v>76532</v>
      </c>
    </row>
    <row r="542" spans="1:23" x14ac:dyDescent="0.25">
      <c r="A542" s="1" t="s">
        <v>27</v>
      </c>
      <c r="B542" s="1"/>
      <c r="C542" s="1" t="s">
        <v>135</v>
      </c>
      <c r="D542">
        <v>10019</v>
      </c>
      <c r="E542" s="1"/>
      <c r="F542" s="1" t="s">
        <v>275</v>
      </c>
      <c r="G542">
        <v>2010</v>
      </c>
      <c r="H542">
        <v>520.30999999999995</v>
      </c>
      <c r="I542">
        <v>5</v>
      </c>
      <c r="J542" s="1" t="s">
        <v>405</v>
      </c>
      <c r="K542">
        <v>0</v>
      </c>
      <c r="L542">
        <v>598</v>
      </c>
      <c r="M542">
        <v>0.86993799999999999</v>
      </c>
      <c r="N542">
        <v>3</v>
      </c>
      <c r="O542" s="1" t="s">
        <v>560</v>
      </c>
      <c r="P542">
        <v>520.30999999999995</v>
      </c>
      <c r="Q542">
        <v>416.25</v>
      </c>
      <c r="R542">
        <v>0</v>
      </c>
      <c r="S542" s="1" t="s">
        <v>605</v>
      </c>
      <c r="T542" s="1"/>
      <c r="U542">
        <v>520.32155999999998</v>
      </c>
      <c r="V542">
        <v>0</v>
      </c>
      <c r="W542">
        <v>76532</v>
      </c>
    </row>
    <row r="543" spans="1:23" x14ac:dyDescent="0.25">
      <c r="A543" s="1" t="s">
        <v>27</v>
      </c>
      <c r="B543" s="1"/>
      <c r="C543" s="1" t="s">
        <v>135</v>
      </c>
      <c r="D543">
        <v>10019</v>
      </c>
      <c r="E543" s="1"/>
      <c r="F543" s="1" t="s">
        <v>275</v>
      </c>
      <c r="G543">
        <v>2009</v>
      </c>
      <c r="H543">
        <v>562.08000000000004</v>
      </c>
      <c r="I543">
        <v>6</v>
      </c>
      <c r="J543" s="1" t="s">
        <v>405</v>
      </c>
      <c r="K543">
        <v>0</v>
      </c>
      <c r="L543">
        <v>598</v>
      </c>
      <c r="M543">
        <v>0.93977500000000003</v>
      </c>
      <c r="N543">
        <v>3</v>
      </c>
      <c r="O543" s="1" t="s">
        <v>560</v>
      </c>
      <c r="P543">
        <v>562.08000000000004</v>
      </c>
      <c r="Q543">
        <v>449.66</v>
      </c>
      <c r="R543">
        <v>0</v>
      </c>
      <c r="S543" s="1" t="s">
        <v>605</v>
      </c>
      <c r="T543" s="1"/>
      <c r="U543">
        <v>562.07844999999998</v>
      </c>
      <c r="V543">
        <v>0</v>
      </c>
      <c r="W543">
        <v>76532</v>
      </c>
    </row>
    <row r="544" spans="1:23" x14ac:dyDescent="0.25">
      <c r="A544" s="1" t="s">
        <v>27</v>
      </c>
      <c r="B544" s="1"/>
      <c r="C544" s="1" t="s">
        <v>135</v>
      </c>
      <c r="D544">
        <v>10019</v>
      </c>
      <c r="E544" s="1"/>
      <c r="F544" s="1" t="s">
        <v>275</v>
      </c>
      <c r="G544">
        <v>2008</v>
      </c>
      <c r="H544">
        <v>732.83</v>
      </c>
      <c r="I544">
        <v>5</v>
      </c>
      <c r="J544" s="1" t="s">
        <v>405</v>
      </c>
      <c r="K544">
        <v>0</v>
      </c>
      <c r="L544">
        <v>598</v>
      </c>
      <c r="M544">
        <v>1.225263</v>
      </c>
      <c r="N544">
        <v>3</v>
      </c>
      <c r="O544" s="1" t="s">
        <v>560</v>
      </c>
      <c r="P544">
        <v>732.83</v>
      </c>
      <c r="Q544">
        <v>586.27</v>
      </c>
      <c r="R544">
        <v>0</v>
      </c>
      <c r="S544" s="1" t="s">
        <v>605</v>
      </c>
      <c r="T544" s="1"/>
      <c r="U544">
        <v>732.82378000000006</v>
      </c>
      <c r="V544">
        <v>0</v>
      </c>
      <c r="W544">
        <v>76532</v>
      </c>
    </row>
    <row r="545" spans="1:23" x14ac:dyDescent="0.25">
      <c r="A545" s="1" t="s">
        <v>27</v>
      </c>
      <c r="B545" s="1"/>
      <c r="C545" s="1" t="s">
        <v>136</v>
      </c>
      <c r="D545">
        <v>10056</v>
      </c>
      <c r="E545" s="1"/>
      <c r="F545" s="1" t="s">
        <v>136</v>
      </c>
      <c r="G545">
        <v>2014</v>
      </c>
      <c r="H545">
        <v>452.15</v>
      </c>
      <c r="I545">
        <v>5</v>
      </c>
      <c r="J545" s="1" t="s">
        <v>414</v>
      </c>
      <c r="K545">
        <v>0</v>
      </c>
      <c r="L545">
        <v>836</v>
      </c>
      <c r="M545">
        <v>0.54078400000000004</v>
      </c>
      <c r="N545">
        <v>3</v>
      </c>
      <c r="O545" s="1" t="s">
        <v>560</v>
      </c>
      <c r="P545">
        <v>452.15</v>
      </c>
      <c r="Q545">
        <v>361.72</v>
      </c>
      <c r="R545">
        <v>0</v>
      </c>
      <c r="S545" s="1" t="s">
        <v>606</v>
      </c>
      <c r="T545" s="1"/>
      <c r="U545">
        <v>452.14150000000001</v>
      </c>
      <c r="V545">
        <v>0</v>
      </c>
      <c r="W545">
        <v>83881</v>
      </c>
    </row>
    <row r="546" spans="1:23" x14ac:dyDescent="0.25">
      <c r="A546" s="1" t="s">
        <v>27</v>
      </c>
      <c r="B546" s="1"/>
      <c r="C546" s="1" t="s">
        <v>136</v>
      </c>
      <c r="D546">
        <v>10056</v>
      </c>
      <c r="E546" s="1"/>
      <c r="F546" s="1" t="s">
        <v>136</v>
      </c>
      <c r="G546">
        <v>2013</v>
      </c>
      <c r="H546">
        <v>497.15</v>
      </c>
      <c r="I546">
        <v>5</v>
      </c>
      <c r="J546" s="1" t="s">
        <v>414</v>
      </c>
      <c r="K546">
        <v>0</v>
      </c>
      <c r="L546">
        <v>836</v>
      </c>
      <c r="M546">
        <v>0.59460500000000005</v>
      </c>
      <c r="N546">
        <v>3</v>
      </c>
      <c r="O546" s="1" t="s">
        <v>560</v>
      </c>
      <c r="P546">
        <v>497.15</v>
      </c>
      <c r="Q546">
        <v>397.7</v>
      </c>
      <c r="R546">
        <v>0</v>
      </c>
      <c r="S546" s="1" t="s">
        <v>606</v>
      </c>
      <c r="T546" s="1"/>
      <c r="U546">
        <v>497.13540999999998</v>
      </c>
      <c r="V546">
        <v>0</v>
      </c>
      <c r="W546">
        <v>83881</v>
      </c>
    </row>
    <row r="547" spans="1:23" x14ac:dyDescent="0.25">
      <c r="A547" s="1" t="s">
        <v>27</v>
      </c>
      <c r="B547" s="1"/>
      <c r="C547" s="1" t="s">
        <v>136</v>
      </c>
      <c r="D547">
        <v>10056</v>
      </c>
      <c r="E547" s="1"/>
      <c r="F547" s="1" t="s">
        <v>136</v>
      </c>
      <c r="G547">
        <v>2012</v>
      </c>
      <c r="H547">
        <v>553.05999999999995</v>
      </c>
      <c r="I547">
        <v>3</v>
      </c>
      <c r="J547" s="1" t="s">
        <v>414</v>
      </c>
      <c r="K547">
        <v>0</v>
      </c>
      <c r="L547">
        <v>836</v>
      </c>
      <c r="M547">
        <v>0.66147500000000004</v>
      </c>
      <c r="N547">
        <v>3</v>
      </c>
      <c r="O547" s="1" t="s">
        <v>560</v>
      </c>
      <c r="P547">
        <v>553.05999999999995</v>
      </c>
      <c r="Q547">
        <v>442.47</v>
      </c>
      <c r="R547">
        <v>0</v>
      </c>
      <c r="S547" s="1" t="s">
        <v>606</v>
      </c>
      <c r="T547" s="1"/>
      <c r="U547">
        <v>553.07282999999995</v>
      </c>
      <c r="V547">
        <v>0</v>
      </c>
      <c r="W547">
        <v>83881</v>
      </c>
    </row>
    <row r="548" spans="1:23" x14ac:dyDescent="0.25">
      <c r="A548" s="1" t="s">
        <v>27</v>
      </c>
      <c r="B548" s="1"/>
      <c r="C548" s="1" t="s">
        <v>136</v>
      </c>
      <c r="D548">
        <v>10056</v>
      </c>
      <c r="E548" s="1"/>
      <c r="F548" s="1" t="s">
        <v>136</v>
      </c>
      <c r="G548">
        <v>2011</v>
      </c>
      <c r="H548">
        <v>520.21</v>
      </c>
      <c r="I548">
        <v>1</v>
      </c>
      <c r="J548" s="1" t="s">
        <v>414</v>
      </c>
      <c r="K548">
        <v>0</v>
      </c>
      <c r="L548">
        <v>836</v>
      </c>
      <c r="M548">
        <v>0.62218600000000002</v>
      </c>
      <c r="N548">
        <v>3</v>
      </c>
      <c r="O548" s="1" t="s">
        <v>560</v>
      </c>
      <c r="P548">
        <v>520.21</v>
      </c>
      <c r="Q548">
        <v>416.18</v>
      </c>
      <c r="R548">
        <v>0</v>
      </c>
      <c r="S548" s="1" t="s">
        <v>606</v>
      </c>
      <c r="T548" s="1"/>
      <c r="U548">
        <v>520.19826</v>
      </c>
      <c r="V548">
        <v>0</v>
      </c>
      <c r="W548">
        <v>83881</v>
      </c>
    </row>
    <row r="549" spans="1:23" x14ac:dyDescent="0.25">
      <c r="A549" s="1" t="s">
        <v>27</v>
      </c>
      <c r="B549" s="1"/>
      <c r="C549" s="1" t="s">
        <v>136</v>
      </c>
      <c r="D549">
        <v>10056</v>
      </c>
      <c r="E549" s="1"/>
      <c r="F549" s="1" t="s">
        <v>136</v>
      </c>
      <c r="G549">
        <v>2010</v>
      </c>
      <c r="H549">
        <v>541.41999999999996</v>
      </c>
      <c r="I549">
        <v>8</v>
      </c>
      <c r="J549" s="1" t="s">
        <v>414</v>
      </c>
      <c r="K549">
        <v>0</v>
      </c>
      <c r="L549">
        <v>836</v>
      </c>
      <c r="M549">
        <v>0.64755399999999996</v>
      </c>
      <c r="N549">
        <v>3</v>
      </c>
      <c r="O549" s="1" t="s">
        <v>560</v>
      </c>
      <c r="P549">
        <v>541.41999999999996</v>
      </c>
      <c r="Q549">
        <v>433.14</v>
      </c>
      <c r="R549">
        <v>0</v>
      </c>
      <c r="S549" s="1" t="s">
        <v>606</v>
      </c>
      <c r="T549" s="1"/>
      <c r="U549">
        <v>541.43832999999995</v>
      </c>
      <c r="V549">
        <v>0</v>
      </c>
      <c r="W549">
        <v>83881</v>
      </c>
    </row>
    <row r="550" spans="1:23" x14ac:dyDescent="0.25">
      <c r="A550" s="1" t="s">
        <v>27</v>
      </c>
      <c r="B550" s="1"/>
      <c r="C550" s="1" t="s">
        <v>136</v>
      </c>
      <c r="D550">
        <v>10056</v>
      </c>
      <c r="E550" s="1"/>
      <c r="F550" s="1" t="s">
        <v>136</v>
      </c>
      <c r="G550">
        <v>2009</v>
      </c>
      <c r="H550">
        <v>591.52</v>
      </c>
      <c r="I550">
        <v>6</v>
      </c>
      <c r="J550" s="1" t="s">
        <v>415</v>
      </c>
      <c r="K550">
        <v>0</v>
      </c>
      <c r="L550">
        <v>836</v>
      </c>
      <c r="M550">
        <v>0.70747499999999997</v>
      </c>
      <c r="N550">
        <v>3</v>
      </c>
      <c r="O550" s="1" t="s">
        <v>560</v>
      </c>
      <c r="P550">
        <v>591.52</v>
      </c>
      <c r="Q550">
        <v>473.2</v>
      </c>
      <c r="R550">
        <v>0</v>
      </c>
      <c r="S550" s="1"/>
      <c r="T550" s="1"/>
      <c r="U550">
        <v>591.52630999999997</v>
      </c>
      <c r="V550">
        <v>0</v>
      </c>
      <c r="W550">
        <v>76677</v>
      </c>
    </row>
    <row r="551" spans="1:23" x14ac:dyDescent="0.25">
      <c r="A551" s="1" t="s">
        <v>27</v>
      </c>
      <c r="B551" s="1"/>
      <c r="C551" s="1" t="s">
        <v>136</v>
      </c>
      <c r="D551">
        <v>10056</v>
      </c>
      <c r="E551" s="1"/>
      <c r="F551" s="1" t="s">
        <v>136</v>
      </c>
      <c r="G551">
        <v>2009</v>
      </c>
      <c r="H551">
        <v>58.01</v>
      </c>
      <c r="I551">
        <v>2</v>
      </c>
      <c r="J551" s="1" t="s">
        <v>414</v>
      </c>
      <c r="K551">
        <v>0</v>
      </c>
      <c r="L551">
        <v>836</v>
      </c>
      <c r="M551">
        <v>6.9380999999999998E-2</v>
      </c>
      <c r="N551">
        <v>3</v>
      </c>
      <c r="O551" s="1" t="s">
        <v>560</v>
      </c>
      <c r="P551">
        <v>58.01</v>
      </c>
      <c r="Q551">
        <v>46.42</v>
      </c>
      <c r="R551">
        <v>0</v>
      </c>
      <c r="S551" s="1" t="s">
        <v>606</v>
      </c>
      <c r="T551" s="1"/>
      <c r="U551">
        <v>58.0137</v>
      </c>
      <c r="V551">
        <v>0</v>
      </c>
      <c r="W551">
        <v>83881</v>
      </c>
    </row>
    <row r="552" spans="1:23" x14ac:dyDescent="0.25">
      <c r="A552" s="1" t="s">
        <v>27</v>
      </c>
      <c r="B552" s="1"/>
      <c r="C552" s="1" t="s">
        <v>136</v>
      </c>
      <c r="D552">
        <v>10056</v>
      </c>
      <c r="E552" s="1"/>
      <c r="F552" s="1" t="s">
        <v>136</v>
      </c>
      <c r="G552">
        <v>2008</v>
      </c>
      <c r="H552">
        <v>552.99</v>
      </c>
      <c r="I552">
        <v>5</v>
      </c>
      <c r="J552" s="1" t="s">
        <v>415</v>
      </c>
      <c r="K552">
        <v>0</v>
      </c>
      <c r="L552">
        <v>836</v>
      </c>
      <c r="M552">
        <v>0.66139199999999998</v>
      </c>
      <c r="N552">
        <v>3</v>
      </c>
      <c r="O552" s="1" t="s">
        <v>560</v>
      </c>
      <c r="P552">
        <v>552.99</v>
      </c>
      <c r="Q552">
        <v>442.41</v>
      </c>
      <c r="R552">
        <v>0</v>
      </c>
      <c r="S552" s="1"/>
      <c r="T552" s="1"/>
      <c r="U552">
        <v>553.00702000000001</v>
      </c>
      <c r="V552">
        <v>0</v>
      </c>
      <c r="W552">
        <v>76677</v>
      </c>
    </row>
    <row r="553" spans="1:23" x14ac:dyDescent="0.25">
      <c r="A553" s="1" t="s">
        <v>27</v>
      </c>
      <c r="B553" s="1"/>
      <c r="C553" s="1" t="s">
        <v>137</v>
      </c>
      <c r="D553">
        <v>5950</v>
      </c>
      <c r="E553" s="1"/>
      <c r="F553" s="1" t="s">
        <v>137</v>
      </c>
      <c r="G553">
        <v>2015</v>
      </c>
      <c r="H553">
        <v>162.75</v>
      </c>
      <c r="I553">
        <v>5</v>
      </c>
      <c r="J553" s="1"/>
      <c r="K553">
        <v>0</v>
      </c>
      <c r="L553">
        <v>500</v>
      </c>
      <c r="M553">
        <v>0.325434</v>
      </c>
      <c r="N553">
        <v>3</v>
      </c>
      <c r="O553" s="1" t="s">
        <v>560</v>
      </c>
      <c r="P553">
        <v>162.75</v>
      </c>
      <c r="Q553">
        <v>130.19999999999999</v>
      </c>
      <c r="R553">
        <v>0</v>
      </c>
      <c r="S553" s="1" t="s">
        <v>607</v>
      </c>
      <c r="T553" s="1"/>
      <c r="U553">
        <v>162.74798999999999</v>
      </c>
      <c r="V553">
        <v>0</v>
      </c>
      <c r="W553">
        <v>90554</v>
      </c>
    </row>
    <row r="554" spans="1:23" x14ac:dyDescent="0.25">
      <c r="A554" s="1" t="s">
        <v>27</v>
      </c>
      <c r="B554" s="1"/>
      <c r="C554" s="1" t="s">
        <v>137</v>
      </c>
      <c r="D554">
        <v>5950</v>
      </c>
      <c r="E554" s="1"/>
      <c r="F554" s="1" t="s">
        <v>137</v>
      </c>
      <c r="G554">
        <v>2014</v>
      </c>
      <c r="H554">
        <v>364.22</v>
      </c>
      <c r="I554">
        <v>12</v>
      </c>
      <c r="J554" s="1"/>
      <c r="K554">
        <v>0</v>
      </c>
      <c r="L554">
        <v>500</v>
      </c>
      <c r="M554">
        <v>0.728294</v>
      </c>
      <c r="N554">
        <v>3</v>
      </c>
      <c r="O554" s="1" t="s">
        <v>560</v>
      </c>
      <c r="P554">
        <v>364.22</v>
      </c>
      <c r="Q554">
        <v>291.39</v>
      </c>
      <c r="R554">
        <v>0</v>
      </c>
      <c r="S554" s="1" t="s">
        <v>607</v>
      </c>
      <c r="T554" s="1"/>
      <c r="U554">
        <v>364.23700000000002</v>
      </c>
      <c r="V554">
        <v>0</v>
      </c>
      <c r="W554">
        <v>90554</v>
      </c>
    </row>
    <row r="555" spans="1:23" x14ac:dyDescent="0.25">
      <c r="A555" s="1" t="s">
        <v>27</v>
      </c>
      <c r="B555" s="1"/>
      <c r="C555" s="1" t="s">
        <v>137</v>
      </c>
      <c r="D555">
        <v>5950</v>
      </c>
      <c r="E555" s="1"/>
      <c r="F555" s="1" t="s">
        <v>137</v>
      </c>
      <c r="G555">
        <v>2013</v>
      </c>
      <c r="H555">
        <v>420.04</v>
      </c>
      <c r="I555">
        <v>12</v>
      </c>
      <c r="J555" s="1"/>
      <c r="K555">
        <v>0</v>
      </c>
      <c r="L555">
        <v>500</v>
      </c>
      <c r="M555">
        <v>0.83991199999999999</v>
      </c>
      <c r="N555">
        <v>3</v>
      </c>
      <c r="O555" s="1" t="s">
        <v>560</v>
      </c>
      <c r="P555">
        <v>420.04</v>
      </c>
      <c r="Q555">
        <v>336.02</v>
      </c>
      <c r="R555">
        <v>0</v>
      </c>
      <c r="S555" s="1" t="s">
        <v>607</v>
      </c>
      <c r="T555" s="1"/>
      <c r="U555">
        <v>420.03399999999999</v>
      </c>
      <c r="V555">
        <v>0</v>
      </c>
      <c r="W555">
        <v>90554</v>
      </c>
    </row>
    <row r="556" spans="1:23" x14ac:dyDescent="0.25">
      <c r="A556" s="1" t="s">
        <v>27</v>
      </c>
      <c r="B556" s="1"/>
      <c r="C556" s="1" t="s">
        <v>137</v>
      </c>
      <c r="D556">
        <v>5950</v>
      </c>
      <c r="E556" s="1"/>
      <c r="F556" s="1" t="s">
        <v>137</v>
      </c>
      <c r="G556">
        <v>2012</v>
      </c>
      <c r="H556">
        <v>457.23</v>
      </c>
      <c r="I556">
        <v>12</v>
      </c>
      <c r="J556" s="1"/>
      <c r="K556">
        <v>0</v>
      </c>
      <c r="L556">
        <v>500</v>
      </c>
      <c r="M556">
        <v>0.91427700000000001</v>
      </c>
      <c r="N556">
        <v>3</v>
      </c>
      <c r="O556" s="1" t="s">
        <v>560</v>
      </c>
      <c r="P556">
        <v>457.23</v>
      </c>
      <c r="Q556">
        <v>365.79</v>
      </c>
      <c r="R556">
        <v>0</v>
      </c>
      <c r="S556" s="1" t="s">
        <v>607</v>
      </c>
      <c r="T556" s="1"/>
      <c r="U556">
        <v>457.23200000000003</v>
      </c>
      <c r="V556">
        <v>0</v>
      </c>
      <c r="W556">
        <v>90554</v>
      </c>
    </row>
    <row r="557" spans="1:23" x14ac:dyDescent="0.25">
      <c r="A557" s="1" t="s">
        <v>27</v>
      </c>
      <c r="B557" s="1"/>
      <c r="C557" s="1" t="s">
        <v>137</v>
      </c>
      <c r="D557">
        <v>5950</v>
      </c>
      <c r="E557" s="1"/>
      <c r="F557" s="1" t="s">
        <v>137</v>
      </c>
      <c r="G557">
        <v>2011</v>
      </c>
      <c r="H557">
        <v>17.72</v>
      </c>
      <c r="I557">
        <v>1</v>
      </c>
      <c r="J557" s="1"/>
      <c r="K557">
        <v>0</v>
      </c>
      <c r="L557">
        <v>500</v>
      </c>
      <c r="M557">
        <v>3.5431999999999998E-2</v>
      </c>
      <c r="N557">
        <v>3</v>
      </c>
      <c r="O557" s="1" t="s">
        <v>560</v>
      </c>
      <c r="P557">
        <v>17.72</v>
      </c>
      <c r="Q557">
        <v>14.17</v>
      </c>
      <c r="R557">
        <v>0</v>
      </c>
      <c r="S557" s="1" t="s">
        <v>607</v>
      </c>
      <c r="T557" s="1"/>
      <c r="U557">
        <v>17.716999999999999</v>
      </c>
      <c r="V557">
        <v>0</v>
      </c>
      <c r="W557">
        <v>90554</v>
      </c>
    </row>
    <row r="558" spans="1:23" x14ac:dyDescent="0.25">
      <c r="A558" s="1" t="s">
        <v>27</v>
      </c>
      <c r="B558" s="1" t="s">
        <v>62</v>
      </c>
      <c r="C558" s="1" t="s">
        <v>138</v>
      </c>
      <c r="D558">
        <v>5275</v>
      </c>
      <c r="E558" s="1"/>
      <c r="F558" s="1" t="s">
        <v>276</v>
      </c>
      <c r="G558">
        <v>2015</v>
      </c>
      <c r="H558">
        <v>105.39</v>
      </c>
      <c r="I558">
        <v>5</v>
      </c>
      <c r="J558" s="1" t="s">
        <v>402</v>
      </c>
      <c r="K558">
        <v>0</v>
      </c>
      <c r="L558">
        <v>675</v>
      </c>
      <c r="M558">
        <v>0.15611</v>
      </c>
      <c r="N558">
        <v>3</v>
      </c>
      <c r="O558" s="1" t="s">
        <v>560</v>
      </c>
      <c r="P558">
        <v>105.39</v>
      </c>
      <c r="Q558">
        <v>84.31</v>
      </c>
      <c r="R558">
        <v>0</v>
      </c>
      <c r="S558" s="1" t="s">
        <v>608</v>
      </c>
      <c r="T558" s="1"/>
      <c r="U558">
        <v>105.381</v>
      </c>
      <c r="V558">
        <v>0</v>
      </c>
      <c r="W558">
        <v>56857</v>
      </c>
    </row>
    <row r="559" spans="1:23" x14ac:dyDescent="0.25">
      <c r="A559" s="1" t="s">
        <v>27</v>
      </c>
      <c r="B559" s="1" t="s">
        <v>62</v>
      </c>
      <c r="C559" s="1" t="s">
        <v>138</v>
      </c>
      <c r="D559">
        <v>5275</v>
      </c>
      <c r="E559" s="1"/>
      <c r="F559" s="1" t="s">
        <v>276</v>
      </c>
      <c r="G559">
        <v>2014</v>
      </c>
      <c r="H559">
        <v>255.05</v>
      </c>
      <c r="I559">
        <v>12</v>
      </c>
      <c r="J559" s="1" t="s">
        <v>402</v>
      </c>
      <c r="K559">
        <v>0</v>
      </c>
      <c r="L559">
        <v>675</v>
      </c>
      <c r="M559">
        <v>0.37779499999999999</v>
      </c>
      <c r="N559">
        <v>3</v>
      </c>
      <c r="O559" s="1" t="s">
        <v>560</v>
      </c>
      <c r="P559">
        <v>255.05</v>
      </c>
      <c r="Q559">
        <v>204.02</v>
      </c>
      <c r="R559">
        <v>0</v>
      </c>
      <c r="S559" s="1" t="s">
        <v>608</v>
      </c>
      <c r="T559" s="1"/>
      <c r="U559">
        <v>255.05</v>
      </c>
      <c r="V559">
        <v>0</v>
      </c>
      <c r="W559">
        <v>56857</v>
      </c>
    </row>
    <row r="560" spans="1:23" x14ac:dyDescent="0.25">
      <c r="A560" s="1" t="s">
        <v>27</v>
      </c>
      <c r="B560" s="1" t="s">
        <v>62</v>
      </c>
      <c r="C560" s="1" t="s">
        <v>138</v>
      </c>
      <c r="D560">
        <v>5275</v>
      </c>
      <c r="E560" s="1"/>
      <c r="F560" s="1" t="s">
        <v>276</v>
      </c>
      <c r="G560">
        <v>2013</v>
      </c>
      <c r="H560">
        <v>238.85</v>
      </c>
      <c r="I560">
        <v>12</v>
      </c>
      <c r="J560" s="1" t="s">
        <v>402</v>
      </c>
      <c r="K560">
        <v>0</v>
      </c>
      <c r="L560">
        <v>675</v>
      </c>
      <c r="M560">
        <v>0.35379899999999997</v>
      </c>
      <c r="N560">
        <v>3</v>
      </c>
      <c r="O560" s="1" t="s">
        <v>560</v>
      </c>
      <c r="P560">
        <v>238.85</v>
      </c>
      <c r="Q560">
        <v>191.08</v>
      </c>
      <c r="R560">
        <v>0</v>
      </c>
      <c r="S560" s="1" t="s">
        <v>608</v>
      </c>
      <c r="T560" s="1"/>
      <c r="U560">
        <v>238.852</v>
      </c>
      <c r="V560">
        <v>0</v>
      </c>
      <c r="W560">
        <v>56857</v>
      </c>
    </row>
    <row r="561" spans="1:23" x14ac:dyDescent="0.25">
      <c r="A561" s="1" t="s">
        <v>27</v>
      </c>
      <c r="B561" s="1" t="s">
        <v>62</v>
      </c>
      <c r="C561" s="1" t="s">
        <v>138</v>
      </c>
      <c r="D561">
        <v>5275</v>
      </c>
      <c r="E561" s="1"/>
      <c r="F561" s="1" t="s">
        <v>276</v>
      </c>
      <c r="G561">
        <v>2012</v>
      </c>
      <c r="H561">
        <v>205.45</v>
      </c>
      <c r="I561">
        <v>12</v>
      </c>
      <c r="J561" s="1" t="s">
        <v>402</v>
      </c>
      <c r="K561">
        <v>0</v>
      </c>
      <c r="L561">
        <v>675</v>
      </c>
      <c r="M561">
        <v>0.30432500000000001</v>
      </c>
      <c r="N561">
        <v>3</v>
      </c>
      <c r="O561" s="1" t="s">
        <v>560</v>
      </c>
      <c r="P561">
        <v>205.45</v>
      </c>
      <c r="Q561">
        <v>164.37</v>
      </c>
      <c r="R561">
        <v>0</v>
      </c>
      <c r="S561" s="1" t="s">
        <v>608</v>
      </c>
      <c r="T561" s="1"/>
      <c r="U561">
        <v>205.46600000000001</v>
      </c>
      <c r="V561">
        <v>0</v>
      </c>
      <c r="W561">
        <v>56857</v>
      </c>
    </row>
    <row r="562" spans="1:23" x14ac:dyDescent="0.25">
      <c r="A562" s="1" t="s">
        <v>27</v>
      </c>
      <c r="B562" s="1" t="s">
        <v>62</v>
      </c>
      <c r="C562" s="1" t="s">
        <v>138</v>
      </c>
      <c r="D562">
        <v>5275</v>
      </c>
      <c r="E562" s="1"/>
      <c r="F562" s="1" t="s">
        <v>276</v>
      </c>
      <c r="G562">
        <v>2011</v>
      </c>
      <c r="H562">
        <v>178.49</v>
      </c>
      <c r="I562">
        <v>12</v>
      </c>
      <c r="J562" s="1" t="s">
        <v>402</v>
      </c>
      <c r="K562">
        <v>0</v>
      </c>
      <c r="L562">
        <v>675</v>
      </c>
      <c r="M562">
        <v>0.26439000000000001</v>
      </c>
      <c r="N562">
        <v>3</v>
      </c>
      <c r="O562" s="1" t="s">
        <v>560</v>
      </c>
      <c r="P562">
        <v>178.49</v>
      </c>
      <c r="Q562">
        <v>142.77000000000001</v>
      </c>
      <c r="R562">
        <v>0</v>
      </c>
      <c r="S562" s="1" t="s">
        <v>608</v>
      </c>
      <c r="T562" s="1"/>
      <c r="U562">
        <v>178.48599999999999</v>
      </c>
      <c r="V562">
        <v>0</v>
      </c>
      <c r="W562">
        <v>56857</v>
      </c>
    </row>
    <row r="563" spans="1:23" x14ac:dyDescent="0.25">
      <c r="A563" s="1" t="s">
        <v>27</v>
      </c>
      <c r="B563" s="1" t="s">
        <v>62</v>
      </c>
      <c r="C563" s="1" t="s">
        <v>138</v>
      </c>
      <c r="D563">
        <v>5275</v>
      </c>
      <c r="E563" s="1"/>
      <c r="F563" s="1" t="s">
        <v>276</v>
      </c>
      <c r="G563">
        <v>2010</v>
      </c>
      <c r="H563">
        <v>81.92</v>
      </c>
      <c r="I563">
        <v>12</v>
      </c>
      <c r="J563" s="1" t="s">
        <v>402</v>
      </c>
      <c r="K563">
        <v>0</v>
      </c>
      <c r="L563">
        <v>675</v>
      </c>
      <c r="M563">
        <v>0.12134399999999999</v>
      </c>
      <c r="N563">
        <v>3</v>
      </c>
      <c r="O563" s="1" t="s">
        <v>560</v>
      </c>
      <c r="P563">
        <v>81.92</v>
      </c>
      <c r="Q563">
        <v>65.56</v>
      </c>
      <c r="R563">
        <v>0</v>
      </c>
      <c r="S563" s="1" t="s">
        <v>608</v>
      </c>
      <c r="T563" s="1"/>
      <c r="U563">
        <v>81.932000000000002</v>
      </c>
      <c r="V563">
        <v>0</v>
      </c>
      <c r="W563">
        <v>56857</v>
      </c>
    </row>
    <row r="564" spans="1:23" x14ac:dyDescent="0.25">
      <c r="A564" s="1" t="s">
        <v>27</v>
      </c>
      <c r="B564" s="1" t="s">
        <v>62</v>
      </c>
      <c r="C564" s="1" t="s">
        <v>138</v>
      </c>
      <c r="D564">
        <v>5275</v>
      </c>
      <c r="E564" s="1"/>
      <c r="F564" s="1" t="s">
        <v>276</v>
      </c>
      <c r="G564">
        <v>2009</v>
      </c>
      <c r="H564">
        <v>136.1</v>
      </c>
      <c r="I564">
        <v>12</v>
      </c>
      <c r="J564" s="1" t="s">
        <v>402</v>
      </c>
      <c r="K564">
        <v>0</v>
      </c>
      <c r="L564">
        <v>675</v>
      </c>
      <c r="M564">
        <v>0.201599</v>
      </c>
      <c r="N564">
        <v>3</v>
      </c>
      <c r="O564" s="1" t="s">
        <v>560</v>
      </c>
      <c r="P564">
        <v>136.1</v>
      </c>
      <c r="Q564">
        <v>108.89</v>
      </c>
      <c r="R564">
        <v>0</v>
      </c>
      <c r="S564" s="1" t="s">
        <v>608</v>
      </c>
      <c r="T564" s="1"/>
      <c r="U564">
        <v>136.10900000000001</v>
      </c>
      <c r="V564">
        <v>0</v>
      </c>
      <c r="W564">
        <v>56857</v>
      </c>
    </row>
    <row r="565" spans="1:23" x14ac:dyDescent="0.25">
      <c r="A565" s="1" t="s">
        <v>27</v>
      </c>
      <c r="B565" s="1" t="s">
        <v>62</v>
      </c>
      <c r="C565" s="1" t="s">
        <v>138</v>
      </c>
      <c r="D565">
        <v>5275</v>
      </c>
      <c r="E565" s="1"/>
      <c r="F565" s="1" t="s">
        <v>276</v>
      </c>
      <c r="G565">
        <v>2008</v>
      </c>
      <c r="H565">
        <v>195.97</v>
      </c>
      <c r="I565">
        <v>12</v>
      </c>
      <c r="J565" s="1" t="s">
        <v>402</v>
      </c>
      <c r="K565">
        <v>0</v>
      </c>
      <c r="L565">
        <v>675</v>
      </c>
      <c r="M565">
        <v>0.29028199999999998</v>
      </c>
      <c r="N565">
        <v>3</v>
      </c>
      <c r="O565" s="1" t="s">
        <v>560</v>
      </c>
      <c r="P565">
        <v>195.97</v>
      </c>
      <c r="Q565">
        <v>156.78</v>
      </c>
      <c r="R565">
        <v>0</v>
      </c>
      <c r="S565" s="1" t="s">
        <v>608</v>
      </c>
      <c r="T565" s="1"/>
      <c r="U565">
        <v>195.965</v>
      </c>
      <c r="V565">
        <v>0</v>
      </c>
      <c r="W565">
        <v>56857</v>
      </c>
    </row>
    <row r="566" spans="1:23" x14ac:dyDescent="0.25">
      <c r="A566" s="1" t="s">
        <v>27</v>
      </c>
      <c r="B566" s="1" t="s">
        <v>63</v>
      </c>
      <c r="C566" s="1" t="s">
        <v>139</v>
      </c>
      <c r="D566">
        <v>5279</v>
      </c>
      <c r="E566" s="1"/>
      <c r="F566" s="1" t="s">
        <v>277</v>
      </c>
      <c r="G566">
        <v>2015</v>
      </c>
      <c r="H566">
        <v>311.20999999999998</v>
      </c>
      <c r="I566">
        <v>5</v>
      </c>
      <c r="J566" s="1" t="s">
        <v>404</v>
      </c>
      <c r="K566">
        <v>0</v>
      </c>
      <c r="L566">
        <v>1603</v>
      </c>
      <c r="M566">
        <v>0.19413</v>
      </c>
      <c r="N566">
        <v>3</v>
      </c>
      <c r="O566" s="1" t="s">
        <v>560</v>
      </c>
      <c r="P566">
        <v>311.20999999999998</v>
      </c>
      <c r="Q566">
        <v>248.97</v>
      </c>
      <c r="R566">
        <v>0</v>
      </c>
      <c r="S566" s="1" t="s">
        <v>609</v>
      </c>
      <c r="T566" s="1"/>
      <c r="U566">
        <v>311.21899999999999</v>
      </c>
      <c r="V566">
        <v>0</v>
      </c>
      <c r="W566">
        <v>56883</v>
      </c>
    </row>
    <row r="567" spans="1:23" x14ac:dyDescent="0.25">
      <c r="A567" s="1" t="s">
        <v>27</v>
      </c>
      <c r="B567" s="1" t="s">
        <v>63</v>
      </c>
      <c r="C567" s="1" t="s">
        <v>139</v>
      </c>
      <c r="D567">
        <v>5279</v>
      </c>
      <c r="E567" s="1"/>
      <c r="F567" s="1" t="s">
        <v>277</v>
      </c>
      <c r="G567">
        <v>2014</v>
      </c>
      <c r="H567">
        <v>891.85</v>
      </c>
      <c r="I567">
        <v>12</v>
      </c>
      <c r="J567" s="1" t="s">
        <v>404</v>
      </c>
      <c r="K567">
        <v>0</v>
      </c>
      <c r="L567">
        <v>1603</v>
      </c>
      <c r="M567">
        <v>0.55632800000000004</v>
      </c>
      <c r="N567">
        <v>3</v>
      </c>
      <c r="O567" s="1" t="s">
        <v>560</v>
      </c>
      <c r="P567">
        <v>891.85</v>
      </c>
      <c r="Q567">
        <v>713.44</v>
      </c>
      <c r="R567">
        <v>0</v>
      </c>
      <c r="S567" s="1" t="s">
        <v>609</v>
      </c>
      <c r="T567" s="1"/>
      <c r="U567">
        <v>891.83100000000002</v>
      </c>
      <c r="V567">
        <v>0</v>
      </c>
      <c r="W567">
        <v>56883</v>
      </c>
    </row>
    <row r="568" spans="1:23" x14ac:dyDescent="0.25">
      <c r="A568" s="1" t="s">
        <v>27</v>
      </c>
      <c r="B568" s="1" t="s">
        <v>63</v>
      </c>
      <c r="C568" s="1" t="s">
        <v>139</v>
      </c>
      <c r="D568">
        <v>5279</v>
      </c>
      <c r="E568" s="1"/>
      <c r="F568" s="1" t="s">
        <v>277</v>
      </c>
      <c r="G568">
        <v>2013</v>
      </c>
      <c r="H568">
        <v>880.43</v>
      </c>
      <c r="I568">
        <v>12</v>
      </c>
      <c r="J568" s="1" t="s">
        <v>404</v>
      </c>
      <c r="K568">
        <v>0</v>
      </c>
      <c r="L568">
        <v>1603</v>
      </c>
      <c r="M568">
        <v>0.54920400000000003</v>
      </c>
      <c r="N568">
        <v>3</v>
      </c>
      <c r="O568" s="1" t="s">
        <v>560</v>
      </c>
      <c r="P568">
        <v>880.43</v>
      </c>
      <c r="Q568">
        <v>704.33</v>
      </c>
      <c r="R568">
        <v>0</v>
      </c>
      <c r="S568" s="1" t="s">
        <v>609</v>
      </c>
      <c r="T568" s="1"/>
      <c r="U568">
        <v>880.41800000000001</v>
      </c>
      <c r="V568">
        <v>0</v>
      </c>
      <c r="W568">
        <v>56883</v>
      </c>
    </row>
    <row r="569" spans="1:23" x14ac:dyDescent="0.25">
      <c r="A569" s="1" t="s">
        <v>27</v>
      </c>
      <c r="B569" s="1" t="s">
        <v>63</v>
      </c>
      <c r="C569" s="1" t="s">
        <v>139</v>
      </c>
      <c r="D569">
        <v>5279</v>
      </c>
      <c r="E569" s="1"/>
      <c r="F569" s="1" t="s">
        <v>277</v>
      </c>
      <c r="G569">
        <v>2012</v>
      </c>
      <c r="H569">
        <v>958.24</v>
      </c>
      <c r="I569">
        <v>12</v>
      </c>
      <c r="J569" s="1" t="s">
        <v>404</v>
      </c>
      <c r="K569">
        <v>0</v>
      </c>
      <c r="L569">
        <v>1603</v>
      </c>
      <c r="M569">
        <v>0.59774099999999997</v>
      </c>
      <c r="N569">
        <v>3</v>
      </c>
      <c r="O569" s="1" t="s">
        <v>560</v>
      </c>
      <c r="P569">
        <v>958.24</v>
      </c>
      <c r="Q569">
        <v>766.58</v>
      </c>
      <c r="R569">
        <v>0</v>
      </c>
      <c r="S569" s="1" t="s">
        <v>609</v>
      </c>
      <c r="T569" s="1"/>
      <c r="U569">
        <v>958.23400000000004</v>
      </c>
      <c r="V569">
        <v>0</v>
      </c>
      <c r="W569">
        <v>56883</v>
      </c>
    </row>
    <row r="570" spans="1:23" x14ac:dyDescent="0.25">
      <c r="A570" s="1" t="s">
        <v>27</v>
      </c>
      <c r="B570" s="1" t="s">
        <v>63</v>
      </c>
      <c r="C570" s="1" t="s">
        <v>139</v>
      </c>
      <c r="D570">
        <v>5279</v>
      </c>
      <c r="E570" s="1"/>
      <c r="F570" s="1" t="s">
        <v>277</v>
      </c>
      <c r="G570">
        <v>2011</v>
      </c>
      <c r="H570">
        <v>1049.8</v>
      </c>
      <c r="I570">
        <v>12</v>
      </c>
      <c r="J570" s="1" t="s">
        <v>404</v>
      </c>
      <c r="K570">
        <v>0</v>
      </c>
      <c r="L570">
        <v>1603</v>
      </c>
      <c r="M570">
        <v>0.65485599999999999</v>
      </c>
      <c r="N570">
        <v>3</v>
      </c>
      <c r="O570" s="1" t="s">
        <v>560</v>
      </c>
      <c r="P570">
        <v>1049.8</v>
      </c>
      <c r="Q570">
        <v>839.85</v>
      </c>
      <c r="R570">
        <v>0</v>
      </c>
      <c r="S570" s="1" t="s">
        <v>609</v>
      </c>
      <c r="T570" s="1"/>
      <c r="U570">
        <v>1049.799</v>
      </c>
      <c r="V570">
        <v>0</v>
      </c>
      <c r="W570">
        <v>56883</v>
      </c>
    </row>
    <row r="571" spans="1:23" x14ac:dyDescent="0.25">
      <c r="A571" s="1" t="s">
        <v>27</v>
      </c>
      <c r="B571" s="1" t="s">
        <v>63</v>
      </c>
      <c r="C571" s="1" t="s">
        <v>139</v>
      </c>
      <c r="D571">
        <v>5279</v>
      </c>
      <c r="E571" s="1"/>
      <c r="F571" s="1" t="s">
        <v>277</v>
      </c>
      <c r="G571">
        <v>2010</v>
      </c>
      <c r="H571">
        <v>1111.04</v>
      </c>
      <c r="I571">
        <v>12</v>
      </c>
      <c r="J571" s="1" t="s">
        <v>404</v>
      </c>
      <c r="K571">
        <v>0</v>
      </c>
      <c r="L571">
        <v>1603</v>
      </c>
      <c r="M571">
        <v>0.69305700000000003</v>
      </c>
      <c r="N571">
        <v>3</v>
      </c>
      <c r="O571" s="1" t="s">
        <v>560</v>
      </c>
      <c r="P571">
        <v>1111.04</v>
      </c>
      <c r="Q571">
        <v>888.83</v>
      </c>
      <c r="R571">
        <v>0</v>
      </c>
      <c r="S571" s="1" t="s">
        <v>609</v>
      </c>
      <c r="T571" s="1"/>
      <c r="U571">
        <v>1111.038</v>
      </c>
      <c r="V571">
        <v>0</v>
      </c>
      <c r="W571">
        <v>56883</v>
      </c>
    </row>
    <row r="572" spans="1:23" x14ac:dyDescent="0.25">
      <c r="A572" s="1" t="s">
        <v>27</v>
      </c>
      <c r="B572" s="1" t="s">
        <v>63</v>
      </c>
      <c r="C572" s="1" t="s">
        <v>139</v>
      </c>
      <c r="D572">
        <v>5279</v>
      </c>
      <c r="E572" s="1"/>
      <c r="F572" s="1" t="s">
        <v>277</v>
      </c>
      <c r="G572">
        <v>2009</v>
      </c>
      <c r="H572">
        <v>1185.8399999999999</v>
      </c>
      <c r="I572">
        <v>12</v>
      </c>
      <c r="J572" s="1" t="s">
        <v>404</v>
      </c>
      <c r="K572">
        <v>0</v>
      </c>
      <c r="L572">
        <v>1603</v>
      </c>
      <c r="M572">
        <v>0.73971600000000004</v>
      </c>
      <c r="N572">
        <v>3</v>
      </c>
      <c r="O572" s="1" t="s">
        <v>560</v>
      </c>
      <c r="P572">
        <v>1185.8399999999999</v>
      </c>
      <c r="Q572">
        <v>948.65</v>
      </c>
      <c r="R572">
        <v>0</v>
      </c>
      <c r="S572" s="1" t="s">
        <v>609</v>
      </c>
      <c r="T572" s="1"/>
      <c r="U572">
        <v>1185.836</v>
      </c>
      <c r="V572">
        <v>0</v>
      </c>
      <c r="W572">
        <v>56883</v>
      </c>
    </row>
    <row r="573" spans="1:23" x14ac:dyDescent="0.25">
      <c r="A573" s="1" t="s">
        <v>27</v>
      </c>
      <c r="B573" s="1" t="s">
        <v>63</v>
      </c>
      <c r="C573" s="1" t="s">
        <v>139</v>
      </c>
      <c r="D573">
        <v>5279</v>
      </c>
      <c r="E573" s="1"/>
      <c r="F573" s="1" t="s">
        <v>277</v>
      </c>
      <c r="G573">
        <v>2008</v>
      </c>
      <c r="H573">
        <v>1319.73</v>
      </c>
      <c r="I573">
        <v>12</v>
      </c>
      <c r="J573" s="1" t="s">
        <v>404</v>
      </c>
      <c r="K573">
        <v>0</v>
      </c>
      <c r="L573">
        <v>1603</v>
      </c>
      <c r="M573">
        <v>0.82323599999999997</v>
      </c>
      <c r="N573">
        <v>3</v>
      </c>
      <c r="O573" s="1" t="s">
        <v>560</v>
      </c>
      <c r="P573">
        <v>1319.73</v>
      </c>
      <c r="Q573">
        <v>1055.79</v>
      </c>
      <c r="R573">
        <v>0</v>
      </c>
      <c r="S573" s="1" t="s">
        <v>609</v>
      </c>
      <c r="T573" s="1"/>
      <c r="U573">
        <v>1319.731</v>
      </c>
      <c r="V573">
        <v>0</v>
      </c>
      <c r="W573">
        <v>56883</v>
      </c>
    </row>
    <row r="574" spans="1:23" x14ac:dyDescent="0.25">
      <c r="A574" s="1" t="s">
        <v>27</v>
      </c>
      <c r="B574" s="1"/>
      <c r="C574" s="1" t="s">
        <v>140</v>
      </c>
      <c r="D574">
        <v>10209</v>
      </c>
      <c r="E574" s="1"/>
      <c r="F574" s="1" t="s">
        <v>140</v>
      </c>
      <c r="G574">
        <v>2015</v>
      </c>
      <c r="H574">
        <v>489.5</v>
      </c>
      <c r="I574">
        <v>5</v>
      </c>
      <c r="J574" s="1" t="s">
        <v>416</v>
      </c>
      <c r="K574">
        <v>0</v>
      </c>
      <c r="L574">
        <v>1839</v>
      </c>
      <c r="M574">
        <v>0.26616200000000001</v>
      </c>
      <c r="N574">
        <v>3</v>
      </c>
      <c r="O574" s="1" t="s">
        <v>560</v>
      </c>
      <c r="P574">
        <v>489.5</v>
      </c>
      <c r="Q574">
        <v>391.6</v>
      </c>
      <c r="R574">
        <v>0</v>
      </c>
      <c r="S574" s="1" t="s">
        <v>610</v>
      </c>
      <c r="T574" s="1"/>
      <c r="U574">
        <v>489.5</v>
      </c>
      <c r="V574">
        <v>0</v>
      </c>
      <c r="W574">
        <v>77417</v>
      </c>
    </row>
    <row r="575" spans="1:23" x14ac:dyDescent="0.25">
      <c r="A575" s="1" t="s">
        <v>27</v>
      </c>
      <c r="B575" s="1"/>
      <c r="C575" s="1" t="s">
        <v>140</v>
      </c>
      <c r="D575">
        <v>10209</v>
      </c>
      <c r="E575" s="1"/>
      <c r="F575" s="1" t="s">
        <v>140</v>
      </c>
      <c r="G575">
        <v>2014</v>
      </c>
      <c r="H575">
        <v>1071.4000000000001</v>
      </c>
      <c r="I575">
        <v>12</v>
      </c>
      <c r="J575" s="1" t="s">
        <v>416</v>
      </c>
      <c r="K575">
        <v>0</v>
      </c>
      <c r="L575">
        <v>1839</v>
      </c>
      <c r="M575">
        <v>0.58256699999999995</v>
      </c>
      <c r="N575">
        <v>3</v>
      </c>
      <c r="O575" s="1" t="s">
        <v>560</v>
      </c>
      <c r="P575">
        <v>1071.4000000000001</v>
      </c>
      <c r="Q575">
        <v>857.12</v>
      </c>
      <c r="R575">
        <v>0</v>
      </c>
      <c r="S575" s="1" t="s">
        <v>610</v>
      </c>
      <c r="T575" s="1"/>
      <c r="U575">
        <v>1071.4000000000001</v>
      </c>
      <c r="V575">
        <v>0</v>
      </c>
      <c r="W575">
        <v>77417</v>
      </c>
    </row>
    <row r="576" spans="1:23" x14ac:dyDescent="0.25">
      <c r="A576" s="1" t="s">
        <v>27</v>
      </c>
      <c r="B576" s="1"/>
      <c r="C576" s="1" t="s">
        <v>140</v>
      </c>
      <c r="D576">
        <v>10209</v>
      </c>
      <c r="E576" s="1"/>
      <c r="F576" s="1" t="s">
        <v>140</v>
      </c>
      <c r="G576">
        <v>2013</v>
      </c>
      <c r="H576">
        <v>1336.7</v>
      </c>
      <c r="I576">
        <v>12</v>
      </c>
      <c r="J576" s="1" t="s">
        <v>416</v>
      </c>
      <c r="K576">
        <v>0</v>
      </c>
      <c r="L576">
        <v>1839</v>
      </c>
      <c r="M576">
        <v>0.72682199999999997</v>
      </c>
      <c r="N576">
        <v>3</v>
      </c>
      <c r="O576" s="1" t="s">
        <v>560</v>
      </c>
      <c r="P576">
        <v>1336.7</v>
      </c>
      <c r="Q576">
        <v>1069.3599999999999</v>
      </c>
      <c r="R576">
        <v>0</v>
      </c>
      <c r="S576" s="1" t="s">
        <v>610</v>
      </c>
      <c r="T576" s="1"/>
      <c r="U576">
        <v>1336.7</v>
      </c>
      <c r="V576">
        <v>0</v>
      </c>
      <c r="W576">
        <v>77417</v>
      </c>
    </row>
    <row r="577" spans="1:23" x14ac:dyDescent="0.25">
      <c r="A577" s="1" t="s">
        <v>27</v>
      </c>
      <c r="B577" s="1"/>
      <c r="C577" s="1" t="s">
        <v>140</v>
      </c>
      <c r="D577">
        <v>10209</v>
      </c>
      <c r="E577" s="1"/>
      <c r="F577" s="1" t="s">
        <v>140</v>
      </c>
      <c r="G577">
        <v>2012</v>
      </c>
      <c r="H577">
        <v>1373.9</v>
      </c>
      <c r="I577">
        <v>12</v>
      </c>
      <c r="J577" s="1" t="s">
        <v>416</v>
      </c>
      <c r="K577">
        <v>0</v>
      </c>
      <c r="L577">
        <v>1839</v>
      </c>
      <c r="M577">
        <v>0.74704999999999999</v>
      </c>
      <c r="N577">
        <v>3</v>
      </c>
      <c r="O577" s="1" t="s">
        <v>560</v>
      </c>
      <c r="P577">
        <v>1373.9</v>
      </c>
      <c r="Q577">
        <v>1099.1199999999999</v>
      </c>
      <c r="R577">
        <v>0</v>
      </c>
      <c r="S577" s="1" t="s">
        <v>610</v>
      </c>
      <c r="T577" s="1"/>
      <c r="U577">
        <v>1373.9</v>
      </c>
      <c r="V577">
        <v>0</v>
      </c>
      <c r="W577">
        <v>77417</v>
      </c>
    </row>
    <row r="578" spans="1:23" x14ac:dyDescent="0.25">
      <c r="A578" s="1" t="s">
        <v>27</v>
      </c>
      <c r="B578" s="1"/>
      <c r="C578" s="1" t="s">
        <v>140</v>
      </c>
      <c r="D578">
        <v>10209</v>
      </c>
      <c r="E578" s="1"/>
      <c r="F578" s="1" t="s">
        <v>140</v>
      </c>
      <c r="G578">
        <v>2011</v>
      </c>
      <c r="H578">
        <v>1071.2</v>
      </c>
      <c r="I578">
        <v>12</v>
      </c>
      <c r="J578" s="1" t="s">
        <v>416</v>
      </c>
      <c r="K578">
        <v>0</v>
      </c>
      <c r="L578">
        <v>1839</v>
      </c>
      <c r="M578">
        <v>0.58245800000000003</v>
      </c>
      <c r="N578">
        <v>3</v>
      </c>
      <c r="O578" s="1" t="s">
        <v>560</v>
      </c>
      <c r="P578">
        <v>1071.2</v>
      </c>
      <c r="Q578">
        <v>856.96</v>
      </c>
      <c r="R578">
        <v>0</v>
      </c>
      <c r="S578" s="1" t="s">
        <v>610</v>
      </c>
      <c r="T578" s="1"/>
      <c r="U578">
        <v>1071.2</v>
      </c>
      <c r="V578">
        <v>0</v>
      </c>
      <c r="W578">
        <v>77417</v>
      </c>
    </row>
    <row r="579" spans="1:23" x14ac:dyDescent="0.25">
      <c r="A579" s="1" t="s">
        <v>27</v>
      </c>
      <c r="B579" s="1"/>
      <c r="C579" s="1" t="s">
        <v>140</v>
      </c>
      <c r="D579">
        <v>10209</v>
      </c>
      <c r="E579" s="1"/>
      <c r="F579" s="1" t="s">
        <v>140</v>
      </c>
      <c r="G579">
        <v>2010</v>
      </c>
      <c r="H579">
        <v>1324.05</v>
      </c>
      <c r="I579">
        <v>9</v>
      </c>
      <c r="J579" s="1" t="s">
        <v>416</v>
      </c>
      <c r="K579">
        <v>0</v>
      </c>
      <c r="L579">
        <v>1839</v>
      </c>
      <c r="M579">
        <v>0.71994400000000003</v>
      </c>
      <c r="N579">
        <v>3</v>
      </c>
      <c r="O579" s="1" t="s">
        <v>560</v>
      </c>
      <c r="P579">
        <v>1324.05</v>
      </c>
      <c r="Q579">
        <v>1059.25</v>
      </c>
      <c r="R579">
        <v>0</v>
      </c>
      <c r="S579" s="1" t="s">
        <v>610</v>
      </c>
      <c r="T579" s="1"/>
      <c r="U579">
        <v>1324.0461499999999</v>
      </c>
      <c r="V579">
        <v>0</v>
      </c>
      <c r="W579">
        <v>77417</v>
      </c>
    </row>
    <row r="580" spans="1:23" x14ac:dyDescent="0.25">
      <c r="A580" s="1" t="s">
        <v>27</v>
      </c>
      <c r="B580" s="1"/>
      <c r="C580" s="1" t="s">
        <v>140</v>
      </c>
      <c r="D580">
        <v>10209</v>
      </c>
      <c r="E580" s="1"/>
      <c r="F580" s="1" t="s">
        <v>140</v>
      </c>
      <c r="G580">
        <v>2010</v>
      </c>
      <c r="H580">
        <v>126.53</v>
      </c>
      <c r="I580">
        <v>1</v>
      </c>
      <c r="J580" s="1" t="s">
        <v>417</v>
      </c>
      <c r="K580">
        <v>0</v>
      </c>
      <c r="L580">
        <v>1839</v>
      </c>
      <c r="M580">
        <v>6.8798999999999999E-2</v>
      </c>
      <c r="N580">
        <v>3</v>
      </c>
      <c r="O580" s="1" t="s">
        <v>560</v>
      </c>
      <c r="P580">
        <v>126.53</v>
      </c>
      <c r="Q580">
        <v>0</v>
      </c>
      <c r="R580">
        <v>1</v>
      </c>
      <c r="S580" s="1" t="s">
        <v>611</v>
      </c>
      <c r="T580" s="1"/>
      <c r="U580">
        <v>126.54546999999999</v>
      </c>
      <c r="V580">
        <v>0</v>
      </c>
      <c r="W580">
        <v>77423</v>
      </c>
    </row>
    <row r="581" spans="1:23" x14ac:dyDescent="0.25">
      <c r="A581" s="1" t="s">
        <v>27</v>
      </c>
      <c r="B581" s="1"/>
      <c r="C581" s="1" t="s">
        <v>140</v>
      </c>
      <c r="D581">
        <v>10209</v>
      </c>
      <c r="E581" s="1"/>
      <c r="F581" s="1" t="s">
        <v>140</v>
      </c>
      <c r="G581">
        <v>2009</v>
      </c>
      <c r="H581">
        <v>857.04</v>
      </c>
      <c r="I581">
        <v>3</v>
      </c>
      <c r="J581" s="1" t="s">
        <v>416</v>
      </c>
      <c r="K581">
        <v>0</v>
      </c>
      <c r="L581">
        <v>1839</v>
      </c>
      <c r="M581">
        <v>0.46600999999999998</v>
      </c>
      <c r="N581">
        <v>3</v>
      </c>
      <c r="O581" s="1" t="s">
        <v>560</v>
      </c>
      <c r="P581">
        <v>857.04</v>
      </c>
      <c r="Q581">
        <v>685.64</v>
      </c>
      <c r="R581">
        <v>0</v>
      </c>
      <c r="S581" s="1" t="s">
        <v>610</v>
      </c>
      <c r="T581" s="1"/>
      <c r="U581">
        <v>857.02049999999997</v>
      </c>
      <c r="V581">
        <v>0</v>
      </c>
      <c r="W581">
        <v>77417</v>
      </c>
    </row>
    <row r="582" spans="1:23" x14ac:dyDescent="0.25">
      <c r="A582" s="1" t="s">
        <v>27</v>
      </c>
      <c r="B582" s="1"/>
      <c r="C582" s="1" t="s">
        <v>140</v>
      </c>
      <c r="D582">
        <v>10209</v>
      </c>
      <c r="E582" s="1"/>
      <c r="F582" s="1" t="s">
        <v>140</v>
      </c>
      <c r="G582">
        <v>2009</v>
      </c>
      <c r="H582">
        <v>232.12</v>
      </c>
      <c r="I582">
        <v>3</v>
      </c>
      <c r="J582" s="1" t="s">
        <v>417</v>
      </c>
      <c r="K582">
        <v>0</v>
      </c>
      <c r="L582">
        <v>1839</v>
      </c>
      <c r="M582">
        <v>0.12621299999999999</v>
      </c>
      <c r="N582">
        <v>3</v>
      </c>
      <c r="O582" s="1" t="s">
        <v>560</v>
      </c>
      <c r="P582">
        <v>232.12</v>
      </c>
      <c r="Q582">
        <v>0</v>
      </c>
      <c r="R582">
        <v>1</v>
      </c>
      <c r="S582" s="1" t="s">
        <v>611</v>
      </c>
      <c r="T582" s="1"/>
      <c r="U582">
        <v>232.14420999999999</v>
      </c>
      <c r="V582">
        <v>0</v>
      </c>
      <c r="W582">
        <v>77423</v>
      </c>
    </row>
    <row r="583" spans="1:23" x14ac:dyDescent="0.25">
      <c r="A583" s="1" t="s">
        <v>27</v>
      </c>
      <c r="B583" s="1"/>
      <c r="C583" s="1" t="s">
        <v>140</v>
      </c>
      <c r="D583">
        <v>10209</v>
      </c>
      <c r="E583" s="1"/>
      <c r="F583" s="1" t="s">
        <v>140</v>
      </c>
      <c r="G583">
        <v>2008</v>
      </c>
      <c r="H583">
        <v>682.43</v>
      </c>
      <c r="I583">
        <v>8</v>
      </c>
      <c r="J583" s="1" t="s">
        <v>416</v>
      </c>
      <c r="K583">
        <v>0</v>
      </c>
      <c r="L583">
        <v>1839</v>
      </c>
      <c r="M583">
        <v>0.37106699999999998</v>
      </c>
      <c r="N583">
        <v>3</v>
      </c>
      <c r="O583" s="1" t="s">
        <v>560</v>
      </c>
      <c r="P583">
        <v>682.43</v>
      </c>
      <c r="Q583">
        <v>545.94000000000005</v>
      </c>
      <c r="R583">
        <v>0</v>
      </c>
      <c r="S583" s="1" t="s">
        <v>610</v>
      </c>
      <c r="T583" s="1"/>
      <c r="U583">
        <v>682.43334000000004</v>
      </c>
      <c r="V583">
        <v>0</v>
      </c>
      <c r="W583">
        <v>77417</v>
      </c>
    </row>
    <row r="584" spans="1:23" x14ac:dyDescent="0.25">
      <c r="A584" s="1" t="s">
        <v>27</v>
      </c>
      <c r="B584" s="1"/>
      <c r="C584" s="1" t="s">
        <v>140</v>
      </c>
      <c r="D584">
        <v>10209</v>
      </c>
      <c r="E584" s="1"/>
      <c r="F584" s="1" t="s">
        <v>140</v>
      </c>
      <c r="G584">
        <v>2008</v>
      </c>
      <c r="H584">
        <v>150.4</v>
      </c>
      <c r="I584">
        <v>4</v>
      </c>
      <c r="J584" s="1" t="s">
        <v>417</v>
      </c>
      <c r="K584">
        <v>0</v>
      </c>
      <c r="L584">
        <v>1839</v>
      </c>
      <c r="M584">
        <v>8.1779000000000004E-2</v>
      </c>
      <c r="N584">
        <v>3</v>
      </c>
      <c r="O584" s="1" t="s">
        <v>560</v>
      </c>
      <c r="P584">
        <v>150.4</v>
      </c>
      <c r="Q584">
        <v>0</v>
      </c>
      <c r="R584">
        <v>1</v>
      </c>
      <c r="S584" s="1" t="s">
        <v>611</v>
      </c>
      <c r="T584" s="1"/>
      <c r="U584">
        <v>150.43535</v>
      </c>
      <c r="V584">
        <v>0</v>
      </c>
      <c r="W584">
        <v>77423</v>
      </c>
    </row>
    <row r="585" spans="1:23" x14ac:dyDescent="0.25">
      <c r="A585" s="1" t="s">
        <v>27</v>
      </c>
      <c r="B585" s="1" t="s">
        <v>48</v>
      </c>
      <c r="C585" s="1" t="s">
        <v>109</v>
      </c>
      <c r="D585">
        <v>5244</v>
      </c>
      <c r="E585" s="1"/>
      <c r="F585" s="1" t="s">
        <v>256</v>
      </c>
      <c r="G585">
        <v>2015</v>
      </c>
      <c r="H585">
        <v>17350</v>
      </c>
      <c r="I585">
        <v>5</v>
      </c>
      <c r="J585" s="1" t="s">
        <v>466</v>
      </c>
      <c r="K585">
        <v>0</v>
      </c>
      <c r="L585">
        <v>560</v>
      </c>
      <c r="M585">
        <v>30.976610999999998</v>
      </c>
      <c r="N585">
        <v>1</v>
      </c>
      <c r="O585" s="1" t="s">
        <v>562</v>
      </c>
      <c r="P585">
        <v>19663.439999999999</v>
      </c>
      <c r="Q585">
        <v>3637736.4</v>
      </c>
      <c r="R585">
        <v>0</v>
      </c>
      <c r="S585" s="1" t="s">
        <v>762</v>
      </c>
      <c r="T585" s="1"/>
      <c r="U585">
        <v>17350</v>
      </c>
      <c r="V585">
        <v>0</v>
      </c>
      <c r="W585">
        <v>56614</v>
      </c>
    </row>
    <row r="586" spans="1:23" x14ac:dyDescent="0.25">
      <c r="A586" s="1" t="s">
        <v>27</v>
      </c>
      <c r="B586" s="1" t="s">
        <v>48</v>
      </c>
      <c r="C586" s="1" t="s">
        <v>109</v>
      </c>
      <c r="D586">
        <v>5244</v>
      </c>
      <c r="E586" s="1"/>
      <c r="F586" s="1" t="s">
        <v>256</v>
      </c>
      <c r="G586">
        <v>2015</v>
      </c>
      <c r="H586">
        <v>14736.84</v>
      </c>
      <c r="I586">
        <v>5</v>
      </c>
      <c r="J586" s="1" t="s">
        <v>466</v>
      </c>
      <c r="K586">
        <v>0</v>
      </c>
      <c r="L586">
        <v>560</v>
      </c>
      <c r="M586">
        <v>26.311087000000001</v>
      </c>
      <c r="N586">
        <v>1</v>
      </c>
      <c r="O586" s="1" t="s">
        <v>563</v>
      </c>
      <c r="P586">
        <v>16579.490000000002</v>
      </c>
      <c r="Q586">
        <v>87910.74</v>
      </c>
      <c r="R586">
        <v>1</v>
      </c>
      <c r="S586" s="1" t="s">
        <v>762</v>
      </c>
      <c r="T586" s="1"/>
      <c r="U586">
        <v>422.38</v>
      </c>
      <c r="V586">
        <v>0</v>
      </c>
      <c r="W586">
        <v>56993</v>
      </c>
    </row>
    <row r="587" spans="1:23" x14ac:dyDescent="0.25">
      <c r="A587" s="1" t="s">
        <v>27</v>
      </c>
      <c r="B587" s="1" t="s">
        <v>48</v>
      </c>
      <c r="C587" s="1" t="s">
        <v>109</v>
      </c>
      <c r="D587">
        <v>5244</v>
      </c>
      <c r="E587" s="1"/>
      <c r="F587" s="1" t="s">
        <v>256</v>
      </c>
      <c r="G587">
        <v>2014</v>
      </c>
      <c r="H587">
        <v>32112</v>
      </c>
      <c r="I587">
        <v>12</v>
      </c>
      <c r="J587" s="1" t="s">
        <v>466</v>
      </c>
      <c r="K587">
        <v>0</v>
      </c>
      <c r="L587">
        <v>560</v>
      </c>
      <c r="M587">
        <v>57.332619000000001</v>
      </c>
      <c r="N587">
        <v>1</v>
      </c>
      <c r="O587" s="1" t="s">
        <v>562</v>
      </c>
      <c r="P587">
        <v>38338.67</v>
      </c>
      <c r="Q587">
        <v>2409822.5699999998</v>
      </c>
      <c r="R587">
        <v>0</v>
      </c>
      <c r="S587" s="1" t="s">
        <v>762</v>
      </c>
      <c r="T587" s="1"/>
      <c r="U587">
        <v>32112</v>
      </c>
      <c r="V587">
        <v>0</v>
      </c>
      <c r="W587">
        <v>56614</v>
      </c>
    </row>
    <row r="588" spans="1:23" x14ac:dyDescent="0.25">
      <c r="A588" s="1" t="s">
        <v>27</v>
      </c>
      <c r="B588" s="1" t="s">
        <v>48</v>
      </c>
      <c r="C588" s="1" t="s">
        <v>109</v>
      </c>
      <c r="D588">
        <v>5244</v>
      </c>
      <c r="E588" s="1"/>
      <c r="F588" s="1" t="s">
        <v>256</v>
      </c>
      <c r="G588">
        <v>2014</v>
      </c>
      <c r="H588">
        <v>28913.34</v>
      </c>
      <c r="I588">
        <v>12</v>
      </c>
      <c r="J588" s="1" t="s">
        <v>466</v>
      </c>
      <c r="K588">
        <v>0</v>
      </c>
      <c r="L588">
        <v>560</v>
      </c>
      <c r="M588">
        <v>51.621746000000002</v>
      </c>
      <c r="N588">
        <v>1</v>
      </c>
      <c r="O588" s="1" t="s">
        <v>563</v>
      </c>
      <c r="P588">
        <v>34467.69</v>
      </c>
      <c r="Q588">
        <v>64543.48</v>
      </c>
      <c r="R588">
        <v>1</v>
      </c>
      <c r="S588" s="1" t="s">
        <v>762</v>
      </c>
      <c r="T588" s="1"/>
      <c r="U588">
        <v>828.7</v>
      </c>
      <c r="V588">
        <v>0</v>
      </c>
      <c r="W588">
        <v>56993</v>
      </c>
    </row>
    <row r="589" spans="1:23" x14ac:dyDescent="0.25">
      <c r="A589" s="1" t="s">
        <v>27</v>
      </c>
      <c r="B589" s="1" t="s">
        <v>48</v>
      </c>
      <c r="C589" s="1" t="s">
        <v>109</v>
      </c>
      <c r="D589">
        <v>5244</v>
      </c>
      <c r="E589" s="1"/>
      <c r="F589" s="1" t="s">
        <v>256</v>
      </c>
      <c r="G589">
        <v>2013</v>
      </c>
      <c r="H589">
        <v>41148</v>
      </c>
      <c r="I589">
        <v>12</v>
      </c>
      <c r="J589" s="1" t="s">
        <v>466</v>
      </c>
      <c r="K589">
        <v>0</v>
      </c>
      <c r="L589">
        <v>560</v>
      </c>
      <c r="M589">
        <v>73.465451999999999</v>
      </c>
      <c r="N589">
        <v>1</v>
      </c>
      <c r="O589" s="1" t="s">
        <v>562</v>
      </c>
      <c r="P589">
        <v>42755.66</v>
      </c>
      <c r="Q589">
        <v>7909.79</v>
      </c>
      <c r="R589">
        <v>0</v>
      </c>
      <c r="S589" s="1" t="s">
        <v>762</v>
      </c>
      <c r="T589" s="1"/>
      <c r="U589">
        <v>41148</v>
      </c>
      <c r="V589">
        <v>0</v>
      </c>
      <c r="W589">
        <v>56614</v>
      </c>
    </row>
    <row r="590" spans="1:23" x14ac:dyDescent="0.25">
      <c r="A590" s="1" t="s">
        <v>27</v>
      </c>
      <c r="B590" s="1" t="s">
        <v>48</v>
      </c>
      <c r="C590" s="1" t="s">
        <v>109</v>
      </c>
      <c r="D590">
        <v>5244</v>
      </c>
      <c r="E590" s="1"/>
      <c r="F590" s="1" t="s">
        <v>256</v>
      </c>
      <c r="G590">
        <v>2013</v>
      </c>
      <c r="H590">
        <v>38466.04</v>
      </c>
      <c r="I590">
        <v>12</v>
      </c>
      <c r="J590" s="1" t="s">
        <v>466</v>
      </c>
      <c r="K590">
        <v>0</v>
      </c>
      <c r="L590">
        <v>560</v>
      </c>
      <c r="M590">
        <v>68.677092999999999</v>
      </c>
      <c r="N590">
        <v>1</v>
      </c>
      <c r="O590" s="1" t="s">
        <v>563</v>
      </c>
      <c r="P590">
        <v>40112.53</v>
      </c>
      <c r="Q590">
        <v>212.69</v>
      </c>
      <c r="R590">
        <v>1</v>
      </c>
      <c r="S590" s="1" t="s">
        <v>762</v>
      </c>
      <c r="T590" s="1"/>
      <c r="U590">
        <v>1102.4949999999999</v>
      </c>
      <c r="V590">
        <v>0</v>
      </c>
      <c r="W590">
        <v>56993</v>
      </c>
    </row>
    <row r="591" spans="1:23" x14ac:dyDescent="0.25">
      <c r="A591" s="1" t="s">
        <v>27</v>
      </c>
      <c r="B591" s="1" t="s">
        <v>48</v>
      </c>
      <c r="C591" s="1" t="s">
        <v>109</v>
      </c>
      <c r="D591">
        <v>5244</v>
      </c>
      <c r="E591" s="1"/>
      <c r="F591" s="1" t="s">
        <v>256</v>
      </c>
      <c r="G591">
        <v>2012</v>
      </c>
      <c r="H591">
        <v>41133</v>
      </c>
      <c r="I591">
        <v>12</v>
      </c>
      <c r="J591" s="1" t="s">
        <v>466</v>
      </c>
      <c r="K591">
        <v>0</v>
      </c>
      <c r="L591">
        <v>560</v>
      </c>
      <c r="M591">
        <v>73.438670999999999</v>
      </c>
      <c r="N591">
        <v>1</v>
      </c>
      <c r="O591" s="1" t="s">
        <v>562</v>
      </c>
      <c r="P591">
        <v>43088.33</v>
      </c>
      <c r="Q591">
        <v>7971.36</v>
      </c>
      <c r="R591">
        <v>0</v>
      </c>
      <c r="S591" s="1" t="s">
        <v>762</v>
      </c>
      <c r="T591" s="1"/>
      <c r="U591">
        <v>41133</v>
      </c>
      <c r="V591">
        <v>0</v>
      </c>
      <c r="W591">
        <v>56614</v>
      </c>
    </row>
    <row r="592" spans="1:23" x14ac:dyDescent="0.25">
      <c r="A592" s="1" t="s">
        <v>27</v>
      </c>
      <c r="B592" s="1" t="s">
        <v>48</v>
      </c>
      <c r="C592" s="1" t="s">
        <v>109</v>
      </c>
      <c r="D592">
        <v>5244</v>
      </c>
      <c r="E592" s="1"/>
      <c r="F592" s="1" t="s">
        <v>256</v>
      </c>
      <c r="G592">
        <v>2012</v>
      </c>
      <c r="H592">
        <v>40856.71</v>
      </c>
      <c r="I592">
        <v>12</v>
      </c>
      <c r="J592" s="1" t="s">
        <v>466</v>
      </c>
      <c r="K592">
        <v>0</v>
      </c>
      <c r="L592">
        <v>560</v>
      </c>
      <c r="M592">
        <v>72.945384000000004</v>
      </c>
      <c r="N592">
        <v>1</v>
      </c>
      <c r="O592" s="1" t="s">
        <v>563</v>
      </c>
      <c r="P592">
        <v>42838.54</v>
      </c>
      <c r="Q592">
        <v>227.17</v>
      </c>
      <c r="R592">
        <v>1</v>
      </c>
      <c r="S592" s="1" t="s">
        <v>762</v>
      </c>
      <c r="T592" s="1"/>
      <c r="U592">
        <v>1171.0150000000001</v>
      </c>
      <c r="V592">
        <v>0</v>
      </c>
      <c r="W592">
        <v>56993</v>
      </c>
    </row>
    <row r="593" spans="1:23" x14ac:dyDescent="0.25">
      <c r="A593" s="1" t="s">
        <v>27</v>
      </c>
      <c r="B593" s="1" t="s">
        <v>48</v>
      </c>
      <c r="C593" s="1" t="s">
        <v>109</v>
      </c>
      <c r="D593">
        <v>5244</v>
      </c>
      <c r="E593" s="1"/>
      <c r="F593" s="1" t="s">
        <v>256</v>
      </c>
      <c r="G593">
        <v>2011</v>
      </c>
      <c r="H593">
        <v>37893</v>
      </c>
      <c r="I593">
        <v>12</v>
      </c>
      <c r="J593" s="1" t="s">
        <v>466</v>
      </c>
      <c r="K593">
        <v>0</v>
      </c>
      <c r="L593">
        <v>560</v>
      </c>
      <c r="M593">
        <v>67.653989999999993</v>
      </c>
      <c r="N593">
        <v>1</v>
      </c>
      <c r="O593" s="1" t="s">
        <v>562</v>
      </c>
      <c r="P593">
        <v>41110.04</v>
      </c>
      <c r="Q593">
        <v>7605.35</v>
      </c>
      <c r="R593">
        <v>0</v>
      </c>
      <c r="S593" s="1" t="s">
        <v>762</v>
      </c>
      <c r="T593" s="1"/>
      <c r="U593">
        <v>37893</v>
      </c>
      <c r="V593">
        <v>0</v>
      </c>
      <c r="W593">
        <v>56614</v>
      </c>
    </row>
    <row r="594" spans="1:23" x14ac:dyDescent="0.25">
      <c r="A594" s="1" t="s">
        <v>27</v>
      </c>
      <c r="B594" s="1" t="s">
        <v>48</v>
      </c>
      <c r="C594" s="1" t="s">
        <v>109</v>
      </c>
      <c r="D594">
        <v>5244</v>
      </c>
      <c r="E594" s="1"/>
      <c r="F594" s="1" t="s">
        <v>256</v>
      </c>
      <c r="G594">
        <v>2011</v>
      </c>
      <c r="H594">
        <v>38109.99</v>
      </c>
      <c r="I594">
        <v>12</v>
      </c>
      <c r="J594" s="1" t="s">
        <v>466</v>
      </c>
      <c r="K594">
        <v>0</v>
      </c>
      <c r="L594">
        <v>560</v>
      </c>
      <c r="M594">
        <v>68.041403000000003</v>
      </c>
      <c r="N594">
        <v>1</v>
      </c>
      <c r="O594" s="1" t="s">
        <v>563</v>
      </c>
      <c r="P594">
        <v>41629.67</v>
      </c>
      <c r="Q594">
        <v>220.74</v>
      </c>
      <c r="R594">
        <v>1</v>
      </c>
      <c r="S594" s="1" t="s">
        <v>762</v>
      </c>
      <c r="T594" s="1"/>
      <c r="U594">
        <v>1092.29</v>
      </c>
      <c r="V594">
        <v>0</v>
      </c>
      <c r="W594">
        <v>56993</v>
      </c>
    </row>
    <row r="595" spans="1:23" x14ac:dyDescent="0.25">
      <c r="A595" s="1" t="s">
        <v>27</v>
      </c>
      <c r="B595" s="1" t="s">
        <v>48</v>
      </c>
      <c r="C595" s="1" t="s">
        <v>109</v>
      </c>
      <c r="D595">
        <v>5244</v>
      </c>
      <c r="E595" s="1"/>
      <c r="F595" s="1" t="s">
        <v>256</v>
      </c>
      <c r="G595">
        <v>2010</v>
      </c>
      <c r="H595">
        <v>50296</v>
      </c>
      <c r="I595">
        <v>12</v>
      </c>
      <c r="J595" s="1" t="s">
        <v>466</v>
      </c>
      <c r="K595">
        <v>0</v>
      </c>
      <c r="L595">
        <v>560</v>
      </c>
      <c r="M595">
        <v>89.798249999999996</v>
      </c>
      <c r="N595">
        <v>1</v>
      </c>
      <c r="O595" s="1" t="s">
        <v>562</v>
      </c>
      <c r="P595">
        <v>45916.34</v>
      </c>
      <c r="Q595">
        <v>8494.52</v>
      </c>
      <c r="R595">
        <v>0</v>
      </c>
      <c r="S595" s="1" t="s">
        <v>762</v>
      </c>
      <c r="T595" s="1"/>
      <c r="U595">
        <v>50296</v>
      </c>
      <c r="V595">
        <v>0</v>
      </c>
      <c r="W595">
        <v>56614</v>
      </c>
    </row>
    <row r="596" spans="1:23" x14ac:dyDescent="0.25">
      <c r="A596" s="1" t="s">
        <v>27</v>
      </c>
      <c r="B596" s="1" t="s">
        <v>48</v>
      </c>
      <c r="C596" s="1" t="s">
        <v>109</v>
      </c>
      <c r="D596">
        <v>5244</v>
      </c>
      <c r="E596" s="1"/>
      <c r="F596" s="1" t="s">
        <v>256</v>
      </c>
      <c r="G596">
        <v>2010</v>
      </c>
      <c r="H596">
        <v>51497.29</v>
      </c>
      <c r="I596">
        <v>12</v>
      </c>
      <c r="J596" s="1" t="s">
        <v>466</v>
      </c>
      <c r="K596">
        <v>0</v>
      </c>
      <c r="L596">
        <v>560</v>
      </c>
      <c r="M596">
        <v>91.943027999999998</v>
      </c>
      <c r="N596">
        <v>1</v>
      </c>
      <c r="O596" s="1" t="s">
        <v>563</v>
      </c>
      <c r="P596">
        <v>47250.37</v>
      </c>
      <c r="Q596">
        <v>250.55</v>
      </c>
      <c r="R596">
        <v>1</v>
      </c>
      <c r="S596" s="1" t="s">
        <v>762</v>
      </c>
      <c r="T596" s="1"/>
      <c r="U596">
        <v>1475.99</v>
      </c>
      <c r="V596">
        <v>0</v>
      </c>
      <c r="W596">
        <v>56993</v>
      </c>
    </row>
    <row r="597" spans="1:23" x14ac:dyDescent="0.25">
      <c r="A597" s="1" t="s">
        <v>27</v>
      </c>
      <c r="B597" s="1" t="s">
        <v>48</v>
      </c>
      <c r="C597" s="1" t="s">
        <v>109</v>
      </c>
      <c r="D597">
        <v>5244</v>
      </c>
      <c r="E597" s="1"/>
      <c r="F597" s="1" t="s">
        <v>256</v>
      </c>
      <c r="G597">
        <v>2009</v>
      </c>
      <c r="H597">
        <v>42437</v>
      </c>
      <c r="I597">
        <v>12</v>
      </c>
      <c r="J597" s="1" t="s">
        <v>466</v>
      </c>
      <c r="K597">
        <v>0</v>
      </c>
      <c r="L597">
        <v>560</v>
      </c>
      <c r="M597">
        <v>75.766827000000006</v>
      </c>
      <c r="N597">
        <v>1</v>
      </c>
      <c r="O597" s="1" t="s">
        <v>562</v>
      </c>
      <c r="P597">
        <v>44465.760000000002</v>
      </c>
      <c r="Q597">
        <v>8226.18</v>
      </c>
      <c r="R597">
        <v>0</v>
      </c>
      <c r="S597" s="1" t="s">
        <v>762</v>
      </c>
      <c r="T597" s="1"/>
      <c r="U597">
        <v>42437</v>
      </c>
      <c r="V597">
        <v>0</v>
      </c>
      <c r="W597">
        <v>56614</v>
      </c>
    </row>
    <row r="598" spans="1:23" x14ac:dyDescent="0.25">
      <c r="A598" s="1" t="s">
        <v>27</v>
      </c>
      <c r="B598" s="1" t="s">
        <v>48</v>
      </c>
      <c r="C598" s="1" t="s">
        <v>109</v>
      </c>
      <c r="D598">
        <v>5244</v>
      </c>
      <c r="E598" s="1"/>
      <c r="F598" s="1" t="s">
        <v>256</v>
      </c>
      <c r="G598">
        <v>2009</v>
      </c>
      <c r="H598">
        <v>44488.59</v>
      </c>
      <c r="I598">
        <v>12</v>
      </c>
      <c r="J598" s="1" t="s">
        <v>466</v>
      </c>
      <c r="K598">
        <v>0</v>
      </c>
      <c r="L598">
        <v>560</v>
      </c>
      <c r="M598">
        <v>79.429726000000002</v>
      </c>
      <c r="N598">
        <v>1</v>
      </c>
      <c r="O598" s="1" t="s">
        <v>563</v>
      </c>
      <c r="P598">
        <v>48056.92</v>
      </c>
      <c r="Q598">
        <v>254.82</v>
      </c>
      <c r="R598">
        <v>1</v>
      </c>
      <c r="S598" s="1" t="s">
        <v>762</v>
      </c>
      <c r="T598" s="1"/>
      <c r="U598">
        <v>1275.1099999999999</v>
      </c>
      <c r="V598">
        <v>0</v>
      </c>
      <c r="W598">
        <v>56993</v>
      </c>
    </row>
    <row r="599" spans="1:23" x14ac:dyDescent="0.25">
      <c r="A599" s="1" t="s">
        <v>27</v>
      </c>
      <c r="B599" s="1" t="s">
        <v>48</v>
      </c>
      <c r="C599" s="1" t="s">
        <v>109</v>
      </c>
      <c r="D599">
        <v>5244</v>
      </c>
      <c r="E599" s="1"/>
      <c r="F599" s="1" t="s">
        <v>256</v>
      </c>
      <c r="G599">
        <v>2008</v>
      </c>
      <c r="H599">
        <v>39623</v>
      </c>
      <c r="I599">
        <v>12</v>
      </c>
      <c r="J599" s="1" t="s">
        <v>466</v>
      </c>
      <c r="K599">
        <v>0</v>
      </c>
      <c r="L599">
        <v>560</v>
      </c>
      <c r="M599">
        <v>70.742723999999995</v>
      </c>
      <c r="N599">
        <v>1</v>
      </c>
      <c r="O599" s="1" t="s">
        <v>562</v>
      </c>
      <c r="P599">
        <v>45206.34</v>
      </c>
      <c r="Q599">
        <v>8363.17</v>
      </c>
      <c r="R599">
        <v>0</v>
      </c>
      <c r="S599" s="1" t="s">
        <v>762</v>
      </c>
      <c r="T599" s="1"/>
      <c r="U599">
        <v>39623</v>
      </c>
      <c r="V599">
        <v>0</v>
      </c>
      <c r="W599">
        <v>56614</v>
      </c>
    </row>
    <row r="600" spans="1:23" x14ac:dyDescent="0.25">
      <c r="A600" s="1" t="s">
        <v>27</v>
      </c>
      <c r="B600" s="1" t="s">
        <v>48</v>
      </c>
      <c r="C600" s="1" t="s">
        <v>109</v>
      </c>
      <c r="D600">
        <v>5244</v>
      </c>
      <c r="E600" s="1"/>
      <c r="F600" s="1" t="s">
        <v>256</v>
      </c>
      <c r="G600">
        <v>2008</v>
      </c>
      <c r="H600">
        <v>39489.919999999998</v>
      </c>
      <c r="I600">
        <v>12</v>
      </c>
      <c r="J600" s="1" t="s">
        <v>466</v>
      </c>
      <c r="K600">
        <v>0</v>
      </c>
      <c r="L600">
        <v>560</v>
      </c>
      <c r="M600">
        <v>70.505123999999995</v>
      </c>
      <c r="N600">
        <v>1</v>
      </c>
      <c r="O600" s="1" t="s">
        <v>563</v>
      </c>
      <c r="P600">
        <v>44827.18</v>
      </c>
      <c r="Q600">
        <v>237.68</v>
      </c>
      <c r="R600">
        <v>1</v>
      </c>
      <c r="S600" s="1" t="s">
        <v>762</v>
      </c>
      <c r="T600" s="1"/>
      <c r="U600">
        <v>1131.8399999999999</v>
      </c>
      <c r="V600">
        <v>0</v>
      </c>
      <c r="W600">
        <v>56993</v>
      </c>
    </row>
    <row r="601" spans="1:23" x14ac:dyDescent="0.25">
      <c r="A601" s="1" t="s">
        <v>27</v>
      </c>
      <c r="B601" s="1"/>
      <c r="C601" s="1" t="s">
        <v>110</v>
      </c>
      <c r="D601">
        <v>9965</v>
      </c>
      <c r="E601" s="1"/>
      <c r="F601" s="1" t="s">
        <v>110</v>
      </c>
      <c r="G601">
        <v>2015</v>
      </c>
      <c r="H601">
        <v>31530</v>
      </c>
      <c r="I601">
        <v>5</v>
      </c>
      <c r="J601" s="1" t="s">
        <v>405</v>
      </c>
      <c r="K601">
        <v>0</v>
      </c>
      <c r="L601">
        <v>715</v>
      </c>
      <c r="M601">
        <v>44.091735</v>
      </c>
      <c r="N601">
        <v>1</v>
      </c>
      <c r="O601" s="1" t="s">
        <v>565</v>
      </c>
      <c r="P601">
        <v>35589.15</v>
      </c>
      <c r="Q601">
        <v>2277.6999999999998</v>
      </c>
      <c r="R601">
        <v>0</v>
      </c>
      <c r="S601" s="1"/>
      <c r="T601" s="1"/>
      <c r="U601">
        <v>31.53</v>
      </c>
      <c r="V601">
        <v>0</v>
      </c>
      <c r="W601">
        <v>76374</v>
      </c>
    </row>
    <row r="602" spans="1:23" x14ac:dyDescent="0.25">
      <c r="A602" s="1" t="s">
        <v>27</v>
      </c>
      <c r="B602" s="1"/>
      <c r="C602" s="1" t="s">
        <v>110</v>
      </c>
      <c r="D602">
        <v>9965</v>
      </c>
      <c r="E602" s="1"/>
      <c r="F602" s="1" t="s">
        <v>110</v>
      </c>
      <c r="G602">
        <v>2014</v>
      </c>
      <c r="H602">
        <v>48470</v>
      </c>
      <c r="I602">
        <v>12</v>
      </c>
      <c r="J602" s="1" t="s">
        <v>405</v>
      </c>
      <c r="K602">
        <v>0</v>
      </c>
      <c r="L602">
        <v>715</v>
      </c>
      <c r="M602">
        <v>67.780728999999994</v>
      </c>
      <c r="N602">
        <v>1</v>
      </c>
      <c r="O602" s="1" t="s">
        <v>565</v>
      </c>
      <c r="P602">
        <v>57460.4</v>
      </c>
      <c r="Q602">
        <v>3677.46</v>
      </c>
      <c r="R602">
        <v>0</v>
      </c>
      <c r="S602" s="1"/>
      <c r="T602" s="1"/>
      <c r="U602">
        <v>48.47</v>
      </c>
      <c r="V602">
        <v>0</v>
      </c>
      <c r="W602">
        <v>76374</v>
      </c>
    </row>
    <row r="603" spans="1:23" x14ac:dyDescent="0.25">
      <c r="A603" s="1" t="s">
        <v>27</v>
      </c>
      <c r="B603" s="1"/>
      <c r="C603" s="1" t="s">
        <v>110</v>
      </c>
      <c r="D603">
        <v>9965</v>
      </c>
      <c r="E603" s="1"/>
      <c r="F603" s="1" t="s">
        <v>110</v>
      </c>
      <c r="G603">
        <v>2013</v>
      </c>
      <c r="H603">
        <v>63760</v>
      </c>
      <c r="I603">
        <v>12</v>
      </c>
      <c r="J603" s="1" t="s">
        <v>405</v>
      </c>
      <c r="K603">
        <v>0</v>
      </c>
      <c r="L603">
        <v>715</v>
      </c>
      <c r="M603">
        <v>89.162353999999993</v>
      </c>
      <c r="N603">
        <v>1</v>
      </c>
      <c r="O603" s="1" t="s">
        <v>565</v>
      </c>
      <c r="P603">
        <v>66574.94</v>
      </c>
      <c r="Q603">
        <v>4260.79</v>
      </c>
      <c r="R603">
        <v>0</v>
      </c>
      <c r="S603" s="1"/>
      <c r="T603" s="1"/>
      <c r="U603">
        <v>63.76</v>
      </c>
      <c r="V603">
        <v>0</v>
      </c>
      <c r="W603">
        <v>76374</v>
      </c>
    </row>
    <row r="604" spans="1:23" x14ac:dyDescent="0.25">
      <c r="A604" s="1" t="s">
        <v>27</v>
      </c>
      <c r="B604" s="1"/>
      <c r="C604" s="1" t="s">
        <v>110</v>
      </c>
      <c r="D604">
        <v>9965</v>
      </c>
      <c r="E604" s="1"/>
      <c r="F604" s="1" t="s">
        <v>110</v>
      </c>
      <c r="G604">
        <v>2012</v>
      </c>
      <c r="H604">
        <v>61850</v>
      </c>
      <c r="I604">
        <v>12</v>
      </c>
      <c r="J604" s="1" t="s">
        <v>405</v>
      </c>
      <c r="K604">
        <v>0</v>
      </c>
      <c r="L604">
        <v>715</v>
      </c>
      <c r="M604">
        <v>86.491399000000001</v>
      </c>
      <c r="N604">
        <v>1</v>
      </c>
      <c r="O604" s="1" t="s">
        <v>565</v>
      </c>
      <c r="P604">
        <v>64952.71</v>
      </c>
      <c r="Q604">
        <v>12016.26</v>
      </c>
      <c r="R604">
        <v>0</v>
      </c>
      <c r="S604" s="1"/>
      <c r="T604" s="1"/>
      <c r="U604">
        <v>61.85</v>
      </c>
      <c r="V604">
        <v>0</v>
      </c>
      <c r="W604">
        <v>76374</v>
      </c>
    </row>
    <row r="605" spans="1:23" x14ac:dyDescent="0.25">
      <c r="A605" s="1" t="s">
        <v>27</v>
      </c>
      <c r="B605" s="1"/>
      <c r="C605" s="1" t="s">
        <v>110</v>
      </c>
      <c r="D605">
        <v>9965</v>
      </c>
      <c r="E605" s="1"/>
      <c r="F605" s="1" t="s">
        <v>110</v>
      </c>
      <c r="G605">
        <v>2011</v>
      </c>
      <c r="H605">
        <v>75940</v>
      </c>
      <c r="I605">
        <v>12</v>
      </c>
      <c r="J605" s="1" t="s">
        <v>405</v>
      </c>
      <c r="K605">
        <v>0</v>
      </c>
      <c r="L605">
        <v>715</v>
      </c>
      <c r="M605">
        <v>106.194937</v>
      </c>
      <c r="N605">
        <v>1</v>
      </c>
      <c r="O605" s="1" t="s">
        <v>565</v>
      </c>
      <c r="P605">
        <v>83300.929999999993</v>
      </c>
      <c r="Q605">
        <v>15410.68</v>
      </c>
      <c r="R605">
        <v>0</v>
      </c>
      <c r="S605" s="1"/>
      <c r="T605" s="1"/>
      <c r="U605">
        <v>75.94</v>
      </c>
      <c r="V605">
        <v>0</v>
      </c>
      <c r="W605">
        <v>76374</v>
      </c>
    </row>
    <row r="606" spans="1:23" x14ac:dyDescent="0.25">
      <c r="A606" s="1" t="s">
        <v>27</v>
      </c>
      <c r="B606" s="1"/>
      <c r="C606" s="1" t="s">
        <v>110</v>
      </c>
      <c r="D606">
        <v>9965</v>
      </c>
      <c r="E606" s="1"/>
      <c r="F606" s="1" t="s">
        <v>110</v>
      </c>
      <c r="G606">
        <v>2010</v>
      </c>
      <c r="H606">
        <v>94808.36</v>
      </c>
      <c r="I606">
        <v>5</v>
      </c>
      <c r="J606" s="1" t="s">
        <v>405</v>
      </c>
      <c r="K606">
        <v>0</v>
      </c>
      <c r="L606">
        <v>715</v>
      </c>
      <c r="M606">
        <v>132.58056199999999</v>
      </c>
      <c r="N606">
        <v>1</v>
      </c>
      <c r="O606" s="1" t="s">
        <v>565</v>
      </c>
      <c r="P606">
        <v>120166.53</v>
      </c>
      <c r="Q606">
        <v>22230.81</v>
      </c>
      <c r="R606">
        <v>0</v>
      </c>
      <c r="S606" s="1"/>
      <c r="T606" s="1"/>
      <c r="U606">
        <v>94.808359999999993</v>
      </c>
      <c r="V606">
        <v>0</v>
      </c>
      <c r="W606">
        <v>76374</v>
      </c>
    </row>
    <row r="607" spans="1:23" x14ac:dyDescent="0.25">
      <c r="A607" s="1" t="s">
        <v>27</v>
      </c>
      <c r="B607" s="1"/>
      <c r="C607" s="1" t="s">
        <v>110</v>
      </c>
      <c r="D607">
        <v>9965</v>
      </c>
      <c r="E607" s="1"/>
      <c r="F607" s="1" t="s">
        <v>110</v>
      </c>
      <c r="G607">
        <v>2009</v>
      </c>
      <c r="H607">
        <v>91735.94</v>
      </c>
      <c r="I607">
        <v>5</v>
      </c>
      <c r="J607" s="1" t="s">
        <v>405</v>
      </c>
      <c r="K607">
        <v>0</v>
      </c>
      <c r="L607">
        <v>715</v>
      </c>
      <c r="M607">
        <v>128.28407200000001</v>
      </c>
      <c r="N607">
        <v>1</v>
      </c>
      <c r="O607" s="1" t="s">
        <v>565</v>
      </c>
      <c r="P607">
        <v>123942.38</v>
      </c>
      <c r="Q607">
        <v>22929.34</v>
      </c>
      <c r="R607">
        <v>0</v>
      </c>
      <c r="S607" s="1"/>
      <c r="T607" s="1"/>
      <c r="U607">
        <v>91.735939999999999</v>
      </c>
      <c r="V607">
        <v>0</v>
      </c>
      <c r="W607">
        <v>76374</v>
      </c>
    </row>
    <row r="608" spans="1:23" x14ac:dyDescent="0.25">
      <c r="A608" s="1" t="s">
        <v>27</v>
      </c>
      <c r="B608" s="1"/>
      <c r="C608" s="1" t="s">
        <v>110</v>
      </c>
      <c r="D608">
        <v>9965</v>
      </c>
      <c r="E608" s="1"/>
      <c r="F608" s="1" t="s">
        <v>110</v>
      </c>
      <c r="G608">
        <v>2008</v>
      </c>
      <c r="H608">
        <v>70326.37</v>
      </c>
      <c r="I608">
        <v>5</v>
      </c>
      <c r="J608" s="1" t="s">
        <v>405</v>
      </c>
      <c r="K608">
        <v>0</v>
      </c>
      <c r="L608">
        <v>715</v>
      </c>
      <c r="M608">
        <v>98.344803999999996</v>
      </c>
      <c r="N608">
        <v>1</v>
      </c>
      <c r="O608" s="1" t="s">
        <v>565</v>
      </c>
      <c r="P608">
        <v>83087.899999999994</v>
      </c>
      <c r="Q608">
        <v>15371.26</v>
      </c>
      <c r="R608">
        <v>0</v>
      </c>
      <c r="S608" s="1"/>
      <c r="T608" s="1"/>
      <c r="U608">
        <v>70.326369999999997</v>
      </c>
      <c r="V608">
        <v>0</v>
      </c>
      <c r="W608">
        <v>76374</v>
      </c>
    </row>
    <row r="609" spans="1:23" x14ac:dyDescent="0.25">
      <c r="A609" s="1" t="s">
        <v>27</v>
      </c>
      <c r="B609" s="1" t="s">
        <v>49</v>
      </c>
      <c r="C609" s="1" t="s">
        <v>111</v>
      </c>
      <c r="D609">
        <v>5251</v>
      </c>
      <c r="E609" s="1"/>
      <c r="F609" s="1" t="s">
        <v>257</v>
      </c>
      <c r="G609">
        <v>2015</v>
      </c>
      <c r="H609">
        <v>24244.16</v>
      </c>
      <c r="I609">
        <v>5</v>
      </c>
      <c r="J609" s="1" t="s">
        <v>442</v>
      </c>
      <c r="K609">
        <v>0</v>
      </c>
      <c r="L609">
        <v>375</v>
      </c>
      <c r="M609">
        <v>64.633857000000006</v>
      </c>
      <c r="N609">
        <v>1</v>
      </c>
      <c r="O609" s="1" t="s">
        <v>564</v>
      </c>
      <c r="P609">
        <v>26833.119999999999</v>
      </c>
      <c r="Q609">
        <v>5674.72</v>
      </c>
      <c r="R609">
        <v>0</v>
      </c>
      <c r="S609" s="1" t="s">
        <v>763</v>
      </c>
      <c r="T609" s="1" t="s">
        <v>1186</v>
      </c>
      <c r="U609">
        <v>2244.83</v>
      </c>
      <c r="V609">
        <v>0</v>
      </c>
      <c r="W609">
        <v>56681</v>
      </c>
    </row>
    <row r="610" spans="1:23" x14ac:dyDescent="0.25">
      <c r="A610" s="1" t="s">
        <v>27</v>
      </c>
      <c r="B610" s="1" t="s">
        <v>49</v>
      </c>
      <c r="C610" s="1" t="s">
        <v>111</v>
      </c>
      <c r="D610">
        <v>5251</v>
      </c>
      <c r="E610" s="1"/>
      <c r="F610" s="1" t="s">
        <v>257</v>
      </c>
      <c r="G610">
        <v>2014</v>
      </c>
      <c r="H610">
        <v>48871.33</v>
      </c>
      <c r="I610">
        <v>10</v>
      </c>
      <c r="J610" s="1" t="s">
        <v>442</v>
      </c>
      <c r="K610">
        <v>0</v>
      </c>
      <c r="L610">
        <v>375</v>
      </c>
      <c r="M610">
        <v>130.288802</v>
      </c>
      <c r="N610">
        <v>1</v>
      </c>
      <c r="O610" s="1" t="s">
        <v>564</v>
      </c>
      <c r="P610">
        <v>58165.45</v>
      </c>
      <c r="Q610">
        <v>12300.93</v>
      </c>
      <c r="R610">
        <v>0</v>
      </c>
      <c r="S610" s="1" t="s">
        <v>763</v>
      </c>
      <c r="T610" s="1" t="s">
        <v>1186</v>
      </c>
      <c r="U610">
        <v>4525.1225599999998</v>
      </c>
      <c r="V610">
        <v>0</v>
      </c>
      <c r="W610">
        <v>56681</v>
      </c>
    </row>
    <row r="611" spans="1:23" x14ac:dyDescent="0.25">
      <c r="A611" s="1" t="s">
        <v>27</v>
      </c>
      <c r="B611" s="1" t="s">
        <v>49</v>
      </c>
      <c r="C611" s="1" t="s">
        <v>111</v>
      </c>
      <c r="D611">
        <v>5251</v>
      </c>
      <c r="E611" s="1"/>
      <c r="F611" s="1" t="s">
        <v>257</v>
      </c>
      <c r="G611">
        <v>2014</v>
      </c>
      <c r="H611">
        <v>26364.34</v>
      </c>
      <c r="I611">
        <v>2</v>
      </c>
      <c r="J611" s="1" t="s">
        <v>467</v>
      </c>
      <c r="K611">
        <v>0</v>
      </c>
      <c r="L611">
        <v>375</v>
      </c>
      <c r="M611">
        <v>70.286163000000002</v>
      </c>
      <c r="N611">
        <v>1</v>
      </c>
      <c r="O611" s="1" t="s">
        <v>564</v>
      </c>
      <c r="P611">
        <v>31128.28</v>
      </c>
      <c r="Q611">
        <v>6583.05</v>
      </c>
      <c r="R611">
        <v>1</v>
      </c>
      <c r="S611" s="1" t="s">
        <v>764</v>
      </c>
      <c r="T611" s="1"/>
      <c r="U611">
        <v>2441.1428599999999</v>
      </c>
      <c r="V611">
        <v>0</v>
      </c>
      <c r="W611">
        <v>94892</v>
      </c>
    </row>
    <row r="612" spans="1:23" x14ac:dyDescent="0.25">
      <c r="A612" s="1" t="s">
        <v>27</v>
      </c>
      <c r="B612" s="1" t="s">
        <v>49</v>
      </c>
      <c r="C612" s="1" t="s">
        <v>111</v>
      </c>
      <c r="D612">
        <v>5251</v>
      </c>
      <c r="E612" s="1"/>
      <c r="F612" s="1" t="s">
        <v>257</v>
      </c>
      <c r="G612">
        <v>2013</v>
      </c>
      <c r="H612">
        <v>111889.04</v>
      </c>
      <c r="I612">
        <v>3</v>
      </c>
      <c r="J612" s="1" t="s">
        <v>442</v>
      </c>
      <c r="K612">
        <v>0</v>
      </c>
      <c r="L612">
        <v>375</v>
      </c>
      <c r="M612">
        <v>298.29122899999999</v>
      </c>
      <c r="N612">
        <v>1</v>
      </c>
      <c r="O612" s="1" t="s">
        <v>564</v>
      </c>
      <c r="P612">
        <v>142602.53</v>
      </c>
      <c r="Q612">
        <v>30157.79</v>
      </c>
      <c r="R612">
        <v>0</v>
      </c>
      <c r="S612" s="1" t="s">
        <v>763</v>
      </c>
      <c r="T612" s="1" t="s">
        <v>1186</v>
      </c>
      <c r="U612">
        <v>10360.09504</v>
      </c>
      <c r="V612">
        <v>0</v>
      </c>
      <c r="W612">
        <v>56681</v>
      </c>
    </row>
    <row r="613" spans="1:23" x14ac:dyDescent="0.25">
      <c r="A613" s="1" t="s">
        <v>27</v>
      </c>
      <c r="B613" s="1" t="s">
        <v>49</v>
      </c>
      <c r="C613" s="1" t="s">
        <v>111</v>
      </c>
      <c r="D613">
        <v>5251</v>
      </c>
      <c r="E613" s="1"/>
      <c r="F613" s="1" t="s">
        <v>257</v>
      </c>
      <c r="G613">
        <v>2013</v>
      </c>
      <c r="H613">
        <v>85364.91</v>
      </c>
      <c r="I613">
        <v>5</v>
      </c>
      <c r="J613" s="1" t="s">
        <v>467</v>
      </c>
      <c r="K613">
        <v>0</v>
      </c>
      <c r="L613">
        <v>375</v>
      </c>
      <c r="M613">
        <v>227.579072</v>
      </c>
      <c r="N613">
        <v>1</v>
      </c>
      <c r="O613" s="1" t="s">
        <v>564</v>
      </c>
      <c r="P613">
        <v>120575.91</v>
      </c>
      <c r="Q613">
        <v>25499.57</v>
      </c>
      <c r="R613">
        <v>1</v>
      </c>
      <c r="S613" s="1" t="s">
        <v>764</v>
      </c>
      <c r="T613" s="1"/>
      <c r="U613">
        <v>7904.1583600000004</v>
      </c>
      <c r="V613">
        <v>0</v>
      </c>
      <c r="W613">
        <v>94892</v>
      </c>
    </row>
    <row r="614" spans="1:23" x14ac:dyDescent="0.25">
      <c r="A614" s="1" t="s">
        <v>27</v>
      </c>
      <c r="B614" s="1" t="s">
        <v>49</v>
      </c>
      <c r="C614" s="1" t="s">
        <v>111</v>
      </c>
      <c r="D614">
        <v>5251</v>
      </c>
      <c r="E614" s="1"/>
      <c r="F614" s="1" t="s">
        <v>257</v>
      </c>
      <c r="G614">
        <v>2012</v>
      </c>
      <c r="H614">
        <v>121531.83</v>
      </c>
      <c r="I614">
        <v>3</v>
      </c>
      <c r="J614" s="1" t="s">
        <v>442</v>
      </c>
      <c r="K614">
        <v>0</v>
      </c>
      <c r="L614">
        <v>375</v>
      </c>
      <c r="M614">
        <v>323.99847999999997</v>
      </c>
      <c r="N614">
        <v>1</v>
      </c>
      <c r="O614" s="1" t="s">
        <v>564</v>
      </c>
      <c r="P614">
        <v>138576</v>
      </c>
      <c r="Q614">
        <v>29306.240000000002</v>
      </c>
      <c r="R614">
        <v>0</v>
      </c>
      <c r="S614" s="1" t="s">
        <v>763</v>
      </c>
      <c r="T614" s="1" t="s">
        <v>1186</v>
      </c>
      <c r="U614">
        <v>11252.945739999999</v>
      </c>
      <c r="V614">
        <v>0</v>
      </c>
      <c r="W614">
        <v>56681</v>
      </c>
    </row>
    <row r="615" spans="1:23" x14ac:dyDescent="0.25">
      <c r="A615" s="1" t="s">
        <v>27</v>
      </c>
      <c r="B615" s="1" t="s">
        <v>49</v>
      </c>
      <c r="C615" s="1" t="s">
        <v>111</v>
      </c>
      <c r="D615">
        <v>5251</v>
      </c>
      <c r="E615" s="1"/>
      <c r="F615" s="1" t="s">
        <v>257</v>
      </c>
      <c r="G615">
        <v>2012</v>
      </c>
      <c r="H615">
        <v>102134.57</v>
      </c>
      <c r="I615">
        <v>0</v>
      </c>
      <c r="J615" s="1" t="s">
        <v>467</v>
      </c>
      <c r="K615">
        <v>0</v>
      </c>
      <c r="L615">
        <v>375</v>
      </c>
      <c r="M615">
        <v>272.28624300000001</v>
      </c>
      <c r="N615">
        <v>1</v>
      </c>
      <c r="O615" s="1" t="s">
        <v>564</v>
      </c>
      <c r="P615">
        <v>113372.44</v>
      </c>
      <c r="Q615">
        <v>23976.18</v>
      </c>
      <c r="R615">
        <v>1</v>
      </c>
      <c r="S615" s="1" t="s">
        <v>764</v>
      </c>
      <c r="T615" s="1"/>
      <c r="U615">
        <v>9456.9036500000002</v>
      </c>
      <c r="V615">
        <v>0</v>
      </c>
      <c r="W615">
        <v>94892</v>
      </c>
    </row>
    <row r="616" spans="1:23" x14ac:dyDescent="0.25">
      <c r="A616" s="1" t="s">
        <v>27</v>
      </c>
      <c r="B616" s="1" t="s">
        <v>49</v>
      </c>
      <c r="C616" s="1" t="s">
        <v>111</v>
      </c>
      <c r="D616">
        <v>5251</v>
      </c>
      <c r="E616" s="1"/>
      <c r="F616" s="1" t="s">
        <v>257</v>
      </c>
      <c r="G616">
        <v>2011</v>
      </c>
      <c r="H616">
        <v>49130.55</v>
      </c>
      <c r="I616">
        <v>3</v>
      </c>
      <c r="J616" s="1" t="s">
        <v>442</v>
      </c>
      <c r="K616">
        <v>0</v>
      </c>
      <c r="L616">
        <v>375</v>
      </c>
      <c r="M616">
        <v>130.979872</v>
      </c>
      <c r="N616">
        <v>1</v>
      </c>
      <c r="O616" s="1" t="s">
        <v>564</v>
      </c>
      <c r="P616">
        <v>56448.46</v>
      </c>
      <c r="Q616">
        <v>11937.81</v>
      </c>
      <c r="R616">
        <v>0</v>
      </c>
      <c r="S616" s="1" t="s">
        <v>763</v>
      </c>
      <c r="T616" s="1" t="s">
        <v>1186</v>
      </c>
      <c r="U616">
        <v>4549.1273499999998</v>
      </c>
      <c r="V616">
        <v>0</v>
      </c>
      <c r="W616">
        <v>56681</v>
      </c>
    </row>
    <row r="617" spans="1:23" x14ac:dyDescent="0.25">
      <c r="A617" s="1" t="s">
        <v>27</v>
      </c>
      <c r="B617" s="1" t="s">
        <v>49</v>
      </c>
      <c r="C617" s="1" t="s">
        <v>111</v>
      </c>
      <c r="D617">
        <v>5251</v>
      </c>
      <c r="E617" s="1"/>
      <c r="F617" s="1" t="s">
        <v>257</v>
      </c>
      <c r="G617">
        <v>2011</v>
      </c>
      <c r="H617">
        <v>95262.75</v>
      </c>
      <c r="I617">
        <v>1</v>
      </c>
      <c r="J617" s="1" t="s">
        <v>467</v>
      </c>
      <c r="K617">
        <v>0</v>
      </c>
      <c r="L617">
        <v>375</v>
      </c>
      <c r="M617">
        <v>253.966275</v>
      </c>
      <c r="N617">
        <v>1</v>
      </c>
      <c r="O617" s="1" t="s">
        <v>564</v>
      </c>
      <c r="P617">
        <v>111653.7</v>
      </c>
      <c r="Q617">
        <v>23612.7</v>
      </c>
      <c r="R617">
        <v>1</v>
      </c>
      <c r="S617" s="1" t="s">
        <v>764</v>
      </c>
      <c r="T617" s="1"/>
      <c r="U617">
        <v>8820.6249499999994</v>
      </c>
      <c r="V617">
        <v>0</v>
      </c>
      <c r="W617">
        <v>94892</v>
      </c>
    </row>
    <row r="618" spans="1:23" x14ac:dyDescent="0.25">
      <c r="A618" s="1" t="s">
        <v>27</v>
      </c>
      <c r="B618" s="1" t="s">
        <v>49</v>
      </c>
      <c r="C618" s="1" t="s">
        <v>111</v>
      </c>
      <c r="D618">
        <v>5251</v>
      </c>
      <c r="E618" s="1"/>
      <c r="F618" s="1" t="s">
        <v>257</v>
      </c>
      <c r="G618">
        <v>2010</v>
      </c>
      <c r="H618">
        <v>79859.55</v>
      </c>
      <c r="I618">
        <v>1</v>
      </c>
      <c r="J618" s="1" t="s">
        <v>442</v>
      </c>
      <c r="K618">
        <v>0</v>
      </c>
      <c r="L618">
        <v>375</v>
      </c>
      <c r="M618">
        <v>212.90202600000001</v>
      </c>
      <c r="N618">
        <v>1</v>
      </c>
      <c r="O618" s="1" t="s">
        <v>564</v>
      </c>
      <c r="P618">
        <v>105172.58</v>
      </c>
      <c r="Q618">
        <v>22242.04</v>
      </c>
      <c r="R618">
        <v>0</v>
      </c>
      <c r="S618" s="1" t="s">
        <v>763</v>
      </c>
      <c r="T618" s="1" t="s">
        <v>1186</v>
      </c>
      <c r="U618">
        <v>7394.4022000000004</v>
      </c>
      <c r="V618">
        <v>0</v>
      </c>
      <c r="W618">
        <v>56681</v>
      </c>
    </row>
    <row r="619" spans="1:23" x14ac:dyDescent="0.25">
      <c r="A619" s="1" t="s">
        <v>27</v>
      </c>
      <c r="B619" s="1" t="s">
        <v>49</v>
      </c>
      <c r="C619" s="1" t="s">
        <v>111</v>
      </c>
      <c r="D619">
        <v>5251</v>
      </c>
      <c r="E619" s="1"/>
      <c r="F619" s="1" t="s">
        <v>257</v>
      </c>
      <c r="G619">
        <v>2010</v>
      </c>
      <c r="H619">
        <v>79899.67</v>
      </c>
      <c r="I619">
        <v>1</v>
      </c>
      <c r="J619" s="1" t="s">
        <v>467</v>
      </c>
      <c r="K619">
        <v>0</v>
      </c>
      <c r="L619">
        <v>375</v>
      </c>
      <c r="M619">
        <v>213.008984</v>
      </c>
      <c r="N619">
        <v>1</v>
      </c>
      <c r="O619" s="1" t="s">
        <v>564</v>
      </c>
      <c r="P619">
        <v>105446.46</v>
      </c>
      <c r="Q619">
        <v>22299.97</v>
      </c>
      <c r="R619">
        <v>1</v>
      </c>
      <c r="S619" s="1" t="s">
        <v>764</v>
      </c>
      <c r="T619" s="1"/>
      <c r="U619">
        <v>7398.12086</v>
      </c>
      <c r="V619">
        <v>0</v>
      </c>
      <c r="W619">
        <v>94892</v>
      </c>
    </row>
    <row r="620" spans="1:23" x14ac:dyDescent="0.25">
      <c r="A620" s="1" t="s">
        <v>27</v>
      </c>
      <c r="B620" s="1" t="s">
        <v>49</v>
      </c>
      <c r="C620" s="1" t="s">
        <v>111</v>
      </c>
      <c r="D620">
        <v>5251</v>
      </c>
      <c r="E620" s="1"/>
      <c r="F620" s="1" t="s">
        <v>257</v>
      </c>
      <c r="G620">
        <v>2009</v>
      </c>
      <c r="H620">
        <v>78080.23</v>
      </c>
      <c r="I620">
        <v>1</v>
      </c>
      <c r="J620" s="1" t="s">
        <v>442</v>
      </c>
      <c r="K620">
        <v>0</v>
      </c>
      <c r="L620">
        <v>375</v>
      </c>
      <c r="M620">
        <v>208.15843699999999</v>
      </c>
      <c r="N620">
        <v>1</v>
      </c>
      <c r="O620" s="1" t="s">
        <v>564</v>
      </c>
      <c r="P620">
        <v>112439.13</v>
      </c>
      <c r="Q620">
        <v>23778.799999999999</v>
      </c>
      <c r="R620">
        <v>0</v>
      </c>
      <c r="S620" s="1" t="s">
        <v>763</v>
      </c>
      <c r="T620" s="1" t="s">
        <v>1186</v>
      </c>
      <c r="U620">
        <v>7229.6479399999998</v>
      </c>
      <c r="V620">
        <v>0</v>
      </c>
      <c r="W620">
        <v>56681</v>
      </c>
    </row>
    <row r="621" spans="1:23" x14ac:dyDescent="0.25">
      <c r="A621" s="1" t="s">
        <v>27</v>
      </c>
      <c r="B621" s="1" t="s">
        <v>49</v>
      </c>
      <c r="C621" s="1" t="s">
        <v>111</v>
      </c>
      <c r="D621">
        <v>5251</v>
      </c>
      <c r="E621" s="1"/>
      <c r="F621" s="1" t="s">
        <v>257</v>
      </c>
      <c r="G621">
        <v>2009</v>
      </c>
      <c r="H621">
        <v>77666.149999999994</v>
      </c>
      <c r="I621">
        <v>1</v>
      </c>
      <c r="J621" s="1" t="s">
        <v>467</v>
      </c>
      <c r="K621">
        <v>0</v>
      </c>
      <c r="L621">
        <v>375</v>
      </c>
      <c r="M621">
        <v>207.054518</v>
      </c>
      <c r="N621">
        <v>1</v>
      </c>
      <c r="O621" s="1" t="s">
        <v>564</v>
      </c>
      <c r="P621">
        <v>111769.44</v>
      </c>
      <c r="Q621">
        <v>23637.16</v>
      </c>
      <c r="R621">
        <v>1</v>
      </c>
      <c r="S621" s="1" t="s">
        <v>764</v>
      </c>
      <c r="T621" s="1"/>
      <c r="U621">
        <v>7191.3100899999999</v>
      </c>
      <c r="V621">
        <v>0</v>
      </c>
      <c r="W621">
        <v>94892</v>
      </c>
    </row>
    <row r="622" spans="1:23" x14ac:dyDescent="0.25">
      <c r="A622" s="1" t="s">
        <v>27</v>
      </c>
      <c r="B622" s="1" t="s">
        <v>49</v>
      </c>
      <c r="C622" s="1" t="s">
        <v>111</v>
      </c>
      <c r="D622">
        <v>5251</v>
      </c>
      <c r="E622" s="1"/>
      <c r="F622" s="1" t="s">
        <v>257</v>
      </c>
      <c r="G622">
        <v>2008</v>
      </c>
      <c r="H622">
        <v>89296.03</v>
      </c>
      <c r="I622">
        <v>1</v>
      </c>
      <c r="J622" s="1" t="s">
        <v>442</v>
      </c>
      <c r="K622">
        <v>0</v>
      </c>
      <c r="L622">
        <v>375</v>
      </c>
      <c r="M622">
        <v>238.05926400000001</v>
      </c>
      <c r="N622">
        <v>1</v>
      </c>
      <c r="O622" s="1" t="s">
        <v>564</v>
      </c>
      <c r="P622">
        <v>111833.93</v>
      </c>
      <c r="Q622">
        <v>23650.799999999999</v>
      </c>
      <c r="R622">
        <v>0</v>
      </c>
      <c r="S622" s="1" t="s">
        <v>763</v>
      </c>
      <c r="T622" s="1" t="s">
        <v>1186</v>
      </c>
      <c r="U622">
        <v>8268.1485799999991</v>
      </c>
      <c r="V622">
        <v>0</v>
      </c>
      <c r="W622">
        <v>56681</v>
      </c>
    </row>
    <row r="623" spans="1:23" x14ac:dyDescent="0.25">
      <c r="A623" s="1" t="s">
        <v>27</v>
      </c>
      <c r="B623" s="1" t="s">
        <v>49</v>
      </c>
      <c r="C623" s="1" t="s">
        <v>111</v>
      </c>
      <c r="D623">
        <v>5251</v>
      </c>
      <c r="E623" s="1"/>
      <c r="F623" s="1" t="s">
        <v>257</v>
      </c>
      <c r="G623">
        <v>2008</v>
      </c>
      <c r="H623">
        <v>82206.98</v>
      </c>
      <c r="I623">
        <v>1</v>
      </c>
      <c r="J623" s="1" t="s">
        <v>467</v>
      </c>
      <c r="K623">
        <v>0</v>
      </c>
      <c r="L623">
        <v>375</v>
      </c>
      <c r="M623">
        <v>219.16016999999999</v>
      </c>
      <c r="N623">
        <v>1</v>
      </c>
      <c r="O623" s="1" t="s">
        <v>564</v>
      </c>
      <c r="P623">
        <v>103625.34</v>
      </c>
      <c r="Q623">
        <v>21914.83</v>
      </c>
      <c r="R623">
        <v>1</v>
      </c>
      <c r="S623" s="1" t="s">
        <v>764</v>
      </c>
      <c r="T623" s="1"/>
      <c r="U623">
        <v>7611.75533</v>
      </c>
      <c r="V623">
        <v>0</v>
      </c>
      <c r="W623">
        <v>94892</v>
      </c>
    </row>
    <row r="624" spans="1:23" x14ac:dyDescent="0.25">
      <c r="A624" s="1" t="s">
        <v>27</v>
      </c>
      <c r="B624" s="1"/>
      <c r="C624" s="1" t="s">
        <v>112</v>
      </c>
      <c r="D624">
        <v>9980</v>
      </c>
      <c r="E624" s="1"/>
      <c r="F624" s="1" t="s">
        <v>258</v>
      </c>
      <c r="G624">
        <v>2015</v>
      </c>
      <c r="H624">
        <v>68608</v>
      </c>
      <c r="I624">
        <v>5</v>
      </c>
      <c r="J624" s="1"/>
      <c r="K624">
        <v>0</v>
      </c>
      <c r="L624">
        <v>961</v>
      </c>
      <c r="M624">
        <v>71.384871000000004</v>
      </c>
      <c r="N624">
        <v>1</v>
      </c>
      <c r="O624" s="1" t="s">
        <v>562</v>
      </c>
      <c r="P624">
        <v>76801.02</v>
      </c>
      <c r="Q624">
        <v>4915.2700000000004</v>
      </c>
      <c r="R624">
        <v>0</v>
      </c>
      <c r="S624" s="1"/>
      <c r="T624" s="1"/>
      <c r="U624">
        <v>68608.001000000004</v>
      </c>
      <c r="V624">
        <v>0</v>
      </c>
      <c r="W624">
        <v>93381</v>
      </c>
    </row>
    <row r="625" spans="1:23" x14ac:dyDescent="0.25">
      <c r="A625" s="1" t="s">
        <v>27</v>
      </c>
      <c r="B625" s="1"/>
      <c r="C625" s="1" t="s">
        <v>112</v>
      </c>
      <c r="D625">
        <v>9980</v>
      </c>
      <c r="E625" s="1"/>
      <c r="F625" s="1" t="s">
        <v>258</v>
      </c>
      <c r="G625">
        <v>2015</v>
      </c>
      <c r="H625">
        <v>0</v>
      </c>
      <c r="I625">
        <v>5</v>
      </c>
      <c r="J625" s="1" t="s">
        <v>405</v>
      </c>
      <c r="K625">
        <v>0</v>
      </c>
      <c r="L625">
        <v>961</v>
      </c>
      <c r="M625">
        <v>0</v>
      </c>
      <c r="N625">
        <v>1</v>
      </c>
      <c r="O625" s="1" t="s">
        <v>564</v>
      </c>
      <c r="P625">
        <v>0</v>
      </c>
      <c r="Q625">
        <v>0</v>
      </c>
      <c r="R625">
        <v>0</v>
      </c>
      <c r="S625" s="1" t="s">
        <v>765</v>
      </c>
      <c r="T625" s="1" t="s">
        <v>1187</v>
      </c>
      <c r="U625">
        <v>0</v>
      </c>
      <c r="V625">
        <v>0</v>
      </c>
      <c r="W625">
        <v>76422</v>
      </c>
    </row>
    <row r="626" spans="1:23" x14ac:dyDescent="0.25">
      <c r="A626" s="1" t="s">
        <v>27</v>
      </c>
      <c r="B626" s="1"/>
      <c r="C626" s="1" t="s">
        <v>112</v>
      </c>
      <c r="D626">
        <v>9980</v>
      </c>
      <c r="E626" s="1"/>
      <c r="F626" s="1" t="s">
        <v>258</v>
      </c>
      <c r="G626">
        <v>2014</v>
      </c>
      <c r="H626">
        <v>117494.5</v>
      </c>
      <c r="I626">
        <v>12</v>
      </c>
      <c r="J626" s="1"/>
      <c r="K626">
        <v>0</v>
      </c>
      <c r="L626">
        <v>961</v>
      </c>
      <c r="M626">
        <v>122.25002600000001</v>
      </c>
      <c r="N626">
        <v>1</v>
      </c>
      <c r="O626" s="1" t="s">
        <v>562</v>
      </c>
      <c r="P626">
        <v>140747.71</v>
      </c>
      <c r="Q626">
        <v>9007.86</v>
      </c>
      <c r="R626">
        <v>0</v>
      </c>
      <c r="S626" s="1"/>
      <c r="T626" s="1"/>
      <c r="U626">
        <v>117494.5</v>
      </c>
      <c r="V626">
        <v>0</v>
      </c>
      <c r="W626">
        <v>93381</v>
      </c>
    </row>
    <row r="627" spans="1:23" x14ac:dyDescent="0.25">
      <c r="A627" s="1" t="s">
        <v>27</v>
      </c>
      <c r="B627" s="1"/>
      <c r="C627" s="1" t="s">
        <v>112</v>
      </c>
      <c r="D627">
        <v>9980</v>
      </c>
      <c r="E627" s="1"/>
      <c r="F627" s="1" t="s">
        <v>258</v>
      </c>
      <c r="G627">
        <v>2014</v>
      </c>
      <c r="H627">
        <v>0</v>
      </c>
      <c r="I627">
        <v>12</v>
      </c>
      <c r="J627" s="1" t="s">
        <v>405</v>
      </c>
      <c r="K627">
        <v>0</v>
      </c>
      <c r="L627">
        <v>961</v>
      </c>
      <c r="M627">
        <v>0</v>
      </c>
      <c r="N627">
        <v>1</v>
      </c>
      <c r="O627" s="1" t="s">
        <v>564</v>
      </c>
      <c r="P627">
        <v>0</v>
      </c>
      <c r="Q627">
        <v>0</v>
      </c>
      <c r="R627">
        <v>0</v>
      </c>
      <c r="S627" s="1" t="s">
        <v>765</v>
      </c>
      <c r="T627" s="1" t="s">
        <v>1187</v>
      </c>
      <c r="U627">
        <v>0</v>
      </c>
      <c r="V627">
        <v>0</v>
      </c>
      <c r="W627">
        <v>76422</v>
      </c>
    </row>
    <row r="628" spans="1:23" x14ac:dyDescent="0.25">
      <c r="A628" s="1" t="s">
        <v>27</v>
      </c>
      <c r="B628" s="1"/>
      <c r="C628" s="1" t="s">
        <v>112</v>
      </c>
      <c r="D628">
        <v>9980</v>
      </c>
      <c r="E628" s="1"/>
      <c r="F628" s="1" t="s">
        <v>258</v>
      </c>
      <c r="G628">
        <v>2013</v>
      </c>
      <c r="H628">
        <v>143436.5</v>
      </c>
      <c r="I628">
        <v>12</v>
      </c>
      <c r="J628" s="1"/>
      <c r="K628">
        <v>0</v>
      </c>
      <c r="L628">
        <v>961</v>
      </c>
      <c r="M628">
        <v>149.24201400000001</v>
      </c>
      <c r="N628">
        <v>1</v>
      </c>
      <c r="O628" s="1" t="s">
        <v>562</v>
      </c>
      <c r="P628">
        <v>150590.19</v>
      </c>
      <c r="Q628">
        <v>9637.77</v>
      </c>
      <c r="R628">
        <v>0</v>
      </c>
      <c r="S628" s="1"/>
      <c r="T628" s="1"/>
      <c r="U628">
        <v>143436.5</v>
      </c>
      <c r="V628">
        <v>0</v>
      </c>
      <c r="W628">
        <v>93381</v>
      </c>
    </row>
    <row r="629" spans="1:23" x14ac:dyDescent="0.25">
      <c r="A629" s="1" t="s">
        <v>27</v>
      </c>
      <c r="B629" s="1"/>
      <c r="C629" s="1" t="s">
        <v>112</v>
      </c>
      <c r="D629">
        <v>9980</v>
      </c>
      <c r="E629" s="1"/>
      <c r="F629" s="1" t="s">
        <v>258</v>
      </c>
      <c r="G629">
        <v>2013</v>
      </c>
      <c r="H629">
        <v>0</v>
      </c>
      <c r="I629">
        <v>12</v>
      </c>
      <c r="J629" s="1" t="s">
        <v>405</v>
      </c>
      <c r="K629">
        <v>0</v>
      </c>
      <c r="L629">
        <v>961</v>
      </c>
      <c r="M629">
        <v>0</v>
      </c>
      <c r="N629">
        <v>1</v>
      </c>
      <c r="O629" s="1" t="s">
        <v>564</v>
      </c>
      <c r="P629">
        <v>0</v>
      </c>
      <c r="Q629">
        <v>0</v>
      </c>
      <c r="R629">
        <v>0</v>
      </c>
      <c r="S629" s="1" t="s">
        <v>765</v>
      </c>
      <c r="T629" s="1" t="s">
        <v>1187</v>
      </c>
      <c r="U629">
        <v>0</v>
      </c>
      <c r="V629">
        <v>0</v>
      </c>
      <c r="W629">
        <v>76422</v>
      </c>
    </row>
    <row r="630" spans="1:23" x14ac:dyDescent="0.25">
      <c r="A630" s="1" t="s">
        <v>27</v>
      </c>
      <c r="B630" s="1"/>
      <c r="C630" s="1" t="s">
        <v>112</v>
      </c>
      <c r="D630">
        <v>9980</v>
      </c>
      <c r="E630" s="1"/>
      <c r="F630" s="1" t="s">
        <v>258</v>
      </c>
      <c r="G630">
        <v>2012</v>
      </c>
      <c r="H630">
        <v>122020.77</v>
      </c>
      <c r="I630">
        <v>12</v>
      </c>
      <c r="J630" s="1" t="s">
        <v>405</v>
      </c>
      <c r="K630">
        <v>0</v>
      </c>
      <c r="L630">
        <v>961</v>
      </c>
      <c r="M630">
        <v>126.95949400000001</v>
      </c>
      <c r="N630">
        <v>1</v>
      </c>
      <c r="O630" s="1" t="s">
        <v>564</v>
      </c>
      <c r="P630">
        <v>134388.18</v>
      </c>
      <c r="Q630">
        <v>28420.61</v>
      </c>
      <c r="R630">
        <v>0</v>
      </c>
      <c r="S630" s="1" t="s">
        <v>765</v>
      </c>
      <c r="T630" s="1" t="s">
        <v>1187</v>
      </c>
      <c r="U630">
        <v>11298.22</v>
      </c>
      <c r="V630">
        <v>0</v>
      </c>
      <c r="W630">
        <v>76422</v>
      </c>
    </row>
    <row r="631" spans="1:23" x14ac:dyDescent="0.25">
      <c r="A631" s="1" t="s">
        <v>27</v>
      </c>
      <c r="B631" s="1"/>
      <c r="C631" s="1" t="s">
        <v>112</v>
      </c>
      <c r="D631">
        <v>9980</v>
      </c>
      <c r="E631" s="1"/>
      <c r="F631" s="1" t="s">
        <v>258</v>
      </c>
      <c r="G631">
        <v>2012</v>
      </c>
      <c r="H631">
        <v>32242</v>
      </c>
      <c r="I631">
        <v>2</v>
      </c>
      <c r="J631" s="1"/>
      <c r="K631">
        <v>0</v>
      </c>
      <c r="L631">
        <v>961</v>
      </c>
      <c r="M631">
        <v>33.546976999999998</v>
      </c>
      <c r="N631">
        <v>1</v>
      </c>
      <c r="O631" s="1" t="s">
        <v>562</v>
      </c>
      <c r="P631">
        <v>31591.919999999998</v>
      </c>
      <c r="Q631">
        <v>2021.88</v>
      </c>
      <c r="R631">
        <v>0</v>
      </c>
      <c r="S631" s="1"/>
      <c r="T631" s="1"/>
      <c r="U631">
        <v>32242</v>
      </c>
      <c r="V631">
        <v>0</v>
      </c>
      <c r="W631">
        <v>93381</v>
      </c>
    </row>
    <row r="632" spans="1:23" x14ac:dyDescent="0.25">
      <c r="A632" s="1" t="s">
        <v>27</v>
      </c>
      <c r="B632" s="1"/>
      <c r="C632" s="1" t="s">
        <v>112</v>
      </c>
      <c r="D632">
        <v>9980</v>
      </c>
      <c r="E632" s="1"/>
      <c r="F632" s="1" t="s">
        <v>258</v>
      </c>
      <c r="G632">
        <v>2011</v>
      </c>
      <c r="H632">
        <v>170714.29</v>
      </c>
      <c r="I632">
        <v>12</v>
      </c>
      <c r="J632" s="1" t="s">
        <v>405</v>
      </c>
      <c r="K632">
        <v>0</v>
      </c>
      <c r="L632">
        <v>961</v>
      </c>
      <c r="M632">
        <v>177.62385800000001</v>
      </c>
      <c r="N632">
        <v>1</v>
      </c>
      <c r="O632" s="1" t="s">
        <v>564</v>
      </c>
      <c r="P632">
        <v>187943.47</v>
      </c>
      <c r="Q632">
        <v>39746.57</v>
      </c>
      <c r="R632">
        <v>0</v>
      </c>
      <c r="S632" s="1" t="s">
        <v>765</v>
      </c>
      <c r="T632" s="1" t="s">
        <v>1187</v>
      </c>
      <c r="U632">
        <v>15806.88</v>
      </c>
      <c r="V632">
        <v>0</v>
      </c>
      <c r="W632">
        <v>76422</v>
      </c>
    </row>
    <row r="633" spans="1:23" x14ac:dyDescent="0.25">
      <c r="A633" s="1" t="s">
        <v>27</v>
      </c>
      <c r="B633" s="1"/>
      <c r="C633" s="1" t="s">
        <v>112</v>
      </c>
      <c r="D633">
        <v>9980</v>
      </c>
      <c r="E633" s="1"/>
      <c r="F633" s="1" t="s">
        <v>258</v>
      </c>
      <c r="G633">
        <v>2010</v>
      </c>
      <c r="H633">
        <v>211147.95</v>
      </c>
      <c r="I633">
        <v>6</v>
      </c>
      <c r="J633" s="1" t="s">
        <v>405</v>
      </c>
      <c r="K633">
        <v>0</v>
      </c>
      <c r="L633">
        <v>961</v>
      </c>
      <c r="M633">
        <v>219.69404800000001</v>
      </c>
      <c r="N633">
        <v>1</v>
      </c>
      <c r="O633" s="1" t="s">
        <v>564</v>
      </c>
      <c r="P633">
        <v>222818.75</v>
      </c>
      <c r="Q633">
        <v>47122.04</v>
      </c>
      <c r="R633">
        <v>0</v>
      </c>
      <c r="S633" s="1" t="s">
        <v>765</v>
      </c>
      <c r="T633" s="1" t="s">
        <v>1187</v>
      </c>
      <c r="U633">
        <v>19550.736440000001</v>
      </c>
      <c r="V633">
        <v>0</v>
      </c>
      <c r="W633">
        <v>76422</v>
      </c>
    </row>
    <row r="634" spans="1:23" x14ac:dyDescent="0.25">
      <c r="A634" s="1" t="s">
        <v>27</v>
      </c>
      <c r="B634" s="1"/>
      <c r="C634" s="1" t="s">
        <v>112</v>
      </c>
      <c r="D634">
        <v>9980</v>
      </c>
      <c r="E634" s="1"/>
      <c r="F634" s="1" t="s">
        <v>258</v>
      </c>
      <c r="G634">
        <v>2009</v>
      </c>
      <c r="H634">
        <v>149074.48000000001</v>
      </c>
      <c r="I634">
        <v>7</v>
      </c>
      <c r="J634" s="1" t="s">
        <v>405</v>
      </c>
      <c r="K634">
        <v>0</v>
      </c>
      <c r="L634">
        <v>961</v>
      </c>
      <c r="M634">
        <v>155.10818800000001</v>
      </c>
      <c r="N634">
        <v>1</v>
      </c>
      <c r="O634" s="1" t="s">
        <v>564</v>
      </c>
      <c r="P634">
        <v>171452.15</v>
      </c>
      <c r="Q634">
        <v>36258.949999999997</v>
      </c>
      <c r="R634">
        <v>0</v>
      </c>
      <c r="S634" s="1" t="s">
        <v>765</v>
      </c>
      <c r="T634" s="1" t="s">
        <v>1187</v>
      </c>
      <c r="U634">
        <v>13803.19356</v>
      </c>
      <c r="V634">
        <v>0</v>
      </c>
      <c r="W634">
        <v>76422</v>
      </c>
    </row>
    <row r="635" spans="1:23" x14ac:dyDescent="0.25">
      <c r="A635" s="1" t="s">
        <v>27</v>
      </c>
      <c r="B635" s="1"/>
      <c r="C635" s="1" t="s">
        <v>112</v>
      </c>
      <c r="D635">
        <v>9980</v>
      </c>
      <c r="E635" s="1"/>
      <c r="F635" s="1" t="s">
        <v>258</v>
      </c>
      <c r="G635">
        <v>2008</v>
      </c>
      <c r="H635">
        <v>183372.55</v>
      </c>
      <c r="I635">
        <v>5</v>
      </c>
      <c r="J635" s="1" t="s">
        <v>405</v>
      </c>
      <c r="K635">
        <v>0</v>
      </c>
      <c r="L635">
        <v>961</v>
      </c>
      <c r="M635">
        <v>190.794454</v>
      </c>
      <c r="N635">
        <v>1</v>
      </c>
      <c r="O635" s="1" t="s">
        <v>564</v>
      </c>
      <c r="P635">
        <v>218050.95</v>
      </c>
      <c r="Q635">
        <v>46113.73</v>
      </c>
      <c r="R635">
        <v>0</v>
      </c>
      <c r="S635" s="1" t="s">
        <v>765</v>
      </c>
      <c r="T635" s="1" t="s">
        <v>1187</v>
      </c>
      <c r="U635">
        <v>16978.9375</v>
      </c>
      <c r="V635">
        <v>0</v>
      </c>
      <c r="W635">
        <v>76422</v>
      </c>
    </row>
    <row r="636" spans="1:23" x14ac:dyDescent="0.25">
      <c r="A636" s="1" t="s">
        <v>27</v>
      </c>
      <c r="B636" s="1" t="s">
        <v>50</v>
      </c>
      <c r="C636" s="1" t="s">
        <v>113</v>
      </c>
      <c r="D636">
        <v>5278</v>
      </c>
      <c r="E636" s="1"/>
      <c r="F636" s="1" t="s">
        <v>113</v>
      </c>
      <c r="G636">
        <v>2015</v>
      </c>
      <c r="H636">
        <v>30497</v>
      </c>
      <c r="I636">
        <v>5</v>
      </c>
      <c r="J636" s="1" t="s">
        <v>468</v>
      </c>
      <c r="K636">
        <v>0</v>
      </c>
      <c r="L636">
        <v>760</v>
      </c>
      <c r="M636">
        <v>40.122351999999999</v>
      </c>
      <c r="N636">
        <v>1</v>
      </c>
      <c r="O636" s="1" t="s">
        <v>562</v>
      </c>
      <c r="P636">
        <v>34286.57</v>
      </c>
      <c r="Q636">
        <v>6343015.4500000002</v>
      </c>
      <c r="R636">
        <v>0</v>
      </c>
      <c r="S636" s="1" t="s">
        <v>766</v>
      </c>
      <c r="T636" s="1"/>
      <c r="U636">
        <v>30497</v>
      </c>
      <c r="V636">
        <v>0</v>
      </c>
      <c r="W636">
        <v>56874</v>
      </c>
    </row>
    <row r="637" spans="1:23" x14ac:dyDescent="0.25">
      <c r="A637" s="1" t="s">
        <v>27</v>
      </c>
      <c r="B637" s="1" t="s">
        <v>50</v>
      </c>
      <c r="C637" s="1" t="s">
        <v>113</v>
      </c>
      <c r="D637">
        <v>5278</v>
      </c>
      <c r="E637" s="1"/>
      <c r="F637" s="1" t="s">
        <v>113</v>
      </c>
      <c r="G637">
        <v>2015</v>
      </c>
      <c r="H637">
        <v>64058.75</v>
      </c>
      <c r="I637">
        <v>5</v>
      </c>
      <c r="J637" s="1" t="s">
        <v>468</v>
      </c>
      <c r="K637">
        <v>0</v>
      </c>
      <c r="L637">
        <v>760</v>
      </c>
      <c r="M637">
        <v>84.276739000000006</v>
      </c>
      <c r="N637">
        <v>1</v>
      </c>
      <c r="O637" s="1" t="s">
        <v>563</v>
      </c>
      <c r="P637">
        <v>70414.75</v>
      </c>
      <c r="Q637">
        <v>373365.69</v>
      </c>
      <c r="R637">
        <v>1</v>
      </c>
      <c r="S637" s="1" t="s">
        <v>766</v>
      </c>
      <c r="T637" s="1"/>
      <c r="U637">
        <v>1836.02</v>
      </c>
      <c r="V637">
        <v>0</v>
      </c>
      <c r="W637">
        <v>56994</v>
      </c>
    </row>
    <row r="638" spans="1:23" x14ac:dyDescent="0.25">
      <c r="A638" s="1" t="s">
        <v>27</v>
      </c>
      <c r="B638" s="1" t="s">
        <v>50</v>
      </c>
      <c r="C638" s="1" t="s">
        <v>113</v>
      </c>
      <c r="D638">
        <v>5278</v>
      </c>
      <c r="E638" s="1"/>
      <c r="F638" s="1" t="s">
        <v>113</v>
      </c>
      <c r="G638">
        <v>2014</v>
      </c>
      <c r="H638">
        <v>55019</v>
      </c>
      <c r="I638">
        <v>12</v>
      </c>
      <c r="J638" s="1" t="s">
        <v>468</v>
      </c>
      <c r="K638">
        <v>0</v>
      </c>
      <c r="L638">
        <v>760</v>
      </c>
      <c r="M638">
        <v>72.383895999999993</v>
      </c>
      <c r="N638">
        <v>1</v>
      </c>
      <c r="O638" s="1" t="s">
        <v>562</v>
      </c>
      <c r="P638">
        <v>65457.01</v>
      </c>
      <c r="Q638">
        <v>5097789.57</v>
      </c>
      <c r="R638">
        <v>0</v>
      </c>
      <c r="S638" s="1" t="s">
        <v>766</v>
      </c>
      <c r="T638" s="1"/>
      <c r="U638">
        <v>55019</v>
      </c>
      <c r="V638">
        <v>0</v>
      </c>
      <c r="W638">
        <v>56874</v>
      </c>
    </row>
    <row r="639" spans="1:23" x14ac:dyDescent="0.25">
      <c r="A639" s="1" t="s">
        <v>27</v>
      </c>
      <c r="B639" s="1" t="s">
        <v>50</v>
      </c>
      <c r="C639" s="1" t="s">
        <v>113</v>
      </c>
      <c r="D639">
        <v>5278</v>
      </c>
      <c r="E639" s="1"/>
      <c r="F639" s="1" t="s">
        <v>113</v>
      </c>
      <c r="G639">
        <v>2014</v>
      </c>
      <c r="H639">
        <v>106995.09</v>
      </c>
      <c r="I639">
        <v>12</v>
      </c>
      <c r="J639" s="1" t="s">
        <v>468</v>
      </c>
      <c r="K639">
        <v>0</v>
      </c>
      <c r="L639">
        <v>760</v>
      </c>
      <c r="M639">
        <v>140.76449099999999</v>
      </c>
      <c r="N639">
        <v>1</v>
      </c>
      <c r="O639" s="1" t="s">
        <v>563</v>
      </c>
      <c r="P639">
        <v>128998.22</v>
      </c>
      <c r="Q639">
        <v>255909.48</v>
      </c>
      <c r="R639">
        <v>1</v>
      </c>
      <c r="S639" s="1" t="s">
        <v>766</v>
      </c>
      <c r="T639" s="1"/>
      <c r="U639">
        <v>3066.64</v>
      </c>
      <c r="V639">
        <v>0</v>
      </c>
      <c r="W639">
        <v>56994</v>
      </c>
    </row>
    <row r="640" spans="1:23" x14ac:dyDescent="0.25">
      <c r="A640" s="1" t="s">
        <v>27</v>
      </c>
      <c r="B640" s="1" t="s">
        <v>50</v>
      </c>
      <c r="C640" s="1" t="s">
        <v>113</v>
      </c>
      <c r="D640">
        <v>5278</v>
      </c>
      <c r="E640" s="1"/>
      <c r="F640" s="1" t="s">
        <v>113</v>
      </c>
      <c r="G640">
        <v>2013</v>
      </c>
      <c r="H640">
        <v>61179</v>
      </c>
      <c r="I640">
        <v>12</v>
      </c>
      <c r="J640" s="1" t="s">
        <v>468</v>
      </c>
      <c r="K640">
        <v>0</v>
      </c>
      <c r="L640">
        <v>760</v>
      </c>
      <c r="M640">
        <v>80.488093000000006</v>
      </c>
      <c r="N640">
        <v>1</v>
      </c>
      <c r="O640" s="1" t="s">
        <v>562</v>
      </c>
      <c r="P640">
        <v>65139.77</v>
      </c>
      <c r="Q640">
        <v>12050.86</v>
      </c>
      <c r="R640">
        <v>0</v>
      </c>
      <c r="S640" s="1" t="s">
        <v>766</v>
      </c>
      <c r="T640" s="1"/>
      <c r="U640">
        <v>61179</v>
      </c>
      <c r="V640">
        <v>0</v>
      </c>
      <c r="W640">
        <v>56874</v>
      </c>
    </row>
    <row r="641" spans="1:23" x14ac:dyDescent="0.25">
      <c r="A641" s="1" t="s">
        <v>27</v>
      </c>
      <c r="B641" s="1" t="s">
        <v>50</v>
      </c>
      <c r="C641" s="1" t="s">
        <v>113</v>
      </c>
      <c r="D641">
        <v>5278</v>
      </c>
      <c r="E641" s="1"/>
      <c r="F641" s="1" t="s">
        <v>113</v>
      </c>
      <c r="G641">
        <v>2013</v>
      </c>
      <c r="H641">
        <v>149574.10999999999</v>
      </c>
      <c r="I641">
        <v>12</v>
      </c>
      <c r="J641" s="1" t="s">
        <v>468</v>
      </c>
      <c r="K641">
        <v>0</v>
      </c>
      <c r="L641">
        <v>760</v>
      </c>
      <c r="M641">
        <v>196.78214700000001</v>
      </c>
      <c r="N641">
        <v>1</v>
      </c>
      <c r="O641" s="1" t="s">
        <v>563</v>
      </c>
      <c r="P641">
        <v>167996.17</v>
      </c>
      <c r="Q641">
        <v>890.79</v>
      </c>
      <c r="R641">
        <v>1</v>
      </c>
      <c r="S641" s="1" t="s">
        <v>766</v>
      </c>
      <c r="T641" s="1"/>
      <c r="U641">
        <v>4287.0200000000004</v>
      </c>
      <c r="V641">
        <v>0</v>
      </c>
      <c r="W641">
        <v>56994</v>
      </c>
    </row>
    <row r="642" spans="1:23" x14ac:dyDescent="0.25">
      <c r="A642" s="1" t="s">
        <v>27</v>
      </c>
      <c r="B642" s="1" t="s">
        <v>50</v>
      </c>
      <c r="C642" s="1" t="s">
        <v>113</v>
      </c>
      <c r="D642">
        <v>5278</v>
      </c>
      <c r="E642" s="1"/>
      <c r="F642" s="1" t="s">
        <v>113</v>
      </c>
      <c r="G642">
        <v>2012</v>
      </c>
      <c r="H642">
        <v>58697</v>
      </c>
      <c r="I642">
        <v>12</v>
      </c>
      <c r="J642" s="1" t="s">
        <v>468</v>
      </c>
      <c r="K642">
        <v>0</v>
      </c>
      <c r="L642">
        <v>760</v>
      </c>
      <c r="M642">
        <v>77.222733000000005</v>
      </c>
      <c r="N642">
        <v>1</v>
      </c>
      <c r="O642" s="1" t="s">
        <v>562</v>
      </c>
      <c r="P642">
        <v>60922.75</v>
      </c>
      <c r="Q642">
        <v>11270.73</v>
      </c>
      <c r="R642">
        <v>0</v>
      </c>
      <c r="S642" s="1" t="s">
        <v>766</v>
      </c>
      <c r="T642" s="1"/>
      <c r="U642">
        <v>58697</v>
      </c>
      <c r="V642">
        <v>0</v>
      </c>
      <c r="W642">
        <v>56874</v>
      </c>
    </row>
    <row r="643" spans="1:23" x14ac:dyDescent="0.25">
      <c r="A643" s="1" t="s">
        <v>27</v>
      </c>
      <c r="B643" s="1" t="s">
        <v>50</v>
      </c>
      <c r="C643" s="1" t="s">
        <v>113</v>
      </c>
      <c r="D643">
        <v>5278</v>
      </c>
      <c r="E643" s="1"/>
      <c r="F643" s="1" t="s">
        <v>113</v>
      </c>
      <c r="G643">
        <v>2012</v>
      </c>
      <c r="H643">
        <v>122467.39</v>
      </c>
      <c r="I643">
        <v>12</v>
      </c>
      <c r="J643" s="1" t="s">
        <v>468</v>
      </c>
      <c r="K643">
        <v>0</v>
      </c>
      <c r="L643">
        <v>760</v>
      </c>
      <c r="M643">
        <v>161.120102</v>
      </c>
      <c r="N643">
        <v>1</v>
      </c>
      <c r="O643" s="1" t="s">
        <v>563</v>
      </c>
      <c r="P643">
        <v>128926.54</v>
      </c>
      <c r="Q643">
        <v>683.62</v>
      </c>
      <c r="R643">
        <v>1</v>
      </c>
      <c r="S643" s="1" t="s">
        <v>766</v>
      </c>
      <c r="T643" s="1"/>
      <c r="U643">
        <v>3510.1</v>
      </c>
      <c r="V643">
        <v>0</v>
      </c>
      <c r="W643">
        <v>56994</v>
      </c>
    </row>
    <row r="644" spans="1:23" x14ac:dyDescent="0.25">
      <c r="A644" s="1" t="s">
        <v>27</v>
      </c>
      <c r="B644" s="1" t="s">
        <v>50</v>
      </c>
      <c r="C644" s="1" t="s">
        <v>113</v>
      </c>
      <c r="D644">
        <v>5278</v>
      </c>
      <c r="E644" s="1"/>
      <c r="F644" s="1" t="s">
        <v>113</v>
      </c>
      <c r="G644">
        <v>2011</v>
      </c>
      <c r="H644">
        <v>54662</v>
      </c>
      <c r="I644">
        <v>12</v>
      </c>
      <c r="J644" s="1" t="s">
        <v>468</v>
      </c>
      <c r="K644">
        <v>0</v>
      </c>
      <c r="L644">
        <v>760</v>
      </c>
      <c r="M644">
        <v>71.914220999999998</v>
      </c>
      <c r="N644">
        <v>1</v>
      </c>
      <c r="O644" s="1" t="s">
        <v>562</v>
      </c>
      <c r="P644">
        <v>58853.81</v>
      </c>
      <c r="Q644">
        <v>10887.94</v>
      </c>
      <c r="R644">
        <v>0</v>
      </c>
      <c r="S644" s="1" t="s">
        <v>766</v>
      </c>
      <c r="T644" s="1"/>
      <c r="U644">
        <v>54662</v>
      </c>
      <c r="V644">
        <v>0</v>
      </c>
      <c r="W644">
        <v>56874</v>
      </c>
    </row>
    <row r="645" spans="1:23" x14ac:dyDescent="0.25">
      <c r="A645" s="1" t="s">
        <v>27</v>
      </c>
      <c r="B645" s="1" t="s">
        <v>50</v>
      </c>
      <c r="C645" s="1" t="s">
        <v>113</v>
      </c>
      <c r="D645">
        <v>5278</v>
      </c>
      <c r="E645" s="1"/>
      <c r="F645" s="1" t="s">
        <v>113</v>
      </c>
      <c r="G645">
        <v>2011</v>
      </c>
      <c r="H645">
        <v>146237.6</v>
      </c>
      <c r="I645">
        <v>12</v>
      </c>
      <c r="J645" s="1" t="s">
        <v>468</v>
      </c>
      <c r="K645">
        <v>0</v>
      </c>
      <c r="L645">
        <v>760</v>
      </c>
      <c r="M645">
        <v>192.39257900000001</v>
      </c>
      <c r="N645">
        <v>1</v>
      </c>
      <c r="O645" s="1" t="s">
        <v>563</v>
      </c>
      <c r="P645">
        <v>156998.01999999999</v>
      </c>
      <c r="Q645">
        <v>832.48</v>
      </c>
      <c r="R645">
        <v>1</v>
      </c>
      <c r="S645" s="1" t="s">
        <v>766</v>
      </c>
      <c r="T645" s="1"/>
      <c r="U645">
        <v>4191.3900000000003</v>
      </c>
      <c r="V645">
        <v>0</v>
      </c>
      <c r="W645">
        <v>56994</v>
      </c>
    </row>
    <row r="646" spans="1:23" x14ac:dyDescent="0.25">
      <c r="A646" s="1" t="s">
        <v>27</v>
      </c>
      <c r="B646" s="1" t="s">
        <v>50</v>
      </c>
      <c r="C646" s="1" t="s">
        <v>113</v>
      </c>
      <c r="D646">
        <v>5278</v>
      </c>
      <c r="E646" s="1"/>
      <c r="F646" s="1" t="s">
        <v>113</v>
      </c>
      <c r="G646">
        <v>2010</v>
      </c>
      <c r="H646">
        <v>68160</v>
      </c>
      <c r="I646">
        <v>12</v>
      </c>
      <c r="J646" s="1" t="s">
        <v>468</v>
      </c>
      <c r="K646">
        <v>0</v>
      </c>
      <c r="L646">
        <v>760</v>
      </c>
      <c r="M646">
        <v>89.672410999999997</v>
      </c>
      <c r="N646">
        <v>1</v>
      </c>
      <c r="O646" s="1" t="s">
        <v>562</v>
      </c>
      <c r="P646">
        <v>61956.54</v>
      </c>
      <c r="Q646">
        <v>11461.95</v>
      </c>
      <c r="R646">
        <v>0</v>
      </c>
      <c r="S646" s="1" t="s">
        <v>766</v>
      </c>
      <c r="T646" s="1"/>
      <c r="U646">
        <v>68160</v>
      </c>
      <c r="V646">
        <v>0</v>
      </c>
      <c r="W646">
        <v>56874</v>
      </c>
    </row>
    <row r="647" spans="1:23" x14ac:dyDescent="0.25">
      <c r="A647" s="1" t="s">
        <v>27</v>
      </c>
      <c r="B647" s="1" t="s">
        <v>50</v>
      </c>
      <c r="C647" s="1" t="s">
        <v>113</v>
      </c>
      <c r="D647">
        <v>5278</v>
      </c>
      <c r="E647" s="1"/>
      <c r="F647" s="1" t="s">
        <v>113</v>
      </c>
      <c r="G647">
        <v>2010</v>
      </c>
      <c r="H647">
        <v>128615.71</v>
      </c>
      <c r="I647">
        <v>12</v>
      </c>
      <c r="J647" s="1" t="s">
        <v>468</v>
      </c>
      <c r="K647">
        <v>0</v>
      </c>
      <c r="L647">
        <v>760</v>
      </c>
      <c r="M647">
        <v>169.208933</v>
      </c>
      <c r="N647">
        <v>1</v>
      </c>
      <c r="O647" s="1" t="s">
        <v>563</v>
      </c>
      <c r="P647">
        <v>118463.89</v>
      </c>
      <c r="Q647">
        <v>628.14</v>
      </c>
      <c r="R647">
        <v>1</v>
      </c>
      <c r="S647" s="1" t="s">
        <v>766</v>
      </c>
      <c r="T647" s="1"/>
      <c r="U647">
        <v>3686.32</v>
      </c>
      <c r="V647">
        <v>0</v>
      </c>
      <c r="W647">
        <v>56994</v>
      </c>
    </row>
    <row r="648" spans="1:23" x14ac:dyDescent="0.25">
      <c r="A648" s="1" t="s">
        <v>27</v>
      </c>
      <c r="B648" s="1" t="s">
        <v>50</v>
      </c>
      <c r="C648" s="1" t="s">
        <v>113</v>
      </c>
      <c r="D648">
        <v>5278</v>
      </c>
      <c r="E648" s="1"/>
      <c r="F648" s="1" t="s">
        <v>113</v>
      </c>
      <c r="G648">
        <v>2009</v>
      </c>
      <c r="H648">
        <v>54494</v>
      </c>
      <c r="I648">
        <v>12</v>
      </c>
      <c r="J648" s="1" t="s">
        <v>468</v>
      </c>
      <c r="K648">
        <v>0</v>
      </c>
      <c r="L648">
        <v>760</v>
      </c>
      <c r="M648">
        <v>71.693197999999995</v>
      </c>
      <c r="N648">
        <v>1</v>
      </c>
      <c r="O648" s="1" t="s">
        <v>562</v>
      </c>
      <c r="P648">
        <v>57005.77</v>
      </c>
      <c r="Q648">
        <v>10546.07</v>
      </c>
      <c r="R648">
        <v>0</v>
      </c>
      <c r="S648" s="1" t="s">
        <v>766</v>
      </c>
      <c r="T648" s="1"/>
      <c r="U648">
        <v>54494</v>
      </c>
      <c r="V648">
        <v>0</v>
      </c>
      <c r="W648">
        <v>56874</v>
      </c>
    </row>
    <row r="649" spans="1:23" x14ac:dyDescent="0.25">
      <c r="A649" s="1" t="s">
        <v>27</v>
      </c>
      <c r="B649" s="1" t="s">
        <v>50</v>
      </c>
      <c r="C649" s="1" t="s">
        <v>113</v>
      </c>
      <c r="D649">
        <v>5278</v>
      </c>
      <c r="E649" s="1"/>
      <c r="F649" s="1" t="s">
        <v>113</v>
      </c>
      <c r="G649">
        <v>2009</v>
      </c>
      <c r="H649">
        <v>91812.69</v>
      </c>
      <c r="I649">
        <v>12</v>
      </c>
      <c r="J649" s="1" t="s">
        <v>468</v>
      </c>
      <c r="K649">
        <v>0</v>
      </c>
      <c r="L649">
        <v>760</v>
      </c>
      <c r="M649">
        <v>120.790277</v>
      </c>
      <c r="N649">
        <v>1</v>
      </c>
      <c r="O649" s="1" t="s">
        <v>563</v>
      </c>
      <c r="P649">
        <v>100085.13</v>
      </c>
      <c r="Q649">
        <v>530.69000000000005</v>
      </c>
      <c r="R649">
        <v>1</v>
      </c>
      <c r="S649" s="1" t="s">
        <v>766</v>
      </c>
      <c r="T649" s="1"/>
      <c r="U649">
        <v>2631.49</v>
      </c>
      <c r="V649">
        <v>0</v>
      </c>
      <c r="W649">
        <v>56994</v>
      </c>
    </row>
    <row r="650" spans="1:23" x14ac:dyDescent="0.25">
      <c r="A650" s="1" t="s">
        <v>27</v>
      </c>
      <c r="B650" s="1" t="s">
        <v>50</v>
      </c>
      <c r="C650" s="1" t="s">
        <v>113</v>
      </c>
      <c r="D650">
        <v>5278</v>
      </c>
      <c r="E650" s="1"/>
      <c r="F650" s="1" t="s">
        <v>113</v>
      </c>
      <c r="G650">
        <v>2008</v>
      </c>
      <c r="H650">
        <v>42005</v>
      </c>
      <c r="I650">
        <v>12</v>
      </c>
      <c r="J650" s="1" t="s">
        <v>468</v>
      </c>
      <c r="K650">
        <v>0</v>
      </c>
      <c r="L650">
        <v>760</v>
      </c>
      <c r="M650">
        <v>55.262464999999999</v>
      </c>
      <c r="N650">
        <v>1</v>
      </c>
      <c r="O650" s="1" t="s">
        <v>562</v>
      </c>
      <c r="P650">
        <v>47526.96</v>
      </c>
      <c r="Q650">
        <v>8792.49</v>
      </c>
      <c r="R650">
        <v>0</v>
      </c>
      <c r="S650" s="1" t="s">
        <v>766</v>
      </c>
      <c r="T650" s="1"/>
      <c r="U650">
        <v>42005</v>
      </c>
      <c r="V650">
        <v>0</v>
      </c>
      <c r="W650">
        <v>56874</v>
      </c>
    </row>
    <row r="651" spans="1:23" x14ac:dyDescent="0.25">
      <c r="A651" s="1" t="s">
        <v>27</v>
      </c>
      <c r="B651" s="1" t="s">
        <v>50</v>
      </c>
      <c r="C651" s="1" t="s">
        <v>113</v>
      </c>
      <c r="D651">
        <v>5278</v>
      </c>
      <c r="E651" s="1"/>
      <c r="F651" s="1" t="s">
        <v>113</v>
      </c>
      <c r="G651">
        <v>2008</v>
      </c>
      <c r="H651">
        <v>68805.52</v>
      </c>
      <c r="I651">
        <v>12</v>
      </c>
      <c r="J651" s="1" t="s">
        <v>468</v>
      </c>
      <c r="K651">
        <v>0</v>
      </c>
      <c r="L651">
        <v>760</v>
      </c>
      <c r="M651">
        <v>90.521668000000005</v>
      </c>
      <c r="N651">
        <v>1</v>
      </c>
      <c r="O651" s="1" t="s">
        <v>563</v>
      </c>
      <c r="P651">
        <v>81353.119999999995</v>
      </c>
      <c r="Q651">
        <v>431.36</v>
      </c>
      <c r="R651">
        <v>1</v>
      </c>
      <c r="S651" s="1" t="s">
        <v>766</v>
      </c>
      <c r="T651" s="1"/>
      <c r="U651">
        <v>1972.07</v>
      </c>
      <c r="V651">
        <v>0</v>
      </c>
      <c r="W651">
        <v>56994</v>
      </c>
    </row>
    <row r="652" spans="1:23" x14ac:dyDescent="0.25">
      <c r="A652" s="1" t="s">
        <v>27</v>
      </c>
      <c r="B652" s="1" t="s">
        <v>51</v>
      </c>
      <c r="C652" s="1" t="s">
        <v>114</v>
      </c>
      <c r="D652">
        <v>5276</v>
      </c>
      <c r="E652" s="1"/>
      <c r="F652" s="1" t="s">
        <v>259</v>
      </c>
      <c r="G652">
        <v>2015</v>
      </c>
      <c r="H652">
        <v>23268.17</v>
      </c>
      <c r="I652">
        <v>5</v>
      </c>
      <c r="J652" s="1" t="s">
        <v>407</v>
      </c>
      <c r="K652">
        <v>0</v>
      </c>
      <c r="L652">
        <v>284</v>
      </c>
      <c r="M652">
        <v>81.901336999999998</v>
      </c>
      <c r="N652">
        <v>1</v>
      </c>
      <c r="O652" s="1" t="s">
        <v>564</v>
      </c>
      <c r="P652">
        <v>26111.82</v>
      </c>
      <c r="Q652">
        <v>5522.17</v>
      </c>
      <c r="R652">
        <v>0</v>
      </c>
      <c r="S652" s="1" t="s">
        <v>767</v>
      </c>
      <c r="T652" s="1"/>
      <c r="U652">
        <v>2154.46</v>
      </c>
      <c r="V652">
        <v>0</v>
      </c>
      <c r="W652">
        <v>56862</v>
      </c>
    </row>
    <row r="653" spans="1:23" x14ac:dyDescent="0.25">
      <c r="A653" s="1" t="s">
        <v>27</v>
      </c>
      <c r="B653" s="1" t="s">
        <v>51</v>
      </c>
      <c r="C653" s="1" t="s">
        <v>114</v>
      </c>
      <c r="D653">
        <v>5276</v>
      </c>
      <c r="E653" s="1"/>
      <c r="F653" s="1" t="s">
        <v>259</v>
      </c>
      <c r="G653">
        <v>2014</v>
      </c>
      <c r="H653">
        <v>69154.06</v>
      </c>
      <c r="I653">
        <v>8</v>
      </c>
      <c r="J653" s="1" t="s">
        <v>407</v>
      </c>
      <c r="K653">
        <v>0</v>
      </c>
      <c r="L653">
        <v>284</v>
      </c>
      <c r="M653">
        <v>243.414501</v>
      </c>
      <c r="N653">
        <v>1</v>
      </c>
      <c r="O653" s="1" t="s">
        <v>564</v>
      </c>
      <c r="P653">
        <v>54295</v>
      </c>
      <c r="Q653">
        <v>11482.38</v>
      </c>
      <c r="R653">
        <v>0</v>
      </c>
      <c r="S653" s="1" t="s">
        <v>767</v>
      </c>
      <c r="T653" s="1"/>
      <c r="U653">
        <v>6403.1535999999996</v>
      </c>
      <c r="V653">
        <v>0</v>
      </c>
      <c r="W653">
        <v>56862</v>
      </c>
    </row>
    <row r="654" spans="1:23" x14ac:dyDescent="0.25">
      <c r="A654" s="1" t="s">
        <v>27</v>
      </c>
      <c r="B654" s="1" t="s">
        <v>51</v>
      </c>
      <c r="C654" s="1" t="s">
        <v>114</v>
      </c>
      <c r="D654">
        <v>5276</v>
      </c>
      <c r="E654" s="1"/>
      <c r="F654" s="1" t="s">
        <v>259</v>
      </c>
      <c r="G654">
        <v>2013</v>
      </c>
      <c r="H654">
        <v>45184.29</v>
      </c>
      <c r="I654">
        <v>12</v>
      </c>
      <c r="J654" s="1" t="s">
        <v>407</v>
      </c>
      <c r="K654">
        <v>0</v>
      </c>
      <c r="L654">
        <v>284</v>
      </c>
      <c r="M654">
        <v>159.043611</v>
      </c>
      <c r="N654">
        <v>1</v>
      </c>
      <c r="O654" s="1" t="s">
        <v>564</v>
      </c>
      <c r="P654">
        <v>47406.400000000001</v>
      </c>
      <c r="Q654">
        <v>10025.58</v>
      </c>
      <c r="R654">
        <v>0</v>
      </c>
      <c r="S654" s="1" t="s">
        <v>767</v>
      </c>
      <c r="T654" s="1"/>
      <c r="U654">
        <v>4183.7299999999996</v>
      </c>
      <c r="V654">
        <v>0</v>
      </c>
      <c r="W654">
        <v>56862</v>
      </c>
    </row>
    <row r="655" spans="1:23" x14ac:dyDescent="0.25">
      <c r="A655" s="1" t="s">
        <v>27</v>
      </c>
      <c r="B655" s="1" t="s">
        <v>51</v>
      </c>
      <c r="C655" s="1" t="s">
        <v>114</v>
      </c>
      <c r="D655">
        <v>5276</v>
      </c>
      <c r="E655" s="1"/>
      <c r="F655" s="1" t="s">
        <v>259</v>
      </c>
      <c r="G655">
        <v>2012</v>
      </c>
      <c r="H655">
        <v>49078.78</v>
      </c>
      <c r="I655">
        <v>12</v>
      </c>
      <c r="J655" s="1" t="s">
        <v>407</v>
      </c>
      <c r="K655">
        <v>0</v>
      </c>
      <c r="L655">
        <v>284</v>
      </c>
      <c r="M655">
        <v>172.751777</v>
      </c>
      <c r="N655">
        <v>1</v>
      </c>
      <c r="O655" s="1" t="s">
        <v>564</v>
      </c>
      <c r="P655">
        <v>51739.43</v>
      </c>
      <c r="Q655">
        <v>10941.94</v>
      </c>
      <c r="R655">
        <v>0</v>
      </c>
      <c r="S655" s="1" t="s">
        <v>767</v>
      </c>
      <c r="T655" s="1"/>
      <c r="U655">
        <v>4544.33</v>
      </c>
      <c r="V655">
        <v>0</v>
      </c>
      <c r="W655">
        <v>56862</v>
      </c>
    </row>
    <row r="656" spans="1:23" x14ac:dyDescent="0.25">
      <c r="A656" s="1" t="s">
        <v>27</v>
      </c>
      <c r="B656" s="1" t="s">
        <v>51</v>
      </c>
      <c r="C656" s="1" t="s">
        <v>114</v>
      </c>
      <c r="D656">
        <v>5276</v>
      </c>
      <c r="E656" s="1"/>
      <c r="F656" s="1" t="s">
        <v>259</v>
      </c>
      <c r="G656">
        <v>2011</v>
      </c>
      <c r="H656">
        <v>47592.45</v>
      </c>
      <c r="I656">
        <v>12</v>
      </c>
      <c r="J656" s="1" t="s">
        <v>407</v>
      </c>
      <c r="K656">
        <v>0</v>
      </c>
      <c r="L656">
        <v>284</v>
      </c>
      <c r="M656">
        <v>167.52006299999999</v>
      </c>
      <c r="N656">
        <v>1</v>
      </c>
      <c r="O656" s="1" t="s">
        <v>564</v>
      </c>
      <c r="P656">
        <v>52113.93</v>
      </c>
      <c r="Q656">
        <v>11021.14</v>
      </c>
      <c r="R656">
        <v>0</v>
      </c>
      <c r="S656" s="1" t="s">
        <v>767</v>
      </c>
      <c r="T656" s="1"/>
      <c r="U656">
        <v>4406.71</v>
      </c>
      <c r="V656">
        <v>0</v>
      </c>
      <c r="W656">
        <v>56862</v>
      </c>
    </row>
    <row r="657" spans="1:23" x14ac:dyDescent="0.25">
      <c r="A657" s="1" t="s">
        <v>27</v>
      </c>
      <c r="B657" s="1" t="s">
        <v>51</v>
      </c>
      <c r="C657" s="1" t="s">
        <v>114</v>
      </c>
      <c r="D657">
        <v>5276</v>
      </c>
      <c r="E657" s="1"/>
      <c r="F657" s="1" t="s">
        <v>259</v>
      </c>
      <c r="G657">
        <v>2010</v>
      </c>
      <c r="H657">
        <v>51607.81</v>
      </c>
      <c r="I657">
        <v>12</v>
      </c>
      <c r="J657" s="1" t="s">
        <v>407</v>
      </c>
      <c r="K657">
        <v>0</v>
      </c>
      <c r="L657">
        <v>284</v>
      </c>
      <c r="M657">
        <v>181.65367800000001</v>
      </c>
      <c r="N657">
        <v>1</v>
      </c>
      <c r="O657" s="1" t="s">
        <v>564</v>
      </c>
      <c r="P657">
        <v>46846.06</v>
      </c>
      <c r="Q657">
        <v>9907.07</v>
      </c>
      <c r="R657">
        <v>0</v>
      </c>
      <c r="S657" s="1" t="s">
        <v>767</v>
      </c>
      <c r="T657" s="1"/>
      <c r="U657">
        <v>4778.5</v>
      </c>
      <c r="V657">
        <v>0</v>
      </c>
      <c r="W657">
        <v>56862</v>
      </c>
    </row>
    <row r="658" spans="1:23" x14ac:dyDescent="0.25">
      <c r="A658" s="1" t="s">
        <v>27</v>
      </c>
      <c r="B658" s="1" t="s">
        <v>51</v>
      </c>
      <c r="C658" s="1" t="s">
        <v>114</v>
      </c>
      <c r="D658">
        <v>5276</v>
      </c>
      <c r="E658" s="1"/>
      <c r="F658" s="1" t="s">
        <v>259</v>
      </c>
      <c r="G658">
        <v>2009</v>
      </c>
      <c r="H658">
        <v>47704.14</v>
      </c>
      <c r="I658">
        <v>12</v>
      </c>
      <c r="J658" s="1" t="s">
        <v>407</v>
      </c>
      <c r="K658">
        <v>0</v>
      </c>
      <c r="L658">
        <v>284</v>
      </c>
      <c r="M658">
        <v>167.91319899999999</v>
      </c>
      <c r="N658">
        <v>1</v>
      </c>
      <c r="O658" s="1" t="s">
        <v>564</v>
      </c>
      <c r="P658">
        <v>50778.82</v>
      </c>
      <c r="Q658">
        <v>10738.8</v>
      </c>
      <c r="R658">
        <v>0</v>
      </c>
      <c r="S658" s="1" t="s">
        <v>767</v>
      </c>
      <c r="T658" s="1"/>
      <c r="U658">
        <v>4417.05</v>
      </c>
      <c r="V658">
        <v>0</v>
      </c>
      <c r="W658">
        <v>56862</v>
      </c>
    </row>
    <row r="659" spans="1:23" x14ac:dyDescent="0.25">
      <c r="A659" s="1" t="s">
        <v>27</v>
      </c>
      <c r="B659" s="1" t="s">
        <v>51</v>
      </c>
      <c r="C659" s="1" t="s">
        <v>114</v>
      </c>
      <c r="D659">
        <v>5276</v>
      </c>
      <c r="E659" s="1"/>
      <c r="F659" s="1" t="s">
        <v>259</v>
      </c>
      <c r="G659">
        <v>2008</v>
      </c>
      <c r="H659">
        <v>48384.33</v>
      </c>
      <c r="I659">
        <v>12</v>
      </c>
      <c r="J659" s="1" t="s">
        <v>407</v>
      </c>
      <c r="K659">
        <v>0</v>
      </c>
      <c r="L659">
        <v>284</v>
      </c>
      <c r="M659">
        <v>170.307391</v>
      </c>
      <c r="N659">
        <v>1</v>
      </c>
      <c r="O659" s="1" t="s">
        <v>564</v>
      </c>
      <c r="P659">
        <v>55057.48</v>
      </c>
      <c r="Q659">
        <v>11643.63</v>
      </c>
      <c r="R659">
        <v>0</v>
      </c>
      <c r="S659" s="1" t="s">
        <v>767</v>
      </c>
      <c r="T659" s="1"/>
      <c r="U659">
        <v>4480.03</v>
      </c>
      <c r="V659">
        <v>0</v>
      </c>
      <c r="W659">
        <v>56862</v>
      </c>
    </row>
    <row r="660" spans="1:23" x14ac:dyDescent="0.25">
      <c r="A660" s="1" t="s">
        <v>27</v>
      </c>
      <c r="B660" s="1"/>
      <c r="C660" s="1" t="s">
        <v>115</v>
      </c>
      <c r="D660">
        <v>9970</v>
      </c>
      <c r="E660" s="1"/>
      <c r="F660" s="1" t="s">
        <v>260</v>
      </c>
      <c r="G660">
        <v>2015</v>
      </c>
      <c r="H660">
        <v>48839.28</v>
      </c>
      <c r="I660">
        <v>5</v>
      </c>
      <c r="J660" s="1" t="s">
        <v>405</v>
      </c>
      <c r="K660">
        <v>0</v>
      </c>
      <c r="L660">
        <v>864</v>
      </c>
      <c r="M660">
        <v>56.520401999999997</v>
      </c>
      <c r="N660">
        <v>1</v>
      </c>
      <c r="O660" s="1" t="s">
        <v>566</v>
      </c>
      <c r="P660">
        <v>54755.03</v>
      </c>
      <c r="Q660">
        <v>11166.12</v>
      </c>
      <c r="R660">
        <v>0</v>
      </c>
      <c r="S660" s="1" t="s">
        <v>768</v>
      </c>
      <c r="T660" s="1" t="s">
        <v>1188</v>
      </c>
      <c r="U660">
        <v>4360.6499999999996</v>
      </c>
      <c r="V660">
        <v>0</v>
      </c>
      <c r="W660">
        <v>76389</v>
      </c>
    </row>
    <row r="661" spans="1:23" x14ac:dyDescent="0.25">
      <c r="A661" s="1" t="s">
        <v>27</v>
      </c>
      <c r="B661" s="1"/>
      <c r="C661" s="1" t="s">
        <v>115</v>
      </c>
      <c r="D661">
        <v>9970</v>
      </c>
      <c r="E661" s="1"/>
      <c r="F661" s="1" t="s">
        <v>260</v>
      </c>
      <c r="G661">
        <v>2014</v>
      </c>
      <c r="H661">
        <v>80681.679999999993</v>
      </c>
      <c r="I661">
        <v>12</v>
      </c>
      <c r="J661" s="1" t="s">
        <v>405</v>
      </c>
      <c r="K661">
        <v>0</v>
      </c>
      <c r="L661">
        <v>864</v>
      </c>
      <c r="M661">
        <v>93.370767000000001</v>
      </c>
      <c r="N661">
        <v>1</v>
      </c>
      <c r="O661" s="1" t="s">
        <v>566</v>
      </c>
      <c r="P661">
        <v>96568.14</v>
      </c>
      <c r="Q661">
        <v>19693.009999999998</v>
      </c>
      <c r="R661">
        <v>0</v>
      </c>
      <c r="S661" s="1" t="s">
        <v>768</v>
      </c>
      <c r="T661" s="1" t="s">
        <v>1188</v>
      </c>
      <c r="U661">
        <v>7203.7200999999995</v>
      </c>
      <c r="V661">
        <v>0</v>
      </c>
      <c r="W661">
        <v>76389</v>
      </c>
    </row>
    <row r="662" spans="1:23" x14ac:dyDescent="0.25">
      <c r="A662" s="1" t="s">
        <v>27</v>
      </c>
      <c r="B662" s="1"/>
      <c r="C662" s="1" t="s">
        <v>115</v>
      </c>
      <c r="D662">
        <v>9970</v>
      </c>
      <c r="E662" s="1"/>
      <c r="F662" s="1" t="s">
        <v>260</v>
      </c>
      <c r="G662">
        <v>2013</v>
      </c>
      <c r="H662">
        <v>88422.77</v>
      </c>
      <c r="I662">
        <v>12</v>
      </c>
      <c r="J662" s="1" t="s">
        <v>405</v>
      </c>
      <c r="K662">
        <v>0</v>
      </c>
      <c r="L662">
        <v>864</v>
      </c>
      <c r="M662">
        <v>102.329325</v>
      </c>
      <c r="N662">
        <v>1</v>
      </c>
      <c r="O662" s="1" t="s">
        <v>566</v>
      </c>
      <c r="P662">
        <v>93010.7</v>
      </c>
      <c r="Q662">
        <v>18967.55</v>
      </c>
      <c r="R662">
        <v>0</v>
      </c>
      <c r="S662" s="1" t="s">
        <v>768</v>
      </c>
      <c r="T662" s="1" t="s">
        <v>1188</v>
      </c>
      <c r="U662">
        <v>7894.89</v>
      </c>
      <c r="V662">
        <v>0</v>
      </c>
      <c r="W662">
        <v>76389</v>
      </c>
    </row>
    <row r="663" spans="1:23" x14ac:dyDescent="0.25">
      <c r="A663" s="1" t="s">
        <v>27</v>
      </c>
      <c r="B663" s="1"/>
      <c r="C663" s="1" t="s">
        <v>115</v>
      </c>
      <c r="D663">
        <v>9970</v>
      </c>
      <c r="E663" s="1"/>
      <c r="F663" s="1" t="s">
        <v>260</v>
      </c>
      <c r="G663">
        <v>2012</v>
      </c>
      <c r="H663">
        <v>96278.02</v>
      </c>
      <c r="I663">
        <v>12</v>
      </c>
      <c r="J663" s="1" t="s">
        <v>405</v>
      </c>
      <c r="K663">
        <v>0</v>
      </c>
      <c r="L663">
        <v>796</v>
      </c>
      <c r="M663">
        <v>120.937093</v>
      </c>
      <c r="N663">
        <v>1</v>
      </c>
      <c r="O663" s="1" t="s">
        <v>566</v>
      </c>
      <c r="P663">
        <v>101297.12</v>
      </c>
      <c r="Q663">
        <v>20657.39</v>
      </c>
      <c r="R663">
        <v>0</v>
      </c>
      <c r="S663" s="1" t="s">
        <v>768</v>
      </c>
      <c r="T663" s="1" t="s">
        <v>1188</v>
      </c>
      <c r="U663">
        <v>8596.25</v>
      </c>
      <c r="V663">
        <v>0</v>
      </c>
      <c r="W663">
        <v>76389</v>
      </c>
    </row>
    <row r="664" spans="1:23" x14ac:dyDescent="0.25">
      <c r="A664" s="1" t="s">
        <v>27</v>
      </c>
      <c r="B664" s="1"/>
      <c r="C664" s="1" t="s">
        <v>115</v>
      </c>
      <c r="D664">
        <v>9970</v>
      </c>
      <c r="E664" s="1"/>
      <c r="F664" s="1" t="s">
        <v>260</v>
      </c>
      <c r="G664">
        <v>2011</v>
      </c>
      <c r="H664">
        <v>93820.71</v>
      </c>
      <c r="I664">
        <v>12</v>
      </c>
      <c r="J664" s="1" t="s">
        <v>405</v>
      </c>
      <c r="K664">
        <v>0</v>
      </c>
      <c r="L664">
        <v>774</v>
      </c>
      <c r="M664">
        <v>121.19972799999999</v>
      </c>
      <c r="N664">
        <v>1</v>
      </c>
      <c r="O664" s="1" t="s">
        <v>566</v>
      </c>
      <c r="P664">
        <v>102849.96</v>
      </c>
      <c r="Q664">
        <v>20974.04</v>
      </c>
      <c r="R664">
        <v>0</v>
      </c>
      <c r="S664" s="1" t="s">
        <v>768</v>
      </c>
      <c r="T664" s="1" t="s">
        <v>1188</v>
      </c>
      <c r="U664">
        <v>8376.85</v>
      </c>
      <c r="V664">
        <v>0</v>
      </c>
      <c r="W664">
        <v>76389</v>
      </c>
    </row>
    <row r="665" spans="1:23" x14ac:dyDescent="0.25">
      <c r="A665" s="1" t="s">
        <v>27</v>
      </c>
      <c r="B665" s="1"/>
      <c r="C665" s="1" t="s">
        <v>115</v>
      </c>
      <c r="D665">
        <v>9970</v>
      </c>
      <c r="E665" s="1"/>
      <c r="F665" s="1" t="s">
        <v>260</v>
      </c>
      <c r="G665">
        <v>2010</v>
      </c>
      <c r="H665">
        <v>112439.13</v>
      </c>
      <c r="I665">
        <v>10</v>
      </c>
      <c r="J665" s="1" t="s">
        <v>405</v>
      </c>
      <c r="K665">
        <v>0</v>
      </c>
      <c r="L665">
        <v>774</v>
      </c>
      <c r="M665">
        <v>145.25142700000001</v>
      </c>
      <c r="N665">
        <v>1</v>
      </c>
      <c r="O665" s="1" t="s">
        <v>566</v>
      </c>
      <c r="P665">
        <v>104048.16</v>
      </c>
      <c r="Q665">
        <v>21218.38</v>
      </c>
      <c r="R665">
        <v>0</v>
      </c>
      <c r="S665" s="1" t="s">
        <v>768</v>
      </c>
      <c r="T665" s="1" t="s">
        <v>1188</v>
      </c>
      <c r="U665">
        <v>10039.207119999999</v>
      </c>
      <c r="V665">
        <v>0</v>
      </c>
      <c r="W665">
        <v>76389</v>
      </c>
    </row>
    <row r="666" spans="1:23" x14ac:dyDescent="0.25">
      <c r="A666" s="1" t="s">
        <v>27</v>
      </c>
      <c r="B666" s="1"/>
      <c r="C666" s="1" t="s">
        <v>115</v>
      </c>
      <c r="D666">
        <v>9970</v>
      </c>
      <c r="E666" s="1"/>
      <c r="F666" s="1" t="s">
        <v>260</v>
      </c>
      <c r="G666">
        <v>2009</v>
      </c>
      <c r="H666">
        <v>111555.51</v>
      </c>
      <c r="I666">
        <v>10</v>
      </c>
      <c r="J666" s="1" t="s">
        <v>405</v>
      </c>
      <c r="K666">
        <v>0</v>
      </c>
      <c r="L666">
        <v>774</v>
      </c>
      <c r="M666">
        <v>144.10994700000001</v>
      </c>
      <c r="N666">
        <v>1</v>
      </c>
      <c r="O666" s="1" t="s">
        <v>566</v>
      </c>
      <c r="P666">
        <v>127590.21</v>
      </c>
      <c r="Q666">
        <v>26019.33</v>
      </c>
      <c r="R666">
        <v>0</v>
      </c>
      <c r="S666" s="1" t="s">
        <v>768</v>
      </c>
      <c r="T666" s="1" t="s">
        <v>1188</v>
      </c>
      <c r="U666">
        <v>9960.3131400000002</v>
      </c>
      <c r="V666">
        <v>0</v>
      </c>
      <c r="W666">
        <v>76389</v>
      </c>
    </row>
    <row r="667" spans="1:23" x14ac:dyDescent="0.25">
      <c r="A667" s="1" t="s">
        <v>27</v>
      </c>
      <c r="B667" s="1"/>
      <c r="C667" s="1" t="s">
        <v>115</v>
      </c>
      <c r="D667">
        <v>9970</v>
      </c>
      <c r="E667" s="1"/>
      <c r="F667" s="1" t="s">
        <v>260</v>
      </c>
      <c r="G667">
        <v>2008</v>
      </c>
      <c r="H667">
        <v>89635.83</v>
      </c>
      <c r="I667">
        <v>7</v>
      </c>
      <c r="J667" s="1" t="s">
        <v>405</v>
      </c>
      <c r="K667">
        <v>0</v>
      </c>
      <c r="L667">
        <v>774</v>
      </c>
      <c r="M667">
        <v>115.793605</v>
      </c>
      <c r="N667">
        <v>1</v>
      </c>
      <c r="O667" s="1" t="s">
        <v>566</v>
      </c>
      <c r="P667">
        <v>101612.13</v>
      </c>
      <c r="Q667">
        <v>20721.62</v>
      </c>
      <c r="R667">
        <v>0</v>
      </c>
      <c r="S667" s="1" t="s">
        <v>768</v>
      </c>
      <c r="T667" s="1" t="s">
        <v>1188</v>
      </c>
      <c r="U667">
        <v>8003.20046</v>
      </c>
      <c r="V667">
        <v>0</v>
      </c>
      <c r="W667">
        <v>76389</v>
      </c>
    </row>
    <row r="668" spans="1:23" x14ac:dyDescent="0.25">
      <c r="A668" s="1" t="s">
        <v>27</v>
      </c>
      <c r="B668" s="1" t="s">
        <v>52</v>
      </c>
      <c r="C668" s="1" t="s">
        <v>116</v>
      </c>
      <c r="D668">
        <v>5252</v>
      </c>
      <c r="E668" s="1"/>
      <c r="F668" s="1" t="s">
        <v>116</v>
      </c>
      <c r="G668">
        <v>2015</v>
      </c>
      <c r="H668">
        <v>44224</v>
      </c>
      <c r="I668">
        <v>5</v>
      </c>
      <c r="J668" s="1" t="s">
        <v>469</v>
      </c>
      <c r="K668">
        <v>0</v>
      </c>
      <c r="L668">
        <v>752</v>
      </c>
      <c r="M668">
        <v>58.800691</v>
      </c>
      <c r="N668">
        <v>1</v>
      </c>
      <c r="O668" s="1" t="s">
        <v>562</v>
      </c>
      <c r="P668">
        <v>49854.93</v>
      </c>
      <c r="Q668">
        <v>9223162.0500000007</v>
      </c>
      <c r="R668">
        <v>0</v>
      </c>
      <c r="S668" s="1" t="s">
        <v>769</v>
      </c>
      <c r="T668" s="1"/>
      <c r="U668">
        <v>44224</v>
      </c>
      <c r="V668">
        <v>0</v>
      </c>
      <c r="W668">
        <v>56688</v>
      </c>
    </row>
    <row r="669" spans="1:23" x14ac:dyDescent="0.25">
      <c r="A669" s="1" t="s">
        <v>27</v>
      </c>
      <c r="B669" s="1" t="s">
        <v>52</v>
      </c>
      <c r="C669" s="1" t="s">
        <v>116</v>
      </c>
      <c r="D669">
        <v>5252</v>
      </c>
      <c r="E669" s="1"/>
      <c r="F669" s="1" t="s">
        <v>116</v>
      </c>
      <c r="G669">
        <v>2015</v>
      </c>
      <c r="H669">
        <v>36214.080000000002</v>
      </c>
      <c r="I669">
        <v>5</v>
      </c>
      <c r="J669" s="1" t="s">
        <v>469</v>
      </c>
      <c r="K669">
        <v>0</v>
      </c>
      <c r="L669">
        <v>752</v>
      </c>
      <c r="M669">
        <v>48.150618000000001</v>
      </c>
      <c r="N669">
        <v>1</v>
      </c>
      <c r="O669" s="1" t="s">
        <v>563</v>
      </c>
      <c r="P669">
        <v>40920.699999999997</v>
      </c>
      <c r="Q669">
        <v>216977.07</v>
      </c>
      <c r="R669">
        <v>1</v>
      </c>
      <c r="S669" s="1" t="s">
        <v>769</v>
      </c>
      <c r="T669" s="1"/>
      <c r="U669">
        <v>1037.95</v>
      </c>
      <c r="V669">
        <v>0</v>
      </c>
      <c r="W669">
        <v>56995</v>
      </c>
    </row>
    <row r="670" spans="1:23" x14ac:dyDescent="0.25">
      <c r="A670" s="1" t="s">
        <v>27</v>
      </c>
      <c r="B670" s="1" t="s">
        <v>52</v>
      </c>
      <c r="C670" s="1" t="s">
        <v>116</v>
      </c>
      <c r="D670">
        <v>5252</v>
      </c>
      <c r="E670" s="1"/>
      <c r="F670" s="1" t="s">
        <v>116</v>
      </c>
      <c r="G670">
        <v>2014</v>
      </c>
      <c r="H670">
        <v>78918.67</v>
      </c>
      <c r="I670">
        <v>12</v>
      </c>
      <c r="J670" s="1" t="s">
        <v>469</v>
      </c>
      <c r="K670">
        <v>0</v>
      </c>
      <c r="L670">
        <v>752</v>
      </c>
      <c r="M670">
        <v>104.93108599999999</v>
      </c>
      <c r="N670">
        <v>1</v>
      </c>
      <c r="O670" s="1" t="s">
        <v>562</v>
      </c>
      <c r="P670">
        <v>94387.36</v>
      </c>
      <c r="Q670">
        <v>6680258.6500000004</v>
      </c>
      <c r="R670">
        <v>0</v>
      </c>
      <c r="S670" s="1" t="s">
        <v>769</v>
      </c>
      <c r="T670" s="1"/>
      <c r="U670">
        <v>78918.667000000001</v>
      </c>
      <c r="V670">
        <v>0</v>
      </c>
      <c r="W670">
        <v>56688</v>
      </c>
    </row>
    <row r="671" spans="1:23" x14ac:dyDescent="0.25">
      <c r="A671" s="1" t="s">
        <v>27</v>
      </c>
      <c r="B671" s="1" t="s">
        <v>52</v>
      </c>
      <c r="C671" s="1" t="s">
        <v>116</v>
      </c>
      <c r="D671">
        <v>5252</v>
      </c>
      <c r="E671" s="1"/>
      <c r="F671" s="1" t="s">
        <v>116</v>
      </c>
      <c r="G671">
        <v>2014</v>
      </c>
      <c r="H671">
        <v>64264.34</v>
      </c>
      <c r="I671">
        <v>12</v>
      </c>
      <c r="J671" s="1" t="s">
        <v>469</v>
      </c>
      <c r="K671">
        <v>0</v>
      </c>
      <c r="L671">
        <v>752</v>
      </c>
      <c r="M671">
        <v>85.446535999999995</v>
      </c>
      <c r="N671">
        <v>1</v>
      </c>
      <c r="O671" s="1" t="s">
        <v>563</v>
      </c>
      <c r="P671">
        <v>76417.59</v>
      </c>
      <c r="Q671">
        <v>158624.79</v>
      </c>
      <c r="R671">
        <v>1</v>
      </c>
      <c r="S671" s="1" t="s">
        <v>769</v>
      </c>
      <c r="T671" s="1"/>
      <c r="U671">
        <v>1841.9132999999999</v>
      </c>
      <c r="V671">
        <v>0</v>
      </c>
      <c r="W671">
        <v>56995</v>
      </c>
    </row>
    <row r="672" spans="1:23" x14ac:dyDescent="0.25">
      <c r="A672" s="1" t="s">
        <v>27</v>
      </c>
      <c r="B672" s="1" t="s">
        <v>52</v>
      </c>
      <c r="C672" s="1" t="s">
        <v>116</v>
      </c>
      <c r="D672">
        <v>5252</v>
      </c>
      <c r="E672" s="1"/>
      <c r="F672" s="1" t="s">
        <v>116</v>
      </c>
      <c r="G672">
        <v>2013</v>
      </c>
      <c r="H672">
        <v>89896</v>
      </c>
      <c r="I672">
        <v>12</v>
      </c>
      <c r="J672" s="1" t="s">
        <v>469</v>
      </c>
      <c r="K672">
        <v>0</v>
      </c>
      <c r="L672">
        <v>752</v>
      </c>
      <c r="M672">
        <v>119.526658</v>
      </c>
      <c r="N672">
        <v>1</v>
      </c>
      <c r="O672" s="1" t="s">
        <v>562</v>
      </c>
      <c r="P672">
        <v>93961.78</v>
      </c>
      <c r="Q672">
        <v>17382.919999999998</v>
      </c>
      <c r="R672">
        <v>0</v>
      </c>
      <c r="S672" s="1" t="s">
        <v>769</v>
      </c>
      <c r="T672" s="1"/>
      <c r="U672">
        <v>89896</v>
      </c>
      <c r="V672">
        <v>0</v>
      </c>
      <c r="W672">
        <v>56688</v>
      </c>
    </row>
    <row r="673" spans="1:23" x14ac:dyDescent="0.25">
      <c r="A673" s="1" t="s">
        <v>27</v>
      </c>
      <c r="B673" s="1" t="s">
        <v>52</v>
      </c>
      <c r="C673" s="1" t="s">
        <v>116</v>
      </c>
      <c r="D673">
        <v>5252</v>
      </c>
      <c r="E673" s="1"/>
      <c r="F673" s="1" t="s">
        <v>116</v>
      </c>
      <c r="G673">
        <v>2013</v>
      </c>
      <c r="H673">
        <v>115503.35</v>
      </c>
      <c r="I673">
        <v>12</v>
      </c>
      <c r="J673" s="1" t="s">
        <v>469</v>
      </c>
      <c r="K673">
        <v>0</v>
      </c>
      <c r="L673">
        <v>752</v>
      </c>
      <c r="M673">
        <v>153.57445799999999</v>
      </c>
      <c r="N673">
        <v>1</v>
      </c>
      <c r="O673" s="1" t="s">
        <v>563</v>
      </c>
      <c r="P673">
        <v>140448.54999999999</v>
      </c>
      <c r="Q673">
        <v>744.72</v>
      </c>
      <c r="R673">
        <v>1</v>
      </c>
      <c r="S673" s="1" t="s">
        <v>769</v>
      </c>
      <c r="T673" s="1"/>
      <c r="U673">
        <v>3310.5</v>
      </c>
      <c r="V673">
        <v>0</v>
      </c>
      <c r="W673">
        <v>56995</v>
      </c>
    </row>
    <row r="674" spans="1:23" x14ac:dyDescent="0.25">
      <c r="A674" s="1" t="s">
        <v>27</v>
      </c>
      <c r="B674" s="1" t="s">
        <v>52</v>
      </c>
      <c r="C674" s="1" t="s">
        <v>116</v>
      </c>
      <c r="D674">
        <v>5252</v>
      </c>
      <c r="E674" s="1"/>
      <c r="F674" s="1" t="s">
        <v>116</v>
      </c>
      <c r="G674">
        <v>2012</v>
      </c>
      <c r="H674">
        <v>82264</v>
      </c>
      <c r="I674">
        <v>12</v>
      </c>
      <c r="J674" s="1" t="s">
        <v>469</v>
      </c>
      <c r="K674">
        <v>0</v>
      </c>
      <c r="L674">
        <v>752</v>
      </c>
      <c r="M674">
        <v>109.379071</v>
      </c>
      <c r="N674">
        <v>1</v>
      </c>
      <c r="O674" s="1" t="s">
        <v>562</v>
      </c>
      <c r="P674">
        <v>86403.9</v>
      </c>
      <c r="Q674">
        <v>15984.73</v>
      </c>
      <c r="R674">
        <v>0</v>
      </c>
      <c r="S674" s="1" t="s">
        <v>769</v>
      </c>
      <c r="T674" s="1"/>
      <c r="U674">
        <v>82264</v>
      </c>
      <c r="V674">
        <v>0</v>
      </c>
      <c r="W674">
        <v>56688</v>
      </c>
    </row>
    <row r="675" spans="1:23" x14ac:dyDescent="0.25">
      <c r="A675" s="1" t="s">
        <v>27</v>
      </c>
      <c r="B675" s="1" t="s">
        <v>52</v>
      </c>
      <c r="C675" s="1" t="s">
        <v>116</v>
      </c>
      <c r="D675">
        <v>5252</v>
      </c>
      <c r="E675" s="1"/>
      <c r="F675" s="1" t="s">
        <v>116</v>
      </c>
      <c r="G675">
        <v>2012</v>
      </c>
      <c r="H675">
        <v>67110.91</v>
      </c>
      <c r="I675">
        <v>12</v>
      </c>
      <c r="J675" s="1" t="s">
        <v>469</v>
      </c>
      <c r="K675">
        <v>0</v>
      </c>
      <c r="L675">
        <v>752</v>
      </c>
      <c r="M675">
        <v>89.231364999999997</v>
      </c>
      <c r="N675">
        <v>1</v>
      </c>
      <c r="O675" s="1" t="s">
        <v>563</v>
      </c>
      <c r="P675">
        <v>69736.13</v>
      </c>
      <c r="Q675">
        <v>369.76</v>
      </c>
      <c r="R675">
        <v>1</v>
      </c>
      <c r="S675" s="1" t="s">
        <v>769</v>
      </c>
      <c r="T675" s="1"/>
      <c r="U675">
        <v>1923.5000299999999</v>
      </c>
      <c r="V675">
        <v>0</v>
      </c>
      <c r="W675">
        <v>56995</v>
      </c>
    </row>
    <row r="676" spans="1:23" x14ac:dyDescent="0.25">
      <c r="A676" s="1" t="s">
        <v>27</v>
      </c>
      <c r="B676" s="1" t="s">
        <v>52</v>
      </c>
      <c r="C676" s="1" t="s">
        <v>116</v>
      </c>
      <c r="D676">
        <v>5252</v>
      </c>
      <c r="E676" s="1"/>
      <c r="F676" s="1" t="s">
        <v>116</v>
      </c>
      <c r="G676">
        <v>2011</v>
      </c>
      <c r="H676">
        <v>81811.5</v>
      </c>
      <c r="I676">
        <v>12</v>
      </c>
      <c r="J676" s="1" t="s">
        <v>469</v>
      </c>
      <c r="K676">
        <v>0</v>
      </c>
      <c r="L676">
        <v>752</v>
      </c>
      <c r="M676">
        <v>108.777423</v>
      </c>
      <c r="N676">
        <v>1</v>
      </c>
      <c r="O676" s="1" t="s">
        <v>562</v>
      </c>
      <c r="P676">
        <v>88908.4</v>
      </c>
      <c r="Q676">
        <v>16448.05</v>
      </c>
      <c r="R676">
        <v>0</v>
      </c>
      <c r="S676" s="1" t="s">
        <v>769</v>
      </c>
      <c r="T676" s="1"/>
      <c r="U676">
        <v>81811.5</v>
      </c>
      <c r="V676">
        <v>0</v>
      </c>
      <c r="W676">
        <v>56688</v>
      </c>
    </row>
    <row r="677" spans="1:23" x14ac:dyDescent="0.25">
      <c r="A677" s="1" t="s">
        <v>27</v>
      </c>
      <c r="B677" s="1" t="s">
        <v>52</v>
      </c>
      <c r="C677" s="1" t="s">
        <v>116</v>
      </c>
      <c r="D677">
        <v>5252</v>
      </c>
      <c r="E677" s="1"/>
      <c r="F677" s="1" t="s">
        <v>116</v>
      </c>
      <c r="G677">
        <v>2011</v>
      </c>
      <c r="H677">
        <v>80148.97</v>
      </c>
      <c r="I677">
        <v>12</v>
      </c>
      <c r="J677" s="1" t="s">
        <v>469</v>
      </c>
      <c r="K677">
        <v>0</v>
      </c>
      <c r="L677">
        <v>752</v>
      </c>
      <c r="M677">
        <v>106.56690500000001</v>
      </c>
      <c r="N677">
        <v>1</v>
      </c>
      <c r="O677" s="1" t="s">
        <v>563</v>
      </c>
      <c r="P677">
        <v>85031.679999999993</v>
      </c>
      <c r="Q677">
        <v>450.87</v>
      </c>
      <c r="R677">
        <v>1</v>
      </c>
      <c r="S677" s="1" t="s">
        <v>769</v>
      </c>
      <c r="T677" s="1"/>
      <c r="U677">
        <v>2297.19</v>
      </c>
      <c r="V677">
        <v>0</v>
      </c>
      <c r="W677">
        <v>56995</v>
      </c>
    </row>
    <row r="678" spans="1:23" x14ac:dyDescent="0.25">
      <c r="A678" s="1" t="s">
        <v>27</v>
      </c>
      <c r="B678" s="1" t="s">
        <v>52</v>
      </c>
      <c r="C678" s="1" t="s">
        <v>116</v>
      </c>
      <c r="D678">
        <v>5252</v>
      </c>
      <c r="E678" s="1"/>
      <c r="F678" s="1" t="s">
        <v>116</v>
      </c>
      <c r="G678">
        <v>2010</v>
      </c>
      <c r="H678">
        <v>102172.5</v>
      </c>
      <c r="I678">
        <v>12</v>
      </c>
      <c r="J678" s="1" t="s">
        <v>469</v>
      </c>
      <c r="K678">
        <v>0</v>
      </c>
      <c r="L678">
        <v>752</v>
      </c>
      <c r="M678">
        <v>135.84962100000001</v>
      </c>
      <c r="N678">
        <v>1</v>
      </c>
      <c r="O678" s="1" t="s">
        <v>562</v>
      </c>
      <c r="P678">
        <v>93292.4</v>
      </c>
      <c r="Q678">
        <v>17259.09</v>
      </c>
      <c r="R678">
        <v>0</v>
      </c>
      <c r="S678" s="1" t="s">
        <v>769</v>
      </c>
      <c r="T678" s="1"/>
      <c r="U678">
        <v>102172.5</v>
      </c>
      <c r="V678">
        <v>0</v>
      </c>
      <c r="W678">
        <v>56688</v>
      </c>
    </row>
    <row r="679" spans="1:23" x14ac:dyDescent="0.25">
      <c r="A679" s="1" t="s">
        <v>27</v>
      </c>
      <c r="B679" s="1" t="s">
        <v>52</v>
      </c>
      <c r="C679" s="1" t="s">
        <v>116</v>
      </c>
      <c r="D679">
        <v>5252</v>
      </c>
      <c r="E679" s="1"/>
      <c r="F679" s="1" t="s">
        <v>116</v>
      </c>
      <c r="G679">
        <v>2010</v>
      </c>
      <c r="H679">
        <v>88428.71</v>
      </c>
      <c r="I679">
        <v>12</v>
      </c>
      <c r="J679" s="1" t="s">
        <v>469</v>
      </c>
      <c r="K679">
        <v>0</v>
      </c>
      <c r="L679">
        <v>752</v>
      </c>
      <c r="M679">
        <v>117.575734</v>
      </c>
      <c r="N679">
        <v>1</v>
      </c>
      <c r="O679" s="1" t="s">
        <v>563</v>
      </c>
      <c r="P679">
        <v>80623.740000000005</v>
      </c>
      <c r="Q679">
        <v>427.49</v>
      </c>
      <c r="R679">
        <v>1</v>
      </c>
      <c r="S679" s="1" t="s">
        <v>769</v>
      </c>
      <c r="T679" s="1"/>
      <c r="U679">
        <v>2534.5</v>
      </c>
      <c r="V679">
        <v>0</v>
      </c>
      <c r="W679">
        <v>56995</v>
      </c>
    </row>
    <row r="680" spans="1:23" x14ac:dyDescent="0.25">
      <c r="A680" s="1" t="s">
        <v>27</v>
      </c>
      <c r="B680" s="1" t="s">
        <v>52</v>
      </c>
      <c r="C680" s="1" t="s">
        <v>116</v>
      </c>
      <c r="D680">
        <v>5252</v>
      </c>
      <c r="E680" s="1"/>
      <c r="F680" s="1" t="s">
        <v>116</v>
      </c>
      <c r="G680">
        <v>2009</v>
      </c>
      <c r="H680">
        <v>89614</v>
      </c>
      <c r="I680">
        <v>12</v>
      </c>
      <c r="J680" s="1" t="s">
        <v>469</v>
      </c>
      <c r="K680">
        <v>0</v>
      </c>
      <c r="L680">
        <v>752</v>
      </c>
      <c r="M680">
        <v>119.151708</v>
      </c>
      <c r="N680">
        <v>1</v>
      </c>
      <c r="O680" s="1" t="s">
        <v>562</v>
      </c>
      <c r="P680">
        <v>95768</v>
      </c>
      <c r="Q680">
        <v>17717.07</v>
      </c>
      <c r="R680">
        <v>0</v>
      </c>
      <c r="S680" s="1" t="s">
        <v>769</v>
      </c>
      <c r="T680" s="1"/>
      <c r="U680">
        <v>89614</v>
      </c>
      <c r="V680">
        <v>0</v>
      </c>
      <c r="W680">
        <v>56688</v>
      </c>
    </row>
    <row r="681" spans="1:23" x14ac:dyDescent="0.25">
      <c r="A681" s="1" t="s">
        <v>27</v>
      </c>
      <c r="B681" s="1" t="s">
        <v>52</v>
      </c>
      <c r="C681" s="1" t="s">
        <v>116</v>
      </c>
      <c r="D681">
        <v>5252</v>
      </c>
      <c r="E681" s="1"/>
      <c r="F681" s="1" t="s">
        <v>116</v>
      </c>
      <c r="G681">
        <v>2009</v>
      </c>
      <c r="H681">
        <v>76805.45</v>
      </c>
      <c r="I681">
        <v>12</v>
      </c>
      <c r="J681" s="1" t="s">
        <v>469</v>
      </c>
      <c r="K681">
        <v>0</v>
      </c>
      <c r="L681">
        <v>752</v>
      </c>
      <c r="M681">
        <v>102.121326</v>
      </c>
      <c r="N681">
        <v>1</v>
      </c>
      <c r="O681" s="1" t="s">
        <v>563</v>
      </c>
      <c r="P681">
        <v>81659.63</v>
      </c>
      <c r="Q681">
        <v>432.99</v>
      </c>
      <c r="R681">
        <v>1</v>
      </c>
      <c r="S681" s="1" t="s">
        <v>769</v>
      </c>
      <c r="T681" s="1"/>
      <c r="U681">
        <v>2201.36</v>
      </c>
      <c r="V681">
        <v>0</v>
      </c>
      <c r="W681">
        <v>56995</v>
      </c>
    </row>
    <row r="682" spans="1:23" x14ac:dyDescent="0.25">
      <c r="A682" s="1" t="s">
        <v>27</v>
      </c>
      <c r="B682" s="1" t="s">
        <v>52</v>
      </c>
      <c r="C682" s="1" t="s">
        <v>116</v>
      </c>
      <c r="D682">
        <v>5252</v>
      </c>
      <c r="E682" s="1"/>
      <c r="F682" s="1" t="s">
        <v>116</v>
      </c>
      <c r="G682">
        <v>2008</v>
      </c>
      <c r="H682">
        <v>81558</v>
      </c>
      <c r="I682">
        <v>12</v>
      </c>
      <c r="J682" s="1" t="s">
        <v>469</v>
      </c>
      <c r="K682">
        <v>0</v>
      </c>
      <c r="L682">
        <v>752</v>
      </c>
      <c r="M682">
        <v>108.440366</v>
      </c>
      <c r="N682">
        <v>1</v>
      </c>
      <c r="O682" s="1" t="s">
        <v>562</v>
      </c>
      <c r="P682">
        <v>92767.25</v>
      </c>
      <c r="Q682">
        <v>17161.91</v>
      </c>
      <c r="R682">
        <v>0</v>
      </c>
      <c r="S682" s="1" t="s">
        <v>769</v>
      </c>
      <c r="T682" s="1"/>
      <c r="U682">
        <v>81558</v>
      </c>
      <c r="V682">
        <v>0</v>
      </c>
      <c r="W682">
        <v>56688</v>
      </c>
    </row>
    <row r="683" spans="1:23" x14ac:dyDescent="0.25">
      <c r="A683" s="1" t="s">
        <v>27</v>
      </c>
      <c r="B683" s="1" t="s">
        <v>52</v>
      </c>
      <c r="C683" s="1" t="s">
        <v>116</v>
      </c>
      <c r="D683">
        <v>5252</v>
      </c>
      <c r="E683" s="1"/>
      <c r="F683" s="1" t="s">
        <v>116</v>
      </c>
      <c r="G683">
        <v>2008</v>
      </c>
      <c r="H683">
        <v>68228.789999999994</v>
      </c>
      <c r="I683">
        <v>12</v>
      </c>
      <c r="J683" s="1" t="s">
        <v>469</v>
      </c>
      <c r="K683">
        <v>0</v>
      </c>
      <c r="L683">
        <v>752</v>
      </c>
      <c r="M683">
        <v>90.717709999999997</v>
      </c>
      <c r="N683">
        <v>1</v>
      </c>
      <c r="O683" s="1" t="s">
        <v>563</v>
      </c>
      <c r="P683">
        <v>77195.710000000006</v>
      </c>
      <c r="Q683">
        <v>409.33</v>
      </c>
      <c r="R683">
        <v>1</v>
      </c>
      <c r="S683" s="1" t="s">
        <v>769</v>
      </c>
      <c r="T683" s="1"/>
      <c r="U683">
        <v>1955.54</v>
      </c>
      <c r="V683">
        <v>0</v>
      </c>
      <c r="W683">
        <v>56995</v>
      </c>
    </row>
    <row r="684" spans="1:23" x14ac:dyDescent="0.25">
      <c r="A684" s="1" t="s">
        <v>27</v>
      </c>
      <c r="B684" s="1"/>
      <c r="C684" s="1" t="s">
        <v>117</v>
      </c>
      <c r="D684">
        <v>9977</v>
      </c>
      <c r="E684" s="1"/>
      <c r="F684" s="1" t="s">
        <v>261</v>
      </c>
      <c r="G684">
        <v>2015</v>
      </c>
      <c r="H684">
        <v>26572.560000000001</v>
      </c>
      <c r="I684">
        <v>5</v>
      </c>
      <c r="J684" s="1" t="s">
        <v>470</v>
      </c>
      <c r="K684">
        <v>0</v>
      </c>
      <c r="L684">
        <v>487</v>
      </c>
      <c r="M684">
        <v>54.552576000000002</v>
      </c>
      <c r="N684">
        <v>1</v>
      </c>
      <c r="O684" s="1" t="s">
        <v>566</v>
      </c>
      <c r="P684">
        <v>29992.43</v>
      </c>
      <c r="Q684">
        <v>6116.31</v>
      </c>
      <c r="R684">
        <v>0</v>
      </c>
      <c r="S684" s="1" t="s">
        <v>770</v>
      </c>
      <c r="T684" s="1" t="s">
        <v>1189</v>
      </c>
      <c r="U684">
        <v>2372.5500000000002</v>
      </c>
      <c r="V684">
        <v>0</v>
      </c>
      <c r="W684">
        <v>76406</v>
      </c>
    </row>
    <row r="685" spans="1:23" x14ac:dyDescent="0.25">
      <c r="A685" s="1" t="s">
        <v>27</v>
      </c>
      <c r="B685" s="1"/>
      <c r="C685" s="1" t="s">
        <v>117</v>
      </c>
      <c r="D685">
        <v>9977</v>
      </c>
      <c r="E685" s="1"/>
      <c r="F685" s="1" t="s">
        <v>261</v>
      </c>
      <c r="G685">
        <v>2014</v>
      </c>
      <c r="H685">
        <v>48687.51</v>
      </c>
      <c r="I685">
        <v>12</v>
      </c>
      <c r="J685" s="1" t="s">
        <v>470</v>
      </c>
      <c r="K685">
        <v>0</v>
      </c>
      <c r="L685">
        <v>487</v>
      </c>
      <c r="M685">
        <v>99.953828000000001</v>
      </c>
      <c r="N685">
        <v>1</v>
      </c>
      <c r="O685" s="1" t="s">
        <v>566</v>
      </c>
      <c r="P685">
        <v>57928.73</v>
      </c>
      <c r="Q685">
        <v>11813.34</v>
      </c>
      <c r="R685">
        <v>0</v>
      </c>
      <c r="S685" s="1" t="s">
        <v>770</v>
      </c>
      <c r="T685" s="1" t="s">
        <v>1189</v>
      </c>
      <c r="U685">
        <v>4347.09998</v>
      </c>
      <c r="V685">
        <v>0</v>
      </c>
      <c r="W685">
        <v>76406</v>
      </c>
    </row>
    <row r="686" spans="1:23" x14ac:dyDescent="0.25">
      <c r="A686" s="1" t="s">
        <v>27</v>
      </c>
      <c r="B686" s="1"/>
      <c r="C686" s="1" t="s">
        <v>117</v>
      </c>
      <c r="D686">
        <v>9977</v>
      </c>
      <c r="E686" s="1"/>
      <c r="F686" s="1" t="s">
        <v>261</v>
      </c>
      <c r="G686">
        <v>2013</v>
      </c>
      <c r="H686">
        <v>58476.97</v>
      </c>
      <c r="I686">
        <v>12</v>
      </c>
      <c r="J686" s="1" t="s">
        <v>470</v>
      </c>
      <c r="K686">
        <v>0</v>
      </c>
      <c r="L686">
        <v>487</v>
      </c>
      <c r="M686">
        <v>120.05126199999999</v>
      </c>
      <c r="N686">
        <v>1</v>
      </c>
      <c r="O686" s="1" t="s">
        <v>566</v>
      </c>
      <c r="P686">
        <v>62391.14</v>
      </c>
      <c r="Q686">
        <v>12723.33</v>
      </c>
      <c r="R686">
        <v>0</v>
      </c>
      <c r="S686" s="1" t="s">
        <v>770</v>
      </c>
      <c r="T686" s="1" t="s">
        <v>1189</v>
      </c>
      <c r="U686">
        <v>5221.16</v>
      </c>
      <c r="V686">
        <v>0</v>
      </c>
      <c r="W686">
        <v>76406</v>
      </c>
    </row>
    <row r="687" spans="1:23" x14ac:dyDescent="0.25">
      <c r="A687" s="1" t="s">
        <v>27</v>
      </c>
      <c r="B687" s="1"/>
      <c r="C687" s="1" t="s">
        <v>117</v>
      </c>
      <c r="D687">
        <v>9977</v>
      </c>
      <c r="E687" s="1"/>
      <c r="F687" s="1" t="s">
        <v>261</v>
      </c>
      <c r="G687">
        <v>2012</v>
      </c>
      <c r="H687">
        <v>54554.52</v>
      </c>
      <c r="I687">
        <v>12</v>
      </c>
      <c r="J687" s="1" t="s">
        <v>470</v>
      </c>
      <c r="K687">
        <v>0</v>
      </c>
      <c r="L687">
        <v>487</v>
      </c>
      <c r="M687">
        <v>111.998603</v>
      </c>
      <c r="N687">
        <v>1</v>
      </c>
      <c r="O687" s="1" t="s">
        <v>566</v>
      </c>
      <c r="P687">
        <v>57145.9</v>
      </c>
      <c r="Q687">
        <v>11653.69</v>
      </c>
      <c r="R687">
        <v>0</v>
      </c>
      <c r="S687" s="1" t="s">
        <v>770</v>
      </c>
      <c r="T687" s="1" t="s">
        <v>1189</v>
      </c>
      <c r="U687">
        <v>4870.9399999999996</v>
      </c>
      <c r="V687">
        <v>0</v>
      </c>
      <c r="W687">
        <v>76406</v>
      </c>
    </row>
    <row r="688" spans="1:23" x14ac:dyDescent="0.25">
      <c r="A688" s="1" t="s">
        <v>27</v>
      </c>
      <c r="B688" s="1"/>
      <c r="C688" s="1" t="s">
        <v>117</v>
      </c>
      <c r="D688">
        <v>9977</v>
      </c>
      <c r="E688" s="1"/>
      <c r="F688" s="1" t="s">
        <v>261</v>
      </c>
      <c r="G688">
        <v>2011</v>
      </c>
      <c r="H688">
        <v>57742.62</v>
      </c>
      <c r="I688">
        <v>12</v>
      </c>
      <c r="J688" s="1" t="s">
        <v>470</v>
      </c>
      <c r="K688">
        <v>0</v>
      </c>
      <c r="L688">
        <v>487</v>
      </c>
      <c r="M688">
        <v>118.543666</v>
      </c>
      <c r="N688">
        <v>1</v>
      </c>
      <c r="O688" s="1" t="s">
        <v>566</v>
      </c>
      <c r="P688">
        <v>63046.03</v>
      </c>
      <c r="Q688">
        <v>12856.89</v>
      </c>
      <c r="R688">
        <v>0</v>
      </c>
      <c r="S688" s="1" t="s">
        <v>770</v>
      </c>
      <c r="T688" s="1" t="s">
        <v>1189</v>
      </c>
      <c r="U688">
        <v>5155.59</v>
      </c>
      <c r="V688">
        <v>0</v>
      </c>
      <c r="W688">
        <v>76406</v>
      </c>
    </row>
    <row r="689" spans="1:23" x14ac:dyDescent="0.25">
      <c r="A689" s="1" t="s">
        <v>27</v>
      </c>
      <c r="B689" s="1"/>
      <c r="C689" s="1" t="s">
        <v>117</v>
      </c>
      <c r="D689">
        <v>9977</v>
      </c>
      <c r="E689" s="1"/>
      <c r="F689" s="1" t="s">
        <v>261</v>
      </c>
      <c r="G689">
        <v>2010</v>
      </c>
      <c r="H689">
        <v>58016.56</v>
      </c>
      <c r="I689">
        <v>6</v>
      </c>
      <c r="J689" s="1" t="s">
        <v>470</v>
      </c>
      <c r="K689">
        <v>0</v>
      </c>
      <c r="L689">
        <v>487</v>
      </c>
      <c r="M689">
        <v>119.106056</v>
      </c>
      <c r="N689">
        <v>1</v>
      </c>
      <c r="O689" s="1" t="s">
        <v>566</v>
      </c>
      <c r="P689">
        <v>56885.38</v>
      </c>
      <c r="Q689">
        <v>11600.55</v>
      </c>
      <c r="R689">
        <v>0</v>
      </c>
      <c r="S689" s="1" t="s">
        <v>770</v>
      </c>
      <c r="T689" s="1" t="s">
        <v>1189</v>
      </c>
      <c r="U689">
        <v>5180.05026</v>
      </c>
      <c r="V689">
        <v>0</v>
      </c>
      <c r="W689">
        <v>76406</v>
      </c>
    </row>
    <row r="690" spans="1:23" x14ac:dyDescent="0.25">
      <c r="A690" s="1" t="s">
        <v>27</v>
      </c>
      <c r="B690" s="1"/>
      <c r="C690" s="1" t="s">
        <v>117</v>
      </c>
      <c r="D690">
        <v>9977</v>
      </c>
      <c r="E690" s="1"/>
      <c r="F690" s="1" t="s">
        <v>261</v>
      </c>
      <c r="G690">
        <v>2009</v>
      </c>
      <c r="H690">
        <v>65161.13</v>
      </c>
      <c r="I690">
        <v>5</v>
      </c>
      <c r="J690" s="1" t="s">
        <v>470</v>
      </c>
      <c r="K690">
        <v>0</v>
      </c>
      <c r="L690">
        <v>487</v>
      </c>
      <c r="M690">
        <v>133.773619</v>
      </c>
      <c r="N690">
        <v>1</v>
      </c>
      <c r="O690" s="1" t="s">
        <v>566</v>
      </c>
      <c r="P690">
        <v>88826.78</v>
      </c>
      <c r="Q690">
        <v>18114.32</v>
      </c>
      <c r="R690">
        <v>0</v>
      </c>
      <c r="S690" s="1" t="s">
        <v>770</v>
      </c>
      <c r="T690" s="1" t="s">
        <v>1189</v>
      </c>
      <c r="U690">
        <v>5817.9585800000004</v>
      </c>
      <c r="V690">
        <v>0</v>
      </c>
      <c r="W690">
        <v>76406</v>
      </c>
    </row>
    <row r="691" spans="1:23" x14ac:dyDescent="0.25">
      <c r="A691" s="1" t="s">
        <v>27</v>
      </c>
      <c r="B691" s="1"/>
      <c r="C691" s="1" t="s">
        <v>117</v>
      </c>
      <c r="D691">
        <v>9977</v>
      </c>
      <c r="E691" s="1"/>
      <c r="F691" s="1" t="s">
        <v>261</v>
      </c>
      <c r="G691">
        <v>2008</v>
      </c>
      <c r="H691">
        <v>69646.789999999994</v>
      </c>
      <c r="I691">
        <v>9</v>
      </c>
      <c r="J691" s="1" t="s">
        <v>470</v>
      </c>
      <c r="K691">
        <v>0</v>
      </c>
      <c r="L691">
        <v>487</v>
      </c>
      <c r="M691">
        <v>142.982529</v>
      </c>
      <c r="N691">
        <v>1</v>
      </c>
      <c r="O691" s="1" t="s">
        <v>566</v>
      </c>
      <c r="P691">
        <v>79234.98</v>
      </c>
      <c r="Q691">
        <v>16158.28</v>
      </c>
      <c r="R691">
        <v>0</v>
      </c>
      <c r="S691" s="1" t="s">
        <v>770</v>
      </c>
      <c r="T691" s="1" t="s">
        <v>1189</v>
      </c>
      <c r="U691">
        <v>6218.4643400000004</v>
      </c>
      <c r="V691">
        <v>0</v>
      </c>
      <c r="W691">
        <v>76406</v>
      </c>
    </row>
    <row r="692" spans="1:23" x14ac:dyDescent="0.25">
      <c r="A692" s="1" t="s">
        <v>27</v>
      </c>
      <c r="B692" s="1"/>
      <c r="C692" s="1" t="s">
        <v>118</v>
      </c>
      <c r="D692">
        <v>10018</v>
      </c>
      <c r="E692" s="1"/>
      <c r="F692" s="1" t="s">
        <v>262</v>
      </c>
      <c r="G692">
        <v>2015</v>
      </c>
      <c r="H692">
        <v>58842.5</v>
      </c>
      <c r="I692">
        <v>5</v>
      </c>
      <c r="J692" s="1" t="s">
        <v>471</v>
      </c>
      <c r="K692">
        <v>0</v>
      </c>
      <c r="L692">
        <v>838</v>
      </c>
      <c r="M692">
        <v>70.209401999999997</v>
      </c>
      <c r="N692">
        <v>1</v>
      </c>
      <c r="O692" s="1" t="s">
        <v>564</v>
      </c>
      <c r="P692">
        <v>66615.33</v>
      </c>
      <c r="Q692">
        <v>14087.91</v>
      </c>
      <c r="R692">
        <v>0</v>
      </c>
      <c r="S692" s="1"/>
      <c r="T692" s="1" t="s">
        <v>1190</v>
      </c>
      <c r="U692">
        <v>5448.38</v>
      </c>
      <c r="V692">
        <v>0</v>
      </c>
      <c r="W692">
        <v>76530</v>
      </c>
    </row>
    <row r="693" spans="1:23" x14ac:dyDescent="0.25">
      <c r="A693" s="1" t="s">
        <v>27</v>
      </c>
      <c r="B693" s="1"/>
      <c r="C693" s="1" t="s">
        <v>118</v>
      </c>
      <c r="D693">
        <v>10018</v>
      </c>
      <c r="E693" s="1"/>
      <c r="F693" s="1" t="s">
        <v>262</v>
      </c>
      <c r="G693">
        <v>2014</v>
      </c>
      <c r="H693">
        <v>94388.98</v>
      </c>
      <c r="I693">
        <v>11</v>
      </c>
      <c r="J693" s="1" t="s">
        <v>471</v>
      </c>
      <c r="K693">
        <v>0</v>
      </c>
      <c r="L693">
        <v>838</v>
      </c>
      <c r="M693">
        <v>112.622574</v>
      </c>
      <c r="N693">
        <v>1</v>
      </c>
      <c r="O693" s="1" t="s">
        <v>564</v>
      </c>
      <c r="P693">
        <v>113036.76</v>
      </c>
      <c r="Q693">
        <v>23905.17</v>
      </c>
      <c r="R693">
        <v>0</v>
      </c>
      <c r="S693" s="1"/>
      <c r="T693" s="1" t="s">
        <v>1190</v>
      </c>
      <c r="U693">
        <v>8739.7200599999996</v>
      </c>
      <c r="V693">
        <v>0</v>
      </c>
      <c r="W693">
        <v>76530</v>
      </c>
    </row>
    <row r="694" spans="1:23" x14ac:dyDescent="0.25">
      <c r="A694" s="1" t="s">
        <v>27</v>
      </c>
      <c r="B694" s="1"/>
      <c r="C694" s="1" t="s">
        <v>118</v>
      </c>
      <c r="D694">
        <v>10018</v>
      </c>
      <c r="E694" s="1"/>
      <c r="F694" s="1" t="s">
        <v>262</v>
      </c>
      <c r="G694">
        <v>2013</v>
      </c>
      <c r="H694">
        <v>121317.87</v>
      </c>
      <c r="I694">
        <v>3</v>
      </c>
      <c r="J694" s="1" t="s">
        <v>471</v>
      </c>
      <c r="K694">
        <v>0</v>
      </c>
      <c r="L694">
        <v>838</v>
      </c>
      <c r="M694">
        <v>144.753454</v>
      </c>
      <c r="N694">
        <v>1</v>
      </c>
      <c r="O694" s="1" t="s">
        <v>564</v>
      </c>
      <c r="P694">
        <v>173695.14</v>
      </c>
      <c r="Q694">
        <v>36733.31</v>
      </c>
      <c r="R694">
        <v>0</v>
      </c>
      <c r="S694" s="1"/>
      <c r="T694" s="1" t="s">
        <v>1190</v>
      </c>
      <c r="U694">
        <v>11233.134330000001</v>
      </c>
      <c r="V694">
        <v>0</v>
      </c>
      <c r="W694">
        <v>76530</v>
      </c>
    </row>
    <row r="695" spans="1:23" x14ac:dyDescent="0.25">
      <c r="A695" s="1" t="s">
        <v>27</v>
      </c>
      <c r="B695" s="1"/>
      <c r="C695" s="1" t="s">
        <v>118</v>
      </c>
      <c r="D695">
        <v>10018</v>
      </c>
      <c r="E695" s="1"/>
      <c r="F695" s="1" t="s">
        <v>262</v>
      </c>
      <c r="G695">
        <v>2012</v>
      </c>
      <c r="H695">
        <v>111918.94</v>
      </c>
      <c r="I695">
        <v>2</v>
      </c>
      <c r="J695" s="1" t="s">
        <v>471</v>
      </c>
      <c r="K695">
        <v>0</v>
      </c>
      <c r="L695">
        <v>838</v>
      </c>
      <c r="M695">
        <v>133.53888499999999</v>
      </c>
      <c r="N695">
        <v>1</v>
      </c>
      <c r="O695" s="1" t="s">
        <v>564</v>
      </c>
      <c r="P695">
        <v>124227.2</v>
      </c>
      <c r="Q695">
        <v>26271.74</v>
      </c>
      <c r="R695">
        <v>0</v>
      </c>
      <c r="S695" s="1"/>
      <c r="T695" s="1" t="s">
        <v>1190</v>
      </c>
      <c r="U695">
        <v>10362.865680000001</v>
      </c>
      <c r="V695">
        <v>0</v>
      </c>
      <c r="W695">
        <v>76530</v>
      </c>
    </row>
    <row r="696" spans="1:23" x14ac:dyDescent="0.25">
      <c r="A696" s="1" t="s">
        <v>27</v>
      </c>
      <c r="B696" s="1"/>
      <c r="C696" s="1" t="s">
        <v>118</v>
      </c>
      <c r="D696">
        <v>10018</v>
      </c>
      <c r="E696" s="1"/>
      <c r="F696" s="1" t="s">
        <v>262</v>
      </c>
      <c r="G696">
        <v>2011</v>
      </c>
      <c r="H696">
        <v>117013.17</v>
      </c>
      <c r="I696">
        <v>1</v>
      </c>
      <c r="J696" s="1" t="s">
        <v>471</v>
      </c>
      <c r="K696">
        <v>0</v>
      </c>
      <c r="L696">
        <v>838</v>
      </c>
      <c r="M696">
        <v>139.61719299999999</v>
      </c>
      <c r="N696">
        <v>1</v>
      </c>
      <c r="O696" s="1" t="s">
        <v>564</v>
      </c>
      <c r="P696">
        <v>136743.57999999999</v>
      </c>
      <c r="Q696">
        <v>28918.75</v>
      </c>
      <c r="R696">
        <v>0</v>
      </c>
      <c r="S696" s="1"/>
      <c r="T696" s="1" t="s">
        <v>1190</v>
      </c>
      <c r="U696">
        <v>10834.553980000001</v>
      </c>
      <c r="V696">
        <v>0</v>
      </c>
      <c r="W696">
        <v>76530</v>
      </c>
    </row>
    <row r="697" spans="1:23" x14ac:dyDescent="0.25">
      <c r="A697" s="1" t="s">
        <v>27</v>
      </c>
      <c r="B697" s="1"/>
      <c r="C697" s="1" t="s">
        <v>118</v>
      </c>
      <c r="D697">
        <v>10018</v>
      </c>
      <c r="E697" s="1"/>
      <c r="F697" s="1" t="s">
        <v>262</v>
      </c>
      <c r="G697">
        <v>2010</v>
      </c>
      <c r="H697">
        <v>107652.92</v>
      </c>
      <c r="I697">
        <v>4</v>
      </c>
      <c r="J697" s="1" t="s">
        <v>471</v>
      </c>
      <c r="K697">
        <v>0</v>
      </c>
      <c r="L697">
        <v>838</v>
      </c>
      <c r="M697">
        <v>128.44877600000001</v>
      </c>
      <c r="N697">
        <v>1</v>
      </c>
      <c r="O697" s="1" t="s">
        <v>564</v>
      </c>
      <c r="P697">
        <v>108197.8</v>
      </c>
      <c r="Q697">
        <v>22881.82</v>
      </c>
      <c r="R697">
        <v>0</v>
      </c>
      <c r="S697" s="1"/>
      <c r="T697" s="1" t="s">
        <v>1190</v>
      </c>
      <c r="U697">
        <v>9967.8613800000003</v>
      </c>
      <c r="V697">
        <v>0</v>
      </c>
      <c r="W697">
        <v>76530</v>
      </c>
    </row>
    <row r="698" spans="1:23" x14ac:dyDescent="0.25">
      <c r="A698" s="1" t="s">
        <v>27</v>
      </c>
      <c r="B698" s="1"/>
      <c r="C698" s="1" t="s">
        <v>118</v>
      </c>
      <c r="D698">
        <v>10018</v>
      </c>
      <c r="E698" s="1"/>
      <c r="F698" s="1" t="s">
        <v>262</v>
      </c>
      <c r="G698">
        <v>2009</v>
      </c>
      <c r="H698">
        <v>126630.93</v>
      </c>
      <c r="I698">
        <v>3</v>
      </c>
      <c r="J698" s="1" t="s">
        <v>471</v>
      </c>
      <c r="K698">
        <v>0</v>
      </c>
      <c r="L698">
        <v>838</v>
      </c>
      <c r="M698">
        <v>151.09286399999999</v>
      </c>
      <c r="N698">
        <v>1</v>
      </c>
      <c r="O698" s="1" t="s">
        <v>564</v>
      </c>
      <c r="P698">
        <v>174921.46</v>
      </c>
      <c r="Q698">
        <v>36992.660000000003</v>
      </c>
      <c r="R698">
        <v>0</v>
      </c>
      <c r="S698" s="1"/>
      <c r="T698" s="1" t="s">
        <v>1190</v>
      </c>
      <c r="U698">
        <v>11725.084639999999</v>
      </c>
      <c r="V698">
        <v>0</v>
      </c>
      <c r="W698">
        <v>76530</v>
      </c>
    </row>
    <row r="699" spans="1:23" x14ac:dyDescent="0.25">
      <c r="A699" s="1" t="s">
        <v>27</v>
      </c>
      <c r="B699" s="1"/>
      <c r="C699" s="1" t="s">
        <v>118</v>
      </c>
      <c r="D699">
        <v>10018</v>
      </c>
      <c r="E699" s="1"/>
      <c r="F699" s="1" t="s">
        <v>262</v>
      </c>
      <c r="G699">
        <v>2008</v>
      </c>
      <c r="H699">
        <v>123695.84</v>
      </c>
      <c r="I699">
        <v>5</v>
      </c>
      <c r="J699" s="1" t="s">
        <v>471</v>
      </c>
      <c r="K699">
        <v>0</v>
      </c>
      <c r="L699">
        <v>838</v>
      </c>
      <c r="M699">
        <v>147.590788</v>
      </c>
      <c r="N699">
        <v>1</v>
      </c>
      <c r="O699" s="1" t="s">
        <v>564</v>
      </c>
      <c r="P699">
        <v>144339.81</v>
      </c>
      <c r="Q699">
        <v>30525.200000000001</v>
      </c>
      <c r="R699">
        <v>0</v>
      </c>
      <c r="S699" s="1"/>
      <c r="T699" s="1" t="s">
        <v>1190</v>
      </c>
      <c r="U699">
        <v>11453.320009999999</v>
      </c>
      <c r="V699">
        <v>0</v>
      </c>
      <c r="W699">
        <v>76530</v>
      </c>
    </row>
    <row r="700" spans="1:23" x14ac:dyDescent="0.25">
      <c r="A700" s="1" t="s">
        <v>27</v>
      </c>
      <c r="B700" s="1" t="s">
        <v>53</v>
      </c>
      <c r="C700" s="1" t="s">
        <v>119</v>
      </c>
      <c r="D700">
        <v>5486</v>
      </c>
      <c r="E700" s="1"/>
      <c r="F700" s="1" t="s">
        <v>263</v>
      </c>
      <c r="G700">
        <v>2015</v>
      </c>
      <c r="H700">
        <v>21728</v>
      </c>
      <c r="I700">
        <v>5</v>
      </c>
      <c r="J700" s="1" t="s">
        <v>404</v>
      </c>
      <c r="K700">
        <v>0</v>
      </c>
      <c r="L700">
        <v>417</v>
      </c>
      <c r="M700">
        <v>52.093023000000002</v>
      </c>
      <c r="N700">
        <v>1</v>
      </c>
      <c r="O700" s="1" t="s">
        <v>562</v>
      </c>
      <c r="P700">
        <v>24391.79</v>
      </c>
      <c r="Q700">
        <v>4512481.1500000004</v>
      </c>
      <c r="R700">
        <v>0</v>
      </c>
      <c r="S700" s="1" t="s">
        <v>771</v>
      </c>
      <c r="T700" s="1"/>
      <c r="U700">
        <v>21728</v>
      </c>
      <c r="V700">
        <v>0</v>
      </c>
      <c r="W700">
        <v>57986</v>
      </c>
    </row>
    <row r="701" spans="1:23" x14ac:dyDescent="0.25">
      <c r="A701" s="1" t="s">
        <v>27</v>
      </c>
      <c r="B701" s="1" t="s">
        <v>53</v>
      </c>
      <c r="C701" s="1" t="s">
        <v>119</v>
      </c>
      <c r="D701">
        <v>5486</v>
      </c>
      <c r="E701" s="1"/>
      <c r="F701" s="1" t="s">
        <v>263</v>
      </c>
      <c r="G701">
        <v>2015</v>
      </c>
      <c r="H701">
        <v>17340.34</v>
      </c>
      <c r="I701">
        <v>5</v>
      </c>
      <c r="J701" s="1"/>
      <c r="K701">
        <v>0</v>
      </c>
      <c r="L701">
        <v>417</v>
      </c>
      <c r="M701">
        <v>41.573579000000002</v>
      </c>
      <c r="N701">
        <v>1</v>
      </c>
      <c r="O701" s="1" t="s">
        <v>563</v>
      </c>
      <c r="P701">
        <v>19429.490000000002</v>
      </c>
      <c r="Q701">
        <v>103022.52</v>
      </c>
      <c r="R701">
        <v>1</v>
      </c>
      <c r="S701" s="1" t="s">
        <v>771</v>
      </c>
      <c r="T701" s="1"/>
      <c r="U701">
        <v>497</v>
      </c>
      <c r="V701">
        <v>0</v>
      </c>
      <c r="W701">
        <v>57988</v>
      </c>
    </row>
    <row r="702" spans="1:23" x14ac:dyDescent="0.25">
      <c r="A702" s="1" t="s">
        <v>27</v>
      </c>
      <c r="B702" s="1" t="s">
        <v>53</v>
      </c>
      <c r="C702" s="1" t="s">
        <v>119</v>
      </c>
      <c r="D702">
        <v>5486</v>
      </c>
      <c r="E702" s="1"/>
      <c r="F702" s="1" t="s">
        <v>263</v>
      </c>
      <c r="G702">
        <v>2014</v>
      </c>
      <c r="H702">
        <v>33659</v>
      </c>
      <c r="I702">
        <v>12</v>
      </c>
      <c r="J702" s="1" t="s">
        <v>404</v>
      </c>
      <c r="K702">
        <v>0</v>
      </c>
      <c r="L702">
        <v>417</v>
      </c>
      <c r="M702">
        <v>80.697674000000006</v>
      </c>
      <c r="N702">
        <v>1</v>
      </c>
      <c r="O702" s="1" t="s">
        <v>562</v>
      </c>
      <c r="P702">
        <v>39974.5</v>
      </c>
      <c r="Q702">
        <v>2824541.41</v>
      </c>
      <c r="R702">
        <v>0</v>
      </c>
      <c r="S702" s="1" t="s">
        <v>771</v>
      </c>
      <c r="T702" s="1"/>
      <c r="U702">
        <v>33659</v>
      </c>
      <c r="V702">
        <v>0</v>
      </c>
      <c r="W702">
        <v>57986</v>
      </c>
    </row>
    <row r="703" spans="1:23" x14ac:dyDescent="0.25">
      <c r="A703" s="1" t="s">
        <v>27</v>
      </c>
      <c r="B703" s="1" t="s">
        <v>53</v>
      </c>
      <c r="C703" s="1" t="s">
        <v>119</v>
      </c>
      <c r="D703">
        <v>5486</v>
      </c>
      <c r="E703" s="1"/>
      <c r="F703" s="1" t="s">
        <v>263</v>
      </c>
      <c r="G703">
        <v>2014</v>
      </c>
      <c r="H703">
        <v>26308.45</v>
      </c>
      <c r="I703">
        <v>12</v>
      </c>
      <c r="J703" s="1"/>
      <c r="K703">
        <v>0</v>
      </c>
      <c r="L703">
        <v>417</v>
      </c>
      <c r="M703">
        <v>63.074682000000003</v>
      </c>
      <c r="N703">
        <v>1</v>
      </c>
      <c r="O703" s="1" t="s">
        <v>563</v>
      </c>
      <c r="P703">
        <v>31181.97</v>
      </c>
      <c r="Q703">
        <v>63372.480000000003</v>
      </c>
      <c r="R703">
        <v>1</v>
      </c>
      <c r="S703" s="1" t="s">
        <v>771</v>
      </c>
      <c r="T703" s="1"/>
      <c r="U703">
        <v>754.04</v>
      </c>
      <c r="V703">
        <v>0</v>
      </c>
      <c r="W703">
        <v>57988</v>
      </c>
    </row>
    <row r="704" spans="1:23" x14ac:dyDescent="0.25">
      <c r="A704" s="1" t="s">
        <v>27</v>
      </c>
      <c r="B704" s="1" t="s">
        <v>53</v>
      </c>
      <c r="C704" s="1" t="s">
        <v>119</v>
      </c>
      <c r="D704">
        <v>5486</v>
      </c>
      <c r="E704" s="1"/>
      <c r="F704" s="1" t="s">
        <v>263</v>
      </c>
      <c r="G704">
        <v>2013</v>
      </c>
      <c r="H704">
        <v>28671.21</v>
      </c>
      <c r="I704">
        <v>12</v>
      </c>
      <c r="J704" s="1"/>
      <c r="K704">
        <v>0</v>
      </c>
      <c r="L704">
        <v>417</v>
      </c>
      <c r="M704">
        <v>68.739414999999994</v>
      </c>
      <c r="N704">
        <v>1</v>
      </c>
      <c r="O704" s="1" t="s">
        <v>563</v>
      </c>
      <c r="P704">
        <v>29915.82</v>
      </c>
      <c r="Q704">
        <v>158.63999999999999</v>
      </c>
      <c r="R704">
        <v>1</v>
      </c>
      <c r="S704" s="1" t="s">
        <v>771</v>
      </c>
      <c r="T704" s="1"/>
      <c r="U704">
        <v>821.76</v>
      </c>
      <c r="V704">
        <v>0</v>
      </c>
      <c r="W704">
        <v>57988</v>
      </c>
    </row>
    <row r="705" spans="1:23" x14ac:dyDescent="0.25">
      <c r="A705" s="1" t="s">
        <v>27</v>
      </c>
      <c r="B705" s="1" t="s">
        <v>53</v>
      </c>
      <c r="C705" s="1" t="s">
        <v>119</v>
      </c>
      <c r="D705">
        <v>5486</v>
      </c>
      <c r="E705" s="1"/>
      <c r="F705" s="1" t="s">
        <v>263</v>
      </c>
      <c r="G705">
        <v>2013</v>
      </c>
      <c r="H705">
        <v>38396</v>
      </c>
      <c r="I705">
        <v>12</v>
      </c>
      <c r="J705" s="1" t="s">
        <v>404</v>
      </c>
      <c r="K705">
        <v>0</v>
      </c>
      <c r="L705">
        <v>417</v>
      </c>
      <c r="M705">
        <v>92.054663000000005</v>
      </c>
      <c r="N705">
        <v>1</v>
      </c>
      <c r="O705" s="1" t="s">
        <v>562</v>
      </c>
      <c r="P705">
        <v>40059.440000000002</v>
      </c>
      <c r="Q705">
        <v>7410.98</v>
      </c>
      <c r="R705">
        <v>0</v>
      </c>
      <c r="S705" s="1" t="s">
        <v>771</v>
      </c>
      <c r="T705" s="1"/>
      <c r="U705">
        <v>38396</v>
      </c>
      <c r="V705">
        <v>0</v>
      </c>
      <c r="W705">
        <v>57986</v>
      </c>
    </row>
    <row r="706" spans="1:23" x14ac:dyDescent="0.25">
      <c r="A706" s="1" t="s">
        <v>27</v>
      </c>
      <c r="B706" s="1" t="s">
        <v>53</v>
      </c>
      <c r="C706" s="1" t="s">
        <v>119</v>
      </c>
      <c r="D706">
        <v>5486</v>
      </c>
      <c r="E706" s="1"/>
      <c r="F706" s="1" t="s">
        <v>263</v>
      </c>
      <c r="G706">
        <v>2012</v>
      </c>
      <c r="H706">
        <v>40280</v>
      </c>
      <c r="I706">
        <v>12</v>
      </c>
      <c r="J706" s="1" t="s">
        <v>404</v>
      </c>
      <c r="K706">
        <v>0</v>
      </c>
      <c r="L706">
        <v>417</v>
      </c>
      <c r="M706">
        <v>96.571565000000007</v>
      </c>
      <c r="N706">
        <v>1</v>
      </c>
      <c r="O706" s="1" t="s">
        <v>562</v>
      </c>
      <c r="P706">
        <v>42269.42</v>
      </c>
      <c r="Q706">
        <v>7819.85</v>
      </c>
      <c r="R706">
        <v>0</v>
      </c>
      <c r="S706" s="1" t="s">
        <v>771</v>
      </c>
      <c r="T706" s="1"/>
      <c r="U706">
        <v>40280</v>
      </c>
      <c r="V706">
        <v>0</v>
      </c>
      <c r="W706">
        <v>57986</v>
      </c>
    </row>
    <row r="707" spans="1:23" x14ac:dyDescent="0.25">
      <c r="A707" s="1" t="s">
        <v>27</v>
      </c>
      <c r="B707" s="1" t="s">
        <v>53</v>
      </c>
      <c r="C707" s="1" t="s">
        <v>119</v>
      </c>
      <c r="D707">
        <v>5486</v>
      </c>
      <c r="E707" s="1"/>
      <c r="F707" s="1" t="s">
        <v>263</v>
      </c>
      <c r="G707">
        <v>2012</v>
      </c>
      <c r="H707">
        <v>34332.46</v>
      </c>
      <c r="I707">
        <v>12</v>
      </c>
      <c r="J707" s="1"/>
      <c r="K707">
        <v>0</v>
      </c>
      <c r="L707">
        <v>417</v>
      </c>
      <c r="M707">
        <v>82.312298999999996</v>
      </c>
      <c r="N707">
        <v>1</v>
      </c>
      <c r="O707" s="1" t="s">
        <v>563</v>
      </c>
      <c r="P707">
        <v>35923.519999999997</v>
      </c>
      <c r="Q707">
        <v>190.48</v>
      </c>
      <c r="R707">
        <v>1</v>
      </c>
      <c r="S707" s="1" t="s">
        <v>771</v>
      </c>
      <c r="T707" s="1"/>
      <c r="U707">
        <v>984.01999000000001</v>
      </c>
      <c r="V707">
        <v>0</v>
      </c>
      <c r="W707">
        <v>57988</v>
      </c>
    </row>
    <row r="708" spans="1:23" x14ac:dyDescent="0.25">
      <c r="A708" s="1" t="s">
        <v>27</v>
      </c>
      <c r="B708" s="1" t="s">
        <v>53</v>
      </c>
      <c r="C708" s="1" t="s">
        <v>119</v>
      </c>
      <c r="D708">
        <v>5486</v>
      </c>
      <c r="E708" s="1"/>
      <c r="F708" s="1" t="s">
        <v>263</v>
      </c>
      <c r="G708">
        <v>2011</v>
      </c>
      <c r="H708">
        <v>38159</v>
      </c>
      <c r="I708">
        <v>12</v>
      </c>
      <c r="J708" s="1" t="s">
        <v>404</v>
      </c>
      <c r="K708">
        <v>0</v>
      </c>
      <c r="L708">
        <v>417</v>
      </c>
      <c r="M708">
        <v>91.486453999999995</v>
      </c>
      <c r="N708">
        <v>1</v>
      </c>
      <c r="O708" s="1" t="s">
        <v>562</v>
      </c>
      <c r="P708">
        <v>41397.81</v>
      </c>
      <c r="Q708">
        <v>7658.58</v>
      </c>
      <c r="R708">
        <v>0</v>
      </c>
      <c r="S708" s="1" t="s">
        <v>771</v>
      </c>
      <c r="T708" s="1"/>
      <c r="U708">
        <v>38159</v>
      </c>
      <c r="V708">
        <v>0</v>
      </c>
      <c r="W708">
        <v>57986</v>
      </c>
    </row>
    <row r="709" spans="1:23" x14ac:dyDescent="0.25">
      <c r="A709" s="1" t="s">
        <v>27</v>
      </c>
      <c r="B709" s="1" t="s">
        <v>53</v>
      </c>
      <c r="C709" s="1" t="s">
        <v>119</v>
      </c>
      <c r="D709">
        <v>5486</v>
      </c>
      <c r="E709" s="1"/>
      <c r="F709" s="1" t="s">
        <v>263</v>
      </c>
      <c r="G709">
        <v>2011</v>
      </c>
      <c r="H709">
        <v>31893.98</v>
      </c>
      <c r="I709">
        <v>12</v>
      </c>
      <c r="J709" s="1"/>
      <c r="K709">
        <v>0</v>
      </c>
      <c r="L709">
        <v>417</v>
      </c>
      <c r="M709">
        <v>76.466026999999997</v>
      </c>
      <c r="N709">
        <v>1</v>
      </c>
      <c r="O709" s="1" t="s">
        <v>563</v>
      </c>
      <c r="P709">
        <v>34483.71</v>
      </c>
      <c r="Q709">
        <v>182.84</v>
      </c>
      <c r="R709">
        <v>1</v>
      </c>
      <c r="S709" s="1" t="s">
        <v>771</v>
      </c>
      <c r="T709" s="1"/>
      <c r="U709">
        <v>914.13</v>
      </c>
      <c r="V709">
        <v>0</v>
      </c>
      <c r="W709">
        <v>57988</v>
      </c>
    </row>
    <row r="710" spans="1:23" x14ac:dyDescent="0.25">
      <c r="A710" s="1" t="s">
        <v>27</v>
      </c>
      <c r="B710" s="1" t="s">
        <v>53</v>
      </c>
      <c r="C710" s="1" t="s">
        <v>119</v>
      </c>
      <c r="D710">
        <v>5486</v>
      </c>
      <c r="E710" s="1"/>
      <c r="F710" s="1" t="s">
        <v>263</v>
      </c>
      <c r="G710">
        <v>2010</v>
      </c>
      <c r="H710">
        <v>45976</v>
      </c>
      <c r="I710">
        <v>12</v>
      </c>
      <c r="J710" s="1" t="s">
        <v>404</v>
      </c>
      <c r="K710">
        <v>0</v>
      </c>
      <c r="L710">
        <v>417</v>
      </c>
      <c r="M710">
        <v>110.227763</v>
      </c>
      <c r="N710">
        <v>1</v>
      </c>
      <c r="O710" s="1" t="s">
        <v>562</v>
      </c>
      <c r="P710">
        <v>42054.83</v>
      </c>
      <c r="Q710">
        <v>7780.13</v>
      </c>
      <c r="R710">
        <v>0</v>
      </c>
      <c r="S710" s="1" t="s">
        <v>771</v>
      </c>
      <c r="T710" s="1"/>
      <c r="U710">
        <v>45976</v>
      </c>
      <c r="V710">
        <v>0</v>
      </c>
      <c r="W710">
        <v>57986</v>
      </c>
    </row>
    <row r="711" spans="1:23" x14ac:dyDescent="0.25">
      <c r="A711" s="1" t="s">
        <v>27</v>
      </c>
      <c r="B711" s="1" t="s">
        <v>53</v>
      </c>
      <c r="C711" s="1" t="s">
        <v>119</v>
      </c>
      <c r="D711">
        <v>5486</v>
      </c>
      <c r="E711" s="1"/>
      <c r="F711" s="1" t="s">
        <v>263</v>
      </c>
      <c r="G711">
        <v>2010</v>
      </c>
      <c r="H711">
        <v>37869.599999999999</v>
      </c>
      <c r="I711">
        <v>12</v>
      </c>
      <c r="J711" s="1"/>
      <c r="K711">
        <v>0</v>
      </c>
      <c r="L711">
        <v>417</v>
      </c>
      <c r="M711">
        <v>90.792614999999998</v>
      </c>
      <c r="N711">
        <v>1</v>
      </c>
      <c r="O711" s="1" t="s">
        <v>563</v>
      </c>
      <c r="P711">
        <v>34466.07</v>
      </c>
      <c r="Q711">
        <v>182.75</v>
      </c>
      <c r="R711">
        <v>1</v>
      </c>
      <c r="S711" s="1" t="s">
        <v>771</v>
      </c>
      <c r="T711" s="1"/>
      <c r="U711">
        <v>1085.4000000000001</v>
      </c>
      <c r="V711">
        <v>0</v>
      </c>
      <c r="W711">
        <v>57988</v>
      </c>
    </row>
    <row r="712" spans="1:23" x14ac:dyDescent="0.25">
      <c r="A712" s="1" t="s">
        <v>27</v>
      </c>
      <c r="B712" s="1" t="s">
        <v>53</v>
      </c>
      <c r="C712" s="1" t="s">
        <v>119</v>
      </c>
      <c r="D712">
        <v>5486</v>
      </c>
      <c r="E712" s="1"/>
      <c r="F712" s="1" t="s">
        <v>263</v>
      </c>
      <c r="G712">
        <v>2009</v>
      </c>
      <c r="H712">
        <v>33123.51</v>
      </c>
      <c r="I712">
        <v>12</v>
      </c>
      <c r="J712" s="1"/>
      <c r="K712">
        <v>0</v>
      </c>
      <c r="L712">
        <v>417</v>
      </c>
      <c r="M712">
        <v>79.413832999999997</v>
      </c>
      <c r="N712">
        <v>1</v>
      </c>
      <c r="O712" s="1" t="s">
        <v>563</v>
      </c>
      <c r="P712">
        <v>35151.78</v>
      </c>
      <c r="Q712">
        <v>186.39</v>
      </c>
      <c r="R712">
        <v>1</v>
      </c>
      <c r="S712" s="1" t="s">
        <v>771</v>
      </c>
      <c r="T712" s="1"/>
      <c r="U712">
        <v>949.37</v>
      </c>
      <c r="V712">
        <v>0</v>
      </c>
      <c r="W712">
        <v>57988</v>
      </c>
    </row>
    <row r="713" spans="1:23" x14ac:dyDescent="0.25">
      <c r="A713" s="1" t="s">
        <v>27</v>
      </c>
      <c r="B713" s="1" t="s">
        <v>53</v>
      </c>
      <c r="C713" s="1" t="s">
        <v>119</v>
      </c>
      <c r="D713">
        <v>5486</v>
      </c>
      <c r="E713" s="1"/>
      <c r="F713" s="1" t="s">
        <v>263</v>
      </c>
      <c r="G713">
        <v>2009</v>
      </c>
      <c r="H713">
        <v>38847</v>
      </c>
      <c r="I713">
        <v>12</v>
      </c>
      <c r="J713" s="1" t="s">
        <v>404</v>
      </c>
      <c r="K713">
        <v>0</v>
      </c>
      <c r="L713">
        <v>417</v>
      </c>
      <c r="M713">
        <v>93.135937999999996</v>
      </c>
      <c r="N713">
        <v>1</v>
      </c>
      <c r="O713" s="1" t="s">
        <v>562</v>
      </c>
      <c r="P713">
        <v>41306.71</v>
      </c>
      <c r="Q713">
        <v>7641.74</v>
      </c>
      <c r="R713">
        <v>0</v>
      </c>
      <c r="S713" s="1" t="s">
        <v>771</v>
      </c>
      <c r="T713" s="1"/>
      <c r="U713">
        <v>38847</v>
      </c>
      <c r="V713">
        <v>0</v>
      </c>
      <c r="W713">
        <v>57986</v>
      </c>
    </row>
    <row r="714" spans="1:23" x14ac:dyDescent="0.25">
      <c r="A714" s="1" t="s">
        <v>27</v>
      </c>
      <c r="B714" s="1" t="s">
        <v>53</v>
      </c>
      <c r="C714" s="1" t="s">
        <v>119</v>
      </c>
      <c r="D714">
        <v>5486</v>
      </c>
      <c r="E714" s="1"/>
      <c r="F714" s="1" t="s">
        <v>263</v>
      </c>
      <c r="G714">
        <v>2008</v>
      </c>
      <c r="H714">
        <v>37473</v>
      </c>
      <c r="I714">
        <v>12</v>
      </c>
      <c r="J714" s="1" t="s">
        <v>404</v>
      </c>
      <c r="K714">
        <v>0</v>
      </c>
      <c r="L714">
        <v>417</v>
      </c>
      <c r="M714">
        <v>89.841763999999998</v>
      </c>
      <c r="N714">
        <v>1</v>
      </c>
      <c r="O714" s="1" t="s">
        <v>562</v>
      </c>
      <c r="P714">
        <v>42533.29</v>
      </c>
      <c r="Q714">
        <v>7868.66</v>
      </c>
      <c r="R714">
        <v>0</v>
      </c>
      <c r="S714" s="1" t="s">
        <v>771</v>
      </c>
      <c r="T714" s="1"/>
      <c r="U714">
        <v>37473</v>
      </c>
      <c r="V714">
        <v>0</v>
      </c>
      <c r="W714">
        <v>57986</v>
      </c>
    </row>
    <row r="715" spans="1:23" x14ac:dyDescent="0.25">
      <c r="A715" s="1" t="s">
        <v>27</v>
      </c>
      <c r="B715" s="1" t="s">
        <v>53</v>
      </c>
      <c r="C715" s="1" t="s">
        <v>119</v>
      </c>
      <c r="D715">
        <v>5486</v>
      </c>
      <c r="E715" s="1"/>
      <c r="F715" s="1" t="s">
        <v>263</v>
      </c>
      <c r="G715">
        <v>2008</v>
      </c>
      <c r="H715">
        <v>31264.58</v>
      </c>
      <c r="I715">
        <v>12</v>
      </c>
      <c r="J715" s="1"/>
      <c r="K715">
        <v>0</v>
      </c>
      <c r="L715">
        <v>417</v>
      </c>
      <c r="M715">
        <v>74.957036000000002</v>
      </c>
      <c r="N715">
        <v>1</v>
      </c>
      <c r="O715" s="1" t="s">
        <v>563</v>
      </c>
      <c r="P715">
        <v>35395.769999999997</v>
      </c>
      <c r="Q715">
        <v>187.68</v>
      </c>
      <c r="R715">
        <v>1</v>
      </c>
      <c r="S715" s="1" t="s">
        <v>771</v>
      </c>
      <c r="T715" s="1"/>
      <c r="U715">
        <v>896.09</v>
      </c>
      <c r="V715">
        <v>0</v>
      </c>
      <c r="W715">
        <v>57988</v>
      </c>
    </row>
    <row r="716" spans="1:23" x14ac:dyDescent="0.25">
      <c r="A716" s="1" t="s">
        <v>27</v>
      </c>
      <c r="B716" s="1"/>
      <c r="C716" s="1" t="s">
        <v>120</v>
      </c>
      <c r="D716">
        <v>10058</v>
      </c>
      <c r="E716" s="1"/>
      <c r="F716" s="1" t="s">
        <v>120</v>
      </c>
      <c r="G716">
        <v>2015</v>
      </c>
      <c r="H716">
        <v>34890</v>
      </c>
      <c r="I716">
        <v>5</v>
      </c>
      <c r="J716" s="1" t="s">
        <v>458</v>
      </c>
      <c r="K716">
        <v>0</v>
      </c>
      <c r="L716">
        <v>692</v>
      </c>
      <c r="M716">
        <v>50.411790000000003</v>
      </c>
      <c r="N716">
        <v>1</v>
      </c>
      <c r="O716" s="1" t="s">
        <v>562</v>
      </c>
      <c r="P716">
        <v>39426.82</v>
      </c>
      <c r="Q716">
        <v>2523.31</v>
      </c>
      <c r="R716">
        <v>0</v>
      </c>
      <c r="S716" s="1" t="s">
        <v>772</v>
      </c>
      <c r="T716" s="1"/>
      <c r="U716">
        <v>34890</v>
      </c>
      <c r="V716">
        <v>0</v>
      </c>
      <c r="W716">
        <v>76686</v>
      </c>
    </row>
    <row r="717" spans="1:23" x14ac:dyDescent="0.25">
      <c r="A717" s="1" t="s">
        <v>27</v>
      </c>
      <c r="B717" s="1"/>
      <c r="C717" s="1" t="s">
        <v>120</v>
      </c>
      <c r="D717">
        <v>10058</v>
      </c>
      <c r="E717" s="1"/>
      <c r="F717" s="1" t="s">
        <v>120</v>
      </c>
      <c r="G717">
        <v>2014</v>
      </c>
      <c r="H717">
        <v>55763</v>
      </c>
      <c r="I717">
        <v>12</v>
      </c>
      <c r="J717" s="1" t="s">
        <v>458</v>
      </c>
      <c r="K717">
        <v>0</v>
      </c>
      <c r="L717">
        <v>692</v>
      </c>
      <c r="M717">
        <v>80.570725999999993</v>
      </c>
      <c r="N717">
        <v>1</v>
      </c>
      <c r="O717" s="1" t="s">
        <v>562</v>
      </c>
      <c r="P717">
        <v>65902.320000000007</v>
      </c>
      <c r="Q717">
        <v>4217.76</v>
      </c>
      <c r="R717">
        <v>0</v>
      </c>
      <c r="S717" s="1" t="s">
        <v>772</v>
      </c>
      <c r="T717" s="1"/>
      <c r="U717">
        <v>55762.999900000003</v>
      </c>
      <c r="V717">
        <v>0</v>
      </c>
      <c r="W717">
        <v>76686</v>
      </c>
    </row>
    <row r="718" spans="1:23" x14ac:dyDescent="0.25">
      <c r="A718" s="1" t="s">
        <v>27</v>
      </c>
      <c r="B718" s="1"/>
      <c r="C718" s="1" t="s">
        <v>120</v>
      </c>
      <c r="D718">
        <v>10058</v>
      </c>
      <c r="E718" s="1"/>
      <c r="F718" s="1" t="s">
        <v>120</v>
      </c>
      <c r="G718">
        <v>2013</v>
      </c>
      <c r="H718">
        <v>66610</v>
      </c>
      <c r="I718">
        <v>12</v>
      </c>
      <c r="J718" s="1" t="s">
        <v>458</v>
      </c>
      <c r="K718">
        <v>0</v>
      </c>
      <c r="L718">
        <v>692</v>
      </c>
      <c r="M718">
        <v>96.243317000000005</v>
      </c>
      <c r="N718">
        <v>1</v>
      </c>
      <c r="O718" s="1" t="s">
        <v>562</v>
      </c>
      <c r="P718">
        <v>69516.69</v>
      </c>
      <c r="Q718">
        <v>4449.04</v>
      </c>
      <c r="R718">
        <v>0</v>
      </c>
      <c r="S718" s="1" t="s">
        <v>772</v>
      </c>
      <c r="T718" s="1"/>
      <c r="U718">
        <v>66610</v>
      </c>
      <c r="V718">
        <v>0</v>
      </c>
      <c r="W718">
        <v>76686</v>
      </c>
    </row>
    <row r="719" spans="1:23" x14ac:dyDescent="0.25">
      <c r="A719" s="1" t="s">
        <v>27</v>
      </c>
      <c r="B719" s="1"/>
      <c r="C719" s="1" t="s">
        <v>120</v>
      </c>
      <c r="D719">
        <v>10058</v>
      </c>
      <c r="E719" s="1"/>
      <c r="F719" s="1" t="s">
        <v>120</v>
      </c>
      <c r="G719">
        <v>2012</v>
      </c>
      <c r="H719">
        <v>85356.76</v>
      </c>
      <c r="I719">
        <v>7</v>
      </c>
      <c r="J719" s="1" t="s">
        <v>458</v>
      </c>
      <c r="K719">
        <v>0</v>
      </c>
      <c r="L719">
        <v>692</v>
      </c>
      <c r="M719">
        <v>123.330096</v>
      </c>
      <c r="N719">
        <v>1</v>
      </c>
      <c r="O719" s="1" t="s">
        <v>562</v>
      </c>
      <c r="P719">
        <v>88499.55</v>
      </c>
      <c r="Q719">
        <v>16372.43</v>
      </c>
      <c r="R719">
        <v>0</v>
      </c>
      <c r="S719" s="1" t="s">
        <v>772</v>
      </c>
      <c r="T719" s="1"/>
      <c r="U719">
        <v>85356.769539999994</v>
      </c>
      <c r="V719">
        <v>0</v>
      </c>
      <c r="W719">
        <v>76686</v>
      </c>
    </row>
    <row r="720" spans="1:23" x14ac:dyDescent="0.25">
      <c r="A720" s="1" t="s">
        <v>27</v>
      </c>
      <c r="B720" s="1"/>
      <c r="C720" s="1" t="s">
        <v>120</v>
      </c>
      <c r="D720">
        <v>10058</v>
      </c>
      <c r="E720" s="1"/>
      <c r="F720" s="1" t="s">
        <v>120</v>
      </c>
      <c r="G720">
        <v>2011</v>
      </c>
      <c r="H720">
        <v>66438.23</v>
      </c>
      <c r="I720">
        <v>12</v>
      </c>
      <c r="J720" s="1" t="s">
        <v>458</v>
      </c>
      <c r="K720">
        <v>0</v>
      </c>
      <c r="L720">
        <v>692</v>
      </c>
      <c r="M720">
        <v>95.995130000000003</v>
      </c>
      <c r="N720">
        <v>1</v>
      </c>
      <c r="O720" s="1" t="s">
        <v>562</v>
      </c>
      <c r="P720">
        <v>72058.75</v>
      </c>
      <c r="Q720">
        <v>13330.86</v>
      </c>
      <c r="R720">
        <v>0</v>
      </c>
      <c r="S720" s="1" t="s">
        <v>772</v>
      </c>
      <c r="T720" s="1"/>
      <c r="U720">
        <v>66438.230450000003</v>
      </c>
      <c r="V720">
        <v>0</v>
      </c>
      <c r="W720">
        <v>76686</v>
      </c>
    </row>
    <row r="721" spans="1:23" x14ac:dyDescent="0.25">
      <c r="A721" s="1" t="s">
        <v>27</v>
      </c>
      <c r="B721" s="1"/>
      <c r="C721" s="1" t="s">
        <v>120</v>
      </c>
      <c r="D721">
        <v>10058</v>
      </c>
      <c r="E721" s="1"/>
      <c r="F721" s="1" t="s">
        <v>120</v>
      </c>
      <c r="G721">
        <v>2010</v>
      </c>
      <c r="H721">
        <v>71531.58</v>
      </c>
      <c r="I721">
        <v>5</v>
      </c>
      <c r="J721" s="1" t="s">
        <v>458</v>
      </c>
      <c r="K721">
        <v>0</v>
      </c>
      <c r="L721">
        <v>692</v>
      </c>
      <c r="M721">
        <v>103.354399</v>
      </c>
      <c r="N721">
        <v>1</v>
      </c>
      <c r="O721" s="1" t="s">
        <v>562</v>
      </c>
      <c r="P721">
        <v>65217.29</v>
      </c>
      <c r="Q721">
        <v>12065.2</v>
      </c>
      <c r="R721">
        <v>0</v>
      </c>
      <c r="S721" s="1" t="s">
        <v>772</v>
      </c>
      <c r="T721" s="1"/>
      <c r="U721">
        <v>71531.577529999995</v>
      </c>
      <c r="V721">
        <v>0</v>
      </c>
      <c r="W721">
        <v>76686</v>
      </c>
    </row>
    <row r="722" spans="1:23" x14ac:dyDescent="0.25">
      <c r="A722" s="1" t="s">
        <v>27</v>
      </c>
      <c r="B722" s="1"/>
      <c r="C722" s="1" t="s">
        <v>120</v>
      </c>
      <c r="D722">
        <v>10058</v>
      </c>
      <c r="E722" s="1"/>
      <c r="F722" s="1" t="s">
        <v>120</v>
      </c>
      <c r="G722">
        <v>2009</v>
      </c>
      <c r="H722">
        <v>73294.289999999994</v>
      </c>
      <c r="I722">
        <v>4</v>
      </c>
      <c r="J722" s="1" t="s">
        <v>458</v>
      </c>
      <c r="K722">
        <v>0</v>
      </c>
      <c r="L722">
        <v>692</v>
      </c>
      <c r="M722">
        <v>105.90130000000001</v>
      </c>
      <c r="N722">
        <v>1</v>
      </c>
      <c r="O722" s="1" t="s">
        <v>562</v>
      </c>
      <c r="P722">
        <v>92307.92</v>
      </c>
      <c r="Q722">
        <v>17076.97</v>
      </c>
      <c r="R722">
        <v>0</v>
      </c>
      <c r="S722" s="1" t="s">
        <v>772</v>
      </c>
      <c r="T722" s="1"/>
      <c r="U722">
        <v>73294.286540000001</v>
      </c>
      <c r="V722">
        <v>0</v>
      </c>
      <c r="W722">
        <v>76686</v>
      </c>
    </row>
    <row r="723" spans="1:23" x14ac:dyDescent="0.25">
      <c r="A723" s="1" t="s">
        <v>27</v>
      </c>
      <c r="B723" s="1"/>
      <c r="C723" s="1" t="s">
        <v>120</v>
      </c>
      <c r="D723">
        <v>10058</v>
      </c>
      <c r="E723" s="1"/>
      <c r="F723" s="1" t="s">
        <v>120</v>
      </c>
      <c r="G723">
        <v>2008</v>
      </c>
      <c r="H723">
        <v>64822</v>
      </c>
      <c r="I723">
        <v>4</v>
      </c>
      <c r="J723" s="1" t="s">
        <v>458</v>
      </c>
      <c r="K723">
        <v>0</v>
      </c>
      <c r="L723">
        <v>692</v>
      </c>
      <c r="M723">
        <v>93.659875</v>
      </c>
      <c r="N723">
        <v>1</v>
      </c>
      <c r="O723" s="1" t="s">
        <v>562</v>
      </c>
      <c r="P723">
        <v>75128.73</v>
      </c>
      <c r="Q723">
        <v>13898.82</v>
      </c>
      <c r="R723">
        <v>0</v>
      </c>
      <c r="S723" s="1" t="s">
        <v>772</v>
      </c>
      <c r="T723" s="1"/>
      <c r="U723">
        <v>64821.995929999997</v>
      </c>
      <c r="V723">
        <v>0</v>
      </c>
      <c r="W723">
        <v>76686</v>
      </c>
    </row>
    <row r="724" spans="1:23" x14ac:dyDescent="0.25">
      <c r="A724" s="1" t="s">
        <v>27</v>
      </c>
      <c r="B724" s="1" t="s">
        <v>54</v>
      </c>
      <c r="C724" s="1" t="s">
        <v>121</v>
      </c>
      <c r="D724">
        <v>5428</v>
      </c>
      <c r="E724" s="1"/>
      <c r="F724" s="1" t="s">
        <v>264</v>
      </c>
      <c r="G724">
        <v>2015</v>
      </c>
      <c r="H724">
        <v>62427.24</v>
      </c>
      <c r="I724">
        <v>5</v>
      </c>
      <c r="J724" s="1" t="s">
        <v>472</v>
      </c>
      <c r="K724">
        <v>0</v>
      </c>
      <c r="L724">
        <v>679</v>
      </c>
      <c r="M724">
        <v>91.926432000000005</v>
      </c>
      <c r="N724">
        <v>1</v>
      </c>
      <c r="O724" s="1" t="s">
        <v>564</v>
      </c>
      <c r="P724">
        <v>70297.94</v>
      </c>
      <c r="Q724">
        <v>14866.72</v>
      </c>
      <c r="R724">
        <v>0</v>
      </c>
      <c r="S724" s="1" t="s">
        <v>773</v>
      </c>
      <c r="T724" s="1" t="s">
        <v>1191</v>
      </c>
      <c r="U724">
        <v>5780.3</v>
      </c>
      <c r="V724">
        <v>0</v>
      </c>
      <c r="W724">
        <v>57403</v>
      </c>
    </row>
    <row r="725" spans="1:23" x14ac:dyDescent="0.25">
      <c r="A725" s="1" t="s">
        <v>27</v>
      </c>
      <c r="B725" s="1" t="s">
        <v>54</v>
      </c>
      <c r="C725" s="1" t="s">
        <v>121</v>
      </c>
      <c r="D725">
        <v>5428</v>
      </c>
      <c r="E725" s="1"/>
      <c r="F725" s="1" t="s">
        <v>264</v>
      </c>
      <c r="G725">
        <v>2014</v>
      </c>
      <c r="H725">
        <v>103001.96</v>
      </c>
      <c r="I725">
        <v>12</v>
      </c>
      <c r="J725" s="1" t="s">
        <v>472</v>
      </c>
      <c r="K725">
        <v>0</v>
      </c>
      <c r="L725">
        <v>679</v>
      </c>
      <c r="M725">
        <v>151.674215</v>
      </c>
      <c r="N725">
        <v>1</v>
      </c>
      <c r="O725" s="1" t="s">
        <v>564</v>
      </c>
      <c r="P725">
        <v>122240.6</v>
      </c>
      <c r="Q725">
        <v>25851.63</v>
      </c>
      <c r="R725">
        <v>0</v>
      </c>
      <c r="S725" s="1" t="s">
        <v>773</v>
      </c>
      <c r="T725" s="1" t="s">
        <v>1191</v>
      </c>
      <c r="U725">
        <v>9537.2199999999993</v>
      </c>
      <c r="V725">
        <v>0</v>
      </c>
      <c r="W725">
        <v>57403</v>
      </c>
    </row>
    <row r="726" spans="1:23" x14ac:dyDescent="0.25">
      <c r="A726" s="1" t="s">
        <v>27</v>
      </c>
      <c r="B726" s="1" t="s">
        <v>54</v>
      </c>
      <c r="C726" s="1" t="s">
        <v>121</v>
      </c>
      <c r="D726">
        <v>5428</v>
      </c>
      <c r="E726" s="1"/>
      <c r="F726" s="1" t="s">
        <v>264</v>
      </c>
      <c r="G726">
        <v>2013</v>
      </c>
      <c r="H726">
        <v>136911.82</v>
      </c>
      <c r="I726">
        <v>12</v>
      </c>
      <c r="J726" s="1" t="s">
        <v>472</v>
      </c>
      <c r="K726">
        <v>0</v>
      </c>
      <c r="L726">
        <v>679</v>
      </c>
      <c r="M726">
        <v>201.60774499999999</v>
      </c>
      <c r="N726">
        <v>1</v>
      </c>
      <c r="O726" s="1" t="s">
        <v>564</v>
      </c>
      <c r="P726">
        <v>142993.72</v>
      </c>
      <c r="Q726">
        <v>30240.52</v>
      </c>
      <c r="R726">
        <v>0</v>
      </c>
      <c r="S726" s="1" t="s">
        <v>773</v>
      </c>
      <c r="T726" s="1" t="s">
        <v>1191</v>
      </c>
      <c r="U726">
        <v>12677.02</v>
      </c>
      <c r="V726">
        <v>0</v>
      </c>
      <c r="W726">
        <v>57403</v>
      </c>
    </row>
    <row r="727" spans="1:23" x14ac:dyDescent="0.25">
      <c r="A727" s="1" t="s">
        <v>27</v>
      </c>
      <c r="B727" s="1" t="s">
        <v>54</v>
      </c>
      <c r="C727" s="1" t="s">
        <v>121</v>
      </c>
      <c r="D727">
        <v>5428</v>
      </c>
      <c r="E727" s="1"/>
      <c r="F727" s="1" t="s">
        <v>264</v>
      </c>
      <c r="G727">
        <v>2012</v>
      </c>
      <c r="H727">
        <v>145074.03</v>
      </c>
      <c r="I727">
        <v>12</v>
      </c>
      <c r="J727" s="1" t="s">
        <v>472</v>
      </c>
      <c r="K727">
        <v>0</v>
      </c>
      <c r="L727">
        <v>679</v>
      </c>
      <c r="M727">
        <v>213.626903</v>
      </c>
      <c r="N727">
        <v>1</v>
      </c>
      <c r="O727" s="1" t="s">
        <v>564</v>
      </c>
      <c r="P727">
        <v>152633.87</v>
      </c>
      <c r="Q727">
        <v>32279.23</v>
      </c>
      <c r="R727">
        <v>0</v>
      </c>
      <c r="S727" s="1" t="s">
        <v>773</v>
      </c>
      <c r="T727" s="1" t="s">
        <v>1191</v>
      </c>
      <c r="U727">
        <v>13432.78</v>
      </c>
      <c r="V727">
        <v>0</v>
      </c>
      <c r="W727">
        <v>57403</v>
      </c>
    </row>
    <row r="728" spans="1:23" x14ac:dyDescent="0.25">
      <c r="A728" s="1" t="s">
        <v>27</v>
      </c>
      <c r="B728" s="1" t="s">
        <v>54</v>
      </c>
      <c r="C728" s="1" t="s">
        <v>121</v>
      </c>
      <c r="D728">
        <v>5428</v>
      </c>
      <c r="E728" s="1"/>
      <c r="F728" s="1" t="s">
        <v>264</v>
      </c>
      <c r="G728">
        <v>2011</v>
      </c>
      <c r="H728">
        <v>142132.87</v>
      </c>
      <c r="I728">
        <v>12</v>
      </c>
      <c r="J728" s="1" t="s">
        <v>472</v>
      </c>
      <c r="K728">
        <v>0</v>
      </c>
      <c r="L728">
        <v>679</v>
      </c>
      <c r="M728">
        <v>209.29593499999999</v>
      </c>
      <c r="N728">
        <v>1</v>
      </c>
      <c r="O728" s="1" t="s">
        <v>564</v>
      </c>
      <c r="P728">
        <v>156279.5</v>
      </c>
      <c r="Q728">
        <v>33050.230000000003</v>
      </c>
      <c r="R728">
        <v>0</v>
      </c>
      <c r="S728" s="1" t="s">
        <v>773</v>
      </c>
      <c r="T728" s="1" t="s">
        <v>1191</v>
      </c>
      <c r="U728">
        <v>13160.45</v>
      </c>
      <c r="V728">
        <v>0</v>
      </c>
      <c r="W728">
        <v>57403</v>
      </c>
    </row>
    <row r="729" spans="1:23" x14ac:dyDescent="0.25">
      <c r="A729" s="1" t="s">
        <v>27</v>
      </c>
      <c r="B729" s="1" t="s">
        <v>54</v>
      </c>
      <c r="C729" s="1" t="s">
        <v>121</v>
      </c>
      <c r="D729">
        <v>5428</v>
      </c>
      <c r="E729" s="1"/>
      <c r="F729" s="1" t="s">
        <v>264</v>
      </c>
      <c r="G729">
        <v>2010</v>
      </c>
      <c r="H729">
        <v>164258.17000000001</v>
      </c>
      <c r="I729">
        <v>12</v>
      </c>
      <c r="J729" s="1" t="s">
        <v>472</v>
      </c>
      <c r="K729">
        <v>0</v>
      </c>
      <c r="L729">
        <v>679</v>
      </c>
      <c r="M729">
        <v>241.876262</v>
      </c>
      <c r="N729">
        <v>1</v>
      </c>
      <c r="O729" s="1" t="s">
        <v>564</v>
      </c>
      <c r="P729">
        <v>150428.35999999999</v>
      </c>
      <c r="Q729">
        <v>31812.799999999999</v>
      </c>
      <c r="R729">
        <v>0</v>
      </c>
      <c r="S729" s="1" t="s">
        <v>773</v>
      </c>
      <c r="T729" s="1" t="s">
        <v>1191</v>
      </c>
      <c r="U729">
        <v>15209.09</v>
      </c>
      <c r="V729">
        <v>0</v>
      </c>
      <c r="W729">
        <v>57403</v>
      </c>
    </row>
    <row r="730" spans="1:23" x14ac:dyDescent="0.25">
      <c r="A730" s="1" t="s">
        <v>27</v>
      </c>
      <c r="B730" s="1" t="s">
        <v>54</v>
      </c>
      <c r="C730" s="1" t="s">
        <v>121</v>
      </c>
      <c r="D730">
        <v>5428</v>
      </c>
      <c r="E730" s="1"/>
      <c r="F730" s="1" t="s">
        <v>264</v>
      </c>
      <c r="G730">
        <v>2009</v>
      </c>
      <c r="H730">
        <v>138080.16</v>
      </c>
      <c r="I730">
        <v>12</v>
      </c>
      <c r="J730" s="1" t="s">
        <v>472</v>
      </c>
      <c r="K730">
        <v>0</v>
      </c>
      <c r="L730">
        <v>679</v>
      </c>
      <c r="M730">
        <v>203.328169</v>
      </c>
      <c r="N730">
        <v>1</v>
      </c>
      <c r="O730" s="1" t="s">
        <v>564</v>
      </c>
      <c r="P730">
        <v>150219.49</v>
      </c>
      <c r="Q730">
        <v>31768.62</v>
      </c>
      <c r="R730">
        <v>0</v>
      </c>
      <c r="S730" s="1" t="s">
        <v>773</v>
      </c>
      <c r="T730" s="1" t="s">
        <v>1191</v>
      </c>
      <c r="U730">
        <v>12785.2</v>
      </c>
      <c r="V730">
        <v>0</v>
      </c>
      <c r="W730">
        <v>57403</v>
      </c>
    </row>
    <row r="731" spans="1:23" x14ac:dyDescent="0.25">
      <c r="A731" s="1" t="s">
        <v>27</v>
      </c>
      <c r="B731" s="1" t="s">
        <v>54</v>
      </c>
      <c r="C731" s="1" t="s">
        <v>121</v>
      </c>
      <c r="D731">
        <v>5428</v>
      </c>
      <c r="E731" s="1"/>
      <c r="F731" s="1" t="s">
        <v>264</v>
      </c>
      <c r="G731">
        <v>2008</v>
      </c>
      <c r="H731">
        <v>132190.35999999999</v>
      </c>
      <c r="I731">
        <v>12</v>
      </c>
      <c r="J731" s="1" t="s">
        <v>472</v>
      </c>
      <c r="K731">
        <v>0</v>
      </c>
      <c r="L731">
        <v>679</v>
      </c>
      <c r="M731">
        <v>194.65522000000001</v>
      </c>
      <c r="N731">
        <v>1</v>
      </c>
      <c r="O731" s="1" t="s">
        <v>564</v>
      </c>
      <c r="P731">
        <v>151792.07999999999</v>
      </c>
      <c r="Q731">
        <v>32101.22</v>
      </c>
      <c r="R731">
        <v>0</v>
      </c>
      <c r="S731" s="1" t="s">
        <v>773</v>
      </c>
      <c r="T731" s="1" t="s">
        <v>1191</v>
      </c>
      <c r="U731">
        <v>12239.85</v>
      </c>
      <c r="V731">
        <v>0</v>
      </c>
      <c r="W731">
        <v>57403</v>
      </c>
    </row>
    <row r="732" spans="1:23" x14ac:dyDescent="0.25">
      <c r="A732" s="1" t="s">
        <v>27</v>
      </c>
      <c r="B732" s="1" t="s">
        <v>55</v>
      </c>
      <c r="C732" s="1" t="s">
        <v>122</v>
      </c>
      <c r="D732">
        <v>5262</v>
      </c>
      <c r="E732" s="1"/>
      <c r="F732" s="1" t="s">
        <v>122</v>
      </c>
      <c r="G732">
        <v>2015</v>
      </c>
      <c r="H732">
        <v>0</v>
      </c>
      <c r="I732">
        <v>5</v>
      </c>
      <c r="J732" s="1"/>
      <c r="K732">
        <v>0</v>
      </c>
      <c r="L732">
        <v>874</v>
      </c>
      <c r="M732">
        <v>0</v>
      </c>
      <c r="N732">
        <v>1</v>
      </c>
      <c r="O732" s="1" t="s">
        <v>562</v>
      </c>
      <c r="P732">
        <v>0</v>
      </c>
      <c r="Q732">
        <v>0</v>
      </c>
      <c r="R732">
        <v>0</v>
      </c>
      <c r="S732" s="1" t="s">
        <v>774</v>
      </c>
      <c r="T732" s="1"/>
      <c r="U732">
        <v>0</v>
      </c>
      <c r="V732">
        <v>0</v>
      </c>
      <c r="W732">
        <v>56738</v>
      </c>
    </row>
    <row r="733" spans="1:23" x14ac:dyDescent="0.25">
      <c r="A733" s="1" t="s">
        <v>27</v>
      </c>
      <c r="B733" s="1" t="s">
        <v>55</v>
      </c>
      <c r="C733" s="1" t="s">
        <v>122</v>
      </c>
      <c r="D733">
        <v>5262</v>
      </c>
      <c r="E733" s="1"/>
      <c r="F733" s="1" t="s">
        <v>122</v>
      </c>
      <c r="G733">
        <v>2015</v>
      </c>
      <c r="H733">
        <v>0</v>
      </c>
      <c r="I733">
        <v>5</v>
      </c>
      <c r="J733" s="1"/>
      <c r="K733">
        <v>0</v>
      </c>
      <c r="L733">
        <v>874</v>
      </c>
      <c r="M733">
        <v>0</v>
      </c>
      <c r="N733">
        <v>1</v>
      </c>
      <c r="O733" s="1" t="s">
        <v>563</v>
      </c>
      <c r="P733">
        <v>0</v>
      </c>
      <c r="Q733">
        <v>0</v>
      </c>
      <c r="R733">
        <v>1</v>
      </c>
      <c r="S733" s="1" t="s">
        <v>774</v>
      </c>
      <c r="T733" s="1"/>
      <c r="U733">
        <v>0</v>
      </c>
      <c r="V733">
        <v>0</v>
      </c>
      <c r="W733">
        <v>56997</v>
      </c>
    </row>
    <row r="734" spans="1:23" x14ac:dyDescent="0.25">
      <c r="A734" s="1" t="s">
        <v>27</v>
      </c>
      <c r="B734" s="1" t="s">
        <v>55</v>
      </c>
      <c r="C734" s="1" t="s">
        <v>122</v>
      </c>
      <c r="D734">
        <v>5262</v>
      </c>
      <c r="E734" s="1"/>
      <c r="F734" s="1" t="s">
        <v>122</v>
      </c>
      <c r="G734">
        <v>2014</v>
      </c>
      <c r="H734">
        <v>63000</v>
      </c>
      <c r="I734">
        <v>12</v>
      </c>
      <c r="J734" s="1"/>
      <c r="K734">
        <v>0</v>
      </c>
      <c r="L734">
        <v>874</v>
      </c>
      <c r="M734">
        <v>72.074133000000003</v>
      </c>
      <c r="N734">
        <v>1</v>
      </c>
      <c r="O734" s="1" t="s">
        <v>562</v>
      </c>
      <c r="P734">
        <v>77514.100000000006</v>
      </c>
      <c r="Q734">
        <v>2935067.66</v>
      </c>
      <c r="R734">
        <v>0</v>
      </c>
      <c r="S734" s="1" t="s">
        <v>774</v>
      </c>
      <c r="T734" s="1"/>
      <c r="U734">
        <v>63000</v>
      </c>
      <c r="V734">
        <v>0</v>
      </c>
      <c r="W734">
        <v>56738</v>
      </c>
    </row>
    <row r="735" spans="1:23" x14ac:dyDescent="0.25">
      <c r="A735" s="1" t="s">
        <v>27</v>
      </c>
      <c r="B735" s="1" t="s">
        <v>55</v>
      </c>
      <c r="C735" s="1" t="s">
        <v>122</v>
      </c>
      <c r="D735">
        <v>5262</v>
      </c>
      <c r="E735" s="1"/>
      <c r="F735" s="1" t="s">
        <v>122</v>
      </c>
      <c r="G735">
        <v>2014</v>
      </c>
      <c r="H735">
        <v>200369.78</v>
      </c>
      <c r="I735">
        <v>12</v>
      </c>
      <c r="J735" s="1"/>
      <c r="K735">
        <v>0</v>
      </c>
      <c r="L735">
        <v>874</v>
      </c>
      <c r="M735">
        <v>229.22981300000001</v>
      </c>
      <c r="N735">
        <v>1</v>
      </c>
      <c r="O735" s="1" t="s">
        <v>563</v>
      </c>
      <c r="P735">
        <v>247729.83</v>
      </c>
      <c r="Q735">
        <v>286065.23</v>
      </c>
      <c r="R735">
        <v>1</v>
      </c>
      <c r="S735" s="1" t="s">
        <v>774</v>
      </c>
      <c r="T735" s="1"/>
      <c r="U735">
        <v>5742.9</v>
      </c>
      <c r="V735">
        <v>0</v>
      </c>
      <c r="W735">
        <v>56997</v>
      </c>
    </row>
    <row r="736" spans="1:23" x14ac:dyDescent="0.25">
      <c r="A736" s="1" t="s">
        <v>27</v>
      </c>
      <c r="B736" s="1" t="s">
        <v>55</v>
      </c>
      <c r="C736" s="1" t="s">
        <v>122</v>
      </c>
      <c r="D736">
        <v>5262</v>
      </c>
      <c r="E736" s="1"/>
      <c r="F736" s="1" t="s">
        <v>122</v>
      </c>
      <c r="G736">
        <v>2013</v>
      </c>
      <c r="H736">
        <v>240451.42</v>
      </c>
      <c r="I736">
        <v>12</v>
      </c>
      <c r="J736" s="1"/>
      <c r="K736">
        <v>0</v>
      </c>
      <c r="L736">
        <v>874</v>
      </c>
      <c r="M736">
        <v>275.084566</v>
      </c>
      <c r="N736">
        <v>1</v>
      </c>
      <c r="O736" s="1" t="s">
        <v>563</v>
      </c>
      <c r="P736">
        <v>253996.49</v>
      </c>
      <c r="Q736">
        <v>1346.8</v>
      </c>
      <c r="R736">
        <v>1</v>
      </c>
      <c r="S736" s="1" t="s">
        <v>774</v>
      </c>
      <c r="T736" s="1"/>
      <c r="U736">
        <v>6891.7</v>
      </c>
      <c r="V736">
        <v>0</v>
      </c>
      <c r="W736">
        <v>56997</v>
      </c>
    </row>
    <row r="737" spans="1:23" x14ac:dyDescent="0.25">
      <c r="A737" s="1" t="s">
        <v>27</v>
      </c>
      <c r="B737" s="1" t="s">
        <v>55</v>
      </c>
      <c r="C737" s="1" t="s">
        <v>122</v>
      </c>
      <c r="D737">
        <v>5262</v>
      </c>
      <c r="E737" s="1"/>
      <c r="F737" s="1" t="s">
        <v>122</v>
      </c>
      <c r="G737">
        <v>2013</v>
      </c>
      <c r="H737">
        <v>97180</v>
      </c>
      <c r="I737">
        <v>12</v>
      </c>
      <c r="J737" s="1"/>
      <c r="K737">
        <v>0</v>
      </c>
      <c r="L737">
        <v>874</v>
      </c>
      <c r="M737">
        <v>111.17721</v>
      </c>
      <c r="N737">
        <v>1</v>
      </c>
      <c r="O737" s="1" t="s">
        <v>562</v>
      </c>
      <c r="P737">
        <v>100974.14</v>
      </c>
      <c r="Q737">
        <v>18680.22</v>
      </c>
      <c r="R737">
        <v>0</v>
      </c>
      <c r="S737" s="1" t="s">
        <v>774</v>
      </c>
      <c r="T737" s="1"/>
      <c r="U737">
        <v>97180</v>
      </c>
      <c r="V737">
        <v>0</v>
      </c>
      <c r="W737">
        <v>56738</v>
      </c>
    </row>
    <row r="738" spans="1:23" x14ac:dyDescent="0.25">
      <c r="A738" s="1" t="s">
        <v>27</v>
      </c>
      <c r="B738" s="1" t="s">
        <v>55</v>
      </c>
      <c r="C738" s="1" t="s">
        <v>122</v>
      </c>
      <c r="D738">
        <v>5262</v>
      </c>
      <c r="E738" s="1"/>
      <c r="F738" s="1" t="s">
        <v>122</v>
      </c>
      <c r="G738">
        <v>2012</v>
      </c>
      <c r="H738">
        <v>97550</v>
      </c>
      <c r="I738">
        <v>12</v>
      </c>
      <c r="J738" s="1"/>
      <c r="K738">
        <v>0</v>
      </c>
      <c r="L738">
        <v>874</v>
      </c>
      <c r="M738">
        <v>111.600503</v>
      </c>
      <c r="N738">
        <v>1</v>
      </c>
      <c r="O738" s="1" t="s">
        <v>562</v>
      </c>
      <c r="P738">
        <v>102997.77</v>
      </c>
      <c r="Q738">
        <v>19054.599999999999</v>
      </c>
      <c r="R738">
        <v>0</v>
      </c>
      <c r="S738" s="1" t="s">
        <v>774</v>
      </c>
      <c r="T738" s="1"/>
      <c r="U738">
        <v>97550</v>
      </c>
      <c r="V738">
        <v>0</v>
      </c>
      <c r="W738">
        <v>56738</v>
      </c>
    </row>
    <row r="739" spans="1:23" x14ac:dyDescent="0.25">
      <c r="A739" s="1" t="s">
        <v>27</v>
      </c>
      <c r="B739" s="1" t="s">
        <v>55</v>
      </c>
      <c r="C739" s="1" t="s">
        <v>122</v>
      </c>
      <c r="D739">
        <v>5262</v>
      </c>
      <c r="E739" s="1"/>
      <c r="F739" s="1" t="s">
        <v>122</v>
      </c>
      <c r="G739">
        <v>2012</v>
      </c>
      <c r="H739">
        <v>247530.59</v>
      </c>
      <c r="I739">
        <v>12</v>
      </c>
      <c r="J739" s="1"/>
      <c r="K739">
        <v>0</v>
      </c>
      <c r="L739">
        <v>874</v>
      </c>
      <c r="M739">
        <v>283.18337700000001</v>
      </c>
      <c r="N739">
        <v>1</v>
      </c>
      <c r="O739" s="1" t="s">
        <v>563</v>
      </c>
      <c r="P739">
        <v>261156.92</v>
      </c>
      <c r="Q739">
        <v>1384.75</v>
      </c>
      <c r="R739">
        <v>1</v>
      </c>
      <c r="S739" s="1" t="s">
        <v>774</v>
      </c>
      <c r="T739" s="1"/>
      <c r="U739">
        <v>7094.6</v>
      </c>
      <c r="V739">
        <v>0</v>
      </c>
      <c r="W739">
        <v>56997</v>
      </c>
    </row>
    <row r="740" spans="1:23" x14ac:dyDescent="0.25">
      <c r="A740" s="1" t="s">
        <v>27</v>
      </c>
      <c r="B740" s="1" t="s">
        <v>55</v>
      </c>
      <c r="C740" s="1" t="s">
        <v>122</v>
      </c>
      <c r="D740">
        <v>5262</v>
      </c>
      <c r="E740" s="1"/>
      <c r="F740" s="1" t="s">
        <v>122</v>
      </c>
      <c r="G740">
        <v>2011</v>
      </c>
      <c r="H740">
        <v>94420</v>
      </c>
      <c r="I740">
        <v>12</v>
      </c>
      <c r="J740" s="1"/>
      <c r="K740">
        <v>0</v>
      </c>
      <c r="L740">
        <v>874</v>
      </c>
      <c r="M740">
        <v>108.019677</v>
      </c>
      <c r="N740">
        <v>1</v>
      </c>
      <c r="O740" s="1" t="s">
        <v>562</v>
      </c>
      <c r="P740">
        <v>102587.96</v>
      </c>
      <c r="Q740">
        <v>18978.77</v>
      </c>
      <c r="R740">
        <v>0</v>
      </c>
      <c r="S740" s="1" t="s">
        <v>774</v>
      </c>
      <c r="T740" s="1"/>
      <c r="U740">
        <v>94420</v>
      </c>
      <c r="V740">
        <v>0</v>
      </c>
      <c r="W740">
        <v>56738</v>
      </c>
    </row>
    <row r="741" spans="1:23" x14ac:dyDescent="0.25">
      <c r="A741" s="1" t="s">
        <v>27</v>
      </c>
      <c r="B741" s="1" t="s">
        <v>55</v>
      </c>
      <c r="C741" s="1" t="s">
        <v>122</v>
      </c>
      <c r="D741">
        <v>5262</v>
      </c>
      <c r="E741" s="1"/>
      <c r="F741" s="1" t="s">
        <v>122</v>
      </c>
      <c r="G741">
        <v>2011</v>
      </c>
      <c r="H741">
        <v>245018.52</v>
      </c>
      <c r="I741">
        <v>12</v>
      </c>
      <c r="J741" s="1"/>
      <c r="K741">
        <v>0</v>
      </c>
      <c r="L741">
        <v>874</v>
      </c>
      <c r="M741">
        <v>280.309484</v>
      </c>
      <c r="N741">
        <v>1</v>
      </c>
      <c r="O741" s="1" t="s">
        <v>563</v>
      </c>
      <c r="P741">
        <v>268911.63</v>
      </c>
      <c r="Q741">
        <v>1425.87</v>
      </c>
      <c r="R741">
        <v>1</v>
      </c>
      <c r="S741" s="1" t="s">
        <v>774</v>
      </c>
      <c r="T741" s="1"/>
      <c r="U741">
        <v>7022.6</v>
      </c>
      <c r="V741">
        <v>0</v>
      </c>
      <c r="W741">
        <v>56997</v>
      </c>
    </row>
    <row r="742" spans="1:23" x14ac:dyDescent="0.25">
      <c r="A742" s="1" t="s">
        <v>27</v>
      </c>
      <c r="B742" s="1" t="s">
        <v>55</v>
      </c>
      <c r="C742" s="1" t="s">
        <v>122</v>
      </c>
      <c r="D742">
        <v>5262</v>
      </c>
      <c r="E742" s="1"/>
      <c r="F742" s="1" t="s">
        <v>122</v>
      </c>
      <c r="G742">
        <v>2010</v>
      </c>
      <c r="H742">
        <v>110630</v>
      </c>
      <c r="I742">
        <v>12</v>
      </c>
      <c r="J742" s="1"/>
      <c r="K742">
        <v>0</v>
      </c>
      <c r="L742">
        <v>874</v>
      </c>
      <c r="M742">
        <v>126.564466</v>
      </c>
      <c r="N742">
        <v>1</v>
      </c>
      <c r="O742" s="1" t="s">
        <v>562</v>
      </c>
      <c r="P742">
        <v>100546.72</v>
      </c>
      <c r="Q742">
        <v>18601.14</v>
      </c>
      <c r="R742">
        <v>0</v>
      </c>
      <c r="S742" s="1" t="s">
        <v>774</v>
      </c>
      <c r="T742" s="1"/>
      <c r="U742">
        <v>110630</v>
      </c>
      <c r="V742">
        <v>0</v>
      </c>
      <c r="W742">
        <v>56738</v>
      </c>
    </row>
    <row r="743" spans="1:23" x14ac:dyDescent="0.25">
      <c r="A743" s="1" t="s">
        <v>27</v>
      </c>
      <c r="B743" s="1" t="s">
        <v>55</v>
      </c>
      <c r="C743" s="1" t="s">
        <v>122</v>
      </c>
      <c r="D743">
        <v>5262</v>
      </c>
      <c r="E743" s="1"/>
      <c r="F743" s="1" t="s">
        <v>122</v>
      </c>
      <c r="G743">
        <v>2010</v>
      </c>
      <c r="H743">
        <v>223561.15</v>
      </c>
      <c r="I743">
        <v>12</v>
      </c>
      <c r="J743" s="1"/>
      <c r="K743">
        <v>0</v>
      </c>
      <c r="L743">
        <v>874</v>
      </c>
      <c r="M743">
        <v>255.761526</v>
      </c>
      <c r="N743">
        <v>1</v>
      </c>
      <c r="O743" s="1" t="s">
        <v>563</v>
      </c>
      <c r="P743">
        <v>203339.42</v>
      </c>
      <c r="Q743">
        <v>1078.17</v>
      </c>
      <c r="R743">
        <v>1</v>
      </c>
      <c r="S743" s="1" t="s">
        <v>774</v>
      </c>
      <c r="T743" s="1"/>
      <c r="U743">
        <v>6407.6</v>
      </c>
      <c r="V743">
        <v>0</v>
      </c>
      <c r="W743">
        <v>56997</v>
      </c>
    </row>
    <row r="744" spans="1:23" x14ac:dyDescent="0.25">
      <c r="A744" s="1" t="s">
        <v>27</v>
      </c>
      <c r="B744" s="1" t="s">
        <v>55</v>
      </c>
      <c r="C744" s="1" t="s">
        <v>122</v>
      </c>
      <c r="D744">
        <v>5262</v>
      </c>
      <c r="E744" s="1"/>
      <c r="F744" s="1" t="s">
        <v>122</v>
      </c>
      <c r="G744">
        <v>2009</v>
      </c>
      <c r="H744">
        <v>182279.32</v>
      </c>
      <c r="I744">
        <v>12</v>
      </c>
      <c r="J744" s="1"/>
      <c r="K744">
        <v>0</v>
      </c>
      <c r="L744">
        <v>874</v>
      </c>
      <c r="M744">
        <v>208.533714</v>
      </c>
      <c r="N744">
        <v>1</v>
      </c>
      <c r="O744" s="1" t="s">
        <v>563</v>
      </c>
      <c r="P744">
        <v>193376.44</v>
      </c>
      <c r="Q744">
        <v>1025.3499999999999</v>
      </c>
      <c r="R744">
        <v>1</v>
      </c>
      <c r="S744" s="1" t="s">
        <v>774</v>
      </c>
      <c r="T744" s="1"/>
      <c r="U744">
        <v>5224.3999999999996</v>
      </c>
      <c r="V744">
        <v>0</v>
      </c>
      <c r="W744">
        <v>56997</v>
      </c>
    </row>
    <row r="745" spans="1:23" x14ac:dyDescent="0.25">
      <c r="A745" s="1" t="s">
        <v>27</v>
      </c>
      <c r="B745" s="1" t="s">
        <v>55</v>
      </c>
      <c r="C745" s="1" t="s">
        <v>122</v>
      </c>
      <c r="D745">
        <v>5262</v>
      </c>
      <c r="E745" s="1"/>
      <c r="F745" s="1" t="s">
        <v>122</v>
      </c>
      <c r="G745">
        <v>2009</v>
      </c>
      <c r="H745">
        <v>92790</v>
      </c>
      <c r="I745">
        <v>12</v>
      </c>
      <c r="J745" s="1"/>
      <c r="K745">
        <v>0</v>
      </c>
      <c r="L745">
        <v>874</v>
      </c>
      <c r="M745">
        <v>106.15490200000001</v>
      </c>
      <c r="N745">
        <v>1</v>
      </c>
      <c r="O745" s="1" t="s">
        <v>562</v>
      </c>
      <c r="P745">
        <v>98139.36</v>
      </c>
      <c r="Q745">
        <v>18155.78</v>
      </c>
      <c r="R745">
        <v>0</v>
      </c>
      <c r="S745" s="1" t="s">
        <v>774</v>
      </c>
      <c r="T745" s="1"/>
      <c r="U745">
        <v>92790</v>
      </c>
      <c r="V745">
        <v>0</v>
      </c>
      <c r="W745">
        <v>56738</v>
      </c>
    </row>
    <row r="746" spans="1:23" x14ac:dyDescent="0.25">
      <c r="A746" s="1" t="s">
        <v>27</v>
      </c>
      <c r="B746" s="1" t="s">
        <v>55</v>
      </c>
      <c r="C746" s="1" t="s">
        <v>122</v>
      </c>
      <c r="D746">
        <v>5262</v>
      </c>
      <c r="E746" s="1"/>
      <c r="F746" s="1" t="s">
        <v>122</v>
      </c>
      <c r="G746">
        <v>2008</v>
      </c>
      <c r="H746">
        <v>89680</v>
      </c>
      <c r="I746">
        <v>12</v>
      </c>
      <c r="J746" s="1"/>
      <c r="K746">
        <v>0</v>
      </c>
      <c r="L746">
        <v>874</v>
      </c>
      <c r="M746">
        <v>102.59695600000001</v>
      </c>
      <c r="N746">
        <v>1</v>
      </c>
      <c r="O746" s="1" t="s">
        <v>562</v>
      </c>
      <c r="P746">
        <v>103198.08</v>
      </c>
      <c r="Q746">
        <v>19091.650000000001</v>
      </c>
      <c r="R746">
        <v>0</v>
      </c>
      <c r="S746" s="1" t="s">
        <v>774</v>
      </c>
      <c r="T746" s="1"/>
      <c r="U746">
        <v>89680</v>
      </c>
      <c r="V746">
        <v>0</v>
      </c>
      <c r="W746">
        <v>56738</v>
      </c>
    </row>
    <row r="747" spans="1:23" x14ac:dyDescent="0.25">
      <c r="A747" s="1" t="s">
        <v>27</v>
      </c>
      <c r="B747" s="1" t="s">
        <v>55</v>
      </c>
      <c r="C747" s="1" t="s">
        <v>122</v>
      </c>
      <c r="D747">
        <v>5262</v>
      </c>
      <c r="E747" s="1"/>
      <c r="F747" s="1" t="s">
        <v>122</v>
      </c>
      <c r="G747">
        <v>2008</v>
      </c>
      <c r="H747">
        <v>179313.67</v>
      </c>
      <c r="I747">
        <v>12</v>
      </c>
      <c r="J747" s="1"/>
      <c r="K747">
        <v>0</v>
      </c>
      <c r="L747">
        <v>874</v>
      </c>
      <c r="M747">
        <v>205.14090999999999</v>
      </c>
      <c r="N747">
        <v>1</v>
      </c>
      <c r="O747" s="1" t="s">
        <v>563</v>
      </c>
      <c r="P747">
        <v>204695.99</v>
      </c>
      <c r="Q747">
        <v>1085.3699999999999</v>
      </c>
      <c r="R747">
        <v>1</v>
      </c>
      <c r="S747" s="1" t="s">
        <v>774</v>
      </c>
      <c r="T747" s="1"/>
      <c r="U747">
        <v>5139.3999999999996</v>
      </c>
      <c r="V747">
        <v>0</v>
      </c>
      <c r="W747">
        <v>56997</v>
      </c>
    </row>
    <row r="748" spans="1:23" x14ac:dyDescent="0.25">
      <c r="A748" s="1" t="s">
        <v>27</v>
      </c>
      <c r="B748" s="1" t="s">
        <v>56</v>
      </c>
      <c r="C748" s="1" t="s">
        <v>123</v>
      </c>
      <c r="D748">
        <v>5264</v>
      </c>
      <c r="E748" s="1"/>
      <c r="F748" s="1" t="s">
        <v>123</v>
      </c>
      <c r="G748">
        <v>2015</v>
      </c>
      <c r="H748">
        <v>28589</v>
      </c>
      <c r="I748">
        <v>5</v>
      </c>
      <c r="J748" s="1" t="s">
        <v>402</v>
      </c>
      <c r="K748">
        <v>0</v>
      </c>
      <c r="L748">
        <v>333</v>
      </c>
      <c r="M748">
        <v>85.827078</v>
      </c>
      <c r="N748">
        <v>1</v>
      </c>
      <c r="O748" s="1" t="s">
        <v>562</v>
      </c>
      <c r="P748">
        <v>31949.79</v>
      </c>
      <c r="Q748">
        <v>5910711.1500000004</v>
      </c>
      <c r="R748">
        <v>0</v>
      </c>
      <c r="S748" s="1" t="s">
        <v>775</v>
      </c>
      <c r="T748" s="1"/>
      <c r="U748">
        <v>28589</v>
      </c>
      <c r="V748">
        <v>0</v>
      </c>
      <c r="W748">
        <v>56768</v>
      </c>
    </row>
    <row r="749" spans="1:23" x14ac:dyDescent="0.25">
      <c r="A749" s="1" t="s">
        <v>27</v>
      </c>
      <c r="B749" s="1" t="s">
        <v>56</v>
      </c>
      <c r="C749" s="1" t="s">
        <v>123</v>
      </c>
      <c r="D749">
        <v>5264</v>
      </c>
      <c r="E749" s="1"/>
      <c r="F749" s="1" t="s">
        <v>123</v>
      </c>
      <c r="G749">
        <v>2015</v>
      </c>
      <c r="H749">
        <v>20271.099999999999</v>
      </c>
      <c r="I749">
        <v>5</v>
      </c>
      <c r="J749" s="1" t="s">
        <v>402</v>
      </c>
      <c r="K749">
        <v>0</v>
      </c>
      <c r="L749">
        <v>333</v>
      </c>
      <c r="M749">
        <v>60.855899000000001</v>
      </c>
      <c r="N749">
        <v>1</v>
      </c>
      <c r="O749" s="1" t="s">
        <v>563</v>
      </c>
      <c r="P749">
        <v>22695.64</v>
      </c>
      <c r="Q749">
        <v>120340.88</v>
      </c>
      <c r="R749">
        <v>1</v>
      </c>
      <c r="S749" s="1" t="s">
        <v>775</v>
      </c>
      <c r="T749" s="1"/>
      <c r="U749">
        <v>581</v>
      </c>
      <c r="V749">
        <v>0</v>
      </c>
      <c r="W749">
        <v>56998</v>
      </c>
    </row>
    <row r="750" spans="1:23" x14ac:dyDescent="0.25">
      <c r="A750" s="1" t="s">
        <v>27</v>
      </c>
      <c r="B750" s="1" t="s">
        <v>56</v>
      </c>
      <c r="C750" s="1" t="s">
        <v>123</v>
      </c>
      <c r="D750">
        <v>5264</v>
      </c>
      <c r="E750" s="1"/>
      <c r="F750" s="1" t="s">
        <v>123</v>
      </c>
      <c r="G750">
        <v>2014</v>
      </c>
      <c r="H750">
        <v>49544</v>
      </c>
      <c r="I750">
        <v>12</v>
      </c>
      <c r="J750" s="1" t="s">
        <v>402</v>
      </c>
      <c r="K750">
        <v>0</v>
      </c>
      <c r="L750">
        <v>333</v>
      </c>
      <c r="M750">
        <v>148.73611500000001</v>
      </c>
      <c r="N750">
        <v>1</v>
      </c>
      <c r="O750" s="1" t="s">
        <v>562</v>
      </c>
      <c r="P750">
        <v>59249.89</v>
      </c>
      <c r="Q750">
        <v>4338618.8499999996</v>
      </c>
      <c r="R750">
        <v>0</v>
      </c>
      <c r="S750" s="1" t="s">
        <v>775</v>
      </c>
      <c r="T750" s="1"/>
      <c r="U750">
        <v>49544</v>
      </c>
      <c r="V750">
        <v>0</v>
      </c>
      <c r="W750">
        <v>56768</v>
      </c>
    </row>
    <row r="751" spans="1:23" x14ac:dyDescent="0.25">
      <c r="A751" s="1" t="s">
        <v>27</v>
      </c>
      <c r="B751" s="1" t="s">
        <v>56</v>
      </c>
      <c r="C751" s="1" t="s">
        <v>123</v>
      </c>
      <c r="D751">
        <v>5264</v>
      </c>
      <c r="E751" s="1"/>
      <c r="F751" s="1" t="s">
        <v>123</v>
      </c>
      <c r="G751">
        <v>2014</v>
      </c>
      <c r="H751">
        <v>35422.06</v>
      </c>
      <c r="I751">
        <v>12</v>
      </c>
      <c r="J751" s="1" t="s">
        <v>402</v>
      </c>
      <c r="K751">
        <v>0</v>
      </c>
      <c r="L751">
        <v>333</v>
      </c>
      <c r="M751">
        <v>106.34061800000001</v>
      </c>
      <c r="N751">
        <v>1</v>
      </c>
      <c r="O751" s="1" t="s">
        <v>563</v>
      </c>
      <c r="P751">
        <v>42096.15</v>
      </c>
      <c r="Q751">
        <v>90690.03</v>
      </c>
      <c r="R751">
        <v>1</v>
      </c>
      <c r="S751" s="1" t="s">
        <v>775</v>
      </c>
      <c r="T751" s="1"/>
      <c r="U751">
        <v>1015.25</v>
      </c>
      <c r="V751">
        <v>0</v>
      </c>
      <c r="W751">
        <v>56998</v>
      </c>
    </row>
    <row r="752" spans="1:23" x14ac:dyDescent="0.25">
      <c r="A752" s="1" t="s">
        <v>27</v>
      </c>
      <c r="B752" s="1" t="s">
        <v>56</v>
      </c>
      <c r="C752" s="1" t="s">
        <v>123</v>
      </c>
      <c r="D752">
        <v>5264</v>
      </c>
      <c r="E752" s="1"/>
      <c r="F752" s="1" t="s">
        <v>123</v>
      </c>
      <c r="G752">
        <v>2013</v>
      </c>
      <c r="H752">
        <v>53955</v>
      </c>
      <c r="I752">
        <v>12</v>
      </c>
      <c r="J752" s="1" t="s">
        <v>402</v>
      </c>
      <c r="K752">
        <v>0</v>
      </c>
      <c r="L752">
        <v>333</v>
      </c>
      <c r="M752">
        <v>161.97838400000001</v>
      </c>
      <c r="N752">
        <v>1</v>
      </c>
      <c r="O752" s="1" t="s">
        <v>562</v>
      </c>
      <c r="P752">
        <v>55991.35</v>
      </c>
      <c r="Q752">
        <v>10358.4</v>
      </c>
      <c r="R752">
        <v>0</v>
      </c>
      <c r="S752" s="1" t="s">
        <v>775</v>
      </c>
      <c r="T752" s="1"/>
      <c r="U752">
        <v>53955</v>
      </c>
      <c r="V752">
        <v>0</v>
      </c>
      <c r="W752">
        <v>56768</v>
      </c>
    </row>
    <row r="753" spans="1:23" x14ac:dyDescent="0.25">
      <c r="A753" s="1" t="s">
        <v>27</v>
      </c>
      <c r="B753" s="1" t="s">
        <v>56</v>
      </c>
      <c r="C753" s="1" t="s">
        <v>123</v>
      </c>
      <c r="D753">
        <v>5264</v>
      </c>
      <c r="E753" s="1"/>
      <c r="F753" s="1" t="s">
        <v>123</v>
      </c>
      <c r="G753">
        <v>2013</v>
      </c>
      <c r="H753">
        <v>36479.08</v>
      </c>
      <c r="I753">
        <v>12</v>
      </c>
      <c r="J753" s="1" t="s">
        <v>402</v>
      </c>
      <c r="K753">
        <v>0</v>
      </c>
      <c r="L753">
        <v>333</v>
      </c>
      <c r="M753">
        <v>109.51389899999999</v>
      </c>
      <c r="N753">
        <v>1</v>
      </c>
      <c r="O753" s="1" t="s">
        <v>563</v>
      </c>
      <c r="P753">
        <v>37709.81</v>
      </c>
      <c r="Q753">
        <v>199.93</v>
      </c>
      <c r="R753">
        <v>1</v>
      </c>
      <c r="S753" s="1" t="s">
        <v>775</v>
      </c>
      <c r="T753" s="1"/>
      <c r="U753">
        <v>1045.5450000000001</v>
      </c>
      <c r="V753">
        <v>0</v>
      </c>
      <c r="W753">
        <v>56998</v>
      </c>
    </row>
    <row r="754" spans="1:23" x14ac:dyDescent="0.25">
      <c r="A754" s="1" t="s">
        <v>27</v>
      </c>
      <c r="B754" s="1" t="s">
        <v>56</v>
      </c>
      <c r="C754" s="1" t="s">
        <v>123</v>
      </c>
      <c r="D754">
        <v>5264</v>
      </c>
      <c r="E754" s="1"/>
      <c r="F754" s="1" t="s">
        <v>123</v>
      </c>
      <c r="G754">
        <v>2012</v>
      </c>
      <c r="H754">
        <v>55626</v>
      </c>
      <c r="I754">
        <v>12</v>
      </c>
      <c r="J754" s="1" t="s">
        <v>402</v>
      </c>
      <c r="K754">
        <v>0</v>
      </c>
      <c r="L754">
        <v>333</v>
      </c>
      <c r="M754">
        <v>166.99489600000001</v>
      </c>
      <c r="N754">
        <v>1</v>
      </c>
      <c r="O754" s="1" t="s">
        <v>562</v>
      </c>
      <c r="P754">
        <v>58348.58</v>
      </c>
      <c r="Q754">
        <v>10794.5</v>
      </c>
      <c r="R754">
        <v>0</v>
      </c>
      <c r="S754" s="1" t="s">
        <v>775</v>
      </c>
      <c r="T754" s="1"/>
      <c r="U754">
        <v>55626</v>
      </c>
      <c r="V754">
        <v>0</v>
      </c>
      <c r="W754">
        <v>56768</v>
      </c>
    </row>
    <row r="755" spans="1:23" x14ac:dyDescent="0.25">
      <c r="A755" s="1" t="s">
        <v>27</v>
      </c>
      <c r="B755" s="1" t="s">
        <v>56</v>
      </c>
      <c r="C755" s="1" t="s">
        <v>123</v>
      </c>
      <c r="D755">
        <v>5264</v>
      </c>
      <c r="E755" s="1"/>
      <c r="F755" s="1" t="s">
        <v>123</v>
      </c>
      <c r="G755">
        <v>2012</v>
      </c>
      <c r="H755">
        <v>39378.43</v>
      </c>
      <c r="I755">
        <v>12</v>
      </c>
      <c r="J755" s="1" t="s">
        <v>402</v>
      </c>
      <c r="K755">
        <v>0</v>
      </c>
      <c r="L755">
        <v>333</v>
      </c>
      <c r="M755">
        <v>118.218042</v>
      </c>
      <c r="N755">
        <v>1</v>
      </c>
      <c r="O755" s="1" t="s">
        <v>563</v>
      </c>
      <c r="P755">
        <v>41212.800000000003</v>
      </c>
      <c r="Q755">
        <v>218.52</v>
      </c>
      <c r="R755">
        <v>1</v>
      </c>
      <c r="S755" s="1" t="s">
        <v>775</v>
      </c>
      <c r="T755" s="1"/>
      <c r="U755">
        <v>1128.645</v>
      </c>
      <c r="V755">
        <v>0</v>
      </c>
      <c r="W755">
        <v>56998</v>
      </c>
    </row>
    <row r="756" spans="1:23" x14ac:dyDescent="0.25">
      <c r="A756" s="1" t="s">
        <v>27</v>
      </c>
      <c r="B756" s="1" t="s">
        <v>56</v>
      </c>
      <c r="C756" s="1" t="s">
        <v>123</v>
      </c>
      <c r="D756">
        <v>5264</v>
      </c>
      <c r="E756" s="1"/>
      <c r="F756" s="1" t="s">
        <v>123</v>
      </c>
      <c r="G756">
        <v>2011</v>
      </c>
      <c r="H756">
        <v>48171</v>
      </c>
      <c r="I756">
        <v>12</v>
      </c>
      <c r="J756" s="1" t="s">
        <v>402</v>
      </c>
      <c r="K756">
        <v>0</v>
      </c>
      <c r="L756">
        <v>333</v>
      </c>
      <c r="M756">
        <v>144.61422899999999</v>
      </c>
      <c r="N756">
        <v>1</v>
      </c>
      <c r="O756" s="1" t="s">
        <v>562</v>
      </c>
      <c r="P756">
        <v>52871.37</v>
      </c>
      <c r="Q756">
        <v>9781.2099999999991</v>
      </c>
      <c r="R756">
        <v>0</v>
      </c>
      <c r="S756" s="1" t="s">
        <v>775</v>
      </c>
      <c r="T756" s="1"/>
      <c r="U756">
        <v>48171</v>
      </c>
      <c r="V756">
        <v>0</v>
      </c>
      <c r="W756">
        <v>56768</v>
      </c>
    </row>
    <row r="757" spans="1:23" x14ac:dyDescent="0.25">
      <c r="A757" s="1" t="s">
        <v>27</v>
      </c>
      <c r="B757" s="1" t="s">
        <v>56</v>
      </c>
      <c r="C757" s="1" t="s">
        <v>123</v>
      </c>
      <c r="D757">
        <v>5264</v>
      </c>
      <c r="E757" s="1"/>
      <c r="F757" s="1" t="s">
        <v>123</v>
      </c>
      <c r="G757">
        <v>2011</v>
      </c>
      <c r="H757">
        <v>34934.67</v>
      </c>
      <c r="I757">
        <v>12</v>
      </c>
      <c r="J757" s="1" t="s">
        <v>402</v>
      </c>
      <c r="K757">
        <v>0</v>
      </c>
      <c r="L757">
        <v>333</v>
      </c>
      <c r="M757">
        <v>104.877424</v>
      </c>
      <c r="N757">
        <v>1</v>
      </c>
      <c r="O757" s="1" t="s">
        <v>563</v>
      </c>
      <c r="P757">
        <v>38122.01</v>
      </c>
      <c r="Q757">
        <v>202.14</v>
      </c>
      <c r="R757">
        <v>1</v>
      </c>
      <c r="S757" s="1" t="s">
        <v>775</v>
      </c>
      <c r="T757" s="1"/>
      <c r="U757">
        <v>1001.28</v>
      </c>
      <c r="V757">
        <v>0</v>
      </c>
      <c r="W757">
        <v>56998</v>
      </c>
    </row>
    <row r="758" spans="1:23" x14ac:dyDescent="0.25">
      <c r="A758" s="1" t="s">
        <v>27</v>
      </c>
      <c r="B758" s="1" t="s">
        <v>56</v>
      </c>
      <c r="C758" s="1" t="s">
        <v>123</v>
      </c>
      <c r="D758">
        <v>5264</v>
      </c>
      <c r="E758" s="1"/>
      <c r="F758" s="1" t="s">
        <v>123</v>
      </c>
      <c r="G758">
        <v>2010</v>
      </c>
      <c r="H758">
        <v>47197</v>
      </c>
      <c r="I758">
        <v>12</v>
      </c>
      <c r="J758" s="1" t="s">
        <v>402</v>
      </c>
      <c r="K758">
        <v>0</v>
      </c>
      <c r="L758">
        <v>333</v>
      </c>
      <c r="M758">
        <v>141.69018299999999</v>
      </c>
      <c r="N758">
        <v>1</v>
      </c>
      <c r="O758" s="1" t="s">
        <v>562</v>
      </c>
      <c r="P758">
        <v>43369.24</v>
      </c>
      <c r="Q758">
        <v>8023.31</v>
      </c>
      <c r="R758">
        <v>0</v>
      </c>
      <c r="S758" s="1" t="s">
        <v>775</v>
      </c>
      <c r="T758" s="1"/>
      <c r="U758">
        <v>47197</v>
      </c>
      <c r="V758">
        <v>0</v>
      </c>
      <c r="W758">
        <v>56768</v>
      </c>
    </row>
    <row r="759" spans="1:23" x14ac:dyDescent="0.25">
      <c r="A759" s="1" t="s">
        <v>27</v>
      </c>
      <c r="B759" s="1" t="s">
        <v>56</v>
      </c>
      <c r="C759" s="1" t="s">
        <v>123</v>
      </c>
      <c r="D759">
        <v>5264</v>
      </c>
      <c r="E759" s="1"/>
      <c r="F759" s="1" t="s">
        <v>123</v>
      </c>
      <c r="G759">
        <v>2010</v>
      </c>
      <c r="H759">
        <v>40825.14</v>
      </c>
      <c r="I759">
        <v>12</v>
      </c>
      <c r="J759" s="1" t="s">
        <v>402</v>
      </c>
      <c r="K759">
        <v>0</v>
      </c>
      <c r="L759">
        <v>333</v>
      </c>
      <c r="M759">
        <v>122.561212</v>
      </c>
      <c r="N759">
        <v>1</v>
      </c>
      <c r="O759" s="1" t="s">
        <v>563</v>
      </c>
      <c r="P759">
        <v>37362.76</v>
      </c>
      <c r="Q759">
        <v>198.13</v>
      </c>
      <c r="R759">
        <v>1</v>
      </c>
      <c r="S759" s="1" t="s">
        <v>775</v>
      </c>
      <c r="T759" s="1"/>
      <c r="U759">
        <v>1170.1099999999999</v>
      </c>
      <c r="V759">
        <v>0</v>
      </c>
      <c r="W759">
        <v>56998</v>
      </c>
    </row>
    <row r="760" spans="1:23" x14ac:dyDescent="0.25">
      <c r="A760" s="1" t="s">
        <v>27</v>
      </c>
      <c r="B760" s="1" t="s">
        <v>56</v>
      </c>
      <c r="C760" s="1" t="s">
        <v>123</v>
      </c>
      <c r="D760">
        <v>5264</v>
      </c>
      <c r="E760" s="1"/>
      <c r="F760" s="1" t="s">
        <v>123</v>
      </c>
      <c r="G760">
        <v>2009</v>
      </c>
      <c r="H760">
        <v>44027</v>
      </c>
      <c r="I760">
        <v>12</v>
      </c>
      <c r="J760" s="1" t="s">
        <v>402</v>
      </c>
      <c r="K760">
        <v>0</v>
      </c>
      <c r="L760">
        <v>333</v>
      </c>
      <c r="M760">
        <v>132.17352099999999</v>
      </c>
      <c r="N760">
        <v>1</v>
      </c>
      <c r="O760" s="1" t="s">
        <v>562</v>
      </c>
      <c r="P760">
        <v>47184.01</v>
      </c>
      <c r="Q760">
        <v>8729.0300000000007</v>
      </c>
      <c r="R760">
        <v>0</v>
      </c>
      <c r="S760" s="1" t="s">
        <v>775</v>
      </c>
      <c r="T760" s="1"/>
      <c r="U760">
        <v>44027</v>
      </c>
      <c r="V760">
        <v>0</v>
      </c>
      <c r="W760">
        <v>56768</v>
      </c>
    </row>
    <row r="761" spans="1:23" x14ac:dyDescent="0.25">
      <c r="A761" s="1" t="s">
        <v>27</v>
      </c>
      <c r="B761" s="1" t="s">
        <v>56</v>
      </c>
      <c r="C761" s="1" t="s">
        <v>123</v>
      </c>
      <c r="D761">
        <v>5264</v>
      </c>
      <c r="E761" s="1"/>
      <c r="F761" s="1" t="s">
        <v>123</v>
      </c>
      <c r="G761">
        <v>2009</v>
      </c>
      <c r="H761">
        <v>34763.03</v>
      </c>
      <c r="I761">
        <v>12</v>
      </c>
      <c r="J761" s="1" t="s">
        <v>402</v>
      </c>
      <c r="K761">
        <v>0</v>
      </c>
      <c r="L761">
        <v>333</v>
      </c>
      <c r="M761">
        <v>104.362143</v>
      </c>
      <c r="N761">
        <v>1</v>
      </c>
      <c r="O761" s="1" t="s">
        <v>563</v>
      </c>
      <c r="P761">
        <v>37123.49</v>
      </c>
      <c r="Q761">
        <v>196.85</v>
      </c>
      <c r="R761">
        <v>1</v>
      </c>
      <c r="S761" s="1" t="s">
        <v>775</v>
      </c>
      <c r="T761" s="1"/>
      <c r="U761">
        <v>996.36</v>
      </c>
      <c r="V761">
        <v>0</v>
      </c>
      <c r="W761">
        <v>56998</v>
      </c>
    </row>
    <row r="762" spans="1:23" x14ac:dyDescent="0.25">
      <c r="A762" s="1" t="s">
        <v>27</v>
      </c>
      <c r="B762" s="1" t="s">
        <v>56</v>
      </c>
      <c r="C762" s="1" t="s">
        <v>123</v>
      </c>
      <c r="D762">
        <v>5264</v>
      </c>
      <c r="E762" s="1"/>
      <c r="F762" s="1" t="s">
        <v>123</v>
      </c>
      <c r="G762">
        <v>2008</v>
      </c>
      <c r="H762">
        <v>41864</v>
      </c>
      <c r="I762">
        <v>12</v>
      </c>
      <c r="J762" s="1" t="s">
        <v>402</v>
      </c>
      <c r="K762">
        <v>0</v>
      </c>
      <c r="L762">
        <v>333</v>
      </c>
      <c r="M762">
        <v>125.679975</v>
      </c>
      <c r="N762">
        <v>1</v>
      </c>
      <c r="O762" s="1" t="s">
        <v>562</v>
      </c>
      <c r="P762">
        <v>47579.3</v>
      </c>
      <c r="Q762">
        <v>8802.16</v>
      </c>
      <c r="R762">
        <v>0</v>
      </c>
      <c r="S762" s="1" t="s">
        <v>775</v>
      </c>
      <c r="T762" s="1"/>
      <c r="U762">
        <v>41864</v>
      </c>
      <c r="V762">
        <v>0</v>
      </c>
      <c r="W762">
        <v>56768</v>
      </c>
    </row>
    <row r="763" spans="1:23" x14ac:dyDescent="0.25">
      <c r="A763" s="1" t="s">
        <v>27</v>
      </c>
      <c r="B763" s="1" t="s">
        <v>56</v>
      </c>
      <c r="C763" s="1" t="s">
        <v>123</v>
      </c>
      <c r="D763">
        <v>5264</v>
      </c>
      <c r="E763" s="1"/>
      <c r="F763" s="1" t="s">
        <v>123</v>
      </c>
      <c r="G763">
        <v>2008</v>
      </c>
      <c r="H763">
        <v>31220.28</v>
      </c>
      <c r="I763">
        <v>12</v>
      </c>
      <c r="J763" s="1" t="s">
        <v>402</v>
      </c>
      <c r="K763">
        <v>0</v>
      </c>
      <c r="L763">
        <v>333</v>
      </c>
      <c r="M763">
        <v>93.726448000000005</v>
      </c>
      <c r="N763">
        <v>1</v>
      </c>
      <c r="O763" s="1" t="s">
        <v>563</v>
      </c>
      <c r="P763">
        <v>35312.01</v>
      </c>
      <c r="Q763">
        <v>187.23</v>
      </c>
      <c r="R763">
        <v>1</v>
      </c>
      <c r="S763" s="1" t="s">
        <v>775</v>
      </c>
      <c r="T763" s="1"/>
      <c r="U763">
        <v>894.82</v>
      </c>
      <c r="V763">
        <v>0</v>
      </c>
      <c r="W763">
        <v>56998</v>
      </c>
    </row>
    <row r="764" spans="1:23" x14ac:dyDescent="0.25">
      <c r="A764" s="1" t="s">
        <v>27</v>
      </c>
      <c r="B764" s="1"/>
      <c r="C764" s="1" t="s">
        <v>124</v>
      </c>
      <c r="D764">
        <v>9957</v>
      </c>
      <c r="E764" s="1"/>
      <c r="F764" s="1" t="s">
        <v>265</v>
      </c>
      <c r="G764">
        <v>2015</v>
      </c>
      <c r="H764">
        <v>36467.279999999999</v>
      </c>
      <c r="I764">
        <v>5</v>
      </c>
      <c r="J764" s="1" t="s">
        <v>399</v>
      </c>
      <c r="K764">
        <v>0</v>
      </c>
      <c r="L764">
        <v>646</v>
      </c>
      <c r="M764">
        <v>56.442160000000001</v>
      </c>
      <c r="N764">
        <v>1</v>
      </c>
      <c r="O764" s="1" t="s">
        <v>564</v>
      </c>
      <c r="P764">
        <v>40919.39</v>
      </c>
      <c r="Q764">
        <v>8653.7000000000007</v>
      </c>
      <c r="R764">
        <v>0</v>
      </c>
      <c r="S764" s="1" t="s">
        <v>776</v>
      </c>
      <c r="T764" s="1" t="s">
        <v>1192</v>
      </c>
      <c r="U764">
        <v>3376.6</v>
      </c>
      <c r="V764">
        <v>0</v>
      </c>
      <c r="W764">
        <v>76350</v>
      </c>
    </row>
    <row r="765" spans="1:23" x14ac:dyDescent="0.25">
      <c r="A765" s="1" t="s">
        <v>27</v>
      </c>
      <c r="B765" s="1"/>
      <c r="C765" s="1" t="s">
        <v>124</v>
      </c>
      <c r="D765">
        <v>9957</v>
      </c>
      <c r="E765" s="1"/>
      <c r="F765" s="1" t="s">
        <v>265</v>
      </c>
      <c r="G765">
        <v>2014</v>
      </c>
      <c r="H765">
        <v>51428.98</v>
      </c>
      <c r="I765">
        <v>12</v>
      </c>
      <c r="J765" s="1" t="s">
        <v>399</v>
      </c>
      <c r="K765">
        <v>0</v>
      </c>
      <c r="L765">
        <v>646</v>
      </c>
      <c r="M765">
        <v>79.599102000000002</v>
      </c>
      <c r="N765">
        <v>1</v>
      </c>
      <c r="O765" s="1" t="s">
        <v>564</v>
      </c>
      <c r="P765">
        <v>61650.5</v>
      </c>
      <c r="Q765">
        <v>13037.92</v>
      </c>
      <c r="R765">
        <v>0</v>
      </c>
      <c r="S765" s="1" t="s">
        <v>776</v>
      </c>
      <c r="T765" s="1" t="s">
        <v>1192</v>
      </c>
      <c r="U765">
        <v>4761.9399999999996</v>
      </c>
      <c r="V765">
        <v>0</v>
      </c>
      <c r="W765">
        <v>76350</v>
      </c>
    </row>
    <row r="766" spans="1:23" x14ac:dyDescent="0.25">
      <c r="A766" s="1" t="s">
        <v>27</v>
      </c>
      <c r="B766" s="1"/>
      <c r="C766" s="1" t="s">
        <v>124</v>
      </c>
      <c r="D766">
        <v>9957</v>
      </c>
      <c r="E766" s="1"/>
      <c r="F766" s="1" t="s">
        <v>265</v>
      </c>
      <c r="G766">
        <v>2013</v>
      </c>
      <c r="H766">
        <v>66663.87</v>
      </c>
      <c r="I766">
        <v>12</v>
      </c>
      <c r="J766" s="1" t="s">
        <v>399</v>
      </c>
      <c r="K766">
        <v>0</v>
      </c>
      <c r="L766">
        <v>646</v>
      </c>
      <c r="M766">
        <v>103.178873</v>
      </c>
      <c r="N766">
        <v>1</v>
      </c>
      <c r="O766" s="1" t="s">
        <v>564</v>
      </c>
      <c r="P766">
        <v>75166.62</v>
      </c>
      <c r="Q766">
        <v>15896.36</v>
      </c>
      <c r="R766">
        <v>0</v>
      </c>
      <c r="S766" s="1" t="s">
        <v>776</v>
      </c>
      <c r="T766" s="1" t="s">
        <v>1192</v>
      </c>
      <c r="U766">
        <v>6172.58</v>
      </c>
      <c r="V766">
        <v>0</v>
      </c>
      <c r="W766">
        <v>76350</v>
      </c>
    </row>
    <row r="767" spans="1:23" x14ac:dyDescent="0.25">
      <c r="A767" s="1" t="s">
        <v>27</v>
      </c>
      <c r="B767" s="1"/>
      <c r="C767" s="1" t="s">
        <v>124</v>
      </c>
      <c r="D767">
        <v>9957</v>
      </c>
      <c r="E767" s="1"/>
      <c r="F767" s="1" t="s">
        <v>265</v>
      </c>
      <c r="G767">
        <v>2012</v>
      </c>
      <c r="H767">
        <v>74521.929999999993</v>
      </c>
      <c r="I767">
        <v>12</v>
      </c>
      <c r="J767" s="1" t="s">
        <v>399</v>
      </c>
      <c r="K767">
        <v>0</v>
      </c>
      <c r="L767">
        <v>646</v>
      </c>
      <c r="M767">
        <v>115.34117000000001</v>
      </c>
      <c r="N767">
        <v>1</v>
      </c>
      <c r="O767" s="1" t="s">
        <v>564</v>
      </c>
      <c r="P767">
        <v>78813.600000000006</v>
      </c>
      <c r="Q767">
        <v>16667.61</v>
      </c>
      <c r="R767">
        <v>0</v>
      </c>
      <c r="S767" s="1" t="s">
        <v>776</v>
      </c>
      <c r="T767" s="1" t="s">
        <v>1192</v>
      </c>
      <c r="U767">
        <v>6900.18</v>
      </c>
      <c r="V767">
        <v>0</v>
      </c>
      <c r="W767">
        <v>76350</v>
      </c>
    </row>
    <row r="768" spans="1:23" x14ac:dyDescent="0.25">
      <c r="A768" s="1" t="s">
        <v>27</v>
      </c>
      <c r="B768" s="1"/>
      <c r="C768" s="1" t="s">
        <v>124</v>
      </c>
      <c r="D768">
        <v>9957</v>
      </c>
      <c r="E768" s="1"/>
      <c r="F768" s="1" t="s">
        <v>265</v>
      </c>
      <c r="G768">
        <v>2011</v>
      </c>
      <c r="H768">
        <v>66764.800000000003</v>
      </c>
      <c r="I768">
        <v>6</v>
      </c>
      <c r="J768" s="1" t="s">
        <v>399</v>
      </c>
      <c r="K768">
        <v>0</v>
      </c>
      <c r="L768">
        <v>646</v>
      </c>
      <c r="M768">
        <v>103.335087</v>
      </c>
      <c r="N768">
        <v>1</v>
      </c>
      <c r="O768" s="1" t="s">
        <v>564</v>
      </c>
      <c r="P768">
        <v>79340.34</v>
      </c>
      <c r="Q768">
        <v>16779.009999999998</v>
      </c>
      <c r="R768">
        <v>0</v>
      </c>
      <c r="S768" s="1" t="s">
        <v>776</v>
      </c>
      <c r="T768" s="1" t="s">
        <v>1192</v>
      </c>
      <c r="U768">
        <v>6181.9270699999997</v>
      </c>
      <c r="V768">
        <v>0</v>
      </c>
      <c r="W768">
        <v>76350</v>
      </c>
    </row>
    <row r="769" spans="1:23" x14ac:dyDescent="0.25">
      <c r="A769" s="1" t="s">
        <v>27</v>
      </c>
      <c r="B769" s="1"/>
      <c r="C769" s="1" t="s">
        <v>124</v>
      </c>
      <c r="D769">
        <v>9957</v>
      </c>
      <c r="E769" s="1"/>
      <c r="F769" s="1" t="s">
        <v>265</v>
      </c>
      <c r="G769">
        <v>2010</v>
      </c>
      <c r="H769">
        <v>57378.37</v>
      </c>
      <c r="I769">
        <v>3</v>
      </c>
      <c r="J769" s="1" t="s">
        <v>399</v>
      </c>
      <c r="K769">
        <v>0</v>
      </c>
      <c r="L769">
        <v>646</v>
      </c>
      <c r="M769">
        <v>88.807258000000004</v>
      </c>
      <c r="N769">
        <v>1</v>
      </c>
      <c r="O769" s="1" t="s">
        <v>564</v>
      </c>
      <c r="P769">
        <v>67478.44</v>
      </c>
      <c r="Q769">
        <v>14270.43</v>
      </c>
      <c r="R769">
        <v>0</v>
      </c>
      <c r="S769" s="1" t="s">
        <v>776</v>
      </c>
      <c r="T769" s="1" t="s">
        <v>1192</v>
      </c>
      <c r="U769">
        <v>5312.8092800000004</v>
      </c>
      <c r="V769">
        <v>0</v>
      </c>
      <c r="W769">
        <v>76350</v>
      </c>
    </row>
    <row r="770" spans="1:23" x14ac:dyDescent="0.25">
      <c r="A770" s="1" t="s">
        <v>27</v>
      </c>
      <c r="B770" s="1"/>
      <c r="C770" s="1" t="s">
        <v>124</v>
      </c>
      <c r="D770">
        <v>9957</v>
      </c>
      <c r="E770" s="1"/>
      <c r="F770" s="1" t="s">
        <v>265</v>
      </c>
      <c r="G770">
        <v>2009</v>
      </c>
      <c r="H770">
        <v>56713.21</v>
      </c>
      <c r="I770">
        <v>4</v>
      </c>
      <c r="J770" s="1" t="s">
        <v>399</v>
      </c>
      <c r="K770">
        <v>0</v>
      </c>
      <c r="L770">
        <v>646</v>
      </c>
      <c r="M770">
        <v>87.777758000000006</v>
      </c>
      <c r="N770">
        <v>1</v>
      </c>
      <c r="O770" s="1" t="s">
        <v>564</v>
      </c>
      <c r="P770">
        <v>79639.03</v>
      </c>
      <c r="Q770">
        <v>16842.169999999998</v>
      </c>
      <c r="R770">
        <v>0</v>
      </c>
      <c r="S770" s="1" t="s">
        <v>776</v>
      </c>
      <c r="T770" s="1" t="s">
        <v>1192</v>
      </c>
      <c r="U770">
        <v>5251.2221200000004</v>
      </c>
      <c r="V770">
        <v>0</v>
      </c>
      <c r="W770">
        <v>76350</v>
      </c>
    </row>
    <row r="771" spans="1:23" x14ac:dyDescent="0.25">
      <c r="A771" s="1" t="s">
        <v>27</v>
      </c>
      <c r="B771" s="1"/>
      <c r="C771" s="1" t="s">
        <v>124</v>
      </c>
      <c r="D771">
        <v>9957</v>
      </c>
      <c r="E771" s="1"/>
      <c r="F771" s="1" t="s">
        <v>265</v>
      </c>
      <c r="G771">
        <v>2008</v>
      </c>
      <c r="H771">
        <v>53618.29</v>
      </c>
      <c r="I771">
        <v>7</v>
      </c>
      <c r="J771" s="1" t="s">
        <v>399</v>
      </c>
      <c r="K771">
        <v>0</v>
      </c>
      <c r="L771">
        <v>646</v>
      </c>
      <c r="M771">
        <v>82.987601999999995</v>
      </c>
      <c r="N771">
        <v>1</v>
      </c>
      <c r="O771" s="1" t="s">
        <v>564</v>
      </c>
      <c r="P771">
        <v>62191.97</v>
      </c>
      <c r="Q771">
        <v>13152.44</v>
      </c>
      <c r="R771">
        <v>0</v>
      </c>
      <c r="S771" s="1" t="s">
        <v>776</v>
      </c>
      <c r="T771" s="1" t="s">
        <v>1192</v>
      </c>
      <c r="U771">
        <v>4964.6577100000004</v>
      </c>
      <c r="V771">
        <v>0</v>
      </c>
      <c r="W771">
        <v>76350</v>
      </c>
    </row>
    <row r="772" spans="1:23" x14ac:dyDescent="0.25">
      <c r="A772" s="1" t="s">
        <v>27</v>
      </c>
      <c r="B772" s="1" t="s">
        <v>57</v>
      </c>
      <c r="C772" s="1" t="s">
        <v>125</v>
      </c>
      <c r="D772">
        <v>5269</v>
      </c>
      <c r="E772" s="1"/>
      <c r="F772" s="1" t="s">
        <v>266</v>
      </c>
      <c r="G772">
        <v>2015</v>
      </c>
      <c r="H772">
        <v>23523.18</v>
      </c>
      <c r="I772">
        <v>5</v>
      </c>
      <c r="J772" s="1" t="s">
        <v>393</v>
      </c>
      <c r="K772">
        <v>0</v>
      </c>
      <c r="L772">
        <v>607</v>
      </c>
      <c r="M772">
        <v>38.746796000000003</v>
      </c>
      <c r="N772">
        <v>1</v>
      </c>
      <c r="O772" s="1" t="s">
        <v>563</v>
      </c>
      <c r="P772">
        <v>26522.959999999999</v>
      </c>
      <c r="Q772">
        <v>140634.79</v>
      </c>
      <c r="R772">
        <v>1</v>
      </c>
      <c r="S772" s="1" t="s">
        <v>777</v>
      </c>
      <c r="T772" s="1"/>
      <c r="U772">
        <v>674.21</v>
      </c>
      <c r="V772">
        <v>0</v>
      </c>
      <c r="W772">
        <v>57001</v>
      </c>
    </row>
    <row r="773" spans="1:23" x14ac:dyDescent="0.25">
      <c r="A773" s="1" t="s">
        <v>27</v>
      </c>
      <c r="B773" s="1" t="s">
        <v>57</v>
      </c>
      <c r="C773" s="1" t="s">
        <v>125</v>
      </c>
      <c r="D773">
        <v>5269</v>
      </c>
      <c r="E773" s="1"/>
      <c r="F773" s="1" t="s">
        <v>266</v>
      </c>
      <c r="G773">
        <v>2015</v>
      </c>
      <c r="H773">
        <v>31561</v>
      </c>
      <c r="I773">
        <v>5</v>
      </c>
      <c r="J773" s="1" t="s">
        <v>393</v>
      </c>
      <c r="K773">
        <v>0</v>
      </c>
      <c r="L773">
        <v>607</v>
      </c>
      <c r="M773">
        <v>51.986493000000003</v>
      </c>
      <c r="N773">
        <v>1</v>
      </c>
      <c r="O773" s="1" t="s">
        <v>562</v>
      </c>
      <c r="P773">
        <v>35682.980000000003</v>
      </c>
      <c r="Q773">
        <v>6601351.2999999998</v>
      </c>
      <c r="R773">
        <v>0</v>
      </c>
      <c r="S773" s="1" t="s">
        <v>777</v>
      </c>
      <c r="T773" s="1"/>
      <c r="U773">
        <v>31561</v>
      </c>
      <c r="V773">
        <v>0</v>
      </c>
      <c r="W773">
        <v>56816</v>
      </c>
    </row>
    <row r="774" spans="1:23" x14ac:dyDescent="0.25">
      <c r="A774" s="1" t="s">
        <v>27</v>
      </c>
      <c r="B774" s="1" t="s">
        <v>57</v>
      </c>
      <c r="C774" s="1" t="s">
        <v>125</v>
      </c>
      <c r="D774">
        <v>5269</v>
      </c>
      <c r="E774" s="1"/>
      <c r="F774" s="1" t="s">
        <v>266</v>
      </c>
      <c r="G774">
        <v>2014</v>
      </c>
      <c r="H774">
        <v>43570.3</v>
      </c>
      <c r="I774">
        <v>12</v>
      </c>
      <c r="J774" s="1" t="s">
        <v>393</v>
      </c>
      <c r="K774">
        <v>0</v>
      </c>
      <c r="L774">
        <v>607</v>
      </c>
      <c r="M774">
        <v>71.767912999999993</v>
      </c>
      <c r="N774">
        <v>1</v>
      </c>
      <c r="O774" s="1" t="s">
        <v>563</v>
      </c>
      <c r="P774">
        <v>51346.45</v>
      </c>
      <c r="Q774">
        <v>101376.3</v>
      </c>
      <c r="R774">
        <v>1</v>
      </c>
      <c r="S774" s="1" t="s">
        <v>777</v>
      </c>
      <c r="T774" s="1"/>
      <c r="U774">
        <v>1248.79</v>
      </c>
      <c r="V774">
        <v>0</v>
      </c>
      <c r="W774">
        <v>57001</v>
      </c>
    </row>
    <row r="775" spans="1:23" x14ac:dyDescent="0.25">
      <c r="A775" s="1" t="s">
        <v>27</v>
      </c>
      <c r="B775" s="1" t="s">
        <v>57</v>
      </c>
      <c r="C775" s="1" t="s">
        <v>125</v>
      </c>
      <c r="D775">
        <v>5269</v>
      </c>
      <c r="E775" s="1"/>
      <c r="F775" s="1" t="s">
        <v>266</v>
      </c>
      <c r="G775">
        <v>2014</v>
      </c>
      <c r="H775">
        <v>56577</v>
      </c>
      <c r="I775">
        <v>12</v>
      </c>
      <c r="J775" s="1" t="s">
        <v>393</v>
      </c>
      <c r="K775">
        <v>0</v>
      </c>
      <c r="L775">
        <v>607</v>
      </c>
      <c r="M775">
        <v>93.192224999999993</v>
      </c>
      <c r="N775">
        <v>1</v>
      </c>
      <c r="O775" s="1" t="s">
        <v>562</v>
      </c>
      <c r="P775">
        <v>67100.22</v>
      </c>
      <c r="Q775">
        <v>4388782.84</v>
      </c>
      <c r="R775">
        <v>0</v>
      </c>
      <c r="S775" s="1" t="s">
        <v>777</v>
      </c>
      <c r="T775" s="1"/>
      <c r="U775">
        <v>56577</v>
      </c>
      <c r="V775">
        <v>0</v>
      </c>
      <c r="W775">
        <v>56816</v>
      </c>
    </row>
    <row r="776" spans="1:23" x14ac:dyDescent="0.25">
      <c r="A776" s="1" t="s">
        <v>27</v>
      </c>
      <c r="B776" s="1" t="s">
        <v>57</v>
      </c>
      <c r="C776" s="1" t="s">
        <v>125</v>
      </c>
      <c r="D776">
        <v>5269</v>
      </c>
      <c r="E776" s="1"/>
      <c r="F776" s="1" t="s">
        <v>266</v>
      </c>
      <c r="G776">
        <v>2013</v>
      </c>
      <c r="H776">
        <v>72341</v>
      </c>
      <c r="I776">
        <v>12</v>
      </c>
      <c r="J776" s="1" t="s">
        <v>393</v>
      </c>
      <c r="K776">
        <v>0</v>
      </c>
      <c r="L776">
        <v>607</v>
      </c>
      <c r="M776">
        <v>119.158293</v>
      </c>
      <c r="N776">
        <v>1</v>
      </c>
      <c r="O776" s="1" t="s">
        <v>562</v>
      </c>
      <c r="P776">
        <v>75990.58</v>
      </c>
      <c r="Q776">
        <v>14058.25</v>
      </c>
      <c r="R776">
        <v>0</v>
      </c>
      <c r="S776" s="1" t="s">
        <v>777</v>
      </c>
      <c r="T776" s="1"/>
      <c r="U776">
        <v>72341</v>
      </c>
      <c r="V776">
        <v>0</v>
      </c>
      <c r="W776">
        <v>56816</v>
      </c>
    </row>
    <row r="777" spans="1:23" x14ac:dyDescent="0.25">
      <c r="A777" s="1" t="s">
        <v>27</v>
      </c>
      <c r="B777" s="1" t="s">
        <v>57</v>
      </c>
      <c r="C777" s="1" t="s">
        <v>125</v>
      </c>
      <c r="D777">
        <v>5269</v>
      </c>
      <c r="E777" s="1"/>
      <c r="F777" s="1" t="s">
        <v>266</v>
      </c>
      <c r="G777">
        <v>2013</v>
      </c>
      <c r="H777">
        <v>54975.82</v>
      </c>
      <c r="I777">
        <v>12</v>
      </c>
      <c r="J777" s="1" t="s">
        <v>393</v>
      </c>
      <c r="K777">
        <v>0</v>
      </c>
      <c r="L777">
        <v>607</v>
      </c>
      <c r="M777">
        <v>90.554800999999998</v>
      </c>
      <c r="N777">
        <v>1</v>
      </c>
      <c r="O777" s="1" t="s">
        <v>563</v>
      </c>
      <c r="P777">
        <v>57477.74</v>
      </c>
      <c r="Q777">
        <v>304.77999999999997</v>
      </c>
      <c r="R777">
        <v>1</v>
      </c>
      <c r="S777" s="1" t="s">
        <v>777</v>
      </c>
      <c r="T777" s="1"/>
      <c r="U777">
        <v>1575.69</v>
      </c>
      <c r="V777">
        <v>0</v>
      </c>
      <c r="W777">
        <v>57001</v>
      </c>
    </row>
    <row r="778" spans="1:23" x14ac:dyDescent="0.25">
      <c r="A778" s="1" t="s">
        <v>27</v>
      </c>
      <c r="B778" s="1" t="s">
        <v>57</v>
      </c>
      <c r="C778" s="1" t="s">
        <v>125</v>
      </c>
      <c r="D778">
        <v>5269</v>
      </c>
      <c r="E778" s="1"/>
      <c r="F778" s="1" t="s">
        <v>266</v>
      </c>
      <c r="G778">
        <v>2012</v>
      </c>
      <c r="H778">
        <v>79779</v>
      </c>
      <c r="I778">
        <v>12</v>
      </c>
      <c r="J778" s="1" t="s">
        <v>393</v>
      </c>
      <c r="K778">
        <v>0</v>
      </c>
      <c r="L778">
        <v>607</v>
      </c>
      <c r="M778">
        <v>131.40998099999999</v>
      </c>
      <c r="N778">
        <v>1</v>
      </c>
      <c r="O778" s="1" t="s">
        <v>562</v>
      </c>
      <c r="P778">
        <v>84245.01</v>
      </c>
      <c r="Q778">
        <v>15585.33</v>
      </c>
      <c r="R778">
        <v>0</v>
      </c>
      <c r="S778" s="1" t="s">
        <v>777</v>
      </c>
      <c r="T778" s="1"/>
      <c r="U778">
        <v>79779</v>
      </c>
      <c r="V778">
        <v>0</v>
      </c>
      <c r="W778">
        <v>56816</v>
      </c>
    </row>
    <row r="779" spans="1:23" x14ac:dyDescent="0.25">
      <c r="A779" s="1" t="s">
        <v>27</v>
      </c>
      <c r="B779" s="1" t="s">
        <v>57</v>
      </c>
      <c r="C779" s="1" t="s">
        <v>125</v>
      </c>
      <c r="D779">
        <v>5269</v>
      </c>
      <c r="E779" s="1"/>
      <c r="F779" s="1" t="s">
        <v>266</v>
      </c>
      <c r="G779">
        <v>2012</v>
      </c>
      <c r="H779">
        <v>63907.67</v>
      </c>
      <c r="I779">
        <v>12</v>
      </c>
      <c r="J779" s="1" t="s">
        <v>393</v>
      </c>
      <c r="K779">
        <v>0</v>
      </c>
      <c r="L779">
        <v>607</v>
      </c>
      <c r="M779">
        <v>105.267122</v>
      </c>
      <c r="N779">
        <v>1</v>
      </c>
      <c r="O779" s="1" t="s">
        <v>563</v>
      </c>
      <c r="P779">
        <v>68420.429999999993</v>
      </c>
      <c r="Q779">
        <v>362.8</v>
      </c>
      <c r="R779">
        <v>1</v>
      </c>
      <c r="S779" s="1" t="s">
        <v>777</v>
      </c>
      <c r="T779" s="1"/>
      <c r="U779">
        <v>1831.69</v>
      </c>
      <c r="V779">
        <v>0</v>
      </c>
      <c r="W779">
        <v>57001</v>
      </c>
    </row>
    <row r="780" spans="1:23" x14ac:dyDescent="0.25">
      <c r="A780" s="1" t="s">
        <v>27</v>
      </c>
      <c r="B780" s="1" t="s">
        <v>57</v>
      </c>
      <c r="C780" s="1" t="s">
        <v>125</v>
      </c>
      <c r="D780">
        <v>5269</v>
      </c>
      <c r="E780" s="1"/>
      <c r="F780" s="1" t="s">
        <v>266</v>
      </c>
      <c r="G780">
        <v>2011</v>
      </c>
      <c r="H780">
        <v>71199</v>
      </c>
      <c r="I780">
        <v>12</v>
      </c>
      <c r="J780" s="1" t="s">
        <v>393</v>
      </c>
      <c r="K780">
        <v>0</v>
      </c>
      <c r="L780">
        <v>607</v>
      </c>
      <c r="M780">
        <v>117.277219</v>
      </c>
      <c r="N780">
        <v>1</v>
      </c>
      <c r="O780" s="1" t="s">
        <v>562</v>
      </c>
      <c r="P780">
        <v>77754.740000000005</v>
      </c>
      <c r="Q780">
        <v>14384.64</v>
      </c>
      <c r="R780">
        <v>0</v>
      </c>
      <c r="S780" s="1" t="s">
        <v>777</v>
      </c>
      <c r="T780" s="1"/>
      <c r="U780">
        <v>71199</v>
      </c>
      <c r="V780">
        <v>0</v>
      </c>
      <c r="W780">
        <v>56816</v>
      </c>
    </row>
    <row r="781" spans="1:23" x14ac:dyDescent="0.25">
      <c r="A781" s="1" t="s">
        <v>27</v>
      </c>
      <c r="B781" s="1" t="s">
        <v>57</v>
      </c>
      <c r="C781" s="1" t="s">
        <v>125</v>
      </c>
      <c r="D781">
        <v>5269</v>
      </c>
      <c r="E781" s="1"/>
      <c r="F781" s="1" t="s">
        <v>266</v>
      </c>
      <c r="G781">
        <v>2011</v>
      </c>
      <c r="H781">
        <v>54244.89</v>
      </c>
      <c r="I781">
        <v>12</v>
      </c>
      <c r="J781" s="1" t="s">
        <v>393</v>
      </c>
      <c r="K781">
        <v>0</v>
      </c>
      <c r="L781">
        <v>607</v>
      </c>
      <c r="M781">
        <v>89.350830999999999</v>
      </c>
      <c r="N781">
        <v>1</v>
      </c>
      <c r="O781" s="1" t="s">
        <v>563</v>
      </c>
      <c r="P781">
        <v>59121.01</v>
      </c>
      <c r="Q781">
        <v>313.49</v>
      </c>
      <c r="R781">
        <v>1</v>
      </c>
      <c r="S781" s="1" t="s">
        <v>777</v>
      </c>
      <c r="T781" s="1"/>
      <c r="U781">
        <v>1554.74</v>
      </c>
      <c r="V781">
        <v>0</v>
      </c>
      <c r="W781">
        <v>57001</v>
      </c>
    </row>
    <row r="782" spans="1:23" x14ac:dyDescent="0.25">
      <c r="A782" s="1" t="s">
        <v>27</v>
      </c>
      <c r="B782" s="1" t="s">
        <v>57</v>
      </c>
      <c r="C782" s="1" t="s">
        <v>125</v>
      </c>
      <c r="D782">
        <v>5269</v>
      </c>
      <c r="E782" s="1"/>
      <c r="F782" s="1" t="s">
        <v>266</v>
      </c>
      <c r="G782">
        <v>2010</v>
      </c>
      <c r="H782">
        <v>86983.99</v>
      </c>
      <c r="I782">
        <v>12</v>
      </c>
      <c r="J782" s="1" t="s">
        <v>393</v>
      </c>
      <c r="K782">
        <v>0</v>
      </c>
      <c r="L782">
        <v>607</v>
      </c>
      <c r="M782">
        <v>143.277861</v>
      </c>
      <c r="N782">
        <v>1</v>
      </c>
      <c r="O782" s="1" t="s">
        <v>562</v>
      </c>
      <c r="P782">
        <v>79535.649999999994</v>
      </c>
      <c r="Q782">
        <v>14714.08</v>
      </c>
      <c r="R782">
        <v>0</v>
      </c>
      <c r="S782" s="1" t="s">
        <v>777</v>
      </c>
      <c r="T782" s="1"/>
      <c r="U782">
        <v>86983.994999999995</v>
      </c>
      <c r="V782">
        <v>0</v>
      </c>
      <c r="W782">
        <v>56816</v>
      </c>
    </row>
    <row r="783" spans="1:23" x14ac:dyDescent="0.25">
      <c r="A783" s="1" t="s">
        <v>27</v>
      </c>
      <c r="B783" s="1" t="s">
        <v>57</v>
      </c>
      <c r="C783" s="1" t="s">
        <v>125</v>
      </c>
      <c r="D783">
        <v>5269</v>
      </c>
      <c r="E783" s="1"/>
      <c r="F783" s="1" t="s">
        <v>266</v>
      </c>
      <c r="G783">
        <v>2010</v>
      </c>
      <c r="H783">
        <v>72277.789999999994</v>
      </c>
      <c r="I783">
        <v>12</v>
      </c>
      <c r="J783" s="1" t="s">
        <v>393</v>
      </c>
      <c r="K783">
        <v>0</v>
      </c>
      <c r="L783">
        <v>607</v>
      </c>
      <c r="M783">
        <v>119.054175</v>
      </c>
      <c r="N783">
        <v>1</v>
      </c>
      <c r="O783" s="1" t="s">
        <v>563</v>
      </c>
      <c r="P783">
        <v>66207.12</v>
      </c>
      <c r="Q783">
        <v>351.06</v>
      </c>
      <c r="R783">
        <v>1</v>
      </c>
      <c r="S783" s="1" t="s">
        <v>777</v>
      </c>
      <c r="T783" s="1"/>
      <c r="U783">
        <v>2071.59</v>
      </c>
      <c r="V783">
        <v>0</v>
      </c>
      <c r="W783">
        <v>57001</v>
      </c>
    </row>
    <row r="784" spans="1:23" x14ac:dyDescent="0.25">
      <c r="A784" s="1" t="s">
        <v>27</v>
      </c>
      <c r="B784" s="1" t="s">
        <v>57</v>
      </c>
      <c r="C784" s="1" t="s">
        <v>125</v>
      </c>
      <c r="D784">
        <v>5269</v>
      </c>
      <c r="E784" s="1"/>
      <c r="F784" s="1" t="s">
        <v>266</v>
      </c>
      <c r="G784">
        <v>2009</v>
      </c>
      <c r="H784">
        <v>86158</v>
      </c>
      <c r="I784">
        <v>12</v>
      </c>
      <c r="J784" s="1" t="s">
        <v>393</v>
      </c>
      <c r="K784">
        <v>0</v>
      </c>
      <c r="L784">
        <v>607</v>
      </c>
      <c r="M784">
        <v>141.91731100000001</v>
      </c>
      <c r="N784">
        <v>1</v>
      </c>
      <c r="O784" s="1" t="s">
        <v>562</v>
      </c>
      <c r="P784">
        <v>91973.99</v>
      </c>
      <c r="Q784">
        <v>17015.21</v>
      </c>
      <c r="R784">
        <v>0</v>
      </c>
      <c r="S784" s="1" t="s">
        <v>777</v>
      </c>
      <c r="T784" s="1"/>
      <c r="U784">
        <v>86158</v>
      </c>
      <c r="V784">
        <v>0</v>
      </c>
      <c r="W784">
        <v>56816</v>
      </c>
    </row>
    <row r="785" spans="1:23" x14ac:dyDescent="0.25">
      <c r="A785" s="1" t="s">
        <v>27</v>
      </c>
      <c r="B785" s="1" t="s">
        <v>57</v>
      </c>
      <c r="C785" s="1" t="s">
        <v>125</v>
      </c>
      <c r="D785">
        <v>5269</v>
      </c>
      <c r="E785" s="1"/>
      <c r="F785" s="1" t="s">
        <v>266</v>
      </c>
      <c r="G785">
        <v>2009</v>
      </c>
      <c r="H785">
        <v>128916.12</v>
      </c>
      <c r="I785">
        <v>12</v>
      </c>
      <c r="J785" s="1" t="s">
        <v>393</v>
      </c>
      <c r="K785">
        <v>0</v>
      </c>
      <c r="L785">
        <v>607</v>
      </c>
      <c r="M785">
        <v>212.34742199999999</v>
      </c>
      <c r="N785">
        <v>1</v>
      </c>
      <c r="O785" s="1" t="s">
        <v>563</v>
      </c>
      <c r="P785">
        <v>137332.56</v>
      </c>
      <c r="Q785">
        <v>728.19</v>
      </c>
      <c r="R785">
        <v>1</v>
      </c>
      <c r="S785" s="1" t="s">
        <v>777</v>
      </c>
      <c r="T785" s="1"/>
      <c r="U785">
        <v>3694.93</v>
      </c>
      <c r="V785">
        <v>0</v>
      </c>
      <c r="W785">
        <v>57001</v>
      </c>
    </row>
    <row r="786" spans="1:23" x14ac:dyDescent="0.25">
      <c r="A786" s="1" t="s">
        <v>27</v>
      </c>
      <c r="B786" s="1" t="s">
        <v>57</v>
      </c>
      <c r="C786" s="1" t="s">
        <v>125</v>
      </c>
      <c r="D786">
        <v>5269</v>
      </c>
      <c r="E786" s="1"/>
      <c r="F786" s="1" t="s">
        <v>266</v>
      </c>
      <c r="G786">
        <v>2008</v>
      </c>
      <c r="H786">
        <v>80843</v>
      </c>
      <c r="I786">
        <v>12</v>
      </c>
      <c r="J786" s="1" t="s">
        <v>393</v>
      </c>
      <c r="K786">
        <v>0</v>
      </c>
      <c r="L786">
        <v>607</v>
      </c>
      <c r="M786">
        <v>133.162576</v>
      </c>
      <c r="N786">
        <v>1</v>
      </c>
      <c r="O786" s="1" t="s">
        <v>562</v>
      </c>
      <c r="P786">
        <v>91921.87</v>
      </c>
      <c r="Q786">
        <v>17005.54</v>
      </c>
      <c r="R786">
        <v>0</v>
      </c>
      <c r="S786" s="1" t="s">
        <v>777</v>
      </c>
      <c r="T786" s="1"/>
      <c r="U786">
        <v>80843</v>
      </c>
      <c r="V786">
        <v>0</v>
      </c>
      <c r="W786">
        <v>56816</v>
      </c>
    </row>
    <row r="787" spans="1:23" x14ac:dyDescent="0.25">
      <c r="A787" s="1" t="s">
        <v>27</v>
      </c>
      <c r="B787" s="1" t="s">
        <v>57</v>
      </c>
      <c r="C787" s="1" t="s">
        <v>125</v>
      </c>
      <c r="D787">
        <v>5269</v>
      </c>
      <c r="E787" s="1"/>
      <c r="F787" s="1" t="s">
        <v>266</v>
      </c>
      <c r="G787">
        <v>2008</v>
      </c>
      <c r="H787">
        <v>99257.87</v>
      </c>
      <c r="I787">
        <v>12</v>
      </c>
      <c r="J787" s="1" t="s">
        <v>393</v>
      </c>
      <c r="K787">
        <v>0</v>
      </c>
      <c r="L787">
        <v>607</v>
      </c>
      <c r="M787">
        <v>163.495091</v>
      </c>
      <c r="N787">
        <v>1</v>
      </c>
      <c r="O787" s="1" t="s">
        <v>563</v>
      </c>
      <c r="P787">
        <v>110433.52</v>
      </c>
      <c r="Q787">
        <v>585.54999999999995</v>
      </c>
      <c r="R787">
        <v>1</v>
      </c>
      <c r="S787" s="1" t="s">
        <v>777</v>
      </c>
      <c r="T787" s="1"/>
      <c r="U787">
        <v>2844.88</v>
      </c>
      <c r="V787">
        <v>0</v>
      </c>
      <c r="W787">
        <v>57001</v>
      </c>
    </row>
    <row r="788" spans="1:23" x14ac:dyDescent="0.25">
      <c r="A788" s="1" t="s">
        <v>27</v>
      </c>
      <c r="B788" s="1"/>
      <c r="C788" s="1" t="s">
        <v>126</v>
      </c>
      <c r="D788">
        <v>10017</v>
      </c>
      <c r="E788" s="1"/>
      <c r="F788" s="1" t="s">
        <v>267</v>
      </c>
      <c r="G788">
        <v>2015</v>
      </c>
      <c r="H788">
        <v>38897.919999999998</v>
      </c>
      <c r="I788">
        <v>5</v>
      </c>
      <c r="J788" s="1" t="s">
        <v>405</v>
      </c>
      <c r="K788">
        <v>0</v>
      </c>
      <c r="L788">
        <v>602</v>
      </c>
      <c r="M788">
        <v>64.603752999999998</v>
      </c>
      <c r="N788">
        <v>1</v>
      </c>
      <c r="O788" s="1" t="s">
        <v>564</v>
      </c>
      <c r="P788">
        <v>43608.85</v>
      </c>
      <c r="Q788">
        <v>9222.4699999999993</v>
      </c>
      <c r="R788">
        <v>0</v>
      </c>
      <c r="S788" s="1"/>
      <c r="T788" s="1" t="s">
        <v>1193</v>
      </c>
      <c r="U788">
        <v>3601.66</v>
      </c>
      <c r="V788">
        <v>0</v>
      </c>
      <c r="W788">
        <v>76521</v>
      </c>
    </row>
    <row r="789" spans="1:23" x14ac:dyDescent="0.25">
      <c r="A789" s="1" t="s">
        <v>27</v>
      </c>
      <c r="B789" s="1"/>
      <c r="C789" s="1" t="s">
        <v>126</v>
      </c>
      <c r="D789">
        <v>10017</v>
      </c>
      <c r="E789" s="1"/>
      <c r="F789" s="1" t="s">
        <v>267</v>
      </c>
      <c r="G789">
        <v>2014</v>
      </c>
      <c r="H789">
        <v>64216.79</v>
      </c>
      <c r="I789">
        <v>12</v>
      </c>
      <c r="J789" s="1" t="s">
        <v>405</v>
      </c>
      <c r="K789">
        <v>0</v>
      </c>
      <c r="L789">
        <v>602</v>
      </c>
      <c r="M789">
        <v>106.654691</v>
      </c>
      <c r="N789">
        <v>1</v>
      </c>
      <c r="O789" s="1" t="s">
        <v>564</v>
      </c>
      <c r="P789">
        <v>76070.320000000007</v>
      </c>
      <c r="Q789">
        <v>16087.47</v>
      </c>
      <c r="R789">
        <v>0</v>
      </c>
      <c r="S789" s="1"/>
      <c r="T789" s="1" t="s">
        <v>1193</v>
      </c>
      <c r="U789">
        <v>5946</v>
      </c>
      <c r="V789">
        <v>0</v>
      </c>
      <c r="W789">
        <v>76521</v>
      </c>
    </row>
    <row r="790" spans="1:23" x14ac:dyDescent="0.25">
      <c r="A790" s="1" t="s">
        <v>27</v>
      </c>
      <c r="B790" s="1"/>
      <c r="C790" s="1" t="s">
        <v>126</v>
      </c>
      <c r="D790">
        <v>10017</v>
      </c>
      <c r="E790" s="1"/>
      <c r="F790" s="1" t="s">
        <v>267</v>
      </c>
      <c r="G790">
        <v>2013</v>
      </c>
      <c r="H790">
        <v>69490.12</v>
      </c>
      <c r="I790">
        <v>12</v>
      </c>
      <c r="J790" s="1" t="s">
        <v>405</v>
      </c>
      <c r="K790">
        <v>0</v>
      </c>
      <c r="L790">
        <v>602</v>
      </c>
      <c r="M790">
        <v>115.412921</v>
      </c>
      <c r="N790">
        <v>1</v>
      </c>
      <c r="O790" s="1" t="s">
        <v>564</v>
      </c>
      <c r="P790">
        <v>73102.44</v>
      </c>
      <c r="Q790">
        <v>15459.79</v>
      </c>
      <c r="R790">
        <v>0</v>
      </c>
      <c r="S790" s="1"/>
      <c r="T790" s="1" t="s">
        <v>1193</v>
      </c>
      <c r="U790">
        <v>6434.27</v>
      </c>
      <c r="V790">
        <v>0</v>
      </c>
      <c r="W790">
        <v>76521</v>
      </c>
    </row>
    <row r="791" spans="1:23" x14ac:dyDescent="0.25">
      <c r="A791" s="1" t="s">
        <v>27</v>
      </c>
      <c r="B791" s="1"/>
      <c r="C791" s="1" t="s">
        <v>126</v>
      </c>
      <c r="D791">
        <v>10017</v>
      </c>
      <c r="E791" s="1"/>
      <c r="F791" s="1" t="s">
        <v>267</v>
      </c>
      <c r="G791">
        <v>2012</v>
      </c>
      <c r="H791">
        <v>76214.53</v>
      </c>
      <c r="I791">
        <v>12</v>
      </c>
      <c r="J791" s="1" t="s">
        <v>405</v>
      </c>
      <c r="K791">
        <v>0</v>
      </c>
      <c r="L791">
        <v>602</v>
      </c>
      <c r="M791">
        <v>126.581182</v>
      </c>
      <c r="N791">
        <v>1</v>
      </c>
      <c r="O791" s="1" t="s">
        <v>564</v>
      </c>
      <c r="P791">
        <v>80100.34</v>
      </c>
      <c r="Q791">
        <v>16939.740000000002</v>
      </c>
      <c r="R791">
        <v>0</v>
      </c>
      <c r="S791" s="1"/>
      <c r="T791" s="1" t="s">
        <v>1193</v>
      </c>
      <c r="U791">
        <v>7056.9</v>
      </c>
      <c r="V791">
        <v>0</v>
      </c>
      <c r="W791">
        <v>76521</v>
      </c>
    </row>
    <row r="792" spans="1:23" x14ac:dyDescent="0.25">
      <c r="A792" s="1" t="s">
        <v>27</v>
      </c>
      <c r="B792" s="1"/>
      <c r="C792" s="1" t="s">
        <v>126</v>
      </c>
      <c r="D792">
        <v>10017</v>
      </c>
      <c r="E792" s="1"/>
      <c r="F792" s="1" t="s">
        <v>267</v>
      </c>
      <c r="G792">
        <v>2011</v>
      </c>
      <c r="H792">
        <v>73262.66</v>
      </c>
      <c r="I792">
        <v>12</v>
      </c>
      <c r="J792" s="1" t="s">
        <v>405</v>
      </c>
      <c r="K792">
        <v>0</v>
      </c>
      <c r="L792">
        <v>602</v>
      </c>
      <c r="M792">
        <v>121.678558</v>
      </c>
      <c r="N792">
        <v>1</v>
      </c>
      <c r="O792" s="1" t="s">
        <v>564</v>
      </c>
      <c r="P792">
        <v>80819.399999999994</v>
      </c>
      <c r="Q792">
        <v>17091.82</v>
      </c>
      <c r="R792">
        <v>0</v>
      </c>
      <c r="S792" s="1"/>
      <c r="T792" s="1" t="s">
        <v>1193</v>
      </c>
      <c r="U792">
        <v>6783.58</v>
      </c>
      <c r="V792">
        <v>0</v>
      </c>
      <c r="W792">
        <v>76521</v>
      </c>
    </row>
    <row r="793" spans="1:23" x14ac:dyDescent="0.25">
      <c r="A793" s="1" t="s">
        <v>27</v>
      </c>
      <c r="B793" s="1"/>
      <c r="C793" s="1" t="s">
        <v>126</v>
      </c>
      <c r="D793">
        <v>10017</v>
      </c>
      <c r="E793" s="1"/>
      <c r="F793" s="1" t="s">
        <v>267</v>
      </c>
      <c r="G793">
        <v>2010</v>
      </c>
      <c r="H793">
        <v>80934.39</v>
      </c>
      <c r="I793">
        <v>14</v>
      </c>
      <c r="J793" s="1" t="s">
        <v>405</v>
      </c>
      <c r="K793">
        <v>0</v>
      </c>
      <c r="L793">
        <v>602</v>
      </c>
      <c r="M793">
        <v>134.42017899999999</v>
      </c>
      <c r="N793">
        <v>1</v>
      </c>
      <c r="O793" s="1" t="s">
        <v>564</v>
      </c>
      <c r="P793">
        <v>74170.28</v>
      </c>
      <c r="Q793">
        <v>15685.64</v>
      </c>
      <c r="R793">
        <v>0</v>
      </c>
      <c r="S793" s="1"/>
      <c r="T793" s="1" t="s">
        <v>1193</v>
      </c>
      <c r="U793">
        <v>7493.92479</v>
      </c>
      <c r="V793">
        <v>0</v>
      </c>
      <c r="W793">
        <v>76521</v>
      </c>
    </row>
    <row r="794" spans="1:23" x14ac:dyDescent="0.25">
      <c r="A794" s="1" t="s">
        <v>27</v>
      </c>
      <c r="B794" s="1"/>
      <c r="C794" s="1" t="s">
        <v>126</v>
      </c>
      <c r="D794">
        <v>10017</v>
      </c>
      <c r="E794" s="1"/>
      <c r="F794" s="1" t="s">
        <v>267</v>
      </c>
      <c r="G794">
        <v>2009</v>
      </c>
      <c r="H794">
        <v>73894.62</v>
      </c>
      <c r="I794">
        <v>12</v>
      </c>
      <c r="J794" s="1" t="s">
        <v>405</v>
      </c>
      <c r="K794">
        <v>0</v>
      </c>
      <c r="L794">
        <v>602</v>
      </c>
      <c r="M794">
        <v>122.728151</v>
      </c>
      <c r="N794">
        <v>1</v>
      </c>
      <c r="O794" s="1" t="s">
        <v>564</v>
      </c>
      <c r="P794">
        <v>79111.77</v>
      </c>
      <c r="Q794">
        <v>16730.669999999998</v>
      </c>
      <c r="R794">
        <v>0</v>
      </c>
      <c r="S794" s="1"/>
      <c r="T794" s="1" t="s">
        <v>1193</v>
      </c>
      <c r="U794">
        <v>6842.0951999999997</v>
      </c>
      <c r="V794">
        <v>0</v>
      </c>
      <c r="W794">
        <v>76521</v>
      </c>
    </row>
    <row r="795" spans="1:23" x14ac:dyDescent="0.25">
      <c r="A795" s="1" t="s">
        <v>27</v>
      </c>
      <c r="B795" s="1"/>
      <c r="C795" s="1" t="s">
        <v>126</v>
      </c>
      <c r="D795">
        <v>10017</v>
      </c>
      <c r="E795" s="1"/>
      <c r="F795" s="1" t="s">
        <v>267</v>
      </c>
      <c r="G795">
        <v>2008</v>
      </c>
      <c r="H795">
        <v>64529.24</v>
      </c>
      <c r="I795">
        <v>9</v>
      </c>
      <c r="J795" s="1" t="s">
        <v>405</v>
      </c>
      <c r="K795">
        <v>0</v>
      </c>
      <c r="L795">
        <v>602</v>
      </c>
      <c r="M795">
        <v>107.173625</v>
      </c>
      <c r="N795">
        <v>1</v>
      </c>
      <c r="O795" s="1" t="s">
        <v>564</v>
      </c>
      <c r="P795">
        <v>73508.98</v>
      </c>
      <c r="Q795">
        <v>15545.78</v>
      </c>
      <c r="R795">
        <v>0</v>
      </c>
      <c r="S795" s="1"/>
      <c r="T795" s="1" t="s">
        <v>1193</v>
      </c>
      <c r="U795">
        <v>5974.9293100000004</v>
      </c>
      <c r="V795">
        <v>0</v>
      </c>
      <c r="W795">
        <v>76521</v>
      </c>
    </row>
    <row r="796" spans="1:23" x14ac:dyDescent="0.25">
      <c r="A796" s="1" t="s">
        <v>27</v>
      </c>
      <c r="B796" s="1"/>
      <c r="C796" s="1" t="s">
        <v>128</v>
      </c>
      <c r="D796">
        <v>10169</v>
      </c>
      <c r="E796" s="1"/>
      <c r="F796" s="1" t="s">
        <v>268</v>
      </c>
      <c r="G796">
        <v>2015</v>
      </c>
      <c r="H796">
        <v>44974.5</v>
      </c>
      <c r="I796">
        <v>5</v>
      </c>
      <c r="J796" s="1" t="s">
        <v>473</v>
      </c>
      <c r="K796">
        <v>0</v>
      </c>
      <c r="L796">
        <v>721</v>
      </c>
      <c r="M796">
        <v>62.369295999999999</v>
      </c>
      <c r="N796">
        <v>1</v>
      </c>
      <c r="O796" s="1" t="s">
        <v>566</v>
      </c>
      <c r="P796">
        <v>50705.9</v>
      </c>
      <c r="Q796">
        <v>10340.39</v>
      </c>
      <c r="R796">
        <v>0</v>
      </c>
      <c r="S796" s="1" t="s">
        <v>778</v>
      </c>
      <c r="T796" s="1" t="s">
        <v>1194</v>
      </c>
      <c r="U796">
        <v>4015.58</v>
      </c>
      <c r="V796">
        <v>0</v>
      </c>
      <c r="W796">
        <v>77182</v>
      </c>
    </row>
    <row r="797" spans="1:23" x14ac:dyDescent="0.25">
      <c r="A797" s="1" t="s">
        <v>27</v>
      </c>
      <c r="B797" s="1"/>
      <c r="C797" s="1" t="s">
        <v>128</v>
      </c>
      <c r="D797">
        <v>10169</v>
      </c>
      <c r="E797" s="1"/>
      <c r="F797" s="1" t="s">
        <v>268</v>
      </c>
      <c r="G797">
        <v>2014</v>
      </c>
      <c r="H797">
        <v>55045.56</v>
      </c>
      <c r="I797">
        <v>4</v>
      </c>
      <c r="J797" s="1" t="s">
        <v>424</v>
      </c>
      <c r="K797">
        <v>0</v>
      </c>
      <c r="L797">
        <v>721</v>
      </c>
      <c r="M797">
        <v>76.335542000000004</v>
      </c>
      <c r="N797">
        <v>1</v>
      </c>
      <c r="O797" s="1" t="s">
        <v>564</v>
      </c>
      <c r="P797">
        <v>64071.79</v>
      </c>
      <c r="Q797">
        <v>13549.99</v>
      </c>
      <c r="R797">
        <v>1</v>
      </c>
      <c r="S797" s="1" t="s">
        <v>764</v>
      </c>
      <c r="T797" s="1"/>
      <c r="U797">
        <v>5096.8113300000005</v>
      </c>
      <c r="V797">
        <v>0</v>
      </c>
      <c r="W797">
        <v>94891</v>
      </c>
    </row>
    <row r="798" spans="1:23" x14ac:dyDescent="0.25">
      <c r="A798" s="1" t="s">
        <v>27</v>
      </c>
      <c r="B798" s="1"/>
      <c r="C798" s="1" t="s">
        <v>128</v>
      </c>
      <c r="D798">
        <v>10169</v>
      </c>
      <c r="E798" s="1"/>
      <c r="F798" s="1" t="s">
        <v>268</v>
      </c>
      <c r="G798">
        <v>2014</v>
      </c>
      <c r="H798">
        <v>54308.36</v>
      </c>
      <c r="I798">
        <v>12</v>
      </c>
      <c r="J798" s="1" t="s">
        <v>473</v>
      </c>
      <c r="K798">
        <v>0</v>
      </c>
      <c r="L798">
        <v>721</v>
      </c>
      <c r="M798">
        <v>75.313215</v>
      </c>
      <c r="N798">
        <v>1</v>
      </c>
      <c r="O798" s="1" t="s">
        <v>566</v>
      </c>
      <c r="P798">
        <v>64325.67</v>
      </c>
      <c r="Q798">
        <v>13117.82</v>
      </c>
      <c r="R798">
        <v>0</v>
      </c>
      <c r="S798" s="1" t="s">
        <v>778</v>
      </c>
      <c r="T798" s="1" t="s">
        <v>1194</v>
      </c>
      <c r="U798">
        <v>4848.96</v>
      </c>
      <c r="V798">
        <v>0</v>
      </c>
      <c r="W798">
        <v>77182</v>
      </c>
    </row>
    <row r="799" spans="1:23" x14ac:dyDescent="0.25">
      <c r="A799" s="1" t="s">
        <v>27</v>
      </c>
      <c r="B799" s="1"/>
      <c r="C799" s="1" t="s">
        <v>128</v>
      </c>
      <c r="D799">
        <v>10169</v>
      </c>
      <c r="E799" s="1"/>
      <c r="F799" s="1" t="s">
        <v>268</v>
      </c>
      <c r="G799">
        <v>2013</v>
      </c>
      <c r="H799">
        <v>83193.279999999999</v>
      </c>
      <c r="I799">
        <v>4</v>
      </c>
      <c r="J799" s="1" t="s">
        <v>424</v>
      </c>
      <c r="K799">
        <v>0</v>
      </c>
      <c r="L799">
        <v>721</v>
      </c>
      <c r="M799">
        <v>115.369962</v>
      </c>
      <c r="N799">
        <v>1</v>
      </c>
      <c r="O799" s="1" t="s">
        <v>564</v>
      </c>
      <c r="P799">
        <v>105409.81</v>
      </c>
      <c r="Q799">
        <v>22292.22</v>
      </c>
      <c r="R799">
        <v>1</v>
      </c>
      <c r="S799" s="1" t="s">
        <v>764</v>
      </c>
      <c r="T799" s="1"/>
      <c r="U799">
        <v>7703.0826399999996</v>
      </c>
      <c r="V799">
        <v>0</v>
      </c>
      <c r="W799">
        <v>94891</v>
      </c>
    </row>
    <row r="800" spans="1:23" x14ac:dyDescent="0.25">
      <c r="A800" s="1" t="s">
        <v>27</v>
      </c>
      <c r="B800" s="1"/>
      <c r="C800" s="1" t="s">
        <v>128</v>
      </c>
      <c r="D800">
        <v>10169</v>
      </c>
      <c r="E800" s="1"/>
      <c r="F800" s="1" t="s">
        <v>268</v>
      </c>
      <c r="G800">
        <v>2013</v>
      </c>
      <c r="H800">
        <v>44036.73</v>
      </c>
      <c r="I800">
        <v>12</v>
      </c>
      <c r="J800" s="1" t="s">
        <v>473</v>
      </c>
      <c r="K800">
        <v>0</v>
      </c>
      <c r="L800">
        <v>721</v>
      </c>
      <c r="M800">
        <v>61.068824999999997</v>
      </c>
      <c r="N800">
        <v>1</v>
      </c>
      <c r="O800" s="1" t="s">
        <v>566</v>
      </c>
      <c r="P800">
        <v>50485</v>
      </c>
      <c r="Q800">
        <v>10295.34</v>
      </c>
      <c r="R800">
        <v>0</v>
      </c>
      <c r="S800" s="1" t="s">
        <v>778</v>
      </c>
      <c r="T800" s="1" t="s">
        <v>1194</v>
      </c>
      <c r="U800">
        <v>3931.85</v>
      </c>
      <c r="V800">
        <v>0</v>
      </c>
      <c r="W800">
        <v>77182</v>
      </c>
    </row>
    <row r="801" spans="1:23" x14ac:dyDescent="0.25">
      <c r="A801" s="1" t="s">
        <v>27</v>
      </c>
      <c r="B801" s="1"/>
      <c r="C801" s="1" t="s">
        <v>128</v>
      </c>
      <c r="D801">
        <v>10169</v>
      </c>
      <c r="E801" s="1"/>
      <c r="F801" s="1" t="s">
        <v>268</v>
      </c>
      <c r="G801">
        <v>2012</v>
      </c>
      <c r="H801">
        <v>281.95</v>
      </c>
      <c r="I801">
        <v>1</v>
      </c>
      <c r="J801" s="1" t="s">
        <v>424</v>
      </c>
      <c r="K801">
        <v>0</v>
      </c>
      <c r="L801">
        <v>721</v>
      </c>
      <c r="M801">
        <v>0.39099899999999999</v>
      </c>
      <c r="N801">
        <v>1</v>
      </c>
      <c r="O801" s="1" t="s">
        <v>564</v>
      </c>
      <c r="P801">
        <v>267.25</v>
      </c>
      <c r="Q801">
        <v>56.52</v>
      </c>
      <c r="R801">
        <v>1</v>
      </c>
      <c r="S801" s="1" t="s">
        <v>764</v>
      </c>
      <c r="T801" s="1"/>
      <c r="U801">
        <v>26.106059999999999</v>
      </c>
      <c r="V801">
        <v>0</v>
      </c>
      <c r="W801">
        <v>94891</v>
      </c>
    </row>
    <row r="802" spans="1:23" x14ac:dyDescent="0.25">
      <c r="A802" s="1" t="s">
        <v>27</v>
      </c>
      <c r="B802" s="1"/>
      <c r="C802" s="1" t="s">
        <v>128</v>
      </c>
      <c r="D802">
        <v>10169</v>
      </c>
      <c r="E802" s="1"/>
      <c r="F802" s="1" t="s">
        <v>268</v>
      </c>
      <c r="G802">
        <v>2012</v>
      </c>
      <c r="H802">
        <v>87377.01</v>
      </c>
      <c r="I802">
        <v>10</v>
      </c>
      <c r="J802" s="1" t="s">
        <v>473</v>
      </c>
      <c r="K802">
        <v>0</v>
      </c>
      <c r="L802">
        <v>721</v>
      </c>
      <c r="M802">
        <v>121.171834</v>
      </c>
      <c r="N802">
        <v>1</v>
      </c>
      <c r="O802" s="1" t="s">
        <v>566</v>
      </c>
      <c r="P802">
        <v>93490.57</v>
      </c>
      <c r="Q802">
        <v>19065.400000000001</v>
      </c>
      <c r="R802">
        <v>0</v>
      </c>
      <c r="S802" s="1" t="s">
        <v>778</v>
      </c>
      <c r="T802" s="1" t="s">
        <v>1194</v>
      </c>
      <c r="U802">
        <v>7801.5181000000002</v>
      </c>
      <c r="V802">
        <v>0</v>
      </c>
      <c r="W802">
        <v>77182</v>
      </c>
    </row>
    <row r="803" spans="1:23" x14ac:dyDescent="0.25">
      <c r="A803" s="1" t="s">
        <v>27</v>
      </c>
      <c r="B803" s="1"/>
      <c r="C803" s="1" t="s">
        <v>128</v>
      </c>
      <c r="D803">
        <v>10169</v>
      </c>
      <c r="E803" s="1"/>
      <c r="F803" s="1" t="s">
        <v>268</v>
      </c>
      <c r="G803">
        <v>2011</v>
      </c>
      <c r="H803">
        <v>99458.21</v>
      </c>
      <c r="I803">
        <v>7</v>
      </c>
      <c r="J803" s="1" t="s">
        <v>473</v>
      </c>
      <c r="K803">
        <v>0</v>
      </c>
      <c r="L803">
        <v>721</v>
      </c>
      <c r="M803">
        <v>137.92568199999999</v>
      </c>
      <c r="N803">
        <v>1</v>
      </c>
      <c r="O803" s="1" t="s">
        <v>566</v>
      </c>
      <c r="P803">
        <v>115842.87</v>
      </c>
      <c r="Q803">
        <v>23623.66</v>
      </c>
      <c r="R803">
        <v>0</v>
      </c>
      <c r="S803" s="1" t="s">
        <v>778</v>
      </c>
      <c r="T803" s="1" t="s">
        <v>1194</v>
      </c>
      <c r="U803">
        <v>8880.1985700000005</v>
      </c>
      <c r="V803">
        <v>0</v>
      </c>
      <c r="W803">
        <v>77182</v>
      </c>
    </row>
    <row r="804" spans="1:23" x14ac:dyDescent="0.25">
      <c r="A804" s="1" t="s">
        <v>27</v>
      </c>
      <c r="B804" s="1"/>
      <c r="C804" s="1" t="s">
        <v>128</v>
      </c>
      <c r="D804">
        <v>10169</v>
      </c>
      <c r="E804" s="1"/>
      <c r="F804" s="1" t="s">
        <v>268</v>
      </c>
      <c r="G804">
        <v>2010</v>
      </c>
      <c r="H804">
        <v>95307.23</v>
      </c>
      <c r="I804">
        <v>3</v>
      </c>
      <c r="J804" s="1" t="s">
        <v>473</v>
      </c>
      <c r="K804">
        <v>0</v>
      </c>
      <c r="L804">
        <v>721</v>
      </c>
      <c r="M804">
        <v>132.16922700000001</v>
      </c>
      <c r="N804">
        <v>1</v>
      </c>
      <c r="O804" s="1" t="s">
        <v>566</v>
      </c>
      <c r="P804">
        <v>97556.68</v>
      </c>
      <c r="Q804">
        <v>19894.62</v>
      </c>
      <c r="R804">
        <v>0</v>
      </c>
      <c r="S804" s="1" t="s">
        <v>778</v>
      </c>
      <c r="T804" s="1" t="s">
        <v>1194</v>
      </c>
      <c r="U804">
        <v>8509.5734300000004</v>
      </c>
      <c r="V804">
        <v>0</v>
      </c>
      <c r="W804">
        <v>77182</v>
      </c>
    </row>
    <row r="805" spans="1:23" x14ac:dyDescent="0.25">
      <c r="A805" s="1" t="s">
        <v>27</v>
      </c>
      <c r="B805" s="1"/>
      <c r="C805" s="1" t="s">
        <v>128</v>
      </c>
      <c r="D805">
        <v>10169</v>
      </c>
      <c r="E805" s="1"/>
      <c r="F805" s="1" t="s">
        <v>268</v>
      </c>
      <c r="G805">
        <v>2009</v>
      </c>
      <c r="H805">
        <v>104141.8</v>
      </c>
      <c r="I805">
        <v>4</v>
      </c>
      <c r="J805" s="1" t="s">
        <v>473</v>
      </c>
      <c r="K805">
        <v>0</v>
      </c>
      <c r="L805">
        <v>721</v>
      </c>
      <c r="M805">
        <v>144.42074600000001</v>
      </c>
      <c r="N805">
        <v>1</v>
      </c>
      <c r="O805" s="1" t="s">
        <v>566</v>
      </c>
      <c r="P805">
        <v>145016.93</v>
      </c>
      <c r="Q805">
        <v>29573.09</v>
      </c>
      <c r="R805">
        <v>0</v>
      </c>
      <c r="S805" s="1" t="s">
        <v>778</v>
      </c>
      <c r="T805" s="1" t="s">
        <v>1194</v>
      </c>
      <c r="U805">
        <v>9298.3752899999999</v>
      </c>
      <c r="V805">
        <v>0</v>
      </c>
      <c r="W805">
        <v>77182</v>
      </c>
    </row>
    <row r="806" spans="1:23" x14ac:dyDescent="0.25">
      <c r="A806" s="1" t="s">
        <v>27</v>
      </c>
      <c r="B806" s="1"/>
      <c r="C806" s="1" t="s">
        <v>128</v>
      </c>
      <c r="D806">
        <v>10169</v>
      </c>
      <c r="E806" s="1"/>
      <c r="F806" s="1" t="s">
        <v>268</v>
      </c>
      <c r="G806">
        <v>2008</v>
      </c>
      <c r="H806">
        <v>90836.91</v>
      </c>
      <c r="I806">
        <v>6</v>
      </c>
      <c r="J806" s="1" t="s">
        <v>473</v>
      </c>
      <c r="K806">
        <v>0</v>
      </c>
      <c r="L806">
        <v>721</v>
      </c>
      <c r="M806">
        <v>125.96992</v>
      </c>
      <c r="N806">
        <v>1</v>
      </c>
      <c r="O806" s="1" t="s">
        <v>566</v>
      </c>
      <c r="P806">
        <v>108381.79</v>
      </c>
      <c r="Q806">
        <v>22102.15</v>
      </c>
      <c r="R806">
        <v>0</v>
      </c>
      <c r="S806" s="1" t="s">
        <v>778</v>
      </c>
      <c r="T806" s="1" t="s">
        <v>1194</v>
      </c>
      <c r="U806">
        <v>8110.4395500000001</v>
      </c>
      <c r="V806">
        <v>0</v>
      </c>
      <c r="W806">
        <v>77182</v>
      </c>
    </row>
    <row r="807" spans="1:23" x14ac:dyDescent="0.25">
      <c r="A807" s="1" t="s">
        <v>27</v>
      </c>
      <c r="B807" s="1" t="s">
        <v>53</v>
      </c>
      <c r="C807" s="1" t="s">
        <v>129</v>
      </c>
      <c r="D807">
        <v>5447</v>
      </c>
      <c r="E807" s="1"/>
      <c r="F807" s="1" t="s">
        <v>269</v>
      </c>
      <c r="G807">
        <v>2015</v>
      </c>
      <c r="H807">
        <v>21053</v>
      </c>
      <c r="I807">
        <v>5</v>
      </c>
      <c r="J807" s="1" t="s">
        <v>474</v>
      </c>
      <c r="K807">
        <v>0</v>
      </c>
      <c r="L807">
        <v>480</v>
      </c>
      <c r="M807">
        <v>43.851280000000003</v>
      </c>
      <c r="N807">
        <v>1</v>
      </c>
      <c r="O807" s="1" t="s">
        <v>562</v>
      </c>
      <c r="P807">
        <v>23351.72</v>
      </c>
      <c r="Q807">
        <v>4320068.2</v>
      </c>
      <c r="R807">
        <v>0</v>
      </c>
      <c r="S807" s="1" t="s">
        <v>779</v>
      </c>
      <c r="T807" s="1"/>
      <c r="U807">
        <v>21053</v>
      </c>
      <c r="V807">
        <v>0</v>
      </c>
      <c r="W807">
        <v>57508</v>
      </c>
    </row>
    <row r="808" spans="1:23" x14ac:dyDescent="0.25">
      <c r="A808" s="1" t="s">
        <v>27</v>
      </c>
      <c r="B808" s="1" t="s">
        <v>53</v>
      </c>
      <c r="C808" s="1" t="s">
        <v>129</v>
      </c>
      <c r="D808">
        <v>5447</v>
      </c>
      <c r="E808" s="1"/>
      <c r="F808" s="1" t="s">
        <v>269</v>
      </c>
      <c r="G808">
        <v>2015</v>
      </c>
      <c r="H808">
        <v>22733.97</v>
      </c>
      <c r="I808">
        <v>5</v>
      </c>
      <c r="J808" s="1" t="s">
        <v>474</v>
      </c>
      <c r="K808">
        <v>0</v>
      </c>
      <c r="L808">
        <v>480</v>
      </c>
      <c r="M808">
        <v>47.352572000000002</v>
      </c>
      <c r="N808">
        <v>1</v>
      </c>
      <c r="O808" s="1" t="s">
        <v>563</v>
      </c>
      <c r="P808">
        <v>24976.639999999999</v>
      </c>
      <c r="Q808">
        <v>132435.60999999999</v>
      </c>
      <c r="R808">
        <v>1</v>
      </c>
      <c r="S808" s="1" t="s">
        <v>779</v>
      </c>
      <c r="T808" s="1"/>
      <c r="U808">
        <v>651.59</v>
      </c>
      <c r="V808">
        <v>0</v>
      </c>
      <c r="W808">
        <v>57509</v>
      </c>
    </row>
    <row r="809" spans="1:23" x14ac:dyDescent="0.25">
      <c r="A809" s="1" t="s">
        <v>27</v>
      </c>
      <c r="B809" s="1" t="s">
        <v>53</v>
      </c>
      <c r="C809" s="1" t="s">
        <v>129</v>
      </c>
      <c r="D809">
        <v>5447</v>
      </c>
      <c r="E809" s="1"/>
      <c r="F809" s="1" t="s">
        <v>269</v>
      </c>
      <c r="G809">
        <v>2014</v>
      </c>
      <c r="H809">
        <v>44656</v>
      </c>
      <c r="I809">
        <v>12</v>
      </c>
      <c r="J809" s="1" t="s">
        <v>474</v>
      </c>
      <c r="K809">
        <v>0</v>
      </c>
      <c r="L809">
        <v>480</v>
      </c>
      <c r="M809">
        <v>93.013954999999996</v>
      </c>
      <c r="N809">
        <v>1</v>
      </c>
      <c r="O809" s="1" t="s">
        <v>562</v>
      </c>
      <c r="P809">
        <v>53256.36</v>
      </c>
      <c r="Q809">
        <v>3786223.52</v>
      </c>
      <c r="R809">
        <v>0</v>
      </c>
      <c r="S809" s="1" t="s">
        <v>779</v>
      </c>
      <c r="T809" s="1"/>
      <c r="U809">
        <v>44656</v>
      </c>
      <c r="V809">
        <v>0</v>
      </c>
      <c r="W809">
        <v>57508</v>
      </c>
    </row>
    <row r="810" spans="1:23" x14ac:dyDescent="0.25">
      <c r="A810" s="1" t="s">
        <v>27</v>
      </c>
      <c r="B810" s="1" t="s">
        <v>53</v>
      </c>
      <c r="C810" s="1" t="s">
        <v>129</v>
      </c>
      <c r="D810">
        <v>5447</v>
      </c>
      <c r="E810" s="1"/>
      <c r="F810" s="1" t="s">
        <v>269</v>
      </c>
      <c r="G810">
        <v>2014</v>
      </c>
      <c r="H810">
        <v>65634.38</v>
      </c>
      <c r="I810">
        <v>12</v>
      </c>
      <c r="J810" s="1" t="s">
        <v>474</v>
      </c>
      <c r="K810">
        <v>0</v>
      </c>
      <c r="L810">
        <v>480</v>
      </c>
      <c r="M810">
        <v>136.70981</v>
      </c>
      <c r="N810">
        <v>1</v>
      </c>
      <c r="O810" s="1" t="s">
        <v>563</v>
      </c>
      <c r="P810">
        <v>77998.61</v>
      </c>
      <c r="Q810">
        <v>167466.57999999999</v>
      </c>
      <c r="R810">
        <v>1</v>
      </c>
      <c r="S810" s="1" t="s">
        <v>779</v>
      </c>
      <c r="T810" s="1"/>
      <c r="U810">
        <v>1881.18</v>
      </c>
      <c r="V810">
        <v>0</v>
      </c>
      <c r="W810">
        <v>57509</v>
      </c>
    </row>
    <row r="811" spans="1:23" x14ac:dyDescent="0.25">
      <c r="A811" s="1" t="s">
        <v>27</v>
      </c>
      <c r="B811" s="1" t="s">
        <v>53</v>
      </c>
      <c r="C811" s="1" t="s">
        <v>129</v>
      </c>
      <c r="D811">
        <v>5447</v>
      </c>
      <c r="E811" s="1"/>
      <c r="F811" s="1" t="s">
        <v>269</v>
      </c>
      <c r="G811">
        <v>2013</v>
      </c>
      <c r="H811">
        <v>61754.6</v>
      </c>
      <c r="I811">
        <v>12</v>
      </c>
      <c r="J811" s="1" t="s">
        <v>474</v>
      </c>
      <c r="K811">
        <v>0</v>
      </c>
      <c r="L811">
        <v>480</v>
      </c>
      <c r="M811">
        <v>128.62861899999999</v>
      </c>
      <c r="N811">
        <v>1</v>
      </c>
      <c r="O811" s="1" t="s">
        <v>563</v>
      </c>
      <c r="P811">
        <v>72468.649999999994</v>
      </c>
      <c r="Q811">
        <v>384.26</v>
      </c>
      <c r="R811">
        <v>1</v>
      </c>
      <c r="S811" s="1" t="s">
        <v>779</v>
      </c>
      <c r="T811" s="1"/>
      <c r="U811">
        <v>1769.98</v>
      </c>
      <c r="V811">
        <v>0</v>
      </c>
      <c r="W811">
        <v>57509</v>
      </c>
    </row>
    <row r="812" spans="1:23" x14ac:dyDescent="0.25">
      <c r="A812" s="1" t="s">
        <v>27</v>
      </c>
      <c r="B812" s="1" t="s">
        <v>53</v>
      </c>
      <c r="C812" s="1" t="s">
        <v>129</v>
      </c>
      <c r="D812">
        <v>5447</v>
      </c>
      <c r="E812" s="1"/>
      <c r="F812" s="1" t="s">
        <v>269</v>
      </c>
      <c r="G812">
        <v>2013</v>
      </c>
      <c r="H812">
        <v>49588.13</v>
      </c>
      <c r="I812">
        <v>12</v>
      </c>
      <c r="J812" s="1" t="s">
        <v>474</v>
      </c>
      <c r="K812">
        <v>0</v>
      </c>
      <c r="L812">
        <v>480</v>
      </c>
      <c r="M812">
        <v>103.287086</v>
      </c>
      <c r="N812">
        <v>1</v>
      </c>
      <c r="O812" s="1" t="s">
        <v>562</v>
      </c>
      <c r="P812">
        <v>52648.22</v>
      </c>
      <c r="Q812">
        <v>9739.9</v>
      </c>
      <c r="R812">
        <v>0</v>
      </c>
      <c r="S812" s="1" t="s">
        <v>779</v>
      </c>
      <c r="T812" s="1"/>
      <c r="U812">
        <v>49588.13</v>
      </c>
      <c r="V812">
        <v>0</v>
      </c>
      <c r="W812">
        <v>57508</v>
      </c>
    </row>
    <row r="813" spans="1:23" x14ac:dyDescent="0.25">
      <c r="A813" s="1" t="s">
        <v>27</v>
      </c>
      <c r="B813" s="1" t="s">
        <v>53</v>
      </c>
      <c r="C813" s="1" t="s">
        <v>129</v>
      </c>
      <c r="D813">
        <v>5447</v>
      </c>
      <c r="E813" s="1"/>
      <c r="F813" s="1" t="s">
        <v>269</v>
      </c>
      <c r="G813">
        <v>2012</v>
      </c>
      <c r="H813">
        <v>85748.79</v>
      </c>
      <c r="I813">
        <v>12</v>
      </c>
      <c r="J813" s="1" t="s">
        <v>474</v>
      </c>
      <c r="K813">
        <v>0</v>
      </c>
      <c r="L813">
        <v>480</v>
      </c>
      <c r="M813">
        <v>178.60610199999999</v>
      </c>
      <c r="N813">
        <v>1</v>
      </c>
      <c r="O813" s="1" t="s">
        <v>563</v>
      </c>
      <c r="P813">
        <v>90711.54</v>
      </c>
      <c r="Q813">
        <v>480.99</v>
      </c>
      <c r="R813">
        <v>1</v>
      </c>
      <c r="S813" s="1" t="s">
        <v>779</v>
      </c>
      <c r="T813" s="1"/>
      <c r="U813">
        <v>2457.69</v>
      </c>
      <c r="V813">
        <v>0</v>
      </c>
      <c r="W813">
        <v>57509</v>
      </c>
    </row>
    <row r="814" spans="1:23" x14ac:dyDescent="0.25">
      <c r="A814" s="1" t="s">
        <v>27</v>
      </c>
      <c r="B814" s="1" t="s">
        <v>53</v>
      </c>
      <c r="C814" s="1" t="s">
        <v>129</v>
      </c>
      <c r="D814">
        <v>5447</v>
      </c>
      <c r="E814" s="1"/>
      <c r="F814" s="1" t="s">
        <v>269</v>
      </c>
      <c r="G814">
        <v>2012</v>
      </c>
      <c r="H814">
        <v>67154.5</v>
      </c>
      <c r="I814">
        <v>12</v>
      </c>
      <c r="J814" s="1" t="s">
        <v>474</v>
      </c>
      <c r="K814">
        <v>0</v>
      </c>
      <c r="L814">
        <v>480</v>
      </c>
      <c r="M814">
        <v>139.87606700000001</v>
      </c>
      <c r="N814">
        <v>1</v>
      </c>
      <c r="O814" s="1" t="s">
        <v>562</v>
      </c>
      <c r="P814">
        <v>70676.649999999994</v>
      </c>
      <c r="Q814">
        <v>13075.18</v>
      </c>
      <c r="R814">
        <v>0</v>
      </c>
      <c r="S814" s="1" t="s">
        <v>779</v>
      </c>
      <c r="T814" s="1"/>
      <c r="U814">
        <v>67154.5</v>
      </c>
      <c r="V814">
        <v>0</v>
      </c>
      <c r="W814">
        <v>57508</v>
      </c>
    </row>
    <row r="815" spans="1:23" x14ac:dyDescent="0.25">
      <c r="A815" s="1" t="s">
        <v>27</v>
      </c>
      <c r="B815" s="1" t="s">
        <v>53</v>
      </c>
      <c r="C815" s="1" t="s">
        <v>129</v>
      </c>
      <c r="D815">
        <v>5447</v>
      </c>
      <c r="E815" s="1"/>
      <c r="F815" s="1" t="s">
        <v>269</v>
      </c>
      <c r="G815">
        <v>2011</v>
      </c>
      <c r="H815">
        <v>68779.3</v>
      </c>
      <c r="I815">
        <v>12</v>
      </c>
      <c r="J815" s="1" t="s">
        <v>474</v>
      </c>
      <c r="K815">
        <v>0</v>
      </c>
      <c r="L815">
        <v>480</v>
      </c>
      <c r="M815">
        <v>143.26036199999999</v>
      </c>
      <c r="N815">
        <v>1</v>
      </c>
      <c r="O815" s="1" t="s">
        <v>562</v>
      </c>
      <c r="P815">
        <v>75698</v>
      </c>
      <c r="Q815">
        <v>14004.13</v>
      </c>
      <c r="R815">
        <v>0</v>
      </c>
      <c r="S815" s="1" t="s">
        <v>779</v>
      </c>
      <c r="T815" s="1"/>
      <c r="U815">
        <v>68779.3</v>
      </c>
      <c r="V815">
        <v>0</v>
      </c>
      <c r="W815">
        <v>57508</v>
      </c>
    </row>
    <row r="816" spans="1:23" x14ac:dyDescent="0.25">
      <c r="A816" s="1" t="s">
        <v>27</v>
      </c>
      <c r="B816" s="1" t="s">
        <v>53</v>
      </c>
      <c r="C816" s="1" t="s">
        <v>129</v>
      </c>
      <c r="D816">
        <v>5447</v>
      </c>
      <c r="E816" s="1"/>
      <c r="F816" s="1" t="s">
        <v>269</v>
      </c>
      <c r="G816">
        <v>2011</v>
      </c>
      <c r="H816">
        <v>132768.65</v>
      </c>
      <c r="I816">
        <v>12</v>
      </c>
      <c r="J816" s="1" t="s">
        <v>474</v>
      </c>
      <c r="K816">
        <v>0</v>
      </c>
      <c r="L816">
        <v>480</v>
      </c>
      <c r="M816">
        <v>276.54374000000001</v>
      </c>
      <c r="N816">
        <v>1</v>
      </c>
      <c r="O816" s="1" t="s">
        <v>563</v>
      </c>
      <c r="P816">
        <v>149251.75</v>
      </c>
      <c r="Q816">
        <v>791.39</v>
      </c>
      <c r="R816">
        <v>1</v>
      </c>
      <c r="S816" s="1" t="s">
        <v>779</v>
      </c>
      <c r="T816" s="1"/>
      <c r="U816">
        <v>3805.35</v>
      </c>
      <c r="V816">
        <v>0</v>
      </c>
      <c r="W816">
        <v>57509</v>
      </c>
    </row>
    <row r="817" spans="1:23" x14ac:dyDescent="0.25">
      <c r="A817" s="1" t="s">
        <v>27</v>
      </c>
      <c r="B817" s="1" t="s">
        <v>53</v>
      </c>
      <c r="C817" s="1" t="s">
        <v>129</v>
      </c>
      <c r="D817">
        <v>5447</v>
      </c>
      <c r="E817" s="1"/>
      <c r="F817" s="1" t="s">
        <v>269</v>
      </c>
      <c r="G817">
        <v>2010</v>
      </c>
      <c r="H817">
        <v>63711.199999999997</v>
      </c>
      <c r="I817">
        <v>12</v>
      </c>
      <c r="J817" s="1" t="s">
        <v>474</v>
      </c>
      <c r="K817">
        <v>0</v>
      </c>
      <c r="L817">
        <v>480</v>
      </c>
      <c r="M817">
        <v>132.70401899999999</v>
      </c>
      <c r="N817">
        <v>1</v>
      </c>
      <c r="O817" s="1" t="s">
        <v>562</v>
      </c>
      <c r="P817">
        <v>58285.63</v>
      </c>
      <c r="Q817">
        <v>10782.85</v>
      </c>
      <c r="R817">
        <v>0</v>
      </c>
      <c r="S817" s="1" t="s">
        <v>779</v>
      </c>
      <c r="T817" s="1"/>
      <c r="U817">
        <v>63711.197</v>
      </c>
      <c r="V817">
        <v>0</v>
      </c>
      <c r="W817">
        <v>57508</v>
      </c>
    </row>
    <row r="818" spans="1:23" x14ac:dyDescent="0.25">
      <c r="A818" s="1" t="s">
        <v>27</v>
      </c>
      <c r="B818" s="1" t="s">
        <v>53</v>
      </c>
      <c r="C818" s="1" t="s">
        <v>129</v>
      </c>
      <c r="D818">
        <v>5447</v>
      </c>
      <c r="E818" s="1"/>
      <c r="F818" s="1" t="s">
        <v>269</v>
      </c>
      <c r="G818">
        <v>2010</v>
      </c>
      <c r="H818">
        <v>115538.94</v>
      </c>
      <c r="I818">
        <v>12</v>
      </c>
      <c r="J818" s="1" t="s">
        <v>474</v>
      </c>
      <c r="K818">
        <v>0</v>
      </c>
      <c r="L818">
        <v>480</v>
      </c>
      <c r="M818">
        <v>240.65598800000001</v>
      </c>
      <c r="N818">
        <v>1</v>
      </c>
      <c r="O818" s="1" t="s">
        <v>563</v>
      </c>
      <c r="P818">
        <v>140997.62</v>
      </c>
      <c r="Q818">
        <v>747.62</v>
      </c>
      <c r="R818">
        <v>1</v>
      </c>
      <c r="S818" s="1" t="s">
        <v>779</v>
      </c>
      <c r="T818" s="1"/>
      <c r="U818">
        <v>3311.52</v>
      </c>
      <c r="V818">
        <v>0</v>
      </c>
      <c r="W818">
        <v>57509</v>
      </c>
    </row>
    <row r="819" spans="1:23" x14ac:dyDescent="0.25">
      <c r="A819" s="1" t="s">
        <v>27</v>
      </c>
      <c r="B819" s="1" t="s">
        <v>53</v>
      </c>
      <c r="C819" s="1" t="s">
        <v>129</v>
      </c>
      <c r="D819">
        <v>5447</v>
      </c>
      <c r="E819" s="1"/>
      <c r="F819" s="1" t="s">
        <v>269</v>
      </c>
      <c r="G819">
        <v>2009</v>
      </c>
      <c r="H819">
        <v>51270</v>
      </c>
      <c r="I819">
        <v>12</v>
      </c>
      <c r="J819" s="1" t="s">
        <v>474</v>
      </c>
      <c r="K819">
        <v>0</v>
      </c>
      <c r="L819">
        <v>480</v>
      </c>
      <c r="M819">
        <v>106.790252</v>
      </c>
      <c r="N819">
        <v>1</v>
      </c>
      <c r="O819" s="1" t="s">
        <v>562</v>
      </c>
      <c r="P819">
        <v>54463.07</v>
      </c>
      <c r="Q819">
        <v>10075.68</v>
      </c>
      <c r="R819">
        <v>0</v>
      </c>
      <c r="S819" s="1" t="s">
        <v>779</v>
      </c>
      <c r="T819" s="1"/>
      <c r="U819">
        <v>51270</v>
      </c>
      <c r="V819">
        <v>0</v>
      </c>
      <c r="W819">
        <v>57508</v>
      </c>
    </row>
    <row r="820" spans="1:23" x14ac:dyDescent="0.25">
      <c r="A820" s="1" t="s">
        <v>27</v>
      </c>
      <c r="B820" s="1" t="s">
        <v>53</v>
      </c>
      <c r="C820" s="1" t="s">
        <v>129</v>
      </c>
      <c r="D820">
        <v>5447</v>
      </c>
      <c r="E820" s="1"/>
      <c r="F820" s="1" t="s">
        <v>269</v>
      </c>
      <c r="G820">
        <v>2009</v>
      </c>
      <c r="H820">
        <v>104041.28</v>
      </c>
      <c r="I820">
        <v>12</v>
      </c>
      <c r="J820" s="1" t="s">
        <v>474</v>
      </c>
      <c r="K820">
        <v>0</v>
      </c>
      <c r="L820">
        <v>480</v>
      </c>
      <c r="M820">
        <v>216.70751899999999</v>
      </c>
      <c r="N820">
        <v>1</v>
      </c>
      <c r="O820" s="1" t="s">
        <v>563</v>
      </c>
      <c r="P820">
        <v>142718.74</v>
      </c>
      <c r="Q820">
        <v>756.76</v>
      </c>
      <c r="R820">
        <v>1</v>
      </c>
      <c r="S820" s="1" t="s">
        <v>779</v>
      </c>
      <c r="T820" s="1"/>
      <c r="U820">
        <v>2981.98</v>
      </c>
      <c r="V820">
        <v>0</v>
      </c>
      <c r="W820">
        <v>57509</v>
      </c>
    </row>
    <row r="821" spans="1:23" x14ac:dyDescent="0.25">
      <c r="A821" s="1" t="s">
        <v>27</v>
      </c>
      <c r="B821" s="1" t="s">
        <v>53</v>
      </c>
      <c r="C821" s="1" t="s">
        <v>129</v>
      </c>
      <c r="D821">
        <v>5447</v>
      </c>
      <c r="E821" s="1"/>
      <c r="F821" s="1" t="s">
        <v>269</v>
      </c>
      <c r="G821">
        <v>2008</v>
      </c>
      <c r="H821">
        <v>90750.29</v>
      </c>
      <c r="I821">
        <v>12</v>
      </c>
      <c r="J821" s="1" t="s">
        <v>474</v>
      </c>
      <c r="K821">
        <v>0</v>
      </c>
      <c r="L821">
        <v>480</v>
      </c>
      <c r="M821">
        <v>189.02372399999999</v>
      </c>
      <c r="N821">
        <v>1</v>
      </c>
      <c r="O821" s="1" t="s">
        <v>563</v>
      </c>
      <c r="P821">
        <v>111910.81</v>
      </c>
      <c r="Q821">
        <v>593.39</v>
      </c>
      <c r="R821">
        <v>1</v>
      </c>
      <c r="S821" s="1" t="s">
        <v>779</v>
      </c>
      <c r="T821" s="1"/>
      <c r="U821">
        <v>2601.04</v>
      </c>
      <c r="V821">
        <v>0</v>
      </c>
      <c r="W821">
        <v>57509</v>
      </c>
    </row>
    <row r="822" spans="1:23" x14ac:dyDescent="0.25">
      <c r="A822" s="1" t="s">
        <v>27</v>
      </c>
      <c r="B822" s="1" t="s">
        <v>53</v>
      </c>
      <c r="C822" s="1" t="s">
        <v>129</v>
      </c>
      <c r="D822">
        <v>5447</v>
      </c>
      <c r="E822" s="1"/>
      <c r="F822" s="1" t="s">
        <v>269</v>
      </c>
      <c r="G822">
        <v>2008</v>
      </c>
      <c r="H822">
        <v>48162</v>
      </c>
      <c r="I822">
        <v>12</v>
      </c>
      <c r="J822" s="1" t="s">
        <v>474</v>
      </c>
      <c r="K822">
        <v>0</v>
      </c>
      <c r="L822">
        <v>480</v>
      </c>
      <c r="M822">
        <v>100.31659999999999</v>
      </c>
      <c r="N822">
        <v>1</v>
      </c>
      <c r="O822" s="1" t="s">
        <v>562</v>
      </c>
      <c r="P822">
        <v>55004.88</v>
      </c>
      <c r="Q822">
        <v>10175.9</v>
      </c>
      <c r="R822">
        <v>0</v>
      </c>
      <c r="S822" s="1" t="s">
        <v>779</v>
      </c>
      <c r="T822" s="1"/>
      <c r="U822">
        <v>48162</v>
      </c>
      <c r="V822">
        <v>0</v>
      </c>
      <c r="W822">
        <v>57508</v>
      </c>
    </row>
    <row r="823" spans="1:23" x14ac:dyDescent="0.25">
      <c r="A823" s="1" t="s">
        <v>27</v>
      </c>
      <c r="B823" s="1" t="s">
        <v>58</v>
      </c>
      <c r="C823" s="1" t="s">
        <v>130</v>
      </c>
      <c r="D823">
        <v>5272</v>
      </c>
      <c r="E823" s="1"/>
      <c r="F823" s="1" t="s">
        <v>270</v>
      </c>
      <c r="G823">
        <v>2015</v>
      </c>
      <c r="H823">
        <v>42302.03</v>
      </c>
      <c r="I823">
        <v>5</v>
      </c>
      <c r="J823" s="1" t="s">
        <v>475</v>
      </c>
      <c r="K823">
        <v>0</v>
      </c>
      <c r="L823">
        <v>541</v>
      </c>
      <c r="M823">
        <v>78.177841000000001</v>
      </c>
      <c r="N823">
        <v>1</v>
      </c>
      <c r="O823" s="1" t="s">
        <v>563</v>
      </c>
      <c r="P823">
        <v>46963.7</v>
      </c>
      <c r="Q823">
        <v>249019.33</v>
      </c>
      <c r="R823">
        <v>1</v>
      </c>
      <c r="S823" s="1" t="s">
        <v>780</v>
      </c>
      <c r="T823" s="1"/>
      <c r="U823">
        <v>1212.4399000000001</v>
      </c>
      <c r="V823">
        <v>0</v>
      </c>
      <c r="W823">
        <v>57003</v>
      </c>
    </row>
    <row r="824" spans="1:23" x14ac:dyDescent="0.25">
      <c r="A824" s="1" t="s">
        <v>27</v>
      </c>
      <c r="B824" s="1" t="s">
        <v>58</v>
      </c>
      <c r="C824" s="1" t="s">
        <v>130</v>
      </c>
      <c r="D824">
        <v>5272</v>
      </c>
      <c r="E824" s="1"/>
      <c r="F824" s="1" t="s">
        <v>270</v>
      </c>
      <c r="G824">
        <v>2015</v>
      </c>
      <c r="H824">
        <v>46905.01</v>
      </c>
      <c r="I824">
        <v>5</v>
      </c>
      <c r="J824" s="1" t="s">
        <v>475</v>
      </c>
      <c r="K824">
        <v>0</v>
      </c>
      <c r="L824">
        <v>541</v>
      </c>
      <c r="M824">
        <v>86.684549000000004</v>
      </c>
      <c r="N824">
        <v>1</v>
      </c>
      <c r="O824" s="1" t="s">
        <v>562</v>
      </c>
      <c r="P824">
        <v>52157.84</v>
      </c>
      <c r="Q824">
        <v>9649200.4000000004</v>
      </c>
      <c r="R824">
        <v>0</v>
      </c>
      <c r="S824" s="1" t="s">
        <v>780</v>
      </c>
      <c r="T824" s="1"/>
      <c r="U824">
        <v>46905.004000000001</v>
      </c>
      <c r="V824">
        <v>0</v>
      </c>
      <c r="W824">
        <v>56837</v>
      </c>
    </row>
    <row r="825" spans="1:23" x14ac:dyDescent="0.25">
      <c r="A825" s="1" t="s">
        <v>27</v>
      </c>
      <c r="B825" s="1" t="s">
        <v>58</v>
      </c>
      <c r="C825" s="1" t="s">
        <v>130</v>
      </c>
      <c r="D825">
        <v>5272</v>
      </c>
      <c r="E825" s="1"/>
      <c r="F825" s="1" t="s">
        <v>270</v>
      </c>
      <c r="G825">
        <v>2014</v>
      </c>
      <c r="H825">
        <v>83581.440000000002</v>
      </c>
      <c r="I825">
        <v>12</v>
      </c>
      <c r="J825" s="1" t="s">
        <v>475</v>
      </c>
      <c r="K825">
        <v>0</v>
      </c>
      <c r="L825">
        <v>541</v>
      </c>
      <c r="M825">
        <v>154.465791</v>
      </c>
      <c r="N825">
        <v>1</v>
      </c>
      <c r="O825" s="1" t="s">
        <v>563</v>
      </c>
      <c r="P825">
        <v>98992.67</v>
      </c>
      <c r="Q825">
        <v>231544.76</v>
      </c>
      <c r="R825">
        <v>1</v>
      </c>
      <c r="S825" s="1" t="s">
        <v>780</v>
      </c>
      <c r="T825" s="1"/>
      <c r="U825">
        <v>2395.5700000000002</v>
      </c>
      <c r="V825">
        <v>0</v>
      </c>
      <c r="W825">
        <v>57003</v>
      </c>
    </row>
    <row r="826" spans="1:23" x14ac:dyDescent="0.25">
      <c r="A826" s="1" t="s">
        <v>27</v>
      </c>
      <c r="B826" s="1" t="s">
        <v>58</v>
      </c>
      <c r="C826" s="1" t="s">
        <v>130</v>
      </c>
      <c r="D826">
        <v>5272</v>
      </c>
      <c r="E826" s="1"/>
      <c r="F826" s="1" t="s">
        <v>270</v>
      </c>
      <c r="G826">
        <v>2014</v>
      </c>
      <c r="H826">
        <v>88417</v>
      </c>
      <c r="I826">
        <v>12</v>
      </c>
      <c r="J826" s="1" t="s">
        <v>475</v>
      </c>
      <c r="K826">
        <v>0</v>
      </c>
      <c r="L826">
        <v>541</v>
      </c>
      <c r="M826">
        <v>163.40232800000001</v>
      </c>
      <c r="N826">
        <v>1</v>
      </c>
      <c r="O826" s="1" t="s">
        <v>562</v>
      </c>
      <c r="P826">
        <v>105831.62</v>
      </c>
      <c r="Q826">
        <v>8330779.6299999999</v>
      </c>
      <c r="R826">
        <v>0</v>
      </c>
      <c r="S826" s="1" t="s">
        <v>780</v>
      </c>
      <c r="T826" s="1"/>
      <c r="U826">
        <v>88417</v>
      </c>
      <c r="V826">
        <v>0</v>
      </c>
      <c r="W826">
        <v>56837</v>
      </c>
    </row>
    <row r="827" spans="1:23" x14ac:dyDescent="0.25">
      <c r="A827" s="1" t="s">
        <v>27</v>
      </c>
      <c r="B827" s="1" t="s">
        <v>58</v>
      </c>
      <c r="C827" s="1" t="s">
        <v>130</v>
      </c>
      <c r="D827">
        <v>5272</v>
      </c>
      <c r="E827" s="1"/>
      <c r="F827" s="1" t="s">
        <v>270</v>
      </c>
      <c r="G827">
        <v>2013</v>
      </c>
      <c r="H827">
        <v>110109.34</v>
      </c>
      <c r="I827">
        <v>12</v>
      </c>
      <c r="J827" s="1" t="s">
        <v>475</v>
      </c>
      <c r="K827">
        <v>0</v>
      </c>
      <c r="L827">
        <v>541</v>
      </c>
      <c r="M827">
        <v>203.49166500000001</v>
      </c>
      <c r="N827">
        <v>1</v>
      </c>
      <c r="O827" s="1" t="s">
        <v>563</v>
      </c>
      <c r="P827">
        <v>117004.46</v>
      </c>
      <c r="Q827">
        <v>620.38</v>
      </c>
      <c r="R827">
        <v>1</v>
      </c>
      <c r="S827" s="1" t="s">
        <v>780</v>
      </c>
      <c r="T827" s="1"/>
      <c r="U827">
        <v>3155.8999800000001</v>
      </c>
      <c r="V827">
        <v>0</v>
      </c>
      <c r="W827">
        <v>57003</v>
      </c>
    </row>
    <row r="828" spans="1:23" x14ac:dyDescent="0.25">
      <c r="A828" s="1" t="s">
        <v>27</v>
      </c>
      <c r="B828" s="1" t="s">
        <v>58</v>
      </c>
      <c r="C828" s="1" t="s">
        <v>130</v>
      </c>
      <c r="D828">
        <v>5272</v>
      </c>
      <c r="E828" s="1"/>
      <c r="F828" s="1" t="s">
        <v>270</v>
      </c>
      <c r="G828">
        <v>2013</v>
      </c>
      <c r="H828">
        <v>91957</v>
      </c>
      <c r="I828">
        <v>12</v>
      </c>
      <c r="J828" s="1" t="s">
        <v>475</v>
      </c>
      <c r="K828">
        <v>0</v>
      </c>
      <c r="L828">
        <v>541</v>
      </c>
      <c r="M828">
        <v>169.944557</v>
      </c>
      <c r="N828">
        <v>1</v>
      </c>
      <c r="O828" s="1" t="s">
        <v>562</v>
      </c>
      <c r="P828">
        <v>95565.3</v>
      </c>
      <c r="Q828">
        <v>17679.580000000002</v>
      </c>
      <c r="R828">
        <v>0</v>
      </c>
      <c r="S828" s="1" t="s">
        <v>780</v>
      </c>
      <c r="T828" s="1"/>
      <c r="U828">
        <v>91956.999819999997</v>
      </c>
      <c r="V828">
        <v>0</v>
      </c>
      <c r="W828">
        <v>56837</v>
      </c>
    </row>
    <row r="829" spans="1:23" x14ac:dyDescent="0.25">
      <c r="A829" s="1" t="s">
        <v>27</v>
      </c>
      <c r="B829" s="1" t="s">
        <v>58</v>
      </c>
      <c r="C829" s="1" t="s">
        <v>130</v>
      </c>
      <c r="D829">
        <v>5272</v>
      </c>
      <c r="E829" s="1"/>
      <c r="F829" s="1" t="s">
        <v>270</v>
      </c>
      <c r="G829">
        <v>2012</v>
      </c>
      <c r="H829">
        <v>93801</v>
      </c>
      <c r="I829">
        <v>12</v>
      </c>
      <c r="J829" s="1" t="s">
        <v>475</v>
      </c>
      <c r="K829">
        <v>0</v>
      </c>
      <c r="L829">
        <v>541</v>
      </c>
      <c r="M829">
        <v>173.35243</v>
      </c>
      <c r="N829">
        <v>1</v>
      </c>
      <c r="O829" s="1" t="s">
        <v>562</v>
      </c>
      <c r="P829">
        <v>98043.87</v>
      </c>
      <c r="Q829">
        <v>18138.099999999999</v>
      </c>
      <c r="R829">
        <v>0</v>
      </c>
      <c r="S829" s="1" t="s">
        <v>780</v>
      </c>
      <c r="T829" s="1"/>
      <c r="U829">
        <v>93801</v>
      </c>
      <c r="V829">
        <v>0</v>
      </c>
      <c r="W829">
        <v>56837</v>
      </c>
    </row>
    <row r="830" spans="1:23" x14ac:dyDescent="0.25">
      <c r="A830" s="1" t="s">
        <v>27</v>
      </c>
      <c r="B830" s="1" t="s">
        <v>58</v>
      </c>
      <c r="C830" s="1" t="s">
        <v>130</v>
      </c>
      <c r="D830">
        <v>5272</v>
      </c>
      <c r="E830" s="1"/>
      <c r="F830" s="1" t="s">
        <v>270</v>
      </c>
      <c r="G830">
        <v>2012</v>
      </c>
      <c r="H830">
        <v>113767.9</v>
      </c>
      <c r="I830">
        <v>12</v>
      </c>
      <c r="J830" s="1" t="s">
        <v>475</v>
      </c>
      <c r="K830">
        <v>0</v>
      </c>
      <c r="L830">
        <v>541</v>
      </c>
      <c r="M830">
        <v>210.25300300000001</v>
      </c>
      <c r="N830">
        <v>1</v>
      </c>
      <c r="O830" s="1" t="s">
        <v>563</v>
      </c>
      <c r="P830">
        <v>120903.84</v>
      </c>
      <c r="Q830">
        <v>641.07000000000005</v>
      </c>
      <c r="R830">
        <v>1</v>
      </c>
      <c r="S830" s="1" t="s">
        <v>780</v>
      </c>
      <c r="T830" s="1"/>
      <c r="U830">
        <v>3260.76</v>
      </c>
      <c r="V830">
        <v>0</v>
      </c>
      <c r="W830">
        <v>57003</v>
      </c>
    </row>
    <row r="831" spans="1:23" x14ac:dyDescent="0.25">
      <c r="A831" s="1" t="s">
        <v>27</v>
      </c>
      <c r="B831" s="1" t="s">
        <v>58</v>
      </c>
      <c r="C831" s="1" t="s">
        <v>130</v>
      </c>
      <c r="D831">
        <v>5272</v>
      </c>
      <c r="E831" s="1"/>
      <c r="F831" s="1" t="s">
        <v>270</v>
      </c>
      <c r="G831">
        <v>2011</v>
      </c>
      <c r="H831">
        <v>91077.01</v>
      </c>
      <c r="I831">
        <v>12</v>
      </c>
      <c r="J831" s="1" t="s">
        <v>475</v>
      </c>
      <c r="K831">
        <v>0</v>
      </c>
      <c r="L831">
        <v>541</v>
      </c>
      <c r="M831">
        <v>168.31825900000001</v>
      </c>
      <c r="N831">
        <v>1</v>
      </c>
      <c r="O831" s="1" t="s">
        <v>562</v>
      </c>
      <c r="P831">
        <v>99421.62</v>
      </c>
      <c r="Q831">
        <v>18392.990000000002</v>
      </c>
      <c r="R831">
        <v>0</v>
      </c>
      <c r="S831" s="1" t="s">
        <v>780</v>
      </c>
      <c r="T831" s="1"/>
      <c r="U831">
        <v>91077.004000000001</v>
      </c>
      <c r="V831">
        <v>0</v>
      </c>
      <c r="W831">
        <v>56837</v>
      </c>
    </row>
    <row r="832" spans="1:23" x14ac:dyDescent="0.25">
      <c r="A832" s="1" t="s">
        <v>27</v>
      </c>
      <c r="B832" s="1" t="s">
        <v>58</v>
      </c>
      <c r="C832" s="1" t="s">
        <v>130</v>
      </c>
      <c r="D832">
        <v>5272</v>
      </c>
      <c r="E832" s="1"/>
      <c r="F832" s="1" t="s">
        <v>270</v>
      </c>
      <c r="G832">
        <v>2011</v>
      </c>
      <c r="H832">
        <v>97512.67</v>
      </c>
      <c r="I832">
        <v>12</v>
      </c>
      <c r="J832" s="1" t="s">
        <v>475</v>
      </c>
      <c r="K832">
        <v>0</v>
      </c>
      <c r="L832">
        <v>541</v>
      </c>
      <c r="M832">
        <v>180.21191999999999</v>
      </c>
      <c r="N832">
        <v>1</v>
      </c>
      <c r="O832" s="1" t="s">
        <v>563</v>
      </c>
      <c r="P832">
        <v>107318.55</v>
      </c>
      <c r="Q832">
        <v>569.03</v>
      </c>
      <c r="R832">
        <v>1</v>
      </c>
      <c r="S832" s="1" t="s">
        <v>780</v>
      </c>
      <c r="T832" s="1"/>
      <c r="U832">
        <v>2794.8599899999999</v>
      </c>
      <c r="V832">
        <v>0</v>
      </c>
      <c r="W832">
        <v>57003</v>
      </c>
    </row>
    <row r="833" spans="1:23" x14ac:dyDescent="0.25">
      <c r="A833" s="1" t="s">
        <v>27</v>
      </c>
      <c r="B833" s="1" t="s">
        <v>58</v>
      </c>
      <c r="C833" s="1" t="s">
        <v>130</v>
      </c>
      <c r="D833">
        <v>5272</v>
      </c>
      <c r="E833" s="1"/>
      <c r="F833" s="1" t="s">
        <v>270</v>
      </c>
      <c r="G833">
        <v>2010</v>
      </c>
      <c r="H833">
        <v>113056</v>
      </c>
      <c r="I833">
        <v>12</v>
      </c>
      <c r="J833" s="1" t="s">
        <v>475</v>
      </c>
      <c r="K833">
        <v>0</v>
      </c>
      <c r="L833">
        <v>541</v>
      </c>
      <c r="M833">
        <v>208.93734900000001</v>
      </c>
      <c r="N833">
        <v>1</v>
      </c>
      <c r="O833" s="1" t="s">
        <v>562</v>
      </c>
      <c r="P833">
        <v>103526.73</v>
      </c>
      <c r="Q833">
        <v>19152.439999999999</v>
      </c>
      <c r="R833">
        <v>0</v>
      </c>
      <c r="S833" s="1" t="s">
        <v>780</v>
      </c>
      <c r="T833" s="1"/>
      <c r="U833">
        <v>113056</v>
      </c>
      <c r="V833">
        <v>0</v>
      </c>
      <c r="W833">
        <v>56837</v>
      </c>
    </row>
    <row r="834" spans="1:23" x14ac:dyDescent="0.25">
      <c r="A834" s="1" t="s">
        <v>27</v>
      </c>
      <c r="B834" s="1" t="s">
        <v>58</v>
      </c>
      <c r="C834" s="1" t="s">
        <v>130</v>
      </c>
      <c r="D834">
        <v>5272</v>
      </c>
      <c r="E834" s="1"/>
      <c r="F834" s="1" t="s">
        <v>270</v>
      </c>
      <c r="G834">
        <v>2010</v>
      </c>
      <c r="H834">
        <v>121793.67</v>
      </c>
      <c r="I834">
        <v>12</v>
      </c>
      <c r="J834" s="1" t="s">
        <v>475</v>
      </c>
      <c r="K834">
        <v>0</v>
      </c>
      <c r="L834">
        <v>541</v>
      </c>
      <c r="M834">
        <v>225.08532600000001</v>
      </c>
      <c r="N834">
        <v>1</v>
      </c>
      <c r="O834" s="1" t="s">
        <v>563</v>
      </c>
      <c r="P834">
        <v>113781.34</v>
      </c>
      <c r="Q834">
        <v>603.32000000000005</v>
      </c>
      <c r="R834">
        <v>1</v>
      </c>
      <c r="S834" s="1" t="s">
        <v>780</v>
      </c>
      <c r="T834" s="1"/>
      <c r="U834">
        <v>3490.79</v>
      </c>
      <c r="V834">
        <v>0</v>
      </c>
      <c r="W834">
        <v>57003</v>
      </c>
    </row>
    <row r="835" spans="1:23" x14ac:dyDescent="0.25">
      <c r="A835" s="1" t="s">
        <v>27</v>
      </c>
      <c r="B835" s="1" t="s">
        <v>58</v>
      </c>
      <c r="C835" s="1" t="s">
        <v>130</v>
      </c>
      <c r="D835">
        <v>5272</v>
      </c>
      <c r="E835" s="1"/>
      <c r="F835" s="1" t="s">
        <v>270</v>
      </c>
      <c r="G835">
        <v>2009</v>
      </c>
      <c r="H835">
        <v>105672</v>
      </c>
      <c r="I835">
        <v>12</v>
      </c>
      <c r="J835" s="1" t="s">
        <v>475</v>
      </c>
      <c r="K835">
        <v>0</v>
      </c>
      <c r="L835">
        <v>541</v>
      </c>
      <c r="M835">
        <v>195.29107300000001</v>
      </c>
      <c r="N835">
        <v>1</v>
      </c>
      <c r="O835" s="1" t="s">
        <v>562</v>
      </c>
      <c r="P835">
        <v>112504.87</v>
      </c>
      <c r="Q835">
        <v>20813.400000000001</v>
      </c>
      <c r="R835">
        <v>0</v>
      </c>
      <c r="S835" s="1" t="s">
        <v>780</v>
      </c>
      <c r="T835" s="1"/>
      <c r="U835">
        <v>105672</v>
      </c>
      <c r="V835">
        <v>0</v>
      </c>
      <c r="W835">
        <v>56837</v>
      </c>
    </row>
    <row r="836" spans="1:23" x14ac:dyDescent="0.25">
      <c r="A836" s="1" t="s">
        <v>27</v>
      </c>
      <c r="B836" s="1" t="s">
        <v>58</v>
      </c>
      <c r="C836" s="1" t="s">
        <v>130</v>
      </c>
      <c r="D836">
        <v>5272</v>
      </c>
      <c r="E836" s="1"/>
      <c r="F836" s="1" t="s">
        <v>270</v>
      </c>
      <c r="G836">
        <v>2009</v>
      </c>
      <c r="H836">
        <v>113498.22</v>
      </c>
      <c r="I836">
        <v>12</v>
      </c>
      <c r="J836" s="1" t="s">
        <v>475</v>
      </c>
      <c r="K836">
        <v>0</v>
      </c>
      <c r="L836">
        <v>541</v>
      </c>
      <c r="M836">
        <v>209.75461000000001</v>
      </c>
      <c r="N836">
        <v>1</v>
      </c>
      <c r="O836" s="1" t="s">
        <v>563</v>
      </c>
      <c r="P836">
        <v>131592.32000000001</v>
      </c>
      <c r="Q836">
        <v>697.78</v>
      </c>
      <c r="R836">
        <v>1</v>
      </c>
      <c r="S836" s="1" t="s">
        <v>780</v>
      </c>
      <c r="T836" s="1"/>
      <c r="U836">
        <v>3253.03</v>
      </c>
      <c r="V836">
        <v>0</v>
      </c>
      <c r="W836">
        <v>57003</v>
      </c>
    </row>
    <row r="837" spans="1:23" x14ac:dyDescent="0.25">
      <c r="A837" s="1" t="s">
        <v>27</v>
      </c>
      <c r="B837" s="1" t="s">
        <v>58</v>
      </c>
      <c r="C837" s="1" t="s">
        <v>130</v>
      </c>
      <c r="D837">
        <v>5272</v>
      </c>
      <c r="E837" s="1"/>
      <c r="F837" s="1" t="s">
        <v>270</v>
      </c>
      <c r="G837">
        <v>2008</v>
      </c>
      <c r="H837">
        <v>85597</v>
      </c>
      <c r="I837">
        <v>12</v>
      </c>
      <c r="J837" s="1" t="s">
        <v>475</v>
      </c>
      <c r="K837">
        <v>0</v>
      </c>
      <c r="L837">
        <v>541</v>
      </c>
      <c r="M837">
        <v>158.19072199999999</v>
      </c>
      <c r="N837">
        <v>1</v>
      </c>
      <c r="O837" s="1" t="s">
        <v>562</v>
      </c>
      <c r="P837">
        <v>96841.81</v>
      </c>
      <c r="Q837">
        <v>17915.740000000002</v>
      </c>
      <c r="R837">
        <v>0</v>
      </c>
      <c r="S837" s="1" t="s">
        <v>780</v>
      </c>
      <c r="T837" s="1"/>
      <c r="U837">
        <v>85597</v>
      </c>
      <c r="V837">
        <v>0</v>
      </c>
      <c r="W837">
        <v>56837</v>
      </c>
    </row>
    <row r="838" spans="1:23" x14ac:dyDescent="0.25">
      <c r="A838" s="1" t="s">
        <v>27</v>
      </c>
      <c r="B838" s="1" t="s">
        <v>58</v>
      </c>
      <c r="C838" s="1" t="s">
        <v>130</v>
      </c>
      <c r="D838">
        <v>5272</v>
      </c>
      <c r="E838" s="1"/>
      <c r="F838" s="1" t="s">
        <v>270</v>
      </c>
      <c r="G838">
        <v>2008</v>
      </c>
      <c r="H838">
        <v>95901.79</v>
      </c>
      <c r="I838">
        <v>12</v>
      </c>
      <c r="J838" s="1" t="s">
        <v>475</v>
      </c>
      <c r="K838">
        <v>0</v>
      </c>
      <c r="L838">
        <v>541</v>
      </c>
      <c r="M838">
        <v>177.23487299999999</v>
      </c>
      <c r="N838">
        <v>1</v>
      </c>
      <c r="O838" s="1" t="s">
        <v>563</v>
      </c>
      <c r="P838">
        <v>111928.26</v>
      </c>
      <c r="Q838">
        <v>593.48</v>
      </c>
      <c r="R838">
        <v>1</v>
      </c>
      <c r="S838" s="1" t="s">
        <v>780</v>
      </c>
      <c r="T838" s="1"/>
      <c r="U838">
        <v>2748.69</v>
      </c>
      <c r="V838">
        <v>0</v>
      </c>
      <c r="W838">
        <v>57003</v>
      </c>
    </row>
    <row r="839" spans="1:23" x14ac:dyDescent="0.25">
      <c r="A839" s="1" t="s">
        <v>27</v>
      </c>
      <c r="B839" s="1"/>
      <c r="C839" s="1" t="s">
        <v>131</v>
      </c>
      <c r="D839">
        <v>9952</v>
      </c>
      <c r="E839" s="1"/>
      <c r="F839" s="1" t="s">
        <v>271</v>
      </c>
      <c r="G839">
        <v>2015</v>
      </c>
      <c r="H839">
        <v>22240</v>
      </c>
      <c r="I839">
        <v>5</v>
      </c>
      <c r="J839" s="1" t="s">
        <v>405</v>
      </c>
      <c r="K839">
        <v>0</v>
      </c>
      <c r="L839">
        <v>473</v>
      </c>
      <c r="M839">
        <v>47.009087999999998</v>
      </c>
      <c r="N839">
        <v>1</v>
      </c>
      <c r="O839" s="1" t="s">
        <v>562</v>
      </c>
      <c r="P839">
        <v>24926.61</v>
      </c>
      <c r="Q839">
        <v>1595.3</v>
      </c>
      <c r="R839">
        <v>0</v>
      </c>
      <c r="S839" s="1" t="s">
        <v>781</v>
      </c>
      <c r="T839" s="1"/>
      <c r="U839">
        <v>22240</v>
      </c>
      <c r="V839">
        <v>0</v>
      </c>
      <c r="W839">
        <v>76307</v>
      </c>
    </row>
    <row r="840" spans="1:23" x14ac:dyDescent="0.25">
      <c r="A840" s="1" t="s">
        <v>27</v>
      </c>
      <c r="B840" s="1"/>
      <c r="C840" s="1" t="s">
        <v>131</v>
      </c>
      <c r="D840">
        <v>9952</v>
      </c>
      <c r="E840" s="1"/>
      <c r="F840" s="1" t="s">
        <v>271</v>
      </c>
      <c r="G840">
        <v>2014</v>
      </c>
      <c r="H840">
        <v>32550</v>
      </c>
      <c r="I840">
        <v>12</v>
      </c>
      <c r="J840" s="1" t="s">
        <v>405</v>
      </c>
      <c r="K840">
        <v>0</v>
      </c>
      <c r="L840">
        <v>473</v>
      </c>
      <c r="M840">
        <v>68.801520999999994</v>
      </c>
      <c r="N840">
        <v>1</v>
      </c>
      <c r="O840" s="1" t="s">
        <v>562</v>
      </c>
      <c r="P840">
        <v>38840.92</v>
      </c>
      <c r="Q840">
        <v>2485.81</v>
      </c>
      <c r="R840">
        <v>0</v>
      </c>
      <c r="S840" s="1" t="s">
        <v>781</v>
      </c>
      <c r="T840" s="1"/>
      <c r="U840">
        <v>32550</v>
      </c>
      <c r="V840">
        <v>0</v>
      </c>
      <c r="W840">
        <v>76307</v>
      </c>
    </row>
    <row r="841" spans="1:23" x14ac:dyDescent="0.25">
      <c r="A841" s="1" t="s">
        <v>27</v>
      </c>
      <c r="B841" s="1"/>
      <c r="C841" s="1" t="s">
        <v>131</v>
      </c>
      <c r="D841">
        <v>9952</v>
      </c>
      <c r="E841" s="1"/>
      <c r="F841" s="1" t="s">
        <v>271</v>
      </c>
      <c r="G841">
        <v>2013</v>
      </c>
      <c r="H841">
        <v>40177</v>
      </c>
      <c r="I841">
        <v>12</v>
      </c>
      <c r="J841" s="1" t="s">
        <v>405</v>
      </c>
      <c r="K841">
        <v>0</v>
      </c>
      <c r="L841">
        <v>473</v>
      </c>
      <c r="M841">
        <v>84.922848999999999</v>
      </c>
      <c r="N841">
        <v>1</v>
      </c>
      <c r="O841" s="1" t="s">
        <v>562</v>
      </c>
      <c r="P841">
        <v>42025.16</v>
      </c>
      <c r="Q841">
        <v>2689.62</v>
      </c>
      <c r="R841">
        <v>0</v>
      </c>
      <c r="S841" s="1" t="s">
        <v>781</v>
      </c>
      <c r="T841" s="1"/>
      <c r="U841">
        <v>40177</v>
      </c>
      <c r="V841">
        <v>0</v>
      </c>
      <c r="W841">
        <v>76307</v>
      </c>
    </row>
    <row r="842" spans="1:23" x14ac:dyDescent="0.25">
      <c r="A842" s="1" t="s">
        <v>27</v>
      </c>
      <c r="B842" s="1"/>
      <c r="C842" s="1" t="s">
        <v>131</v>
      </c>
      <c r="D842">
        <v>9952</v>
      </c>
      <c r="E842" s="1"/>
      <c r="F842" s="1" t="s">
        <v>271</v>
      </c>
      <c r="G842">
        <v>2012</v>
      </c>
      <c r="H842">
        <v>45143</v>
      </c>
      <c r="I842">
        <v>12</v>
      </c>
      <c r="J842" s="1" t="s">
        <v>405</v>
      </c>
      <c r="K842">
        <v>0</v>
      </c>
      <c r="L842">
        <v>473</v>
      </c>
      <c r="M842">
        <v>95.419573</v>
      </c>
      <c r="N842">
        <v>1</v>
      </c>
      <c r="O842" s="1" t="s">
        <v>562</v>
      </c>
      <c r="P842">
        <v>47372.57</v>
      </c>
      <c r="Q842">
        <v>8763.91</v>
      </c>
      <c r="R842">
        <v>0</v>
      </c>
      <c r="S842" s="1" t="s">
        <v>781</v>
      </c>
      <c r="T842" s="1"/>
      <c r="U842">
        <v>45143</v>
      </c>
      <c r="V842">
        <v>0</v>
      </c>
      <c r="W842">
        <v>76307</v>
      </c>
    </row>
    <row r="843" spans="1:23" x14ac:dyDescent="0.25">
      <c r="A843" s="1" t="s">
        <v>27</v>
      </c>
      <c r="B843" s="1"/>
      <c r="C843" s="1" t="s">
        <v>131</v>
      </c>
      <c r="D843">
        <v>9952</v>
      </c>
      <c r="E843" s="1"/>
      <c r="F843" s="1" t="s">
        <v>271</v>
      </c>
      <c r="G843">
        <v>2011</v>
      </c>
      <c r="H843">
        <v>44240</v>
      </c>
      <c r="I843">
        <v>12</v>
      </c>
      <c r="J843" s="1" t="s">
        <v>405</v>
      </c>
      <c r="K843">
        <v>0</v>
      </c>
      <c r="L843">
        <v>473</v>
      </c>
      <c r="M843">
        <v>93.510885000000002</v>
      </c>
      <c r="N843">
        <v>1</v>
      </c>
      <c r="O843" s="1" t="s">
        <v>562</v>
      </c>
      <c r="P843">
        <v>48805.84</v>
      </c>
      <c r="Q843">
        <v>9029.07</v>
      </c>
      <c r="R843">
        <v>0</v>
      </c>
      <c r="S843" s="1" t="s">
        <v>781</v>
      </c>
      <c r="T843" s="1"/>
      <c r="U843">
        <v>44240</v>
      </c>
      <c r="V843">
        <v>0</v>
      </c>
      <c r="W843">
        <v>76307</v>
      </c>
    </row>
    <row r="844" spans="1:23" x14ac:dyDescent="0.25">
      <c r="A844" s="1" t="s">
        <v>27</v>
      </c>
      <c r="B844" s="1"/>
      <c r="C844" s="1" t="s">
        <v>131</v>
      </c>
      <c r="D844">
        <v>9952</v>
      </c>
      <c r="E844" s="1"/>
      <c r="F844" s="1" t="s">
        <v>271</v>
      </c>
      <c r="G844">
        <v>2010</v>
      </c>
      <c r="H844">
        <v>43234.41</v>
      </c>
      <c r="I844">
        <v>5</v>
      </c>
      <c r="J844" s="1" t="s">
        <v>405</v>
      </c>
      <c r="K844">
        <v>0</v>
      </c>
      <c r="L844">
        <v>473</v>
      </c>
      <c r="M844">
        <v>91.385351</v>
      </c>
      <c r="N844">
        <v>1</v>
      </c>
      <c r="O844" s="1" t="s">
        <v>562</v>
      </c>
      <c r="P844">
        <v>41089.1</v>
      </c>
      <c r="Q844">
        <v>7601.49</v>
      </c>
      <c r="R844">
        <v>0</v>
      </c>
      <c r="S844" s="1" t="s">
        <v>781</v>
      </c>
      <c r="T844" s="1"/>
      <c r="U844">
        <v>43234.400009999998</v>
      </c>
      <c r="V844">
        <v>0</v>
      </c>
      <c r="W844">
        <v>76307</v>
      </c>
    </row>
    <row r="845" spans="1:23" x14ac:dyDescent="0.25">
      <c r="A845" s="1" t="s">
        <v>27</v>
      </c>
      <c r="B845" s="1"/>
      <c r="C845" s="1" t="s">
        <v>131</v>
      </c>
      <c r="D845">
        <v>9952</v>
      </c>
      <c r="E845" s="1"/>
      <c r="F845" s="1" t="s">
        <v>271</v>
      </c>
      <c r="G845">
        <v>2009</v>
      </c>
      <c r="H845">
        <v>43714.48</v>
      </c>
      <c r="I845">
        <v>8</v>
      </c>
      <c r="J845" s="1" t="s">
        <v>405</v>
      </c>
      <c r="K845">
        <v>0</v>
      </c>
      <c r="L845">
        <v>473</v>
      </c>
      <c r="M845">
        <v>92.400084000000007</v>
      </c>
      <c r="N845">
        <v>1</v>
      </c>
      <c r="O845" s="1" t="s">
        <v>562</v>
      </c>
      <c r="P845">
        <v>47490.02</v>
      </c>
      <c r="Q845">
        <v>8785.66</v>
      </c>
      <c r="R845">
        <v>0</v>
      </c>
      <c r="S845" s="1" t="s">
        <v>781</v>
      </c>
      <c r="T845" s="1"/>
      <c r="U845">
        <v>43714.474150000002</v>
      </c>
      <c r="V845">
        <v>0</v>
      </c>
      <c r="W845">
        <v>76307</v>
      </c>
    </row>
    <row r="846" spans="1:23" x14ac:dyDescent="0.25">
      <c r="A846" s="1" t="s">
        <v>27</v>
      </c>
      <c r="B846" s="1"/>
      <c r="C846" s="1" t="s">
        <v>131</v>
      </c>
      <c r="D846">
        <v>9952</v>
      </c>
      <c r="E846" s="1"/>
      <c r="F846" s="1" t="s">
        <v>271</v>
      </c>
      <c r="G846">
        <v>2008</v>
      </c>
      <c r="H846">
        <v>38484.33</v>
      </c>
      <c r="I846">
        <v>3</v>
      </c>
      <c r="J846" s="1" t="s">
        <v>405</v>
      </c>
      <c r="K846">
        <v>0</v>
      </c>
      <c r="L846">
        <v>473</v>
      </c>
      <c r="M846">
        <v>81.345022</v>
      </c>
      <c r="N846">
        <v>1</v>
      </c>
      <c r="O846" s="1" t="s">
        <v>562</v>
      </c>
      <c r="P846">
        <v>45307.07</v>
      </c>
      <c r="Q846">
        <v>8381.7800000000007</v>
      </c>
      <c r="R846">
        <v>0</v>
      </c>
      <c r="S846" s="1" t="s">
        <v>781</v>
      </c>
      <c r="T846" s="1"/>
      <c r="U846">
        <v>38484.329940000003</v>
      </c>
      <c r="V846">
        <v>0</v>
      </c>
      <c r="W846">
        <v>76307</v>
      </c>
    </row>
    <row r="847" spans="1:23" x14ac:dyDescent="0.25">
      <c r="A847" s="1" t="s">
        <v>27</v>
      </c>
      <c r="B847" s="1" t="s">
        <v>59</v>
      </c>
      <c r="C847" s="1" t="s">
        <v>132</v>
      </c>
      <c r="D847">
        <v>5277</v>
      </c>
      <c r="E847" s="1"/>
      <c r="F847" s="1" t="s">
        <v>272</v>
      </c>
      <c r="G847">
        <v>2015</v>
      </c>
      <c r="H847">
        <v>25539</v>
      </c>
      <c r="I847">
        <v>5</v>
      </c>
      <c r="J847" s="1" t="s">
        <v>469</v>
      </c>
      <c r="K847">
        <v>0</v>
      </c>
      <c r="L847">
        <v>585</v>
      </c>
      <c r="M847">
        <v>43.648947999999997</v>
      </c>
      <c r="N847">
        <v>1</v>
      </c>
      <c r="O847" s="1" t="s">
        <v>562</v>
      </c>
      <c r="P847">
        <v>28651.96</v>
      </c>
      <c r="Q847">
        <v>5300612.5999999996</v>
      </c>
      <c r="R847">
        <v>0</v>
      </c>
      <c r="S847" s="1" t="s">
        <v>782</v>
      </c>
      <c r="T847" s="1"/>
      <c r="U847">
        <v>25539</v>
      </c>
      <c r="V847">
        <v>0</v>
      </c>
      <c r="W847">
        <v>56868</v>
      </c>
    </row>
    <row r="848" spans="1:23" x14ac:dyDescent="0.25">
      <c r="A848" s="1" t="s">
        <v>27</v>
      </c>
      <c r="B848" s="1" t="s">
        <v>59</v>
      </c>
      <c r="C848" s="1" t="s">
        <v>132</v>
      </c>
      <c r="D848">
        <v>5277</v>
      </c>
      <c r="E848" s="1"/>
      <c r="F848" s="1" t="s">
        <v>272</v>
      </c>
      <c r="G848">
        <v>2015</v>
      </c>
      <c r="H848">
        <v>17031.2</v>
      </c>
      <c r="I848">
        <v>5</v>
      </c>
      <c r="J848" s="1" t="s">
        <v>469</v>
      </c>
      <c r="K848">
        <v>0</v>
      </c>
      <c r="L848">
        <v>585</v>
      </c>
      <c r="M848">
        <v>29.108186</v>
      </c>
      <c r="N848">
        <v>1</v>
      </c>
      <c r="O848" s="1" t="s">
        <v>563</v>
      </c>
      <c r="P848">
        <v>19107.28</v>
      </c>
      <c r="Q848">
        <v>101314.04</v>
      </c>
      <c r="R848">
        <v>1</v>
      </c>
      <c r="S848" s="1" t="s">
        <v>782</v>
      </c>
      <c r="T848" s="1"/>
      <c r="U848">
        <v>488.14</v>
      </c>
      <c r="V848">
        <v>0</v>
      </c>
      <c r="W848">
        <v>57007</v>
      </c>
    </row>
    <row r="849" spans="1:23" x14ac:dyDescent="0.25">
      <c r="A849" s="1" t="s">
        <v>27</v>
      </c>
      <c r="B849" s="1" t="s">
        <v>59</v>
      </c>
      <c r="C849" s="1" t="s">
        <v>132</v>
      </c>
      <c r="D849">
        <v>5277</v>
      </c>
      <c r="E849" s="1"/>
      <c r="F849" s="1" t="s">
        <v>272</v>
      </c>
      <c r="G849">
        <v>2014</v>
      </c>
      <c r="H849">
        <v>36325</v>
      </c>
      <c r="I849">
        <v>12</v>
      </c>
      <c r="J849" s="1" t="s">
        <v>469</v>
      </c>
      <c r="K849">
        <v>0</v>
      </c>
      <c r="L849">
        <v>585</v>
      </c>
      <c r="M849">
        <v>62.083404000000002</v>
      </c>
      <c r="N849">
        <v>1</v>
      </c>
      <c r="O849" s="1" t="s">
        <v>562</v>
      </c>
      <c r="P849">
        <v>43183.82</v>
      </c>
      <c r="Q849">
        <v>2953727.57</v>
      </c>
      <c r="R849">
        <v>0</v>
      </c>
      <c r="S849" s="1" t="s">
        <v>782</v>
      </c>
      <c r="T849" s="1"/>
      <c r="U849">
        <v>36325</v>
      </c>
      <c r="V849">
        <v>0</v>
      </c>
      <c r="W849">
        <v>56868</v>
      </c>
    </row>
    <row r="850" spans="1:23" x14ac:dyDescent="0.25">
      <c r="A850" s="1" t="s">
        <v>27</v>
      </c>
      <c r="B850" s="1" t="s">
        <v>59</v>
      </c>
      <c r="C850" s="1" t="s">
        <v>132</v>
      </c>
      <c r="D850">
        <v>5277</v>
      </c>
      <c r="E850" s="1"/>
      <c r="F850" s="1" t="s">
        <v>272</v>
      </c>
      <c r="G850">
        <v>2014</v>
      </c>
      <c r="H850">
        <v>26253.66</v>
      </c>
      <c r="I850">
        <v>12</v>
      </c>
      <c r="J850" s="1" t="s">
        <v>469</v>
      </c>
      <c r="K850">
        <v>0</v>
      </c>
      <c r="L850">
        <v>585</v>
      </c>
      <c r="M850">
        <v>44.870381000000002</v>
      </c>
      <c r="N850">
        <v>1</v>
      </c>
      <c r="O850" s="1" t="s">
        <v>563</v>
      </c>
      <c r="P850">
        <v>31088.12</v>
      </c>
      <c r="Q850">
        <v>60542.31</v>
      </c>
      <c r="R850">
        <v>1</v>
      </c>
      <c r="S850" s="1" t="s">
        <v>782</v>
      </c>
      <c r="T850" s="1"/>
      <c r="U850">
        <v>752.47</v>
      </c>
      <c r="V850">
        <v>0</v>
      </c>
      <c r="W850">
        <v>57007</v>
      </c>
    </row>
    <row r="851" spans="1:23" x14ac:dyDescent="0.25">
      <c r="A851" s="1" t="s">
        <v>27</v>
      </c>
      <c r="B851" s="1" t="s">
        <v>59</v>
      </c>
      <c r="C851" s="1" t="s">
        <v>132</v>
      </c>
      <c r="D851">
        <v>5277</v>
      </c>
      <c r="E851" s="1"/>
      <c r="F851" s="1" t="s">
        <v>272</v>
      </c>
      <c r="G851">
        <v>2013</v>
      </c>
      <c r="H851">
        <v>34699.5</v>
      </c>
      <c r="I851">
        <v>12</v>
      </c>
      <c r="J851" s="1" t="s">
        <v>469</v>
      </c>
      <c r="K851">
        <v>0</v>
      </c>
      <c r="L851">
        <v>585</v>
      </c>
      <c r="M851">
        <v>59.305245999999997</v>
      </c>
      <c r="N851">
        <v>1</v>
      </c>
      <c r="O851" s="1" t="s">
        <v>563</v>
      </c>
      <c r="P851">
        <v>35724.53</v>
      </c>
      <c r="Q851">
        <v>189.42</v>
      </c>
      <c r="R851">
        <v>1</v>
      </c>
      <c r="S851" s="1" t="s">
        <v>782</v>
      </c>
      <c r="T851" s="1"/>
      <c r="U851">
        <v>994.54</v>
      </c>
      <c r="V851">
        <v>0</v>
      </c>
      <c r="W851">
        <v>57007</v>
      </c>
    </row>
    <row r="852" spans="1:23" x14ac:dyDescent="0.25">
      <c r="A852" s="1" t="s">
        <v>27</v>
      </c>
      <c r="B852" s="1" t="s">
        <v>59</v>
      </c>
      <c r="C852" s="1" t="s">
        <v>132</v>
      </c>
      <c r="D852">
        <v>5277</v>
      </c>
      <c r="E852" s="1"/>
      <c r="F852" s="1" t="s">
        <v>272</v>
      </c>
      <c r="G852">
        <v>2013</v>
      </c>
      <c r="H852">
        <v>47770</v>
      </c>
      <c r="I852">
        <v>12</v>
      </c>
      <c r="J852" s="1" t="s">
        <v>469</v>
      </c>
      <c r="K852">
        <v>0</v>
      </c>
      <c r="L852">
        <v>585</v>
      </c>
      <c r="M852">
        <v>81.644163000000006</v>
      </c>
      <c r="N852">
        <v>1</v>
      </c>
      <c r="O852" s="1" t="s">
        <v>562</v>
      </c>
      <c r="P852">
        <v>49439.76</v>
      </c>
      <c r="Q852">
        <v>9146.36</v>
      </c>
      <c r="R852">
        <v>0</v>
      </c>
      <c r="S852" s="1" t="s">
        <v>782</v>
      </c>
      <c r="T852" s="1"/>
      <c r="U852">
        <v>47770</v>
      </c>
      <c r="V852">
        <v>0</v>
      </c>
      <c r="W852">
        <v>56868</v>
      </c>
    </row>
    <row r="853" spans="1:23" x14ac:dyDescent="0.25">
      <c r="A853" s="1" t="s">
        <v>27</v>
      </c>
      <c r="B853" s="1" t="s">
        <v>59</v>
      </c>
      <c r="C853" s="1" t="s">
        <v>132</v>
      </c>
      <c r="D853">
        <v>5277</v>
      </c>
      <c r="E853" s="1"/>
      <c r="F853" s="1" t="s">
        <v>272</v>
      </c>
      <c r="G853">
        <v>2012</v>
      </c>
      <c r="H853">
        <v>32575.74</v>
      </c>
      <c r="I853">
        <v>12</v>
      </c>
      <c r="J853" s="1" t="s">
        <v>469</v>
      </c>
      <c r="K853">
        <v>0</v>
      </c>
      <c r="L853">
        <v>585</v>
      </c>
      <c r="M853">
        <v>55.675508000000001</v>
      </c>
      <c r="N853">
        <v>1</v>
      </c>
      <c r="O853" s="1" t="s">
        <v>563</v>
      </c>
      <c r="P853">
        <v>34059.440000000002</v>
      </c>
      <c r="Q853">
        <v>180.59</v>
      </c>
      <c r="R853">
        <v>1</v>
      </c>
      <c r="S853" s="1" t="s">
        <v>782</v>
      </c>
      <c r="T853" s="1"/>
      <c r="U853">
        <v>933.67</v>
      </c>
      <c r="V853">
        <v>0</v>
      </c>
      <c r="W853">
        <v>57007</v>
      </c>
    </row>
    <row r="854" spans="1:23" x14ac:dyDescent="0.25">
      <c r="A854" s="1" t="s">
        <v>27</v>
      </c>
      <c r="B854" s="1" t="s">
        <v>59</v>
      </c>
      <c r="C854" s="1" t="s">
        <v>132</v>
      </c>
      <c r="D854">
        <v>5277</v>
      </c>
      <c r="E854" s="1"/>
      <c r="F854" s="1" t="s">
        <v>272</v>
      </c>
      <c r="G854">
        <v>2012</v>
      </c>
      <c r="H854">
        <v>45883</v>
      </c>
      <c r="I854">
        <v>12</v>
      </c>
      <c r="J854" s="1" t="s">
        <v>469</v>
      </c>
      <c r="K854">
        <v>0</v>
      </c>
      <c r="L854">
        <v>585</v>
      </c>
      <c r="M854">
        <v>78.419072999999997</v>
      </c>
      <c r="N854">
        <v>1</v>
      </c>
      <c r="O854" s="1" t="s">
        <v>562</v>
      </c>
      <c r="P854">
        <v>48119.89</v>
      </c>
      <c r="Q854">
        <v>8902.18</v>
      </c>
      <c r="R854">
        <v>0</v>
      </c>
      <c r="S854" s="1" t="s">
        <v>782</v>
      </c>
      <c r="T854" s="1"/>
      <c r="U854">
        <v>45883</v>
      </c>
      <c r="V854">
        <v>0</v>
      </c>
      <c r="W854">
        <v>56868</v>
      </c>
    </row>
    <row r="855" spans="1:23" x14ac:dyDescent="0.25">
      <c r="A855" s="1" t="s">
        <v>27</v>
      </c>
      <c r="B855" s="1" t="s">
        <v>59</v>
      </c>
      <c r="C855" s="1" t="s">
        <v>132</v>
      </c>
      <c r="D855">
        <v>5277</v>
      </c>
      <c r="E855" s="1"/>
      <c r="F855" s="1" t="s">
        <v>272</v>
      </c>
      <c r="G855">
        <v>2011</v>
      </c>
      <c r="H855">
        <v>31558.71</v>
      </c>
      <c r="I855">
        <v>12</v>
      </c>
      <c r="J855" s="1" t="s">
        <v>469</v>
      </c>
      <c r="K855">
        <v>0</v>
      </c>
      <c r="L855">
        <v>585</v>
      </c>
      <c r="M855">
        <v>53.937291999999999</v>
      </c>
      <c r="N855">
        <v>1</v>
      </c>
      <c r="O855" s="1" t="s">
        <v>563</v>
      </c>
      <c r="P855">
        <v>34294.269999999997</v>
      </c>
      <c r="Q855">
        <v>181.86</v>
      </c>
      <c r="R855">
        <v>1</v>
      </c>
      <c r="S855" s="1" t="s">
        <v>782</v>
      </c>
      <c r="T855" s="1"/>
      <c r="U855">
        <v>904.51999000000001</v>
      </c>
      <c r="V855">
        <v>0</v>
      </c>
      <c r="W855">
        <v>57007</v>
      </c>
    </row>
    <row r="856" spans="1:23" x14ac:dyDescent="0.25">
      <c r="A856" s="1" t="s">
        <v>27</v>
      </c>
      <c r="B856" s="1" t="s">
        <v>59</v>
      </c>
      <c r="C856" s="1" t="s">
        <v>132</v>
      </c>
      <c r="D856">
        <v>5277</v>
      </c>
      <c r="E856" s="1"/>
      <c r="F856" s="1" t="s">
        <v>272</v>
      </c>
      <c r="G856">
        <v>2011</v>
      </c>
      <c r="H856">
        <v>44808</v>
      </c>
      <c r="I856">
        <v>12</v>
      </c>
      <c r="J856" s="1" t="s">
        <v>469</v>
      </c>
      <c r="K856">
        <v>0</v>
      </c>
      <c r="L856">
        <v>585</v>
      </c>
      <c r="M856">
        <v>76.581779999999995</v>
      </c>
      <c r="N856">
        <v>1</v>
      </c>
      <c r="O856" s="1" t="s">
        <v>562</v>
      </c>
      <c r="P856">
        <v>48856.05</v>
      </c>
      <c r="Q856">
        <v>9038.3700000000008</v>
      </c>
      <c r="R856">
        <v>0</v>
      </c>
      <c r="S856" s="1" t="s">
        <v>782</v>
      </c>
      <c r="T856" s="1"/>
      <c r="U856">
        <v>44808.000399999997</v>
      </c>
      <c r="V856">
        <v>0</v>
      </c>
      <c r="W856">
        <v>56868</v>
      </c>
    </row>
    <row r="857" spans="1:23" x14ac:dyDescent="0.25">
      <c r="A857" s="1" t="s">
        <v>27</v>
      </c>
      <c r="B857" s="1" t="s">
        <v>59</v>
      </c>
      <c r="C857" s="1" t="s">
        <v>132</v>
      </c>
      <c r="D857">
        <v>5277</v>
      </c>
      <c r="E857" s="1"/>
      <c r="F857" s="1" t="s">
        <v>272</v>
      </c>
      <c r="G857">
        <v>2010</v>
      </c>
      <c r="H857">
        <v>56100</v>
      </c>
      <c r="I857">
        <v>12</v>
      </c>
      <c r="J857" s="1" t="s">
        <v>469</v>
      </c>
      <c r="K857">
        <v>0</v>
      </c>
      <c r="L857">
        <v>585</v>
      </c>
      <c r="M857">
        <v>95.881045</v>
      </c>
      <c r="N857">
        <v>1</v>
      </c>
      <c r="O857" s="1" t="s">
        <v>562</v>
      </c>
      <c r="P857">
        <v>50861.69</v>
      </c>
      <c r="Q857">
        <v>9409.42</v>
      </c>
      <c r="R857">
        <v>0</v>
      </c>
      <c r="S857" s="1" t="s">
        <v>782</v>
      </c>
      <c r="T857" s="1"/>
      <c r="U857">
        <v>56100</v>
      </c>
      <c r="V857">
        <v>0</v>
      </c>
      <c r="W857">
        <v>56868</v>
      </c>
    </row>
    <row r="858" spans="1:23" x14ac:dyDescent="0.25">
      <c r="A858" s="1" t="s">
        <v>27</v>
      </c>
      <c r="B858" s="1" t="s">
        <v>59</v>
      </c>
      <c r="C858" s="1" t="s">
        <v>132</v>
      </c>
      <c r="D858">
        <v>5277</v>
      </c>
      <c r="E858" s="1"/>
      <c r="F858" s="1" t="s">
        <v>272</v>
      </c>
      <c r="G858">
        <v>2010</v>
      </c>
      <c r="H858">
        <v>41762.980000000003</v>
      </c>
      <c r="I858">
        <v>12</v>
      </c>
      <c r="J858" s="1" t="s">
        <v>469</v>
      </c>
      <c r="K858">
        <v>0</v>
      </c>
      <c r="L858">
        <v>585</v>
      </c>
      <c r="M858">
        <v>71.377508000000006</v>
      </c>
      <c r="N858">
        <v>1</v>
      </c>
      <c r="O858" s="1" t="s">
        <v>563</v>
      </c>
      <c r="P858">
        <v>37809.57</v>
      </c>
      <c r="Q858">
        <v>200.48</v>
      </c>
      <c r="R858">
        <v>1</v>
      </c>
      <c r="S858" s="1" t="s">
        <v>782</v>
      </c>
      <c r="T858" s="1"/>
      <c r="U858">
        <v>1196.99</v>
      </c>
      <c r="V858">
        <v>0</v>
      </c>
      <c r="W858">
        <v>57007</v>
      </c>
    </row>
    <row r="859" spans="1:23" x14ac:dyDescent="0.25">
      <c r="A859" s="1" t="s">
        <v>27</v>
      </c>
      <c r="B859" s="1" t="s">
        <v>59</v>
      </c>
      <c r="C859" s="1" t="s">
        <v>132</v>
      </c>
      <c r="D859">
        <v>5277</v>
      </c>
      <c r="E859" s="1"/>
      <c r="F859" s="1" t="s">
        <v>272</v>
      </c>
      <c r="G859">
        <v>2009</v>
      </c>
      <c r="H859">
        <v>31136.880000000001</v>
      </c>
      <c r="I859">
        <v>12</v>
      </c>
      <c r="J859" s="1" t="s">
        <v>469</v>
      </c>
      <c r="K859">
        <v>0</v>
      </c>
      <c r="L859">
        <v>585</v>
      </c>
      <c r="M859">
        <v>53.216338999999998</v>
      </c>
      <c r="N859">
        <v>1</v>
      </c>
      <c r="O859" s="1" t="s">
        <v>563</v>
      </c>
      <c r="P859">
        <v>32686.48</v>
      </c>
      <c r="Q859">
        <v>173.31</v>
      </c>
      <c r="R859">
        <v>1</v>
      </c>
      <c r="S859" s="1" t="s">
        <v>782</v>
      </c>
      <c r="T859" s="1"/>
      <c r="U859">
        <v>892.43</v>
      </c>
      <c r="V859">
        <v>0</v>
      </c>
      <c r="W859">
        <v>57007</v>
      </c>
    </row>
    <row r="860" spans="1:23" x14ac:dyDescent="0.25">
      <c r="A860" s="1" t="s">
        <v>27</v>
      </c>
      <c r="B860" s="1" t="s">
        <v>59</v>
      </c>
      <c r="C860" s="1" t="s">
        <v>132</v>
      </c>
      <c r="D860">
        <v>5277</v>
      </c>
      <c r="E860" s="1"/>
      <c r="F860" s="1" t="s">
        <v>272</v>
      </c>
      <c r="G860">
        <v>2009</v>
      </c>
      <c r="H860">
        <v>41688</v>
      </c>
      <c r="I860">
        <v>12</v>
      </c>
      <c r="J860" s="1" t="s">
        <v>469</v>
      </c>
      <c r="K860">
        <v>0</v>
      </c>
      <c r="L860">
        <v>585</v>
      </c>
      <c r="M860">
        <v>71.249358999999998</v>
      </c>
      <c r="N860">
        <v>1</v>
      </c>
      <c r="O860" s="1" t="s">
        <v>562</v>
      </c>
      <c r="P860">
        <v>43921.54</v>
      </c>
      <c r="Q860">
        <v>8125.49</v>
      </c>
      <c r="R860">
        <v>0</v>
      </c>
      <c r="S860" s="1" t="s">
        <v>782</v>
      </c>
      <c r="T860" s="1"/>
      <c r="U860">
        <v>41688</v>
      </c>
      <c r="V860">
        <v>0</v>
      </c>
      <c r="W860">
        <v>56868</v>
      </c>
    </row>
    <row r="861" spans="1:23" x14ac:dyDescent="0.25">
      <c r="A861" s="1" t="s">
        <v>27</v>
      </c>
      <c r="B861" s="1" t="s">
        <v>59</v>
      </c>
      <c r="C861" s="1" t="s">
        <v>132</v>
      </c>
      <c r="D861">
        <v>5277</v>
      </c>
      <c r="E861" s="1"/>
      <c r="F861" s="1" t="s">
        <v>272</v>
      </c>
      <c r="G861">
        <v>2008</v>
      </c>
      <c r="H861">
        <v>28142.61</v>
      </c>
      <c r="I861">
        <v>12</v>
      </c>
      <c r="J861" s="1" t="s">
        <v>469</v>
      </c>
      <c r="K861">
        <v>0</v>
      </c>
      <c r="L861">
        <v>585</v>
      </c>
      <c r="M861">
        <v>48.098802999999997</v>
      </c>
      <c r="N861">
        <v>1</v>
      </c>
      <c r="O861" s="1" t="s">
        <v>563</v>
      </c>
      <c r="P861">
        <v>32010</v>
      </c>
      <c r="Q861">
        <v>169.74</v>
      </c>
      <c r="R861">
        <v>1</v>
      </c>
      <c r="S861" s="1" t="s">
        <v>782</v>
      </c>
      <c r="T861" s="1"/>
      <c r="U861">
        <v>806.61</v>
      </c>
      <c r="V861">
        <v>0</v>
      </c>
      <c r="W861">
        <v>57007</v>
      </c>
    </row>
    <row r="862" spans="1:23" x14ac:dyDescent="0.25">
      <c r="A862" s="1" t="s">
        <v>27</v>
      </c>
      <c r="B862" s="1" t="s">
        <v>59</v>
      </c>
      <c r="C862" s="1" t="s">
        <v>132</v>
      </c>
      <c r="D862">
        <v>5277</v>
      </c>
      <c r="E862" s="1"/>
      <c r="F862" s="1" t="s">
        <v>272</v>
      </c>
      <c r="G862">
        <v>2008</v>
      </c>
      <c r="H862">
        <v>39186</v>
      </c>
      <c r="I862">
        <v>12</v>
      </c>
      <c r="J862" s="1" t="s">
        <v>469</v>
      </c>
      <c r="K862">
        <v>0</v>
      </c>
      <c r="L862">
        <v>585</v>
      </c>
      <c r="M862">
        <v>66.973166000000006</v>
      </c>
      <c r="N862">
        <v>1</v>
      </c>
      <c r="O862" s="1" t="s">
        <v>562</v>
      </c>
      <c r="P862">
        <v>44866.44</v>
      </c>
      <c r="Q862">
        <v>8300.2800000000007</v>
      </c>
      <c r="R862">
        <v>0</v>
      </c>
      <c r="S862" s="1" t="s">
        <v>782</v>
      </c>
      <c r="T862" s="1"/>
      <c r="U862">
        <v>39185.9997</v>
      </c>
      <c r="V862">
        <v>0</v>
      </c>
      <c r="W862">
        <v>56868</v>
      </c>
    </row>
    <row r="863" spans="1:23" x14ac:dyDescent="0.25">
      <c r="A863" s="1" t="s">
        <v>27</v>
      </c>
      <c r="B863" s="1" t="s">
        <v>60</v>
      </c>
      <c r="C863" s="1" t="s">
        <v>133</v>
      </c>
      <c r="D863">
        <v>5274</v>
      </c>
      <c r="E863" s="1"/>
      <c r="F863" s="1" t="s">
        <v>273</v>
      </c>
      <c r="G863">
        <v>2015</v>
      </c>
      <c r="H863">
        <v>37525</v>
      </c>
      <c r="I863">
        <v>5</v>
      </c>
      <c r="J863" s="1" t="s">
        <v>475</v>
      </c>
      <c r="K863">
        <v>0</v>
      </c>
      <c r="L863">
        <v>586</v>
      </c>
      <c r="M863">
        <v>64.024910000000006</v>
      </c>
      <c r="N863">
        <v>1</v>
      </c>
      <c r="O863" s="1" t="s">
        <v>562</v>
      </c>
      <c r="P863">
        <v>41970.13</v>
      </c>
      <c r="Q863">
        <v>7764474.0499999998</v>
      </c>
      <c r="R863">
        <v>0</v>
      </c>
      <c r="S863" s="1" t="s">
        <v>783</v>
      </c>
      <c r="T863" s="1"/>
      <c r="U863">
        <v>37525</v>
      </c>
      <c r="V863">
        <v>0</v>
      </c>
      <c r="W863">
        <v>56850</v>
      </c>
    </row>
    <row r="864" spans="1:23" x14ac:dyDescent="0.25">
      <c r="A864" s="1" t="s">
        <v>27</v>
      </c>
      <c r="B864" s="1" t="s">
        <v>60</v>
      </c>
      <c r="C864" s="1" t="s">
        <v>133</v>
      </c>
      <c r="D864">
        <v>5274</v>
      </c>
      <c r="E864" s="1"/>
      <c r="F864" s="1" t="s">
        <v>273</v>
      </c>
      <c r="G864">
        <v>2015</v>
      </c>
      <c r="H864">
        <v>65645.53</v>
      </c>
      <c r="I864">
        <v>5</v>
      </c>
      <c r="J864" s="1" t="s">
        <v>475</v>
      </c>
      <c r="K864">
        <v>0</v>
      </c>
      <c r="L864">
        <v>586</v>
      </c>
      <c r="M864">
        <v>112.003975</v>
      </c>
      <c r="N864">
        <v>1</v>
      </c>
      <c r="O864" s="1" t="s">
        <v>563</v>
      </c>
      <c r="P864">
        <v>73062.7</v>
      </c>
      <c r="Q864">
        <v>387406.12</v>
      </c>
      <c r="R864">
        <v>1</v>
      </c>
      <c r="S864" s="1" t="s">
        <v>783</v>
      </c>
      <c r="T864" s="1"/>
      <c r="U864">
        <v>1881.5</v>
      </c>
      <c r="V864">
        <v>0</v>
      </c>
      <c r="W864">
        <v>57005</v>
      </c>
    </row>
    <row r="865" spans="1:23" x14ac:dyDescent="0.25">
      <c r="A865" s="1" t="s">
        <v>27</v>
      </c>
      <c r="B865" s="1" t="s">
        <v>60</v>
      </c>
      <c r="C865" s="1" t="s">
        <v>133</v>
      </c>
      <c r="D865">
        <v>5274</v>
      </c>
      <c r="E865" s="1"/>
      <c r="F865" s="1" t="s">
        <v>273</v>
      </c>
      <c r="G865">
        <v>2014</v>
      </c>
      <c r="H865">
        <v>133403.5</v>
      </c>
      <c r="I865">
        <v>12</v>
      </c>
      <c r="J865" s="1" t="s">
        <v>475</v>
      </c>
      <c r="K865">
        <v>0</v>
      </c>
      <c r="L865">
        <v>586</v>
      </c>
      <c r="M865">
        <v>227.61218199999999</v>
      </c>
      <c r="N865">
        <v>1</v>
      </c>
      <c r="O865" s="1" t="s">
        <v>563</v>
      </c>
      <c r="P865">
        <v>159442.38</v>
      </c>
      <c r="Q865">
        <v>377540.7</v>
      </c>
      <c r="R865">
        <v>1</v>
      </c>
      <c r="S865" s="1" t="s">
        <v>783</v>
      </c>
      <c r="T865" s="1"/>
      <c r="U865">
        <v>3823.5450000000001</v>
      </c>
      <c r="V865">
        <v>0</v>
      </c>
      <c r="W865">
        <v>57005</v>
      </c>
    </row>
    <row r="866" spans="1:23" x14ac:dyDescent="0.25">
      <c r="A866" s="1" t="s">
        <v>27</v>
      </c>
      <c r="B866" s="1" t="s">
        <v>60</v>
      </c>
      <c r="C866" s="1" t="s">
        <v>133</v>
      </c>
      <c r="D866">
        <v>5274</v>
      </c>
      <c r="E866" s="1"/>
      <c r="F866" s="1" t="s">
        <v>273</v>
      </c>
      <c r="G866">
        <v>2014</v>
      </c>
      <c r="H866">
        <v>63179</v>
      </c>
      <c r="I866">
        <v>12</v>
      </c>
      <c r="J866" s="1" t="s">
        <v>475</v>
      </c>
      <c r="K866">
        <v>0</v>
      </c>
      <c r="L866">
        <v>586</v>
      </c>
      <c r="M866">
        <v>107.795598</v>
      </c>
      <c r="N866">
        <v>1</v>
      </c>
      <c r="O866" s="1" t="s">
        <v>562</v>
      </c>
      <c r="P866">
        <v>75968.83</v>
      </c>
      <c r="Q866">
        <v>5788471.4000000004</v>
      </c>
      <c r="R866">
        <v>0</v>
      </c>
      <c r="S866" s="1" t="s">
        <v>783</v>
      </c>
      <c r="T866" s="1"/>
      <c r="U866">
        <v>63179</v>
      </c>
      <c r="V866">
        <v>0</v>
      </c>
      <c r="W866">
        <v>56850</v>
      </c>
    </row>
    <row r="867" spans="1:23" x14ac:dyDescent="0.25">
      <c r="A867" s="1" t="s">
        <v>27</v>
      </c>
      <c r="B867" s="1" t="s">
        <v>60</v>
      </c>
      <c r="C867" s="1" t="s">
        <v>133</v>
      </c>
      <c r="D867">
        <v>5274</v>
      </c>
      <c r="E867" s="1"/>
      <c r="F867" s="1" t="s">
        <v>273</v>
      </c>
      <c r="G867">
        <v>2013</v>
      </c>
      <c r="H867">
        <v>177369.76</v>
      </c>
      <c r="I867">
        <v>12</v>
      </c>
      <c r="J867" s="1" t="s">
        <v>475</v>
      </c>
      <c r="K867">
        <v>0</v>
      </c>
      <c r="L867">
        <v>586</v>
      </c>
      <c r="M867">
        <v>302.62712800000003</v>
      </c>
      <c r="N867">
        <v>1</v>
      </c>
      <c r="O867" s="1" t="s">
        <v>563</v>
      </c>
      <c r="P867">
        <v>201661.29</v>
      </c>
      <c r="Q867">
        <v>1069.3</v>
      </c>
      <c r="R867">
        <v>1</v>
      </c>
      <c r="S867" s="1" t="s">
        <v>783</v>
      </c>
      <c r="T867" s="1"/>
      <c r="U867">
        <v>5083.6850000000004</v>
      </c>
      <c r="V867">
        <v>0</v>
      </c>
      <c r="W867">
        <v>57005</v>
      </c>
    </row>
    <row r="868" spans="1:23" x14ac:dyDescent="0.25">
      <c r="A868" s="1" t="s">
        <v>27</v>
      </c>
      <c r="B868" s="1" t="s">
        <v>60</v>
      </c>
      <c r="C868" s="1" t="s">
        <v>133</v>
      </c>
      <c r="D868">
        <v>5274</v>
      </c>
      <c r="E868" s="1"/>
      <c r="F868" s="1" t="s">
        <v>273</v>
      </c>
      <c r="G868">
        <v>2013</v>
      </c>
      <c r="H868">
        <v>78343</v>
      </c>
      <c r="I868">
        <v>12</v>
      </c>
      <c r="J868" s="1" t="s">
        <v>475</v>
      </c>
      <c r="K868">
        <v>0</v>
      </c>
      <c r="L868">
        <v>586</v>
      </c>
      <c r="M868">
        <v>133.66831500000001</v>
      </c>
      <c r="N868">
        <v>1</v>
      </c>
      <c r="O868" s="1" t="s">
        <v>562</v>
      </c>
      <c r="P868">
        <v>83125.95</v>
      </c>
      <c r="Q868">
        <v>15378.3</v>
      </c>
      <c r="R868">
        <v>0</v>
      </c>
      <c r="S868" s="1" t="s">
        <v>783</v>
      </c>
      <c r="T868" s="1"/>
      <c r="U868">
        <v>78343</v>
      </c>
      <c r="V868">
        <v>0</v>
      </c>
      <c r="W868">
        <v>56850</v>
      </c>
    </row>
    <row r="869" spans="1:23" x14ac:dyDescent="0.25">
      <c r="A869" s="1" t="s">
        <v>27</v>
      </c>
      <c r="B869" s="1" t="s">
        <v>60</v>
      </c>
      <c r="C869" s="1" t="s">
        <v>133</v>
      </c>
      <c r="D869">
        <v>5274</v>
      </c>
      <c r="E869" s="1"/>
      <c r="F869" s="1" t="s">
        <v>273</v>
      </c>
      <c r="G869">
        <v>2012</v>
      </c>
      <c r="H869">
        <v>219355.53</v>
      </c>
      <c r="I869">
        <v>12</v>
      </c>
      <c r="J869" s="1" t="s">
        <v>475</v>
      </c>
      <c r="K869">
        <v>0</v>
      </c>
      <c r="L869">
        <v>586</v>
      </c>
      <c r="M869">
        <v>374.26297499999998</v>
      </c>
      <c r="N869">
        <v>1</v>
      </c>
      <c r="O869" s="1" t="s">
        <v>563</v>
      </c>
      <c r="P869">
        <v>235678.68</v>
      </c>
      <c r="Q869">
        <v>1249.6600000000001</v>
      </c>
      <c r="R869">
        <v>1</v>
      </c>
      <c r="S869" s="1" t="s">
        <v>783</v>
      </c>
      <c r="T869" s="1"/>
      <c r="U869">
        <v>6287.06</v>
      </c>
      <c r="V869">
        <v>0</v>
      </c>
      <c r="W869">
        <v>57005</v>
      </c>
    </row>
    <row r="870" spans="1:23" x14ac:dyDescent="0.25">
      <c r="A870" s="1" t="s">
        <v>27</v>
      </c>
      <c r="B870" s="1" t="s">
        <v>60</v>
      </c>
      <c r="C870" s="1" t="s">
        <v>133</v>
      </c>
      <c r="D870">
        <v>5274</v>
      </c>
      <c r="E870" s="1"/>
      <c r="F870" s="1" t="s">
        <v>273</v>
      </c>
      <c r="G870">
        <v>2012</v>
      </c>
      <c r="H870">
        <v>92554</v>
      </c>
      <c r="I870">
        <v>12</v>
      </c>
      <c r="J870" s="1" t="s">
        <v>475</v>
      </c>
      <c r="K870">
        <v>0</v>
      </c>
      <c r="L870">
        <v>586</v>
      </c>
      <c r="M870">
        <v>157.915031</v>
      </c>
      <c r="N870">
        <v>1</v>
      </c>
      <c r="O870" s="1" t="s">
        <v>562</v>
      </c>
      <c r="P870">
        <v>98189.05</v>
      </c>
      <c r="Q870">
        <v>18164.98</v>
      </c>
      <c r="R870">
        <v>0</v>
      </c>
      <c r="S870" s="1" t="s">
        <v>783</v>
      </c>
      <c r="T870" s="1"/>
      <c r="U870">
        <v>92554</v>
      </c>
      <c r="V870">
        <v>0</v>
      </c>
      <c r="W870">
        <v>56850</v>
      </c>
    </row>
    <row r="871" spans="1:23" x14ac:dyDescent="0.25">
      <c r="A871" s="1" t="s">
        <v>27</v>
      </c>
      <c r="B871" s="1" t="s">
        <v>60</v>
      </c>
      <c r="C871" s="1" t="s">
        <v>133</v>
      </c>
      <c r="D871">
        <v>5274</v>
      </c>
      <c r="E871" s="1"/>
      <c r="F871" s="1" t="s">
        <v>273</v>
      </c>
      <c r="G871">
        <v>2011</v>
      </c>
      <c r="H871">
        <v>238300.1</v>
      </c>
      <c r="I871">
        <v>12</v>
      </c>
      <c r="J871" s="1" t="s">
        <v>475</v>
      </c>
      <c r="K871">
        <v>0</v>
      </c>
      <c r="L871">
        <v>586</v>
      </c>
      <c r="M871">
        <v>406.58607699999999</v>
      </c>
      <c r="N871">
        <v>1</v>
      </c>
      <c r="O871" s="1" t="s">
        <v>563</v>
      </c>
      <c r="P871">
        <v>272596.89</v>
      </c>
      <c r="Q871">
        <v>1445.41</v>
      </c>
      <c r="R871">
        <v>1</v>
      </c>
      <c r="S871" s="1" t="s">
        <v>783</v>
      </c>
      <c r="T871" s="1"/>
      <c r="U871">
        <v>6830.04</v>
      </c>
      <c r="V871">
        <v>0</v>
      </c>
      <c r="W871">
        <v>57005</v>
      </c>
    </row>
    <row r="872" spans="1:23" x14ac:dyDescent="0.25">
      <c r="A872" s="1" t="s">
        <v>27</v>
      </c>
      <c r="B872" s="1" t="s">
        <v>60</v>
      </c>
      <c r="C872" s="1" t="s">
        <v>133</v>
      </c>
      <c r="D872">
        <v>5274</v>
      </c>
      <c r="E872" s="1"/>
      <c r="F872" s="1" t="s">
        <v>273</v>
      </c>
      <c r="G872">
        <v>2011</v>
      </c>
      <c r="H872">
        <v>96553</v>
      </c>
      <c r="I872">
        <v>12</v>
      </c>
      <c r="J872" s="1" t="s">
        <v>475</v>
      </c>
      <c r="K872">
        <v>0</v>
      </c>
      <c r="L872">
        <v>586</v>
      </c>
      <c r="M872">
        <v>164.73809900000001</v>
      </c>
      <c r="N872">
        <v>1</v>
      </c>
      <c r="O872" s="1" t="s">
        <v>562</v>
      </c>
      <c r="P872">
        <v>108536.8</v>
      </c>
      <c r="Q872">
        <v>20079.3</v>
      </c>
      <c r="R872">
        <v>0</v>
      </c>
      <c r="S872" s="1" t="s">
        <v>783</v>
      </c>
      <c r="T872" s="1"/>
      <c r="U872">
        <v>96553</v>
      </c>
      <c r="V872">
        <v>0</v>
      </c>
      <c r="W872">
        <v>56850</v>
      </c>
    </row>
    <row r="873" spans="1:23" x14ac:dyDescent="0.25">
      <c r="A873" s="1" t="s">
        <v>27</v>
      </c>
      <c r="B873" s="1" t="s">
        <v>60</v>
      </c>
      <c r="C873" s="1" t="s">
        <v>133</v>
      </c>
      <c r="D873">
        <v>5274</v>
      </c>
      <c r="E873" s="1"/>
      <c r="F873" s="1" t="s">
        <v>273</v>
      </c>
      <c r="G873">
        <v>2010</v>
      </c>
      <c r="H873">
        <v>97479</v>
      </c>
      <c r="I873">
        <v>12</v>
      </c>
      <c r="J873" s="1" t="s">
        <v>475</v>
      </c>
      <c r="K873">
        <v>0</v>
      </c>
      <c r="L873">
        <v>586</v>
      </c>
      <c r="M873">
        <v>166.31803400000001</v>
      </c>
      <c r="N873">
        <v>1</v>
      </c>
      <c r="O873" s="1" t="s">
        <v>562</v>
      </c>
      <c r="P873">
        <v>88983.1</v>
      </c>
      <c r="Q873">
        <v>16461.88</v>
      </c>
      <c r="R873">
        <v>0</v>
      </c>
      <c r="S873" s="1" t="s">
        <v>783</v>
      </c>
      <c r="T873" s="1"/>
      <c r="U873">
        <v>97479</v>
      </c>
      <c r="V873">
        <v>0</v>
      </c>
      <c r="W873">
        <v>56850</v>
      </c>
    </row>
    <row r="874" spans="1:23" x14ac:dyDescent="0.25">
      <c r="A874" s="1" t="s">
        <v>27</v>
      </c>
      <c r="B874" s="1" t="s">
        <v>60</v>
      </c>
      <c r="C874" s="1" t="s">
        <v>133</v>
      </c>
      <c r="D874">
        <v>5274</v>
      </c>
      <c r="E874" s="1"/>
      <c r="F874" s="1" t="s">
        <v>273</v>
      </c>
      <c r="G874">
        <v>2010</v>
      </c>
      <c r="H874">
        <v>208973.31</v>
      </c>
      <c r="I874">
        <v>12</v>
      </c>
      <c r="J874" s="1" t="s">
        <v>475</v>
      </c>
      <c r="K874">
        <v>0</v>
      </c>
      <c r="L874">
        <v>586</v>
      </c>
      <c r="M874">
        <v>356.54889900000001</v>
      </c>
      <c r="N874">
        <v>1</v>
      </c>
      <c r="O874" s="1" t="s">
        <v>563</v>
      </c>
      <c r="P874">
        <v>202516.86</v>
      </c>
      <c r="Q874">
        <v>1073.83</v>
      </c>
      <c r="R874">
        <v>1</v>
      </c>
      <c r="S874" s="1" t="s">
        <v>783</v>
      </c>
      <c r="T874" s="1"/>
      <c r="U874">
        <v>5989.49</v>
      </c>
      <c r="V874">
        <v>0</v>
      </c>
      <c r="W874">
        <v>57005</v>
      </c>
    </row>
    <row r="875" spans="1:23" x14ac:dyDescent="0.25">
      <c r="A875" s="1" t="s">
        <v>27</v>
      </c>
      <c r="B875" s="1" t="s">
        <v>60</v>
      </c>
      <c r="C875" s="1" t="s">
        <v>133</v>
      </c>
      <c r="D875">
        <v>5274</v>
      </c>
      <c r="E875" s="1"/>
      <c r="F875" s="1" t="s">
        <v>273</v>
      </c>
      <c r="G875">
        <v>2009</v>
      </c>
      <c r="H875">
        <v>74798</v>
      </c>
      <c r="I875">
        <v>12</v>
      </c>
      <c r="J875" s="1" t="s">
        <v>475</v>
      </c>
      <c r="K875">
        <v>0</v>
      </c>
      <c r="L875">
        <v>586</v>
      </c>
      <c r="M875">
        <v>127.61986</v>
      </c>
      <c r="N875">
        <v>1</v>
      </c>
      <c r="O875" s="1" t="s">
        <v>562</v>
      </c>
      <c r="P875">
        <v>79607.850000000006</v>
      </c>
      <c r="Q875">
        <v>14727.44</v>
      </c>
      <c r="R875">
        <v>0</v>
      </c>
      <c r="S875" s="1" t="s">
        <v>783</v>
      </c>
      <c r="T875" s="1"/>
      <c r="U875">
        <v>74798</v>
      </c>
      <c r="V875">
        <v>0</v>
      </c>
      <c r="W875">
        <v>56850</v>
      </c>
    </row>
    <row r="876" spans="1:23" x14ac:dyDescent="0.25">
      <c r="A876" s="1" t="s">
        <v>27</v>
      </c>
      <c r="B876" s="1" t="s">
        <v>60</v>
      </c>
      <c r="C876" s="1" t="s">
        <v>133</v>
      </c>
      <c r="D876">
        <v>5274</v>
      </c>
      <c r="E876" s="1"/>
      <c r="F876" s="1" t="s">
        <v>273</v>
      </c>
      <c r="G876">
        <v>2009</v>
      </c>
      <c r="H876">
        <v>188129.66</v>
      </c>
      <c r="I876">
        <v>12</v>
      </c>
      <c r="J876" s="1" t="s">
        <v>475</v>
      </c>
      <c r="K876">
        <v>0</v>
      </c>
      <c r="L876">
        <v>586</v>
      </c>
      <c r="M876">
        <v>320.98559899999998</v>
      </c>
      <c r="N876">
        <v>1</v>
      </c>
      <c r="O876" s="1" t="s">
        <v>563</v>
      </c>
      <c r="P876">
        <v>216123.25</v>
      </c>
      <c r="Q876">
        <v>1145.96</v>
      </c>
      <c r="R876">
        <v>1</v>
      </c>
      <c r="S876" s="1" t="s">
        <v>783</v>
      </c>
      <c r="T876" s="1"/>
      <c r="U876">
        <v>5392.08</v>
      </c>
      <c r="V876">
        <v>0</v>
      </c>
      <c r="W876">
        <v>57005</v>
      </c>
    </row>
    <row r="877" spans="1:23" x14ac:dyDescent="0.25">
      <c r="A877" s="1" t="s">
        <v>27</v>
      </c>
      <c r="B877" s="1" t="s">
        <v>60</v>
      </c>
      <c r="C877" s="1" t="s">
        <v>133</v>
      </c>
      <c r="D877">
        <v>5274</v>
      </c>
      <c r="E877" s="1"/>
      <c r="F877" s="1" t="s">
        <v>273</v>
      </c>
      <c r="G877">
        <v>2008</v>
      </c>
      <c r="H877">
        <v>50187</v>
      </c>
      <c r="I877">
        <v>12</v>
      </c>
      <c r="J877" s="1" t="s">
        <v>475</v>
      </c>
      <c r="K877">
        <v>0</v>
      </c>
      <c r="L877">
        <v>586</v>
      </c>
      <c r="M877">
        <v>85.628731999999999</v>
      </c>
      <c r="N877">
        <v>1</v>
      </c>
      <c r="O877" s="1" t="s">
        <v>562</v>
      </c>
      <c r="P877">
        <v>56161.72</v>
      </c>
      <c r="Q877">
        <v>10389.93</v>
      </c>
      <c r="R877">
        <v>0</v>
      </c>
      <c r="S877" s="1" t="s">
        <v>783</v>
      </c>
      <c r="T877" s="1"/>
      <c r="U877">
        <v>50187</v>
      </c>
      <c r="V877">
        <v>0</v>
      </c>
      <c r="W877">
        <v>56850</v>
      </c>
    </row>
    <row r="878" spans="1:23" x14ac:dyDescent="0.25">
      <c r="A878" s="1" t="s">
        <v>27</v>
      </c>
      <c r="B878" s="1" t="s">
        <v>60</v>
      </c>
      <c r="C878" s="1" t="s">
        <v>133</v>
      </c>
      <c r="D878">
        <v>5274</v>
      </c>
      <c r="E878" s="1"/>
      <c r="F878" s="1" t="s">
        <v>273</v>
      </c>
      <c r="G878">
        <v>2008</v>
      </c>
      <c r="H878">
        <v>108680.95</v>
      </c>
      <c r="I878">
        <v>12</v>
      </c>
      <c r="J878" s="1" t="s">
        <v>475</v>
      </c>
      <c r="K878">
        <v>0</v>
      </c>
      <c r="L878">
        <v>586</v>
      </c>
      <c r="M878">
        <v>185.43072799999999</v>
      </c>
      <c r="N878">
        <v>1</v>
      </c>
      <c r="O878" s="1" t="s">
        <v>563</v>
      </c>
      <c r="P878">
        <v>131874.85999999999</v>
      </c>
      <c r="Q878">
        <v>699.26</v>
      </c>
      <c r="R878">
        <v>1</v>
      </c>
      <c r="S878" s="1" t="s">
        <v>783</v>
      </c>
      <c r="T878" s="1"/>
      <c r="U878">
        <v>3114.96</v>
      </c>
      <c r="V878">
        <v>0</v>
      </c>
      <c r="W878">
        <v>57005</v>
      </c>
    </row>
    <row r="879" spans="1:23" x14ac:dyDescent="0.25">
      <c r="A879" s="1" t="s">
        <v>27</v>
      </c>
      <c r="B879" s="1" t="s">
        <v>61</v>
      </c>
      <c r="C879" s="1" t="s">
        <v>134</v>
      </c>
      <c r="D879">
        <v>5247</v>
      </c>
      <c r="E879" s="1"/>
      <c r="F879" s="1" t="s">
        <v>274</v>
      </c>
      <c r="G879">
        <v>2015</v>
      </c>
      <c r="H879">
        <v>22373.51</v>
      </c>
      <c r="I879">
        <v>5</v>
      </c>
      <c r="J879" s="1" t="s">
        <v>404</v>
      </c>
      <c r="K879">
        <v>0</v>
      </c>
      <c r="L879">
        <v>284</v>
      </c>
      <c r="M879">
        <v>78.752234999999999</v>
      </c>
      <c r="N879">
        <v>1</v>
      </c>
      <c r="O879" s="1" t="s">
        <v>564</v>
      </c>
      <c r="P879">
        <v>25306.74</v>
      </c>
      <c r="Q879">
        <v>5351.9</v>
      </c>
      <c r="R879">
        <v>0</v>
      </c>
      <c r="S879" s="1" t="s">
        <v>784</v>
      </c>
      <c r="T879" s="1" t="s">
        <v>1195</v>
      </c>
      <c r="U879">
        <v>2071.62</v>
      </c>
      <c r="V879">
        <v>0</v>
      </c>
      <c r="W879">
        <v>56639</v>
      </c>
    </row>
    <row r="880" spans="1:23" x14ac:dyDescent="0.25">
      <c r="A880" s="1" t="s">
        <v>27</v>
      </c>
      <c r="B880" s="1" t="s">
        <v>61</v>
      </c>
      <c r="C880" s="1" t="s">
        <v>134</v>
      </c>
      <c r="D880">
        <v>5247</v>
      </c>
      <c r="E880" s="1"/>
      <c r="F880" s="1" t="s">
        <v>274</v>
      </c>
      <c r="G880">
        <v>2014</v>
      </c>
      <c r="H880">
        <v>41051.99</v>
      </c>
      <c r="I880">
        <v>12</v>
      </c>
      <c r="J880" s="1" t="s">
        <v>404</v>
      </c>
      <c r="K880">
        <v>0</v>
      </c>
      <c r="L880">
        <v>284</v>
      </c>
      <c r="M880">
        <v>144.49838</v>
      </c>
      <c r="N880">
        <v>1</v>
      </c>
      <c r="O880" s="1" t="s">
        <v>564</v>
      </c>
      <c r="P880">
        <v>48734.9</v>
      </c>
      <c r="Q880">
        <v>10306.540000000001</v>
      </c>
      <c r="R880">
        <v>0</v>
      </c>
      <c r="S880" s="1" t="s">
        <v>784</v>
      </c>
      <c r="T880" s="1" t="s">
        <v>1195</v>
      </c>
      <c r="U880">
        <v>3801.11</v>
      </c>
      <c r="V880">
        <v>0</v>
      </c>
      <c r="W880">
        <v>56639</v>
      </c>
    </row>
    <row r="881" spans="1:23" x14ac:dyDescent="0.25">
      <c r="A881" s="1" t="s">
        <v>27</v>
      </c>
      <c r="B881" s="1" t="s">
        <v>61</v>
      </c>
      <c r="C881" s="1" t="s">
        <v>134</v>
      </c>
      <c r="D881">
        <v>5247</v>
      </c>
      <c r="E881" s="1"/>
      <c r="F881" s="1" t="s">
        <v>274</v>
      </c>
      <c r="G881">
        <v>2013</v>
      </c>
      <c r="H881">
        <v>54033.47</v>
      </c>
      <c r="I881">
        <v>12</v>
      </c>
      <c r="J881" s="1" t="s">
        <v>404</v>
      </c>
      <c r="K881">
        <v>0</v>
      </c>
      <c r="L881">
        <v>284</v>
      </c>
      <c r="M881">
        <v>190.19172800000001</v>
      </c>
      <c r="N881">
        <v>1</v>
      </c>
      <c r="O881" s="1" t="s">
        <v>564</v>
      </c>
      <c r="P881">
        <v>55929.96</v>
      </c>
      <c r="Q881">
        <v>11828.14</v>
      </c>
      <c r="R881">
        <v>0</v>
      </c>
      <c r="S881" s="1" t="s">
        <v>784</v>
      </c>
      <c r="T881" s="1" t="s">
        <v>1195</v>
      </c>
      <c r="U881">
        <v>5003.1000000000004</v>
      </c>
      <c r="V881">
        <v>0</v>
      </c>
      <c r="W881">
        <v>56639</v>
      </c>
    </row>
    <row r="882" spans="1:23" x14ac:dyDescent="0.25">
      <c r="A882" s="1" t="s">
        <v>27</v>
      </c>
      <c r="B882" s="1" t="s">
        <v>61</v>
      </c>
      <c r="C882" s="1" t="s">
        <v>134</v>
      </c>
      <c r="D882">
        <v>5247</v>
      </c>
      <c r="E882" s="1"/>
      <c r="F882" s="1" t="s">
        <v>274</v>
      </c>
      <c r="G882">
        <v>2012</v>
      </c>
      <c r="H882">
        <v>60019.39</v>
      </c>
      <c r="I882">
        <v>12</v>
      </c>
      <c r="J882" s="1" t="s">
        <v>404</v>
      </c>
      <c r="K882">
        <v>0</v>
      </c>
      <c r="L882">
        <v>284</v>
      </c>
      <c r="M882">
        <v>211.261492</v>
      </c>
      <c r="N882">
        <v>1</v>
      </c>
      <c r="O882" s="1" t="s">
        <v>564</v>
      </c>
      <c r="P882">
        <v>62862.17</v>
      </c>
      <c r="Q882">
        <v>13294.19</v>
      </c>
      <c r="R882">
        <v>0</v>
      </c>
      <c r="S882" s="1" t="s">
        <v>784</v>
      </c>
      <c r="T882" s="1" t="s">
        <v>1195</v>
      </c>
      <c r="U882">
        <v>5557.35</v>
      </c>
      <c r="V882">
        <v>0</v>
      </c>
      <c r="W882">
        <v>56639</v>
      </c>
    </row>
    <row r="883" spans="1:23" x14ac:dyDescent="0.25">
      <c r="A883" s="1" t="s">
        <v>27</v>
      </c>
      <c r="B883" s="1" t="s">
        <v>61</v>
      </c>
      <c r="C883" s="1" t="s">
        <v>134</v>
      </c>
      <c r="D883">
        <v>5247</v>
      </c>
      <c r="E883" s="1"/>
      <c r="F883" s="1" t="s">
        <v>274</v>
      </c>
      <c r="G883">
        <v>2011</v>
      </c>
      <c r="H883">
        <v>52613.7</v>
      </c>
      <c r="I883">
        <v>12</v>
      </c>
      <c r="J883" s="1" t="s">
        <v>404</v>
      </c>
      <c r="K883">
        <v>0</v>
      </c>
      <c r="L883">
        <v>284</v>
      </c>
      <c r="M883">
        <v>185.19429700000001</v>
      </c>
      <c r="N883">
        <v>1</v>
      </c>
      <c r="O883" s="1" t="s">
        <v>564</v>
      </c>
      <c r="P883">
        <v>56393.27</v>
      </c>
      <c r="Q883">
        <v>11926.13</v>
      </c>
      <c r="R883">
        <v>0</v>
      </c>
      <c r="S883" s="1" t="s">
        <v>784</v>
      </c>
      <c r="T883" s="1" t="s">
        <v>1195</v>
      </c>
      <c r="U883">
        <v>4871.6400000000003</v>
      </c>
      <c r="V883">
        <v>0</v>
      </c>
      <c r="W883">
        <v>56639</v>
      </c>
    </row>
    <row r="884" spans="1:23" x14ac:dyDescent="0.25">
      <c r="A884" s="1" t="s">
        <v>27</v>
      </c>
      <c r="B884" s="1" t="s">
        <v>61</v>
      </c>
      <c r="C884" s="1" t="s">
        <v>134</v>
      </c>
      <c r="D884">
        <v>5247</v>
      </c>
      <c r="E884" s="1"/>
      <c r="F884" s="1" t="s">
        <v>274</v>
      </c>
      <c r="G884">
        <v>2010</v>
      </c>
      <c r="H884">
        <v>72210.100000000006</v>
      </c>
      <c r="I884">
        <v>12</v>
      </c>
      <c r="J884" s="1" t="s">
        <v>404</v>
      </c>
      <c r="K884">
        <v>0</v>
      </c>
      <c r="L884">
        <v>284</v>
      </c>
      <c r="M884">
        <v>254.17141799999999</v>
      </c>
      <c r="N884">
        <v>1</v>
      </c>
      <c r="O884" s="1" t="s">
        <v>564</v>
      </c>
      <c r="P884">
        <v>92601.38</v>
      </c>
      <c r="Q884">
        <v>19583.48</v>
      </c>
      <c r="R884">
        <v>0</v>
      </c>
      <c r="S884" s="1" t="s">
        <v>784</v>
      </c>
      <c r="T884" s="1" t="s">
        <v>1195</v>
      </c>
      <c r="U884">
        <v>6686.1216999999997</v>
      </c>
      <c r="V884">
        <v>0</v>
      </c>
      <c r="W884">
        <v>56639</v>
      </c>
    </row>
    <row r="885" spans="1:23" x14ac:dyDescent="0.25">
      <c r="A885" s="1" t="s">
        <v>27</v>
      </c>
      <c r="B885" s="1" t="s">
        <v>61</v>
      </c>
      <c r="C885" s="1" t="s">
        <v>134</v>
      </c>
      <c r="D885">
        <v>5247</v>
      </c>
      <c r="E885" s="1"/>
      <c r="F885" s="1" t="s">
        <v>274</v>
      </c>
      <c r="G885">
        <v>2009</v>
      </c>
      <c r="H885">
        <v>61125.06</v>
      </c>
      <c r="I885">
        <v>12</v>
      </c>
      <c r="J885" s="1" t="s">
        <v>404</v>
      </c>
      <c r="K885">
        <v>0</v>
      </c>
      <c r="L885">
        <v>284</v>
      </c>
      <c r="M885">
        <v>215.15332599999999</v>
      </c>
      <c r="N885">
        <v>1</v>
      </c>
      <c r="O885" s="1" t="s">
        <v>564</v>
      </c>
      <c r="P885">
        <v>65571.48</v>
      </c>
      <c r="Q885">
        <v>13867.16</v>
      </c>
      <c r="R885">
        <v>0</v>
      </c>
      <c r="S885" s="1" t="s">
        <v>784</v>
      </c>
      <c r="T885" s="1" t="s">
        <v>1195</v>
      </c>
      <c r="U885">
        <v>5659.7278999999999</v>
      </c>
      <c r="V885">
        <v>0</v>
      </c>
      <c r="W885">
        <v>56639</v>
      </c>
    </row>
    <row r="886" spans="1:23" x14ac:dyDescent="0.25">
      <c r="A886" s="1" t="s">
        <v>27</v>
      </c>
      <c r="B886" s="1" t="s">
        <v>61</v>
      </c>
      <c r="C886" s="1" t="s">
        <v>134</v>
      </c>
      <c r="D886">
        <v>5247</v>
      </c>
      <c r="E886" s="1"/>
      <c r="F886" s="1" t="s">
        <v>274</v>
      </c>
      <c r="G886">
        <v>2008</v>
      </c>
      <c r="H886">
        <v>67430.990000000005</v>
      </c>
      <c r="I886">
        <v>12</v>
      </c>
      <c r="J886" s="1" t="s">
        <v>404</v>
      </c>
      <c r="K886">
        <v>0</v>
      </c>
      <c r="L886">
        <v>284</v>
      </c>
      <c r="M886">
        <v>237.34948900000001</v>
      </c>
      <c r="N886">
        <v>1</v>
      </c>
      <c r="O886" s="1" t="s">
        <v>564</v>
      </c>
      <c r="P886">
        <v>76422.44</v>
      </c>
      <c r="Q886">
        <v>16161.92</v>
      </c>
      <c r="R886">
        <v>0</v>
      </c>
      <c r="S886" s="1" t="s">
        <v>784</v>
      </c>
      <c r="T886" s="1" t="s">
        <v>1195</v>
      </c>
      <c r="U886">
        <v>6243.61</v>
      </c>
      <c r="V886">
        <v>0</v>
      </c>
      <c r="W886">
        <v>56639</v>
      </c>
    </row>
    <row r="887" spans="1:23" x14ac:dyDescent="0.25">
      <c r="A887" s="1" t="s">
        <v>27</v>
      </c>
      <c r="B887" s="1"/>
      <c r="C887" s="1" t="s">
        <v>135</v>
      </c>
      <c r="D887">
        <v>10019</v>
      </c>
      <c r="E887" s="1"/>
      <c r="F887" s="1" t="s">
        <v>275</v>
      </c>
      <c r="G887">
        <v>2015</v>
      </c>
      <c r="H887">
        <v>46006.81</v>
      </c>
      <c r="I887">
        <v>5</v>
      </c>
      <c r="J887" s="1" t="s">
        <v>432</v>
      </c>
      <c r="K887">
        <v>0</v>
      </c>
      <c r="L887">
        <v>598</v>
      </c>
      <c r="M887">
        <v>76.921600999999995</v>
      </c>
      <c r="N887">
        <v>1</v>
      </c>
      <c r="O887" s="1" t="s">
        <v>564</v>
      </c>
      <c r="P887">
        <v>52204.4</v>
      </c>
      <c r="Q887">
        <v>11040.26</v>
      </c>
      <c r="R887">
        <v>0</v>
      </c>
      <c r="S887" s="1" t="s">
        <v>785</v>
      </c>
      <c r="T887" s="1" t="s">
        <v>1196</v>
      </c>
      <c r="U887">
        <v>4259.8900000000003</v>
      </c>
      <c r="V887">
        <v>0</v>
      </c>
      <c r="W887">
        <v>76533</v>
      </c>
    </row>
    <row r="888" spans="1:23" x14ac:dyDescent="0.25">
      <c r="A888" s="1" t="s">
        <v>27</v>
      </c>
      <c r="B888" s="1"/>
      <c r="C888" s="1" t="s">
        <v>135</v>
      </c>
      <c r="D888">
        <v>10019</v>
      </c>
      <c r="E888" s="1"/>
      <c r="F888" s="1" t="s">
        <v>275</v>
      </c>
      <c r="G888">
        <v>2014</v>
      </c>
      <c r="H888">
        <v>74762.48</v>
      </c>
      <c r="I888">
        <v>12</v>
      </c>
      <c r="J888" s="1" t="s">
        <v>432</v>
      </c>
      <c r="K888">
        <v>0</v>
      </c>
      <c r="L888">
        <v>598</v>
      </c>
      <c r="M888">
        <v>124.999966</v>
      </c>
      <c r="N888">
        <v>1</v>
      </c>
      <c r="O888" s="1" t="s">
        <v>564</v>
      </c>
      <c r="P888">
        <v>89768.34</v>
      </c>
      <c r="Q888">
        <v>18984.34</v>
      </c>
      <c r="R888">
        <v>0</v>
      </c>
      <c r="S888" s="1" t="s">
        <v>785</v>
      </c>
      <c r="T888" s="1" t="s">
        <v>1196</v>
      </c>
      <c r="U888">
        <v>6922.4500200000002</v>
      </c>
      <c r="V888">
        <v>0</v>
      </c>
      <c r="W888">
        <v>76533</v>
      </c>
    </row>
    <row r="889" spans="1:23" x14ac:dyDescent="0.25">
      <c r="A889" s="1" t="s">
        <v>27</v>
      </c>
      <c r="B889" s="1"/>
      <c r="C889" s="1" t="s">
        <v>135</v>
      </c>
      <c r="D889">
        <v>10019</v>
      </c>
      <c r="E889" s="1"/>
      <c r="F889" s="1" t="s">
        <v>275</v>
      </c>
      <c r="G889">
        <v>2013</v>
      </c>
      <c r="H889">
        <v>89611.48</v>
      </c>
      <c r="I889">
        <v>12</v>
      </c>
      <c r="J889" s="1" t="s">
        <v>432</v>
      </c>
      <c r="K889">
        <v>0</v>
      </c>
      <c r="L889">
        <v>598</v>
      </c>
      <c r="M889">
        <v>149.82691800000001</v>
      </c>
      <c r="N889">
        <v>1</v>
      </c>
      <c r="O889" s="1" t="s">
        <v>564</v>
      </c>
      <c r="P889">
        <v>93561.62</v>
      </c>
      <c r="Q889">
        <v>19786.55</v>
      </c>
      <c r="R889">
        <v>0</v>
      </c>
      <c r="S889" s="1" t="s">
        <v>785</v>
      </c>
      <c r="T889" s="1" t="s">
        <v>1196</v>
      </c>
      <c r="U889">
        <v>8297.36</v>
      </c>
      <c r="V889">
        <v>0</v>
      </c>
      <c r="W889">
        <v>76533</v>
      </c>
    </row>
    <row r="890" spans="1:23" x14ac:dyDescent="0.25">
      <c r="A890" s="1" t="s">
        <v>27</v>
      </c>
      <c r="B890" s="1"/>
      <c r="C890" s="1" t="s">
        <v>135</v>
      </c>
      <c r="D890">
        <v>10019</v>
      </c>
      <c r="E890" s="1"/>
      <c r="F890" s="1" t="s">
        <v>275</v>
      </c>
      <c r="G890">
        <v>2012</v>
      </c>
      <c r="H890">
        <v>113960.31</v>
      </c>
      <c r="I890">
        <v>12</v>
      </c>
      <c r="J890" s="1" t="s">
        <v>432</v>
      </c>
      <c r="K890">
        <v>0</v>
      </c>
      <c r="L890">
        <v>598</v>
      </c>
      <c r="M890">
        <v>190.537217</v>
      </c>
      <c r="N890">
        <v>1</v>
      </c>
      <c r="O890" s="1" t="s">
        <v>564</v>
      </c>
      <c r="P890">
        <v>119933.27</v>
      </c>
      <c r="Q890">
        <v>25363.67</v>
      </c>
      <c r="R890">
        <v>0</v>
      </c>
      <c r="S890" s="1" t="s">
        <v>785</v>
      </c>
      <c r="T890" s="1" t="s">
        <v>1196</v>
      </c>
      <c r="U890">
        <v>10551.88</v>
      </c>
      <c r="V890">
        <v>0</v>
      </c>
      <c r="W890">
        <v>76533</v>
      </c>
    </row>
    <row r="891" spans="1:23" x14ac:dyDescent="0.25">
      <c r="A891" s="1" t="s">
        <v>27</v>
      </c>
      <c r="B891" s="1"/>
      <c r="C891" s="1" t="s">
        <v>135</v>
      </c>
      <c r="D891">
        <v>10019</v>
      </c>
      <c r="E891" s="1"/>
      <c r="F891" s="1" t="s">
        <v>275</v>
      </c>
      <c r="G891">
        <v>2011</v>
      </c>
      <c r="H891">
        <v>109904.3</v>
      </c>
      <c r="I891">
        <v>9</v>
      </c>
      <c r="J891" s="1" t="s">
        <v>432</v>
      </c>
      <c r="K891">
        <v>0</v>
      </c>
      <c r="L891">
        <v>598</v>
      </c>
      <c r="M891">
        <v>183.75572600000001</v>
      </c>
      <c r="N891">
        <v>1</v>
      </c>
      <c r="O891" s="1" t="s">
        <v>564</v>
      </c>
      <c r="P891">
        <v>130424.97</v>
      </c>
      <c r="Q891">
        <v>27582.47</v>
      </c>
      <c r="R891">
        <v>0</v>
      </c>
      <c r="S891" s="1" t="s">
        <v>785</v>
      </c>
      <c r="T891" s="1" t="s">
        <v>1196</v>
      </c>
      <c r="U891">
        <v>10176.32476</v>
      </c>
      <c r="V891">
        <v>0</v>
      </c>
      <c r="W891">
        <v>76533</v>
      </c>
    </row>
    <row r="892" spans="1:23" x14ac:dyDescent="0.25">
      <c r="A892" s="1" t="s">
        <v>27</v>
      </c>
      <c r="B892" s="1"/>
      <c r="C892" s="1" t="s">
        <v>135</v>
      </c>
      <c r="D892">
        <v>10019</v>
      </c>
      <c r="E892" s="1"/>
      <c r="F892" s="1" t="s">
        <v>275</v>
      </c>
      <c r="G892">
        <v>2010</v>
      </c>
      <c r="H892">
        <v>107738.8</v>
      </c>
      <c r="I892">
        <v>3</v>
      </c>
      <c r="J892" s="1" t="s">
        <v>432</v>
      </c>
      <c r="K892">
        <v>0</v>
      </c>
      <c r="L892">
        <v>598</v>
      </c>
      <c r="M892">
        <v>180.13509400000001</v>
      </c>
      <c r="N892">
        <v>1</v>
      </c>
      <c r="O892" s="1" t="s">
        <v>564</v>
      </c>
      <c r="P892">
        <v>134840.21</v>
      </c>
      <c r="Q892">
        <v>28516.21</v>
      </c>
      <c r="R892">
        <v>0</v>
      </c>
      <c r="S892" s="1" t="s">
        <v>785</v>
      </c>
      <c r="T892" s="1" t="s">
        <v>1196</v>
      </c>
      <c r="U892">
        <v>9975.8158399999993</v>
      </c>
      <c r="V892">
        <v>0</v>
      </c>
      <c r="W892">
        <v>76533</v>
      </c>
    </row>
    <row r="893" spans="1:23" x14ac:dyDescent="0.25">
      <c r="A893" s="1" t="s">
        <v>27</v>
      </c>
      <c r="B893" s="1"/>
      <c r="C893" s="1" t="s">
        <v>135</v>
      </c>
      <c r="D893">
        <v>10019</v>
      </c>
      <c r="E893" s="1"/>
      <c r="F893" s="1" t="s">
        <v>275</v>
      </c>
      <c r="G893">
        <v>2009</v>
      </c>
      <c r="H893">
        <v>115091.24</v>
      </c>
      <c r="I893">
        <v>6</v>
      </c>
      <c r="J893" s="1" t="s">
        <v>432</v>
      </c>
      <c r="K893">
        <v>0</v>
      </c>
      <c r="L893">
        <v>598</v>
      </c>
      <c r="M893">
        <v>192.428088</v>
      </c>
      <c r="N893">
        <v>1</v>
      </c>
      <c r="O893" s="1" t="s">
        <v>564</v>
      </c>
      <c r="P893">
        <v>127039.37</v>
      </c>
      <c r="Q893">
        <v>26866.47</v>
      </c>
      <c r="R893">
        <v>0</v>
      </c>
      <c r="S893" s="1" t="s">
        <v>785</v>
      </c>
      <c r="T893" s="1" t="s">
        <v>1196</v>
      </c>
      <c r="U893">
        <v>10656.595369999999</v>
      </c>
      <c r="V893">
        <v>0</v>
      </c>
      <c r="W893">
        <v>76533</v>
      </c>
    </row>
    <row r="894" spans="1:23" x14ac:dyDescent="0.25">
      <c r="A894" s="1" t="s">
        <v>27</v>
      </c>
      <c r="B894" s="1"/>
      <c r="C894" s="1" t="s">
        <v>135</v>
      </c>
      <c r="D894">
        <v>10019</v>
      </c>
      <c r="E894" s="1"/>
      <c r="F894" s="1" t="s">
        <v>275</v>
      </c>
      <c r="G894">
        <v>2008</v>
      </c>
      <c r="H894">
        <v>100047.19</v>
      </c>
      <c r="I894">
        <v>5</v>
      </c>
      <c r="J894" s="1" t="s">
        <v>432</v>
      </c>
      <c r="K894">
        <v>0</v>
      </c>
      <c r="L894">
        <v>598</v>
      </c>
      <c r="M894">
        <v>167.27502000000001</v>
      </c>
      <c r="N894">
        <v>1</v>
      </c>
      <c r="O894" s="1" t="s">
        <v>564</v>
      </c>
      <c r="P894">
        <v>113698</v>
      </c>
      <c r="Q894">
        <v>24045.040000000001</v>
      </c>
      <c r="R894">
        <v>0</v>
      </c>
      <c r="S894" s="1" t="s">
        <v>785</v>
      </c>
      <c r="T894" s="1" t="s">
        <v>1196</v>
      </c>
      <c r="U894">
        <v>9263.6292799999992</v>
      </c>
      <c r="V894">
        <v>0</v>
      </c>
      <c r="W894">
        <v>76533</v>
      </c>
    </row>
    <row r="895" spans="1:23" x14ac:dyDescent="0.25">
      <c r="A895" s="1" t="s">
        <v>27</v>
      </c>
      <c r="B895" s="1"/>
      <c r="C895" s="1" t="s">
        <v>136</v>
      </c>
      <c r="D895">
        <v>10056</v>
      </c>
      <c r="E895" s="1"/>
      <c r="F895" s="1" t="s">
        <v>136</v>
      </c>
      <c r="G895">
        <v>2015</v>
      </c>
      <c r="H895">
        <v>31110</v>
      </c>
      <c r="I895">
        <v>5</v>
      </c>
      <c r="J895" s="1" t="s">
        <v>426</v>
      </c>
      <c r="K895">
        <v>0</v>
      </c>
      <c r="L895">
        <v>836</v>
      </c>
      <c r="M895">
        <v>37.208466999999999</v>
      </c>
      <c r="N895">
        <v>1</v>
      </c>
      <c r="O895" s="1" t="s">
        <v>565</v>
      </c>
      <c r="P895">
        <v>35269.120000000003</v>
      </c>
      <c r="Q895">
        <v>2.2599999999999998</v>
      </c>
      <c r="R895">
        <v>0</v>
      </c>
      <c r="S895" s="1" t="s">
        <v>786</v>
      </c>
      <c r="T895" s="1"/>
      <c r="U895">
        <v>31.11</v>
      </c>
      <c r="V895">
        <v>0</v>
      </c>
      <c r="W895">
        <v>89456</v>
      </c>
    </row>
    <row r="896" spans="1:23" x14ac:dyDescent="0.25">
      <c r="A896" s="1" t="s">
        <v>27</v>
      </c>
      <c r="B896" s="1"/>
      <c r="C896" s="1" t="s">
        <v>136</v>
      </c>
      <c r="D896">
        <v>10056</v>
      </c>
      <c r="E896" s="1"/>
      <c r="F896" s="1" t="s">
        <v>136</v>
      </c>
      <c r="G896">
        <v>2014</v>
      </c>
      <c r="H896">
        <v>65675</v>
      </c>
      <c r="I896">
        <v>12</v>
      </c>
      <c r="J896" s="1" t="s">
        <v>426</v>
      </c>
      <c r="K896">
        <v>0</v>
      </c>
      <c r="L896">
        <v>836</v>
      </c>
      <c r="M896">
        <v>78.549216000000001</v>
      </c>
      <c r="N896">
        <v>1</v>
      </c>
      <c r="O896" s="1" t="s">
        <v>565</v>
      </c>
      <c r="P896">
        <v>77726.320000000007</v>
      </c>
      <c r="Q896">
        <v>4.9800000000000004</v>
      </c>
      <c r="R896">
        <v>0</v>
      </c>
      <c r="S896" s="1" t="s">
        <v>786</v>
      </c>
      <c r="T896" s="1"/>
      <c r="U896">
        <v>65.674999999999997</v>
      </c>
      <c r="V896">
        <v>0</v>
      </c>
      <c r="W896">
        <v>89456</v>
      </c>
    </row>
    <row r="897" spans="1:23" x14ac:dyDescent="0.25">
      <c r="A897" s="1" t="s">
        <v>27</v>
      </c>
      <c r="B897" s="1"/>
      <c r="C897" s="1" t="s">
        <v>136</v>
      </c>
      <c r="D897">
        <v>10056</v>
      </c>
      <c r="E897" s="1"/>
      <c r="F897" s="1" t="s">
        <v>136</v>
      </c>
      <c r="G897">
        <v>2013</v>
      </c>
      <c r="H897">
        <v>76155</v>
      </c>
      <c r="I897">
        <v>12</v>
      </c>
      <c r="J897" s="1" t="s">
        <v>426</v>
      </c>
      <c r="K897">
        <v>0</v>
      </c>
      <c r="L897">
        <v>836</v>
      </c>
      <c r="M897">
        <v>91.083601999999999</v>
      </c>
      <c r="N897">
        <v>1</v>
      </c>
      <c r="O897" s="1" t="s">
        <v>565</v>
      </c>
      <c r="P897">
        <v>79244.94</v>
      </c>
      <c r="Q897">
        <v>5.0599999999999996</v>
      </c>
      <c r="R897">
        <v>0</v>
      </c>
      <c r="S897" s="1" t="s">
        <v>786</v>
      </c>
      <c r="T897" s="1"/>
      <c r="U897">
        <v>76.155000000000001</v>
      </c>
      <c r="V897">
        <v>0</v>
      </c>
      <c r="W897">
        <v>89456</v>
      </c>
    </row>
    <row r="898" spans="1:23" x14ac:dyDescent="0.25">
      <c r="A898" s="1" t="s">
        <v>27</v>
      </c>
      <c r="B898" s="1"/>
      <c r="C898" s="1" t="s">
        <v>136</v>
      </c>
      <c r="D898">
        <v>10056</v>
      </c>
      <c r="E898" s="1"/>
      <c r="F898" s="1" t="s">
        <v>136</v>
      </c>
      <c r="G898">
        <v>2012</v>
      </c>
      <c r="H898">
        <v>80880</v>
      </c>
      <c r="I898">
        <v>12</v>
      </c>
      <c r="J898" s="1" t="s">
        <v>426</v>
      </c>
      <c r="K898">
        <v>0</v>
      </c>
      <c r="L898">
        <v>836</v>
      </c>
      <c r="M898">
        <v>96.734840000000005</v>
      </c>
      <c r="N898">
        <v>1</v>
      </c>
      <c r="O898" s="1" t="s">
        <v>565</v>
      </c>
      <c r="P898">
        <v>84785.72</v>
      </c>
      <c r="Q898">
        <v>15.7</v>
      </c>
      <c r="R898">
        <v>0</v>
      </c>
      <c r="S898" s="1" t="s">
        <v>786</v>
      </c>
      <c r="T898" s="1"/>
      <c r="U898">
        <v>80.88</v>
      </c>
      <c r="V898">
        <v>0</v>
      </c>
      <c r="W898">
        <v>89456</v>
      </c>
    </row>
    <row r="899" spans="1:23" x14ac:dyDescent="0.25">
      <c r="A899" s="1" t="s">
        <v>27</v>
      </c>
      <c r="B899" s="1"/>
      <c r="C899" s="1" t="s">
        <v>136</v>
      </c>
      <c r="D899">
        <v>10056</v>
      </c>
      <c r="E899" s="1"/>
      <c r="F899" s="1" t="s">
        <v>136</v>
      </c>
      <c r="G899">
        <v>2011</v>
      </c>
      <c r="H899">
        <v>30880</v>
      </c>
      <c r="I899">
        <v>6</v>
      </c>
      <c r="J899" s="1" t="s">
        <v>426</v>
      </c>
      <c r="K899">
        <v>0</v>
      </c>
      <c r="L899">
        <v>836</v>
      </c>
      <c r="M899">
        <v>36.933380999999997</v>
      </c>
      <c r="N899">
        <v>1</v>
      </c>
      <c r="O899" s="1" t="s">
        <v>565</v>
      </c>
      <c r="P899">
        <v>34367.32</v>
      </c>
      <c r="Q899">
        <v>6.35</v>
      </c>
      <c r="R899">
        <v>0</v>
      </c>
      <c r="S899" s="1" t="s">
        <v>786</v>
      </c>
      <c r="T899" s="1"/>
      <c r="U899">
        <v>30.88</v>
      </c>
      <c r="V899">
        <v>0</v>
      </c>
      <c r="W899">
        <v>89456</v>
      </c>
    </row>
    <row r="900" spans="1:23" x14ac:dyDescent="0.25">
      <c r="A900" s="1" t="s">
        <v>27</v>
      </c>
      <c r="B900" s="1"/>
      <c r="C900" s="1" t="s">
        <v>136</v>
      </c>
      <c r="D900">
        <v>10056</v>
      </c>
      <c r="E900" s="1"/>
      <c r="F900" s="1" t="s">
        <v>136</v>
      </c>
      <c r="G900">
        <v>2011</v>
      </c>
      <c r="H900">
        <v>38730.75</v>
      </c>
      <c r="I900">
        <v>6</v>
      </c>
      <c r="J900" s="1" t="s">
        <v>476</v>
      </c>
      <c r="K900">
        <v>0</v>
      </c>
      <c r="L900">
        <v>836</v>
      </c>
      <c r="M900">
        <v>46.323107</v>
      </c>
      <c r="N900">
        <v>1</v>
      </c>
      <c r="O900" s="1" t="s">
        <v>567</v>
      </c>
      <c r="P900">
        <v>41698.269999999997</v>
      </c>
      <c r="Q900">
        <v>27.75</v>
      </c>
      <c r="R900">
        <v>0</v>
      </c>
      <c r="S900" s="1" t="s">
        <v>787</v>
      </c>
      <c r="T900" s="1"/>
      <c r="U900">
        <v>139.31926999999999</v>
      </c>
      <c r="V900">
        <v>0</v>
      </c>
      <c r="W900">
        <v>76679</v>
      </c>
    </row>
    <row r="901" spans="1:23" x14ac:dyDescent="0.25">
      <c r="A901" s="1" t="s">
        <v>27</v>
      </c>
      <c r="B901" s="1"/>
      <c r="C901" s="1" t="s">
        <v>136</v>
      </c>
      <c r="D901">
        <v>10056</v>
      </c>
      <c r="E901" s="1"/>
      <c r="F901" s="1" t="s">
        <v>136</v>
      </c>
      <c r="G901">
        <v>2010</v>
      </c>
      <c r="H901">
        <v>80900.25</v>
      </c>
      <c r="I901">
        <v>8</v>
      </c>
      <c r="J901" s="1" t="s">
        <v>476</v>
      </c>
      <c r="K901">
        <v>0</v>
      </c>
      <c r="L901">
        <v>836</v>
      </c>
      <c r="M901">
        <v>96.759058999999993</v>
      </c>
      <c r="N901">
        <v>1</v>
      </c>
      <c r="O901" s="1" t="s">
        <v>567</v>
      </c>
      <c r="P901">
        <v>74228.289999999994</v>
      </c>
      <c r="Q901">
        <v>49.41</v>
      </c>
      <c r="R901">
        <v>0</v>
      </c>
      <c r="S901" s="1" t="s">
        <v>787</v>
      </c>
      <c r="T901" s="1"/>
      <c r="U901">
        <v>291.00812000000002</v>
      </c>
      <c r="V901">
        <v>0</v>
      </c>
      <c r="W901">
        <v>76679</v>
      </c>
    </row>
    <row r="902" spans="1:23" x14ac:dyDescent="0.25">
      <c r="A902" s="1" t="s">
        <v>27</v>
      </c>
      <c r="B902" s="1"/>
      <c r="C902" s="1" t="s">
        <v>136</v>
      </c>
      <c r="D902">
        <v>10056</v>
      </c>
      <c r="E902" s="1"/>
      <c r="F902" s="1" t="s">
        <v>136</v>
      </c>
      <c r="G902">
        <v>2009</v>
      </c>
      <c r="H902">
        <v>62001</v>
      </c>
      <c r="I902">
        <v>6</v>
      </c>
      <c r="J902" s="1" t="s">
        <v>476</v>
      </c>
      <c r="K902">
        <v>0</v>
      </c>
      <c r="L902">
        <v>836</v>
      </c>
      <c r="M902">
        <v>74.155005000000003</v>
      </c>
      <c r="N902">
        <v>1</v>
      </c>
      <c r="O902" s="1" t="s">
        <v>567</v>
      </c>
      <c r="P902">
        <v>66197.88</v>
      </c>
      <c r="Q902">
        <v>44.06</v>
      </c>
      <c r="R902">
        <v>0</v>
      </c>
      <c r="S902" s="1" t="s">
        <v>787</v>
      </c>
      <c r="T902" s="1"/>
      <c r="U902">
        <v>223.02524</v>
      </c>
      <c r="V902">
        <v>0</v>
      </c>
      <c r="W902">
        <v>76679</v>
      </c>
    </row>
    <row r="903" spans="1:23" x14ac:dyDescent="0.25">
      <c r="A903" s="1" t="s">
        <v>27</v>
      </c>
      <c r="B903" s="1"/>
      <c r="C903" s="1" t="s">
        <v>136</v>
      </c>
      <c r="D903">
        <v>10056</v>
      </c>
      <c r="E903" s="1"/>
      <c r="F903" s="1" t="s">
        <v>136</v>
      </c>
      <c r="G903">
        <v>2008</v>
      </c>
      <c r="H903">
        <v>45349.67</v>
      </c>
      <c r="I903">
        <v>3</v>
      </c>
      <c r="J903" s="1" t="s">
        <v>476</v>
      </c>
      <c r="K903">
        <v>0</v>
      </c>
      <c r="L903">
        <v>836</v>
      </c>
      <c r="M903">
        <v>54.239528</v>
      </c>
      <c r="N903">
        <v>1</v>
      </c>
      <c r="O903" s="1" t="s">
        <v>567</v>
      </c>
      <c r="P903">
        <v>53610.49</v>
      </c>
      <c r="Q903">
        <v>35.68</v>
      </c>
      <c r="R903">
        <v>0</v>
      </c>
      <c r="S903" s="1" t="s">
        <v>787</v>
      </c>
      <c r="T903" s="1"/>
      <c r="U903">
        <v>163.12832</v>
      </c>
      <c r="V903">
        <v>0</v>
      </c>
      <c r="W903">
        <v>76679</v>
      </c>
    </row>
    <row r="904" spans="1:23" x14ac:dyDescent="0.25">
      <c r="A904" s="1" t="s">
        <v>27</v>
      </c>
      <c r="B904" s="1" t="s">
        <v>62</v>
      </c>
      <c r="C904" s="1" t="s">
        <v>138</v>
      </c>
      <c r="D904">
        <v>5275</v>
      </c>
      <c r="E904" s="1"/>
      <c r="F904" s="1" t="s">
        <v>276</v>
      </c>
      <c r="G904">
        <v>2015</v>
      </c>
      <c r="H904">
        <v>49016.56</v>
      </c>
      <c r="I904">
        <v>5</v>
      </c>
      <c r="J904" s="1" t="s">
        <v>404</v>
      </c>
      <c r="K904">
        <v>0</v>
      </c>
      <c r="L904">
        <v>675</v>
      </c>
      <c r="M904">
        <v>72.606369000000001</v>
      </c>
      <c r="N904">
        <v>1</v>
      </c>
      <c r="O904" s="1" t="s">
        <v>564</v>
      </c>
      <c r="P904">
        <v>54384.01</v>
      </c>
      <c r="Q904">
        <v>11501.21</v>
      </c>
      <c r="R904">
        <v>0</v>
      </c>
      <c r="S904" s="1" t="s">
        <v>788</v>
      </c>
      <c r="T904" s="1" t="s">
        <v>1197</v>
      </c>
      <c r="U904">
        <v>4538.57</v>
      </c>
      <c r="V904">
        <v>0</v>
      </c>
      <c r="W904">
        <v>56856</v>
      </c>
    </row>
    <row r="905" spans="1:23" x14ac:dyDescent="0.25">
      <c r="A905" s="1" t="s">
        <v>27</v>
      </c>
      <c r="B905" s="1" t="s">
        <v>62</v>
      </c>
      <c r="C905" s="1" t="s">
        <v>138</v>
      </c>
      <c r="D905">
        <v>5275</v>
      </c>
      <c r="E905" s="1"/>
      <c r="F905" s="1" t="s">
        <v>276</v>
      </c>
      <c r="G905">
        <v>2014</v>
      </c>
      <c r="H905">
        <v>78278.63</v>
      </c>
      <c r="I905">
        <v>12</v>
      </c>
      <c r="J905" s="1" t="s">
        <v>404</v>
      </c>
      <c r="K905">
        <v>0</v>
      </c>
      <c r="L905">
        <v>675</v>
      </c>
      <c r="M905">
        <v>115.951162</v>
      </c>
      <c r="N905">
        <v>1</v>
      </c>
      <c r="O905" s="1" t="s">
        <v>564</v>
      </c>
      <c r="P905">
        <v>93232.83</v>
      </c>
      <c r="Q905">
        <v>19717.02</v>
      </c>
      <c r="R905">
        <v>0</v>
      </c>
      <c r="S905" s="1" t="s">
        <v>788</v>
      </c>
      <c r="T905" s="1" t="s">
        <v>1197</v>
      </c>
      <c r="U905">
        <v>7248.02</v>
      </c>
      <c r="V905">
        <v>0</v>
      </c>
      <c r="W905">
        <v>56856</v>
      </c>
    </row>
    <row r="906" spans="1:23" x14ac:dyDescent="0.25">
      <c r="A906" s="1" t="s">
        <v>27</v>
      </c>
      <c r="B906" s="1" t="s">
        <v>62</v>
      </c>
      <c r="C906" s="1" t="s">
        <v>138</v>
      </c>
      <c r="D906">
        <v>5275</v>
      </c>
      <c r="E906" s="1"/>
      <c r="F906" s="1" t="s">
        <v>276</v>
      </c>
      <c r="G906">
        <v>2013</v>
      </c>
      <c r="H906">
        <v>90976.07</v>
      </c>
      <c r="I906">
        <v>12</v>
      </c>
      <c r="J906" s="1" t="s">
        <v>404</v>
      </c>
      <c r="K906">
        <v>0</v>
      </c>
      <c r="L906">
        <v>675</v>
      </c>
      <c r="M906">
        <v>134.759398</v>
      </c>
      <c r="N906">
        <v>1</v>
      </c>
      <c r="O906" s="1" t="s">
        <v>564</v>
      </c>
      <c r="P906">
        <v>95507.69</v>
      </c>
      <c r="Q906">
        <v>20198.12</v>
      </c>
      <c r="R906">
        <v>0</v>
      </c>
      <c r="S906" s="1" t="s">
        <v>788</v>
      </c>
      <c r="T906" s="1" t="s">
        <v>1197</v>
      </c>
      <c r="U906">
        <v>8423.7099999999991</v>
      </c>
      <c r="V906">
        <v>0</v>
      </c>
      <c r="W906">
        <v>56856</v>
      </c>
    </row>
    <row r="907" spans="1:23" x14ac:dyDescent="0.25">
      <c r="A907" s="1" t="s">
        <v>27</v>
      </c>
      <c r="B907" s="1" t="s">
        <v>62</v>
      </c>
      <c r="C907" s="1" t="s">
        <v>138</v>
      </c>
      <c r="D907">
        <v>5275</v>
      </c>
      <c r="E907" s="1"/>
      <c r="F907" s="1" t="s">
        <v>276</v>
      </c>
      <c r="G907">
        <v>2012</v>
      </c>
      <c r="H907">
        <v>94790.96</v>
      </c>
      <c r="I907">
        <v>12</v>
      </c>
      <c r="J907" s="1" t="s">
        <v>404</v>
      </c>
      <c r="K907">
        <v>0</v>
      </c>
      <c r="L907">
        <v>675</v>
      </c>
      <c r="M907">
        <v>140.41024999999999</v>
      </c>
      <c r="N907">
        <v>1</v>
      </c>
      <c r="O907" s="1" t="s">
        <v>564</v>
      </c>
      <c r="P907">
        <v>99687.51</v>
      </c>
      <c r="Q907">
        <v>21082.06</v>
      </c>
      <c r="R907">
        <v>0</v>
      </c>
      <c r="S907" s="1" t="s">
        <v>788</v>
      </c>
      <c r="T907" s="1" t="s">
        <v>1197</v>
      </c>
      <c r="U907">
        <v>8776.94</v>
      </c>
      <c r="V907">
        <v>0</v>
      </c>
      <c r="W907">
        <v>56856</v>
      </c>
    </row>
    <row r="908" spans="1:23" x14ac:dyDescent="0.25">
      <c r="A908" s="1" t="s">
        <v>27</v>
      </c>
      <c r="B908" s="1" t="s">
        <v>62</v>
      </c>
      <c r="C908" s="1" t="s">
        <v>138</v>
      </c>
      <c r="D908">
        <v>5275</v>
      </c>
      <c r="E908" s="1"/>
      <c r="F908" s="1" t="s">
        <v>276</v>
      </c>
      <c r="G908">
        <v>2011</v>
      </c>
      <c r="H908">
        <v>110862.86</v>
      </c>
      <c r="I908">
        <v>12</v>
      </c>
      <c r="J908" s="1" t="s">
        <v>404</v>
      </c>
      <c r="K908">
        <v>0</v>
      </c>
      <c r="L908">
        <v>675</v>
      </c>
      <c r="M908">
        <v>164.21694500000001</v>
      </c>
      <c r="N908">
        <v>1</v>
      </c>
      <c r="O908" s="1" t="s">
        <v>564</v>
      </c>
      <c r="P908">
        <v>123684.71</v>
      </c>
      <c r="Q908">
        <v>26157.02</v>
      </c>
      <c r="R908">
        <v>0</v>
      </c>
      <c r="S908" s="1" t="s">
        <v>788</v>
      </c>
      <c r="T908" s="1" t="s">
        <v>1197</v>
      </c>
      <c r="U908">
        <v>10265.08</v>
      </c>
      <c r="V908">
        <v>0</v>
      </c>
      <c r="W908">
        <v>56856</v>
      </c>
    </row>
    <row r="909" spans="1:23" x14ac:dyDescent="0.25">
      <c r="A909" s="1" t="s">
        <v>27</v>
      </c>
      <c r="B909" s="1" t="s">
        <v>62</v>
      </c>
      <c r="C909" s="1" t="s">
        <v>138</v>
      </c>
      <c r="D909">
        <v>5275</v>
      </c>
      <c r="E909" s="1"/>
      <c r="F909" s="1" t="s">
        <v>276</v>
      </c>
      <c r="G909">
        <v>2010</v>
      </c>
      <c r="H909">
        <v>102379.78</v>
      </c>
      <c r="I909">
        <v>12</v>
      </c>
      <c r="J909" s="1" t="s">
        <v>404</v>
      </c>
      <c r="K909">
        <v>0</v>
      </c>
      <c r="L909">
        <v>675</v>
      </c>
      <c r="M909">
        <v>151.65128100000001</v>
      </c>
      <c r="N909">
        <v>1</v>
      </c>
      <c r="O909" s="1" t="s">
        <v>564</v>
      </c>
      <c r="P909">
        <v>95454.86</v>
      </c>
      <c r="Q909">
        <v>20186.93</v>
      </c>
      <c r="R909">
        <v>0</v>
      </c>
      <c r="S909" s="1" t="s">
        <v>788</v>
      </c>
      <c r="T909" s="1" t="s">
        <v>1197</v>
      </c>
      <c r="U909">
        <v>9479.61</v>
      </c>
      <c r="V909">
        <v>0</v>
      </c>
      <c r="W909">
        <v>56856</v>
      </c>
    </row>
    <row r="910" spans="1:23" x14ac:dyDescent="0.25">
      <c r="A910" s="1" t="s">
        <v>27</v>
      </c>
      <c r="B910" s="1" t="s">
        <v>62</v>
      </c>
      <c r="C910" s="1" t="s">
        <v>138</v>
      </c>
      <c r="D910">
        <v>5275</v>
      </c>
      <c r="E910" s="1"/>
      <c r="F910" s="1" t="s">
        <v>276</v>
      </c>
      <c r="G910">
        <v>2009</v>
      </c>
      <c r="H910">
        <v>87713.279999999999</v>
      </c>
      <c r="I910">
        <v>12</v>
      </c>
      <c r="J910" s="1" t="s">
        <v>404</v>
      </c>
      <c r="K910">
        <v>0</v>
      </c>
      <c r="L910">
        <v>675</v>
      </c>
      <c r="M910">
        <v>129.92635100000001</v>
      </c>
      <c r="N910">
        <v>1</v>
      </c>
      <c r="O910" s="1" t="s">
        <v>564</v>
      </c>
      <c r="P910">
        <v>93415.52</v>
      </c>
      <c r="Q910">
        <v>19755.650000000001</v>
      </c>
      <c r="R910">
        <v>0</v>
      </c>
      <c r="S910" s="1" t="s">
        <v>788</v>
      </c>
      <c r="T910" s="1" t="s">
        <v>1197</v>
      </c>
      <c r="U910">
        <v>8121.6</v>
      </c>
      <c r="V910">
        <v>0</v>
      </c>
      <c r="W910">
        <v>56856</v>
      </c>
    </row>
    <row r="911" spans="1:23" x14ac:dyDescent="0.25">
      <c r="A911" s="1" t="s">
        <v>27</v>
      </c>
      <c r="B911" s="1" t="s">
        <v>62</v>
      </c>
      <c r="C911" s="1" t="s">
        <v>138</v>
      </c>
      <c r="D911">
        <v>5275</v>
      </c>
      <c r="E911" s="1"/>
      <c r="F911" s="1" t="s">
        <v>276</v>
      </c>
      <c r="G911">
        <v>2008</v>
      </c>
      <c r="H911">
        <v>86892.58</v>
      </c>
      <c r="I911">
        <v>12</v>
      </c>
      <c r="J911" s="1" t="s">
        <v>404</v>
      </c>
      <c r="K911">
        <v>0</v>
      </c>
      <c r="L911">
        <v>675</v>
      </c>
      <c r="M911">
        <v>128.710679</v>
      </c>
      <c r="N911">
        <v>1</v>
      </c>
      <c r="O911" s="1" t="s">
        <v>564</v>
      </c>
      <c r="P911">
        <v>101227.26</v>
      </c>
      <c r="Q911">
        <v>21407.67</v>
      </c>
      <c r="R911">
        <v>0</v>
      </c>
      <c r="S911" s="1" t="s">
        <v>788</v>
      </c>
      <c r="T911" s="1" t="s">
        <v>1197</v>
      </c>
      <c r="U911">
        <v>8045.61</v>
      </c>
      <c r="V911">
        <v>0</v>
      </c>
      <c r="W911">
        <v>56856</v>
      </c>
    </row>
    <row r="912" spans="1:23" x14ac:dyDescent="0.25">
      <c r="A912" s="1" t="s">
        <v>27</v>
      </c>
      <c r="B912" s="1" t="s">
        <v>63</v>
      </c>
      <c r="C912" s="1" t="s">
        <v>139</v>
      </c>
      <c r="D912">
        <v>5279</v>
      </c>
      <c r="E912" s="1"/>
      <c r="F912" s="1" t="s">
        <v>277</v>
      </c>
      <c r="G912">
        <v>2015</v>
      </c>
      <c r="H912">
        <v>70384.83</v>
      </c>
      <c r="I912">
        <v>5</v>
      </c>
      <c r="J912" s="1" t="s">
        <v>477</v>
      </c>
      <c r="K912">
        <v>0</v>
      </c>
      <c r="L912">
        <v>1603</v>
      </c>
      <c r="M912">
        <v>43.905450999999999</v>
      </c>
      <c r="N912">
        <v>1</v>
      </c>
      <c r="O912" s="1" t="s">
        <v>563</v>
      </c>
      <c r="P912">
        <v>70384.83</v>
      </c>
      <c r="Q912">
        <v>373207.03</v>
      </c>
      <c r="R912">
        <v>1</v>
      </c>
      <c r="S912" s="1" t="s">
        <v>789</v>
      </c>
      <c r="T912" s="1"/>
      <c r="U912">
        <v>2017.335</v>
      </c>
      <c r="V912">
        <v>0</v>
      </c>
      <c r="W912">
        <v>57002</v>
      </c>
    </row>
    <row r="913" spans="1:23" x14ac:dyDescent="0.25">
      <c r="A913" s="1" t="s">
        <v>27</v>
      </c>
      <c r="B913" s="1" t="s">
        <v>63</v>
      </c>
      <c r="C913" s="1" t="s">
        <v>139</v>
      </c>
      <c r="D913">
        <v>5279</v>
      </c>
      <c r="E913" s="1"/>
      <c r="F913" s="1" t="s">
        <v>277</v>
      </c>
      <c r="G913">
        <v>2015</v>
      </c>
      <c r="H913">
        <v>68672.5</v>
      </c>
      <c r="I913">
        <v>5</v>
      </c>
      <c r="J913" s="1" t="s">
        <v>477</v>
      </c>
      <c r="K913">
        <v>0</v>
      </c>
      <c r="L913">
        <v>1603</v>
      </c>
      <c r="M913">
        <v>42.837314999999997</v>
      </c>
      <c r="N913">
        <v>1</v>
      </c>
      <c r="O913" s="1" t="s">
        <v>562</v>
      </c>
      <c r="P913">
        <v>76520.820000000007</v>
      </c>
      <c r="Q913">
        <v>14156351.699999999</v>
      </c>
      <c r="R913">
        <v>0</v>
      </c>
      <c r="S913" s="1" t="s">
        <v>789</v>
      </c>
      <c r="T913" s="1"/>
      <c r="U913">
        <v>68672.5</v>
      </c>
      <c r="V913">
        <v>0</v>
      </c>
      <c r="W913">
        <v>56882</v>
      </c>
    </row>
    <row r="914" spans="1:23" x14ac:dyDescent="0.25">
      <c r="A914" s="1" t="s">
        <v>27</v>
      </c>
      <c r="B914" s="1" t="s">
        <v>63</v>
      </c>
      <c r="C914" s="1" t="s">
        <v>139</v>
      </c>
      <c r="D914">
        <v>5279</v>
      </c>
      <c r="E914" s="1"/>
      <c r="F914" s="1" t="s">
        <v>277</v>
      </c>
      <c r="G914">
        <v>2014</v>
      </c>
      <c r="H914">
        <v>121713.5</v>
      </c>
      <c r="I914">
        <v>12</v>
      </c>
      <c r="J914" s="1" t="s">
        <v>477</v>
      </c>
      <c r="K914">
        <v>0</v>
      </c>
      <c r="L914">
        <v>1603</v>
      </c>
      <c r="M914">
        <v>75.923834999999997</v>
      </c>
      <c r="N914">
        <v>1</v>
      </c>
      <c r="O914" s="1" t="s">
        <v>562</v>
      </c>
      <c r="P914">
        <v>145047.82999999999</v>
      </c>
      <c r="Q914">
        <v>11480704.66</v>
      </c>
      <c r="R914">
        <v>0</v>
      </c>
      <c r="S914" s="1" t="s">
        <v>789</v>
      </c>
      <c r="T914" s="1"/>
      <c r="U914">
        <v>121713.5</v>
      </c>
      <c r="V914">
        <v>0</v>
      </c>
      <c r="W914">
        <v>56882</v>
      </c>
    </row>
    <row r="915" spans="1:23" x14ac:dyDescent="0.25">
      <c r="A915" s="1" t="s">
        <v>27</v>
      </c>
      <c r="B915" s="1" t="s">
        <v>63</v>
      </c>
      <c r="C915" s="1" t="s">
        <v>139</v>
      </c>
      <c r="D915">
        <v>5279</v>
      </c>
      <c r="E915" s="1"/>
      <c r="F915" s="1" t="s">
        <v>277</v>
      </c>
      <c r="G915">
        <v>2014</v>
      </c>
      <c r="H915">
        <v>131494.65</v>
      </c>
      <c r="I915">
        <v>12</v>
      </c>
      <c r="J915" s="1" t="s">
        <v>477</v>
      </c>
      <c r="K915">
        <v>0</v>
      </c>
      <c r="L915">
        <v>1603</v>
      </c>
      <c r="M915">
        <v>82.025232000000003</v>
      </c>
      <c r="N915">
        <v>1</v>
      </c>
      <c r="O915" s="1" t="s">
        <v>563</v>
      </c>
      <c r="P915">
        <v>131494.65</v>
      </c>
      <c r="Q915">
        <v>320304.3</v>
      </c>
      <c r="R915">
        <v>1</v>
      </c>
      <c r="S915" s="1" t="s">
        <v>789</v>
      </c>
      <c r="T915" s="1"/>
      <c r="U915">
        <v>3768.835</v>
      </c>
      <c r="V915">
        <v>0</v>
      </c>
      <c r="W915">
        <v>57002</v>
      </c>
    </row>
    <row r="916" spans="1:23" x14ac:dyDescent="0.25">
      <c r="A916" s="1" t="s">
        <v>27</v>
      </c>
      <c r="B916" s="1" t="s">
        <v>63</v>
      </c>
      <c r="C916" s="1" t="s">
        <v>139</v>
      </c>
      <c r="D916">
        <v>5279</v>
      </c>
      <c r="E916" s="1"/>
      <c r="F916" s="1" t="s">
        <v>277</v>
      </c>
      <c r="G916">
        <v>2013</v>
      </c>
      <c r="H916">
        <v>144947</v>
      </c>
      <c r="I916">
        <v>12</v>
      </c>
      <c r="J916" s="1" t="s">
        <v>477</v>
      </c>
      <c r="K916">
        <v>0</v>
      </c>
      <c r="L916">
        <v>1603</v>
      </c>
      <c r="M916">
        <v>90.416691999999998</v>
      </c>
      <c r="N916">
        <v>1</v>
      </c>
      <c r="O916" s="1" t="s">
        <v>562</v>
      </c>
      <c r="P916">
        <v>152805.20000000001</v>
      </c>
      <c r="Q916">
        <v>28268.95</v>
      </c>
      <c r="R916">
        <v>0</v>
      </c>
      <c r="S916" s="1" t="s">
        <v>789</v>
      </c>
      <c r="T916" s="1"/>
      <c r="U916">
        <v>144947.003</v>
      </c>
      <c r="V916">
        <v>0</v>
      </c>
      <c r="W916">
        <v>56882</v>
      </c>
    </row>
    <row r="917" spans="1:23" x14ac:dyDescent="0.25">
      <c r="A917" s="1" t="s">
        <v>27</v>
      </c>
      <c r="B917" s="1" t="s">
        <v>63</v>
      </c>
      <c r="C917" s="1" t="s">
        <v>139</v>
      </c>
      <c r="D917">
        <v>5279</v>
      </c>
      <c r="E917" s="1"/>
      <c r="F917" s="1" t="s">
        <v>277</v>
      </c>
      <c r="G917">
        <v>2013</v>
      </c>
      <c r="H917">
        <v>155388.9</v>
      </c>
      <c r="I917">
        <v>12</v>
      </c>
      <c r="J917" s="1" t="s">
        <v>477</v>
      </c>
      <c r="K917">
        <v>0</v>
      </c>
      <c r="L917">
        <v>1603</v>
      </c>
      <c r="M917">
        <v>96.930260000000004</v>
      </c>
      <c r="N917">
        <v>1</v>
      </c>
      <c r="O917" s="1" t="s">
        <v>563</v>
      </c>
      <c r="P917">
        <v>155388.9</v>
      </c>
      <c r="Q917">
        <v>823.94</v>
      </c>
      <c r="R917">
        <v>1</v>
      </c>
      <c r="S917" s="1" t="s">
        <v>789</v>
      </c>
      <c r="T917" s="1"/>
      <c r="U917">
        <v>4453.68</v>
      </c>
      <c r="V917">
        <v>0</v>
      </c>
      <c r="W917">
        <v>57002</v>
      </c>
    </row>
    <row r="918" spans="1:23" x14ac:dyDescent="0.25">
      <c r="A918" s="1" t="s">
        <v>27</v>
      </c>
      <c r="B918" s="1" t="s">
        <v>63</v>
      </c>
      <c r="C918" s="1" t="s">
        <v>139</v>
      </c>
      <c r="D918">
        <v>5279</v>
      </c>
      <c r="E918" s="1"/>
      <c r="F918" s="1" t="s">
        <v>277</v>
      </c>
      <c r="G918">
        <v>2012</v>
      </c>
      <c r="H918">
        <v>175865.5</v>
      </c>
      <c r="I918">
        <v>12</v>
      </c>
      <c r="J918" s="1" t="s">
        <v>477</v>
      </c>
      <c r="K918">
        <v>0</v>
      </c>
      <c r="L918">
        <v>1603</v>
      </c>
      <c r="M918">
        <v>109.70338700000001</v>
      </c>
      <c r="N918">
        <v>1</v>
      </c>
      <c r="O918" s="1" t="s">
        <v>563</v>
      </c>
      <c r="P918">
        <v>175865.5</v>
      </c>
      <c r="Q918">
        <v>932.5</v>
      </c>
      <c r="R918">
        <v>1</v>
      </c>
      <c r="S918" s="1" t="s">
        <v>789</v>
      </c>
      <c r="T918" s="1"/>
      <c r="U918">
        <v>5040.57</v>
      </c>
      <c r="V918">
        <v>0</v>
      </c>
      <c r="W918">
        <v>57002</v>
      </c>
    </row>
    <row r="919" spans="1:23" x14ac:dyDescent="0.25">
      <c r="A919" s="1" t="s">
        <v>27</v>
      </c>
      <c r="B919" s="1" t="s">
        <v>63</v>
      </c>
      <c r="C919" s="1" t="s">
        <v>139</v>
      </c>
      <c r="D919">
        <v>5279</v>
      </c>
      <c r="E919" s="1"/>
      <c r="F919" s="1" t="s">
        <v>277</v>
      </c>
      <c r="G919">
        <v>2012</v>
      </c>
      <c r="H919">
        <v>148180</v>
      </c>
      <c r="I919">
        <v>12</v>
      </c>
      <c r="J919" s="1" t="s">
        <v>477</v>
      </c>
      <c r="K919">
        <v>0</v>
      </c>
      <c r="L919">
        <v>1603</v>
      </c>
      <c r="M919">
        <v>92.433409999999995</v>
      </c>
      <c r="N919">
        <v>1</v>
      </c>
      <c r="O919" s="1" t="s">
        <v>562</v>
      </c>
      <c r="P919">
        <v>155533.66</v>
      </c>
      <c r="Q919">
        <v>28773.72</v>
      </c>
      <c r="R919">
        <v>0</v>
      </c>
      <c r="S919" s="1" t="s">
        <v>789</v>
      </c>
      <c r="T919" s="1"/>
      <c r="U919">
        <v>148180</v>
      </c>
      <c r="V919">
        <v>0</v>
      </c>
      <c r="W919">
        <v>56882</v>
      </c>
    </row>
    <row r="920" spans="1:23" x14ac:dyDescent="0.25">
      <c r="A920" s="1" t="s">
        <v>27</v>
      </c>
      <c r="B920" s="1" t="s">
        <v>63</v>
      </c>
      <c r="C920" s="1" t="s">
        <v>139</v>
      </c>
      <c r="D920">
        <v>5279</v>
      </c>
      <c r="E920" s="1"/>
      <c r="F920" s="1" t="s">
        <v>277</v>
      </c>
      <c r="G920">
        <v>2011</v>
      </c>
      <c r="H920">
        <v>323256.90999999997</v>
      </c>
      <c r="I920">
        <v>12</v>
      </c>
      <c r="J920" s="1" t="s">
        <v>477</v>
      </c>
      <c r="K920">
        <v>0</v>
      </c>
      <c r="L920">
        <v>1603</v>
      </c>
      <c r="M920">
        <v>201.644881</v>
      </c>
      <c r="N920">
        <v>1</v>
      </c>
      <c r="O920" s="1" t="s">
        <v>563</v>
      </c>
      <c r="P920">
        <v>323256.90999999997</v>
      </c>
      <c r="Q920">
        <v>1714.03</v>
      </c>
      <c r="R920">
        <v>1</v>
      </c>
      <c r="S920" s="1" t="s">
        <v>789</v>
      </c>
      <c r="T920" s="1"/>
      <c r="U920">
        <v>9265.0300000000007</v>
      </c>
      <c r="V920">
        <v>0</v>
      </c>
      <c r="W920">
        <v>57002</v>
      </c>
    </row>
    <row r="921" spans="1:23" x14ac:dyDescent="0.25">
      <c r="A921" s="1" t="s">
        <v>27</v>
      </c>
      <c r="B921" s="1" t="s">
        <v>63</v>
      </c>
      <c r="C921" s="1" t="s">
        <v>139</v>
      </c>
      <c r="D921">
        <v>5279</v>
      </c>
      <c r="E921" s="1"/>
      <c r="F921" s="1" t="s">
        <v>277</v>
      </c>
      <c r="G921">
        <v>2011</v>
      </c>
      <c r="H921">
        <v>162692</v>
      </c>
      <c r="I921">
        <v>12</v>
      </c>
      <c r="J921" s="1" t="s">
        <v>477</v>
      </c>
      <c r="K921">
        <v>0</v>
      </c>
      <c r="L921">
        <v>1603</v>
      </c>
      <c r="M921">
        <v>101.485871</v>
      </c>
      <c r="N921">
        <v>1</v>
      </c>
      <c r="O921" s="1" t="s">
        <v>562</v>
      </c>
      <c r="P921">
        <v>181796.37</v>
      </c>
      <c r="Q921">
        <v>33632.33</v>
      </c>
      <c r="R921">
        <v>0</v>
      </c>
      <c r="S921" s="1" t="s">
        <v>789</v>
      </c>
      <c r="T921" s="1"/>
      <c r="U921">
        <v>162692</v>
      </c>
      <c r="V921">
        <v>0</v>
      </c>
      <c r="W921">
        <v>56882</v>
      </c>
    </row>
    <row r="922" spans="1:23" x14ac:dyDescent="0.25">
      <c r="A922" s="1" t="s">
        <v>27</v>
      </c>
      <c r="B922" s="1" t="s">
        <v>63</v>
      </c>
      <c r="C922" s="1" t="s">
        <v>139</v>
      </c>
      <c r="D922">
        <v>5279</v>
      </c>
      <c r="E922" s="1"/>
      <c r="F922" s="1" t="s">
        <v>277</v>
      </c>
      <c r="G922">
        <v>2010</v>
      </c>
      <c r="H922">
        <v>189734.58</v>
      </c>
      <c r="I922">
        <v>13</v>
      </c>
      <c r="J922" s="1" t="s">
        <v>477</v>
      </c>
      <c r="K922">
        <v>0</v>
      </c>
      <c r="L922">
        <v>1603</v>
      </c>
      <c r="M922">
        <v>118.3548</v>
      </c>
      <c r="N922">
        <v>1</v>
      </c>
      <c r="O922" s="1" t="s">
        <v>562</v>
      </c>
      <c r="P922">
        <v>180538.64</v>
      </c>
      <c r="Q922">
        <v>33399.65</v>
      </c>
      <c r="R922">
        <v>0</v>
      </c>
      <c r="S922" s="1" t="s">
        <v>789</v>
      </c>
      <c r="T922" s="1"/>
      <c r="U922">
        <v>189734.57274999999</v>
      </c>
      <c r="V922">
        <v>0</v>
      </c>
      <c r="W922">
        <v>56882</v>
      </c>
    </row>
    <row r="923" spans="1:23" x14ac:dyDescent="0.25">
      <c r="A923" s="1" t="s">
        <v>27</v>
      </c>
      <c r="B923" s="1" t="s">
        <v>63</v>
      </c>
      <c r="C923" s="1" t="s">
        <v>139</v>
      </c>
      <c r="D923">
        <v>5279</v>
      </c>
      <c r="E923" s="1"/>
      <c r="F923" s="1" t="s">
        <v>277</v>
      </c>
      <c r="G923">
        <v>2010</v>
      </c>
      <c r="H923">
        <v>323710.83</v>
      </c>
      <c r="I923">
        <v>13</v>
      </c>
      <c r="J923" s="1" t="s">
        <v>477</v>
      </c>
      <c r="K923">
        <v>0</v>
      </c>
      <c r="L923">
        <v>1603</v>
      </c>
      <c r="M923">
        <v>201.928033</v>
      </c>
      <c r="N923">
        <v>1</v>
      </c>
      <c r="O923" s="1" t="s">
        <v>563</v>
      </c>
      <c r="P923">
        <v>323710.83</v>
      </c>
      <c r="Q923">
        <v>1716.44</v>
      </c>
      <c r="R923">
        <v>1</v>
      </c>
      <c r="S923" s="1" t="s">
        <v>789</v>
      </c>
      <c r="T923" s="1"/>
      <c r="U923">
        <v>9278.0400000000009</v>
      </c>
      <c r="V923">
        <v>0</v>
      </c>
      <c r="W923">
        <v>57002</v>
      </c>
    </row>
    <row r="924" spans="1:23" x14ac:dyDescent="0.25">
      <c r="A924" s="1" t="s">
        <v>27</v>
      </c>
      <c r="B924" s="1" t="s">
        <v>63</v>
      </c>
      <c r="C924" s="1" t="s">
        <v>139</v>
      </c>
      <c r="D924">
        <v>5279</v>
      </c>
      <c r="E924" s="1"/>
      <c r="F924" s="1" t="s">
        <v>277</v>
      </c>
      <c r="G924">
        <v>2009</v>
      </c>
      <c r="H924">
        <v>249210.12</v>
      </c>
      <c r="I924">
        <v>12</v>
      </c>
      <c r="J924" s="1" t="s">
        <v>477</v>
      </c>
      <c r="K924">
        <v>0</v>
      </c>
      <c r="L924">
        <v>1603</v>
      </c>
      <c r="M924">
        <v>155.45513</v>
      </c>
      <c r="N924">
        <v>1</v>
      </c>
      <c r="O924" s="1" t="s">
        <v>562</v>
      </c>
      <c r="P924">
        <v>313019.90999999997</v>
      </c>
      <c r="Q924">
        <v>57908.67</v>
      </c>
      <c r="R924">
        <v>0</v>
      </c>
      <c r="S924" s="1" t="s">
        <v>789</v>
      </c>
      <c r="T924" s="1"/>
      <c r="U924">
        <v>249210.07832999999</v>
      </c>
      <c r="V924">
        <v>0</v>
      </c>
      <c r="W924">
        <v>56882</v>
      </c>
    </row>
    <row r="925" spans="1:23" x14ac:dyDescent="0.25">
      <c r="A925" s="1" t="s">
        <v>27</v>
      </c>
      <c r="B925" s="1" t="s">
        <v>63</v>
      </c>
      <c r="C925" s="1" t="s">
        <v>139</v>
      </c>
      <c r="D925">
        <v>5279</v>
      </c>
      <c r="E925" s="1"/>
      <c r="F925" s="1" t="s">
        <v>277</v>
      </c>
      <c r="G925">
        <v>2009</v>
      </c>
      <c r="H925">
        <v>128235.39</v>
      </c>
      <c r="I925">
        <v>12</v>
      </c>
      <c r="J925" s="1" t="s">
        <v>477</v>
      </c>
      <c r="K925">
        <v>0</v>
      </c>
      <c r="L925">
        <v>1603</v>
      </c>
      <c r="M925">
        <v>79.992132999999995</v>
      </c>
      <c r="N925">
        <v>1</v>
      </c>
      <c r="O925" s="1" t="s">
        <v>563</v>
      </c>
      <c r="P925">
        <v>128235.39</v>
      </c>
      <c r="Q925">
        <v>679.94</v>
      </c>
      <c r="R925">
        <v>1</v>
      </c>
      <c r="S925" s="1" t="s">
        <v>789</v>
      </c>
      <c r="T925" s="1"/>
      <c r="U925">
        <v>3675.42</v>
      </c>
      <c r="V925">
        <v>0</v>
      </c>
      <c r="W925">
        <v>57002</v>
      </c>
    </row>
    <row r="926" spans="1:23" x14ac:dyDescent="0.25">
      <c r="A926" s="1" t="s">
        <v>27</v>
      </c>
      <c r="B926" s="1" t="s">
        <v>63</v>
      </c>
      <c r="C926" s="1" t="s">
        <v>139</v>
      </c>
      <c r="D926">
        <v>5279</v>
      </c>
      <c r="E926" s="1"/>
      <c r="F926" s="1" t="s">
        <v>277</v>
      </c>
      <c r="G926">
        <v>2008</v>
      </c>
      <c r="H926">
        <v>133447.95000000001</v>
      </c>
      <c r="I926">
        <v>12</v>
      </c>
      <c r="J926" s="1" t="s">
        <v>477</v>
      </c>
      <c r="K926">
        <v>0</v>
      </c>
      <c r="L926">
        <v>1603</v>
      </c>
      <c r="M926">
        <v>83.243684000000002</v>
      </c>
      <c r="N926">
        <v>1</v>
      </c>
      <c r="O926" s="1" t="s">
        <v>563</v>
      </c>
      <c r="P926">
        <v>133447.95000000001</v>
      </c>
      <c r="Q926">
        <v>707.59</v>
      </c>
      <c r="R926">
        <v>1</v>
      </c>
      <c r="S926" s="1" t="s">
        <v>789</v>
      </c>
      <c r="T926" s="1"/>
      <c r="U926">
        <v>3824.82</v>
      </c>
      <c r="V926">
        <v>0</v>
      </c>
      <c r="W926">
        <v>57002</v>
      </c>
    </row>
    <row r="927" spans="1:23" x14ac:dyDescent="0.25">
      <c r="A927" s="1" t="s">
        <v>27</v>
      </c>
      <c r="B927" s="1" t="s">
        <v>63</v>
      </c>
      <c r="C927" s="1" t="s">
        <v>139</v>
      </c>
      <c r="D927">
        <v>5279</v>
      </c>
      <c r="E927" s="1"/>
      <c r="F927" s="1" t="s">
        <v>277</v>
      </c>
      <c r="G927">
        <v>2008</v>
      </c>
      <c r="H927">
        <v>249604.18</v>
      </c>
      <c r="I927">
        <v>12</v>
      </c>
      <c r="J927" s="1" t="s">
        <v>477</v>
      </c>
      <c r="K927">
        <v>0</v>
      </c>
      <c r="L927">
        <v>1603</v>
      </c>
      <c r="M927">
        <v>155.700941</v>
      </c>
      <c r="N927">
        <v>1</v>
      </c>
      <c r="O927" s="1" t="s">
        <v>562</v>
      </c>
      <c r="P927">
        <v>301288.67</v>
      </c>
      <c r="Q927">
        <v>55738.400000000001</v>
      </c>
      <c r="R927">
        <v>0</v>
      </c>
      <c r="S927" s="1" t="s">
        <v>789</v>
      </c>
      <c r="T927" s="1"/>
      <c r="U927">
        <v>249604.14430000001</v>
      </c>
      <c r="V927">
        <v>0</v>
      </c>
      <c r="W927">
        <v>56882</v>
      </c>
    </row>
    <row r="928" spans="1:23" x14ac:dyDescent="0.25">
      <c r="A928" s="1" t="s">
        <v>27</v>
      </c>
      <c r="B928" s="1"/>
      <c r="C928" s="1" t="s">
        <v>140</v>
      </c>
      <c r="D928">
        <v>10209</v>
      </c>
      <c r="E928" s="1"/>
      <c r="F928" s="1" t="s">
        <v>140</v>
      </c>
      <c r="G928">
        <v>2015</v>
      </c>
      <c r="H928">
        <v>110190</v>
      </c>
      <c r="I928">
        <v>5</v>
      </c>
      <c r="J928" s="1" t="s">
        <v>426</v>
      </c>
      <c r="K928">
        <v>0</v>
      </c>
      <c r="L928">
        <v>1839</v>
      </c>
      <c r="M928">
        <v>59.915174999999998</v>
      </c>
      <c r="N928">
        <v>1</v>
      </c>
      <c r="O928" s="1" t="s">
        <v>565</v>
      </c>
      <c r="P928">
        <v>124599.9</v>
      </c>
      <c r="Q928">
        <v>7974.39</v>
      </c>
      <c r="R928">
        <v>0</v>
      </c>
      <c r="S928" s="1" t="s">
        <v>790</v>
      </c>
      <c r="T928" s="1"/>
      <c r="U928">
        <v>110.19</v>
      </c>
      <c r="V928">
        <v>0</v>
      </c>
      <c r="W928">
        <v>89457</v>
      </c>
    </row>
    <row r="929" spans="1:23" x14ac:dyDescent="0.25">
      <c r="A929" s="1" t="s">
        <v>27</v>
      </c>
      <c r="B929" s="1"/>
      <c r="C929" s="1" t="s">
        <v>140</v>
      </c>
      <c r="D929">
        <v>10209</v>
      </c>
      <c r="E929" s="1"/>
      <c r="F929" s="1" t="s">
        <v>140</v>
      </c>
      <c r="G929">
        <v>2014</v>
      </c>
      <c r="H929">
        <v>155870.01</v>
      </c>
      <c r="I929">
        <v>12</v>
      </c>
      <c r="J929" s="1" t="s">
        <v>426</v>
      </c>
      <c r="K929">
        <v>0</v>
      </c>
      <c r="L929">
        <v>1839</v>
      </c>
      <c r="M929">
        <v>84.753416999999999</v>
      </c>
      <c r="N929">
        <v>1</v>
      </c>
      <c r="O929" s="1" t="s">
        <v>565</v>
      </c>
      <c r="P929">
        <v>185502.3</v>
      </c>
      <c r="Q929">
        <v>11872.16</v>
      </c>
      <c r="R929">
        <v>0</v>
      </c>
      <c r="S929" s="1" t="s">
        <v>790</v>
      </c>
      <c r="T929" s="1"/>
      <c r="U929">
        <v>155.87001000000001</v>
      </c>
      <c r="V929">
        <v>0</v>
      </c>
      <c r="W929">
        <v>89457</v>
      </c>
    </row>
    <row r="930" spans="1:23" x14ac:dyDescent="0.25">
      <c r="A930" s="1" t="s">
        <v>27</v>
      </c>
      <c r="B930" s="1"/>
      <c r="C930" s="1" t="s">
        <v>140</v>
      </c>
      <c r="D930">
        <v>10209</v>
      </c>
      <c r="E930" s="1"/>
      <c r="F930" s="1" t="s">
        <v>140</v>
      </c>
      <c r="G930">
        <v>2013</v>
      </c>
      <c r="H930">
        <v>161930</v>
      </c>
      <c r="I930">
        <v>12</v>
      </c>
      <c r="J930" s="1" t="s">
        <v>426</v>
      </c>
      <c r="K930">
        <v>0</v>
      </c>
      <c r="L930">
        <v>1839</v>
      </c>
      <c r="M930">
        <v>88.048501000000002</v>
      </c>
      <c r="N930">
        <v>1</v>
      </c>
      <c r="O930" s="1" t="s">
        <v>565</v>
      </c>
      <c r="P930">
        <v>168485.84</v>
      </c>
      <c r="Q930">
        <v>10783.09</v>
      </c>
      <c r="R930">
        <v>0</v>
      </c>
      <c r="S930" s="1" t="s">
        <v>790</v>
      </c>
      <c r="T930" s="1"/>
      <c r="U930">
        <v>161.93</v>
      </c>
      <c r="V930">
        <v>0</v>
      </c>
      <c r="W930">
        <v>89457</v>
      </c>
    </row>
    <row r="931" spans="1:23" x14ac:dyDescent="0.25">
      <c r="A931" s="1" t="s">
        <v>27</v>
      </c>
      <c r="B931" s="1"/>
      <c r="C931" s="1" t="s">
        <v>140</v>
      </c>
      <c r="D931">
        <v>10209</v>
      </c>
      <c r="E931" s="1"/>
      <c r="F931" s="1" t="s">
        <v>140</v>
      </c>
      <c r="G931">
        <v>2012</v>
      </c>
      <c r="H931">
        <v>181980</v>
      </c>
      <c r="I931">
        <v>12</v>
      </c>
      <c r="J931" s="1" t="s">
        <v>426</v>
      </c>
      <c r="K931">
        <v>0</v>
      </c>
      <c r="L931">
        <v>1839</v>
      </c>
      <c r="M931">
        <v>98.950573000000006</v>
      </c>
      <c r="N931">
        <v>1</v>
      </c>
      <c r="O931" s="1" t="s">
        <v>565</v>
      </c>
      <c r="P931">
        <v>190548.8</v>
      </c>
      <c r="Q931">
        <v>35251.53</v>
      </c>
      <c r="R931">
        <v>0</v>
      </c>
      <c r="S931" s="1" t="s">
        <v>790</v>
      </c>
      <c r="T931" s="1"/>
      <c r="U931">
        <v>181.98</v>
      </c>
      <c r="V931">
        <v>0</v>
      </c>
      <c r="W931">
        <v>89457</v>
      </c>
    </row>
    <row r="932" spans="1:23" x14ac:dyDescent="0.25">
      <c r="A932" s="1" t="s">
        <v>27</v>
      </c>
      <c r="B932" s="1"/>
      <c r="C932" s="1" t="s">
        <v>140</v>
      </c>
      <c r="D932">
        <v>10209</v>
      </c>
      <c r="E932" s="1"/>
      <c r="F932" s="1" t="s">
        <v>140</v>
      </c>
      <c r="G932">
        <v>2011</v>
      </c>
      <c r="H932">
        <v>127660.29</v>
      </c>
      <c r="I932">
        <v>6</v>
      </c>
      <c r="J932" s="1" t="s">
        <v>478</v>
      </c>
      <c r="K932">
        <v>0</v>
      </c>
      <c r="L932">
        <v>1839</v>
      </c>
      <c r="M932">
        <v>69.414545000000004</v>
      </c>
      <c r="N932">
        <v>1</v>
      </c>
      <c r="O932" s="1" t="s">
        <v>567</v>
      </c>
      <c r="P932">
        <v>140668.29</v>
      </c>
      <c r="Q932">
        <v>17710.05</v>
      </c>
      <c r="R932">
        <v>0</v>
      </c>
      <c r="S932" s="1" t="s">
        <v>787</v>
      </c>
      <c r="T932" s="1"/>
      <c r="U932">
        <v>459.20963</v>
      </c>
      <c r="V932">
        <v>0</v>
      </c>
      <c r="W932">
        <v>77422</v>
      </c>
    </row>
    <row r="933" spans="1:23" x14ac:dyDescent="0.25">
      <c r="A933" s="1" t="s">
        <v>27</v>
      </c>
      <c r="B933" s="1"/>
      <c r="C933" s="1" t="s">
        <v>140</v>
      </c>
      <c r="D933">
        <v>10209</v>
      </c>
      <c r="E933" s="1"/>
      <c r="F933" s="1" t="s">
        <v>140</v>
      </c>
      <c r="G933">
        <v>2011</v>
      </c>
      <c r="H933">
        <v>80810.009999999995</v>
      </c>
      <c r="I933">
        <v>6</v>
      </c>
      <c r="J933" s="1" t="s">
        <v>426</v>
      </c>
      <c r="K933">
        <v>0</v>
      </c>
      <c r="L933">
        <v>1839</v>
      </c>
      <c r="M933">
        <v>43.939976000000001</v>
      </c>
      <c r="N933">
        <v>1</v>
      </c>
      <c r="O933" s="1" t="s">
        <v>565</v>
      </c>
      <c r="P933">
        <v>91594.53</v>
      </c>
      <c r="Q933">
        <v>16944.990000000002</v>
      </c>
      <c r="R933">
        <v>0</v>
      </c>
      <c r="S933" s="1" t="s">
        <v>790</v>
      </c>
      <c r="T933" s="1"/>
      <c r="U933">
        <v>80.810010000000005</v>
      </c>
      <c r="V933">
        <v>0</v>
      </c>
      <c r="W933">
        <v>89457</v>
      </c>
    </row>
    <row r="934" spans="1:23" x14ac:dyDescent="0.25">
      <c r="A934" s="1" t="s">
        <v>27</v>
      </c>
      <c r="B934" s="1"/>
      <c r="C934" s="1" t="s">
        <v>140</v>
      </c>
      <c r="D934">
        <v>10209</v>
      </c>
      <c r="E934" s="1"/>
      <c r="F934" s="1" t="s">
        <v>140</v>
      </c>
      <c r="G934">
        <v>2010</v>
      </c>
      <c r="H934">
        <v>215347.6</v>
      </c>
      <c r="I934">
        <v>3</v>
      </c>
      <c r="J934" s="1" t="s">
        <v>478</v>
      </c>
      <c r="K934">
        <v>0</v>
      </c>
      <c r="L934">
        <v>1839</v>
      </c>
      <c r="M934">
        <v>117.094013</v>
      </c>
      <c r="N934">
        <v>1</v>
      </c>
      <c r="O934" s="1" t="s">
        <v>567</v>
      </c>
      <c r="P934">
        <v>226106.9</v>
      </c>
      <c r="Q934">
        <v>28466.69</v>
      </c>
      <c r="R934">
        <v>0</v>
      </c>
      <c r="S934" s="1" t="s">
        <v>787</v>
      </c>
      <c r="T934" s="1"/>
      <c r="U934">
        <v>774.63163999999995</v>
      </c>
      <c r="V934">
        <v>0</v>
      </c>
      <c r="W934">
        <v>77422</v>
      </c>
    </row>
    <row r="935" spans="1:23" x14ac:dyDescent="0.25">
      <c r="A935" s="1" t="s">
        <v>27</v>
      </c>
      <c r="B935" s="1"/>
      <c r="C935" s="1" t="s">
        <v>140</v>
      </c>
      <c r="D935">
        <v>10209</v>
      </c>
      <c r="E935" s="1"/>
      <c r="F935" s="1" t="s">
        <v>140</v>
      </c>
      <c r="G935">
        <v>2009</v>
      </c>
      <c r="H935">
        <v>224651.84</v>
      </c>
      <c r="I935">
        <v>3</v>
      </c>
      <c r="J935" s="1" t="s">
        <v>478</v>
      </c>
      <c r="K935">
        <v>0</v>
      </c>
      <c r="L935">
        <v>1839</v>
      </c>
      <c r="M935">
        <v>122.15313999999999</v>
      </c>
      <c r="N935">
        <v>1</v>
      </c>
      <c r="O935" s="1" t="s">
        <v>567</v>
      </c>
      <c r="P935">
        <v>304370.65999999997</v>
      </c>
      <c r="Q935">
        <v>38320.050000000003</v>
      </c>
      <c r="R935">
        <v>0</v>
      </c>
      <c r="S935" s="1" t="s">
        <v>787</v>
      </c>
      <c r="T935" s="1"/>
      <c r="U935">
        <v>808.1001</v>
      </c>
      <c r="V935">
        <v>0</v>
      </c>
      <c r="W935">
        <v>77422</v>
      </c>
    </row>
    <row r="936" spans="1:23" x14ac:dyDescent="0.25">
      <c r="A936" s="1" t="s">
        <v>27</v>
      </c>
      <c r="B936" s="1"/>
      <c r="C936" s="1" t="s">
        <v>140</v>
      </c>
      <c r="D936">
        <v>10209</v>
      </c>
      <c r="E936" s="1"/>
      <c r="F936" s="1" t="s">
        <v>140</v>
      </c>
      <c r="G936">
        <v>2008</v>
      </c>
      <c r="H936">
        <v>155031.79</v>
      </c>
      <c r="I936">
        <v>8</v>
      </c>
      <c r="J936" s="1" t="s">
        <v>478</v>
      </c>
      <c r="K936">
        <v>0</v>
      </c>
      <c r="L936">
        <v>1839</v>
      </c>
      <c r="M936">
        <v>84.297640000000001</v>
      </c>
      <c r="N936">
        <v>1</v>
      </c>
      <c r="O936" s="1" t="s">
        <v>567</v>
      </c>
      <c r="P936">
        <v>177440.8</v>
      </c>
      <c r="Q936">
        <v>22339.67</v>
      </c>
      <c r="R936">
        <v>0</v>
      </c>
      <c r="S936" s="1" t="s">
        <v>787</v>
      </c>
      <c r="T936" s="1"/>
      <c r="U936">
        <v>557.66831000000002</v>
      </c>
      <c r="V936">
        <v>0</v>
      </c>
      <c r="W936">
        <v>77422</v>
      </c>
    </row>
    <row r="937" spans="1:23" x14ac:dyDescent="0.25">
      <c r="A937" s="1" t="s">
        <v>27</v>
      </c>
      <c r="B937" s="1" t="s">
        <v>48</v>
      </c>
      <c r="C937" s="1" t="s">
        <v>109</v>
      </c>
      <c r="D937">
        <v>5244</v>
      </c>
      <c r="E937" s="1"/>
      <c r="F937" s="1" t="s">
        <v>256</v>
      </c>
      <c r="G937">
        <v>2015</v>
      </c>
      <c r="H937">
        <v>6226</v>
      </c>
      <c r="I937">
        <v>5</v>
      </c>
      <c r="J937" s="1" t="s">
        <v>402</v>
      </c>
      <c r="K937">
        <v>0</v>
      </c>
      <c r="L937">
        <v>560</v>
      </c>
      <c r="M937">
        <v>11.115872</v>
      </c>
      <c r="N937">
        <v>2</v>
      </c>
      <c r="O937" s="1" t="s">
        <v>569</v>
      </c>
      <c r="P937">
        <v>6226</v>
      </c>
      <c r="Q937">
        <v>2490.4</v>
      </c>
      <c r="R937">
        <v>0</v>
      </c>
      <c r="S937" s="1" t="s">
        <v>953</v>
      </c>
      <c r="T937" s="1"/>
      <c r="U937">
        <v>6226</v>
      </c>
      <c r="V937">
        <v>0</v>
      </c>
      <c r="W937">
        <v>57569</v>
      </c>
    </row>
    <row r="938" spans="1:23" x14ac:dyDescent="0.25">
      <c r="A938" s="1" t="s">
        <v>27</v>
      </c>
      <c r="B938" s="1" t="s">
        <v>48</v>
      </c>
      <c r="C938" s="1" t="s">
        <v>109</v>
      </c>
      <c r="D938">
        <v>5244</v>
      </c>
      <c r="E938" s="1"/>
      <c r="F938" s="1" t="s">
        <v>256</v>
      </c>
      <c r="G938">
        <v>2014</v>
      </c>
      <c r="H938">
        <v>13486</v>
      </c>
      <c r="I938">
        <v>12</v>
      </c>
      <c r="J938" s="1" t="s">
        <v>402</v>
      </c>
      <c r="K938">
        <v>0</v>
      </c>
      <c r="L938">
        <v>560</v>
      </c>
      <c r="M938">
        <v>24.077843000000001</v>
      </c>
      <c r="N938">
        <v>2</v>
      </c>
      <c r="O938" s="1" t="s">
        <v>569</v>
      </c>
      <c r="P938">
        <v>13486</v>
      </c>
      <c r="Q938">
        <v>5394.4</v>
      </c>
      <c r="R938">
        <v>0</v>
      </c>
      <c r="S938" s="1" t="s">
        <v>953</v>
      </c>
      <c r="T938" s="1"/>
      <c r="U938">
        <v>13486</v>
      </c>
      <c r="V938">
        <v>0</v>
      </c>
      <c r="W938">
        <v>57569</v>
      </c>
    </row>
    <row r="939" spans="1:23" x14ac:dyDescent="0.25">
      <c r="A939" s="1" t="s">
        <v>27</v>
      </c>
      <c r="B939" s="1" t="s">
        <v>48</v>
      </c>
      <c r="C939" s="1" t="s">
        <v>109</v>
      </c>
      <c r="D939">
        <v>5244</v>
      </c>
      <c r="E939" s="1"/>
      <c r="F939" s="1" t="s">
        <v>256</v>
      </c>
      <c r="G939">
        <v>2013</v>
      </c>
      <c r="H939">
        <v>21085</v>
      </c>
      <c r="I939">
        <v>12</v>
      </c>
      <c r="J939" s="1" t="s">
        <v>402</v>
      </c>
      <c r="K939">
        <v>0</v>
      </c>
      <c r="L939">
        <v>560</v>
      </c>
      <c r="M939">
        <v>37.645063</v>
      </c>
      <c r="N939">
        <v>2</v>
      </c>
      <c r="O939" s="1" t="s">
        <v>569</v>
      </c>
      <c r="P939">
        <v>21085</v>
      </c>
      <c r="Q939">
        <v>8434</v>
      </c>
      <c r="R939">
        <v>0</v>
      </c>
      <c r="S939" s="1" t="s">
        <v>953</v>
      </c>
      <c r="T939" s="1"/>
      <c r="U939">
        <v>21085</v>
      </c>
      <c r="V939">
        <v>0</v>
      </c>
      <c r="W939">
        <v>57569</v>
      </c>
    </row>
    <row r="940" spans="1:23" x14ac:dyDescent="0.25">
      <c r="A940" s="1" t="s">
        <v>27</v>
      </c>
      <c r="B940" s="1" t="s">
        <v>48</v>
      </c>
      <c r="C940" s="1" t="s">
        <v>109</v>
      </c>
      <c r="D940">
        <v>5244</v>
      </c>
      <c r="E940" s="1"/>
      <c r="F940" s="1" t="s">
        <v>256</v>
      </c>
      <c r="G940">
        <v>2012</v>
      </c>
      <c r="H940">
        <v>18219</v>
      </c>
      <c r="I940">
        <v>12</v>
      </c>
      <c r="J940" s="1" t="s">
        <v>402</v>
      </c>
      <c r="K940">
        <v>0</v>
      </c>
      <c r="L940">
        <v>560</v>
      </c>
      <c r="M940">
        <v>32.528118999999997</v>
      </c>
      <c r="N940">
        <v>2</v>
      </c>
      <c r="O940" s="1" t="s">
        <v>569</v>
      </c>
      <c r="P940">
        <v>18219</v>
      </c>
      <c r="Q940">
        <v>7287.6</v>
      </c>
      <c r="R940">
        <v>0</v>
      </c>
      <c r="S940" s="1" t="s">
        <v>953</v>
      </c>
      <c r="T940" s="1"/>
      <c r="U940">
        <v>18219</v>
      </c>
      <c r="V940">
        <v>0</v>
      </c>
      <c r="W940">
        <v>57569</v>
      </c>
    </row>
    <row r="941" spans="1:23" x14ac:dyDescent="0.25">
      <c r="A941" s="1" t="s">
        <v>27</v>
      </c>
      <c r="B941" s="1" t="s">
        <v>48</v>
      </c>
      <c r="C941" s="1" t="s">
        <v>109</v>
      </c>
      <c r="D941">
        <v>5244</v>
      </c>
      <c r="E941" s="1"/>
      <c r="F941" s="1" t="s">
        <v>256</v>
      </c>
      <c r="G941">
        <v>2011</v>
      </c>
      <c r="H941">
        <v>22354</v>
      </c>
      <c r="I941">
        <v>12</v>
      </c>
      <c r="J941" s="1" t="s">
        <v>402</v>
      </c>
      <c r="K941">
        <v>0</v>
      </c>
      <c r="L941">
        <v>560</v>
      </c>
      <c r="M941">
        <v>39.910730000000001</v>
      </c>
      <c r="N941">
        <v>2</v>
      </c>
      <c r="O941" s="1" t="s">
        <v>569</v>
      </c>
      <c r="P941">
        <v>22354</v>
      </c>
      <c r="Q941">
        <v>10484.02</v>
      </c>
      <c r="R941">
        <v>0</v>
      </c>
      <c r="S941" s="1" t="s">
        <v>953</v>
      </c>
      <c r="T941" s="1"/>
      <c r="U941">
        <v>22354</v>
      </c>
      <c r="V941">
        <v>0</v>
      </c>
      <c r="W941">
        <v>57569</v>
      </c>
    </row>
    <row r="942" spans="1:23" x14ac:dyDescent="0.25">
      <c r="A942" s="1" t="s">
        <v>27</v>
      </c>
      <c r="B942" s="1" t="s">
        <v>48</v>
      </c>
      <c r="C942" s="1" t="s">
        <v>109</v>
      </c>
      <c r="D942">
        <v>5244</v>
      </c>
      <c r="E942" s="1"/>
      <c r="F942" s="1" t="s">
        <v>256</v>
      </c>
      <c r="G942">
        <v>2010</v>
      </c>
      <c r="H942">
        <v>22052</v>
      </c>
      <c r="I942">
        <v>12</v>
      </c>
      <c r="J942" s="1" t="s">
        <v>402</v>
      </c>
      <c r="K942">
        <v>0</v>
      </c>
      <c r="L942">
        <v>560</v>
      </c>
      <c r="M942">
        <v>39.371540000000003</v>
      </c>
      <c r="N942">
        <v>2</v>
      </c>
      <c r="O942" s="1" t="s">
        <v>569</v>
      </c>
      <c r="P942">
        <v>22052</v>
      </c>
      <c r="Q942">
        <v>10342.39</v>
      </c>
      <c r="R942">
        <v>0</v>
      </c>
      <c r="S942" s="1" t="s">
        <v>953</v>
      </c>
      <c r="T942" s="1"/>
      <c r="U942">
        <v>22052</v>
      </c>
      <c r="V942">
        <v>0</v>
      </c>
      <c r="W942">
        <v>57569</v>
      </c>
    </row>
    <row r="943" spans="1:23" x14ac:dyDescent="0.25">
      <c r="A943" s="1" t="s">
        <v>27</v>
      </c>
      <c r="B943" s="1" t="s">
        <v>48</v>
      </c>
      <c r="C943" s="1" t="s">
        <v>109</v>
      </c>
      <c r="D943">
        <v>5244</v>
      </c>
      <c r="E943" s="1"/>
      <c r="F943" s="1" t="s">
        <v>256</v>
      </c>
      <c r="G943">
        <v>2009</v>
      </c>
      <c r="H943">
        <v>26278</v>
      </c>
      <c r="I943">
        <v>12</v>
      </c>
      <c r="J943" s="1" t="s">
        <v>402</v>
      </c>
      <c r="K943">
        <v>0</v>
      </c>
      <c r="L943">
        <v>560</v>
      </c>
      <c r="M943">
        <v>46.916621999999997</v>
      </c>
      <c r="N943">
        <v>2</v>
      </c>
      <c r="O943" s="1" t="s">
        <v>569</v>
      </c>
      <c r="P943">
        <v>26278</v>
      </c>
      <c r="Q943">
        <v>12324.38</v>
      </c>
      <c r="R943">
        <v>0</v>
      </c>
      <c r="S943" s="1" t="s">
        <v>953</v>
      </c>
      <c r="T943" s="1"/>
      <c r="U943">
        <v>26278</v>
      </c>
      <c r="V943">
        <v>0</v>
      </c>
      <c r="W943">
        <v>57569</v>
      </c>
    </row>
    <row r="944" spans="1:23" x14ac:dyDescent="0.25">
      <c r="A944" s="1" t="s">
        <v>27</v>
      </c>
      <c r="B944" s="1" t="s">
        <v>48</v>
      </c>
      <c r="C944" s="1" t="s">
        <v>109</v>
      </c>
      <c r="D944">
        <v>5244</v>
      </c>
      <c r="E944" s="1"/>
      <c r="F944" s="1" t="s">
        <v>256</v>
      </c>
      <c r="G944">
        <v>2008</v>
      </c>
      <c r="H944">
        <v>22906</v>
      </c>
      <c r="I944">
        <v>12</v>
      </c>
      <c r="J944" s="1" t="s">
        <v>402</v>
      </c>
      <c r="K944">
        <v>0</v>
      </c>
      <c r="L944">
        <v>560</v>
      </c>
      <c r="M944">
        <v>40.896267999999999</v>
      </c>
      <c r="N944">
        <v>2</v>
      </c>
      <c r="O944" s="1" t="s">
        <v>569</v>
      </c>
      <c r="P944">
        <v>22906</v>
      </c>
      <c r="Q944">
        <v>10742.91</v>
      </c>
      <c r="R944">
        <v>0</v>
      </c>
      <c r="S944" s="1" t="s">
        <v>953</v>
      </c>
      <c r="T944" s="1"/>
      <c r="U944">
        <v>22906</v>
      </c>
      <c r="V944">
        <v>0</v>
      </c>
      <c r="W944">
        <v>57569</v>
      </c>
    </row>
    <row r="945" spans="1:23" x14ac:dyDescent="0.25">
      <c r="A945" s="1" t="s">
        <v>27</v>
      </c>
      <c r="B945" s="1"/>
      <c r="C945" s="1" t="s">
        <v>110</v>
      </c>
      <c r="D945">
        <v>9965</v>
      </c>
      <c r="E945" s="1"/>
      <c r="F945" s="1" t="s">
        <v>110</v>
      </c>
      <c r="G945">
        <v>2015</v>
      </c>
      <c r="H945">
        <v>7454.04</v>
      </c>
      <c r="I945">
        <v>5</v>
      </c>
      <c r="J945" s="1" t="s">
        <v>403</v>
      </c>
      <c r="K945">
        <v>0</v>
      </c>
      <c r="L945">
        <v>715</v>
      </c>
      <c r="M945">
        <v>10.423772</v>
      </c>
      <c r="N945">
        <v>2</v>
      </c>
      <c r="O945" s="1" t="s">
        <v>569</v>
      </c>
      <c r="P945">
        <v>7454.04</v>
      </c>
      <c r="Q945">
        <v>2236.21</v>
      </c>
      <c r="R945">
        <v>0</v>
      </c>
      <c r="S945" s="1"/>
      <c r="T945" s="1" t="s">
        <v>1246</v>
      </c>
      <c r="U945">
        <v>7454.0309999999999</v>
      </c>
      <c r="V945">
        <v>0</v>
      </c>
      <c r="W945">
        <v>76372</v>
      </c>
    </row>
    <row r="946" spans="1:23" x14ac:dyDescent="0.25">
      <c r="A946" s="1" t="s">
        <v>27</v>
      </c>
      <c r="B946" s="1"/>
      <c r="C946" s="1" t="s">
        <v>110</v>
      </c>
      <c r="D946">
        <v>9965</v>
      </c>
      <c r="E946" s="1"/>
      <c r="F946" s="1" t="s">
        <v>110</v>
      </c>
      <c r="G946">
        <v>2014</v>
      </c>
      <c r="H946">
        <v>17206.64</v>
      </c>
      <c r="I946">
        <v>12</v>
      </c>
      <c r="J946" s="1" t="s">
        <v>403</v>
      </c>
      <c r="K946">
        <v>0</v>
      </c>
      <c r="L946">
        <v>715</v>
      </c>
      <c r="M946">
        <v>24.061865000000001</v>
      </c>
      <c r="N946">
        <v>2</v>
      </c>
      <c r="O946" s="1" t="s">
        <v>569</v>
      </c>
      <c r="P946">
        <v>17206.64</v>
      </c>
      <c r="Q946">
        <v>5161.99</v>
      </c>
      <c r="R946">
        <v>0</v>
      </c>
      <c r="S946" s="1"/>
      <c r="T946" s="1" t="s">
        <v>1246</v>
      </c>
      <c r="U946">
        <v>17206.644</v>
      </c>
      <c r="V946">
        <v>0</v>
      </c>
      <c r="W946">
        <v>76372</v>
      </c>
    </row>
    <row r="947" spans="1:23" x14ac:dyDescent="0.25">
      <c r="A947" s="1" t="s">
        <v>27</v>
      </c>
      <c r="B947" s="1"/>
      <c r="C947" s="1" t="s">
        <v>110</v>
      </c>
      <c r="D947">
        <v>9965</v>
      </c>
      <c r="E947" s="1"/>
      <c r="F947" s="1" t="s">
        <v>110</v>
      </c>
      <c r="G947">
        <v>2013</v>
      </c>
      <c r="H947">
        <v>19393.689999999999</v>
      </c>
      <c r="I947">
        <v>12</v>
      </c>
      <c r="J947" s="1" t="s">
        <v>403</v>
      </c>
      <c r="K947">
        <v>0</v>
      </c>
      <c r="L947">
        <v>715</v>
      </c>
      <c r="M947">
        <v>27.120248</v>
      </c>
      <c r="N947">
        <v>2</v>
      </c>
      <c r="O947" s="1" t="s">
        <v>569</v>
      </c>
      <c r="P947">
        <v>19393.689999999999</v>
      </c>
      <c r="Q947">
        <v>5818.11</v>
      </c>
      <c r="R947">
        <v>0</v>
      </c>
      <c r="S947" s="1"/>
      <c r="T947" s="1" t="s">
        <v>1246</v>
      </c>
      <c r="U947">
        <v>19393.687000000002</v>
      </c>
      <c r="V947">
        <v>0</v>
      </c>
      <c r="W947">
        <v>76372</v>
      </c>
    </row>
    <row r="948" spans="1:23" x14ac:dyDescent="0.25">
      <c r="A948" s="1" t="s">
        <v>27</v>
      </c>
      <c r="B948" s="1"/>
      <c r="C948" s="1" t="s">
        <v>110</v>
      </c>
      <c r="D948">
        <v>9965</v>
      </c>
      <c r="E948" s="1"/>
      <c r="F948" s="1" t="s">
        <v>110</v>
      </c>
      <c r="G948">
        <v>2012</v>
      </c>
      <c r="H948">
        <v>18246.97</v>
      </c>
      <c r="I948">
        <v>12</v>
      </c>
      <c r="J948" s="1" t="s">
        <v>403</v>
      </c>
      <c r="K948">
        <v>0</v>
      </c>
      <c r="L948">
        <v>715</v>
      </c>
      <c r="M948">
        <v>25.516667999999999</v>
      </c>
      <c r="N948">
        <v>2</v>
      </c>
      <c r="O948" s="1" t="s">
        <v>569</v>
      </c>
      <c r="P948">
        <v>18246.97</v>
      </c>
      <c r="Q948">
        <v>7298.79</v>
      </c>
      <c r="R948">
        <v>0</v>
      </c>
      <c r="S948" s="1"/>
      <c r="T948" s="1" t="s">
        <v>1246</v>
      </c>
      <c r="U948">
        <v>18246.97</v>
      </c>
      <c r="V948">
        <v>0</v>
      </c>
      <c r="W948">
        <v>76372</v>
      </c>
    </row>
    <row r="949" spans="1:23" x14ac:dyDescent="0.25">
      <c r="A949" s="1" t="s">
        <v>27</v>
      </c>
      <c r="B949" s="1"/>
      <c r="C949" s="1" t="s">
        <v>110</v>
      </c>
      <c r="D949">
        <v>9965</v>
      </c>
      <c r="E949" s="1"/>
      <c r="F949" s="1" t="s">
        <v>110</v>
      </c>
      <c r="G949">
        <v>2011</v>
      </c>
      <c r="H949">
        <v>19300.71</v>
      </c>
      <c r="I949">
        <v>12</v>
      </c>
      <c r="J949" s="1" t="s">
        <v>403</v>
      </c>
      <c r="K949">
        <v>0</v>
      </c>
      <c r="L949">
        <v>715</v>
      </c>
      <c r="M949">
        <v>26.990224999999999</v>
      </c>
      <c r="N949">
        <v>2</v>
      </c>
      <c r="O949" s="1" t="s">
        <v>569</v>
      </c>
      <c r="P949">
        <v>19300.71</v>
      </c>
      <c r="Q949">
        <v>9052.07</v>
      </c>
      <c r="R949">
        <v>0</v>
      </c>
      <c r="S949" s="1"/>
      <c r="T949" s="1" t="s">
        <v>1246</v>
      </c>
      <c r="U949">
        <v>19300.716</v>
      </c>
      <c r="V949">
        <v>0</v>
      </c>
      <c r="W949">
        <v>76372</v>
      </c>
    </row>
    <row r="950" spans="1:23" x14ac:dyDescent="0.25">
      <c r="A950" s="1" t="s">
        <v>27</v>
      </c>
      <c r="B950" s="1"/>
      <c r="C950" s="1" t="s">
        <v>110</v>
      </c>
      <c r="D950">
        <v>9965</v>
      </c>
      <c r="E950" s="1"/>
      <c r="F950" s="1" t="s">
        <v>110</v>
      </c>
      <c r="G950">
        <v>2010</v>
      </c>
      <c r="H950">
        <v>22489.42</v>
      </c>
      <c r="I950">
        <v>12</v>
      </c>
      <c r="J950" s="1" t="s">
        <v>403</v>
      </c>
      <c r="K950">
        <v>0</v>
      </c>
      <c r="L950">
        <v>715</v>
      </c>
      <c r="M950">
        <v>31.449335000000001</v>
      </c>
      <c r="N950">
        <v>2</v>
      </c>
      <c r="O950" s="1" t="s">
        <v>569</v>
      </c>
      <c r="P950">
        <v>22489.42</v>
      </c>
      <c r="Q950">
        <v>10547.54</v>
      </c>
      <c r="R950">
        <v>0</v>
      </c>
      <c r="S950" s="1"/>
      <c r="T950" s="1" t="s">
        <v>1246</v>
      </c>
      <c r="U950">
        <v>22489.41113</v>
      </c>
      <c r="V950">
        <v>0</v>
      </c>
      <c r="W950">
        <v>76372</v>
      </c>
    </row>
    <row r="951" spans="1:23" x14ac:dyDescent="0.25">
      <c r="A951" s="1" t="s">
        <v>27</v>
      </c>
      <c r="B951" s="1"/>
      <c r="C951" s="1" t="s">
        <v>110</v>
      </c>
      <c r="D951">
        <v>9965</v>
      </c>
      <c r="E951" s="1"/>
      <c r="F951" s="1" t="s">
        <v>110</v>
      </c>
      <c r="G951">
        <v>2009</v>
      </c>
      <c r="H951">
        <v>25297.08</v>
      </c>
      <c r="I951">
        <v>5</v>
      </c>
      <c r="J951" s="1" t="s">
        <v>403</v>
      </c>
      <c r="K951">
        <v>0</v>
      </c>
      <c r="L951">
        <v>715</v>
      </c>
      <c r="M951">
        <v>35.375582999999999</v>
      </c>
      <c r="N951">
        <v>2</v>
      </c>
      <c r="O951" s="1" t="s">
        <v>569</v>
      </c>
      <c r="P951">
        <v>25297.08</v>
      </c>
      <c r="Q951">
        <v>11864.33</v>
      </c>
      <c r="R951">
        <v>0</v>
      </c>
      <c r="S951" s="1"/>
      <c r="T951" s="1" t="s">
        <v>1246</v>
      </c>
      <c r="U951">
        <v>25297.088199999998</v>
      </c>
      <c r="V951">
        <v>0</v>
      </c>
      <c r="W951">
        <v>76372</v>
      </c>
    </row>
    <row r="952" spans="1:23" x14ac:dyDescent="0.25">
      <c r="A952" s="1" t="s">
        <v>27</v>
      </c>
      <c r="B952" s="1"/>
      <c r="C952" s="1" t="s">
        <v>110</v>
      </c>
      <c r="D952">
        <v>9965</v>
      </c>
      <c r="E952" s="1"/>
      <c r="F952" s="1" t="s">
        <v>110</v>
      </c>
      <c r="G952">
        <v>2008</v>
      </c>
      <c r="H952">
        <v>25049.98</v>
      </c>
      <c r="I952">
        <v>5</v>
      </c>
      <c r="J952" s="1" t="s">
        <v>403</v>
      </c>
      <c r="K952">
        <v>0</v>
      </c>
      <c r="L952">
        <v>715</v>
      </c>
      <c r="M952">
        <v>35.030037</v>
      </c>
      <c r="N952">
        <v>2</v>
      </c>
      <c r="O952" s="1" t="s">
        <v>569</v>
      </c>
      <c r="P952">
        <v>25049.98</v>
      </c>
      <c r="Q952">
        <v>11748.43</v>
      </c>
      <c r="R952">
        <v>0</v>
      </c>
      <c r="S952" s="1"/>
      <c r="T952" s="1" t="s">
        <v>1246</v>
      </c>
      <c r="U952">
        <v>25049.98531</v>
      </c>
      <c r="V952">
        <v>0</v>
      </c>
      <c r="W952">
        <v>76372</v>
      </c>
    </row>
    <row r="953" spans="1:23" x14ac:dyDescent="0.25">
      <c r="A953" s="1" t="s">
        <v>27</v>
      </c>
      <c r="B953" s="1" t="s">
        <v>49</v>
      </c>
      <c r="C953" s="1" t="s">
        <v>111</v>
      </c>
      <c r="D953">
        <v>5251</v>
      </c>
      <c r="E953" s="1"/>
      <c r="F953" s="1" t="s">
        <v>257</v>
      </c>
      <c r="G953">
        <v>2015</v>
      </c>
      <c r="H953">
        <v>2440.92</v>
      </c>
      <c r="I953">
        <v>5</v>
      </c>
      <c r="J953" s="1" t="s">
        <v>404</v>
      </c>
      <c r="K953">
        <v>0</v>
      </c>
      <c r="L953">
        <v>375</v>
      </c>
      <c r="M953">
        <v>6.5073840000000001</v>
      </c>
      <c r="N953">
        <v>2</v>
      </c>
      <c r="O953" s="1" t="s">
        <v>569</v>
      </c>
      <c r="P953">
        <v>2440.92</v>
      </c>
      <c r="Q953">
        <v>976.37</v>
      </c>
      <c r="R953">
        <v>0</v>
      </c>
      <c r="S953" s="1" t="s">
        <v>954</v>
      </c>
      <c r="T953" s="1" t="s">
        <v>1247</v>
      </c>
      <c r="U953">
        <v>2440.9250999999999</v>
      </c>
      <c r="V953">
        <v>0</v>
      </c>
      <c r="W953">
        <v>56680</v>
      </c>
    </row>
    <row r="954" spans="1:23" x14ac:dyDescent="0.25">
      <c r="A954" s="1" t="s">
        <v>27</v>
      </c>
      <c r="B954" s="1" t="s">
        <v>49</v>
      </c>
      <c r="C954" s="1" t="s">
        <v>111</v>
      </c>
      <c r="D954">
        <v>5251</v>
      </c>
      <c r="E954" s="1"/>
      <c r="F954" s="1" t="s">
        <v>257</v>
      </c>
      <c r="G954">
        <v>2014</v>
      </c>
      <c r="H954">
        <v>8000.73</v>
      </c>
      <c r="I954">
        <v>12</v>
      </c>
      <c r="J954" s="1" t="s">
        <v>404</v>
      </c>
      <c r="K954">
        <v>0</v>
      </c>
      <c r="L954">
        <v>375</v>
      </c>
      <c r="M954">
        <v>21.329592000000002</v>
      </c>
      <c r="N954">
        <v>2</v>
      </c>
      <c r="O954" s="1" t="s">
        <v>569</v>
      </c>
      <c r="P954">
        <v>8000.73</v>
      </c>
      <c r="Q954">
        <v>3200.29</v>
      </c>
      <c r="R954">
        <v>0</v>
      </c>
      <c r="S954" s="1" t="s">
        <v>954</v>
      </c>
      <c r="T954" s="1" t="s">
        <v>1247</v>
      </c>
      <c r="U954">
        <v>8000.7338</v>
      </c>
      <c r="V954">
        <v>0</v>
      </c>
      <c r="W954">
        <v>56680</v>
      </c>
    </row>
    <row r="955" spans="1:23" x14ac:dyDescent="0.25">
      <c r="A955" s="1" t="s">
        <v>27</v>
      </c>
      <c r="B955" s="1" t="s">
        <v>49</v>
      </c>
      <c r="C955" s="1" t="s">
        <v>111</v>
      </c>
      <c r="D955">
        <v>5251</v>
      </c>
      <c r="E955" s="1"/>
      <c r="F955" s="1" t="s">
        <v>257</v>
      </c>
      <c r="G955">
        <v>2013</v>
      </c>
      <c r="H955">
        <v>20665.3</v>
      </c>
      <c r="I955">
        <v>12</v>
      </c>
      <c r="J955" s="1" t="s">
        <v>404</v>
      </c>
      <c r="K955">
        <v>0</v>
      </c>
      <c r="L955">
        <v>375</v>
      </c>
      <c r="M955">
        <v>55.092775000000003</v>
      </c>
      <c r="N955">
        <v>2</v>
      </c>
      <c r="O955" s="1" t="s">
        <v>569</v>
      </c>
      <c r="P955">
        <v>20665.3</v>
      </c>
      <c r="Q955">
        <v>8266.1</v>
      </c>
      <c r="R955">
        <v>0</v>
      </c>
      <c r="S955" s="1" t="s">
        <v>954</v>
      </c>
      <c r="T955" s="1" t="s">
        <v>1247</v>
      </c>
      <c r="U955">
        <v>20665.312699999999</v>
      </c>
      <c r="V955">
        <v>0</v>
      </c>
      <c r="W955">
        <v>56680</v>
      </c>
    </row>
    <row r="956" spans="1:23" x14ac:dyDescent="0.25">
      <c r="A956" s="1" t="s">
        <v>27</v>
      </c>
      <c r="B956" s="1" t="s">
        <v>49</v>
      </c>
      <c r="C956" s="1" t="s">
        <v>111</v>
      </c>
      <c r="D956">
        <v>5251</v>
      </c>
      <c r="E956" s="1"/>
      <c r="F956" s="1" t="s">
        <v>257</v>
      </c>
      <c r="G956">
        <v>2012</v>
      </c>
      <c r="H956">
        <v>16231.31</v>
      </c>
      <c r="I956">
        <v>12</v>
      </c>
      <c r="J956" s="1" t="s">
        <v>404</v>
      </c>
      <c r="K956">
        <v>0</v>
      </c>
      <c r="L956">
        <v>375</v>
      </c>
      <c r="M956">
        <v>43.271954000000001</v>
      </c>
      <c r="N956">
        <v>2</v>
      </c>
      <c r="O956" s="1" t="s">
        <v>569</v>
      </c>
      <c r="P956">
        <v>16231.31</v>
      </c>
      <c r="Q956">
        <v>6492.52</v>
      </c>
      <c r="R956">
        <v>0</v>
      </c>
      <c r="S956" s="1" t="s">
        <v>954</v>
      </c>
      <c r="T956" s="1" t="s">
        <v>1247</v>
      </c>
      <c r="U956">
        <v>16231.303900000001</v>
      </c>
      <c r="V956">
        <v>0</v>
      </c>
      <c r="W956">
        <v>56680</v>
      </c>
    </row>
    <row r="957" spans="1:23" x14ac:dyDescent="0.25">
      <c r="A957" s="1" t="s">
        <v>27</v>
      </c>
      <c r="B957" s="1" t="s">
        <v>49</v>
      </c>
      <c r="C957" s="1" t="s">
        <v>111</v>
      </c>
      <c r="D957">
        <v>5251</v>
      </c>
      <c r="E957" s="1"/>
      <c r="F957" s="1" t="s">
        <v>257</v>
      </c>
      <c r="G957">
        <v>2011</v>
      </c>
      <c r="H957">
        <v>12715.22</v>
      </c>
      <c r="I957">
        <v>12</v>
      </c>
      <c r="J957" s="1" t="s">
        <v>404</v>
      </c>
      <c r="K957">
        <v>0</v>
      </c>
      <c r="L957">
        <v>375</v>
      </c>
      <c r="M957">
        <v>33.898212999999998</v>
      </c>
      <c r="N957">
        <v>2</v>
      </c>
      <c r="O957" s="1" t="s">
        <v>569</v>
      </c>
      <c r="P957">
        <v>12715.22</v>
      </c>
      <c r="Q957">
        <v>5963.43</v>
      </c>
      <c r="R957">
        <v>0</v>
      </c>
      <c r="S957" s="1" t="s">
        <v>954</v>
      </c>
      <c r="T957" s="1" t="s">
        <v>1247</v>
      </c>
      <c r="U957">
        <v>12715.221100000001</v>
      </c>
      <c r="V957">
        <v>0</v>
      </c>
      <c r="W957">
        <v>56680</v>
      </c>
    </row>
    <row r="958" spans="1:23" x14ac:dyDescent="0.25">
      <c r="A958" s="1" t="s">
        <v>27</v>
      </c>
      <c r="B958" s="1" t="s">
        <v>49</v>
      </c>
      <c r="C958" s="1" t="s">
        <v>111</v>
      </c>
      <c r="D958">
        <v>5251</v>
      </c>
      <c r="E958" s="1"/>
      <c r="F958" s="1" t="s">
        <v>257</v>
      </c>
      <c r="G958">
        <v>2010</v>
      </c>
      <c r="H958">
        <v>15744.48</v>
      </c>
      <c r="I958">
        <v>12</v>
      </c>
      <c r="J958" s="1" t="s">
        <v>404</v>
      </c>
      <c r="K958">
        <v>0</v>
      </c>
      <c r="L958">
        <v>375</v>
      </c>
      <c r="M958">
        <v>41.974086</v>
      </c>
      <c r="N958">
        <v>2</v>
      </c>
      <c r="O958" s="1" t="s">
        <v>569</v>
      </c>
      <c r="P958">
        <v>15744.48</v>
      </c>
      <c r="Q958">
        <v>7384.17</v>
      </c>
      <c r="R958">
        <v>0</v>
      </c>
      <c r="S958" s="1" t="s">
        <v>954</v>
      </c>
      <c r="T958" s="1" t="s">
        <v>1247</v>
      </c>
      <c r="U958">
        <v>15744.4815</v>
      </c>
      <c r="V958">
        <v>0</v>
      </c>
      <c r="W958">
        <v>56680</v>
      </c>
    </row>
    <row r="959" spans="1:23" x14ac:dyDescent="0.25">
      <c r="A959" s="1" t="s">
        <v>27</v>
      </c>
      <c r="B959" s="1" t="s">
        <v>49</v>
      </c>
      <c r="C959" s="1" t="s">
        <v>111</v>
      </c>
      <c r="D959">
        <v>5251</v>
      </c>
      <c r="E959" s="1"/>
      <c r="F959" s="1" t="s">
        <v>257</v>
      </c>
      <c r="G959">
        <v>2009</v>
      </c>
      <c r="H959">
        <v>17057.41</v>
      </c>
      <c r="I959">
        <v>12</v>
      </c>
      <c r="J959" s="1" t="s">
        <v>404</v>
      </c>
      <c r="K959">
        <v>0</v>
      </c>
      <c r="L959">
        <v>375</v>
      </c>
      <c r="M959">
        <v>45.474299999999999</v>
      </c>
      <c r="N959">
        <v>2</v>
      </c>
      <c r="O959" s="1" t="s">
        <v>569</v>
      </c>
      <c r="P959">
        <v>17057.41</v>
      </c>
      <c r="Q959">
        <v>7999.93</v>
      </c>
      <c r="R959">
        <v>0</v>
      </c>
      <c r="S959" s="1" t="s">
        <v>954</v>
      </c>
      <c r="T959" s="1" t="s">
        <v>1247</v>
      </c>
      <c r="U959">
        <v>17057.398000000001</v>
      </c>
      <c r="V959">
        <v>0</v>
      </c>
      <c r="W959">
        <v>56680</v>
      </c>
    </row>
    <row r="960" spans="1:23" x14ac:dyDescent="0.25">
      <c r="A960" s="1" t="s">
        <v>27</v>
      </c>
      <c r="B960" s="1" t="s">
        <v>49</v>
      </c>
      <c r="C960" s="1" t="s">
        <v>111</v>
      </c>
      <c r="D960">
        <v>5251</v>
      </c>
      <c r="E960" s="1"/>
      <c r="F960" s="1" t="s">
        <v>257</v>
      </c>
      <c r="G960">
        <v>2008</v>
      </c>
      <c r="H960">
        <v>19899.34</v>
      </c>
      <c r="I960">
        <v>12</v>
      </c>
      <c r="J960" s="1" t="s">
        <v>404</v>
      </c>
      <c r="K960">
        <v>0</v>
      </c>
      <c r="L960">
        <v>375</v>
      </c>
      <c r="M960">
        <v>53.050758999999999</v>
      </c>
      <c r="N960">
        <v>2</v>
      </c>
      <c r="O960" s="1" t="s">
        <v>569</v>
      </c>
      <c r="P960">
        <v>19899.34</v>
      </c>
      <c r="Q960">
        <v>9332.7999999999993</v>
      </c>
      <c r="R960">
        <v>0</v>
      </c>
      <c r="S960" s="1" t="s">
        <v>954</v>
      </c>
      <c r="T960" s="1" t="s">
        <v>1247</v>
      </c>
      <c r="U960">
        <v>19899.350299999998</v>
      </c>
      <c r="V960">
        <v>0</v>
      </c>
      <c r="W960">
        <v>56680</v>
      </c>
    </row>
    <row r="961" spans="1:23" x14ac:dyDescent="0.25">
      <c r="A961" s="1" t="s">
        <v>27</v>
      </c>
      <c r="B961" s="1"/>
      <c r="C961" s="1" t="s">
        <v>112</v>
      </c>
      <c r="D961">
        <v>9980</v>
      </c>
      <c r="E961" s="1"/>
      <c r="F961" s="1" t="s">
        <v>258</v>
      </c>
      <c r="G961">
        <v>2015</v>
      </c>
      <c r="H961">
        <v>8948.67</v>
      </c>
      <c r="I961">
        <v>5</v>
      </c>
      <c r="J961" s="1" t="s">
        <v>426</v>
      </c>
      <c r="K961">
        <v>0</v>
      </c>
      <c r="L961">
        <v>961</v>
      </c>
      <c r="M961">
        <v>9.3108620000000002</v>
      </c>
      <c r="N961">
        <v>2</v>
      </c>
      <c r="O961" s="1" t="s">
        <v>569</v>
      </c>
      <c r="P961">
        <v>8948.67</v>
      </c>
      <c r="Q961">
        <v>2684.59</v>
      </c>
      <c r="R961">
        <v>0</v>
      </c>
      <c r="S961" s="1" t="s">
        <v>955</v>
      </c>
      <c r="T961" s="1" t="s">
        <v>1248</v>
      </c>
      <c r="U961">
        <v>8948.66</v>
      </c>
      <c r="V961">
        <v>0</v>
      </c>
      <c r="W961">
        <v>76420</v>
      </c>
    </row>
    <row r="962" spans="1:23" x14ac:dyDescent="0.25">
      <c r="A962" s="1" t="s">
        <v>27</v>
      </c>
      <c r="B962" s="1"/>
      <c r="C962" s="1" t="s">
        <v>112</v>
      </c>
      <c r="D962">
        <v>9980</v>
      </c>
      <c r="E962" s="1"/>
      <c r="F962" s="1" t="s">
        <v>258</v>
      </c>
      <c r="G962">
        <v>2014</v>
      </c>
      <c r="H962">
        <v>23984.880000000001</v>
      </c>
      <c r="I962">
        <v>12</v>
      </c>
      <c r="J962" s="1" t="s">
        <v>426</v>
      </c>
      <c r="K962">
        <v>0</v>
      </c>
      <c r="L962">
        <v>961</v>
      </c>
      <c r="M962">
        <v>24.955653999999999</v>
      </c>
      <c r="N962">
        <v>2</v>
      </c>
      <c r="O962" s="1" t="s">
        <v>569</v>
      </c>
      <c r="P962">
        <v>23984.880000000001</v>
      </c>
      <c r="Q962">
        <v>7195.46</v>
      </c>
      <c r="R962">
        <v>0</v>
      </c>
      <c r="S962" s="1" t="s">
        <v>955</v>
      </c>
      <c r="T962" s="1" t="s">
        <v>1248</v>
      </c>
      <c r="U962">
        <v>23984.864000000001</v>
      </c>
      <c r="V962">
        <v>0</v>
      </c>
      <c r="W962">
        <v>76420</v>
      </c>
    </row>
    <row r="963" spans="1:23" x14ac:dyDescent="0.25">
      <c r="A963" s="1" t="s">
        <v>27</v>
      </c>
      <c r="B963" s="1"/>
      <c r="C963" s="1" t="s">
        <v>112</v>
      </c>
      <c r="D963">
        <v>9980</v>
      </c>
      <c r="E963" s="1"/>
      <c r="F963" s="1" t="s">
        <v>258</v>
      </c>
      <c r="G963">
        <v>2013</v>
      </c>
      <c r="H963">
        <v>25179.13</v>
      </c>
      <c r="I963">
        <v>12</v>
      </c>
      <c r="J963" s="1" t="s">
        <v>426</v>
      </c>
      <c r="K963">
        <v>0</v>
      </c>
      <c r="L963">
        <v>961</v>
      </c>
      <c r="M963">
        <v>26.198240999999999</v>
      </c>
      <c r="N963">
        <v>2</v>
      </c>
      <c r="O963" s="1" t="s">
        <v>569</v>
      </c>
      <c r="P963">
        <v>25179.13</v>
      </c>
      <c r="Q963">
        <v>7553.73</v>
      </c>
      <c r="R963">
        <v>0</v>
      </c>
      <c r="S963" s="1" t="s">
        <v>955</v>
      </c>
      <c r="T963" s="1" t="s">
        <v>1248</v>
      </c>
      <c r="U963">
        <v>25179.124</v>
      </c>
      <c r="V963">
        <v>0</v>
      </c>
      <c r="W963">
        <v>76420</v>
      </c>
    </row>
    <row r="964" spans="1:23" x14ac:dyDescent="0.25">
      <c r="A964" s="1" t="s">
        <v>27</v>
      </c>
      <c r="B964" s="1"/>
      <c r="C964" s="1" t="s">
        <v>112</v>
      </c>
      <c r="D964">
        <v>9980</v>
      </c>
      <c r="E964" s="1"/>
      <c r="F964" s="1" t="s">
        <v>258</v>
      </c>
      <c r="G964">
        <v>2012</v>
      </c>
      <c r="H964">
        <v>30812.3</v>
      </c>
      <c r="I964">
        <v>12</v>
      </c>
      <c r="J964" s="1" t="s">
        <v>426</v>
      </c>
      <c r="K964">
        <v>0</v>
      </c>
      <c r="L964">
        <v>961</v>
      </c>
      <c r="M964">
        <v>32.059410999999997</v>
      </c>
      <c r="N964">
        <v>2</v>
      </c>
      <c r="O964" s="1" t="s">
        <v>569</v>
      </c>
      <c r="P964">
        <v>30812.3</v>
      </c>
      <c r="Q964">
        <v>12324.92</v>
      </c>
      <c r="R964">
        <v>0</v>
      </c>
      <c r="S964" s="1" t="s">
        <v>955</v>
      </c>
      <c r="T964" s="1" t="s">
        <v>1248</v>
      </c>
      <c r="U964">
        <v>30812.291000000001</v>
      </c>
      <c r="V964">
        <v>0</v>
      </c>
      <c r="W964">
        <v>76420</v>
      </c>
    </row>
    <row r="965" spans="1:23" x14ac:dyDescent="0.25">
      <c r="A965" s="1" t="s">
        <v>27</v>
      </c>
      <c r="B965" s="1"/>
      <c r="C965" s="1" t="s">
        <v>112</v>
      </c>
      <c r="D965">
        <v>9980</v>
      </c>
      <c r="E965" s="1"/>
      <c r="F965" s="1" t="s">
        <v>258</v>
      </c>
      <c r="G965">
        <v>2011</v>
      </c>
      <c r="H965">
        <v>43239.81</v>
      </c>
      <c r="I965">
        <v>3</v>
      </c>
      <c r="J965" s="1" t="s">
        <v>426</v>
      </c>
      <c r="K965">
        <v>0</v>
      </c>
      <c r="L965">
        <v>961</v>
      </c>
      <c r="M965">
        <v>44.989916999999998</v>
      </c>
      <c r="N965">
        <v>2</v>
      </c>
      <c r="O965" s="1" t="s">
        <v>569</v>
      </c>
      <c r="P965">
        <v>43239.81</v>
      </c>
      <c r="Q965">
        <v>20279.46</v>
      </c>
      <c r="R965">
        <v>0</v>
      </c>
      <c r="S965" s="1" t="s">
        <v>955</v>
      </c>
      <c r="T965" s="1" t="s">
        <v>1248</v>
      </c>
      <c r="U965">
        <v>43239.833610000001</v>
      </c>
      <c r="V965">
        <v>0</v>
      </c>
      <c r="W965">
        <v>76420</v>
      </c>
    </row>
    <row r="966" spans="1:23" x14ac:dyDescent="0.25">
      <c r="A966" s="1" t="s">
        <v>27</v>
      </c>
      <c r="B966" s="1"/>
      <c r="C966" s="1" t="s">
        <v>112</v>
      </c>
      <c r="D966">
        <v>9980</v>
      </c>
      <c r="E966" s="1"/>
      <c r="F966" s="1" t="s">
        <v>258</v>
      </c>
      <c r="G966">
        <v>2010</v>
      </c>
      <c r="H966">
        <v>63828.35</v>
      </c>
      <c r="I966">
        <v>4</v>
      </c>
      <c r="J966" s="1" t="s">
        <v>426</v>
      </c>
      <c r="K966">
        <v>0</v>
      </c>
      <c r="L966">
        <v>961</v>
      </c>
      <c r="M966">
        <v>66.411766999999998</v>
      </c>
      <c r="N966">
        <v>2</v>
      </c>
      <c r="O966" s="1" t="s">
        <v>569</v>
      </c>
      <c r="P966">
        <v>63828.35</v>
      </c>
      <c r="Q966">
        <v>29935.47</v>
      </c>
      <c r="R966">
        <v>0</v>
      </c>
      <c r="S966" s="1" t="s">
        <v>955</v>
      </c>
      <c r="T966" s="1" t="s">
        <v>1248</v>
      </c>
      <c r="U966">
        <v>63828.349399999999</v>
      </c>
      <c r="V966">
        <v>0</v>
      </c>
      <c r="W966">
        <v>76420</v>
      </c>
    </row>
    <row r="967" spans="1:23" x14ac:dyDescent="0.25">
      <c r="A967" s="1" t="s">
        <v>27</v>
      </c>
      <c r="B967" s="1"/>
      <c r="C967" s="1" t="s">
        <v>112</v>
      </c>
      <c r="D967">
        <v>9980</v>
      </c>
      <c r="E967" s="1"/>
      <c r="F967" s="1" t="s">
        <v>258</v>
      </c>
      <c r="G967">
        <v>2009</v>
      </c>
      <c r="H967">
        <v>51140.61</v>
      </c>
      <c r="I967">
        <v>9</v>
      </c>
      <c r="J967" s="1" t="s">
        <v>426</v>
      </c>
      <c r="K967">
        <v>0</v>
      </c>
      <c r="L967">
        <v>961</v>
      </c>
      <c r="M967">
        <v>53.210498000000001</v>
      </c>
      <c r="N967">
        <v>2</v>
      </c>
      <c r="O967" s="1" t="s">
        <v>569</v>
      </c>
      <c r="P967">
        <v>51140.61</v>
      </c>
      <c r="Q967">
        <v>23984.92</v>
      </c>
      <c r="R967">
        <v>0</v>
      </c>
      <c r="S967" s="1" t="s">
        <v>955</v>
      </c>
      <c r="T967" s="1" t="s">
        <v>1248</v>
      </c>
      <c r="U967">
        <v>51140.588219999998</v>
      </c>
      <c r="V967">
        <v>0</v>
      </c>
      <c r="W967">
        <v>76420</v>
      </c>
    </row>
    <row r="968" spans="1:23" x14ac:dyDescent="0.25">
      <c r="A968" s="1" t="s">
        <v>27</v>
      </c>
      <c r="B968" s="1"/>
      <c r="C968" s="1" t="s">
        <v>112</v>
      </c>
      <c r="D968">
        <v>9980</v>
      </c>
      <c r="E968" s="1"/>
      <c r="F968" s="1" t="s">
        <v>258</v>
      </c>
      <c r="G968">
        <v>2008</v>
      </c>
      <c r="H968">
        <v>40861.050000000003</v>
      </c>
      <c r="I968">
        <v>5</v>
      </c>
      <c r="J968" s="1" t="s">
        <v>426</v>
      </c>
      <c r="K968">
        <v>0</v>
      </c>
      <c r="L968">
        <v>961</v>
      </c>
      <c r="M968">
        <v>42.514878000000003</v>
      </c>
      <c r="N968">
        <v>2</v>
      </c>
      <c r="O968" s="1" t="s">
        <v>569</v>
      </c>
      <c r="P968">
        <v>40861.050000000003</v>
      </c>
      <c r="Q968">
        <v>19163.830000000002</v>
      </c>
      <c r="R968">
        <v>0</v>
      </c>
      <c r="S968" s="1" t="s">
        <v>955</v>
      </c>
      <c r="T968" s="1" t="s">
        <v>1248</v>
      </c>
      <c r="U968">
        <v>40861.057589999997</v>
      </c>
      <c r="V968">
        <v>0</v>
      </c>
      <c r="W968">
        <v>76420</v>
      </c>
    </row>
    <row r="969" spans="1:23" x14ac:dyDescent="0.25">
      <c r="A969" s="1" t="s">
        <v>27</v>
      </c>
      <c r="B969" s="1" t="s">
        <v>50</v>
      </c>
      <c r="C969" s="1" t="s">
        <v>113</v>
      </c>
      <c r="D969">
        <v>5278</v>
      </c>
      <c r="E969" s="1"/>
      <c r="F969" s="1" t="s">
        <v>113</v>
      </c>
      <c r="G969">
        <v>2015</v>
      </c>
      <c r="H969">
        <v>11327.43</v>
      </c>
      <c r="I969">
        <v>5</v>
      </c>
      <c r="J969" s="1" t="s">
        <v>404</v>
      </c>
      <c r="K969">
        <v>0</v>
      </c>
      <c r="L969">
        <v>760</v>
      </c>
      <c r="M969">
        <v>14.902552</v>
      </c>
      <c r="N969">
        <v>2</v>
      </c>
      <c r="O969" s="1" t="s">
        <v>569</v>
      </c>
      <c r="P969">
        <v>11327.43</v>
      </c>
      <c r="Q969">
        <v>4530.96</v>
      </c>
      <c r="R969">
        <v>0</v>
      </c>
      <c r="S969" s="1" t="s">
        <v>956</v>
      </c>
      <c r="T969" s="1" t="s">
        <v>1249</v>
      </c>
      <c r="U969">
        <v>11327.433000000001</v>
      </c>
      <c r="V969">
        <v>0</v>
      </c>
      <c r="W969">
        <v>56873</v>
      </c>
    </row>
    <row r="970" spans="1:23" x14ac:dyDescent="0.25">
      <c r="A970" s="1" t="s">
        <v>27</v>
      </c>
      <c r="B970" s="1" t="s">
        <v>50</v>
      </c>
      <c r="C970" s="1" t="s">
        <v>113</v>
      </c>
      <c r="D970">
        <v>5278</v>
      </c>
      <c r="E970" s="1"/>
      <c r="F970" s="1" t="s">
        <v>113</v>
      </c>
      <c r="G970">
        <v>2014</v>
      </c>
      <c r="H970">
        <v>26981.13</v>
      </c>
      <c r="I970">
        <v>12</v>
      </c>
      <c r="J970" s="1" t="s">
        <v>404</v>
      </c>
      <c r="K970">
        <v>0</v>
      </c>
      <c r="L970">
        <v>760</v>
      </c>
      <c r="M970">
        <v>35.496816000000003</v>
      </c>
      <c r="N970">
        <v>2</v>
      </c>
      <c r="O970" s="1" t="s">
        <v>569</v>
      </c>
      <c r="P970">
        <v>26981.13</v>
      </c>
      <c r="Q970">
        <v>10792.45</v>
      </c>
      <c r="R970">
        <v>0</v>
      </c>
      <c r="S970" s="1" t="s">
        <v>956</v>
      </c>
      <c r="T970" s="1" t="s">
        <v>1249</v>
      </c>
      <c r="U970">
        <v>26981.129000000001</v>
      </c>
      <c r="V970">
        <v>0</v>
      </c>
      <c r="W970">
        <v>56873</v>
      </c>
    </row>
    <row r="971" spans="1:23" x14ac:dyDescent="0.25">
      <c r="A971" s="1" t="s">
        <v>27</v>
      </c>
      <c r="B971" s="1" t="s">
        <v>50</v>
      </c>
      <c r="C971" s="1" t="s">
        <v>113</v>
      </c>
      <c r="D971">
        <v>5278</v>
      </c>
      <c r="E971" s="1"/>
      <c r="F971" s="1" t="s">
        <v>113</v>
      </c>
      <c r="G971">
        <v>2013</v>
      </c>
      <c r="H971">
        <v>23875.84</v>
      </c>
      <c r="I971">
        <v>12</v>
      </c>
      <c r="J971" s="1" t="s">
        <v>404</v>
      </c>
      <c r="K971">
        <v>0</v>
      </c>
      <c r="L971">
        <v>760</v>
      </c>
      <c r="M971">
        <v>31.411445000000001</v>
      </c>
      <c r="N971">
        <v>2</v>
      </c>
      <c r="O971" s="1" t="s">
        <v>569</v>
      </c>
      <c r="P971">
        <v>23875.84</v>
      </c>
      <c r="Q971">
        <v>9550.34</v>
      </c>
      <c r="R971">
        <v>0</v>
      </c>
      <c r="S971" s="1" t="s">
        <v>956</v>
      </c>
      <c r="T971" s="1" t="s">
        <v>1249</v>
      </c>
      <c r="U971">
        <v>23875.848000000002</v>
      </c>
      <c r="V971">
        <v>0</v>
      </c>
      <c r="W971">
        <v>56873</v>
      </c>
    </row>
    <row r="972" spans="1:23" x14ac:dyDescent="0.25">
      <c r="A972" s="1" t="s">
        <v>27</v>
      </c>
      <c r="B972" s="1" t="s">
        <v>50</v>
      </c>
      <c r="C972" s="1" t="s">
        <v>113</v>
      </c>
      <c r="D972">
        <v>5278</v>
      </c>
      <c r="E972" s="1"/>
      <c r="F972" s="1" t="s">
        <v>113</v>
      </c>
      <c r="G972">
        <v>2012</v>
      </c>
      <c r="H972">
        <v>27210.83</v>
      </c>
      <c r="I972">
        <v>12</v>
      </c>
      <c r="J972" s="1" t="s">
        <v>404</v>
      </c>
      <c r="K972">
        <v>0</v>
      </c>
      <c r="L972">
        <v>760</v>
      </c>
      <c r="M972">
        <v>35.799013000000002</v>
      </c>
      <c r="N972">
        <v>2</v>
      </c>
      <c r="O972" s="1" t="s">
        <v>569</v>
      </c>
      <c r="P972">
        <v>27210.83</v>
      </c>
      <c r="Q972">
        <v>10884.33</v>
      </c>
      <c r="R972">
        <v>0</v>
      </c>
      <c r="S972" s="1" t="s">
        <v>956</v>
      </c>
      <c r="T972" s="1" t="s">
        <v>1249</v>
      </c>
      <c r="U972">
        <v>27210.821</v>
      </c>
      <c r="V972">
        <v>0</v>
      </c>
      <c r="W972">
        <v>56873</v>
      </c>
    </row>
    <row r="973" spans="1:23" x14ac:dyDescent="0.25">
      <c r="A973" s="1" t="s">
        <v>27</v>
      </c>
      <c r="B973" s="1" t="s">
        <v>50</v>
      </c>
      <c r="C973" s="1" t="s">
        <v>113</v>
      </c>
      <c r="D973">
        <v>5278</v>
      </c>
      <c r="E973" s="1"/>
      <c r="F973" s="1" t="s">
        <v>113</v>
      </c>
      <c r="G973">
        <v>2011</v>
      </c>
      <c r="H973">
        <v>28255.39</v>
      </c>
      <c r="I973">
        <v>12</v>
      </c>
      <c r="J973" s="1" t="s">
        <v>404</v>
      </c>
      <c r="K973">
        <v>0</v>
      </c>
      <c r="L973">
        <v>760</v>
      </c>
      <c r="M973">
        <v>37.173253000000003</v>
      </c>
      <c r="N973">
        <v>2</v>
      </c>
      <c r="O973" s="1" t="s">
        <v>569</v>
      </c>
      <c r="P973">
        <v>28255.39</v>
      </c>
      <c r="Q973">
        <v>13251.78</v>
      </c>
      <c r="R973">
        <v>0</v>
      </c>
      <c r="S973" s="1" t="s">
        <v>956</v>
      </c>
      <c r="T973" s="1" t="s">
        <v>1249</v>
      </c>
      <c r="U973">
        <v>28255.401000000002</v>
      </c>
      <c r="V973">
        <v>0</v>
      </c>
      <c r="W973">
        <v>56873</v>
      </c>
    </row>
    <row r="974" spans="1:23" x14ac:dyDescent="0.25">
      <c r="A974" s="1" t="s">
        <v>27</v>
      </c>
      <c r="B974" s="1" t="s">
        <v>50</v>
      </c>
      <c r="C974" s="1" t="s">
        <v>113</v>
      </c>
      <c r="D974">
        <v>5278</v>
      </c>
      <c r="E974" s="1"/>
      <c r="F974" s="1" t="s">
        <v>113</v>
      </c>
      <c r="G974">
        <v>2010</v>
      </c>
      <c r="H974">
        <v>25014.77</v>
      </c>
      <c r="I974">
        <v>12</v>
      </c>
      <c r="J974" s="1" t="s">
        <v>404</v>
      </c>
      <c r="K974">
        <v>0</v>
      </c>
      <c r="L974">
        <v>760</v>
      </c>
      <c r="M974">
        <v>32.909840000000003</v>
      </c>
      <c r="N974">
        <v>2</v>
      </c>
      <c r="O974" s="1" t="s">
        <v>569</v>
      </c>
      <c r="P974">
        <v>25014.77</v>
      </c>
      <c r="Q974">
        <v>11731.89</v>
      </c>
      <c r="R974">
        <v>0</v>
      </c>
      <c r="S974" s="1" t="s">
        <v>956</v>
      </c>
      <c r="T974" s="1" t="s">
        <v>1249</v>
      </c>
      <c r="U974">
        <v>25014.75</v>
      </c>
      <c r="V974">
        <v>0</v>
      </c>
      <c r="W974">
        <v>56873</v>
      </c>
    </row>
    <row r="975" spans="1:23" x14ac:dyDescent="0.25">
      <c r="A975" s="1" t="s">
        <v>27</v>
      </c>
      <c r="B975" s="1" t="s">
        <v>50</v>
      </c>
      <c r="C975" s="1" t="s">
        <v>113</v>
      </c>
      <c r="D975">
        <v>5278</v>
      </c>
      <c r="E975" s="1"/>
      <c r="F975" s="1" t="s">
        <v>113</v>
      </c>
      <c r="G975">
        <v>2009</v>
      </c>
      <c r="H975">
        <v>20142.21</v>
      </c>
      <c r="I975">
        <v>12</v>
      </c>
      <c r="J975" s="1" t="s">
        <v>404</v>
      </c>
      <c r="K975">
        <v>0</v>
      </c>
      <c r="L975">
        <v>760</v>
      </c>
      <c r="M975">
        <v>26.499421000000002</v>
      </c>
      <c r="N975">
        <v>2</v>
      </c>
      <c r="O975" s="1" t="s">
        <v>569</v>
      </c>
      <c r="P975">
        <v>20142.21</v>
      </c>
      <c r="Q975">
        <v>9446.69</v>
      </c>
      <c r="R975">
        <v>0</v>
      </c>
      <c r="S975" s="1" t="s">
        <v>956</v>
      </c>
      <c r="T975" s="1" t="s">
        <v>1249</v>
      </c>
      <c r="U975">
        <v>20142.21</v>
      </c>
      <c r="V975">
        <v>0</v>
      </c>
      <c r="W975">
        <v>56873</v>
      </c>
    </row>
    <row r="976" spans="1:23" x14ac:dyDescent="0.25">
      <c r="A976" s="1" t="s">
        <v>27</v>
      </c>
      <c r="B976" s="1" t="s">
        <v>50</v>
      </c>
      <c r="C976" s="1" t="s">
        <v>113</v>
      </c>
      <c r="D976">
        <v>5278</v>
      </c>
      <c r="E976" s="1"/>
      <c r="F976" s="1" t="s">
        <v>113</v>
      </c>
      <c r="G976">
        <v>2008</v>
      </c>
      <c r="H976">
        <v>18979.419999999998</v>
      </c>
      <c r="I976">
        <v>12</v>
      </c>
      <c r="J976" s="1" t="s">
        <v>404</v>
      </c>
      <c r="K976">
        <v>0</v>
      </c>
      <c r="L976">
        <v>760</v>
      </c>
      <c r="M976">
        <v>24.969635</v>
      </c>
      <c r="N976">
        <v>2</v>
      </c>
      <c r="O976" s="1" t="s">
        <v>569</v>
      </c>
      <c r="P976">
        <v>18979.419999999998</v>
      </c>
      <c r="Q976">
        <v>8901.34</v>
      </c>
      <c r="R976">
        <v>0</v>
      </c>
      <c r="S976" s="1" t="s">
        <v>956</v>
      </c>
      <c r="T976" s="1" t="s">
        <v>1249</v>
      </c>
      <c r="U976">
        <v>18979.422999999999</v>
      </c>
      <c r="V976">
        <v>0</v>
      </c>
      <c r="W976">
        <v>56873</v>
      </c>
    </row>
    <row r="977" spans="1:23" x14ac:dyDescent="0.25">
      <c r="A977" s="1" t="s">
        <v>27</v>
      </c>
      <c r="B977" s="1" t="s">
        <v>51</v>
      </c>
      <c r="C977" s="1" t="s">
        <v>114</v>
      </c>
      <c r="D977">
        <v>5276</v>
      </c>
      <c r="E977" s="1"/>
      <c r="F977" s="1" t="s">
        <v>259</v>
      </c>
      <c r="G977">
        <v>2015</v>
      </c>
      <c r="H977">
        <v>2680.11</v>
      </c>
      <c r="I977">
        <v>5</v>
      </c>
      <c r="J977" s="1" t="s">
        <v>407</v>
      </c>
      <c r="K977">
        <v>0</v>
      </c>
      <c r="L977">
        <v>284</v>
      </c>
      <c r="M977">
        <v>9.4336850000000005</v>
      </c>
      <c r="N977">
        <v>2</v>
      </c>
      <c r="O977" s="1" t="s">
        <v>569</v>
      </c>
      <c r="P977">
        <v>2680.11</v>
      </c>
      <c r="Q977">
        <v>1072.04</v>
      </c>
      <c r="R977">
        <v>0</v>
      </c>
      <c r="S977" s="1" t="s">
        <v>957</v>
      </c>
      <c r="T977" s="1"/>
      <c r="U977">
        <v>2680.11</v>
      </c>
      <c r="V977">
        <v>0</v>
      </c>
      <c r="W977">
        <v>56861</v>
      </c>
    </row>
    <row r="978" spans="1:23" x14ac:dyDescent="0.25">
      <c r="A978" s="1" t="s">
        <v>27</v>
      </c>
      <c r="B978" s="1" t="s">
        <v>51</v>
      </c>
      <c r="C978" s="1" t="s">
        <v>114</v>
      </c>
      <c r="D978">
        <v>5276</v>
      </c>
      <c r="E978" s="1"/>
      <c r="F978" s="1" t="s">
        <v>259</v>
      </c>
      <c r="G978">
        <v>2014</v>
      </c>
      <c r="H978">
        <v>6766.92</v>
      </c>
      <c r="I978">
        <v>12</v>
      </c>
      <c r="J978" s="1" t="s">
        <v>407</v>
      </c>
      <c r="K978">
        <v>0</v>
      </c>
      <c r="L978">
        <v>284</v>
      </c>
      <c r="M978">
        <v>23.818795999999999</v>
      </c>
      <c r="N978">
        <v>2</v>
      </c>
      <c r="O978" s="1" t="s">
        <v>569</v>
      </c>
      <c r="P978">
        <v>6766.92</v>
      </c>
      <c r="Q978">
        <v>2706.76</v>
      </c>
      <c r="R978">
        <v>0</v>
      </c>
      <c r="S978" s="1" t="s">
        <v>957</v>
      </c>
      <c r="T978" s="1"/>
      <c r="U978">
        <v>6766.92</v>
      </c>
      <c r="V978">
        <v>0</v>
      </c>
      <c r="W978">
        <v>56861</v>
      </c>
    </row>
    <row r="979" spans="1:23" x14ac:dyDescent="0.25">
      <c r="A979" s="1" t="s">
        <v>27</v>
      </c>
      <c r="B979" s="1" t="s">
        <v>51</v>
      </c>
      <c r="C979" s="1" t="s">
        <v>114</v>
      </c>
      <c r="D979">
        <v>5276</v>
      </c>
      <c r="E979" s="1"/>
      <c r="F979" s="1" t="s">
        <v>259</v>
      </c>
      <c r="G979">
        <v>2013</v>
      </c>
      <c r="H979">
        <v>7350.73</v>
      </c>
      <c r="I979">
        <v>12</v>
      </c>
      <c r="J979" s="1" t="s">
        <v>407</v>
      </c>
      <c r="K979">
        <v>0</v>
      </c>
      <c r="L979">
        <v>284</v>
      </c>
      <c r="M979">
        <v>25.873740999999999</v>
      </c>
      <c r="N979">
        <v>2</v>
      </c>
      <c r="O979" s="1" t="s">
        <v>569</v>
      </c>
      <c r="P979">
        <v>7350.73</v>
      </c>
      <c r="Q979">
        <v>2940.29</v>
      </c>
      <c r="R979">
        <v>0</v>
      </c>
      <c r="S979" s="1" t="s">
        <v>957</v>
      </c>
      <c r="T979" s="1"/>
      <c r="U979">
        <v>7350.74</v>
      </c>
      <c r="V979">
        <v>0</v>
      </c>
      <c r="W979">
        <v>56861</v>
      </c>
    </row>
    <row r="980" spans="1:23" x14ac:dyDescent="0.25">
      <c r="A980" s="1" t="s">
        <v>27</v>
      </c>
      <c r="B980" s="1" t="s">
        <v>51</v>
      </c>
      <c r="C980" s="1" t="s">
        <v>114</v>
      </c>
      <c r="D980">
        <v>5276</v>
      </c>
      <c r="E980" s="1"/>
      <c r="F980" s="1" t="s">
        <v>259</v>
      </c>
      <c r="G980">
        <v>2012</v>
      </c>
      <c r="H980">
        <v>8131.45</v>
      </c>
      <c r="I980">
        <v>12</v>
      </c>
      <c r="J980" s="1" t="s">
        <v>407</v>
      </c>
      <c r="K980">
        <v>0</v>
      </c>
      <c r="L980">
        <v>284</v>
      </c>
      <c r="M980">
        <v>28.621787999999999</v>
      </c>
      <c r="N980">
        <v>2</v>
      </c>
      <c r="O980" s="1" t="s">
        <v>569</v>
      </c>
      <c r="P980">
        <v>8131.45</v>
      </c>
      <c r="Q980">
        <v>3252.57</v>
      </c>
      <c r="R980">
        <v>0</v>
      </c>
      <c r="S980" s="1" t="s">
        <v>957</v>
      </c>
      <c r="T980" s="1"/>
      <c r="U980">
        <v>8131.4520000000002</v>
      </c>
      <c r="V980">
        <v>0</v>
      </c>
      <c r="W980">
        <v>56861</v>
      </c>
    </row>
    <row r="981" spans="1:23" x14ac:dyDescent="0.25">
      <c r="A981" s="1" t="s">
        <v>27</v>
      </c>
      <c r="B981" s="1" t="s">
        <v>51</v>
      </c>
      <c r="C981" s="1" t="s">
        <v>114</v>
      </c>
      <c r="D981">
        <v>5276</v>
      </c>
      <c r="E981" s="1"/>
      <c r="F981" s="1" t="s">
        <v>259</v>
      </c>
      <c r="G981">
        <v>2011</v>
      </c>
      <c r="H981">
        <v>10308.030000000001</v>
      </c>
      <c r="I981">
        <v>12</v>
      </c>
      <c r="J981" s="1" t="s">
        <v>407</v>
      </c>
      <c r="K981">
        <v>0</v>
      </c>
      <c r="L981">
        <v>284</v>
      </c>
      <c r="M981">
        <v>36.283104000000002</v>
      </c>
      <c r="N981">
        <v>2</v>
      </c>
      <c r="O981" s="1" t="s">
        <v>569</v>
      </c>
      <c r="P981">
        <v>10308.030000000001</v>
      </c>
      <c r="Q981">
        <v>4834.47</v>
      </c>
      <c r="R981">
        <v>0</v>
      </c>
      <c r="S981" s="1" t="s">
        <v>957</v>
      </c>
      <c r="T981" s="1"/>
      <c r="U981">
        <v>10308.01</v>
      </c>
      <c r="V981">
        <v>0</v>
      </c>
      <c r="W981">
        <v>56861</v>
      </c>
    </row>
    <row r="982" spans="1:23" x14ac:dyDescent="0.25">
      <c r="A982" s="1" t="s">
        <v>27</v>
      </c>
      <c r="B982" s="1" t="s">
        <v>51</v>
      </c>
      <c r="C982" s="1" t="s">
        <v>114</v>
      </c>
      <c r="D982">
        <v>5276</v>
      </c>
      <c r="E982" s="1"/>
      <c r="F982" s="1" t="s">
        <v>259</v>
      </c>
      <c r="G982">
        <v>2010</v>
      </c>
      <c r="H982">
        <v>8925.51</v>
      </c>
      <c r="I982">
        <v>12</v>
      </c>
      <c r="J982" s="1" t="s">
        <v>407</v>
      </c>
      <c r="K982">
        <v>0</v>
      </c>
      <c r="L982">
        <v>284</v>
      </c>
      <c r="M982">
        <v>31.416789000000001</v>
      </c>
      <c r="N982">
        <v>2</v>
      </c>
      <c r="O982" s="1" t="s">
        <v>569</v>
      </c>
      <c r="P982">
        <v>8925.51</v>
      </c>
      <c r="Q982">
        <v>4186.08</v>
      </c>
      <c r="R982">
        <v>0</v>
      </c>
      <c r="S982" s="1" t="s">
        <v>957</v>
      </c>
      <c r="T982" s="1"/>
      <c r="U982">
        <v>8925.5120000000006</v>
      </c>
      <c r="V982">
        <v>0</v>
      </c>
      <c r="W982">
        <v>56861</v>
      </c>
    </row>
    <row r="983" spans="1:23" x14ac:dyDescent="0.25">
      <c r="A983" s="1" t="s">
        <v>27</v>
      </c>
      <c r="B983" s="1" t="s">
        <v>51</v>
      </c>
      <c r="C983" s="1" t="s">
        <v>114</v>
      </c>
      <c r="D983">
        <v>5276</v>
      </c>
      <c r="E983" s="1"/>
      <c r="F983" s="1" t="s">
        <v>259</v>
      </c>
      <c r="G983">
        <v>2009</v>
      </c>
      <c r="H983">
        <v>8814.2000000000007</v>
      </c>
      <c r="I983">
        <v>12</v>
      </c>
      <c r="J983" s="1" t="s">
        <v>407</v>
      </c>
      <c r="K983">
        <v>0</v>
      </c>
      <c r="L983">
        <v>284</v>
      </c>
      <c r="M983">
        <v>31.024991</v>
      </c>
      <c r="N983">
        <v>2</v>
      </c>
      <c r="O983" s="1" t="s">
        <v>569</v>
      </c>
      <c r="P983">
        <v>8814.2000000000007</v>
      </c>
      <c r="Q983">
        <v>4133.8500000000004</v>
      </c>
      <c r="R983">
        <v>0</v>
      </c>
      <c r="S983" s="1" t="s">
        <v>957</v>
      </c>
      <c r="T983" s="1"/>
      <c r="U983">
        <v>8814.1980000000003</v>
      </c>
      <c r="V983">
        <v>0</v>
      </c>
      <c r="W983">
        <v>56861</v>
      </c>
    </row>
    <row r="984" spans="1:23" x14ac:dyDescent="0.25">
      <c r="A984" s="1" t="s">
        <v>27</v>
      </c>
      <c r="B984" s="1" t="s">
        <v>51</v>
      </c>
      <c r="C984" s="1" t="s">
        <v>114</v>
      </c>
      <c r="D984">
        <v>5276</v>
      </c>
      <c r="E984" s="1"/>
      <c r="F984" s="1" t="s">
        <v>259</v>
      </c>
      <c r="G984">
        <v>2008</v>
      </c>
      <c r="H984">
        <v>9043.98</v>
      </c>
      <c r="I984">
        <v>12</v>
      </c>
      <c r="J984" s="1" t="s">
        <v>407</v>
      </c>
      <c r="K984">
        <v>0</v>
      </c>
      <c r="L984">
        <v>284</v>
      </c>
      <c r="M984">
        <v>31.83379</v>
      </c>
      <c r="N984">
        <v>2</v>
      </c>
      <c r="O984" s="1" t="s">
        <v>569</v>
      </c>
      <c r="P984">
        <v>9043.98</v>
      </c>
      <c r="Q984">
        <v>4241.6099999999997</v>
      </c>
      <c r="R984">
        <v>0</v>
      </c>
      <c r="S984" s="1" t="s">
        <v>957</v>
      </c>
      <c r="T984" s="1"/>
      <c r="U984">
        <v>9043.9599999999991</v>
      </c>
      <c r="V984">
        <v>0</v>
      </c>
      <c r="W984">
        <v>56861</v>
      </c>
    </row>
    <row r="985" spans="1:23" x14ac:dyDescent="0.25">
      <c r="A985" s="1" t="s">
        <v>27</v>
      </c>
      <c r="B985" s="1"/>
      <c r="C985" s="1" t="s">
        <v>115</v>
      </c>
      <c r="D985">
        <v>9970</v>
      </c>
      <c r="E985" s="1"/>
      <c r="F985" s="1" t="s">
        <v>260</v>
      </c>
      <c r="G985">
        <v>2015</v>
      </c>
      <c r="H985">
        <v>17637.43</v>
      </c>
      <c r="I985">
        <v>5</v>
      </c>
      <c r="J985" s="1"/>
      <c r="K985">
        <v>0</v>
      </c>
      <c r="L985">
        <v>864</v>
      </c>
      <c r="M985">
        <v>20.411328999999999</v>
      </c>
      <c r="N985">
        <v>2</v>
      </c>
      <c r="O985" s="1" t="s">
        <v>569</v>
      </c>
      <c r="P985">
        <v>17637.43</v>
      </c>
      <c r="Q985">
        <v>5291.24</v>
      </c>
      <c r="R985">
        <v>0</v>
      </c>
      <c r="S985" s="1" t="s">
        <v>958</v>
      </c>
      <c r="T985" s="1"/>
      <c r="U985">
        <v>17637.444</v>
      </c>
      <c r="V985">
        <v>0</v>
      </c>
      <c r="W985">
        <v>90986</v>
      </c>
    </row>
    <row r="986" spans="1:23" x14ac:dyDescent="0.25">
      <c r="A986" s="1" t="s">
        <v>27</v>
      </c>
      <c r="B986" s="1"/>
      <c r="C986" s="1" t="s">
        <v>115</v>
      </c>
      <c r="D986">
        <v>9970</v>
      </c>
      <c r="E986" s="1"/>
      <c r="F986" s="1" t="s">
        <v>260</v>
      </c>
      <c r="G986">
        <v>2014</v>
      </c>
      <c r="H986">
        <v>35686.629999999997</v>
      </c>
      <c r="I986">
        <v>12</v>
      </c>
      <c r="J986" s="1"/>
      <c r="K986">
        <v>0</v>
      </c>
      <c r="L986">
        <v>864</v>
      </c>
      <c r="M986">
        <v>41.299188999999998</v>
      </c>
      <c r="N986">
        <v>2</v>
      </c>
      <c r="O986" s="1" t="s">
        <v>569</v>
      </c>
      <c r="P986">
        <v>35686.629999999997</v>
      </c>
      <c r="Q986">
        <v>10705.98</v>
      </c>
      <c r="R986">
        <v>0</v>
      </c>
      <c r="S986" s="1" t="s">
        <v>958</v>
      </c>
      <c r="T986" s="1"/>
      <c r="U986">
        <v>35686.629000000001</v>
      </c>
      <c r="V986">
        <v>0</v>
      </c>
      <c r="W986">
        <v>90986</v>
      </c>
    </row>
    <row r="987" spans="1:23" x14ac:dyDescent="0.25">
      <c r="A987" s="1" t="s">
        <v>27</v>
      </c>
      <c r="B987" s="1"/>
      <c r="C987" s="1" t="s">
        <v>115</v>
      </c>
      <c r="D987">
        <v>9970</v>
      </c>
      <c r="E987" s="1"/>
      <c r="F987" s="1" t="s">
        <v>260</v>
      </c>
      <c r="G987">
        <v>2013</v>
      </c>
      <c r="H987">
        <v>36069.589999999997</v>
      </c>
      <c r="I987">
        <v>12</v>
      </c>
      <c r="J987" s="1"/>
      <c r="K987">
        <v>0</v>
      </c>
      <c r="L987">
        <v>864</v>
      </c>
      <c r="M987">
        <v>41.742379</v>
      </c>
      <c r="N987">
        <v>2</v>
      </c>
      <c r="O987" s="1" t="s">
        <v>569</v>
      </c>
      <c r="P987">
        <v>36069.589999999997</v>
      </c>
      <c r="Q987">
        <v>10820.9</v>
      </c>
      <c r="R987">
        <v>0</v>
      </c>
      <c r="S987" s="1" t="s">
        <v>958</v>
      </c>
      <c r="T987" s="1"/>
      <c r="U987">
        <v>36069.593999999997</v>
      </c>
      <c r="V987">
        <v>0</v>
      </c>
      <c r="W987">
        <v>90986</v>
      </c>
    </row>
    <row r="988" spans="1:23" x14ac:dyDescent="0.25">
      <c r="A988" s="1" t="s">
        <v>27</v>
      </c>
      <c r="B988" s="1"/>
      <c r="C988" s="1" t="s">
        <v>115</v>
      </c>
      <c r="D988">
        <v>9970</v>
      </c>
      <c r="E988" s="1"/>
      <c r="F988" s="1" t="s">
        <v>260</v>
      </c>
      <c r="G988">
        <v>2012</v>
      </c>
      <c r="H988">
        <v>28976.639999999999</v>
      </c>
      <c r="I988">
        <v>12</v>
      </c>
      <c r="J988" s="1"/>
      <c r="K988">
        <v>0</v>
      </c>
      <c r="L988">
        <v>796</v>
      </c>
      <c r="M988">
        <v>36.398240999999999</v>
      </c>
      <c r="N988">
        <v>2</v>
      </c>
      <c r="O988" s="1" t="s">
        <v>569</v>
      </c>
      <c r="P988">
        <v>28976.639999999999</v>
      </c>
      <c r="Q988">
        <v>11590.64</v>
      </c>
      <c r="R988">
        <v>0</v>
      </c>
      <c r="S988" s="1" t="s">
        <v>958</v>
      </c>
      <c r="T988" s="1"/>
      <c r="U988">
        <v>28976.639999999999</v>
      </c>
      <c r="V988">
        <v>0</v>
      </c>
      <c r="W988">
        <v>90986</v>
      </c>
    </row>
    <row r="989" spans="1:23" x14ac:dyDescent="0.25">
      <c r="A989" s="1" t="s">
        <v>27</v>
      </c>
      <c r="B989" s="1"/>
      <c r="C989" s="1" t="s">
        <v>115</v>
      </c>
      <c r="D989">
        <v>9970</v>
      </c>
      <c r="E989" s="1"/>
      <c r="F989" s="1" t="s">
        <v>260</v>
      </c>
      <c r="G989">
        <v>2011</v>
      </c>
      <c r="H989">
        <v>23841.72</v>
      </c>
      <c r="I989">
        <v>12</v>
      </c>
      <c r="J989" s="1"/>
      <c r="K989">
        <v>0</v>
      </c>
      <c r="L989">
        <v>774</v>
      </c>
      <c r="M989">
        <v>30.799275999999999</v>
      </c>
      <c r="N989">
        <v>2</v>
      </c>
      <c r="O989" s="1" t="s">
        <v>569</v>
      </c>
      <c r="P989">
        <v>23841.72</v>
      </c>
      <c r="Q989">
        <v>11181.76</v>
      </c>
      <c r="R989">
        <v>0</v>
      </c>
      <c r="S989" s="1" t="s">
        <v>958</v>
      </c>
      <c r="T989" s="1"/>
      <c r="U989">
        <v>23841.707999999999</v>
      </c>
      <c r="V989">
        <v>0</v>
      </c>
      <c r="W989">
        <v>90986</v>
      </c>
    </row>
    <row r="990" spans="1:23" x14ac:dyDescent="0.25">
      <c r="A990" s="1" t="s">
        <v>27</v>
      </c>
      <c r="B990" s="1"/>
      <c r="C990" s="1" t="s">
        <v>115</v>
      </c>
      <c r="D990">
        <v>9970</v>
      </c>
      <c r="E990" s="1"/>
      <c r="F990" s="1" t="s">
        <v>260</v>
      </c>
      <c r="G990">
        <v>2010</v>
      </c>
      <c r="H990">
        <v>26984.74</v>
      </c>
      <c r="I990">
        <v>12</v>
      </c>
      <c r="J990" s="1"/>
      <c r="K990">
        <v>0</v>
      </c>
      <c r="L990">
        <v>774</v>
      </c>
      <c r="M990">
        <v>34.859501000000002</v>
      </c>
      <c r="N990">
        <v>2</v>
      </c>
      <c r="O990" s="1" t="s">
        <v>569</v>
      </c>
      <c r="P990">
        <v>26984.74</v>
      </c>
      <c r="Q990">
        <v>12655.84</v>
      </c>
      <c r="R990">
        <v>0</v>
      </c>
      <c r="S990" s="1" t="s">
        <v>958</v>
      </c>
      <c r="T990" s="1"/>
      <c r="U990">
        <v>26984.726999999999</v>
      </c>
      <c r="V990">
        <v>0</v>
      </c>
      <c r="W990">
        <v>90986</v>
      </c>
    </row>
    <row r="991" spans="1:23" x14ac:dyDescent="0.25">
      <c r="A991" s="1" t="s">
        <v>27</v>
      </c>
      <c r="B991" s="1"/>
      <c r="C991" s="1" t="s">
        <v>115</v>
      </c>
      <c r="D991">
        <v>9970</v>
      </c>
      <c r="E991" s="1"/>
      <c r="F991" s="1" t="s">
        <v>260</v>
      </c>
      <c r="G991">
        <v>2009</v>
      </c>
      <c r="H991">
        <v>27666.23</v>
      </c>
      <c r="I991">
        <v>11</v>
      </c>
      <c r="J991" s="1" t="s">
        <v>408</v>
      </c>
      <c r="K991">
        <v>0</v>
      </c>
      <c r="L991">
        <v>774</v>
      </c>
      <c r="M991">
        <v>35.739865000000002</v>
      </c>
      <c r="N991">
        <v>2</v>
      </c>
      <c r="O991" s="1" t="s">
        <v>569</v>
      </c>
      <c r="P991">
        <v>27666.23</v>
      </c>
      <c r="Q991">
        <v>12975.47</v>
      </c>
      <c r="R991">
        <v>0</v>
      </c>
      <c r="S991" s="1" t="s">
        <v>959</v>
      </c>
      <c r="T991" s="1" t="s">
        <v>1250</v>
      </c>
      <c r="U991">
        <v>27666.235720000001</v>
      </c>
      <c r="V991">
        <v>0</v>
      </c>
      <c r="W991">
        <v>76387</v>
      </c>
    </row>
    <row r="992" spans="1:23" x14ac:dyDescent="0.25">
      <c r="A992" s="1" t="s">
        <v>27</v>
      </c>
      <c r="B992" s="1"/>
      <c r="C992" s="1" t="s">
        <v>115</v>
      </c>
      <c r="D992">
        <v>9970</v>
      </c>
      <c r="E992" s="1"/>
      <c r="F992" s="1" t="s">
        <v>260</v>
      </c>
      <c r="G992">
        <v>2008</v>
      </c>
      <c r="H992">
        <v>26956.06</v>
      </c>
      <c r="I992">
        <v>6</v>
      </c>
      <c r="J992" s="1" t="s">
        <v>408</v>
      </c>
      <c r="K992">
        <v>0</v>
      </c>
      <c r="L992">
        <v>774</v>
      </c>
      <c r="M992">
        <v>34.822451000000001</v>
      </c>
      <c r="N992">
        <v>2</v>
      </c>
      <c r="O992" s="1" t="s">
        <v>569</v>
      </c>
      <c r="P992">
        <v>26956.06</v>
      </c>
      <c r="Q992">
        <v>12642.39</v>
      </c>
      <c r="R992">
        <v>0</v>
      </c>
      <c r="S992" s="1" t="s">
        <v>959</v>
      </c>
      <c r="T992" s="1" t="s">
        <v>1250</v>
      </c>
      <c r="U992">
        <v>26956.052029999999</v>
      </c>
      <c r="V992">
        <v>0</v>
      </c>
      <c r="W992">
        <v>76387</v>
      </c>
    </row>
    <row r="993" spans="1:23" x14ac:dyDescent="0.25">
      <c r="A993" s="1" t="s">
        <v>27</v>
      </c>
      <c r="B993" s="1" t="s">
        <v>52</v>
      </c>
      <c r="C993" s="1" t="s">
        <v>116</v>
      </c>
      <c r="D993">
        <v>5252</v>
      </c>
      <c r="E993" s="1"/>
      <c r="F993" s="1" t="s">
        <v>116</v>
      </c>
      <c r="G993">
        <v>2015</v>
      </c>
      <c r="H993">
        <v>7030.25</v>
      </c>
      <c r="I993">
        <v>5</v>
      </c>
      <c r="J993" s="1" t="s">
        <v>404</v>
      </c>
      <c r="K993">
        <v>0</v>
      </c>
      <c r="L993">
        <v>752</v>
      </c>
      <c r="M993">
        <v>9.3474930000000001</v>
      </c>
      <c r="N993">
        <v>2</v>
      </c>
      <c r="O993" s="1" t="s">
        <v>569</v>
      </c>
      <c r="P993">
        <v>7030.25</v>
      </c>
      <c r="Q993">
        <v>2812.1</v>
      </c>
      <c r="R993">
        <v>0</v>
      </c>
      <c r="S993" s="1" t="s">
        <v>960</v>
      </c>
      <c r="T993" s="1" t="s">
        <v>1251</v>
      </c>
      <c r="U993">
        <v>7030.2579999999998</v>
      </c>
      <c r="V993">
        <v>0</v>
      </c>
      <c r="W993">
        <v>56687</v>
      </c>
    </row>
    <row r="994" spans="1:23" x14ac:dyDescent="0.25">
      <c r="A994" s="1" t="s">
        <v>27</v>
      </c>
      <c r="B994" s="1" t="s">
        <v>52</v>
      </c>
      <c r="C994" s="1" t="s">
        <v>116</v>
      </c>
      <c r="D994">
        <v>5252</v>
      </c>
      <c r="E994" s="1"/>
      <c r="F994" s="1" t="s">
        <v>116</v>
      </c>
      <c r="G994">
        <v>2014</v>
      </c>
      <c r="H994">
        <v>16562.599999999999</v>
      </c>
      <c r="I994">
        <v>12</v>
      </c>
      <c r="J994" s="1" t="s">
        <v>404</v>
      </c>
      <c r="K994">
        <v>0</v>
      </c>
      <c r="L994">
        <v>752</v>
      </c>
      <c r="M994">
        <v>22.021805000000001</v>
      </c>
      <c r="N994">
        <v>2</v>
      </c>
      <c r="O994" s="1" t="s">
        <v>569</v>
      </c>
      <c r="P994">
        <v>16562.599999999999</v>
      </c>
      <c r="Q994">
        <v>6625.03</v>
      </c>
      <c r="R994">
        <v>0</v>
      </c>
      <c r="S994" s="1" t="s">
        <v>960</v>
      </c>
      <c r="T994" s="1" t="s">
        <v>1251</v>
      </c>
      <c r="U994">
        <v>16562.594000000001</v>
      </c>
      <c r="V994">
        <v>0</v>
      </c>
      <c r="W994">
        <v>56687</v>
      </c>
    </row>
    <row r="995" spans="1:23" x14ac:dyDescent="0.25">
      <c r="A995" s="1" t="s">
        <v>27</v>
      </c>
      <c r="B995" s="1" t="s">
        <v>52</v>
      </c>
      <c r="C995" s="1" t="s">
        <v>116</v>
      </c>
      <c r="D995">
        <v>5252</v>
      </c>
      <c r="E995" s="1"/>
      <c r="F995" s="1" t="s">
        <v>116</v>
      </c>
      <c r="G995">
        <v>2013</v>
      </c>
      <c r="H995">
        <v>17614.95</v>
      </c>
      <c r="I995">
        <v>12</v>
      </c>
      <c r="J995" s="1" t="s">
        <v>404</v>
      </c>
      <c r="K995">
        <v>0</v>
      </c>
      <c r="L995">
        <v>752</v>
      </c>
      <c r="M995">
        <v>23.421021</v>
      </c>
      <c r="N995">
        <v>2</v>
      </c>
      <c r="O995" s="1" t="s">
        <v>569</v>
      </c>
      <c r="P995">
        <v>17614.95</v>
      </c>
      <c r="Q995">
        <v>7045.97</v>
      </c>
      <c r="R995">
        <v>0</v>
      </c>
      <c r="S995" s="1" t="s">
        <v>960</v>
      </c>
      <c r="T995" s="1" t="s">
        <v>1251</v>
      </c>
      <c r="U995">
        <v>17614.952000000001</v>
      </c>
      <c r="V995">
        <v>0</v>
      </c>
      <c r="W995">
        <v>56687</v>
      </c>
    </row>
    <row r="996" spans="1:23" x14ac:dyDescent="0.25">
      <c r="A996" s="1" t="s">
        <v>27</v>
      </c>
      <c r="B996" s="1" t="s">
        <v>52</v>
      </c>
      <c r="C996" s="1" t="s">
        <v>116</v>
      </c>
      <c r="D996">
        <v>5252</v>
      </c>
      <c r="E996" s="1"/>
      <c r="F996" s="1" t="s">
        <v>116</v>
      </c>
      <c r="G996">
        <v>2012</v>
      </c>
      <c r="H996">
        <v>18524.63</v>
      </c>
      <c r="I996">
        <v>12</v>
      </c>
      <c r="J996" s="1" t="s">
        <v>404</v>
      </c>
      <c r="K996">
        <v>0</v>
      </c>
      <c r="L996">
        <v>752</v>
      </c>
      <c r="M996">
        <v>24.630541000000001</v>
      </c>
      <c r="N996">
        <v>2</v>
      </c>
      <c r="O996" s="1" t="s">
        <v>569</v>
      </c>
      <c r="P996">
        <v>18524.63</v>
      </c>
      <c r="Q996">
        <v>7409.85</v>
      </c>
      <c r="R996">
        <v>0</v>
      </c>
      <c r="S996" s="1" t="s">
        <v>960</v>
      </c>
      <c r="T996" s="1" t="s">
        <v>1251</v>
      </c>
      <c r="U996">
        <v>18524.637999999999</v>
      </c>
      <c r="V996">
        <v>0</v>
      </c>
      <c r="W996">
        <v>56687</v>
      </c>
    </row>
    <row r="997" spans="1:23" x14ac:dyDescent="0.25">
      <c r="A997" s="1" t="s">
        <v>27</v>
      </c>
      <c r="B997" s="1" t="s">
        <v>52</v>
      </c>
      <c r="C997" s="1" t="s">
        <v>116</v>
      </c>
      <c r="D997">
        <v>5252</v>
      </c>
      <c r="E997" s="1"/>
      <c r="F997" s="1" t="s">
        <v>116</v>
      </c>
      <c r="G997">
        <v>2011</v>
      </c>
      <c r="H997">
        <v>19365.59</v>
      </c>
      <c r="I997">
        <v>12</v>
      </c>
      <c r="J997" s="1" t="s">
        <v>404</v>
      </c>
      <c r="K997">
        <v>0</v>
      </c>
      <c r="L997">
        <v>752</v>
      </c>
      <c r="M997">
        <v>25.74869</v>
      </c>
      <c r="N997">
        <v>2</v>
      </c>
      <c r="O997" s="1" t="s">
        <v>569</v>
      </c>
      <c r="P997">
        <v>19365.59</v>
      </c>
      <c r="Q997">
        <v>9082.4699999999993</v>
      </c>
      <c r="R997">
        <v>0</v>
      </c>
      <c r="S997" s="1" t="s">
        <v>960</v>
      </c>
      <c r="T997" s="1" t="s">
        <v>1251</v>
      </c>
      <c r="U997">
        <v>19365.59</v>
      </c>
      <c r="V997">
        <v>0</v>
      </c>
      <c r="W997">
        <v>56687</v>
      </c>
    </row>
    <row r="998" spans="1:23" x14ac:dyDescent="0.25">
      <c r="A998" s="1" t="s">
        <v>27</v>
      </c>
      <c r="B998" s="1" t="s">
        <v>52</v>
      </c>
      <c r="C998" s="1" t="s">
        <v>116</v>
      </c>
      <c r="D998">
        <v>5252</v>
      </c>
      <c r="E998" s="1"/>
      <c r="F998" s="1" t="s">
        <v>116</v>
      </c>
      <c r="G998">
        <v>2010</v>
      </c>
      <c r="H998">
        <v>20125.650000000001</v>
      </c>
      <c r="I998">
        <v>12</v>
      </c>
      <c r="J998" s="1" t="s">
        <v>404</v>
      </c>
      <c r="K998">
        <v>0</v>
      </c>
      <c r="L998">
        <v>752</v>
      </c>
      <c r="M998">
        <v>26.759274000000001</v>
      </c>
      <c r="N998">
        <v>2</v>
      </c>
      <c r="O998" s="1" t="s">
        <v>569</v>
      </c>
      <c r="P998">
        <v>20125.650000000001</v>
      </c>
      <c r="Q998">
        <v>9438.93</v>
      </c>
      <c r="R998">
        <v>0</v>
      </c>
      <c r="S998" s="1" t="s">
        <v>960</v>
      </c>
      <c r="T998" s="1" t="s">
        <v>1251</v>
      </c>
      <c r="U998">
        <v>20125.644</v>
      </c>
      <c r="V998">
        <v>0</v>
      </c>
      <c r="W998">
        <v>56687</v>
      </c>
    </row>
    <row r="999" spans="1:23" x14ac:dyDescent="0.25">
      <c r="A999" s="1" t="s">
        <v>27</v>
      </c>
      <c r="B999" s="1" t="s">
        <v>52</v>
      </c>
      <c r="C999" s="1" t="s">
        <v>116</v>
      </c>
      <c r="D999">
        <v>5252</v>
      </c>
      <c r="E999" s="1"/>
      <c r="F999" s="1" t="s">
        <v>116</v>
      </c>
      <c r="G999">
        <v>2009</v>
      </c>
      <c r="H999">
        <v>18499.88</v>
      </c>
      <c r="I999">
        <v>12</v>
      </c>
      <c r="J999" s="1" t="s">
        <v>404</v>
      </c>
      <c r="K999">
        <v>0</v>
      </c>
      <c r="L999">
        <v>752</v>
      </c>
      <c r="M999">
        <v>24.597632999999998</v>
      </c>
      <c r="N999">
        <v>2</v>
      </c>
      <c r="O999" s="1" t="s">
        <v>569</v>
      </c>
      <c r="P999">
        <v>18499.88</v>
      </c>
      <c r="Q999">
        <v>8676.4500000000007</v>
      </c>
      <c r="R999">
        <v>0</v>
      </c>
      <c r="S999" s="1" t="s">
        <v>960</v>
      </c>
      <c r="T999" s="1" t="s">
        <v>1251</v>
      </c>
      <c r="U999">
        <v>18499.900000000001</v>
      </c>
      <c r="V999">
        <v>0</v>
      </c>
      <c r="W999">
        <v>56687</v>
      </c>
    </row>
    <row r="1000" spans="1:23" x14ac:dyDescent="0.25">
      <c r="A1000" s="1" t="s">
        <v>27</v>
      </c>
      <c r="B1000" s="1" t="s">
        <v>52</v>
      </c>
      <c r="C1000" s="1" t="s">
        <v>116</v>
      </c>
      <c r="D1000">
        <v>5252</v>
      </c>
      <c r="E1000" s="1"/>
      <c r="F1000" s="1" t="s">
        <v>116</v>
      </c>
      <c r="G1000">
        <v>2008</v>
      </c>
      <c r="H1000">
        <v>19422.48</v>
      </c>
      <c r="I1000">
        <v>12</v>
      </c>
      <c r="J1000" s="1" t="s">
        <v>404</v>
      </c>
      <c r="K1000">
        <v>0</v>
      </c>
      <c r="L1000">
        <v>752</v>
      </c>
      <c r="M1000">
        <v>25.824331000000001</v>
      </c>
      <c r="N1000">
        <v>2</v>
      </c>
      <c r="O1000" s="1" t="s">
        <v>569</v>
      </c>
      <c r="P1000">
        <v>19422.48</v>
      </c>
      <c r="Q1000">
        <v>9109.15</v>
      </c>
      <c r="R1000">
        <v>0</v>
      </c>
      <c r="S1000" s="1" t="s">
        <v>960</v>
      </c>
      <c r="T1000" s="1" t="s">
        <v>1251</v>
      </c>
      <c r="U1000">
        <v>19422.490000000002</v>
      </c>
      <c r="V1000">
        <v>0</v>
      </c>
      <c r="W1000">
        <v>56687</v>
      </c>
    </row>
    <row r="1001" spans="1:23" x14ac:dyDescent="0.25">
      <c r="A1001" s="1" t="s">
        <v>27</v>
      </c>
      <c r="B1001" s="1"/>
      <c r="C1001" s="1" t="s">
        <v>117</v>
      </c>
      <c r="D1001">
        <v>9977</v>
      </c>
      <c r="E1001" s="1"/>
      <c r="F1001" s="1" t="s">
        <v>261</v>
      </c>
      <c r="G1001">
        <v>2015</v>
      </c>
      <c r="H1001">
        <v>6987.52</v>
      </c>
      <c r="I1001">
        <v>5</v>
      </c>
      <c r="J1001" s="1" t="s">
        <v>514</v>
      </c>
      <c r="K1001">
        <v>0</v>
      </c>
      <c r="L1001">
        <v>487</v>
      </c>
      <c r="M1001">
        <v>14.345143999999999</v>
      </c>
      <c r="N1001">
        <v>2</v>
      </c>
      <c r="O1001" s="1" t="s">
        <v>569</v>
      </c>
      <c r="P1001">
        <v>6987.52</v>
      </c>
      <c r="Q1001">
        <v>2096.2600000000002</v>
      </c>
      <c r="R1001">
        <v>0</v>
      </c>
      <c r="S1001" s="1"/>
      <c r="T1001" s="1" t="s">
        <v>1252</v>
      </c>
      <c r="U1001">
        <v>6987.5290000000005</v>
      </c>
      <c r="V1001">
        <v>0</v>
      </c>
      <c r="W1001">
        <v>76402</v>
      </c>
    </row>
    <row r="1002" spans="1:23" x14ac:dyDescent="0.25">
      <c r="A1002" s="1" t="s">
        <v>27</v>
      </c>
      <c r="B1002" s="1"/>
      <c r="C1002" s="1" t="s">
        <v>117</v>
      </c>
      <c r="D1002">
        <v>9977</v>
      </c>
      <c r="E1002" s="1"/>
      <c r="F1002" s="1" t="s">
        <v>261</v>
      </c>
      <c r="G1002">
        <v>2014</v>
      </c>
      <c r="H1002">
        <v>17402.560000000001</v>
      </c>
      <c r="I1002">
        <v>12</v>
      </c>
      <c r="J1002" s="1" t="s">
        <v>514</v>
      </c>
      <c r="K1002">
        <v>0</v>
      </c>
      <c r="L1002">
        <v>487</v>
      </c>
      <c r="M1002">
        <v>35.726872999999998</v>
      </c>
      <c r="N1002">
        <v>2</v>
      </c>
      <c r="O1002" s="1" t="s">
        <v>569</v>
      </c>
      <c r="P1002">
        <v>17402.560000000001</v>
      </c>
      <c r="Q1002">
        <v>5220.7700000000004</v>
      </c>
      <c r="R1002">
        <v>0</v>
      </c>
      <c r="S1002" s="1"/>
      <c r="T1002" s="1" t="s">
        <v>1252</v>
      </c>
      <c r="U1002">
        <v>17402.569</v>
      </c>
      <c r="V1002">
        <v>0</v>
      </c>
      <c r="W1002">
        <v>76402</v>
      </c>
    </row>
    <row r="1003" spans="1:23" x14ac:dyDescent="0.25">
      <c r="A1003" s="1" t="s">
        <v>27</v>
      </c>
      <c r="B1003" s="1"/>
      <c r="C1003" s="1" t="s">
        <v>117</v>
      </c>
      <c r="D1003">
        <v>9977</v>
      </c>
      <c r="E1003" s="1"/>
      <c r="F1003" s="1" t="s">
        <v>261</v>
      </c>
      <c r="G1003">
        <v>2013</v>
      </c>
      <c r="H1003">
        <v>21659.93</v>
      </c>
      <c r="I1003">
        <v>12</v>
      </c>
      <c r="J1003" s="1" t="s">
        <v>514</v>
      </c>
      <c r="K1003">
        <v>0</v>
      </c>
      <c r="L1003">
        <v>487</v>
      </c>
      <c r="M1003">
        <v>44.467111000000003</v>
      </c>
      <c r="N1003">
        <v>2</v>
      </c>
      <c r="O1003" s="1" t="s">
        <v>569</v>
      </c>
      <c r="P1003">
        <v>21659.93</v>
      </c>
      <c r="Q1003">
        <v>6497.97</v>
      </c>
      <c r="R1003">
        <v>0</v>
      </c>
      <c r="S1003" s="1"/>
      <c r="T1003" s="1" t="s">
        <v>1252</v>
      </c>
      <c r="U1003">
        <v>21659.922999999999</v>
      </c>
      <c r="V1003">
        <v>0</v>
      </c>
      <c r="W1003">
        <v>76402</v>
      </c>
    </row>
    <row r="1004" spans="1:23" x14ac:dyDescent="0.25">
      <c r="A1004" s="1" t="s">
        <v>27</v>
      </c>
      <c r="B1004" s="1"/>
      <c r="C1004" s="1" t="s">
        <v>117</v>
      </c>
      <c r="D1004">
        <v>9977</v>
      </c>
      <c r="E1004" s="1"/>
      <c r="F1004" s="1" t="s">
        <v>261</v>
      </c>
      <c r="G1004">
        <v>2012</v>
      </c>
      <c r="H1004">
        <v>16582.62</v>
      </c>
      <c r="I1004">
        <v>12</v>
      </c>
      <c r="J1004" s="1" t="s">
        <v>514</v>
      </c>
      <c r="K1004">
        <v>0</v>
      </c>
      <c r="L1004">
        <v>487</v>
      </c>
      <c r="M1004">
        <v>34.043562999999999</v>
      </c>
      <c r="N1004">
        <v>2</v>
      </c>
      <c r="O1004" s="1" t="s">
        <v>569</v>
      </c>
      <c r="P1004">
        <v>16582.62</v>
      </c>
      <c r="Q1004">
        <v>6633.06</v>
      </c>
      <c r="R1004">
        <v>0</v>
      </c>
      <c r="S1004" s="1"/>
      <c r="T1004" s="1" t="s">
        <v>1252</v>
      </c>
      <c r="U1004">
        <v>16582.616999999998</v>
      </c>
      <c r="V1004">
        <v>0</v>
      </c>
      <c r="W1004">
        <v>76402</v>
      </c>
    </row>
    <row r="1005" spans="1:23" x14ac:dyDescent="0.25">
      <c r="A1005" s="1" t="s">
        <v>27</v>
      </c>
      <c r="B1005" s="1"/>
      <c r="C1005" s="1" t="s">
        <v>117</v>
      </c>
      <c r="D1005">
        <v>9977</v>
      </c>
      <c r="E1005" s="1"/>
      <c r="F1005" s="1" t="s">
        <v>261</v>
      </c>
      <c r="G1005">
        <v>2011</v>
      </c>
      <c r="H1005">
        <v>17003.560000000001</v>
      </c>
      <c r="I1005">
        <v>12</v>
      </c>
      <c r="J1005" s="1" t="s">
        <v>514</v>
      </c>
      <c r="K1005">
        <v>0</v>
      </c>
      <c r="L1005">
        <v>487</v>
      </c>
      <c r="M1005">
        <v>34.907738999999999</v>
      </c>
      <c r="N1005">
        <v>2</v>
      </c>
      <c r="O1005" s="1" t="s">
        <v>569</v>
      </c>
      <c r="P1005">
        <v>17003.560000000001</v>
      </c>
      <c r="Q1005">
        <v>7974.66</v>
      </c>
      <c r="R1005">
        <v>0</v>
      </c>
      <c r="S1005" s="1"/>
      <c r="T1005" s="1" t="s">
        <v>1252</v>
      </c>
      <c r="U1005">
        <v>17003.550999999999</v>
      </c>
      <c r="V1005">
        <v>0</v>
      </c>
      <c r="W1005">
        <v>76402</v>
      </c>
    </row>
    <row r="1006" spans="1:23" x14ac:dyDescent="0.25">
      <c r="A1006" s="1" t="s">
        <v>27</v>
      </c>
      <c r="B1006" s="1"/>
      <c r="C1006" s="1" t="s">
        <v>117</v>
      </c>
      <c r="D1006">
        <v>9977</v>
      </c>
      <c r="E1006" s="1"/>
      <c r="F1006" s="1" t="s">
        <v>261</v>
      </c>
      <c r="G1006">
        <v>2010</v>
      </c>
      <c r="H1006">
        <v>16946.39</v>
      </c>
      <c r="I1006">
        <v>8</v>
      </c>
      <c r="J1006" s="1" t="s">
        <v>514</v>
      </c>
      <c r="K1006">
        <v>0</v>
      </c>
      <c r="L1006">
        <v>487</v>
      </c>
      <c r="M1006">
        <v>34.790371</v>
      </c>
      <c r="N1006">
        <v>2</v>
      </c>
      <c r="O1006" s="1" t="s">
        <v>569</v>
      </c>
      <c r="P1006">
        <v>16946.39</v>
      </c>
      <c r="Q1006">
        <v>7947.88</v>
      </c>
      <c r="R1006">
        <v>0</v>
      </c>
      <c r="S1006" s="1"/>
      <c r="T1006" s="1" t="s">
        <v>1252</v>
      </c>
      <c r="U1006">
        <v>16946.397850000001</v>
      </c>
      <c r="V1006">
        <v>0</v>
      </c>
      <c r="W1006">
        <v>76402</v>
      </c>
    </row>
    <row r="1007" spans="1:23" x14ac:dyDescent="0.25">
      <c r="A1007" s="1" t="s">
        <v>27</v>
      </c>
      <c r="B1007" s="1"/>
      <c r="C1007" s="1" t="s">
        <v>117</v>
      </c>
      <c r="D1007">
        <v>9977</v>
      </c>
      <c r="E1007" s="1"/>
      <c r="F1007" s="1" t="s">
        <v>261</v>
      </c>
      <c r="G1007">
        <v>2009</v>
      </c>
      <c r="H1007">
        <v>20296.59</v>
      </c>
      <c r="I1007">
        <v>6</v>
      </c>
      <c r="J1007" s="1" t="s">
        <v>514</v>
      </c>
      <c r="K1007">
        <v>0</v>
      </c>
      <c r="L1007">
        <v>487</v>
      </c>
      <c r="M1007">
        <v>41.668219999999998</v>
      </c>
      <c r="N1007">
        <v>2</v>
      </c>
      <c r="O1007" s="1" t="s">
        <v>569</v>
      </c>
      <c r="P1007">
        <v>20296.59</v>
      </c>
      <c r="Q1007">
        <v>9519.1200000000008</v>
      </c>
      <c r="R1007">
        <v>0</v>
      </c>
      <c r="S1007" s="1"/>
      <c r="T1007" s="1" t="s">
        <v>1252</v>
      </c>
      <c r="U1007">
        <v>20296.592509999999</v>
      </c>
      <c r="V1007">
        <v>0</v>
      </c>
      <c r="W1007">
        <v>76402</v>
      </c>
    </row>
    <row r="1008" spans="1:23" x14ac:dyDescent="0.25">
      <c r="A1008" s="1" t="s">
        <v>27</v>
      </c>
      <c r="B1008" s="1"/>
      <c r="C1008" s="1" t="s">
        <v>117</v>
      </c>
      <c r="D1008">
        <v>9977</v>
      </c>
      <c r="E1008" s="1"/>
      <c r="F1008" s="1" t="s">
        <v>261</v>
      </c>
      <c r="G1008">
        <v>2008</v>
      </c>
      <c r="H1008">
        <v>23406.3</v>
      </c>
      <c r="I1008">
        <v>9</v>
      </c>
      <c r="J1008" s="1" t="s">
        <v>514</v>
      </c>
      <c r="K1008">
        <v>0</v>
      </c>
      <c r="L1008">
        <v>487</v>
      </c>
      <c r="M1008">
        <v>48.052349999999997</v>
      </c>
      <c r="N1008">
        <v>2</v>
      </c>
      <c r="O1008" s="1" t="s">
        <v>569</v>
      </c>
      <c r="P1008">
        <v>23406.3</v>
      </c>
      <c r="Q1008">
        <v>10977.55</v>
      </c>
      <c r="R1008">
        <v>0</v>
      </c>
      <c r="S1008" s="1"/>
      <c r="T1008" s="1" t="s">
        <v>1252</v>
      </c>
      <c r="U1008">
        <v>23406.309089999999</v>
      </c>
      <c r="V1008">
        <v>0</v>
      </c>
      <c r="W1008">
        <v>76402</v>
      </c>
    </row>
    <row r="1009" spans="1:23" x14ac:dyDescent="0.25">
      <c r="A1009" s="1" t="s">
        <v>27</v>
      </c>
      <c r="B1009" s="1"/>
      <c r="C1009" s="1" t="s">
        <v>118</v>
      </c>
      <c r="D1009">
        <v>10018</v>
      </c>
      <c r="E1009" s="1"/>
      <c r="F1009" s="1" t="s">
        <v>262</v>
      </c>
      <c r="G1009">
        <v>2015</v>
      </c>
      <c r="H1009">
        <v>5655.31</v>
      </c>
      <c r="I1009">
        <v>5</v>
      </c>
      <c r="J1009" s="1"/>
      <c r="K1009">
        <v>0</v>
      </c>
      <c r="L1009">
        <v>838</v>
      </c>
      <c r="M1009">
        <v>6.7477739999999997</v>
      </c>
      <c r="N1009">
        <v>2</v>
      </c>
      <c r="O1009" s="1" t="s">
        <v>569</v>
      </c>
      <c r="P1009">
        <v>5655.31</v>
      </c>
      <c r="Q1009">
        <v>1696.59</v>
      </c>
      <c r="R1009">
        <v>0</v>
      </c>
      <c r="S1009" s="1" t="s">
        <v>961</v>
      </c>
      <c r="T1009" s="1" t="s">
        <v>1253</v>
      </c>
      <c r="U1009">
        <v>5655.3010000000004</v>
      </c>
      <c r="V1009">
        <v>0</v>
      </c>
      <c r="W1009">
        <v>90991</v>
      </c>
    </row>
    <row r="1010" spans="1:23" x14ac:dyDescent="0.25">
      <c r="A1010" s="1" t="s">
        <v>27</v>
      </c>
      <c r="B1010" s="1"/>
      <c r="C1010" s="1" t="s">
        <v>118</v>
      </c>
      <c r="D1010">
        <v>10018</v>
      </c>
      <c r="E1010" s="1"/>
      <c r="F1010" s="1" t="s">
        <v>262</v>
      </c>
      <c r="G1010">
        <v>2014</v>
      </c>
      <c r="H1010">
        <v>21867.759999999998</v>
      </c>
      <c r="I1010">
        <v>12</v>
      </c>
      <c r="J1010" s="1"/>
      <c r="K1010">
        <v>0</v>
      </c>
      <c r="L1010">
        <v>838</v>
      </c>
      <c r="M1010">
        <v>26.092065000000002</v>
      </c>
      <c r="N1010">
        <v>2</v>
      </c>
      <c r="O1010" s="1" t="s">
        <v>569</v>
      </c>
      <c r="P1010">
        <v>21867.759999999998</v>
      </c>
      <c r="Q1010">
        <v>6560.33</v>
      </c>
      <c r="R1010">
        <v>0</v>
      </c>
      <c r="S1010" s="1" t="s">
        <v>961</v>
      </c>
      <c r="T1010" s="1" t="s">
        <v>1253</v>
      </c>
      <c r="U1010">
        <v>21867.766</v>
      </c>
      <c r="V1010">
        <v>0</v>
      </c>
      <c r="W1010">
        <v>90991</v>
      </c>
    </row>
    <row r="1011" spans="1:23" x14ac:dyDescent="0.25">
      <c r="A1011" s="1" t="s">
        <v>27</v>
      </c>
      <c r="B1011" s="1"/>
      <c r="C1011" s="1" t="s">
        <v>118</v>
      </c>
      <c r="D1011">
        <v>10018</v>
      </c>
      <c r="E1011" s="1"/>
      <c r="F1011" s="1" t="s">
        <v>262</v>
      </c>
      <c r="G1011">
        <v>2013</v>
      </c>
      <c r="H1011">
        <v>20987</v>
      </c>
      <c r="I1011">
        <v>12</v>
      </c>
      <c r="J1011" s="1"/>
      <c r="K1011">
        <v>0</v>
      </c>
      <c r="L1011">
        <v>838</v>
      </c>
      <c r="M1011">
        <v>25.041163999999998</v>
      </c>
      <c r="N1011">
        <v>2</v>
      </c>
      <c r="O1011" s="1" t="s">
        <v>569</v>
      </c>
      <c r="P1011">
        <v>20987</v>
      </c>
      <c r="Q1011">
        <v>6296.1</v>
      </c>
      <c r="R1011">
        <v>0</v>
      </c>
      <c r="S1011" s="1" t="s">
        <v>961</v>
      </c>
      <c r="T1011" s="1" t="s">
        <v>1253</v>
      </c>
      <c r="U1011">
        <v>20987</v>
      </c>
      <c r="V1011">
        <v>0</v>
      </c>
      <c r="W1011">
        <v>90991</v>
      </c>
    </row>
    <row r="1012" spans="1:23" x14ac:dyDescent="0.25">
      <c r="A1012" s="1" t="s">
        <v>27</v>
      </c>
      <c r="B1012" s="1"/>
      <c r="C1012" s="1" t="s">
        <v>118</v>
      </c>
      <c r="D1012">
        <v>10018</v>
      </c>
      <c r="E1012" s="1"/>
      <c r="F1012" s="1" t="s">
        <v>262</v>
      </c>
      <c r="G1012">
        <v>2012</v>
      </c>
      <c r="H1012">
        <v>19878.73</v>
      </c>
      <c r="I1012">
        <v>12</v>
      </c>
      <c r="J1012" s="1"/>
      <c r="K1012">
        <v>0</v>
      </c>
      <c r="L1012">
        <v>838</v>
      </c>
      <c r="M1012">
        <v>23.718803999999999</v>
      </c>
      <c r="N1012">
        <v>2</v>
      </c>
      <c r="O1012" s="1" t="s">
        <v>569</v>
      </c>
      <c r="P1012">
        <v>19878.73</v>
      </c>
      <c r="Q1012">
        <v>7951.49</v>
      </c>
      <c r="R1012">
        <v>0</v>
      </c>
      <c r="S1012" s="1" t="s">
        <v>961</v>
      </c>
      <c r="T1012" s="1" t="s">
        <v>1253</v>
      </c>
      <c r="U1012">
        <v>19878.733</v>
      </c>
      <c r="V1012">
        <v>0</v>
      </c>
      <c r="W1012">
        <v>90991</v>
      </c>
    </row>
    <row r="1013" spans="1:23" x14ac:dyDescent="0.25">
      <c r="A1013" s="1" t="s">
        <v>27</v>
      </c>
      <c r="B1013" s="1"/>
      <c r="C1013" s="1" t="s">
        <v>118</v>
      </c>
      <c r="D1013">
        <v>10018</v>
      </c>
      <c r="E1013" s="1"/>
      <c r="F1013" s="1" t="s">
        <v>262</v>
      </c>
      <c r="G1013">
        <v>2011</v>
      </c>
      <c r="H1013">
        <v>15676.4</v>
      </c>
      <c r="I1013">
        <v>1</v>
      </c>
      <c r="J1013" s="1" t="s">
        <v>515</v>
      </c>
      <c r="K1013">
        <v>0</v>
      </c>
      <c r="L1013">
        <v>838</v>
      </c>
      <c r="M1013">
        <v>18.704688999999998</v>
      </c>
      <c r="N1013">
        <v>2</v>
      </c>
      <c r="O1013" s="1" t="s">
        <v>569</v>
      </c>
      <c r="P1013">
        <v>15676.4</v>
      </c>
      <c r="Q1013">
        <v>7352.23</v>
      </c>
      <c r="R1013">
        <v>0</v>
      </c>
      <c r="S1013" s="1" t="s">
        <v>962</v>
      </c>
      <c r="T1013" s="1"/>
      <c r="U1013">
        <v>15676.4162</v>
      </c>
      <c r="V1013">
        <v>0</v>
      </c>
      <c r="W1013">
        <v>76528</v>
      </c>
    </row>
    <row r="1014" spans="1:23" x14ac:dyDescent="0.25">
      <c r="A1014" s="1" t="s">
        <v>27</v>
      </c>
      <c r="B1014" s="1"/>
      <c r="C1014" s="1" t="s">
        <v>118</v>
      </c>
      <c r="D1014">
        <v>10018</v>
      </c>
      <c r="E1014" s="1"/>
      <c r="F1014" s="1" t="s">
        <v>262</v>
      </c>
      <c r="G1014">
        <v>2011</v>
      </c>
      <c r="H1014">
        <v>5267.14</v>
      </c>
      <c r="I1014">
        <v>3</v>
      </c>
      <c r="J1014" s="1"/>
      <c r="K1014">
        <v>0</v>
      </c>
      <c r="L1014">
        <v>838</v>
      </c>
      <c r="M1014">
        <v>6.2846190000000002</v>
      </c>
      <c r="N1014">
        <v>2</v>
      </c>
      <c r="O1014" s="1" t="s">
        <v>569</v>
      </c>
      <c r="P1014">
        <v>5267.14</v>
      </c>
      <c r="Q1014">
        <v>2470.29</v>
      </c>
      <c r="R1014">
        <v>0</v>
      </c>
      <c r="S1014" s="1" t="s">
        <v>961</v>
      </c>
      <c r="T1014" s="1" t="s">
        <v>1253</v>
      </c>
      <c r="U1014">
        <v>5267.134</v>
      </c>
      <c r="V1014">
        <v>0</v>
      </c>
      <c r="W1014">
        <v>90991</v>
      </c>
    </row>
    <row r="1015" spans="1:23" x14ac:dyDescent="0.25">
      <c r="A1015" s="1" t="s">
        <v>27</v>
      </c>
      <c r="B1015" s="1"/>
      <c r="C1015" s="1" t="s">
        <v>118</v>
      </c>
      <c r="D1015">
        <v>10018</v>
      </c>
      <c r="E1015" s="1"/>
      <c r="F1015" s="1" t="s">
        <v>262</v>
      </c>
      <c r="G1015">
        <v>2010</v>
      </c>
      <c r="H1015">
        <v>21863.7</v>
      </c>
      <c r="I1015">
        <v>3</v>
      </c>
      <c r="J1015" s="1" t="s">
        <v>515</v>
      </c>
      <c r="K1015">
        <v>0</v>
      </c>
      <c r="L1015">
        <v>838</v>
      </c>
      <c r="M1015">
        <v>26.087221</v>
      </c>
      <c r="N1015">
        <v>2</v>
      </c>
      <c r="O1015" s="1" t="s">
        <v>569</v>
      </c>
      <c r="P1015">
        <v>21863.7</v>
      </c>
      <c r="Q1015">
        <v>10254.06</v>
      </c>
      <c r="R1015">
        <v>0</v>
      </c>
      <c r="S1015" s="1" t="s">
        <v>962</v>
      </c>
      <c r="T1015" s="1"/>
      <c r="U1015">
        <v>21863.678670000001</v>
      </c>
      <c r="V1015">
        <v>0</v>
      </c>
      <c r="W1015">
        <v>76528</v>
      </c>
    </row>
    <row r="1016" spans="1:23" x14ac:dyDescent="0.25">
      <c r="A1016" s="1" t="s">
        <v>27</v>
      </c>
      <c r="B1016" s="1"/>
      <c r="C1016" s="1" t="s">
        <v>118</v>
      </c>
      <c r="D1016">
        <v>10018</v>
      </c>
      <c r="E1016" s="1"/>
      <c r="F1016" s="1" t="s">
        <v>262</v>
      </c>
      <c r="G1016">
        <v>2009</v>
      </c>
      <c r="H1016">
        <v>24376.89</v>
      </c>
      <c r="I1016">
        <v>2</v>
      </c>
      <c r="J1016" s="1" t="s">
        <v>515</v>
      </c>
      <c r="K1016">
        <v>0</v>
      </c>
      <c r="L1016">
        <v>838</v>
      </c>
      <c r="M1016">
        <v>29.085896000000002</v>
      </c>
      <c r="N1016">
        <v>2</v>
      </c>
      <c r="O1016" s="1" t="s">
        <v>569</v>
      </c>
      <c r="P1016">
        <v>24376.89</v>
      </c>
      <c r="Q1016">
        <v>11432.78</v>
      </c>
      <c r="R1016">
        <v>0</v>
      </c>
      <c r="S1016" s="1" t="s">
        <v>962</v>
      </c>
      <c r="T1016" s="1"/>
      <c r="U1016">
        <v>24376.905119999999</v>
      </c>
      <c r="V1016">
        <v>0</v>
      </c>
      <c r="W1016">
        <v>76528</v>
      </c>
    </row>
    <row r="1017" spans="1:23" x14ac:dyDescent="0.25">
      <c r="A1017" s="1" t="s">
        <v>27</v>
      </c>
      <c r="B1017" s="1"/>
      <c r="C1017" s="1" t="s">
        <v>118</v>
      </c>
      <c r="D1017">
        <v>10018</v>
      </c>
      <c r="E1017" s="1"/>
      <c r="F1017" s="1" t="s">
        <v>262</v>
      </c>
      <c r="G1017">
        <v>2008</v>
      </c>
      <c r="H1017">
        <v>25730.91</v>
      </c>
      <c r="I1017">
        <v>5</v>
      </c>
      <c r="J1017" s="1" t="s">
        <v>515</v>
      </c>
      <c r="K1017">
        <v>0</v>
      </c>
      <c r="L1017">
        <v>838</v>
      </c>
      <c r="M1017">
        <v>30.701478999999999</v>
      </c>
      <c r="N1017">
        <v>2</v>
      </c>
      <c r="O1017" s="1" t="s">
        <v>569</v>
      </c>
      <c r="P1017">
        <v>25730.91</v>
      </c>
      <c r="Q1017">
        <v>12067.78</v>
      </c>
      <c r="R1017">
        <v>0</v>
      </c>
      <c r="S1017" s="1" t="s">
        <v>962</v>
      </c>
      <c r="T1017" s="1"/>
      <c r="U1017">
        <v>25730.91001</v>
      </c>
      <c r="V1017">
        <v>0</v>
      </c>
      <c r="W1017">
        <v>76528</v>
      </c>
    </row>
    <row r="1018" spans="1:23" x14ac:dyDescent="0.25">
      <c r="A1018" s="1" t="s">
        <v>27</v>
      </c>
      <c r="B1018" s="1" t="s">
        <v>53</v>
      </c>
      <c r="C1018" s="1" t="s">
        <v>119</v>
      </c>
      <c r="D1018">
        <v>5486</v>
      </c>
      <c r="E1018" s="1"/>
      <c r="F1018" s="1" t="s">
        <v>263</v>
      </c>
      <c r="G1018">
        <v>2015</v>
      </c>
      <c r="H1018">
        <v>5088.1400000000003</v>
      </c>
      <c r="I1018">
        <v>5</v>
      </c>
      <c r="J1018" s="1" t="s">
        <v>404</v>
      </c>
      <c r="K1018">
        <v>0</v>
      </c>
      <c r="L1018">
        <v>417</v>
      </c>
      <c r="M1018">
        <v>12.198848999999999</v>
      </c>
      <c r="N1018">
        <v>2</v>
      </c>
      <c r="O1018" s="1" t="s">
        <v>569</v>
      </c>
      <c r="P1018">
        <v>5088.1400000000003</v>
      </c>
      <c r="Q1018">
        <v>2035.25</v>
      </c>
      <c r="R1018">
        <v>0</v>
      </c>
      <c r="S1018" s="1" t="s">
        <v>963</v>
      </c>
      <c r="T1018" s="1" t="s">
        <v>1254</v>
      </c>
      <c r="U1018">
        <v>5088.1274000000003</v>
      </c>
      <c r="V1018">
        <v>0</v>
      </c>
      <c r="W1018">
        <v>57981</v>
      </c>
    </row>
    <row r="1019" spans="1:23" x14ac:dyDescent="0.25">
      <c r="A1019" s="1" t="s">
        <v>27</v>
      </c>
      <c r="B1019" s="1" t="s">
        <v>53</v>
      </c>
      <c r="C1019" s="1" t="s">
        <v>119</v>
      </c>
      <c r="D1019">
        <v>5486</v>
      </c>
      <c r="E1019" s="1"/>
      <c r="F1019" s="1" t="s">
        <v>263</v>
      </c>
      <c r="G1019">
        <v>2014</v>
      </c>
      <c r="H1019">
        <v>11429.03</v>
      </c>
      <c r="I1019">
        <v>12</v>
      </c>
      <c r="J1019" s="1" t="s">
        <v>404</v>
      </c>
      <c r="K1019">
        <v>0</v>
      </c>
      <c r="L1019">
        <v>417</v>
      </c>
      <c r="M1019">
        <v>27.401174000000001</v>
      </c>
      <c r="N1019">
        <v>2</v>
      </c>
      <c r="O1019" s="1" t="s">
        <v>569</v>
      </c>
      <c r="P1019">
        <v>11429.03</v>
      </c>
      <c r="Q1019">
        <v>4571.62</v>
      </c>
      <c r="R1019">
        <v>0</v>
      </c>
      <c r="S1019" s="1" t="s">
        <v>963</v>
      </c>
      <c r="T1019" s="1" t="s">
        <v>1254</v>
      </c>
      <c r="U1019">
        <v>11429.038200000001</v>
      </c>
      <c r="V1019">
        <v>0</v>
      </c>
      <c r="W1019">
        <v>57981</v>
      </c>
    </row>
    <row r="1020" spans="1:23" x14ac:dyDescent="0.25">
      <c r="A1020" s="1" t="s">
        <v>27</v>
      </c>
      <c r="B1020" s="1" t="s">
        <v>53</v>
      </c>
      <c r="C1020" s="1" t="s">
        <v>119</v>
      </c>
      <c r="D1020">
        <v>5486</v>
      </c>
      <c r="E1020" s="1"/>
      <c r="F1020" s="1" t="s">
        <v>263</v>
      </c>
      <c r="G1020">
        <v>2013</v>
      </c>
      <c r="H1020">
        <v>12096.39</v>
      </c>
      <c r="I1020">
        <v>12</v>
      </c>
      <c r="J1020" s="1" t="s">
        <v>404</v>
      </c>
      <c r="K1020">
        <v>0</v>
      </c>
      <c r="L1020">
        <v>417</v>
      </c>
      <c r="M1020">
        <v>29.001173999999999</v>
      </c>
      <c r="N1020">
        <v>2</v>
      </c>
      <c r="O1020" s="1" t="s">
        <v>569</v>
      </c>
      <c r="P1020">
        <v>12096.39</v>
      </c>
      <c r="Q1020">
        <v>4838.57</v>
      </c>
      <c r="R1020">
        <v>0</v>
      </c>
      <c r="S1020" s="1" t="s">
        <v>963</v>
      </c>
      <c r="T1020" s="1" t="s">
        <v>1254</v>
      </c>
      <c r="U1020">
        <v>12096.3907</v>
      </c>
      <c r="V1020">
        <v>0</v>
      </c>
      <c r="W1020">
        <v>57981</v>
      </c>
    </row>
    <row r="1021" spans="1:23" x14ac:dyDescent="0.25">
      <c r="A1021" s="1" t="s">
        <v>27</v>
      </c>
      <c r="B1021" s="1" t="s">
        <v>53</v>
      </c>
      <c r="C1021" s="1" t="s">
        <v>119</v>
      </c>
      <c r="D1021">
        <v>5486</v>
      </c>
      <c r="E1021" s="1"/>
      <c r="F1021" s="1" t="s">
        <v>263</v>
      </c>
      <c r="G1021">
        <v>2012</v>
      </c>
      <c r="H1021">
        <v>15383.12</v>
      </c>
      <c r="I1021">
        <v>12</v>
      </c>
      <c r="J1021" s="1" t="s">
        <v>404</v>
      </c>
      <c r="K1021">
        <v>0</v>
      </c>
      <c r="L1021">
        <v>417</v>
      </c>
      <c r="M1021">
        <v>36.881131000000003</v>
      </c>
      <c r="N1021">
        <v>2</v>
      </c>
      <c r="O1021" s="1" t="s">
        <v>569</v>
      </c>
      <c r="P1021">
        <v>15383.12</v>
      </c>
      <c r="Q1021">
        <v>6153.25</v>
      </c>
      <c r="R1021">
        <v>0</v>
      </c>
      <c r="S1021" s="1" t="s">
        <v>963</v>
      </c>
      <c r="T1021" s="1" t="s">
        <v>1254</v>
      </c>
      <c r="U1021">
        <v>15383.117</v>
      </c>
      <c r="V1021">
        <v>0</v>
      </c>
      <c r="W1021">
        <v>57981</v>
      </c>
    </row>
    <row r="1022" spans="1:23" x14ac:dyDescent="0.25">
      <c r="A1022" s="1" t="s">
        <v>27</v>
      </c>
      <c r="B1022" s="1" t="s">
        <v>53</v>
      </c>
      <c r="C1022" s="1" t="s">
        <v>119</v>
      </c>
      <c r="D1022">
        <v>5486</v>
      </c>
      <c r="E1022" s="1"/>
      <c r="F1022" s="1" t="s">
        <v>263</v>
      </c>
      <c r="G1022">
        <v>2011</v>
      </c>
      <c r="H1022">
        <v>17141.59</v>
      </c>
      <c r="I1022">
        <v>12</v>
      </c>
      <c r="J1022" s="1" t="s">
        <v>404</v>
      </c>
      <c r="K1022">
        <v>0</v>
      </c>
      <c r="L1022">
        <v>417</v>
      </c>
      <c r="M1022">
        <v>41.097074999999997</v>
      </c>
      <c r="N1022">
        <v>2</v>
      </c>
      <c r="O1022" s="1" t="s">
        <v>569</v>
      </c>
      <c r="P1022">
        <v>17141.59</v>
      </c>
      <c r="Q1022">
        <v>8039.42</v>
      </c>
      <c r="R1022">
        <v>0</v>
      </c>
      <c r="S1022" s="1" t="s">
        <v>963</v>
      </c>
      <c r="T1022" s="1" t="s">
        <v>1254</v>
      </c>
      <c r="U1022">
        <v>17141.598000000002</v>
      </c>
      <c r="V1022">
        <v>0</v>
      </c>
      <c r="W1022">
        <v>57981</v>
      </c>
    </row>
    <row r="1023" spans="1:23" x14ac:dyDescent="0.25">
      <c r="A1023" s="1" t="s">
        <v>27</v>
      </c>
      <c r="B1023" s="1" t="s">
        <v>53</v>
      </c>
      <c r="C1023" s="1" t="s">
        <v>119</v>
      </c>
      <c r="D1023">
        <v>5486</v>
      </c>
      <c r="E1023" s="1"/>
      <c r="F1023" s="1" t="s">
        <v>263</v>
      </c>
      <c r="G1023">
        <v>2010</v>
      </c>
      <c r="H1023">
        <v>16777.88</v>
      </c>
      <c r="I1023">
        <v>12</v>
      </c>
      <c r="J1023" s="1" t="s">
        <v>404</v>
      </c>
      <c r="K1023">
        <v>0</v>
      </c>
      <c r="L1023">
        <v>417</v>
      </c>
      <c r="M1023">
        <v>40.225076999999999</v>
      </c>
      <c r="N1023">
        <v>2</v>
      </c>
      <c r="O1023" s="1" t="s">
        <v>569</v>
      </c>
      <c r="P1023">
        <v>16777.88</v>
      </c>
      <c r="Q1023">
        <v>7868.83</v>
      </c>
      <c r="R1023">
        <v>0</v>
      </c>
      <c r="S1023" s="1" t="s">
        <v>963</v>
      </c>
      <c r="T1023" s="1" t="s">
        <v>1254</v>
      </c>
      <c r="U1023">
        <v>16777.882000000001</v>
      </c>
      <c r="V1023">
        <v>0</v>
      </c>
      <c r="W1023">
        <v>57981</v>
      </c>
    </row>
    <row r="1024" spans="1:23" x14ac:dyDescent="0.25">
      <c r="A1024" s="1" t="s">
        <v>27</v>
      </c>
      <c r="B1024" s="1" t="s">
        <v>53</v>
      </c>
      <c r="C1024" s="1" t="s">
        <v>119</v>
      </c>
      <c r="D1024">
        <v>5486</v>
      </c>
      <c r="E1024" s="1"/>
      <c r="F1024" s="1" t="s">
        <v>263</v>
      </c>
      <c r="G1024">
        <v>2009</v>
      </c>
      <c r="H1024">
        <v>16581.240000000002</v>
      </c>
      <c r="I1024">
        <v>12</v>
      </c>
      <c r="J1024" s="1" t="s">
        <v>404</v>
      </c>
      <c r="K1024">
        <v>0</v>
      </c>
      <c r="L1024">
        <v>417</v>
      </c>
      <c r="M1024">
        <v>39.753632000000003</v>
      </c>
      <c r="N1024">
        <v>2</v>
      </c>
      <c r="O1024" s="1" t="s">
        <v>569</v>
      </c>
      <c r="P1024">
        <v>16581.240000000002</v>
      </c>
      <c r="Q1024">
        <v>7776.6</v>
      </c>
      <c r="R1024">
        <v>0</v>
      </c>
      <c r="S1024" s="1" t="s">
        <v>963</v>
      </c>
      <c r="T1024" s="1" t="s">
        <v>1254</v>
      </c>
      <c r="U1024">
        <v>16581.235000000001</v>
      </c>
      <c r="V1024">
        <v>0</v>
      </c>
      <c r="W1024">
        <v>57981</v>
      </c>
    </row>
    <row r="1025" spans="1:23" x14ac:dyDescent="0.25">
      <c r="A1025" s="1" t="s">
        <v>27</v>
      </c>
      <c r="B1025" s="1" t="s">
        <v>53</v>
      </c>
      <c r="C1025" s="1" t="s">
        <v>119</v>
      </c>
      <c r="D1025">
        <v>5486</v>
      </c>
      <c r="E1025" s="1"/>
      <c r="F1025" s="1" t="s">
        <v>263</v>
      </c>
      <c r="G1025">
        <v>2008</v>
      </c>
      <c r="H1025">
        <v>17098.05</v>
      </c>
      <c r="I1025">
        <v>12</v>
      </c>
      <c r="J1025" s="1" t="s">
        <v>404</v>
      </c>
      <c r="K1025">
        <v>0</v>
      </c>
      <c r="L1025">
        <v>417</v>
      </c>
      <c r="M1025">
        <v>40.992686999999997</v>
      </c>
      <c r="N1025">
        <v>2</v>
      </c>
      <c r="O1025" s="1" t="s">
        <v>569</v>
      </c>
      <c r="P1025">
        <v>17098.05</v>
      </c>
      <c r="Q1025">
        <v>8018.98</v>
      </c>
      <c r="R1025">
        <v>0</v>
      </c>
      <c r="S1025" s="1" t="s">
        <v>963</v>
      </c>
      <c r="T1025" s="1" t="s">
        <v>1254</v>
      </c>
      <c r="U1025">
        <v>17098.044999999998</v>
      </c>
      <c r="V1025">
        <v>0</v>
      </c>
      <c r="W1025">
        <v>57981</v>
      </c>
    </row>
    <row r="1026" spans="1:23" x14ac:dyDescent="0.25">
      <c r="A1026" s="1" t="s">
        <v>27</v>
      </c>
      <c r="B1026" s="1"/>
      <c r="C1026" s="1" t="s">
        <v>120</v>
      </c>
      <c r="D1026">
        <v>10058</v>
      </c>
      <c r="E1026" s="1"/>
      <c r="F1026" s="1" t="s">
        <v>120</v>
      </c>
      <c r="G1026">
        <v>2015</v>
      </c>
      <c r="H1026">
        <v>7237.97</v>
      </c>
      <c r="I1026">
        <v>5</v>
      </c>
      <c r="J1026" s="1" t="s">
        <v>405</v>
      </c>
      <c r="K1026">
        <v>0</v>
      </c>
      <c r="L1026">
        <v>692</v>
      </c>
      <c r="M1026">
        <v>10.457981999999999</v>
      </c>
      <c r="N1026">
        <v>2</v>
      </c>
      <c r="O1026" s="1" t="s">
        <v>569</v>
      </c>
      <c r="P1026">
        <v>7237.97</v>
      </c>
      <c r="Q1026">
        <v>2171.39</v>
      </c>
      <c r="R1026">
        <v>0</v>
      </c>
      <c r="S1026" s="1"/>
      <c r="T1026" s="1" t="s">
        <v>1255</v>
      </c>
      <c r="U1026">
        <v>7237.9669999999996</v>
      </c>
      <c r="V1026">
        <v>0</v>
      </c>
      <c r="W1026">
        <v>76684</v>
      </c>
    </row>
    <row r="1027" spans="1:23" x14ac:dyDescent="0.25">
      <c r="A1027" s="1" t="s">
        <v>27</v>
      </c>
      <c r="B1027" s="1"/>
      <c r="C1027" s="1" t="s">
        <v>120</v>
      </c>
      <c r="D1027">
        <v>10058</v>
      </c>
      <c r="E1027" s="1"/>
      <c r="F1027" s="1" t="s">
        <v>120</v>
      </c>
      <c r="G1027">
        <v>2014</v>
      </c>
      <c r="H1027">
        <v>17555.98</v>
      </c>
      <c r="I1027">
        <v>12</v>
      </c>
      <c r="J1027" s="1" t="s">
        <v>405</v>
      </c>
      <c r="K1027">
        <v>0</v>
      </c>
      <c r="L1027">
        <v>692</v>
      </c>
      <c r="M1027">
        <v>25.366247000000001</v>
      </c>
      <c r="N1027">
        <v>2</v>
      </c>
      <c r="O1027" s="1" t="s">
        <v>569</v>
      </c>
      <c r="P1027">
        <v>17555.98</v>
      </c>
      <c r="Q1027">
        <v>5266.79</v>
      </c>
      <c r="R1027">
        <v>0</v>
      </c>
      <c r="S1027" s="1"/>
      <c r="T1027" s="1" t="s">
        <v>1255</v>
      </c>
      <c r="U1027">
        <v>17555.982</v>
      </c>
      <c r="V1027">
        <v>0</v>
      </c>
      <c r="W1027">
        <v>76684</v>
      </c>
    </row>
    <row r="1028" spans="1:23" x14ac:dyDescent="0.25">
      <c r="A1028" s="1" t="s">
        <v>27</v>
      </c>
      <c r="B1028" s="1"/>
      <c r="C1028" s="1" t="s">
        <v>120</v>
      </c>
      <c r="D1028">
        <v>10058</v>
      </c>
      <c r="E1028" s="1"/>
      <c r="F1028" s="1" t="s">
        <v>120</v>
      </c>
      <c r="G1028">
        <v>2013</v>
      </c>
      <c r="H1028">
        <v>18965.349999999999</v>
      </c>
      <c r="I1028">
        <v>12</v>
      </c>
      <c r="J1028" s="1" t="s">
        <v>405</v>
      </c>
      <c r="K1028">
        <v>0</v>
      </c>
      <c r="L1028">
        <v>692</v>
      </c>
      <c r="M1028">
        <v>27.402615000000001</v>
      </c>
      <c r="N1028">
        <v>2</v>
      </c>
      <c r="O1028" s="1" t="s">
        <v>569</v>
      </c>
      <c r="P1028">
        <v>18965.349999999999</v>
      </c>
      <c r="Q1028">
        <v>5689.61</v>
      </c>
      <c r="R1028">
        <v>0</v>
      </c>
      <c r="S1028" s="1"/>
      <c r="T1028" s="1" t="s">
        <v>1255</v>
      </c>
      <c r="U1028">
        <v>18965.341</v>
      </c>
      <c r="V1028">
        <v>0</v>
      </c>
      <c r="W1028">
        <v>76684</v>
      </c>
    </row>
    <row r="1029" spans="1:23" x14ac:dyDescent="0.25">
      <c r="A1029" s="1" t="s">
        <v>27</v>
      </c>
      <c r="B1029" s="1"/>
      <c r="C1029" s="1" t="s">
        <v>120</v>
      </c>
      <c r="D1029">
        <v>10058</v>
      </c>
      <c r="E1029" s="1"/>
      <c r="F1029" s="1" t="s">
        <v>120</v>
      </c>
      <c r="G1029">
        <v>2012</v>
      </c>
      <c r="H1029">
        <v>18135.84</v>
      </c>
      <c r="I1029">
        <v>12</v>
      </c>
      <c r="J1029" s="1" t="s">
        <v>405</v>
      </c>
      <c r="K1029">
        <v>0</v>
      </c>
      <c r="L1029">
        <v>692</v>
      </c>
      <c r="M1029">
        <v>26.204073999999999</v>
      </c>
      <c r="N1029">
        <v>2</v>
      </c>
      <c r="O1029" s="1" t="s">
        <v>569</v>
      </c>
      <c r="P1029">
        <v>18135.84</v>
      </c>
      <c r="Q1029">
        <v>7254.33</v>
      </c>
      <c r="R1029">
        <v>0</v>
      </c>
      <c r="S1029" s="1"/>
      <c r="T1029" s="1" t="s">
        <v>1255</v>
      </c>
      <c r="U1029">
        <v>18135.843000000001</v>
      </c>
      <c r="V1029">
        <v>0</v>
      </c>
      <c r="W1029">
        <v>76684</v>
      </c>
    </row>
    <row r="1030" spans="1:23" x14ac:dyDescent="0.25">
      <c r="A1030" s="1" t="s">
        <v>27</v>
      </c>
      <c r="B1030" s="1"/>
      <c r="C1030" s="1" t="s">
        <v>120</v>
      </c>
      <c r="D1030">
        <v>10058</v>
      </c>
      <c r="E1030" s="1"/>
      <c r="F1030" s="1" t="s">
        <v>120</v>
      </c>
      <c r="G1030">
        <v>2011</v>
      </c>
      <c r="H1030">
        <v>18099.32</v>
      </c>
      <c r="I1030">
        <v>12</v>
      </c>
      <c r="J1030" s="1" t="s">
        <v>405</v>
      </c>
      <c r="K1030">
        <v>0</v>
      </c>
      <c r="L1030">
        <v>692</v>
      </c>
      <c r="M1030">
        <v>26.151306999999999</v>
      </c>
      <c r="N1030">
        <v>2</v>
      </c>
      <c r="O1030" s="1" t="s">
        <v>569</v>
      </c>
      <c r="P1030">
        <v>18099.32</v>
      </c>
      <c r="Q1030">
        <v>8488.57</v>
      </c>
      <c r="R1030">
        <v>0</v>
      </c>
      <c r="S1030" s="1"/>
      <c r="T1030" s="1" t="s">
        <v>1255</v>
      </c>
      <c r="U1030">
        <v>18099.311000000002</v>
      </c>
      <c r="V1030">
        <v>0</v>
      </c>
      <c r="W1030">
        <v>76684</v>
      </c>
    </row>
    <row r="1031" spans="1:23" x14ac:dyDescent="0.25">
      <c r="A1031" s="1" t="s">
        <v>27</v>
      </c>
      <c r="B1031" s="1"/>
      <c r="C1031" s="1" t="s">
        <v>120</v>
      </c>
      <c r="D1031">
        <v>10058</v>
      </c>
      <c r="E1031" s="1"/>
      <c r="F1031" s="1" t="s">
        <v>120</v>
      </c>
      <c r="G1031">
        <v>2010</v>
      </c>
      <c r="H1031">
        <v>17306.2</v>
      </c>
      <c r="I1031">
        <v>6</v>
      </c>
      <c r="J1031" s="1" t="s">
        <v>405</v>
      </c>
      <c r="K1031">
        <v>0</v>
      </c>
      <c r="L1031">
        <v>692</v>
      </c>
      <c r="M1031">
        <v>25.005345999999999</v>
      </c>
      <c r="N1031">
        <v>2</v>
      </c>
      <c r="O1031" s="1" t="s">
        <v>569</v>
      </c>
      <c r="P1031">
        <v>17306.2</v>
      </c>
      <c r="Q1031">
        <v>8116.62</v>
      </c>
      <c r="R1031">
        <v>0</v>
      </c>
      <c r="S1031" s="1"/>
      <c r="T1031" s="1" t="s">
        <v>1255</v>
      </c>
      <c r="U1031">
        <v>17306.206480000001</v>
      </c>
      <c r="V1031">
        <v>0</v>
      </c>
      <c r="W1031">
        <v>76684</v>
      </c>
    </row>
    <row r="1032" spans="1:23" x14ac:dyDescent="0.25">
      <c r="A1032" s="1" t="s">
        <v>27</v>
      </c>
      <c r="B1032" s="1"/>
      <c r="C1032" s="1" t="s">
        <v>120</v>
      </c>
      <c r="D1032">
        <v>10058</v>
      </c>
      <c r="E1032" s="1"/>
      <c r="F1032" s="1" t="s">
        <v>120</v>
      </c>
      <c r="G1032">
        <v>2009</v>
      </c>
      <c r="H1032">
        <v>19062.84</v>
      </c>
      <c r="I1032">
        <v>4</v>
      </c>
      <c r="J1032" s="1" t="s">
        <v>405</v>
      </c>
      <c r="K1032">
        <v>0</v>
      </c>
      <c r="L1032">
        <v>692</v>
      </c>
      <c r="M1032">
        <v>27.543475999999998</v>
      </c>
      <c r="N1032">
        <v>2</v>
      </c>
      <c r="O1032" s="1" t="s">
        <v>569</v>
      </c>
      <c r="P1032">
        <v>19062.84</v>
      </c>
      <c r="Q1032">
        <v>8940.4599999999991</v>
      </c>
      <c r="R1032">
        <v>0</v>
      </c>
      <c r="S1032" s="1"/>
      <c r="T1032" s="1" t="s">
        <v>1255</v>
      </c>
      <c r="U1032">
        <v>19062.849450000002</v>
      </c>
      <c r="V1032">
        <v>0</v>
      </c>
      <c r="W1032">
        <v>76684</v>
      </c>
    </row>
    <row r="1033" spans="1:23" x14ac:dyDescent="0.25">
      <c r="A1033" s="1" t="s">
        <v>27</v>
      </c>
      <c r="B1033" s="1"/>
      <c r="C1033" s="1" t="s">
        <v>120</v>
      </c>
      <c r="D1033">
        <v>10058</v>
      </c>
      <c r="E1033" s="1"/>
      <c r="F1033" s="1" t="s">
        <v>120</v>
      </c>
      <c r="G1033">
        <v>2008</v>
      </c>
      <c r="H1033">
        <v>17530.96</v>
      </c>
      <c r="I1033">
        <v>4</v>
      </c>
      <c r="J1033" s="1" t="s">
        <v>405</v>
      </c>
      <c r="K1033">
        <v>0</v>
      </c>
      <c r="L1033">
        <v>692</v>
      </c>
      <c r="M1033">
        <v>25.330096000000001</v>
      </c>
      <c r="N1033">
        <v>2</v>
      </c>
      <c r="O1033" s="1" t="s">
        <v>569</v>
      </c>
      <c r="P1033">
        <v>17530.96</v>
      </c>
      <c r="Q1033">
        <v>8222.0300000000007</v>
      </c>
      <c r="R1033">
        <v>0</v>
      </c>
      <c r="S1033" s="1"/>
      <c r="T1033" s="1" t="s">
        <v>1255</v>
      </c>
      <c r="U1033">
        <v>17530.967089999998</v>
      </c>
      <c r="V1033">
        <v>0</v>
      </c>
      <c r="W1033">
        <v>76684</v>
      </c>
    </row>
    <row r="1034" spans="1:23" x14ac:dyDescent="0.25">
      <c r="A1034" s="1" t="s">
        <v>27</v>
      </c>
      <c r="B1034" s="1" t="s">
        <v>54</v>
      </c>
      <c r="C1034" s="1" t="s">
        <v>121</v>
      </c>
      <c r="D1034">
        <v>5428</v>
      </c>
      <c r="E1034" s="1"/>
      <c r="F1034" s="1" t="s">
        <v>264</v>
      </c>
      <c r="G1034">
        <v>2015</v>
      </c>
      <c r="H1034">
        <v>8478.65</v>
      </c>
      <c r="I1034">
        <v>5</v>
      </c>
      <c r="J1034" s="1" t="s">
        <v>404</v>
      </c>
      <c r="K1034">
        <v>0</v>
      </c>
      <c r="L1034">
        <v>679</v>
      </c>
      <c r="M1034">
        <v>12.485127</v>
      </c>
      <c r="N1034">
        <v>2</v>
      </c>
      <c r="O1034" s="1" t="s">
        <v>569</v>
      </c>
      <c r="P1034">
        <v>8478.65</v>
      </c>
      <c r="Q1034">
        <v>3391.47</v>
      </c>
      <c r="R1034">
        <v>0</v>
      </c>
      <c r="S1034" s="1" t="s">
        <v>964</v>
      </c>
      <c r="T1034" s="1"/>
      <c r="U1034">
        <v>8478.652</v>
      </c>
      <c r="V1034">
        <v>0</v>
      </c>
      <c r="W1034">
        <v>57402</v>
      </c>
    </row>
    <row r="1035" spans="1:23" x14ac:dyDescent="0.25">
      <c r="A1035" s="1" t="s">
        <v>27</v>
      </c>
      <c r="B1035" s="1" t="s">
        <v>54</v>
      </c>
      <c r="C1035" s="1" t="s">
        <v>121</v>
      </c>
      <c r="D1035">
        <v>5428</v>
      </c>
      <c r="E1035" s="1"/>
      <c r="F1035" s="1" t="s">
        <v>264</v>
      </c>
      <c r="G1035">
        <v>2015</v>
      </c>
      <c r="H1035">
        <v>2786.78</v>
      </c>
      <c r="I1035">
        <v>5</v>
      </c>
      <c r="J1035" s="1" t="s">
        <v>404</v>
      </c>
      <c r="K1035">
        <v>0</v>
      </c>
      <c r="L1035">
        <v>679</v>
      </c>
      <c r="M1035">
        <v>4.103637</v>
      </c>
      <c r="N1035">
        <v>2</v>
      </c>
      <c r="O1035" s="1" t="s">
        <v>569</v>
      </c>
      <c r="P1035">
        <v>2786.78</v>
      </c>
      <c r="Q1035">
        <v>1114.71</v>
      </c>
      <c r="R1035">
        <v>0</v>
      </c>
      <c r="S1035" s="1" t="s">
        <v>965</v>
      </c>
      <c r="T1035" s="1"/>
      <c r="U1035">
        <v>2786.7779999999998</v>
      </c>
      <c r="V1035">
        <v>0</v>
      </c>
      <c r="W1035">
        <v>57563</v>
      </c>
    </row>
    <row r="1036" spans="1:23" x14ac:dyDescent="0.25">
      <c r="A1036" s="1" t="s">
        <v>27</v>
      </c>
      <c r="B1036" s="1" t="s">
        <v>54</v>
      </c>
      <c r="C1036" s="1" t="s">
        <v>121</v>
      </c>
      <c r="D1036">
        <v>5428</v>
      </c>
      <c r="E1036" s="1"/>
      <c r="F1036" s="1" t="s">
        <v>264</v>
      </c>
      <c r="G1036">
        <v>2015</v>
      </c>
      <c r="H1036">
        <v>751.1</v>
      </c>
      <c r="I1036">
        <v>5</v>
      </c>
      <c r="J1036" s="1" t="s">
        <v>404</v>
      </c>
      <c r="K1036">
        <v>0</v>
      </c>
      <c r="L1036">
        <v>679</v>
      </c>
      <c r="M1036">
        <v>1.1060220000000001</v>
      </c>
      <c r="N1036">
        <v>2</v>
      </c>
      <c r="O1036" s="1" t="s">
        <v>569</v>
      </c>
      <c r="P1036">
        <v>751.1</v>
      </c>
      <c r="Q1036">
        <v>300.44</v>
      </c>
      <c r="R1036">
        <v>0</v>
      </c>
      <c r="S1036" s="1" t="s">
        <v>966</v>
      </c>
      <c r="T1036" s="1"/>
      <c r="U1036">
        <v>751.10799999999995</v>
      </c>
      <c r="V1036">
        <v>0</v>
      </c>
      <c r="W1036">
        <v>57564</v>
      </c>
    </row>
    <row r="1037" spans="1:23" x14ac:dyDescent="0.25">
      <c r="A1037" s="1" t="s">
        <v>27</v>
      </c>
      <c r="B1037" s="1" t="s">
        <v>54</v>
      </c>
      <c r="C1037" s="1" t="s">
        <v>121</v>
      </c>
      <c r="D1037">
        <v>5428</v>
      </c>
      <c r="E1037" s="1"/>
      <c r="F1037" s="1" t="s">
        <v>264</v>
      </c>
      <c r="G1037">
        <v>2014</v>
      </c>
      <c r="H1037">
        <v>2014.13</v>
      </c>
      <c r="I1037">
        <v>12</v>
      </c>
      <c r="J1037" s="1" t="s">
        <v>404</v>
      </c>
      <c r="K1037">
        <v>0</v>
      </c>
      <c r="L1037">
        <v>679</v>
      </c>
      <c r="M1037">
        <v>2.965881</v>
      </c>
      <c r="N1037">
        <v>2</v>
      </c>
      <c r="O1037" s="1" t="s">
        <v>569</v>
      </c>
      <c r="P1037">
        <v>2014.13</v>
      </c>
      <c r="Q1037">
        <v>805.67</v>
      </c>
      <c r="R1037">
        <v>0</v>
      </c>
      <c r="S1037" s="1" t="s">
        <v>966</v>
      </c>
      <c r="T1037" s="1"/>
      <c r="U1037">
        <v>2014.13</v>
      </c>
      <c r="V1037">
        <v>0</v>
      </c>
      <c r="W1037">
        <v>57564</v>
      </c>
    </row>
    <row r="1038" spans="1:23" x14ac:dyDescent="0.25">
      <c r="A1038" s="1" t="s">
        <v>27</v>
      </c>
      <c r="B1038" s="1" t="s">
        <v>54</v>
      </c>
      <c r="C1038" s="1" t="s">
        <v>121</v>
      </c>
      <c r="D1038">
        <v>5428</v>
      </c>
      <c r="E1038" s="1"/>
      <c r="F1038" s="1" t="s">
        <v>264</v>
      </c>
      <c r="G1038">
        <v>2014</v>
      </c>
      <c r="H1038">
        <v>17615.77</v>
      </c>
      <c r="I1038">
        <v>12</v>
      </c>
      <c r="J1038" s="1" t="s">
        <v>404</v>
      </c>
      <c r="K1038">
        <v>0</v>
      </c>
      <c r="L1038">
        <v>679</v>
      </c>
      <c r="M1038">
        <v>25.939876000000002</v>
      </c>
      <c r="N1038">
        <v>2</v>
      </c>
      <c r="O1038" s="1" t="s">
        <v>569</v>
      </c>
      <c r="P1038">
        <v>17615.77</v>
      </c>
      <c r="Q1038">
        <v>7046.3</v>
      </c>
      <c r="R1038">
        <v>0</v>
      </c>
      <c r="S1038" s="1" t="s">
        <v>964</v>
      </c>
      <c r="T1038" s="1"/>
      <c r="U1038">
        <v>17615.766</v>
      </c>
      <c r="V1038">
        <v>0</v>
      </c>
      <c r="W1038">
        <v>57402</v>
      </c>
    </row>
    <row r="1039" spans="1:23" x14ac:dyDescent="0.25">
      <c r="A1039" s="1" t="s">
        <v>27</v>
      </c>
      <c r="B1039" s="1" t="s">
        <v>54</v>
      </c>
      <c r="C1039" s="1" t="s">
        <v>121</v>
      </c>
      <c r="D1039">
        <v>5428</v>
      </c>
      <c r="E1039" s="1"/>
      <c r="F1039" s="1" t="s">
        <v>264</v>
      </c>
      <c r="G1039">
        <v>2014</v>
      </c>
      <c r="H1039">
        <v>6295.43</v>
      </c>
      <c r="I1039">
        <v>12</v>
      </c>
      <c r="J1039" s="1" t="s">
        <v>404</v>
      </c>
      <c r="K1039">
        <v>0</v>
      </c>
      <c r="L1039">
        <v>679</v>
      </c>
      <c r="M1039">
        <v>9.2702539999999996</v>
      </c>
      <c r="N1039">
        <v>2</v>
      </c>
      <c r="O1039" s="1" t="s">
        <v>569</v>
      </c>
      <c r="P1039">
        <v>6295.43</v>
      </c>
      <c r="Q1039">
        <v>2518.1799999999998</v>
      </c>
      <c r="R1039">
        <v>0</v>
      </c>
      <c r="S1039" s="1" t="s">
        <v>965</v>
      </c>
      <c r="T1039" s="1"/>
      <c r="U1039">
        <v>6295.43</v>
      </c>
      <c r="V1039">
        <v>0</v>
      </c>
      <c r="W1039">
        <v>57563</v>
      </c>
    </row>
    <row r="1040" spans="1:23" x14ac:dyDescent="0.25">
      <c r="A1040" s="1" t="s">
        <v>27</v>
      </c>
      <c r="B1040" s="1" t="s">
        <v>54</v>
      </c>
      <c r="C1040" s="1" t="s">
        <v>121</v>
      </c>
      <c r="D1040">
        <v>5428</v>
      </c>
      <c r="E1040" s="1"/>
      <c r="F1040" s="1" t="s">
        <v>264</v>
      </c>
      <c r="G1040">
        <v>2013</v>
      </c>
      <c r="H1040">
        <v>15079.56</v>
      </c>
      <c r="I1040">
        <v>12</v>
      </c>
      <c r="J1040" s="1" t="s">
        <v>404</v>
      </c>
      <c r="K1040">
        <v>0</v>
      </c>
      <c r="L1040">
        <v>679</v>
      </c>
      <c r="M1040">
        <v>22.205212</v>
      </c>
      <c r="N1040">
        <v>2</v>
      </c>
      <c r="O1040" s="1" t="s">
        <v>569</v>
      </c>
      <c r="P1040">
        <v>15079.56</v>
      </c>
      <c r="Q1040">
        <v>6031.83</v>
      </c>
      <c r="R1040">
        <v>0</v>
      </c>
      <c r="S1040" s="1" t="s">
        <v>964</v>
      </c>
      <c r="T1040" s="1"/>
      <c r="U1040">
        <v>15079.556</v>
      </c>
      <c r="V1040">
        <v>0</v>
      </c>
      <c r="W1040">
        <v>57402</v>
      </c>
    </row>
    <row r="1041" spans="1:23" x14ac:dyDescent="0.25">
      <c r="A1041" s="1" t="s">
        <v>27</v>
      </c>
      <c r="B1041" s="1" t="s">
        <v>54</v>
      </c>
      <c r="C1041" s="1" t="s">
        <v>121</v>
      </c>
      <c r="D1041">
        <v>5428</v>
      </c>
      <c r="E1041" s="1"/>
      <c r="F1041" s="1" t="s">
        <v>264</v>
      </c>
      <c r="G1041">
        <v>2013</v>
      </c>
      <c r="H1041">
        <v>1680</v>
      </c>
      <c r="I1041">
        <v>12</v>
      </c>
      <c r="J1041" s="1" t="s">
        <v>404</v>
      </c>
      <c r="K1041">
        <v>0</v>
      </c>
      <c r="L1041">
        <v>679</v>
      </c>
      <c r="M1041">
        <v>2.473862</v>
      </c>
      <c r="N1041">
        <v>2</v>
      </c>
      <c r="O1041" s="1" t="s">
        <v>569</v>
      </c>
      <c r="P1041">
        <v>1680</v>
      </c>
      <c r="Q1041">
        <v>672</v>
      </c>
      <c r="R1041">
        <v>0</v>
      </c>
      <c r="S1041" s="1" t="s">
        <v>966</v>
      </c>
      <c r="T1041" s="1"/>
      <c r="U1041">
        <v>1679.99</v>
      </c>
      <c r="V1041">
        <v>0</v>
      </c>
      <c r="W1041">
        <v>57564</v>
      </c>
    </row>
    <row r="1042" spans="1:23" x14ac:dyDescent="0.25">
      <c r="A1042" s="1" t="s">
        <v>27</v>
      </c>
      <c r="B1042" s="1" t="s">
        <v>54</v>
      </c>
      <c r="C1042" s="1" t="s">
        <v>121</v>
      </c>
      <c r="D1042">
        <v>5428</v>
      </c>
      <c r="E1042" s="1"/>
      <c r="F1042" s="1" t="s">
        <v>264</v>
      </c>
      <c r="G1042">
        <v>2013</v>
      </c>
      <c r="H1042">
        <v>8065.16</v>
      </c>
      <c r="I1042">
        <v>12</v>
      </c>
      <c r="J1042" s="1" t="s">
        <v>404</v>
      </c>
      <c r="K1042">
        <v>0</v>
      </c>
      <c r="L1042">
        <v>679</v>
      </c>
      <c r="M1042">
        <v>11.876246999999999</v>
      </c>
      <c r="N1042">
        <v>2</v>
      </c>
      <c r="O1042" s="1" t="s">
        <v>569</v>
      </c>
      <c r="P1042">
        <v>8065.16</v>
      </c>
      <c r="Q1042">
        <v>3226.07</v>
      </c>
      <c r="R1042">
        <v>0</v>
      </c>
      <c r="S1042" s="1" t="s">
        <v>965</v>
      </c>
      <c r="T1042" s="1"/>
      <c r="U1042">
        <v>8065.1779999999999</v>
      </c>
      <c r="V1042">
        <v>0</v>
      </c>
      <c r="W1042">
        <v>57563</v>
      </c>
    </row>
    <row r="1043" spans="1:23" x14ac:dyDescent="0.25">
      <c r="A1043" s="1" t="s">
        <v>27</v>
      </c>
      <c r="B1043" s="1" t="s">
        <v>54</v>
      </c>
      <c r="C1043" s="1" t="s">
        <v>121</v>
      </c>
      <c r="D1043">
        <v>5428</v>
      </c>
      <c r="E1043" s="1"/>
      <c r="F1043" s="1" t="s">
        <v>264</v>
      </c>
      <c r="G1043">
        <v>2012</v>
      </c>
      <c r="H1043">
        <v>14018.63</v>
      </c>
      <c r="I1043">
        <v>12</v>
      </c>
      <c r="J1043" s="1" t="s">
        <v>404</v>
      </c>
      <c r="K1043">
        <v>0</v>
      </c>
      <c r="L1043">
        <v>679</v>
      </c>
      <c r="M1043">
        <v>20.642952999999999</v>
      </c>
      <c r="N1043">
        <v>2</v>
      </c>
      <c r="O1043" s="1" t="s">
        <v>569</v>
      </c>
      <c r="P1043">
        <v>14018.63</v>
      </c>
      <c r="Q1043">
        <v>5607.45</v>
      </c>
      <c r="R1043">
        <v>0</v>
      </c>
      <c r="S1043" s="1" t="s">
        <v>964</v>
      </c>
      <c r="T1043" s="1"/>
      <c r="U1043">
        <v>14018.644</v>
      </c>
      <c r="V1043">
        <v>0</v>
      </c>
      <c r="W1043">
        <v>57402</v>
      </c>
    </row>
    <row r="1044" spans="1:23" x14ac:dyDescent="0.25">
      <c r="A1044" s="1" t="s">
        <v>27</v>
      </c>
      <c r="B1044" s="1" t="s">
        <v>54</v>
      </c>
      <c r="C1044" s="1" t="s">
        <v>121</v>
      </c>
      <c r="D1044">
        <v>5428</v>
      </c>
      <c r="E1044" s="1"/>
      <c r="F1044" s="1" t="s">
        <v>264</v>
      </c>
      <c r="G1044">
        <v>2012</v>
      </c>
      <c r="H1044">
        <v>1534.67</v>
      </c>
      <c r="I1044">
        <v>12</v>
      </c>
      <c r="J1044" s="1" t="s">
        <v>404</v>
      </c>
      <c r="K1044">
        <v>0</v>
      </c>
      <c r="L1044">
        <v>679</v>
      </c>
      <c r="M1044">
        <v>2.2598579999999999</v>
      </c>
      <c r="N1044">
        <v>2</v>
      </c>
      <c r="O1044" s="1" t="s">
        <v>569</v>
      </c>
      <c r="P1044">
        <v>1534.67</v>
      </c>
      <c r="Q1044">
        <v>613.85</v>
      </c>
      <c r="R1044">
        <v>0</v>
      </c>
      <c r="S1044" s="1" t="s">
        <v>966</v>
      </c>
      <c r="T1044" s="1"/>
      <c r="U1044">
        <v>1534.65</v>
      </c>
      <c r="V1044">
        <v>0</v>
      </c>
      <c r="W1044">
        <v>57564</v>
      </c>
    </row>
    <row r="1045" spans="1:23" x14ac:dyDescent="0.25">
      <c r="A1045" s="1" t="s">
        <v>27</v>
      </c>
      <c r="B1045" s="1" t="s">
        <v>54</v>
      </c>
      <c r="C1045" s="1" t="s">
        <v>121</v>
      </c>
      <c r="D1045">
        <v>5428</v>
      </c>
      <c r="E1045" s="1"/>
      <c r="F1045" s="1" t="s">
        <v>264</v>
      </c>
      <c r="G1045">
        <v>2012</v>
      </c>
      <c r="H1045">
        <v>11463.35</v>
      </c>
      <c r="I1045">
        <v>12</v>
      </c>
      <c r="J1045" s="1" t="s">
        <v>404</v>
      </c>
      <c r="K1045">
        <v>0</v>
      </c>
      <c r="L1045">
        <v>679</v>
      </c>
      <c r="M1045">
        <v>16.880209000000001</v>
      </c>
      <c r="N1045">
        <v>2</v>
      </c>
      <c r="O1045" s="1" t="s">
        <v>569</v>
      </c>
      <c r="P1045">
        <v>11463.35</v>
      </c>
      <c r="Q1045">
        <v>4585.3500000000004</v>
      </c>
      <c r="R1045">
        <v>0</v>
      </c>
      <c r="S1045" s="1" t="s">
        <v>965</v>
      </c>
      <c r="T1045" s="1"/>
      <c r="U1045">
        <v>11463.35</v>
      </c>
      <c r="V1045">
        <v>0</v>
      </c>
      <c r="W1045">
        <v>57563</v>
      </c>
    </row>
    <row r="1046" spans="1:23" x14ac:dyDescent="0.25">
      <c r="A1046" s="1" t="s">
        <v>27</v>
      </c>
      <c r="B1046" s="1" t="s">
        <v>54</v>
      </c>
      <c r="C1046" s="1" t="s">
        <v>121</v>
      </c>
      <c r="D1046">
        <v>5428</v>
      </c>
      <c r="E1046" s="1"/>
      <c r="F1046" s="1" t="s">
        <v>264</v>
      </c>
      <c r="G1046">
        <v>2011</v>
      </c>
      <c r="H1046">
        <v>15090.33</v>
      </c>
      <c r="I1046">
        <v>12</v>
      </c>
      <c r="J1046" s="1" t="s">
        <v>404</v>
      </c>
      <c r="K1046">
        <v>0</v>
      </c>
      <c r="L1046">
        <v>679</v>
      </c>
      <c r="M1046">
        <v>22.221071999999999</v>
      </c>
      <c r="N1046">
        <v>2</v>
      </c>
      <c r="O1046" s="1" t="s">
        <v>569</v>
      </c>
      <c r="P1046">
        <v>15090.33</v>
      </c>
      <c r="Q1046">
        <v>7077.37</v>
      </c>
      <c r="R1046">
        <v>0</v>
      </c>
      <c r="S1046" s="1" t="s">
        <v>964</v>
      </c>
      <c r="T1046" s="1"/>
      <c r="U1046">
        <v>15090.334000000001</v>
      </c>
      <c r="V1046">
        <v>0</v>
      </c>
      <c r="W1046">
        <v>57402</v>
      </c>
    </row>
    <row r="1047" spans="1:23" x14ac:dyDescent="0.25">
      <c r="A1047" s="1" t="s">
        <v>27</v>
      </c>
      <c r="B1047" s="1" t="s">
        <v>54</v>
      </c>
      <c r="C1047" s="1" t="s">
        <v>121</v>
      </c>
      <c r="D1047">
        <v>5428</v>
      </c>
      <c r="E1047" s="1"/>
      <c r="F1047" s="1" t="s">
        <v>264</v>
      </c>
      <c r="G1047">
        <v>2011</v>
      </c>
      <c r="H1047">
        <v>10016.83</v>
      </c>
      <c r="I1047">
        <v>12</v>
      </c>
      <c r="J1047" s="1" t="s">
        <v>404</v>
      </c>
      <c r="K1047">
        <v>0</v>
      </c>
      <c r="L1047">
        <v>679</v>
      </c>
      <c r="M1047">
        <v>14.750154</v>
      </c>
      <c r="N1047">
        <v>2</v>
      </c>
      <c r="O1047" s="1" t="s">
        <v>569</v>
      </c>
      <c r="P1047">
        <v>10016.83</v>
      </c>
      <c r="Q1047">
        <v>4697.8900000000003</v>
      </c>
      <c r="R1047">
        <v>0</v>
      </c>
      <c r="S1047" s="1" t="s">
        <v>965</v>
      </c>
      <c r="T1047" s="1"/>
      <c r="U1047">
        <v>10016.828</v>
      </c>
      <c r="V1047">
        <v>0</v>
      </c>
      <c r="W1047">
        <v>57563</v>
      </c>
    </row>
    <row r="1048" spans="1:23" x14ac:dyDescent="0.25">
      <c r="A1048" s="1" t="s">
        <v>27</v>
      </c>
      <c r="B1048" s="1" t="s">
        <v>54</v>
      </c>
      <c r="C1048" s="1" t="s">
        <v>121</v>
      </c>
      <c r="D1048">
        <v>5428</v>
      </c>
      <c r="E1048" s="1"/>
      <c r="F1048" s="1" t="s">
        <v>264</v>
      </c>
      <c r="G1048">
        <v>2011</v>
      </c>
      <c r="H1048">
        <v>1844.06</v>
      </c>
      <c r="I1048">
        <v>12</v>
      </c>
      <c r="J1048" s="1" t="s">
        <v>404</v>
      </c>
      <c r="K1048">
        <v>0</v>
      </c>
      <c r="L1048">
        <v>679</v>
      </c>
      <c r="M1048">
        <v>2.715446</v>
      </c>
      <c r="N1048">
        <v>2</v>
      </c>
      <c r="O1048" s="1" t="s">
        <v>569</v>
      </c>
      <c r="P1048">
        <v>1844.06</v>
      </c>
      <c r="Q1048">
        <v>864.87</v>
      </c>
      <c r="R1048">
        <v>0</v>
      </c>
      <c r="S1048" s="1" t="s">
        <v>966</v>
      </c>
      <c r="T1048" s="1"/>
      <c r="U1048">
        <v>1844.056</v>
      </c>
      <c r="V1048">
        <v>0</v>
      </c>
      <c r="W1048">
        <v>57564</v>
      </c>
    </row>
    <row r="1049" spans="1:23" x14ac:dyDescent="0.25">
      <c r="A1049" s="1" t="s">
        <v>27</v>
      </c>
      <c r="B1049" s="1" t="s">
        <v>54</v>
      </c>
      <c r="C1049" s="1" t="s">
        <v>121</v>
      </c>
      <c r="D1049">
        <v>5428</v>
      </c>
      <c r="E1049" s="1"/>
      <c r="F1049" s="1" t="s">
        <v>264</v>
      </c>
      <c r="G1049">
        <v>2010</v>
      </c>
      <c r="H1049">
        <v>1639.49</v>
      </c>
      <c r="I1049">
        <v>12</v>
      </c>
      <c r="J1049" s="1" t="s">
        <v>404</v>
      </c>
      <c r="K1049">
        <v>0</v>
      </c>
      <c r="L1049">
        <v>679</v>
      </c>
      <c r="M1049">
        <v>2.414209</v>
      </c>
      <c r="N1049">
        <v>2</v>
      </c>
      <c r="O1049" s="1" t="s">
        <v>569</v>
      </c>
      <c r="P1049">
        <v>1639.49</v>
      </c>
      <c r="Q1049">
        <v>768.91</v>
      </c>
      <c r="R1049">
        <v>0</v>
      </c>
      <c r="S1049" s="1" t="s">
        <v>966</v>
      </c>
      <c r="T1049" s="1"/>
      <c r="U1049">
        <v>1639.4780000000001</v>
      </c>
      <c r="V1049">
        <v>0</v>
      </c>
      <c r="W1049">
        <v>57564</v>
      </c>
    </row>
    <row r="1050" spans="1:23" x14ac:dyDescent="0.25">
      <c r="A1050" s="1" t="s">
        <v>27</v>
      </c>
      <c r="B1050" s="1" t="s">
        <v>54</v>
      </c>
      <c r="C1050" s="1" t="s">
        <v>121</v>
      </c>
      <c r="D1050">
        <v>5428</v>
      </c>
      <c r="E1050" s="1"/>
      <c r="F1050" s="1" t="s">
        <v>264</v>
      </c>
      <c r="G1050">
        <v>2010</v>
      </c>
      <c r="H1050">
        <v>13843.63</v>
      </c>
      <c r="I1050">
        <v>12</v>
      </c>
      <c r="J1050" s="1" t="s">
        <v>404</v>
      </c>
      <c r="K1050">
        <v>0</v>
      </c>
      <c r="L1050">
        <v>679</v>
      </c>
      <c r="M1050">
        <v>20.385259000000001</v>
      </c>
      <c r="N1050">
        <v>2</v>
      </c>
      <c r="O1050" s="1" t="s">
        <v>569</v>
      </c>
      <c r="P1050">
        <v>13843.63</v>
      </c>
      <c r="Q1050">
        <v>6492.67</v>
      </c>
      <c r="R1050">
        <v>0</v>
      </c>
      <c r="S1050" s="1" t="s">
        <v>964</v>
      </c>
      <c r="T1050" s="1"/>
      <c r="U1050">
        <v>13843.636</v>
      </c>
      <c r="V1050">
        <v>0</v>
      </c>
      <c r="W1050">
        <v>57402</v>
      </c>
    </row>
    <row r="1051" spans="1:23" x14ac:dyDescent="0.25">
      <c r="A1051" s="1" t="s">
        <v>27</v>
      </c>
      <c r="B1051" s="1" t="s">
        <v>54</v>
      </c>
      <c r="C1051" s="1" t="s">
        <v>121</v>
      </c>
      <c r="D1051">
        <v>5428</v>
      </c>
      <c r="E1051" s="1"/>
      <c r="F1051" s="1" t="s">
        <v>264</v>
      </c>
      <c r="G1051">
        <v>2010</v>
      </c>
      <c r="H1051">
        <v>13211.14</v>
      </c>
      <c r="I1051">
        <v>12</v>
      </c>
      <c r="J1051" s="1" t="s">
        <v>404</v>
      </c>
      <c r="K1051">
        <v>0</v>
      </c>
      <c r="L1051">
        <v>679</v>
      </c>
      <c r="M1051">
        <v>19.453893999999998</v>
      </c>
      <c r="N1051">
        <v>2</v>
      </c>
      <c r="O1051" s="1" t="s">
        <v>569</v>
      </c>
      <c r="P1051">
        <v>13211.14</v>
      </c>
      <c r="Q1051">
        <v>6196.02</v>
      </c>
      <c r="R1051">
        <v>0</v>
      </c>
      <c r="S1051" s="1" t="s">
        <v>965</v>
      </c>
      <c r="T1051" s="1"/>
      <c r="U1051">
        <v>13211.128000000001</v>
      </c>
      <c r="V1051">
        <v>0</v>
      </c>
      <c r="W1051">
        <v>57563</v>
      </c>
    </row>
    <row r="1052" spans="1:23" x14ac:dyDescent="0.25">
      <c r="A1052" s="1" t="s">
        <v>27</v>
      </c>
      <c r="B1052" s="1" t="s">
        <v>54</v>
      </c>
      <c r="C1052" s="1" t="s">
        <v>121</v>
      </c>
      <c r="D1052">
        <v>5428</v>
      </c>
      <c r="E1052" s="1"/>
      <c r="F1052" s="1" t="s">
        <v>264</v>
      </c>
      <c r="G1052">
        <v>2009</v>
      </c>
      <c r="H1052">
        <v>13483.75</v>
      </c>
      <c r="I1052">
        <v>12</v>
      </c>
      <c r="J1052" s="1" t="s">
        <v>404</v>
      </c>
      <c r="K1052">
        <v>0</v>
      </c>
      <c r="L1052">
        <v>679</v>
      </c>
      <c r="M1052">
        <v>19.855322999999999</v>
      </c>
      <c r="N1052">
        <v>2</v>
      </c>
      <c r="O1052" s="1" t="s">
        <v>569</v>
      </c>
      <c r="P1052">
        <v>13483.75</v>
      </c>
      <c r="Q1052">
        <v>6323.89</v>
      </c>
      <c r="R1052">
        <v>0</v>
      </c>
      <c r="S1052" s="1" t="s">
        <v>964</v>
      </c>
      <c r="T1052" s="1"/>
      <c r="U1052">
        <v>13483.75</v>
      </c>
      <c r="V1052">
        <v>0</v>
      </c>
      <c r="W1052">
        <v>57402</v>
      </c>
    </row>
    <row r="1053" spans="1:23" x14ac:dyDescent="0.25">
      <c r="A1053" s="1" t="s">
        <v>27</v>
      </c>
      <c r="B1053" s="1" t="s">
        <v>54</v>
      </c>
      <c r="C1053" s="1" t="s">
        <v>121</v>
      </c>
      <c r="D1053">
        <v>5428</v>
      </c>
      <c r="E1053" s="1"/>
      <c r="F1053" s="1" t="s">
        <v>264</v>
      </c>
      <c r="G1053">
        <v>2009</v>
      </c>
      <c r="H1053">
        <v>1415.92</v>
      </c>
      <c r="I1053">
        <v>12</v>
      </c>
      <c r="J1053" s="1" t="s">
        <v>404</v>
      </c>
      <c r="K1053">
        <v>0</v>
      </c>
      <c r="L1053">
        <v>679</v>
      </c>
      <c r="M1053">
        <v>2.084994</v>
      </c>
      <c r="N1053">
        <v>2</v>
      </c>
      <c r="O1053" s="1" t="s">
        <v>569</v>
      </c>
      <c r="P1053">
        <v>1415.92</v>
      </c>
      <c r="Q1053">
        <v>664.07</v>
      </c>
      <c r="R1053">
        <v>0</v>
      </c>
      <c r="S1053" s="1" t="s">
        <v>966</v>
      </c>
      <c r="T1053" s="1"/>
      <c r="U1053">
        <v>1415.932</v>
      </c>
      <c r="V1053">
        <v>0</v>
      </c>
      <c r="W1053">
        <v>57564</v>
      </c>
    </row>
    <row r="1054" spans="1:23" x14ac:dyDescent="0.25">
      <c r="A1054" s="1" t="s">
        <v>27</v>
      </c>
      <c r="B1054" s="1" t="s">
        <v>54</v>
      </c>
      <c r="C1054" s="1" t="s">
        <v>121</v>
      </c>
      <c r="D1054">
        <v>5428</v>
      </c>
      <c r="E1054" s="1"/>
      <c r="F1054" s="1" t="s">
        <v>264</v>
      </c>
      <c r="G1054">
        <v>2009</v>
      </c>
      <c r="H1054">
        <v>12173.12</v>
      </c>
      <c r="I1054">
        <v>12</v>
      </c>
      <c r="J1054" s="1" t="s">
        <v>404</v>
      </c>
      <c r="K1054">
        <v>0</v>
      </c>
      <c r="L1054">
        <v>679</v>
      </c>
      <c r="M1054">
        <v>17.925370999999998</v>
      </c>
      <c r="N1054">
        <v>2</v>
      </c>
      <c r="O1054" s="1" t="s">
        <v>569</v>
      </c>
      <c r="P1054">
        <v>12173.12</v>
      </c>
      <c r="Q1054">
        <v>5709.18</v>
      </c>
      <c r="R1054">
        <v>0</v>
      </c>
      <c r="S1054" s="1" t="s">
        <v>965</v>
      </c>
      <c r="T1054" s="1"/>
      <c r="U1054">
        <v>12173.116</v>
      </c>
      <c r="V1054">
        <v>0</v>
      </c>
      <c r="W1054">
        <v>57563</v>
      </c>
    </row>
    <row r="1055" spans="1:23" x14ac:dyDescent="0.25">
      <c r="A1055" s="1" t="s">
        <v>27</v>
      </c>
      <c r="B1055" s="1" t="s">
        <v>54</v>
      </c>
      <c r="C1055" s="1" t="s">
        <v>121</v>
      </c>
      <c r="D1055">
        <v>5428</v>
      </c>
      <c r="E1055" s="1"/>
      <c r="F1055" s="1" t="s">
        <v>264</v>
      </c>
      <c r="G1055">
        <v>2008</v>
      </c>
      <c r="H1055">
        <v>12524.95</v>
      </c>
      <c r="I1055">
        <v>12</v>
      </c>
      <c r="J1055" s="1" t="s">
        <v>404</v>
      </c>
      <c r="K1055">
        <v>0</v>
      </c>
      <c r="L1055">
        <v>679</v>
      </c>
      <c r="M1055">
        <v>18.443453999999999</v>
      </c>
      <c r="N1055">
        <v>2</v>
      </c>
      <c r="O1055" s="1" t="s">
        <v>569</v>
      </c>
      <c r="P1055">
        <v>12524.95</v>
      </c>
      <c r="Q1055">
        <v>5874.2</v>
      </c>
      <c r="R1055">
        <v>0</v>
      </c>
      <c r="S1055" s="1" t="s">
        <v>964</v>
      </c>
      <c r="T1055" s="1"/>
      <c r="U1055">
        <v>12524.94</v>
      </c>
      <c r="V1055">
        <v>0</v>
      </c>
      <c r="W1055">
        <v>57402</v>
      </c>
    </row>
    <row r="1056" spans="1:23" x14ac:dyDescent="0.25">
      <c r="A1056" s="1" t="s">
        <v>27</v>
      </c>
      <c r="B1056" s="1" t="s">
        <v>54</v>
      </c>
      <c r="C1056" s="1" t="s">
        <v>121</v>
      </c>
      <c r="D1056">
        <v>5428</v>
      </c>
      <c r="E1056" s="1"/>
      <c r="F1056" s="1" t="s">
        <v>264</v>
      </c>
      <c r="G1056">
        <v>2008</v>
      </c>
      <c r="H1056">
        <v>1988.29</v>
      </c>
      <c r="I1056">
        <v>12</v>
      </c>
      <c r="J1056" s="1" t="s">
        <v>404</v>
      </c>
      <c r="K1056">
        <v>0</v>
      </c>
      <c r="L1056">
        <v>679</v>
      </c>
      <c r="M1056">
        <v>2.9278300000000002</v>
      </c>
      <c r="N1056">
        <v>2</v>
      </c>
      <c r="O1056" s="1" t="s">
        <v>569</v>
      </c>
      <c r="P1056">
        <v>1988.29</v>
      </c>
      <c r="Q1056">
        <v>932.5</v>
      </c>
      <c r="R1056">
        <v>0</v>
      </c>
      <c r="S1056" s="1" t="s">
        <v>966</v>
      </c>
      <c r="T1056" s="1"/>
      <c r="U1056">
        <v>1988.3019999999999</v>
      </c>
      <c r="V1056">
        <v>0</v>
      </c>
      <c r="W1056">
        <v>57564</v>
      </c>
    </row>
    <row r="1057" spans="1:23" x14ac:dyDescent="0.25">
      <c r="A1057" s="1" t="s">
        <v>27</v>
      </c>
      <c r="B1057" s="1" t="s">
        <v>54</v>
      </c>
      <c r="C1057" s="1" t="s">
        <v>121</v>
      </c>
      <c r="D1057">
        <v>5428</v>
      </c>
      <c r="E1057" s="1"/>
      <c r="F1057" s="1" t="s">
        <v>264</v>
      </c>
      <c r="G1057">
        <v>2008</v>
      </c>
      <c r="H1057">
        <v>14503.17</v>
      </c>
      <c r="I1057">
        <v>12</v>
      </c>
      <c r="J1057" s="1" t="s">
        <v>404</v>
      </c>
      <c r="K1057">
        <v>0</v>
      </c>
      <c r="L1057">
        <v>679</v>
      </c>
      <c r="M1057">
        <v>21.356456999999999</v>
      </c>
      <c r="N1057">
        <v>2</v>
      </c>
      <c r="O1057" s="1" t="s">
        <v>569</v>
      </c>
      <c r="P1057">
        <v>14503.17</v>
      </c>
      <c r="Q1057">
        <v>6801.99</v>
      </c>
      <c r="R1057">
        <v>0</v>
      </c>
      <c r="S1057" s="1" t="s">
        <v>965</v>
      </c>
      <c r="T1057" s="1"/>
      <c r="U1057">
        <v>14503.146000000001</v>
      </c>
      <c r="V1057">
        <v>0</v>
      </c>
      <c r="W1057">
        <v>57563</v>
      </c>
    </row>
    <row r="1058" spans="1:23" x14ac:dyDescent="0.25">
      <c r="A1058" s="1" t="s">
        <v>27</v>
      </c>
      <c r="B1058" s="1" t="s">
        <v>55</v>
      </c>
      <c r="C1058" s="1" t="s">
        <v>122</v>
      </c>
      <c r="D1058">
        <v>5262</v>
      </c>
      <c r="E1058" s="1"/>
      <c r="F1058" s="1" t="s">
        <v>122</v>
      </c>
      <c r="G1058">
        <v>2015</v>
      </c>
      <c r="H1058">
        <v>5456.42</v>
      </c>
      <c r="I1058">
        <v>5</v>
      </c>
      <c r="J1058" s="1" t="s">
        <v>516</v>
      </c>
      <c r="K1058">
        <v>0</v>
      </c>
      <c r="L1058">
        <v>874</v>
      </c>
      <c r="M1058">
        <v>6.2423289999999998</v>
      </c>
      <c r="N1058">
        <v>2</v>
      </c>
      <c r="O1058" s="1" t="s">
        <v>569</v>
      </c>
      <c r="P1058">
        <v>5456.42</v>
      </c>
      <c r="Q1058">
        <v>2182.58</v>
      </c>
      <c r="R1058">
        <v>0</v>
      </c>
      <c r="S1058" s="1" t="s">
        <v>967</v>
      </c>
      <c r="T1058" s="1" t="s">
        <v>1256</v>
      </c>
      <c r="U1058">
        <v>5456.4278999999997</v>
      </c>
      <c r="V1058">
        <v>0</v>
      </c>
      <c r="W1058">
        <v>56737</v>
      </c>
    </row>
    <row r="1059" spans="1:23" x14ac:dyDescent="0.25">
      <c r="A1059" s="1" t="s">
        <v>27</v>
      </c>
      <c r="B1059" s="1" t="s">
        <v>55</v>
      </c>
      <c r="C1059" s="1" t="s">
        <v>122</v>
      </c>
      <c r="D1059">
        <v>5262</v>
      </c>
      <c r="E1059" s="1"/>
      <c r="F1059" s="1" t="s">
        <v>122</v>
      </c>
      <c r="G1059">
        <v>2015</v>
      </c>
      <c r="H1059">
        <v>2938.01</v>
      </c>
      <c r="I1059">
        <v>5</v>
      </c>
      <c r="J1059" s="1" t="s">
        <v>397</v>
      </c>
      <c r="K1059">
        <v>0</v>
      </c>
      <c r="L1059">
        <v>874</v>
      </c>
      <c r="M1059">
        <v>3.3611819999999999</v>
      </c>
      <c r="N1059">
        <v>2</v>
      </c>
      <c r="O1059" s="1" t="s">
        <v>569</v>
      </c>
      <c r="P1059">
        <v>2938.01</v>
      </c>
      <c r="Q1059">
        <v>1175.2</v>
      </c>
      <c r="R1059">
        <v>0</v>
      </c>
      <c r="S1059" s="1" t="s">
        <v>968</v>
      </c>
      <c r="T1059" s="1" t="s">
        <v>1257</v>
      </c>
      <c r="U1059">
        <v>2938.0079999999998</v>
      </c>
      <c r="V1059">
        <v>0</v>
      </c>
      <c r="W1059">
        <v>56759</v>
      </c>
    </row>
    <row r="1060" spans="1:23" x14ac:dyDescent="0.25">
      <c r="A1060" s="1" t="s">
        <v>27</v>
      </c>
      <c r="B1060" s="1" t="s">
        <v>55</v>
      </c>
      <c r="C1060" s="1" t="s">
        <v>122</v>
      </c>
      <c r="D1060">
        <v>5262</v>
      </c>
      <c r="E1060" s="1"/>
      <c r="F1060" s="1" t="s">
        <v>122</v>
      </c>
      <c r="G1060">
        <v>2014</v>
      </c>
      <c r="H1060">
        <v>7224.8</v>
      </c>
      <c r="I1060">
        <v>12</v>
      </c>
      <c r="J1060" s="1" t="s">
        <v>397</v>
      </c>
      <c r="K1060">
        <v>0</v>
      </c>
      <c r="L1060">
        <v>874</v>
      </c>
      <c r="M1060">
        <v>8.2654150000000008</v>
      </c>
      <c r="N1060">
        <v>2</v>
      </c>
      <c r="O1060" s="1" t="s">
        <v>569</v>
      </c>
      <c r="P1060">
        <v>7224.8</v>
      </c>
      <c r="Q1060">
        <v>2889.93</v>
      </c>
      <c r="R1060">
        <v>0</v>
      </c>
      <c r="S1060" s="1" t="s">
        <v>968</v>
      </c>
      <c r="T1060" s="1" t="s">
        <v>1257</v>
      </c>
      <c r="U1060">
        <v>7224.8119999999999</v>
      </c>
      <c r="V1060">
        <v>0</v>
      </c>
      <c r="W1060">
        <v>56759</v>
      </c>
    </row>
    <row r="1061" spans="1:23" x14ac:dyDescent="0.25">
      <c r="A1061" s="1" t="s">
        <v>27</v>
      </c>
      <c r="B1061" s="1" t="s">
        <v>55</v>
      </c>
      <c r="C1061" s="1" t="s">
        <v>122</v>
      </c>
      <c r="D1061">
        <v>5262</v>
      </c>
      <c r="E1061" s="1"/>
      <c r="F1061" s="1" t="s">
        <v>122</v>
      </c>
      <c r="G1061">
        <v>2014</v>
      </c>
      <c r="H1061">
        <v>11185</v>
      </c>
      <c r="I1061">
        <v>12</v>
      </c>
      <c r="J1061" s="1" t="s">
        <v>516</v>
      </c>
      <c r="K1061">
        <v>0</v>
      </c>
      <c r="L1061">
        <v>874</v>
      </c>
      <c r="M1061">
        <v>12.796018</v>
      </c>
      <c r="N1061">
        <v>2</v>
      </c>
      <c r="O1061" s="1" t="s">
        <v>569</v>
      </c>
      <c r="P1061">
        <v>11185</v>
      </c>
      <c r="Q1061">
        <v>4474.0200000000004</v>
      </c>
      <c r="R1061">
        <v>0</v>
      </c>
      <c r="S1061" s="1" t="s">
        <v>967</v>
      </c>
      <c r="T1061" s="1" t="s">
        <v>1256</v>
      </c>
      <c r="U1061">
        <v>11185.0041</v>
      </c>
      <c r="V1061">
        <v>0</v>
      </c>
      <c r="W1061">
        <v>56737</v>
      </c>
    </row>
    <row r="1062" spans="1:23" x14ac:dyDescent="0.25">
      <c r="A1062" s="1" t="s">
        <v>27</v>
      </c>
      <c r="B1062" s="1" t="s">
        <v>55</v>
      </c>
      <c r="C1062" s="1" t="s">
        <v>122</v>
      </c>
      <c r="D1062">
        <v>5262</v>
      </c>
      <c r="E1062" s="1"/>
      <c r="F1062" s="1" t="s">
        <v>122</v>
      </c>
      <c r="G1062">
        <v>2013</v>
      </c>
      <c r="H1062">
        <v>7478.9</v>
      </c>
      <c r="I1062">
        <v>12</v>
      </c>
      <c r="J1062" s="1" t="s">
        <v>397</v>
      </c>
      <c r="K1062">
        <v>0</v>
      </c>
      <c r="L1062">
        <v>874</v>
      </c>
      <c r="M1062">
        <v>8.5561140000000009</v>
      </c>
      <c r="N1062">
        <v>2</v>
      </c>
      <c r="O1062" s="1" t="s">
        <v>569</v>
      </c>
      <c r="P1062">
        <v>7478.9</v>
      </c>
      <c r="Q1062">
        <v>2991.54</v>
      </c>
      <c r="R1062">
        <v>0</v>
      </c>
      <c r="S1062" s="1" t="s">
        <v>968</v>
      </c>
      <c r="T1062" s="1" t="s">
        <v>1257</v>
      </c>
      <c r="U1062">
        <v>7478.8919999999998</v>
      </c>
      <c r="V1062">
        <v>0</v>
      </c>
      <c r="W1062">
        <v>56759</v>
      </c>
    </row>
    <row r="1063" spans="1:23" x14ac:dyDescent="0.25">
      <c r="A1063" s="1" t="s">
        <v>27</v>
      </c>
      <c r="B1063" s="1" t="s">
        <v>55</v>
      </c>
      <c r="C1063" s="1" t="s">
        <v>122</v>
      </c>
      <c r="D1063">
        <v>5262</v>
      </c>
      <c r="E1063" s="1"/>
      <c r="F1063" s="1" t="s">
        <v>122</v>
      </c>
      <c r="G1063">
        <v>2013</v>
      </c>
      <c r="H1063">
        <v>12378.82</v>
      </c>
      <c r="I1063">
        <v>12</v>
      </c>
      <c r="J1063" s="1" t="s">
        <v>516</v>
      </c>
      <c r="K1063">
        <v>0</v>
      </c>
      <c r="L1063">
        <v>874</v>
      </c>
      <c r="M1063">
        <v>14.161789000000001</v>
      </c>
      <c r="N1063">
        <v>2</v>
      </c>
      <c r="O1063" s="1" t="s">
        <v>569</v>
      </c>
      <c r="P1063">
        <v>12378.82</v>
      </c>
      <c r="Q1063">
        <v>4951.51</v>
      </c>
      <c r="R1063">
        <v>0</v>
      </c>
      <c r="S1063" s="1" t="s">
        <v>967</v>
      </c>
      <c r="T1063" s="1" t="s">
        <v>1256</v>
      </c>
      <c r="U1063">
        <v>12378.806500000001</v>
      </c>
      <c r="V1063">
        <v>0</v>
      </c>
      <c r="W1063">
        <v>56737</v>
      </c>
    </row>
    <row r="1064" spans="1:23" x14ac:dyDescent="0.25">
      <c r="A1064" s="1" t="s">
        <v>27</v>
      </c>
      <c r="B1064" s="1" t="s">
        <v>55</v>
      </c>
      <c r="C1064" s="1" t="s">
        <v>122</v>
      </c>
      <c r="D1064">
        <v>5262</v>
      </c>
      <c r="E1064" s="1"/>
      <c r="F1064" s="1" t="s">
        <v>122</v>
      </c>
      <c r="G1064">
        <v>2012</v>
      </c>
      <c r="H1064">
        <v>14887.3</v>
      </c>
      <c r="I1064">
        <v>12</v>
      </c>
      <c r="J1064" s="1" t="s">
        <v>516</v>
      </c>
      <c r="K1064">
        <v>0</v>
      </c>
      <c r="L1064">
        <v>874</v>
      </c>
      <c r="M1064">
        <v>17.031575</v>
      </c>
      <c r="N1064">
        <v>2</v>
      </c>
      <c r="O1064" s="1" t="s">
        <v>569</v>
      </c>
      <c r="P1064">
        <v>14887.3</v>
      </c>
      <c r="Q1064">
        <v>5954.91</v>
      </c>
      <c r="R1064">
        <v>0</v>
      </c>
      <c r="S1064" s="1" t="s">
        <v>967</v>
      </c>
      <c r="T1064" s="1" t="s">
        <v>1256</v>
      </c>
      <c r="U1064">
        <v>14887.2953</v>
      </c>
      <c r="V1064">
        <v>0</v>
      </c>
      <c r="W1064">
        <v>56737</v>
      </c>
    </row>
    <row r="1065" spans="1:23" x14ac:dyDescent="0.25">
      <c r="A1065" s="1" t="s">
        <v>27</v>
      </c>
      <c r="B1065" s="1" t="s">
        <v>55</v>
      </c>
      <c r="C1065" s="1" t="s">
        <v>122</v>
      </c>
      <c r="D1065">
        <v>5262</v>
      </c>
      <c r="E1065" s="1"/>
      <c r="F1065" s="1" t="s">
        <v>122</v>
      </c>
      <c r="G1065">
        <v>2012</v>
      </c>
      <c r="H1065">
        <v>10139.19</v>
      </c>
      <c r="I1065">
        <v>12</v>
      </c>
      <c r="J1065" s="1" t="s">
        <v>397</v>
      </c>
      <c r="K1065">
        <v>0</v>
      </c>
      <c r="L1065">
        <v>874</v>
      </c>
      <c r="M1065">
        <v>11.599576000000001</v>
      </c>
      <c r="N1065">
        <v>2</v>
      </c>
      <c r="O1065" s="1" t="s">
        <v>569</v>
      </c>
      <c r="P1065">
        <v>10139.19</v>
      </c>
      <c r="Q1065">
        <v>4055.68</v>
      </c>
      <c r="R1065">
        <v>0</v>
      </c>
      <c r="S1065" s="1" t="s">
        <v>968</v>
      </c>
      <c r="T1065" s="1" t="s">
        <v>1257</v>
      </c>
      <c r="U1065">
        <v>10139.18073</v>
      </c>
      <c r="V1065">
        <v>0</v>
      </c>
      <c r="W1065">
        <v>56759</v>
      </c>
    </row>
    <row r="1066" spans="1:23" x14ac:dyDescent="0.25">
      <c r="A1066" s="1" t="s">
        <v>27</v>
      </c>
      <c r="B1066" s="1" t="s">
        <v>55</v>
      </c>
      <c r="C1066" s="1" t="s">
        <v>122</v>
      </c>
      <c r="D1066">
        <v>5262</v>
      </c>
      <c r="E1066" s="1"/>
      <c r="F1066" s="1" t="s">
        <v>122</v>
      </c>
      <c r="G1066">
        <v>2011</v>
      </c>
      <c r="H1066">
        <v>15332.08</v>
      </c>
      <c r="I1066">
        <v>12</v>
      </c>
      <c r="J1066" s="1" t="s">
        <v>516</v>
      </c>
      <c r="K1066">
        <v>0</v>
      </c>
      <c r="L1066">
        <v>874</v>
      </c>
      <c r="M1066">
        <v>17.540417999999999</v>
      </c>
      <c r="N1066">
        <v>2</v>
      </c>
      <c r="O1066" s="1" t="s">
        <v>569</v>
      </c>
      <c r="P1066">
        <v>15332.08</v>
      </c>
      <c r="Q1066">
        <v>7190.76</v>
      </c>
      <c r="R1066">
        <v>0</v>
      </c>
      <c r="S1066" s="1" t="s">
        <v>967</v>
      </c>
      <c r="T1066" s="1" t="s">
        <v>1256</v>
      </c>
      <c r="U1066">
        <v>15332.093999999999</v>
      </c>
      <c r="V1066">
        <v>0</v>
      </c>
      <c r="W1066">
        <v>56737</v>
      </c>
    </row>
    <row r="1067" spans="1:23" x14ac:dyDescent="0.25">
      <c r="A1067" s="1" t="s">
        <v>27</v>
      </c>
      <c r="B1067" s="1" t="s">
        <v>55</v>
      </c>
      <c r="C1067" s="1" t="s">
        <v>122</v>
      </c>
      <c r="D1067">
        <v>5262</v>
      </c>
      <c r="E1067" s="1"/>
      <c r="F1067" s="1" t="s">
        <v>122</v>
      </c>
      <c r="G1067">
        <v>2011</v>
      </c>
      <c r="H1067">
        <v>12025.53</v>
      </c>
      <c r="I1067">
        <v>2</v>
      </c>
      <c r="J1067" s="1" t="s">
        <v>397</v>
      </c>
      <c r="K1067">
        <v>0</v>
      </c>
      <c r="L1067">
        <v>874</v>
      </c>
      <c r="M1067">
        <v>13.757612999999999</v>
      </c>
      <c r="N1067">
        <v>2</v>
      </c>
      <c r="O1067" s="1" t="s">
        <v>569</v>
      </c>
      <c r="P1067">
        <v>12025.53</v>
      </c>
      <c r="Q1067">
        <v>5639.99</v>
      </c>
      <c r="R1067">
        <v>0</v>
      </c>
      <c r="S1067" s="1" t="s">
        <v>968</v>
      </c>
      <c r="T1067" s="1" t="s">
        <v>1257</v>
      </c>
      <c r="U1067">
        <v>12025.51298</v>
      </c>
      <c r="V1067">
        <v>0</v>
      </c>
      <c r="W1067">
        <v>56759</v>
      </c>
    </row>
    <row r="1068" spans="1:23" x14ac:dyDescent="0.25">
      <c r="A1068" s="1" t="s">
        <v>27</v>
      </c>
      <c r="B1068" s="1" t="s">
        <v>55</v>
      </c>
      <c r="C1068" s="1" t="s">
        <v>122</v>
      </c>
      <c r="D1068">
        <v>5262</v>
      </c>
      <c r="E1068" s="1"/>
      <c r="F1068" s="1" t="s">
        <v>122</v>
      </c>
      <c r="G1068">
        <v>2010</v>
      </c>
      <c r="H1068">
        <v>13283.65</v>
      </c>
      <c r="I1068">
        <v>1</v>
      </c>
      <c r="J1068" s="1" t="s">
        <v>397</v>
      </c>
      <c r="K1068">
        <v>0</v>
      </c>
      <c r="L1068">
        <v>874</v>
      </c>
      <c r="M1068">
        <v>15.196944999999999</v>
      </c>
      <c r="N1068">
        <v>2</v>
      </c>
      <c r="O1068" s="1" t="s">
        <v>569</v>
      </c>
      <c r="P1068">
        <v>13283.65</v>
      </c>
      <c r="Q1068">
        <v>6230.05</v>
      </c>
      <c r="R1068">
        <v>0</v>
      </c>
      <c r="S1068" s="1" t="s">
        <v>968</v>
      </c>
      <c r="T1068" s="1" t="s">
        <v>1257</v>
      </c>
      <c r="U1068">
        <v>13283.65336</v>
      </c>
      <c r="V1068">
        <v>0</v>
      </c>
      <c r="W1068">
        <v>56759</v>
      </c>
    </row>
    <row r="1069" spans="1:23" x14ac:dyDescent="0.25">
      <c r="A1069" s="1" t="s">
        <v>27</v>
      </c>
      <c r="B1069" s="1" t="s">
        <v>55</v>
      </c>
      <c r="C1069" s="1" t="s">
        <v>122</v>
      </c>
      <c r="D1069">
        <v>5262</v>
      </c>
      <c r="E1069" s="1"/>
      <c r="F1069" s="1" t="s">
        <v>122</v>
      </c>
      <c r="G1069">
        <v>2010</v>
      </c>
      <c r="H1069">
        <v>15591.93</v>
      </c>
      <c r="I1069">
        <v>12</v>
      </c>
      <c r="J1069" s="1" t="s">
        <v>516</v>
      </c>
      <c r="K1069">
        <v>0</v>
      </c>
      <c r="L1069">
        <v>874</v>
      </c>
      <c r="M1069">
        <v>17.837695</v>
      </c>
      <c r="N1069">
        <v>2</v>
      </c>
      <c r="O1069" s="1" t="s">
        <v>569</v>
      </c>
      <c r="P1069">
        <v>15591.93</v>
      </c>
      <c r="Q1069">
        <v>7312.63</v>
      </c>
      <c r="R1069">
        <v>0</v>
      </c>
      <c r="S1069" s="1" t="s">
        <v>967</v>
      </c>
      <c r="T1069" s="1" t="s">
        <v>1256</v>
      </c>
      <c r="U1069">
        <v>15591.938</v>
      </c>
      <c r="V1069">
        <v>0</v>
      </c>
      <c r="W1069">
        <v>56737</v>
      </c>
    </row>
    <row r="1070" spans="1:23" x14ac:dyDescent="0.25">
      <c r="A1070" s="1" t="s">
        <v>27</v>
      </c>
      <c r="B1070" s="1" t="s">
        <v>55</v>
      </c>
      <c r="C1070" s="1" t="s">
        <v>122</v>
      </c>
      <c r="D1070">
        <v>5262</v>
      </c>
      <c r="E1070" s="1"/>
      <c r="F1070" s="1" t="s">
        <v>122</v>
      </c>
      <c r="G1070">
        <v>2009</v>
      </c>
      <c r="H1070">
        <v>11277.91</v>
      </c>
      <c r="I1070">
        <v>1</v>
      </c>
      <c r="J1070" s="1" t="s">
        <v>397</v>
      </c>
      <c r="K1070">
        <v>0</v>
      </c>
      <c r="L1070">
        <v>874</v>
      </c>
      <c r="M1070">
        <v>12.90231</v>
      </c>
      <c r="N1070">
        <v>2</v>
      </c>
      <c r="O1070" s="1" t="s">
        <v>569</v>
      </c>
      <c r="P1070">
        <v>11277.91</v>
      </c>
      <c r="Q1070">
        <v>5289.32</v>
      </c>
      <c r="R1070">
        <v>0</v>
      </c>
      <c r="S1070" s="1" t="s">
        <v>968</v>
      </c>
      <c r="T1070" s="1" t="s">
        <v>1257</v>
      </c>
      <c r="U1070">
        <v>11277.903469999999</v>
      </c>
      <c r="V1070">
        <v>0</v>
      </c>
      <c r="W1070">
        <v>56759</v>
      </c>
    </row>
    <row r="1071" spans="1:23" x14ac:dyDescent="0.25">
      <c r="A1071" s="1" t="s">
        <v>27</v>
      </c>
      <c r="B1071" s="1" t="s">
        <v>55</v>
      </c>
      <c r="C1071" s="1" t="s">
        <v>122</v>
      </c>
      <c r="D1071">
        <v>5262</v>
      </c>
      <c r="E1071" s="1"/>
      <c r="F1071" s="1" t="s">
        <v>122</v>
      </c>
      <c r="G1071">
        <v>2009</v>
      </c>
      <c r="H1071">
        <v>14686.82</v>
      </c>
      <c r="I1071">
        <v>12</v>
      </c>
      <c r="J1071" s="1" t="s">
        <v>516</v>
      </c>
      <c r="K1071">
        <v>0</v>
      </c>
      <c r="L1071">
        <v>874</v>
      </c>
      <c r="M1071">
        <v>16.802219000000001</v>
      </c>
      <c r="N1071">
        <v>2</v>
      </c>
      <c r="O1071" s="1" t="s">
        <v>569</v>
      </c>
      <c r="P1071">
        <v>14686.82</v>
      </c>
      <c r="Q1071">
        <v>6888.14</v>
      </c>
      <c r="R1071">
        <v>0</v>
      </c>
      <c r="S1071" s="1" t="s">
        <v>967</v>
      </c>
      <c r="T1071" s="1" t="s">
        <v>1256</v>
      </c>
      <c r="U1071">
        <v>14686.815000000001</v>
      </c>
      <c r="V1071">
        <v>0</v>
      </c>
      <c r="W1071">
        <v>56737</v>
      </c>
    </row>
    <row r="1072" spans="1:23" x14ac:dyDescent="0.25">
      <c r="A1072" s="1" t="s">
        <v>27</v>
      </c>
      <c r="B1072" s="1" t="s">
        <v>55</v>
      </c>
      <c r="C1072" s="1" t="s">
        <v>122</v>
      </c>
      <c r="D1072">
        <v>5262</v>
      </c>
      <c r="E1072" s="1"/>
      <c r="F1072" s="1" t="s">
        <v>122</v>
      </c>
      <c r="G1072">
        <v>2008</v>
      </c>
      <c r="H1072">
        <v>14514.92</v>
      </c>
      <c r="I1072">
        <v>12</v>
      </c>
      <c r="J1072" s="1" t="s">
        <v>516</v>
      </c>
      <c r="K1072">
        <v>0</v>
      </c>
      <c r="L1072">
        <v>874</v>
      </c>
      <c r="M1072">
        <v>16.605560000000001</v>
      </c>
      <c r="N1072">
        <v>2</v>
      </c>
      <c r="O1072" s="1" t="s">
        <v>569</v>
      </c>
      <c r="P1072">
        <v>14514.92</v>
      </c>
      <c r="Q1072">
        <v>6807.49</v>
      </c>
      <c r="R1072">
        <v>0</v>
      </c>
      <c r="S1072" s="1" t="s">
        <v>967</v>
      </c>
      <c r="T1072" s="1" t="s">
        <v>1256</v>
      </c>
      <c r="U1072">
        <v>14514.921</v>
      </c>
      <c r="V1072">
        <v>0</v>
      </c>
      <c r="W1072">
        <v>56737</v>
      </c>
    </row>
    <row r="1073" spans="1:23" x14ac:dyDescent="0.25">
      <c r="A1073" s="1" t="s">
        <v>27</v>
      </c>
      <c r="B1073" s="1" t="s">
        <v>55</v>
      </c>
      <c r="C1073" s="1" t="s">
        <v>122</v>
      </c>
      <c r="D1073">
        <v>5262</v>
      </c>
      <c r="E1073" s="1"/>
      <c r="F1073" s="1" t="s">
        <v>122</v>
      </c>
      <c r="G1073">
        <v>2008</v>
      </c>
      <c r="H1073">
        <v>11229.53</v>
      </c>
      <c r="I1073">
        <v>1</v>
      </c>
      <c r="J1073" s="1" t="s">
        <v>397</v>
      </c>
      <c r="K1073">
        <v>0</v>
      </c>
      <c r="L1073">
        <v>874</v>
      </c>
      <c r="M1073">
        <v>12.846962</v>
      </c>
      <c r="N1073">
        <v>2</v>
      </c>
      <c r="O1073" s="1" t="s">
        <v>569</v>
      </c>
      <c r="P1073">
        <v>11229.53</v>
      </c>
      <c r="Q1073">
        <v>5266.64</v>
      </c>
      <c r="R1073">
        <v>0</v>
      </c>
      <c r="S1073" s="1" t="s">
        <v>968</v>
      </c>
      <c r="T1073" s="1" t="s">
        <v>1257</v>
      </c>
      <c r="U1073">
        <v>11229.50798</v>
      </c>
      <c r="V1073">
        <v>0</v>
      </c>
      <c r="W1073">
        <v>56759</v>
      </c>
    </row>
    <row r="1074" spans="1:23" x14ac:dyDescent="0.25">
      <c r="A1074" s="1" t="s">
        <v>27</v>
      </c>
      <c r="B1074" s="1" t="s">
        <v>56</v>
      </c>
      <c r="C1074" s="1" t="s">
        <v>123</v>
      </c>
      <c r="D1074">
        <v>5264</v>
      </c>
      <c r="E1074" s="1"/>
      <c r="F1074" s="1" t="s">
        <v>123</v>
      </c>
      <c r="G1074">
        <v>2015</v>
      </c>
      <c r="H1074">
        <v>4361.6099999999997</v>
      </c>
      <c r="I1074">
        <v>5</v>
      </c>
      <c r="J1074" s="1" t="s">
        <v>402</v>
      </c>
      <c r="K1074">
        <v>0</v>
      </c>
      <c r="L1074">
        <v>333</v>
      </c>
      <c r="M1074">
        <v>13.093995</v>
      </c>
      <c r="N1074">
        <v>2</v>
      </c>
      <c r="O1074" s="1" t="s">
        <v>569</v>
      </c>
      <c r="P1074">
        <v>4361.6099999999997</v>
      </c>
      <c r="Q1074">
        <v>1744.64</v>
      </c>
      <c r="R1074">
        <v>0</v>
      </c>
      <c r="S1074" s="1" t="s">
        <v>969</v>
      </c>
      <c r="T1074" s="1" t="s">
        <v>1258</v>
      </c>
      <c r="U1074">
        <v>4361.6059999999998</v>
      </c>
      <c r="V1074">
        <v>0</v>
      </c>
      <c r="W1074">
        <v>60150</v>
      </c>
    </row>
    <row r="1075" spans="1:23" x14ac:dyDescent="0.25">
      <c r="A1075" s="1" t="s">
        <v>27</v>
      </c>
      <c r="B1075" s="1" t="s">
        <v>56</v>
      </c>
      <c r="C1075" s="1" t="s">
        <v>123</v>
      </c>
      <c r="D1075">
        <v>5264</v>
      </c>
      <c r="E1075" s="1"/>
      <c r="F1075" s="1" t="s">
        <v>123</v>
      </c>
      <c r="G1075">
        <v>2014</v>
      </c>
      <c r="H1075">
        <v>10719.77</v>
      </c>
      <c r="I1075">
        <v>12</v>
      </c>
      <c r="J1075" s="1" t="s">
        <v>402</v>
      </c>
      <c r="K1075">
        <v>0</v>
      </c>
      <c r="L1075">
        <v>333</v>
      </c>
      <c r="M1075">
        <v>32.181837000000002</v>
      </c>
      <c r="N1075">
        <v>2</v>
      </c>
      <c r="O1075" s="1" t="s">
        <v>569</v>
      </c>
      <c r="P1075">
        <v>10719.77</v>
      </c>
      <c r="Q1075">
        <v>4287.8999999999996</v>
      </c>
      <c r="R1075">
        <v>0</v>
      </c>
      <c r="S1075" s="1" t="s">
        <v>969</v>
      </c>
      <c r="T1075" s="1" t="s">
        <v>1258</v>
      </c>
      <c r="U1075">
        <v>10719.773999999999</v>
      </c>
      <c r="V1075">
        <v>0</v>
      </c>
      <c r="W1075">
        <v>60150</v>
      </c>
    </row>
    <row r="1076" spans="1:23" x14ac:dyDescent="0.25">
      <c r="A1076" s="1" t="s">
        <v>27</v>
      </c>
      <c r="B1076" s="1" t="s">
        <v>56</v>
      </c>
      <c r="C1076" s="1" t="s">
        <v>123</v>
      </c>
      <c r="D1076">
        <v>5264</v>
      </c>
      <c r="E1076" s="1"/>
      <c r="F1076" s="1" t="s">
        <v>123</v>
      </c>
      <c r="G1076">
        <v>2013</v>
      </c>
      <c r="H1076">
        <v>10641.25</v>
      </c>
      <c r="I1076">
        <v>12</v>
      </c>
      <c r="J1076" s="1" t="s">
        <v>402</v>
      </c>
      <c r="K1076">
        <v>0</v>
      </c>
      <c r="L1076">
        <v>333</v>
      </c>
      <c r="M1076">
        <v>31.946111999999999</v>
      </c>
      <c r="N1076">
        <v>2</v>
      </c>
      <c r="O1076" s="1" t="s">
        <v>569</v>
      </c>
      <c r="P1076">
        <v>10641.25</v>
      </c>
      <c r="Q1076">
        <v>4256.4799999999996</v>
      </c>
      <c r="R1076">
        <v>0</v>
      </c>
      <c r="S1076" s="1" t="s">
        <v>969</v>
      </c>
      <c r="T1076" s="1" t="s">
        <v>1258</v>
      </c>
      <c r="U1076">
        <v>10641.244000000001</v>
      </c>
      <c r="V1076">
        <v>0</v>
      </c>
      <c r="W1076">
        <v>60150</v>
      </c>
    </row>
    <row r="1077" spans="1:23" x14ac:dyDescent="0.25">
      <c r="A1077" s="1" t="s">
        <v>27</v>
      </c>
      <c r="B1077" s="1" t="s">
        <v>56</v>
      </c>
      <c r="C1077" s="1" t="s">
        <v>123</v>
      </c>
      <c r="D1077">
        <v>5264</v>
      </c>
      <c r="E1077" s="1"/>
      <c r="F1077" s="1" t="s">
        <v>123</v>
      </c>
      <c r="G1077">
        <v>2012</v>
      </c>
      <c r="H1077">
        <v>10942.42</v>
      </c>
      <c r="I1077">
        <v>12</v>
      </c>
      <c r="J1077" s="1" t="s">
        <v>402</v>
      </c>
      <c r="K1077">
        <v>0</v>
      </c>
      <c r="L1077">
        <v>333</v>
      </c>
      <c r="M1077">
        <v>32.850254999999997</v>
      </c>
      <c r="N1077">
        <v>2</v>
      </c>
      <c r="O1077" s="1" t="s">
        <v>569</v>
      </c>
      <c r="P1077">
        <v>10942.42</v>
      </c>
      <c r="Q1077">
        <v>4376.96</v>
      </c>
      <c r="R1077">
        <v>0</v>
      </c>
      <c r="S1077" s="1" t="s">
        <v>969</v>
      </c>
      <c r="T1077" s="1" t="s">
        <v>1258</v>
      </c>
      <c r="U1077">
        <v>10942.402</v>
      </c>
      <c r="V1077">
        <v>0</v>
      </c>
      <c r="W1077">
        <v>60150</v>
      </c>
    </row>
    <row r="1078" spans="1:23" x14ac:dyDescent="0.25">
      <c r="A1078" s="1" t="s">
        <v>27</v>
      </c>
      <c r="B1078" s="1" t="s">
        <v>56</v>
      </c>
      <c r="C1078" s="1" t="s">
        <v>123</v>
      </c>
      <c r="D1078">
        <v>5264</v>
      </c>
      <c r="E1078" s="1"/>
      <c r="F1078" s="1" t="s">
        <v>123</v>
      </c>
      <c r="G1078">
        <v>2011</v>
      </c>
      <c r="H1078">
        <v>12106.04</v>
      </c>
      <c r="I1078">
        <v>12</v>
      </c>
      <c r="J1078" s="1" t="s">
        <v>402</v>
      </c>
      <c r="K1078">
        <v>0</v>
      </c>
      <c r="L1078">
        <v>333</v>
      </c>
      <c r="M1078">
        <v>36.343559999999997</v>
      </c>
      <c r="N1078">
        <v>2</v>
      </c>
      <c r="O1078" s="1" t="s">
        <v>569</v>
      </c>
      <c r="P1078">
        <v>12106.04</v>
      </c>
      <c r="Q1078">
        <v>5677.73</v>
      </c>
      <c r="R1078">
        <v>0</v>
      </c>
      <c r="S1078" s="1" t="s">
        <v>969</v>
      </c>
      <c r="T1078" s="1" t="s">
        <v>1258</v>
      </c>
      <c r="U1078">
        <v>12106.0275</v>
      </c>
      <c r="V1078">
        <v>0</v>
      </c>
      <c r="W1078">
        <v>60150</v>
      </c>
    </row>
    <row r="1079" spans="1:23" x14ac:dyDescent="0.25">
      <c r="A1079" s="1" t="s">
        <v>27</v>
      </c>
      <c r="B1079" s="1" t="s">
        <v>56</v>
      </c>
      <c r="C1079" s="1" t="s">
        <v>123</v>
      </c>
      <c r="D1079">
        <v>5264</v>
      </c>
      <c r="E1079" s="1"/>
      <c r="F1079" s="1" t="s">
        <v>123</v>
      </c>
      <c r="G1079">
        <v>2010</v>
      </c>
      <c r="H1079">
        <v>11263.68</v>
      </c>
      <c r="I1079">
        <v>12</v>
      </c>
      <c r="J1079" s="1" t="s">
        <v>402</v>
      </c>
      <c r="K1079">
        <v>0</v>
      </c>
      <c r="L1079">
        <v>333</v>
      </c>
      <c r="M1079">
        <v>33.814709999999998</v>
      </c>
      <c r="N1079">
        <v>2</v>
      </c>
      <c r="O1079" s="1" t="s">
        <v>569</v>
      </c>
      <c r="P1079">
        <v>11263.68</v>
      </c>
      <c r="Q1079">
        <v>5282.67</v>
      </c>
      <c r="R1079">
        <v>0</v>
      </c>
      <c r="S1079" s="1" t="s">
        <v>969</v>
      </c>
      <c r="T1079" s="1" t="s">
        <v>1258</v>
      </c>
      <c r="U1079">
        <v>11263.683999999999</v>
      </c>
      <c r="V1079">
        <v>0</v>
      </c>
      <c r="W1079">
        <v>60150</v>
      </c>
    </row>
    <row r="1080" spans="1:23" x14ac:dyDescent="0.25">
      <c r="A1080" s="1" t="s">
        <v>27</v>
      </c>
      <c r="B1080" s="1" t="s">
        <v>56</v>
      </c>
      <c r="C1080" s="1" t="s">
        <v>123</v>
      </c>
      <c r="D1080">
        <v>5264</v>
      </c>
      <c r="E1080" s="1"/>
      <c r="F1080" s="1" t="s">
        <v>123</v>
      </c>
      <c r="G1080">
        <v>2009</v>
      </c>
      <c r="H1080">
        <v>11132.55</v>
      </c>
      <c r="I1080">
        <v>12</v>
      </c>
      <c r="J1080" s="1" t="s">
        <v>402</v>
      </c>
      <c r="K1080">
        <v>0</v>
      </c>
      <c r="L1080">
        <v>333</v>
      </c>
      <c r="M1080">
        <v>33.421044000000002</v>
      </c>
      <c r="N1080">
        <v>2</v>
      </c>
      <c r="O1080" s="1" t="s">
        <v>569</v>
      </c>
      <c r="P1080">
        <v>11132.55</v>
      </c>
      <c r="Q1080">
        <v>5221.17</v>
      </c>
      <c r="R1080">
        <v>0</v>
      </c>
      <c r="S1080" s="1" t="s">
        <v>969</v>
      </c>
      <c r="T1080" s="1" t="s">
        <v>1258</v>
      </c>
      <c r="U1080">
        <v>11132.558000000001</v>
      </c>
      <c r="V1080">
        <v>0</v>
      </c>
      <c r="W1080">
        <v>60150</v>
      </c>
    </row>
    <row r="1081" spans="1:23" x14ac:dyDescent="0.25">
      <c r="A1081" s="1" t="s">
        <v>27</v>
      </c>
      <c r="B1081" s="1" t="s">
        <v>56</v>
      </c>
      <c r="C1081" s="1" t="s">
        <v>123</v>
      </c>
      <c r="D1081">
        <v>5264</v>
      </c>
      <c r="E1081" s="1"/>
      <c r="F1081" s="1" t="s">
        <v>123</v>
      </c>
      <c r="G1081">
        <v>2008</v>
      </c>
      <c r="H1081">
        <v>11183.22</v>
      </c>
      <c r="I1081">
        <v>12</v>
      </c>
      <c r="J1081" s="1" t="s">
        <v>402</v>
      </c>
      <c r="K1081">
        <v>0</v>
      </c>
      <c r="L1081">
        <v>333</v>
      </c>
      <c r="M1081">
        <v>33.573160999999999</v>
      </c>
      <c r="N1081">
        <v>2</v>
      </c>
      <c r="O1081" s="1" t="s">
        <v>569</v>
      </c>
      <c r="P1081">
        <v>11183.22</v>
      </c>
      <c r="Q1081">
        <v>5244.93</v>
      </c>
      <c r="R1081">
        <v>0</v>
      </c>
      <c r="S1081" s="1" t="s">
        <v>969</v>
      </c>
      <c r="T1081" s="1" t="s">
        <v>1258</v>
      </c>
      <c r="U1081">
        <v>11183.214</v>
      </c>
      <c r="V1081">
        <v>0</v>
      </c>
      <c r="W1081">
        <v>60150</v>
      </c>
    </row>
    <row r="1082" spans="1:23" x14ac:dyDescent="0.25">
      <c r="A1082" s="1" t="s">
        <v>27</v>
      </c>
      <c r="B1082" s="1"/>
      <c r="C1082" s="1" t="s">
        <v>124</v>
      </c>
      <c r="D1082">
        <v>9957</v>
      </c>
      <c r="E1082" s="1"/>
      <c r="F1082" s="1" t="s">
        <v>265</v>
      </c>
      <c r="G1082">
        <v>2015</v>
      </c>
      <c r="H1082">
        <v>9630.48</v>
      </c>
      <c r="I1082">
        <v>5</v>
      </c>
      <c r="J1082" s="1" t="s">
        <v>399</v>
      </c>
      <c r="K1082">
        <v>0</v>
      </c>
      <c r="L1082">
        <v>646</v>
      </c>
      <c r="M1082">
        <v>14.905556000000001</v>
      </c>
      <c r="N1082">
        <v>2</v>
      </c>
      <c r="O1082" s="1" t="s">
        <v>569</v>
      </c>
      <c r="P1082">
        <v>9630.48</v>
      </c>
      <c r="Q1082">
        <v>2889.14</v>
      </c>
      <c r="R1082">
        <v>0</v>
      </c>
      <c r="S1082" s="1" t="s">
        <v>970</v>
      </c>
      <c r="T1082" s="1" t="s">
        <v>1259</v>
      </c>
      <c r="U1082">
        <v>9630.4920000000002</v>
      </c>
      <c r="V1082">
        <v>0</v>
      </c>
      <c r="W1082">
        <v>76341</v>
      </c>
    </row>
    <row r="1083" spans="1:23" x14ac:dyDescent="0.25">
      <c r="A1083" s="1" t="s">
        <v>27</v>
      </c>
      <c r="B1083" s="1"/>
      <c r="C1083" s="1" t="s">
        <v>124</v>
      </c>
      <c r="D1083">
        <v>9957</v>
      </c>
      <c r="E1083" s="1"/>
      <c r="F1083" s="1" t="s">
        <v>265</v>
      </c>
      <c r="G1083">
        <v>2014</v>
      </c>
      <c r="H1083">
        <v>20145.169999999998</v>
      </c>
      <c r="I1083">
        <v>12</v>
      </c>
      <c r="J1083" s="1" t="s">
        <v>399</v>
      </c>
      <c r="K1083">
        <v>0</v>
      </c>
      <c r="L1083">
        <v>646</v>
      </c>
      <c r="M1083">
        <v>31.179646999999999</v>
      </c>
      <c r="N1083">
        <v>2</v>
      </c>
      <c r="O1083" s="1" t="s">
        <v>569</v>
      </c>
      <c r="P1083">
        <v>20145.169999999998</v>
      </c>
      <c r="Q1083">
        <v>6043.54</v>
      </c>
      <c r="R1083">
        <v>0</v>
      </c>
      <c r="S1083" s="1" t="s">
        <v>970</v>
      </c>
      <c r="T1083" s="1" t="s">
        <v>1259</v>
      </c>
      <c r="U1083">
        <v>20145.173999999999</v>
      </c>
      <c r="V1083">
        <v>0</v>
      </c>
      <c r="W1083">
        <v>76341</v>
      </c>
    </row>
    <row r="1084" spans="1:23" x14ac:dyDescent="0.25">
      <c r="A1084" s="1" t="s">
        <v>27</v>
      </c>
      <c r="B1084" s="1"/>
      <c r="C1084" s="1" t="s">
        <v>124</v>
      </c>
      <c r="D1084">
        <v>9957</v>
      </c>
      <c r="E1084" s="1"/>
      <c r="F1084" s="1" t="s">
        <v>265</v>
      </c>
      <c r="G1084">
        <v>2013</v>
      </c>
      <c r="H1084">
        <v>22189.57</v>
      </c>
      <c r="I1084">
        <v>12</v>
      </c>
      <c r="J1084" s="1" t="s">
        <v>399</v>
      </c>
      <c r="K1084">
        <v>0</v>
      </c>
      <c r="L1084">
        <v>646</v>
      </c>
      <c r="M1084">
        <v>34.343862999999999</v>
      </c>
      <c r="N1084">
        <v>2</v>
      </c>
      <c r="O1084" s="1" t="s">
        <v>569</v>
      </c>
      <c r="P1084">
        <v>22189.57</v>
      </c>
      <c r="Q1084">
        <v>6656.88</v>
      </c>
      <c r="R1084">
        <v>0</v>
      </c>
      <c r="S1084" s="1" t="s">
        <v>970</v>
      </c>
      <c r="T1084" s="1" t="s">
        <v>1259</v>
      </c>
      <c r="U1084">
        <v>22189.580999999998</v>
      </c>
      <c r="V1084">
        <v>0</v>
      </c>
      <c r="W1084">
        <v>76341</v>
      </c>
    </row>
    <row r="1085" spans="1:23" x14ac:dyDescent="0.25">
      <c r="A1085" s="1" t="s">
        <v>27</v>
      </c>
      <c r="B1085" s="1"/>
      <c r="C1085" s="1" t="s">
        <v>124</v>
      </c>
      <c r="D1085">
        <v>9957</v>
      </c>
      <c r="E1085" s="1"/>
      <c r="F1085" s="1" t="s">
        <v>265</v>
      </c>
      <c r="G1085">
        <v>2012</v>
      </c>
      <c r="H1085">
        <v>23472.01</v>
      </c>
      <c r="I1085">
        <v>12</v>
      </c>
      <c r="J1085" s="1" t="s">
        <v>399</v>
      </c>
      <c r="K1085">
        <v>0</v>
      </c>
      <c r="L1085">
        <v>646</v>
      </c>
      <c r="M1085">
        <v>36.328757000000003</v>
      </c>
      <c r="N1085">
        <v>2</v>
      </c>
      <c r="O1085" s="1" t="s">
        <v>569</v>
      </c>
      <c r="P1085">
        <v>23472.01</v>
      </c>
      <c r="Q1085">
        <v>9388.7999999999993</v>
      </c>
      <c r="R1085">
        <v>0</v>
      </c>
      <c r="S1085" s="1" t="s">
        <v>970</v>
      </c>
      <c r="T1085" s="1" t="s">
        <v>1259</v>
      </c>
      <c r="U1085">
        <v>23472.005000000001</v>
      </c>
      <c r="V1085">
        <v>0</v>
      </c>
      <c r="W1085">
        <v>76341</v>
      </c>
    </row>
    <row r="1086" spans="1:23" x14ac:dyDescent="0.25">
      <c r="A1086" s="1" t="s">
        <v>27</v>
      </c>
      <c r="B1086" s="1"/>
      <c r="C1086" s="1" t="s">
        <v>124</v>
      </c>
      <c r="D1086">
        <v>9957</v>
      </c>
      <c r="E1086" s="1"/>
      <c r="F1086" s="1" t="s">
        <v>265</v>
      </c>
      <c r="G1086">
        <v>2011</v>
      </c>
      <c r="H1086">
        <v>25990.66</v>
      </c>
      <c r="I1086">
        <v>8</v>
      </c>
      <c r="J1086" s="1" t="s">
        <v>399</v>
      </c>
      <c r="K1086">
        <v>0</v>
      </c>
      <c r="L1086">
        <v>646</v>
      </c>
      <c r="M1086">
        <v>40.226992000000003</v>
      </c>
      <c r="N1086">
        <v>2</v>
      </c>
      <c r="O1086" s="1" t="s">
        <v>569</v>
      </c>
      <c r="P1086">
        <v>25990.66</v>
      </c>
      <c r="Q1086">
        <v>12189.6</v>
      </c>
      <c r="R1086">
        <v>0</v>
      </c>
      <c r="S1086" s="1" t="s">
        <v>970</v>
      </c>
      <c r="T1086" s="1" t="s">
        <v>1259</v>
      </c>
      <c r="U1086">
        <v>25990.647059999999</v>
      </c>
      <c r="V1086">
        <v>0</v>
      </c>
      <c r="W1086">
        <v>76341</v>
      </c>
    </row>
    <row r="1087" spans="1:23" x14ac:dyDescent="0.25">
      <c r="A1087" s="1" t="s">
        <v>27</v>
      </c>
      <c r="B1087" s="1"/>
      <c r="C1087" s="1" t="s">
        <v>124</v>
      </c>
      <c r="D1087">
        <v>9957</v>
      </c>
      <c r="E1087" s="1"/>
      <c r="F1087" s="1" t="s">
        <v>265</v>
      </c>
      <c r="G1087">
        <v>2010</v>
      </c>
      <c r="H1087">
        <v>30344.27</v>
      </c>
      <c r="I1087">
        <v>3</v>
      </c>
      <c r="J1087" s="1" t="s">
        <v>399</v>
      </c>
      <c r="K1087">
        <v>0</v>
      </c>
      <c r="L1087">
        <v>646</v>
      </c>
      <c r="M1087">
        <v>46.965283999999997</v>
      </c>
      <c r="N1087">
        <v>2</v>
      </c>
      <c r="O1087" s="1" t="s">
        <v>569</v>
      </c>
      <c r="P1087">
        <v>30344.27</v>
      </c>
      <c r="Q1087">
        <v>14231.47</v>
      </c>
      <c r="R1087">
        <v>0</v>
      </c>
      <c r="S1087" s="1" t="s">
        <v>970</v>
      </c>
      <c r="T1087" s="1" t="s">
        <v>1259</v>
      </c>
      <c r="U1087">
        <v>30344.272570000001</v>
      </c>
      <c r="V1087">
        <v>0</v>
      </c>
      <c r="W1087">
        <v>76341</v>
      </c>
    </row>
    <row r="1088" spans="1:23" x14ac:dyDescent="0.25">
      <c r="A1088" s="1" t="s">
        <v>27</v>
      </c>
      <c r="B1088" s="1"/>
      <c r="C1088" s="1" t="s">
        <v>124</v>
      </c>
      <c r="D1088">
        <v>9957</v>
      </c>
      <c r="E1088" s="1"/>
      <c r="F1088" s="1" t="s">
        <v>265</v>
      </c>
      <c r="G1088">
        <v>2009</v>
      </c>
      <c r="H1088">
        <v>29250.16</v>
      </c>
      <c r="I1088">
        <v>4</v>
      </c>
      <c r="J1088" s="1" t="s">
        <v>399</v>
      </c>
      <c r="K1088">
        <v>0</v>
      </c>
      <c r="L1088">
        <v>646</v>
      </c>
      <c r="M1088">
        <v>45.271877000000003</v>
      </c>
      <c r="N1088">
        <v>2</v>
      </c>
      <c r="O1088" s="1" t="s">
        <v>569</v>
      </c>
      <c r="P1088">
        <v>29250.16</v>
      </c>
      <c r="Q1088">
        <v>13718.32</v>
      </c>
      <c r="R1088">
        <v>0</v>
      </c>
      <c r="S1088" s="1" t="s">
        <v>970</v>
      </c>
      <c r="T1088" s="1" t="s">
        <v>1259</v>
      </c>
      <c r="U1088">
        <v>29250.183799999999</v>
      </c>
      <c r="V1088">
        <v>0</v>
      </c>
      <c r="W1088">
        <v>76341</v>
      </c>
    </row>
    <row r="1089" spans="1:23" x14ac:dyDescent="0.25">
      <c r="A1089" s="1" t="s">
        <v>27</v>
      </c>
      <c r="B1089" s="1"/>
      <c r="C1089" s="1" t="s">
        <v>124</v>
      </c>
      <c r="D1089">
        <v>9957</v>
      </c>
      <c r="E1089" s="1"/>
      <c r="F1089" s="1" t="s">
        <v>265</v>
      </c>
      <c r="G1089">
        <v>2008</v>
      </c>
      <c r="H1089">
        <v>25123.45</v>
      </c>
      <c r="I1089">
        <v>5</v>
      </c>
      <c r="J1089" s="1" t="s">
        <v>399</v>
      </c>
      <c r="K1089">
        <v>0</v>
      </c>
      <c r="L1089">
        <v>646</v>
      </c>
      <c r="M1089">
        <v>38.884770000000003</v>
      </c>
      <c r="N1089">
        <v>2</v>
      </c>
      <c r="O1089" s="1" t="s">
        <v>569</v>
      </c>
      <c r="P1089">
        <v>25123.45</v>
      </c>
      <c r="Q1089">
        <v>11782.9</v>
      </c>
      <c r="R1089">
        <v>0</v>
      </c>
      <c r="S1089" s="1" t="s">
        <v>970</v>
      </c>
      <c r="T1089" s="1" t="s">
        <v>1259</v>
      </c>
      <c r="U1089">
        <v>25123.442019999999</v>
      </c>
      <c r="V1089">
        <v>0</v>
      </c>
      <c r="W1089">
        <v>76341</v>
      </c>
    </row>
    <row r="1090" spans="1:23" x14ac:dyDescent="0.25">
      <c r="A1090" s="1" t="s">
        <v>27</v>
      </c>
      <c r="B1090" s="1" t="s">
        <v>57</v>
      </c>
      <c r="C1090" s="1" t="s">
        <v>125</v>
      </c>
      <c r="D1090">
        <v>5269</v>
      </c>
      <c r="E1090" s="1"/>
      <c r="F1090" s="1" t="s">
        <v>266</v>
      </c>
      <c r="G1090">
        <v>2015</v>
      </c>
      <c r="H1090">
        <v>10339.98</v>
      </c>
      <c r="I1090">
        <v>5</v>
      </c>
      <c r="J1090" s="1" t="s">
        <v>423</v>
      </c>
      <c r="K1090">
        <v>0</v>
      </c>
      <c r="L1090">
        <v>607</v>
      </c>
      <c r="M1090">
        <v>17.031756999999999</v>
      </c>
      <c r="N1090">
        <v>2</v>
      </c>
      <c r="O1090" s="1" t="s">
        <v>569</v>
      </c>
      <c r="P1090">
        <v>10339.98</v>
      </c>
      <c r="Q1090">
        <v>4135.99</v>
      </c>
      <c r="R1090">
        <v>0</v>
      </c>
      <c r="S1090" s="1" t="s">
        <v>971</v>
      </c>
      <c r="T1090" s="1" t="s">
        <v>1260</v>
      </c>
      <c r="U1090">
        <v>10339.98</v>
      </c>
      <c r="V1090">
        <v>0</v>
      </c>
      <c r="W1090">
        <v>56815</v>
      </c>
    </row>
    <row r="1091" spans="1:23" x14ac:dyDescent="0.25">
      <c r="A1091" s="1" t="s">
        <v>27</v>
      </c>
      <c r="B1091" s="1" t="s">
        <v>57</v>
      </c>
      <c r="C1091" s="1" t="s">
        <v>125</v>
      </c>
      <c r="D1091">
        <v>5269</v>
      </c>
      <c r="E1091" s="1"/>
      <c r="F1091" s="1" t="s">
        <v>266</v>
      </c>
      <c r="G1091">
        <v>2014</v>
      </c>
      <c r="H1091">
        <v>26746.46</v>
      </c>
      <c r="I1091">
        <v>12</v>
      </c>
      <c r="J1091" s="1" t="s">
        <v>423</v>
      </c>
      <c r="K1091">
        <v>0</v>
      </c>
      <c r="L1091">
        <v>607</v>
      </c>
      <c r="M1091">
        <v>44.056102000000003</v>
      </c>
      <c r="N1091">
        <v>2</v>
      </c>
      <c r="O1091" s="1" t="s">
        <v>569</v>
      </c>
      <c r="P1091">
        <v>26746.46</v>
      </c>
      <c r="Q1091">
        <v>10698.6</v>
      </c>
      <c r="R1091">
        <v>0</v>
      </c>
      <c r="S1091" s="1" t="s">
        <v>971</v>
      </c>
      <c r="T1091" s="1" t="s">
        <v>1260</v>
      </c>
      <c r="U1091">
        <v>26746.46</v>
      </c>
      <c r="V1091">
        <v>0</v>
      </c>
      <c r="W1091">
        <v>56815</v>
      </c>
    </row>
    <row r="1092" spans="1:23" x14ac:dyDescent="0.25">
      <c r="A1092" s="1" t="s">
        <v>27</v>
      </c>
      <c r="B1092" s="1" t="s">
        <v>57</v>
      </c>
      <c r="C1092" s="1" t="s">
        <v>125</v>
      </c>
      <c r="D1092">
        <v>5269</v>
      </c>
      <c r="E1092" s="1"/>
      <c r="F1092" s="1" t="s">
        <v>266</v>
      </c>
      <c r="G1092">
        <v>2013</v>
      </c>
      <c r="H1092">
        <v>33772.78</v>
      </c>
      <c r="I1092">
        <v>12</v>
      </c>
      <c r="J1092" s="1" t="s">
        <v>423</v>
      </c>
      <c r="K1092">
        <v>0</v>
      </c>
      <c r="L1092">
        <v>607</v>
      </c>
      <c r="M1092">
        <v>55.629682000000003</v>
      </c>
      <c r="N1092">
        <v>2</v>
      </c>
      <c r="O1092" s="1" t="s">
        <v>569</v>
      </c>
      <c r="P1092">
        <v>33772.78</v>
      </c>
      <c r="Q1092">
        <v>13509.12</v>
      </c>
      <c r="R1092">
        <v>0</v>
      </c>
      <c r="S1092" s="1" t="s">
        <v>971</v>
      </c>
      <c r="T1092" s="1" t="s">
        <v>1260</v>
      </c>
      <c r="U1092">
        <v>33772.78</v>
      </c>
      <c r="V1092">
        <v>0</v>
      </c>
      <c r="W1092">
        <v>56815</v>
      </c>
    </row>
    <row r="1093" spans="1:23" x14ac:dyDescent="0.25">
      <c r="A1093" s="1" t="s">
        <v>27</v>
      </c>
      <c r="B1093" s="1" t="s">
        <v>57</v>
      </c>
      <c r="C1093" s="1" t="s">
        <v>125</v>
      </c>
      <c r="D1093">
        <v>5269</v>
      </c>
      <c r="E1093" s="1"/>
      <c r="F1093" s="1" t="s">
        <v>266</v>
      </c>
      <c r="G1093">
        <v>2012</v>
      </c>
      <c r="H1093">
        <v>32840.6</v>
      </c>
      <c r="I1093">
        <v>12</v>
      </c>
      <c r="J1093" s="1" t="s">
        <v>423</v>
      </c>
      <c r="K1093">
        <v>0</v>
      </c>
      <c r="L1093">
        <v>607</v>
      </c>
      <c r="M1093">
        <v>54.094217999999998</v>
      </c>
      <c r="N1093">
        <v>2</v>
      </c>
      <c r="O1093" s="1" t="s">
        <v>569</v>
      </c>
      <c r="P1093">
        <v>32840.6</v>
      </c>
      <c r="Q1093">
        <v>13136.26</v>
      </c>
      <c r="R1093">
        <v>0</v>
      </c>
      <c r="S1093" s="1" t="s">
        <v>971</v>
      </c>
      <c r="T1093" s="1" t="s">
        <v>1260</v>
      </c>
      <c r="U1093">
        <v>32840.6</v>
      </c>
      <c r="V1093">
        <v>0</v>
      </c>
      <c r="W1093">
        <v>56815</v>
      </c>
    </row>
    <row r="1094" spans="1:23" x14ac:dyDescent="0.25">
      <c r="A1094" s="1" t="s">
        <v>27</v>
      </c>
      <c r="B1094" s="1" t="s">
        <v>57</v>
      </c>
      <c r="C1094" s="1" t="s">
        <v>125</v>
      </c>
      <c r="D1094">
        <v>5269</v>
      </c>
      <c r="E1094" s="1"/>
      <c r="F1094" s="1" t="s">
        <v>266</v>
      </c>
      <c r="G1094">
        <v>2011</v>
      </c>
      <c r="H1094">
        <v>33024.47</v>
      </c>
      <c r="I1094">
        <v>5</v>
      </c>
      <c r="J1094" s="1" t="s">
        <v>423</v>
      </c>
      <c r="K1094">
        <v>0</v>
      </c>
      <c r="L1094">
        <v>607</v>
      </c>
      <c r="M1094">
        <v>54.397084</v>
      </c>
      <c r="N1094">
        <v>2</v>
      </c>
      <c r="O1094" s="1" t="s">
        <v>569</v>
      </c>
      <c r="P1094">
        <v>33024.47</v>
      </c>
      <c r="Q1094">
        <v>15488.48</v>
      </c>
      <c r="R1094">
        <v>0</v>
      </c>
      <c r="S1094" s="1" t="s">
        <v>971</v>
      </c>
      <c r="T1094" s="1" t="s">
        <v>1260</v>
      </c>
      <c r="U1094">
        <v>33024.474179999997</v>
      </c>
      <c r="V1094">
        <v>0</v>
      </c>
      <c r="W1094">
        <v>56815</v>
      </c>
    </row>
    <row r="1095" spans="1:23" x14ac:dyDescent="0.25">
      <c r="A1095" s="1" t="s">
        <v>27</v>
      </c>
      <c r="B1095" s="1" t="s">
        <v>57</v>
      </c>
      <c r="C1095" s="1" t="s">
        <v>125</v>
      </c>
      <c r="D1095">
        <v>5269</v>
      </c>
      <c r="E1095" s="1"/>
      <c r="F1095" s="1" t="s">
        <v>266</v>
      </c>
      <c r="G1095">
        <v>2010</v>
      </c>
      <c r="H1095">
        <v>30342.21</v>
      </c>
      <c r="I1095">
        <v>0</v>
      </c>
      <c r="J1095" s="1" t="s">
        <v>423</v>
      </c>
      <c r="K1095">
        <v>0</v>
      </c>
      <c r="L1095">
        <v>607</v>
      </c>
      <c r="M1095">
        <v>49.978932</v>
      </c>
      <c r="N1095">
        <v>2</v>
      </c>
      <c r="O1095" s="1" t="s">
        <v>569</v>
      </c>
      <c r="P1095">
        <v>30342.21</v>
      </c>
      <c r="Q1095">
        <v>14230.51</v>
      </c>
      <c r="R1095">
        <v>0</v>
      </c>
      <c r="S1095" s="1" t="s">
        <v>971</v>
      </c>
      <c r="T1095" s="1" t="s">
        <v>1260</v>
      </c>
      <c r="U1095">
        <v>30342.211439999999</v>
      </c>
      <c r="V1095">
        <v>0</v>
      </c>
      <c r="W1095">
        <v>56815</v>
      </c>
    </row>
    <row r="1096" spans="1:23" x14ac:dyDescent="0.25">
      <c r="A1096" s="1" t="s">
        <v>27</v>
      </c>
      <c r="B1096" s="1" t="s">
        <v>57</v>
      </c>
      <c r="C1096" s="1" t="s">
        <v>125</v>
      </c>
      <c r="D1096">
        <v>5269</v>
      </c>
      <c r="E1096" s="1"/>
      <c r="F1096" s="1" t="s">
        <v>266</v>
      </c>
      <c r="G1096">
        <v>2009</v>
      </c>
      <c r="H1096">
        <v>24048.1</v>
      </c>
      <c r="I1096">
        <v>2</v>
      </c>
      <c r="J1096" s="1" t="s">
        <v>423</v>
      </c>
      <c r="K1096">
        <v>0</v>
      </c>
      <c r="L1096">
        <v>607</v>
      </c>
      <c r="M1096">
        <v>39.611431000000003</v>
      </c>
      <c r="N1096">
        <v>2</v>
      </c>
      <c r="O1096" s="1" t="s">
        <v>569</v>
      </c>
      <c r="P1096">
        <v>24048.1</v>
      </c>
      <c r="Q1096">
        <v>11278.54</v>
      </c>
      <c r="R1096">
        <v>0</v>
      </c>
      <c r="S1096" s="1" t="s">
        <v>971</v>
      </c>
      <c r="T1096" s="1" t="s">
        <v>1260</v>
      </c>
      <c r="U1096">
        <v>24048.094400000002</v>
      </c>
      <c r="V1096">
        <v>0</v>
      </c>
      <c r="W1096">
        <v>56815</v>
      </c>
    </row>
    <row r="1097" spans="1:23" x14ac:dyDescent="0.25">
      <c r="A1097" s="1" t="s">
        <v>27</v>
      </c>
      <c r="B1097" s="1" t="s">
        <v>57</v>
      </c>
      <c r="C1097" s="1" t="s">
        <v>125</v>
      </c>
      <c r="D1097">
        <v>5269</v>
      </c>
      <c r="E1097" s="1"/>
      <c r="F1097" s="1" t="s">
        <v>266</v>
      </c>
      <c r="G1097">
        <v>2008</v>
      </c>
      <c r="H1097">
        <v>24467.63</v>
      </c>
      <c r="I1097">
        <v>3</v>
      </c>
      <c r="J1097" s="1" t="s">
        <v>423</v>
      </c>
      <c r="K1097">
        <v>0</v>
      </c>
      <c r="L1097">
        <v>607</v>
      </c>
      <c r="M1097">
        <v>40.30247</v>
      </c>
      <c r="N1097">
        <v>2</v>
      </c>
      <c r="O1097" s="1" t="s">
        <v>569</v>
      </c>
      <c r="P1097">
        <v>24467.63</v>
      </c>
      <c r="Q1097">
        <v>11475.32</v>
      </c>
      <c r="R1097">
        <v>0</v>
      </c>
      <c r="S1097" s="1" t="s">
        <v>971</v>
      </c>
      <c r="T1097" s="1" t="s">
        <v>1260</v>
      </c>
      <c r="U1097">
        <v>24467.626769999999</v>
      </c>
      <c r="V1097">
        <v>0</v>
      </c>
      <c r="W1097">
        <v>56815</v>
      </c>
    </row>
    <row r="1098" spans="1:23" x14ac:dyDescent="0.25">
      <c r="A1098" s="1" t="s">
        <v>27</v>
      </c>
      <c r="B1098" s="1"/>
      <c r="C1098" s="1" t="s">
        <v>126</v>
      </c>
      <c r="D1098">
        <v>10017</v>
      </c>
      <c r="E1098" s="1"/>
      <c r="F1098" s="1" t="s">
        <v>267</v>
      </c>
      <c r="G1098">
        <v>2015</v>
      </c>
      <c r="H1098">
        <v>5516.62</v>
      </c>
      <c r="I1098">
        <v>5</v>
      </c>
      <c r="J1098" s="1"/>
      <c r="K1098">
        <v>0</v>
      </c>
      <c r="L1098">
        <v>602</v>
      </c>
      <c r="M1098">
        <v>9.1622979999999998</v>
      </c>
      <c r="N1098">
        <v>2</v>
      </c>
      <c r="O1098" s="1" t="s">
        <v>569</v>
      </c>
      <c r="P1098">
        <v>5516.62</v>
      </c>
      <c r="Q1098">
        <v>1654.99</v>
      </c>
      <c r="R1098">
        <v>0</v>
      </c>
      <c r="S1098" s="1" t="s">
        <v>972</v>
      </c>
      <c r="T1098" s="1" t="s">
        <v>1261</v>
      </c>
      <c r="U1098">
        <v>5516.6279999999997</v>
      </c>
      <c r="V1098">
        <v>0</v>
      </c>
      <c r="W1098">
        <v>90612</v>
      </c>
    </row>
    <row r="1099" spans="1:23" x14ac:dyDescent="0.25">
      <c r="A1099" s="1" t="s">
        <v>27</v>
      </c>
      <c r="B1099" s="1"/>
      <c r="C1099" s="1" t="s">
        <v>126</v>
      </c>
      <c r="D1099">
        <v>10017</v>
      </c>
      <c r="E1099" s="1"/>
      <c r="F1099" s="1" t="s">
        <v>267</v>
      </c>
      <c r="G1099">
        <v>2014</v>
      </c>
      <c r="H1099">
        <v>11747.22</v>
      </c>
      <c r="I1099">
        <v>12</v>
      </c>
      <c r="J1099" s="1"/>
      <c r="K1099">
        <v>0</v>
      </c>
      <c r="L1099">
        <v>602</v>
      </c>
      <c r="M1099">
        <v>19.510413</v>
      </c>
      <c r="N1099">
        <v>2</v>
      </c>
      <c r="O1099" s="1" t="s">
        <v>569</v>
      </c>
      <c r="P1099">
        <v>11747.22</v>
      </c>
      <c r="Q1099">
        <v>3524.17</v>
      </c>
      <c r="R1099">
        <v>0</v>
      </c>
      <c r="S1099" s="1" t="s">
        <v>972</v>
      </c>
      <c r="T1099" s="1" t="s">
        <v>1261</v>
      </c>
      <c r="U1099">
        <v>11747.22</v>
      </c>
      <c r="V1099">
        <v>0</v>
      </c>
      <c r="W1099">
        <v>90612</v>
      </c>
    </row>
    <row r="1100" spans="1:23" x14ac:dyDescent="0.25">
      <c r="A1100" s="1" t="s">
        <v>27</v>
      </c>
      <c r="B1100" s="1"/>
      <c r="C1100" s="1" t="s">
        <v>126</v>
      </c>
      <c r="D1100">
        <v>10017</v>
      </c>
      <c r="E1100" s="1"/>
      <c r="F1100" s="1" t="s">
        <v>267</v>
      </c>
      <c r="G1100">
        <v>2013</v>
      </c>
      <c r="H1100">
        <v>11211.51</v>
      </c>
      <c r="I1100">
        <v>12</v>
      </c>
      <c r="J1100" s="1"/>
      <c r="K1100">
        <v>0</v>
      </c>
      <c r="L1100">
        <v>602</v>
      </c>
      <c r="M1100">
        <v>18.620677000000001</v>
      </c>
      <c r="N1100">
        <v>2</v>
      </c>
      <c r="O1100" s="1" t="s">
        <v>569</v>
      </c>
      <c r="P1100">
        <v>11211.51</v>
      </c>
      <c r="Q1100">
        <v>3363.44</v>
      </c>
      <c r="R1100">
        <v>0</v>
      </c>
      <c r="S1100" s="1" t="s">
        <v>972</v>
      </c>
      <c r="T1100" s="1" t="s">
        <v>1261</v>
      </c>
      <c r="U1100">
        <v>11211.516</v>
      </c>
      <c r="V1100">
        <v>0</v>
      </c>
      <c r="W1100">
        <v>90612</v>
      </c>
    </row>
    <row r="1101" spans="1:23" x14ac:dyDescent="0.25">
      <c r="A1101" s="1" t="s">
        <v>27</v>
      </c>
      <c r="B1101" s="1"/>
      <c r="C1101" s="1" t="s">
        <v>126</v>
      </c>
      <c r="D1101">
        <v>10017</v>
      </c>
      <c r="E1101" s="1"/>
      <c r="F1101" s="1" t="s">
        <v>267</v>
      </c>
      <c r="G1101">
        <v>2012</v>
      </c>
      <c r="H1101">
        <v>12190.41</v>
      </c>
      <c r="I1101">
        <v>12</v>
      </c>
      <c r="J1101" s="1"/>
      <c r="K1101">
        <v>0</v>
      </c>
      <c r="L1101">
        <v>602</v>
      </c>
      <c r="M1101">
        <v>20.246486999999998</v>
      </c>
      <c r="N1101">
        <v>2</v>
      </c>
      <c r="O1101" s="1" t="s">
        <v>569</v>
      </c>
      <c r="P1101">
        <v>12190.41</v>
      </c>
      <c r="Q1101">
        <v>4876.16</v>
      </c>
      <c r="R1101">
        <v>0</v>
      </c>
      <c r="S1101" s="1" t="s">
        <v>972</v>
      </c>
      <c r="T1101" s="1" t="s">
        <v>1261</v>
      </c>
      <c r="U1101">
        <v>12190.415999999999</v>
      </c>
      <c r="V1101">
        <v>0</v>
      </c>
      <c r="W1101">
        <v>90612</v>
      </c>
    </row>
    <row r="1102" spans="1:23" x14ac:dyDescent="0.25">
      <c r="A1102" s="1" t="s">
        <v>27</v>
      </c>
      <c r="B1102" s="1"/>
      <c r="C1102" s="1" t="s">
        <v>126</v>
      </c>
      <c r="D1102">
        <v>10017</v>
      </c>
      <c r="E1102" s="1"/>
      <c r="F1102" s="1" t="s">
        <v>267</v>
      </c>
      <c r="G1102">
        <v>2011</v>
      </c>
      <c r="H1102">
        <v>12807.59</v>
      </c>
      <c r="I1102">
        <v>12</v>
      </c>
      <c r="J1102" s="1"/>
      <c r="K1102">
        <v>0</v>
      </c>
      <c r="L1102">
        <v>602</v>
      </c>
      <c r="M1102">
        <v>21.271532000000001</v>
      </c>
      <c r="N1102">
        <v>2</v>
      </c>
      <c r="O1102" s="1" t="s">
        <v>569</v>
      </c>
      <c r="P1102">
        <v>12807.59</v>
      </c>
      <c r="Q1102">
        <v>6006.76</v>
      </c>
      <c r="R1102">
        <v>0</v>
      </c>
      <c r="S1102" s="1" t="s">
        <v>972</v>
      </c>
      <c r="T1102" s="1" t="s">
        <v>1261</v>
      </c>
      <c r="U1102">
        <v>12807.588</v>
      </c>
      <c r="V1102">
        <v>0</v>
      </c>
      <c r="W1102">
        <v>90612</v>
      </c>
    </row>
    <row r="1103" spans="1:23" x14ac:dyDescent="0.25">
      <c r="A1103" s="1" t="s">
        <v>27</v>
      </c>
      <c r="B1103" s="1"/>
      <c r="C1103" s="1" t="s">
        <v>126</v>
      </c>
      <c r="D1103">
        <v>10017</v>
      </c>
      <c r="E1103" s="1"/>
      <c r="F1103" s="1" t="s">
        <v>267</v>
      </c>
      <c r="G1103">
        <v>2010</v>
      </c>
      <c r="H1103">
        <v>10692.38</v>
      </c>
      <c r="I1103">
        <v>13</v>
      </c>
      <c r="J1103" s="1" t="s">
        <v>405</v>
      </c>
      <c r="K1103">
        <v>0</v>
      </c>
      <c r="L1103">
        <v>602</v>
      </c>
      <c r="M1103">
        <v>17.758478</v>
      </c>
      <c r="N1103">
        <v>2</v>
      </c>
      <c r="O1103" s="1" t="s">
        <v>569</v>
      </c>
      <c r="P1103">
        <v>10692.38</v>
      </c>
      <c r="Q1103">
        <v>5014.74</v>
      </c>
      <c r="R1103">
        <v>0</v>
      </c>
      <c r="S1103" s="1" t="s">
        <v>973</v>
      </c>
      <c r="T1103" s="1" t="s">
        <v>1261</v>
      </c>
      <c r="U1103">
        <v>10692.380279999999</v>
      </c>
      <c r="V1103">
        <v>0</v>
      </c>
      <c r="W1103">
        <v>76519</v>
      </c>
    </row>
    <row r="1104" spans="1:23" x14ac:dyDescent="0.25">
      <c r="A1104" s="1" t="s">
        <v>27</v>
      </c>
      <c r="B1104" s="1"/>
      <c r="C1104" s="1" t="s">
        <v>126</v>
      </c>
      <c r="D1104">
        <v>10017</v>
      </c>
      <c r="E1104" s="1"/>
      <c r="F1104" s="1" t="s">
        <v>267</v>
      </c>
      <c r="G1104">
        <v>2010</v>
      </c>
      <c r="H1104">
        <v>2481.4899999999998</v>
      </c>
      <c r="I1104">
        <v>2</v>
      </c>
      <c r="J1104" s="1"/>
      <c r="K1104">
        <v>0</v>
      </c>
      <c r="L1104">
        <v>602</v>
      </c>
      <c r="M1104">
        <v>4.121391</v>
      </c>
      <c r="N1104">
        <v>2</v>
      </c>
      <c r="O1104" s="1" t="s">
        <v>569</v>
      </c>
      <c r="P1104">
        <v>2481.4899999999998</v>
      </c>
      <c r="Q1104">
        <v>1163.82</v>
      </c>
      <c r="R1104">
        <v>0</v>
      </c>
      <c r="S1104" s="1" t="s">
        <v>972</v>
      </c>
      <c r="T1104" s="1" t="s">
        <v>1261</v>
      </c>
      <c r="U1104">
        <v>2481.4920000000002</v>
      </c>
      <c r="V1104">
        <v>0</v>
      </c>
      <c r="W1104">
        <v>90612</v>
      </c>
    </row>
    <row r="1105" spans="1:23" x14ac:dyDescent="0.25">
      <c r="A1105" s="1" t="s">
        <v>27</v>
      </c>
      <c r="B1105" s="1"/>
      <c r="C1105" s="1" t="s">
        <v>126</v>
      </c>
      <c r="D1105">
        <v>10017</v>
      </c>
      <c r="E1105" s="1"/>
      <c r="F1105" s="1" t="s">
        <v>267</v>
      </c>
      <c r="G1105">
        <v>2009</v>
      </c>
      <c r="H1105">
        <v>13756.1</v>
      </c>
      <c r="I1105">
        <v>11</v>
      </c>
      <c r="J1105" s="1" t="s">
        <v>405</v>
      </c>
      <c r="K1105">
        <v>0</v>
      </c>
      <c r="L1105">
        <v>602</v>
      </c>
      <c r="M1105">
        <v>22.846869000000002</v>
      </c>
      <c r="N1105">
        <v>2</v>
      </c>
      <c r="O1105" s="1" t="s">
        <v>569</v>
      </c>
      <c r="P1105">
        <v>13756.1</v>
      </c>
      <c r="Q1105">
        <v>6451.62</v>
      </c>
      <c r="R1105">
        <v>0</v>
      </c>
      <c r="S1105" s="1" t="s">
        <v>973</v>
      </c>
      <c r="T1105" s="1" t="s">
        <v>1261</v>
      </c>
      <c r="U1105">
        <v>13756.119710000001</v>
      </c>
      <c r="V1105">
        <v>0</v>
      </c>
      <c r="W1105">
        <v>76519</v>
      </c>
    </row>
    <row r="1106" spans="1:23" x14ac:dyDescent="0.25">
      <c r="A1106" s="1" t="s">
        <v>27</v>
      </c>
      <c r="B1106" s="1"/>
      <c r="C1106" s="1" t="s">
        <v>126</v>
      </c>
      <c r="D1106">
        <v>10017</v>
      </c>
      <c r="E1106" s="1"/>
      <c r="F1106" s="1" t="s">
        <v>267</v>
      </c>
      <c r="G1106">
        <v>2008</v>
      </c>
      <c r="H1106">
        <v>14550.12</v>
      </c>
      <c r="I1106">
        <v>9</v>
      </c>
      <c r="J1106" s="1" t="s">
        <v>405</v>
      </c>
      <c r="K1106">
        <v>0</v>
      </c>
      <c r="L1106">
        <v>602</v>
      </c>
      <c r="M1106">
        <v>24.165620000000001</v>
      </c>
      <c r="N1106">
        <v>2</v>
      </c>
      <c r="O1106" s="1" t="s">
        <v>569</v>
      </c>
      <c r="P1106">
        <v>14550.12</v>
      </c>
      <c r="Q1106">
        <v>6823.98</v>
      </c>
      <c r="R1106">
        <v>0</v>
      </c>
      <c r="S1106" s="1" t="s">
        <v>973</v>
      </c>
      <c r="T1106" s="1" t="s">
        <v>1261</v>
      </c>
      <c r="U1106">
        <v>14550.10606</v>
      </c>
      <c r="V1106">
        <v>0</v>
      </c>
      <c r="W1106">
        <v>76519</v>
      </c>
    </row>
    <row r="1107" spans="1:23" x14ac:dyDescent="0.25">
      <c r="A1107" s="1" t="s">
        <v>27</v>
      </c>
      <c r="B1107" s="1"/>
      <c r="C1107" s="1" t="s">
        <v>127</v>
      </c>
      <c r="D1107">
        <v>10164</v>
      </c>
      <c r="E1107" s="1"/>
      <c r="F1107" s="1" t="s">
        <v>127</v>
      </c>
      <c r="G1107">
        <v>2015</v>
      </c>
      <c r="H1107">
        <v>15949.43</v>
      </c>
      <c r="I1107">
        <v>5</v>
      </c>
      <c r="J1107" s="1" t="s">
        <v>517</v>
      </c>
      <c r="K1107">
        <v>0</v>
      </c>
      <c r="L1107">
        <v>219</v>
      </c>
      <c r="M1107">
        <v>72.795207000000005</v>
      </c>
      <c r="N1107">
        <v>2</v>
      </c>
      <c r="O1107" s="1" t="s">
        <v>569</v>
      </c>
      <c r="P1107">
        <v>15949.43</v>
      </c>
      <c r="Q1107">
        <v>4784.83</v>
      </c>
      <c r="R1107">
        <v>0</v>
      </c>
      <c r="S1107" s="1" t="s">
        <v>974</v>
      </c>
      <c r="T1107" s="1" t="s">
        <v>1262</v>
      </c>
      <c r="U1107">
        <v>15949.433000000001</v>
      </c>
      <c r="V1107">
        <v>0</v>
      </c>
      <c r="W1107">
        <v>77153</v>
      </c>
    </row>
    <row r="1108" spans="1:23" x14ac:dyDescent="0.25">
      <c r="A1108" s="1" t="s">
        <v>27</v>
      </c>
      <c r="B1108" s="1"/>
      <c r="C1108" s="1" t="s">
        <v>127</v>
      </c>
      <c r="D1108">
        <v>10164</v>
      </c>
      <c r="E1108" s="1"/>
      <c r="F1108" s="1" t="s">
        <v>127</v>
      </c>
      <c r="G1108">
        <v>2014</v>
      </c>
      <c r="H1108">
        <v>29415.41</v>
      </c>
      <c r="I1108">
        <v>11</v>
      </c>
      <c r="J1108" s="1" t="s">
        <v>517</v>
      </c>
      <c r="K1108">
        <v>0</v>
      </c>
      <c r="L1108">
        <v>219</v>
      </c>
      <c r="M1108">
        <v>134.25563600000001</v>
      </c>
      <c r="N1108">
        <v>2</v>
      </c>
      <c r="O1108" s="1" t="s">
        <v>569</v>
      </c>
      <c r="P1108">
        <v>29415.41</v>
      </c>
      <c r="Q1108">
        <v>8824.6200000000008</v>
      </c>
      <c r="R1108">
        <v>0</v>
      </c>
      <c r="S1108" s="1" t="s">
        <v>974</v>
      </c>
      <c r="T1108" s="1" t="s">
        <v>1262</v>
      </c>
      <c r="U1108">
        <v>29415.413</v>
      </c>
      <c r="V1108">
        <v>0</v>
      </c>
      <c r="W1108">
        <v>77153</v>
      </c>
    </row>
    <row r="1109" spans="1:23" x14ac:dyDescent="0.25">
      <c r="A1109" s="1" t="s">
        <v>27</v>
      </c>
      <c r="B1109" s="1"/>
      <c r="C1109" s="1" t="s">
        <v>127</v>
      </c>
      <c r="D1109">
        <v>10164</v>
      </c>
      <c r="E1109" s="1"/>
      <c r="F1109" s="1" t="s">
        <v>127</v>
      </c>
      <c r="G1109">
        <v>2013</v>
      </c>
      <c r="H1109">
        <v>28610.93</v>
      </c>
      <c r="I1109">
        <v>12</v>
      </c>
      <c r="J1109" s="1" t="s">
        <v>517</v>
      </c>
      <c r="K1109">
        <v>0</v>
      </c>
      <c r="L1109">
        <v>219</v>
      </c>
      <c r="M1109">
        <v>130.583888</v>
      </c>
      <c r="N1109">
        <v>2</v>
      </c>
      <c r="O1109" s="1" t="s">
        <v>569</v>
      </c>
      <c r="P1109">
        <v>28610.93</v>
      </c>
      <c r="Q1109">
        <v>8583.2900000000009</v>
      </c>
      <c r="R1109">
        <v>0</v>
      </c>
      <c r="S1109" s="1" t="s">
        <v>974</v>
      </c>
      <c r="T1109" s="1" t="s">
        <v>1262</v>
      </c>
      <c r="U1109">
        <v>28610.914700000001</v>
      </c>
      <c r="V1109">
        <v>0</v>
      </c>
      <c r="W1109">
        <v>77153</v>
      </c>
    </row>
    <row r="1110" spans="1:23" x14ac:dyDescent="0.25">
      <c r="A1110" s="1" t="s">
        <v>27</v>
      </c>
      <c r="B1110" s="1"/>
      <c r="C1110" s="1" t="s">
        <v>127</v>
      </c>
      <c r="D1110">
        <v>10164</v>
      </c>
      <c r="E1110" s="1"/>
      <c r="F1110" s="1" t="s">
        <v>127</v>
      </c>
      <c r="G1110">
        <v>2012</v>
      </c>
      <c r="H1110">
        <v>27144.05</v>
      </c>
      <c r="I1110">
        <v>12</v>
      </c>
      <c r="J1110" s="1" t="s">
        <v>517</v>
      </c>
      <c r="K1110">
        <v>0</v>
      </c>
      <c r="L1110">
        <v>219</v>
      </c>
      <c r="M1110">
        <v>123.888863</v>
      </c>
      <c r="N1110">
        <v>2</v>
      </c>
      <c r="O1110" s="1" t="s">
        <v>569</v>
      </c>
      <c r="P1110">
        <v>27144.05</v>
      </c>
      <c r="Q1110">
        <v>10857.63</v>
      </c>
      <c r="R1110">
        <v>0</v>
      </c>
      <c r="S1110" s="1" t="s">
        <v>974</v>
      </c>
      <c r="T1110" s="1" t="s">
        <v>1262</v>
      </c>
      <c r="U1110">
        <v>27144.049200000001</v>
      </c>
      <c r="V1110">
        <v>0</v>
      </c>
      <c r="W1110">
        <v>77153</v>
      </c>
    </row>
    <row r="1111" spans="1:23" x14ac:dyDescent="0.25">
      <c r="A1111" s="1" t="s">
        <v>27</v>
      </c>
      <c r="B1111" s="1"/>
      <c r="C1111" s="1" t="s">
        <v>127</v>
      </c>
      <c r="D1111">
        <v>10164</v>
      </c>
      <c r="E1111" s="1"/>
      <c r="F1111" s="1" t="s">
        <v>127</v>
      </c>
      <c r="G1111">
        <v>2011</v>
      </c>
      <c r="H1111">
        <v>29574.99</v>
      </c>
      <c r="I1111">
        <v>12</v>
      </c>
      <c r="J1111" s="1" t="s">
        <v>517</v>
      </c>
      <c r="K1111">
        <v>0</v>
      </c>
      <c r="L1111">
        <v>219</v>
      </c>
      <c r="M1111">
        <v>134.98397900000001</v>
      </c>
      <c r="N1111">
        <v>2</v>
      </c>
      <c r="O1111" s="1" t="s">
        <v>569</v>
      </c>
      <c r="P1111">
        <v>29574.99</v>
      </c>
      <c r="Q1111">
        <v>13870.66</v>
      </c>
      <c r="R1111">
        <v>0</v>
      </c>
      <c r="S1111" s="1" t="s">
        <v>974</v>
      </c>
      <c r="T1111" s="1" t="s">
        <v>1262</v>
      </c>
      <c r="U1111">
        <v>29574.984</v>
      </c>
      <c r="V1111">
        <v>0</v>
      </c>
      <c r="W1111">
        <v>77153</v>
      </c>
    </row>
    <row r="1112" spans="1:23" x14ac:dyDescent="0.25">
      <c r="A1112" s="1" t="s">
        <v>27</v>
      </c>
      <c r="B1112" s="1"/>
      <c r="C1112" s="1" t="s">
        <v>127</v>
      </c>
      <c r="D1112">
        <v>10164</v>
      </c>
      <c r="E1112" s="1"/>
      <c r="F1112" s="1" t="s">
        <v>127</v>
      </c>
      <c r="G1112">
        <v>2010</v>
      </c>
      <c r="H1112">
        <v>38538.370000000003</v>
      </c>
      <c r="I1112">
        <v>12</v>
      </c>
      <c r="J1112" s="1" t="s">
        <v>517</v>
      </c>
      <c r="K1112">
        <v>0</v>
      </c>
      <c r="L1112">
        <v>219</v>
      </c>
      <c r="M1112">
        <v>175.89397500000001</v>
      </c>
      <c r="N1112">
        <v>2</v>
      </c>
      <c r="O1112" s="1" t="s">
        <v>569</v>
      </c>
      <c r="P1112">
        <v>38538.370000000003</v>
      </c>
      <c r="Q1112">
        <v>18074.52</v>
      </c>
      <c r="R1112">
        <v>0</v>
      </c>
      <c r="S1112" s="1" t="s">
        <v>974</v>
      </c>
      <c r="T1112" s="1" t="s">
        <v>1262</v>
      </c>
      <c r="U1112">
        <v>38538.3874</v>
      </c>
      <c r="V1112">
        <v>0</v>
      </c>
      <c r="W1112">
        <v>77153</v>
      </c>
    </row>
    <row r="1113" spans="1:23" x14ac:dyDescent="0.25">
      <c r="A1113" s="1" t="s">
        <v>27</v>
      </c>
      <c r="B1113" s="1"/>
      <c r="C1113" s="1" t="s">
        <v>127</v>
      </c>
      <c r="D1113">
        <v>10164</v>
      </c>
      <c r="E1113" s="1"/>
      <c r="F1113" s="1" t="s">
        <v>127</v>
      </c>
      <c r="G1113">
        <v>2009</v>
      </c>
      <c r="H1113">
        <v>34533.25</v>
      </c>
      <c r="I1113">
        <v>12</v>
      </c>
      <c r="J1113" s="1" t="s">
        <v>517</v>
      </c>
      <c r="K1113">
        <v>0</v>
      </c>
      <c r="L1113">
        <v>219</v>
      </c>
      <c r="M1113">
        <v>157.614103</v>
      </c>
      <c r="N1113">
        <v>2</v>
      </c>
      <c r="O1113" s="1" t="s">
        <v>569</v>
      </c>
      <c r="P1113">
        <v>34533.25</v>
      </c>
      <c r="Q1113">
        <v>16196.09</v>
      </c>
      <c r="R1113">
        <v>0</v>
      </c>
      <c r="S1113" s="1" t="s">
        <v>974</v>
      </c>
      <c r="T1113" s="1" t="s">
        <v>1262</v>
      </c>
      <c r="U1113">
        <v>34533.248890000003</v>
      </c>
      <c r="V1113">
        <v>0</v>
      </c>
      <c r="W1113">
        <v>77153</v>
      </c>
    </row>
    <row r="1114" spans="1:23" x14ac:dyDescent="0.25">
      <c r="A1114" s="1" t="s">
        <v>27</v>
      </c>
      <c r="B1114" s="1"/>
      <c r="C1114" s="1" t="s">
        <v>127</v>
      </c>
      <c r="D1114">
        <v>10164</v>
      </c>
      <c r="E1114" s="1"/>
      <c r="F1114" s="1" t="s">
        <v>127</v>
      </c>
      <c r="G1114">
        <v>2008</v>
      </c>
      <c r="H1114">
        <v>30841.75</v>
      </c>
      <c r="I1114">
        <v>4</v>
      </c>
      <c r="J1114" s="1" t="s">
        <v>517</v>
      </c>
      <c r="K1114">
        <v>0</v>
      </c>
      <c r="L1114">
        <v>219</v>
      </c>
      <c r="M1114">
        <v>140.76563200000001</v>
      </c>
      <c r="N1114">
        <v>2</v>
      </c>
      <c r="O1114" s="1" t="s">
        <v>569</v>
      </c>
      <c r="P1114">
        <v>30841.75</v>
      </c>
      <c r="Q1114">
        <v>14464.78</v>
      </c>
      <c r="R1114">
        <v>0</v>
      </c>
      <c r="S1114" s="1" t="s">
        <v>974</v>
      </c>
      <c r="T1114" s="1" t="s">
        <v>1262</v>
      </c>
      <c r="U1114">
        <v>30841.749</v>
      </c>
      <c r="V1114">
        <v>0</v>
      </c>
      <c r="W1114">
        <v>77153</v>
      </c>
    </row>
    <row r="1115" spans="1:23" x14ac:dyDescent="0.25">
      <c r="A1115" s="1" t="s">
        <v>27</v>
      </c>
      <c r="B1115" s="1"/>
      <c r="C1115" s="1" t="s">
        <v>128</v>
      </c>
      <c r="D1115">
        <v>10169</v>
      </c>
      <c r="E1115" s="1"/>
      <c r="F1115" s="1" t="s">
        <v>268</v>
      </c>
      <c r="G1115">
        <v>2015</v>
      </c>
      <c r="H1115">
        <v>5863.9</v>
      </c>
      <c r="I1115">
        <v>5</v>
      </c>
      <c r="J1115" s="1" t="s">
        <v>403</v>
      </c>
      <c r="K1115">
        <v>0</v>
      </c>
      <c r="L1115">
        <v>721</v>
      </c>
      <c r="M1115">
        <v>8.1318809999999999</v>
      </c>
      <c r="N1115">
        <v>2</v>
      </c>
      <c r="O1115" s="1" t="s">
        <v>569</v>
      </c>
      <c r="P1115">
        <v>5863.9</v>
      </c>
      <c r="Q1115">
        <v>1759.17</v>
      </c>
      <c r="R1115">
        <v>0</v>
      </c>
      <c r="S1115" s="1" t="s">
        <v>975</v>
      </c>
      <c r="T1115" s="1" t="s">
        <v>1263</v>
      </c>
      <c r="U1115">
        <v>5863.8959999999997</v>
      </c>
      <c r="V1115">
        <v>0</v>
      </c>
      <c r="W1115">
        <v>77180</v>
      </c>
    </row>
    <row r="1116" spans="1:23" x14ac:dyDescent="0.25">
      <c r="A1116" s="1" t="s">
        <v>27</v>
      </c>
      <c r="B1116" s="1"/>
      <c r="C1116" s="1" t="s">
        <v>128</v>
      </c>
      <c r="D1116">
        <v>10169</v>
      </c>
      <c r="E1116" s="1"/>
      <c r="F1116" s="1" t="s">
        <v>268</v>
      </c>
      <c r="G1116">
        <v>2014</v>
      </c>
      <c r="H1116">
        <v>13310.79</v>
      </c>
      <c r="I1116">
        <v>12</v>
      </c>
      <c r="J1116" s="1" t="s">
        <v>403</v>
      </c>
      <c r="K1116">
        <v>0</v>
      </c>
      <c r="L1116">
        <v>721</v>
      </c>
      <c r="M1116">
        <v>18.459007</v>
      </c>
      <c r="N1116">
        <v>2</v>
      </c>
      <c r="O1116" s="1" t="s">
        <v>569</v>
      </c>
      <c r="P1116">
        <v>13310.79</v>
      </c>
      <c r="Q1116">
        <v>3993.25</v>
      </c>
      <c r="R1116">
        <v>0</v>
      </c>
      <c r="S1116" s="1" t="s">
        <v>975</v>
      </c>
      <c r="T1116" s="1" t="s">
        <v>1263</v>
      </c>
      <c r="U1116">
        <v>13310.796</v>
      </c>
      <c r="V1116">
        <v>0</v>
      </c>
      <c r="W1116">
        <v>77180</v>
      </c>
    </row>
    <row r="1117" spans="1:23" x14ac:dyDescent="0.25">
      <c r="A1117" s="1" t="s">
        <v>27</v>
      </c>
      <c r="B1117" s="1"/>
      <c r="C1117" s="1" t="s">
        <v>128</v>
      </c>
      <c r="D1117">
        <v>10169</v>
      </c>
      <c r="E1117" s="1"/>
      <c r="F1117" s="1" t="s">
        <v>268</v>
      </c>
      <c r="G1117">
        <v>2013</v>
      </c>
      <c r="H1117">
        <v>11531.39</v>
      </c>
      <c r="I1117">
        <v>12</v>
      </c>
      <c r="J1117" s="1" t="s">
        <v>403</v>
      </c>
      <c r="K1117">
        <v>0</v>
      </c>
      <c r="L1117">
        <v>721</v>
      </c>
      <c r="M1117">
        <v>15.991388000000001</v>
      </c>
      <c r="N1117">
        <v>2</v>
      </c>
      <c r="O1117" s="1" t="s">
        <v>569</v>
      </c>
      <c r="P1117">
        <v>11531.39</v>
      </c>
      <c r="Q1117">
        <v>3459.41</v>
      </c>
      <c r="R1117">
        <v>0</v>
      </c>
      <c r="S1117" s="1" t="s">
        <v>975</v>
      </c>
      <c r="T1117" s="1" t="s">
        <v>1263</v>
      </c>
      <c r="U1117">
        <v>11531.388000000001</v>
      </c>
      <c r="V1117">
        <v>0</v>
      </c>
      <c r="W1117">
        <v>77180</v>
      </c>
    </row>
    <row r="1118" spans="1:23" x14ac:dyDescent="0.25">
      <c r="A1118" s="1" t="s">
        <v>27</v>
      </c>
      <c r="B1118" s="1"/>
      <c r="C1118" s="1" t="s">
        <v>128</v>
      </c>
      <c r="D1118">
        <v>10169</v>
      </c>
      <c r="E1118" s="1"/>
      <c r="F1118" s="1" t="s">
        <v>268</v>
      </c>
      <c r="G1118">
        <v>2012</v>
      </c>
      <c r="H1118">
        <v>12713.38</v>
      </c>
      <c r="I1118">
        <v>12</v>
      </c>
      <c r="J1118" s="1" t="s">
        <v>403</v>
      </c>
      <c r="K1118">
        <v>0</v>
      </c>
      <c r="L1118">
        <v>721</v>
      </c>
      <c r="M1118">
        <v>17.630535999999999</v>
      </c>
      <c r="N1118">
        <v>2</v>
      </c>
      <c r="O1118" s="1" t="s">
        <v>569</v>
      </c>
      <c r="P1118">
        <v>12713.38</v>
      </c>
      <c r="Q1118">
        <v>5085.3599999999997</v>
      </c>
      <c r="R1118">
        <v>0</v>
      </c>
      <c r="S1118" s="1" t="s">
        <v>975</v>
      </c>
      <c r="T1118" s="1" t="s">
        <v>1263</v>
      </c>
      <c r="U1118">
        <v>12713.394</v>
      </c>
      <c r="V1118">
        <v>0</v>
      </c>
      <c r="W1118">
        <v>77180</v>
      </c>
    </row>
    <row r="1119" spans="1:23" x14ac:dyDescent="0.25">
      <c r="A1119" s="1" t="s">
        <v>27</v>
      </c>
      <c r="B1119" s="1"/>
      <c r="C1119" s="1" t="s">
        <v>128</v>
      </c>
      <c r="D1119">
        <v>10169</v>
      </c>
      <c r="E1119" s="1"/>
      <c r="F1119" s="1" t="s">
        <v>268</v>
      </c>
      <c r="G1119">
        <v>2011</v>
      </c>
      <c r="H1119">
        <v>14083.03</v>
      </c>
      <c r="I1119">
        <v>12</v>
      </c>
      <c r="J1119" s="1" t="s">
        <v>403</v>
      </c>
      <c r="K1119">
        <v>0</v>
      </c>
      <c r="L1119">
        <v>721</v>
      </c>
      <c r="M1119">
        <v>19.529926</v>
      </c>
      <c r="N1119">
        <v>2</v>
      </c>
      <c r="O1119" s="1" t="s">
        <v>569</v>
      </c>
      <c r="P1119">
        <v>14083.03</v>
      </c>
      <c r="Q1119">
        <v>6604.93</v>
      </c>
      <c r="R1119">
        <v>0</v>
      </c>
      <c r="S1119" s="1" t="s">
        <v>975</v>
      </c>
      <c r="T1119" s="1" t="s">
        <v>1263</v>
      </c>
      <c r="U1119">
        <v>14083.018</v>
      </c>
      <c r="V1119">
        <v>0</v>
      </c>
      <c r="W1119">
        <v>77180</v>
      </c>
    </row>
    <row r="1120" spans="1:23" x14ac:dyDescent="0.25">
      <c r="A1120" s="1" t="s">
        <v>27</v>
      </c>
      <c r="B1120" s="1"/>
      <c r="C1120" s="1" t="s">
        <v>128</v>
      </c>
      <c r="D1120">
        <v>10169</v>
      </c>
      <c r="E1120" s="1"/>
      <c r="F1120" s="1" t="s">
        <v>268</v>
      </c>
      <c r="G1120">
        <v>2010</v>
      </c>
      <c r="H1120">
        <v>14720.11</v>
      </c>
      <c r="I1120">
        <v>12</v>
      </c>
      <c r="J1120" s="1" t="s">
        <v>403</v>
      </c>
      <c r="K1120">
        <v>0</v>
      </c>
      <c r="L1120">
        <v>721</v>
      </c>
      <c r="M1120">
        <v>20.413409999999999</v>
      </c>
      <c r="N1120">
        <v>2</v>
      </c>
      <c r="O1120" s="1" t="s">
        <v>569</v>
      </c>
      <c r="P1120">
        <v>14720.11</v>
      </c>
      <c r="Q1120">
        <v>6903.75</v>
      </c>
      <c r="R1120">
        <v>0</v>
      </c>
      <c r="S1120" s="1" t="s">
        <v>975</v>
      </c>
      <c r="T1120" s="1" t="s">
        <v>1263</v>
      </c>
      <c r="U1120">
        <v>14720.108920000001</v>
      </c>
      <c r="V1120">
        <v>0</v>
      </c>
      <c r="W1120">
        <v>77180</v>
      </c>
    </row>
    <row r="1121" spans="1:23" x14ac:dyDescent="0.25">
      <c r="A1121" s="1" t="s">
        <v>27</v>
      </c>
      <c r="B1121" s="1"/>
      <c r="C1121" s="1" t="s">
        <v>128</v>
      </c>
      <c r="D1121">
        <v>10169</v>
      </c>
      <c r="E1121" s="1"/>
      <c r="F1121" s="1" t="s">
        <v>268</v>
      </c>
      <c r="G1121">
        <v>2009</v>
      </c>
      <c r="H1121">
        <v>14437.23</v>
      </c>
      <c r="I1121">
        <v>4</v>
      </c>
      <c r="J1121" s="1" t="s">
        <v>403</v>
      </c>
      <c r="K1121">
        <v>0</v>
      </c>
      <c r="L1121">
        <v>721</v>
      </c>
      <c r="M1121">
        <v>20.02112</v>
      </c>
      <c r="N1121">
        <v>2</v>
      </c>
      <c r="O1121" s="1" t="s">
        <v>569</v>
      </c>
      <c r="P1121">
        <v>14437.23</v>
      </c>
      <c r="Q1121">
        <v>6771.08</v>
      </c>
      <c r="R1121">
        <v>0</v>
      </c>
      <c r="S1121" s="1" t="s">
        <v>975</v>
      </c>
      <c r="T1121" s="1" t="s">
        <v>1263</v>
      </c>
      <c r="U1121">
        <v>14437.25361</v>
      </c>
      <c r="V1121">
        <v>0</v>
      </c>
      <c r="W1121">
        <v>77180</v>
      </c>
    </row>
    <row r="1122" spans="1:23" x14ac:dyDescent="0.25">
      <c r="A1122" s="1" t="s">
        <v>27</v>
      </c>
      <c r="B1122" s="1"/>
      <c r="C1122" s="1" t="s">
        <v>128</v>
      </c>
      <c r="D1122">
        <v>10169</v>
      </c>
      <c r="E1122" s="1"/>
      <c r="F1122" s="1" t="s">
        <v>268</v>
      </c>
      <c r="G1122">
        <v>2008</v>
      </c>
      <c r="H1122">
        <v>12727.53</v>
      </c>
      <c r="I1122">
        <v>6</v>
      </c>
      <c r="J1122" s="1" t="s">
        <v>403</v>
      </c>
      <c r="K1122">
        <v>0</v>
      </c>
      <c r="L1122">
        <v>721</v>
      </c>
      <c r="M1122">
        <v>17.650158999999999</v>
      </c>
      <c r="N1122">
        <v>2</v>
      </c>
      <c r="O1122" s="1" t="s">
        <v>569</v>
      </c>
      <c r="P1122">
        <v>12727.53</v>
      </c>
      <c r="Q1122">
        <v>5969.21</v>
      </c>
      <c r="R1122">
        <v>0</v>
      </c>
      <c r="S1122" s="1" t="s">
        <v>975</v>
      </c>
      <c r="T1122" s="1" t="s">
        <v>1263</v>
      </c>
      <c r="U1122">
        <v>12727.54578</v>
      </c>
      <c r="V1122">
        <v>0</v>
      </c>
      <c r="W1122">
        <v>77180</v>
      </c>
    </row>
    <row r="1123" spans="1:23" x14ac:dyDescent="0.25">
      <c r="A1123" s="1" t="s">
        <v>27</v>
      </c>
      <c r="B1123" s="1"/>
      <c r="C1123" s="1" t="s">
        <v>233</v>
      </c>
      <c r="D1123">
        <v>5949</v>
      </c>
      <c r="E1123" s="1"/>
      <c r="F1123" s="1" t="s">
        <v>374</v>
      </c>
      <c r="G1123">
        <v>2015</v>
      </c>
      <c r="H1123">
        <v>15359.19</v>
      </c>
      <c r="I1123">
        <v>5</v>
      </c>
      <c r="J1123" s="1"/>
      <c r="K1123">
        <v>0</v>
      </c>
      <c r="L1123">
        <v>687</v>
      </c>
      <c r="M1123">
        <v>22.353645</v>
      </c>
      <c r="N1123">
        <v>2</v>
      </c>
      <c r="O1123" s="1" t="s">
        <v>569</v>
      </c>
      <c r="P1123">
        <v>15359.19</v>
      </c>
      <c r="Q1123">
        <v>4607.75</v>
      </c>
      <c r="R1123">
        <v>0</v>
      </c>
      <c r="S1123" s="1" t="s">
        <v>976</v>
      </c>
      <c r="T1123" s="1" t="s">
        <v>1264</v>
      </c>
      <c r="U1123">
        <v>15359.183000000001</v>
      </c>
      <c r="V1123">
        <v>0</v>
      </c>
      <c r="W1123">
        <v>91922</v>
      </c>
    </row>
    <row r="1124" spans="1:23" x14ac:dyDescent="0.25">
      <c r="A1124" s="1" t="s">
        <v>27</v>
      </c>
      <c r="B1124" s="1"/>
      <c r="C1124" s="1" t="s">
        <v>233</v>
      </c>
      <c r="D1124">
        <v>5949</v>
      </c>
      <c r="E1124" s="1"/>
      <c r="F1124" s="1" t="s">
        <v>374</v>
      </c>
      <c r="G1124">
        <v>2014</v>
      </c>
      <c r="H1124">
        <v>31587.33</v>
      </c>
      <c r="I1124">
        <v>12</v>
      </c>
      <c r="J1124" s="1"/>
      <c r="K1124">
        <v>0</v>
      </c>
      <c r="L1124">
        <v>687</v>
      </c>
      <c r="M1124">
        <v>45.971953999999997</v>
      </c>
      <c r="N1124">
        <v>2</v>
      </c>
      <c r="O1124" s="1" t="s">
        <v>569</v>
      </c>
      <c r="P1124">
        <v>31587.33</v>
      </c>
      <c r="Q1124">
        <v>9476.2000000000007</v>
      </c>
      <c r="R1124">
        <v>0</v>
      </c>
      <c r="S1124" s="1" t="s">
        <v>976</v>
      </c>
      <c r="T1124" s="1" t="s">
        <v>1264</v>
      </c>
      <c r="U1124">
        <v>31587.337</v>
      </c>
      <c r="V1124">
        <v>0</v>
      </c>
      <c r="W1124">
        <v>91922</v>
      </c>
    </row>
    <row r="1125" spans="1:23" x14ac:dyDescent="0.25">
      <c r="A1125" s="1" t="s">
        <v>27</v>
      </c>
      <c r="B1125" s="1"/>
      <c r="C1125" s="1" t="s">
        <v>233</v>
      </c>
      <c r="D1125">
        <v>5949</v>
      </c>
      <c r="E1125" s="1"/>
      <c r="F1125" s="1" t="s">
        <v>374</v>
      </c>
      <c r="G1125">
        <v>2013</v>
      </c>
      <c r="H1125">
        <v>32002.53</v>
      </c>
      <c r="I1125">
        <v>12</v>
      </c>
      <c r="J1125" s="1"/>
      <c r="K1125">
        <v>0</v>
      </c>
      <c r="L1125">
        <v>687</v>
      </c>
      <c r="M1125">
        <v>46.576233000000002</v>
      </c>
      <c r="N1125">
        <v>2</v>
      </c>
      <c r="O1125" s="1" t="s">
        <v>569</v>
      </c>
      <c r="P1125">
        <v>32002.53</v>
      </c>
      <c r="Q1125">
        <v>9600.74</v>
      </c>
      <c r="R1125">
        <v>0</v>
      </c>
      <c r="S1125" s="1" t="s">
        <v>976</v>
      </c>
      <c r="T1125" s="1" t="s">
        <v>1264</v>
      </c>
      <c r="U1125">
        <v>32002.527999999998</v>
      </c>
      <c r="V1125">
        <v>0</v>
      </c>
      <c r="W1125">
        <v>91922</v>
      </c>
    </row>
    <row r="1126" spans="1:23" x14ac:dyDescent="0.25">
      <c r="A1126" s="1" t="s">
        <v>27</v>
      </c>
      <c r="B1126" s="1"/>
      <c r="C1126" s="1" t="s">
        <v>233</v>
      </c>
      <c r="D1126">
        <v>5949</v>
      </c>
      <c r="E1126" s="1"/>
      <c r="F1126" s="1" t="s">
        <v>374</v>
      </c>
      <c r="G1126">
        <v>2012</v>
      </c>
      <c r="H1126">
        <v>7065.66</v>
      </c>
      <c r="I1126">
        <v>3</v>
      </c>
      <c r="J1126" s="1" t="s">
        <v>459</v>
      </c>
      <c r="K1126">
        <v>0</v>
      </c>
      <c r="L1126">
        <v>687</v>
      </c>
      <c r="M1126">
        <v>10.283306</v>
      </c>
      <c r="N1126">
        <v>2</v>
      </c>
      <c r="O1126" s="1" t="s">
        <v>569</v>
      </c>
      <c r="P1126">
        <v>7065.66</v>
      </c>
      <c r="Q1126">
        <v>2826.27</v>
      </c>
      <c r="R1126">
        <v>0</v>
      </c>
      <c r="S1126" s="1" t="s">
        <v>976</v>
      </c>
      <c r="T1126" s="1" t="s">
        <v>1264</v>
      </c>
      <c r="U1126">
        <v>7065.6637199999996</v>
      </c>
      <c r="V1126">
        <v>0</v>
      </c>
      <c r="W1126">
        <v>77230</v>
      </c>
    </row>
    <row r="1127" spans="1:23" x14ac:dyDescent="0.25">
      <c r="A1127" s="1" t="s">
        <v>27</v>
      </c>
      <c r="B1127" s="1"/>
      <c r="C1127" s="1" t="s">
        <v>233</v>
      </c>
      <c r="D1127">
        <v>5949</v>
      </c>
      <c r="E1127" s="1"/>
      <c r="F1127" s="1" t="s">
        <v>374</v>
      </c>
      <c r="G1127">
        <v>2012</v>
      </c>
      <c r="H1127">
        <v>25335.62</v>
      </c>
      <c r="I1127">
        <v>10</v>
      </c>
      <c r="J1127" s="1"/>
      <c r="K1127">
        <v>0</v>
      </c>
      <c r="L1127">
        <v>687</v>
      </c>
      <c r="M1127">
        <v>36.873263999999999</v>
      </c>
      <c r="N1127">
        <v>2</v>
      </c>
      <c r="O1127" s="1" t="s">
        <v>569</v>
      </c>
      <c r="P1127">
        <v>25335.62</v>
      </c>
      <c r="Q1127">
        <v>10134.25</v>
      </c>
      <c r="R1127">
        <v>0</v>
      </c>
      <c r="S1127" s="1" t="s">
        <v>976</v>
      </c>
      <c r="T1127" s="1" t="s">
        <v>1264</v>
      </c>
      <c r="U1127">
        <v>25335.62</v>
      </c>
      <c r="V1127">
        <v>0</v>
      </c>
      <c r="W1127">
        <v>91922</v>
      </c>
    </row>
    <row r="1128" spans="1:23" x14ac:dyDescent="0.25">
      <c r="A1128" s="1" t="s">
        <v>27</v>
      </c>
      <c r="B1128" s="1"/>
      <c r="C1128" s="1" t="s">
        <v>233</v>
      </c>
      <c r="D1128">
        <v>5949</v>
      </c>
      <c r="E1128" s="1"/>
      <c r="F1128" s="1" t="s">
        <v>374</v>
      </c>
      <c r="G1128">
        <v>2011</v>
      </c>
      <c r="H1128">
        <v>33510.11</v>
      </c>
      <c r="I1128">
        <v>5</v>
      </c>
      <c r="J1128" s="1" t="s">
        <v>459</v>
      </c>
      <c r="K1128">
        <v>0</v>
      </c>
      <c r="L1128">
        <v>687</v>
      </c>
      <c r="M1128">
        <v>48.770353</v>
      </c>
      <c r="N1128">
        <v>2</v>
      </c>
      <c r="O1128" s="1" t="s">
        <v>569</v>
      </c>
      <c r="P1128">
        <v>33510.11</v>
      </c>
      <c r="Q1128">
        <v>15716.27</v>
      </c>
      <c r="R1128">
        <v>0</v>
      </c>
      <c r="S1128" s="1" t="s">
        <v>976</v>
      </c>
      <c r="T1128" s="1" t="s">
        <v>1264</v>
      </c>
      <c r="U1128">
        <v>33510.125749999999</v>
      </c>
      <c r="V1128">
        <v>0</v>
      </c>
      <c r="W1128">
        <v>77230</v>
      </c>
    </row>
    <row r="1129" spans="1:23" x14ac:dyDescent="0.25">
      <c r="A1129" s="1" t="s">
        <v>27</v>
      </c>
      <c r="B1129" s="1"/>
      <c r="C1129" s="1" t="s">
        <v>233</v>
      </c>
      <c r="D1129">
        <v>5949</v>
      </c>
      <c r="E1129" s="1"/>
      <c r="F1129" s="1" t="s">
        <v>374</v>
      </c>
      <c r="G1129">
        <v>2010</v>
      </c>
      <c r="H1129">
        <v>36074.47</v>
      </c>
      <c r="I1129">
        <v>7</v>
      </c>
      <c r="J1129" s="1" t="s">
        <v>459</v>
      </c>
      <c r="K1129">
        <v>0</v>
      </c>
      <c r="L1129">
        <v>687</v>
      </c>
      <c r="M1129">
        <v>52.502502999999997</v>
      </c>
      <c r="N1129">
        <v>2</v>
      </c>
      <c r="O1129" s="1" t="s">
        <v>569</v>
      </c>
      <c r="P1129">
        <v>36074.47</v>
      </c>
      <c r="Q1129">
        <v>16918.93</v>
      </c>
      <c r="R1129">
        <v>0</v>
      </c>
      <c r="S1129" s="1" t="s">
        <v>976</v>
      </c>
      <c r="T1129" s="1" t="s">
        <v>1264</v>
      </c>
      <c r="U1129">
        <v>36074.462639999998</v>
      </c>
      <c r="V1129">
        <v>0</v>
      </c>
      <c r="W1129">
        <v>77230</v>
      </c>
    </row>
    <row r="1130" spans="1:23" x14ac:dyDescent="0.25">
      <c r="A1130" s="1" t="s">
        <v>27</v>
      </c>
      <c r="B1130" s="1"/>
      <c r="C1130" s="1" t="s">
        <v>233</v>
      </c>
      <c r="D1130">
        <v>5949</v>
      </c>
      <c r="E1130" s="1"/>
      <c r="F1130" s="1" t="s">
        <v>374</v>
      </c>
      <c r="G1130">
        <v>2009</v>
      </c>
      <c r="H1130">
        <v>36044.35</v>
      </c>
      <c r="I1130">
        <v>2</v>
      </c>
      <c r="J1130" s="1" t="s">
        <v>459</v>
      </c>
      <c r="K1130">
        <v>0</v>
      </c>
      <c r="L1130">
        <v>687</v>
      </c>
      <c r="M1130">
        <v>52.458666000000001</v>
      </c>
      <c r="N1130">
        <v>2</v>
      </c>
      <c r="O1130" s="1" t="s">
        <v>569</v>
      </c>
      <c r="P1130">
        <v>36044.35</v>
      </c>
      <c r="Q1130">
        <v>16904.82</v>
      </c>
      <c r="R1130">
        <v>0</v>
      </c>
      <c r="S1130" s="1" t="s">
        <v>976</v>
      </c>
      <c r="T1130" s="1" t="s">
        <v>1264</v>
      </c>
      <c r="U1130">
        <v>36044.333550000003</v>
      </c>
      <c r="V1130">
        <v>0</v>
      </c>
      <c r="W1130">
        <v>77230</v>
      </c>
    </row>
    <row r="1131" spans="1:23" x14ac:dyDescent="0.25">
      <c r="A1131" s="1" t="s">
        <v>27</v>
      </c>
      <c r="B1131" s="1"/>
      <c r="C1131" s="1" t="s">
        <v>233</v>
      </c>
      <c r="D1131">
        <v>5949</v>
      </c>
      <c r="E1131" s="1"/>
      <c r="F1131" s="1" t="s">
        <v>374</v>
      </c>
      <c r="G1131">
        <v>2008</v>
      </c>
      <c r="H1131">
        <v>27045.41</v>
      </c>
      <c r="I1131">
        <v>3</v>
      </c>
      <c r="J1131" s="1" t="s">
        <v>459</v>
      </c>
      <c r="K1131">
        <v>0</v>
      </c>
      <c r="L1131">
        <v>687</v>
      </c>
      <c r="M1131">
        <v>39.361679000000002</v>
      </c>
      <c r="N1131">
        <v>2</v>
      </c>
      <c r="O1131" s="1" t="s">
        <v>569</v>
      </c>
      <c r="P1131">
        <v>27045.41</v>
      </c>
      <c r="Q1131">
        <v>12684.31</v>
      </c>
      <c r="R1131">
        <v>0</v>
      </c>
      <c r="S1131" s="1" t="s">
        <v>976</v>
      </c>
      <c r="T1131" s="1" t="s">
        <v>1264</v>
      </c>
      <c r="U1131">
        <v>27045.414369999999</v>
      </c>
      <c r="V1131">
        <v>0</v>
      </c>
      <c r="W1131">
        <v>77230</v>
      </c>
    </row>
    <row r="1132" spans="1:23" x14ac:dyDescent="0.25">
      <c r="A1132" s="1" t="s">
        <v>27</v>
      </c>
      <c r="B1132" s="1"/>
      <c r="C1132" s="1" t="s">
        <v>233</v>
      </c>
      <c r="D1132">
        <v>5949</v>
      </c>
      <c r="E1132" s="1"/>
      <c r="F1132" s="1" t="s">
        <v>374</v>
      </c>
      <c r="G1132">
        <v>2008</v>
      </c>
      <c r="H1132">
        <v>9701.6299999999992</v>
      </c>
      <c r="I1132">
        <v>3</v>
      </c>
      <c r="J1132" s="1" t="s">
        <v>518</v>
      </c>
      <c r="K1132">
        <v>0</v>
      </c>
      <c r="L1132">
        <v>687</v>
      </c>
      <c r="M1132">
        <v>14.119676</v>
      </c>
      <c r="N1132">
        <v>2</v>
      </c>
      <c r="O1132" s="1" t="s">
        <v>569</v>
      </c>
      <c r="P1132">
        <v>9701.6299999999992</v>
      </c>
      <c r="Q1132">
        <v>4550.0600000000004</v>
      </c>
      <c r="R1132">
        <v>0</v>
      </c>
      <c r="S1132" s="1" t="s">
        <v>977</v>
      </c>
      <c r="T1132" s="1"/>
      <c r="U1132">
        <v>9701.6279099999992</v>
      </c>
      <c r="V1132">
        <v>0</v>
      </c>
      <c r="W1132">
        <v>59965</v>
      </c>
    </row>
    <row r="1133" spans="1:23" x14ac:dyDescent="0.25">
      <c r="A1133" s="1" t="s">
        <v>27</v>
      </c>
      <c r="B1133" s="1" t="s">
        <v>53</v>
      </c>
      <c r="C1133" s="1" t="s">
        <v>129</v>
      </c>
      <c r="D1133">
        <v>5447</v>
      </c>
      <c r="E1133" s="1"/>
      <c r="F1133" s="1" t="s">
        <v>269</v>
      </c>
      <c r="G1133">
        <v>2015</v>
      </c>
      <c r="H1133">
        <v>8937.3799999999992</v>
      </c>
      <c r="I1133">
        <v>5</v>
      </c>
      <c r="J1133" s="1" t="s">
        <v>404</v>
      </c>
      <c r="K1133">
        <v>0</v>
      </c>
      <c r="L1133">
        <v>480</v>
      </c>
      <c r="M1133">
        <v>18.615663000000001</v>
      </c>
      <c r="N1133">
        <v>2</v>
      </c>
      <c r="O1133" s="1" t="s">
        <v>569</v>
      </c>
      <c r="P1133">
        <v>8937.3799999999992</v>
      </c>
      <c r="Q1133">
        <v>3574.96</v>
      </c>
      <c r="R1133">
        <v>0</v>
      </c>
      <c r="S1133" s="1" t="s">
        <v>978</v>
      </c>
      <c r="T1133" s="1" t="s">
        <v>1265</v>
      </c>
      <c r="U1133">
        <v>8937.3880000000008</v>
      </c>
      <c r="V1133">
        <v>0</v>
      </c>
      <c r="W1133">
        <v>57505</v>
      </c>
    </row>
    <row r="1134" spans="1:23" x14ac:dyDescent="0.25">
      <c r="A1134" s="1" t="s">
        <v>27</v>
      </c>
      <c r="B1134" s="1" t="s">
        <v>53</v>
      </c>
      <c r="C1134" s="1" t="s">
        <v>129</v>
      </c>
      <c r="D1134">
        <v>5447</v>
      </c>
      <c r="E1134" s="1"/>
      <c r="F1134" s="1" t="s">
        <v>269</v>
      </c>
      <c r="G1134">
        <v>2014</v>
      </c>
      <c r="H1134">
        <v>23936.21</v>
      </c>
      <c r="I1134">
        <v>12</v>
      </c>
      <c r="J1134" s="1" t="s">
        <v>404</v>
      </c>
      <c r="K1134">
        <v>0</v>
      </c>
      <c r="L1134">
        <v>480</v>
      </c>
      <c r="M1134">
        <v>49.856717000000003</v>
      </c>
      <c r="N1134">
        <v>2</v>
      </c>
      <c r="O1134" s="1" t="s">
        <v>569</v>
      </c>
      <c r="P1134">
        <v>23936.21</v>
      </c>
      <c r="Q1134">
        <v>9574.48</v>
      </c>
      <c r="R1134">
        <v>0</v>
      </c>
      <c r="S1134" s="1" t="s">
        <v>978</v>
      </c>
      <c r="T1134" s="1" t="s">
        <v>1265</v>
      </c>
      <c r="U1134">
        <v>23936.205999999998</v>
      </c>
      <c r="V1134">
        <v>0</v>
      </c>
      <c r="W1134">
        <v>57505</v>
      </c>
    </row>
    <row r="1135" spans="1:23" x14ac:dyDescent="0.25">
      <c r="A1135" s="1" t="s">
        <v>27</v>
      </c>
      <c r="B1135" s="1" t="s">
        <v>53</v>
      </c>
      <c r="C1135" s="1" t="s">
        <v>129</v>
      </c>
      <c r="D1135">
        <v>5447</v>
      </c>
      <c r="E1135" s="1"/>
      <c r="F1135" s="1" t="s">
        <v>269</v>
      </c>
      <c r="G1135">
        <v>2013</v>
      </c>
      <c r="H1135">
        <v>22894.16</v>
      </c>
      <c r="I1135">
        <v>12</v>
      </c>
      <c r="J1135" s="1" t="s">
        <v>404</v>
      </c>
      <c r="K1135">
        <v>0</v>
      </c>
      <c r="L1135">
        <v>480</v>
      </c>
      <c r="M1135">
        <v>47.686231999999997</v>
      </c>
      <c r="N1135">
        <v>2</v>
      </c>
      <c r="O1135" s="1" t="s">
        <v>569</v>
      </c>
      <c r="P1135">
        <v>22894.16</v>
      </c>
      <c r="Q1135">
        <v>9157.67</v>
      </c>
      <c r="R1135">
        <v>0</v>
      </c>
      <c r="S1135" s="1" t="s">
        <v>978</v>
      </c>
      <c r="T1135" s="1" t="s">
        <v>1265</v>
      </c>
      <c r="U1135">
        <v>22894.141</v>
      </c>
      <c r="V1135">
        <v>0</v>
      </c>
      <c r="W1135">
        <v>57505</v>
      </c>
    </row>
    <row r="1136" spans="1:23" x14ac:dyDescent="0.25">
      <c r="A1136" s="1" t="s">
        <v>27</v>
      </c>
      <c r="B1136" s="1" t="s">
        <v>53</v>
      </c>
      <c r="C1136" s="1" t="s">
        <v>129</v>
      </c>
      <c r="D1136">
        <v>5447</v>
      </c>
      <c r="E1136" s="1"/>
      <c r="F1136" s="1" t="s">
        <v>269</v>
      </c>
      <c r="G1136">
        <v>2012</v>
      </c>
      <c r="H1136">
        <v>26278.82</v>
      </c>
      <c r="I1136">
        <v>12</v>
      </c>
      <c r="J1136" s="1" t="s">
        <v>404</v>
      </c>
      <c r="K1136">
        <v>0</v>
      </c>
      <c r="L1136">
        <v>480</v>
      </c>
      <c r="M1136">
        <v>54.736137999999997</v>
      </c>
      <c r="N1136">
        <v>2</v>
      </c>
      <c r="O1136" s="1" t="s">
        <v>569</v>
      </c>
      <c r="P1136">
        <v>26278.82</v>
      </c>
      <c r="Q1136">
        <v>10511.53</v>
      </c>
      <c r="R1136">
        <v>0</v>
      </c>
      <c r="S1136" s="1" t="s">
        <v>978</v>
      </c>
      <c r="T1136" s="1" t="s">
        <v>1265</v>
      </c>
      <c r="U1136">
        <v>26278.821</v>
      </c>
      <c r="V1136">
        <v>0</v>
      </c>
      <c r="W1136">
        <v>57505</v>
      </c>
    </row>
    <row r="1137" spans="1:23" x14ac:dyDescent="0.25">
      <c r="A1137" s="1" t="s">
        <v>27</v>
      </c>
      <c r="B1137" s="1" t="s">
        <v>53</v>
      </c>
      <c r="C1137" s="1" t="s">
        <v>129</v>
      </c>
      <c r="D1137">
        <v>5447</v>
      </c>
      <c r="E1137" s="1"/>
      <c r="F1137" s="1" t="s">
        <v>269</v>
      </c>
      <c r="G1137">
        <v>2011</v>
      </c>
      <c r="H1137">
        <v>24208.6</v>
      </c>
      <c r="I1137">
        <v>12</v>
      </c>
      <c r="J1137" s="1" t="s">
        <v>404</v>
      </c>
      <c r="K1137">
        <v>0</v>
      </c>
      <c r="L1137">
        <v>480</v>
      </c>
      <c r="M1137">
        <v>50.424078000000002</v>
      </c>
      <c r="N1137">
        <v>2</v>
      </c>
      <c r="O1137" s="1" t="s">
        <v>569</v>
      </c>
      <c r="P1137">
        <v>24208.6</v>
      </c>
      <c r="Q1137">
        <v>11353.82</v>
      </c>
      <c r="R1137">
        <v>0</v>
      </c>
      <c r="S1137" s="1" t="s">
        <v>978</v>
      </c>
      <c r="T1137" s="1" t="s">
        <v>1265</v>
      </c>
      <c r="U1137">
        <v>24208.607</v>
      </c>
      <c r="V1137">
        <v>0</v>
      </c>
      <c r="W1137">
        <v>57505</v>
      </c>
    </row>
    <row r="1138" spans="1:23" x14ac:dyDescent="0.25">
      <c r="A1138" s="1" t="s">
        <v>27</v>
      </c>
      <c r="B1138" s="1" t="s">
        <v>53</v>
      </c>
      <c r="C1138" s="1" t="s">
        <v>129</v>
      </c>
      <c r="D1138">
        <v>5447</v>
      </c>
      <c r="E1138" s="1"/>
      <c r="F1138" s="1" t="s">
        <v>269</v>
      </c>
      <c r="G1138">
        <v>2010</v>
      </c>
      <c r="H1138">
        <v>23328.880000000001</v>
      </c>
      <c r="I1138">
        <v>12</v>
      </c>
      <c r="J1138" s="1" t="s">
        <v>404</v>
      </c>
      <c r="K1138">
        <v>0</v>
      </c>
      <c r="L1138">
        <v>480</v>
      </c>
      <c r="M1138">
        <v>48.591709999999999</v>
      </c>
      <c r="N1138">
        <v>2</v>
      </c>
      <c r="O1138" s="1" t="s">
        <v>569</v>
      </c>
      <c r="P1138">
        <v>23328.880000000001</v>
      </c>
      <c r="Q1138">
        <v>10941.24</v>
      </c>
      <c r="R1138">
        <v>0</v>
      </c>
      <c r="S1138" s="1" t="s">
        <v>978</v>
      </c>
      <c r="T1138" s="1" t="s">
        <v>1265</v>
      </c>
      <c r="U1138">
        <v>23328.89</v>
      </c>
      <c r="V1138">
        <v>0</v>
      </c>
      <c r="W1138">
        <v>57505</v>
      </c>
    </row>
    <row r="1139" spans="1:23" x14ac:dyDescent="0.25">
      <c r="A1139" s="1" t="s">
        <v>27</v>
      </c>
      <c r="B1139" s="1" t="s">
        <v>53</v>
      </c>
      <c r="C1139" s="1" t="s">
        <v>129</v>
      </c>
      <c r="D1139">
        <v>5447</v>
      </c>
      <c r="E1139" s="1"/>
      <c r="F1139" s="1" t="s">
        <v>269</v>
      </c>
      <c r="G1139">
        <v>2009</v>
      </c>
      <c r="H1139">
        <v>22078.639999999999</v>
      </c>
      <c r="I1139">
        <v>12</v>
      </c>
      <c r="J1139" s="1" t="s">
        <v>404</v>
      </c>
      <c r="K1139">
        <v>0</v>
      </c>
      <c r="L1139">
        <v>480</v>
      </c>
      <c r="M1139">
        <v>45.987585000000003</v>
      </c>
      <c r="N1139">
        <v>2</v>
      </c>
      <c r="O1139" s="1" t="s">
        <v>569</v>
      </c>
      <c r="P1139">
        <v>22078.639999999999</v>
      </c>
      <c r="Q1139">
        <v>10354.879999999999</v>
      </c>
      <c r="R1139">
        <v>0</v>
      </c>
      <c r="S1139" s="1" t="s">
        <v>978</v>
      </c>
      <c r="T1139" s="1" t="s">
        <v>1265</v>
      </c>
      <c r="U1139">
        <v>22078.634999999998</v>
      </c>
      <c r="V1139">
        <v>0</v>
      </c>
      <c r="W1139">
        <v>57505</v>
      </c>
    </row>
    <row r="1140" spans="1:23" x14ac:dyDescent="0.25">
      <c r="A1140" s="1" t="s">
        <v>27</v>
      </c>
      <c r="B1140" s="1" t="s">
        <v>53</v>
      </c>
      <c r="C1140" s="1" t="s">
        <v>129</v>
      </c>
      <c r="D1140">
        <v>5447</v>
      </c>
      <c r="E1140" s="1"/>
      <c r="F1140" s="1" t="s">
        <v>269</v>
      </c>
      <c r="G1140">
        <v>2008</v>
      </c>
      <c r="H1140">
        <v>22232.46</v>
      </c>
      <c r="I1140">
        <v>12</v>
      </c>
      <c r="J1140" s="1" t="s">
        <v>404</v>
      </c>
      <c r="K1140">
        <v>0</v>
      </c>
      <c r="L1140">
        <v>480</v>
      </c>
      <c r="M1140">
        <v>46.307977000000001</v>
      </c>
      <c r="N1140">
        <v>2</v>
      </c>
      <c r="O1140" s="1" t="s">
        <v>569</v>
      </c>
      <c r="P1140">
        <v>22232.46</v>
      </c>
      <c r="Q1140">
        <v>10427.030000000001</v>
      </c>
      <c r="R1140">
        <v>0</v>
      </c>
      <c r="S1140" s="1" t="s">
        <v>978</v>
      </c>
      <c r="T1140" s="1" t="s">
        <v>1265</v>
      </c>
      <c r="U1140">
        <v>22232.455999999998</v>
      </c>
      <c r="V1140">
        <v>0</v>
      </c>
      <c r="W1140">
        <v>57505</v>
      </c>
    </row>
    <row r="1141" spans="1:23" x14ac:dyDescent="0.25">
      <c r="A1141" s="1" t="s">
        <v>27</v>
      </c>
      <c r="B1141" s="1" t="s">
        <v>58</v>
      </c>
      <c r="C1141" s="1" t="s">
        <v>130</v>
      </c>
      <c r="D1141">
        <v>5272</v>
      </c>
      <c r="E1141" s="1"/>
      <c r="F1141" s="1" t="s">
        <v>270</v>
      </c>
      <c r="G1141">
        <v>2015</v>
      </c>
      <c r="H1141">
        <v>10063.99</v>
      </c>
      <c r="I1141">
        <v>5</v>
      </c>
      <c r="J1141" s="1" t="s">
        <v>413</v>
      </c>
      <c r="K1141">
        <v>0</v>
      </c>
      <c r="L1141">
        <v>541</v>
      </c>
      <c r="M1141">
        <v>18.599131</v>
      </c>
      <c r="N1141">
        <v>2</v>
      </c>
      <c r="O1141" s="1" t="s">
        <v>569</v>
      </c>
      <c r="P1141">
        <v>10063.99</v>
      </c>
      <c r="Q1141">
        <v>4025.6</v>
      </c>
      <c r="R1141">
        <v>0</v>
      </c>
      <c r="S1141" s="1" t="s">
        <v>979</v>
      </c>
      <c r="T1141" s="1" t="s">
        <v>1266</v>
      </c>
      <c r="U1141">
        <v>10063.995999999999</v>
      </c>
      <c r="V1141">
        <v>0</v>
      </c>
      <c r="W1141">
        <v>56836</v>
      </c>
    </row>
    <row r="1142" spans="1:23" x14ac:dyDescent="0.25">
      <c r="A1142" s="1" t="s">
        <v>27</v>
      </c>
      <c r="B1142" s="1" t="s">
        <v>58</v>
      </c>
      <c r="C1142" s="1" t="s">
        <v>130</v>
      </c>
      <c r="D1142">
        <v>5272</v>
      </c>
      <c r="E1142" s="1"/>
      <c r="F1142" s="1" t="s">
        <v>270</v>
      </c>
      <c r="G1142">
        <v>2014</v>
      </c>
      <c r="H1142">
        <v>29972.89</v>
      </c>
      <c r="I1142">
        <v>12</v>
      </c>
      <c r="J1142" s="1" t="s">
        <v>413</v>
      </c>
      <c r="K1142">
        <v>0</v>
      </c>
      <c r="L1142">
        <v>541</v>
      </c>
      <c r="M1142">
        <v>55.392515000000003</v>
      </c>
      <c r="N1142">
        <v>2</v>
      </c>
      <c r="O1142" s="1" t="s">
        <v>569</v>
      </c>
      <c r="P1142">
        <v>29972.89</v>
      </c>
      <c r="Q1142">
        <v>11989.17</v>
      </c>
      <c r="R1142">
        <v>0</v>
      </c>
      <c r="S1142" s="1" t="s">
        <v>979</v>
      </c>
      <c r="T1142" s="1" t="s">
        <v>1266</v>
      </c>
      <c r="U1142">
        <v>29972.904999999999</v>
      </c>
      <c r="V1142">
        <v>0</v>
      </c>
      <c r="W1142">
        <v>56836</v>
      </c>
    </row>
    <row r="1143" spans="1:23" x14ac:dyDescent="0.25">
      <c r="A1143" s="1" t="s">
        <v>27</v>
      </c>
      <c r="B1143" s="1" t="s">
        <v>58</v>
      </c>
      <c r="C1143" s="1" t="s">
        <v>130</v>
      </c>
      <c r="D1143">
        <v>5272</v>
      </c>
      <c r="E1143" s="1"/>
      <c r="F1143" s="1" t="s">
        <v>270</v>
      </c>
      <c r="G1143">
        <v>2013</v>
      </c>
      <c r="H1143">
        <v>25050.89</v>
      </c>
      <c r="I1143">
        <v>12</v>
      </c>
      <c r="J1143" s="1" t="s">
        <v>413</v>
      </c>
      <c r="K1143">
        <v>0</v>
      </c>
      <c r="L1143">
        <v>541</v>
      </c>
      <c r="M1143">
        <v>46.296228999999997</v>
      </c>
      <c r="N1143">
        <v>2</v>
      </c>
      <c r="O1143" s="1" t="s">
        <v>569</v>
      </c>
      <c r="P1143">
        <v>25050.89</v>
      </c>
      <c r="Q1143">
        <v>10020.35</v>
      </c>
      <c r="R1143">
        <v>0</v>
      </c>
      <c r="S1143" s="1" t="s">
        <v>979</v>
      </c>
      <c r="T1143" s="1" t="s">
        <v>1266</v>
      </c>
      <c r="U1143">
        <v>25050.886999999999</v>
      </c>
      <c r="V1143">
        <v>0</v>
      </c>
      <c r="W1143">
        <v>56836</v>
      </c>
    </row>
    <row r="1144" spans="1:23" x14ac:dyDescent="0.25">
      <c r="A1144" s="1" t="s">
        <v>27</v>
      </c>
      <c r="B1144" s="1" t="s">
        <v>58</v>
      </c>
      <c r="C1144" s="1" t="s">
        <v>130</v>
      </c>
      <c r="D1144">
        <v>5272</v>
      </c>
      <c r="E1144" s="1"/>
      <c r="F1144" s="1" t="s">
        <v>270</v>
      </c>
      <c r="G1144">
        <v>2012</v>
      </c>
      <c r="H1144">
        <v>25248.49</v>
      </c>
      <c r="I1144">
        <v>12</v>
      </c>
      <c r="J1144" s="1" t="s">
        <v>413</v>
      </c>
      <c r="K1144">
        <v>0</v>
      </c>
      <c r="L1144">
        <v>541</v>
      </c>
      <c r="M1144">
        <v>46.661411000000001</v>
      </c>
      <c r="N1144">
        <v>2</v>
      </c>
      <c r="O1144" s="1" t="s">
        <v>569</v>
      </c>
      <c r="P1144">
        <v>25248.49</v>
      </c>
      <c r="Q1144">
        <v>10099.41</v>
      </c>
      <c r="R1144">
        <v>0</v>
      </c>
      <c r="S1144" s="1" t="s">
        <v>979</v>
      </c>
      <c r="T1144" s="1" t="s">
        <v>1266</v>
      </c>
      <c r="U1144">
        <v>25248.502</v>
      </c>
      <c r="V1144">
        <v>0</v>
      </c>
      <c r="W1144">
        <v>56836</v>
      </c>
    </row>
    <row r="1145" spans="1:23" x14ac:dyDescent="0.25">
      <c r="A1145" s="1" t="s">
        <v>27</v>
      </c>
      <c r="B1145" s="1" t="s">
        <v>58</v>
      </c>
      <c r="C1145" s="1" t="s">
        <v>130</v>
      </c>
      <c r="D1145">
        <v>5272</v>
      </c>
      <c r="E1145" s="1"/>
      <c r="F1145" s="1" t="s">
        <v>270</v>
      </c>
      <c r="G1145">
        <v>2011</v>
      </c>
      <c r="H1145">
        <v>26910.55</v>
      </c>
      <c r="I1145">
        <v>12</v>
      </c>
      <c r="J1145" s="1" t="s">
        <v>413</v>
      </c>
      <c r="K1145">
        <v>0</v>
      </c>
      <c r="L1145">
        <v>541</v>
      </c>
      <c r="M1145">
        <v>49.733043000000002</v>
      </c>
      <c r="N1145">
        <v>2</v>
      </c>
      <c r="O1145" s="1" t="s">
        <v>569</v>
      </c>
      <c r="P1145">
        <v>26910.55</v>
      </c>
      <c r="Q1145">
        <v>12621.04</v>
      </c>
      <c r="R1145">
        <v>0</v>
      </c>
      <c r="S1145" s="1" t="s">
        <v>979</v>
      </c>
      <c r="T1145" s="1" t="s">
        <v>1266</v>
      </c>
      <c r="U1145">
        <v>26910.531999999999</v>
      </c>
      <c r="V1145">
        <v>0</v>
      </c>
      <c r="W1145">
        <v>56836</v>
      </c>
    </row>
    <row r="1146" spans="1:23" x14ac:dyDescent="0.25">
      <c r="A1146" s="1" t="s">
        <v>27</v>
      </c>
      <c r="B1146" s="1" t="s">
        <v>58</v>
      </c>
      <c r="C1146" s="1" t="s">
        <v>130</v>
      </c>
      <c r="D1146">
        <v>5272</v>
      </c>
      <c r="E1146" s="1"/>
      <c r="F1146" s="1" t="s">
        <v>270</v>
      </c>
      <c r="G1146">
        <v>2010</v>
      </c>
      <c r="H1146">
        <v>28415.11</v>
      </c>
      <c r="I1146">
        <v>12</v>
      </c>
      <c r="J1146" s="1" t="s">
        <v>413</v>
      </c>
      <c r="K1146">
        <v>0</v>
      </c>
      <c r="L1146">
        <v>541</v>
      </c>
      <c r="M1146">
        <v>52.513601000000001</v>
      </c>
      <c r="N1146">
        <v>2</v>
      </c>
      <c r="O1146" s="1" t="s">
        <v>569</v>
      </c>
      <c r="P1146">
        <v>28415.11</v>
      </c>
      <c r="Q1146">
        <v>13326.67</v>
      </c>
      <c r="R1146">
        <v>0</v>
      </c>
      <c r="S1146" s="1" t="s">
        <v>979</v>
      </c>
      <c r="T1146" s="1" t="s">
        <v>1266</v>
      </c>
      <c r="U1146">
        <v>28415.095000000001</v>
      </c>
      <c r="V1146">
        <v>0</v>
      </c>
      <c r="W1146">
        <v>56836</v>
      </c>
    </row>
    <row r="1147" spans="1:23" x14ac:dyDescent="0.25">
      <c r="A1147" s="1" t="s">
        <v>27</v>
      </c>
      <c r="B1147" s="1" t="s">
        <v>58</v>
      </c>
      <c r="C1147" s="1" t="s">
        <v>130</v>
      </c>
      <c r="D1147">
        <v>5272</v>
      </c>
      <c r="E1147" s="1"/>
      <c r="F1147" s="1" t="s">
        <v>270</v>
      </c>
      <c r="G1147">
        <v>2009</v>
      </c>
      <c r="H1147">
        <v>29909.25</v>
      </c>
      <c r="I1147">
        <v>12</v>
      </c>
      <c r="J1147" s="1" t="s">
        <v>413</v>
      </c>
      <c r="K1147">
        <v>0</v>
      </c>
      <c r="L1147">
        <v>541</v>
      </c>
      <c r="M1147">
        <v>55.274901999999997</v>
      </c>
      <c r="N1147">
        <v>2</v>
      </c>
      <c r="O1147" s="1" t="s">
        <v>569</v>
      </c>
      <c r="P1147">
        <v>29909.25</v>
      </c>
      <c r="Q1147">
        <v>14027.46</v>
      </c>
      <c r="R1147">
        <v>0</v>
      </c>
      <c r="S1147" s="1" t="s">
        <v>979</v>
      </c>
      <c r="T1147" s="1" t="s">
        <v>1266</v>
      </c>
      <c r="U1147">
        <v>29909.274000000001</v>
      </c>
      <c r="V1147">
        <v>0</v>
      </c>
      <c r="W1147">
        <v>56836</v>
      </c>
    </row>
    <row r="1148" spans="1:23" x14ac:dyDescent="0.25">
      <c r="A1148" s="1" t="s">
        <v>27</v>
      </c>
      <c r="B1148" s="1" t="s">
        <v>58</v>
      </c>
      <c r="C1148" s="1" t="s">
        <v>130</v>
      </c>
      <c r="D1148">
        <v>5272</v>
      </c>
      <c r="E1148" s="1"/>
      <c r="F1148" s="1" t="s">
        <v>270</v>
      </c>
      <c r="G1148">
        <v>2008</v>
      </c>
      <c r="H1148">
        <v>29314.07</v>
      </c>
      <c r="I1148">
        <v>12</v>
      </c>
      <c r="J1148" s="1" t="s">
        <v>413</v>
      </c>
      <c r="K1148">
        <v>0</v>
      </c>
      <c r="L1148">
        <v>541</v>
      </c>
      <c r="M1148">
        <v>54.174957999999997</v>
      </c>
      <c r="N1148">
        <v>2</v>
      </c>
      <c r="O1148" s="1" t="s">
        <v>569</v>
      </c>
      <c r="P1148">
        <v>29314.07</v>
      </c>
      <c r="Q1148">
        <v>13748.29</v>
      </c>
      <c r="R1148">
        <v>0</v>
      </c>
      <c r="S1148" s="1" t="s">
        <v>979</v>
      </c>
      <c r="T1148" s="1" t="s">
        <v>1266</v>
      </c>
      <c r="U1148">
        <v>29314.066999999999</v>
      </c>
      <c r="V1148">
        <v>0</v>
      </c>
      <c r="W1148">
        <v>56836</v>
      </c>
    </row>
    <row r="1149" spans="1:23" x14ac:dyDescent="0.25">
      <c r="A1149" s="1" t="s">
        <v>27</v>
      </c>
      <c r="B1149" s="1"/>
      <c r="C1149" s="1" t="s">
        <v>131</v>
      </c>
      <c r="D1149">
        <v>9952</v>
      </c>
      <c r="E1149" s="1"/>
      <c r="F1149" s="1" t="s">
        <v>271</v>
      </c>
      <c r="G1149">
        <v>2015</v>
      </c>
      <c r="H1149">
        <v>4487.93</v>
      </c>
      <c r="I1149">
        <v>5</v>
      </c>
      <c r="J1149" s="1" t="s">
        <v>405</v>
      </c>
      <c r="K1149">
        <v>0</v>
      </c>
      <c r="L1149">
        <v>473</v>
      </c>
      <c r="M1149">
        <v>9.4862179999999992</v>
      </c>
      <c r="N1149">
        <v>2</v>
      </c>
      <c r="O1149" s="1" t="s">
        <v>569</v>
      </c>
      <c r="P1149">
        <v>4487.93</v>
      </c>
      <c r="Q1149">
        <v>1346.38</v>
      </c>
      <c r="R1149">
        <v>0</v>
      </c>
      <c r="S1149" s="1" t="s">
        <v>980</v>
      </c>
      <c r="T1149" s="1" t="s">
        <v>1267</v>
      </c>
      <c r="U1149">
        <v>4487.9219999999996</v>
      </c>
      <c r="V1149">
        <v>0</v>
      </c>
      <c r="W1149">
        <v>76304</v>
      </c>
    </row>
    <row r="1150" spans="1:23" x14ac:dyDescent="0.25">
      <c r="A1150" s="1" t="s">
        <v>27</v>
      </c>
      <c r="B1150" s="1"/>
      <c r="C1150" s="1" t="s">
        <v>131</v>
      </c>
      <c r="D1150">
        <v>9952</v>
      </c>
      <c r="E1150" s="1"/>
      <c r="F1150" s="1" t="s">
        <v>271</v>
      </c>
      <c r="G1150">
        <v>2014</v>
      </c>
      <c r="H1150">
        <v>11158.5</v>
      </c>
      <c r="I1150">
        <v>12</v>
      </c>
      <c r="J1150" s="1" t="s">
        <v>405</v>
      </c>
      <c r="K1150">
        <v>0</v>
      </c>
      <c r="L1150">
        <v>473</v>
      </c>
      <c r="M1150">
        <v>23.585922</v>
      </c>
      <c r="N1150">
        <v>2</v>
      </c>
      <c r="O1150" s="1" t="s">
        <v>569</v>
      </c>
      <c r="P1150">
        <v>11158.5</v>
      </c>
      <c r="Q1150">
        <v>3347.55</v>
      </c>
      <c r="R1150">
        <v>0</v>
      </c>
      <c r="S1150" s="1" t="s">
        <v>980</v>
      </c>
      <c r="T1150" s="1" t="s">
        <v>1267</v>
      </c>
      <c r="U1150">
        <v>11158.5002</v>
      </c>
      <c r="V1150">
        <v>0</v>
      </c>
      <c r="W1150">
        <v>76304</v>
      </c>
    </row>
    <row r="1151" spans="1:23" x14ac:dyDescent="0.25">
      <c r="A1151" s="1" t="s">
        <v>27</v>
      </c>
      <c r="B1151" s="1"/>
      <c r="C1151" s="1" t="s">
        <v>131</v>
      </c>
      <c r="D1151">
        <v>9952</v>
      </c>
      <c r="E1151" s="1"/>
      <c r="F1151" s="1" t="s">
        <v>271</v>
      </c>
      <c r="G1151">
        <v>2013</v>
      </c>
      <c r="H1151">
        <v>10375.9</v>
      </c>
      <c r="I1151">
        <v>12</v>
      </c>
      <c r="J1151" s="1" t="s">
        <v>405</v>
      </c>
      <c r="K1151">
        <v>0</v>
      </c>
      <c r="L1151">
        <v>473</v>
      </c>
      <c r="M1151">
        <v>21.931726000000001</v>
      </c>
      <c r="N1151">
        <v>2</v>
      </c>
      <c r="O1151" s="1" t="s">
        <v>569</v>
      </c>
      <c r="P1151">
        <v>10375.9</v>
      </c>
      <c r="Q1151">
        <v>3112.76</v>
      </c>
      <c r="R1151">
        <v>0</v>
      </c>
      <c r="S1151" s="1" t="s">
        <v>980</v>
      </c>
      <c r="T1151" s="1" t="s">
        <v>1267</v>
      </c>
      <c r="U1151">
        <v>10375.894</v>
      </c>
      <c r="V1151">
        <v>0</v>
      </c>
      <c r="W1151">
        <v>76304</v>
      </c>
    </row>
    <row r="1152" spans="1:23" x14ac:dyDescent="0.25">
      <c r="A1152" s="1" t="s">
        <v>27</v>
      </c>
      <c r="B1152" s="1"/>
      <c r="C1152" s="1" t="s">
        <v>131</v>
      </c>
      <c r="D1152">
        <v>9952</v>
      </c>
      <c r="E1152" s="1"/>
      <c r="F1152" s="1" t="s">
        <v>271</v>
      </c>
      <c r="G1152">
        <v>2012</v>
      </c>
      <c r="H1152">
        <v>10323.9</v>
      </c>
      <c r="I1152">
        <v>12</v>
      </c>
      <c r="J1152" s="1" t="s">
        <v>405</v>
      </c>
      <c r="K1152">
        <v>0</v>
      </c>
      <c r="L1152">
        <v>473</v>
      </c>
      <c r="M1152">
        <v>21.821812999999999</v>
      </c>
      <c r="N1152">
        <v>2</v>
      </c>
      <c r="O1152" s="1" t="s">
        <v>569</v>
      </c>
      <c r="P1152">
        <v>10323.9</v>
      </c>
      <c r="Q1152">
        <v>4129.54</v>
      </c>
      <c r="R1152">
        <v>0</v>
      </c>
      <c r="S1152" s="1" t="s">
        <v>980</v>
      </c>
      <c r="T1152" s="1" t="s">
        <v>1267</v>
      </c>
      <c r="U1152">
        <v>10323.885</v>
      </c>
      <c r="V1152">
        <v>0</v>
      </c>
      <c r="W1152">
        <v>76304</v>
      </c>
    </row>
    <row r="1153" spans="1:23" x14ac:dyDescent="0.25">
      <c r="A1153" s="1" t="s">
        <v>27</v>
      </c>
      <c r="B1153" s="1"/>
      <c r="C1153" s="1" t="s">
        <v>131</v>
      </c>
      <c r="D1153">
        <v>9952</v>
      </c>
      <c r="E1153" s="1"/>
      <c r="F1153" s="1" t="s">
        <v>271</v>
      </c>
      <c r="G1153">
        <v>2011</v>
      </c>
      <c r="H1153">
        <v>10788.5</v>
      </c>
      <c r="I1153">
        <v>12</v>
      </c>
      <c r="J1153" s="1" t="s">
        <v>405</v>
      </c>
      <c r="K1153">
        <v>0</v>
      </c>
      <c r="L1153">
        <v>473</v>
      </c>
      <c r="M1153">
        <v>22.803846</v>
      </c>
      <c r="N1153">
        <v>2</v>
      </c>
      <c r="O1153" s="1" t="s">
        <v>569</v>
      </c>
      <c r="P1153">
        <v>10788.5</v>
      </c>
      <c r="Q1153">
        <v>5059.8100000000004</v>
      </c>
      <c r="R1153">
        <v>0</v>
      </c>
      <c r="S1153" s="1" t="s">
        <v>980</v>
      </c>
      <c r="T1153" s="1" t="s">
        <v>1267</v>
      </c>
      <c r="U1153">
        <v>10788.512000000001</v>
      </c>
      <c r="V1153">
        <v>0</v>
      </c>
      <c r="W1153">
        <v>76304</v>
      </c>
    </row>
    <row r="1154" spans="1:23" x14ac:dyDescent="0.25">
      <c r="A1154" s="1" t="s">
        <v>27</v>
      </c>
      <c r="B1154" s="1"/>
      <c r="C1154" s="1" t="s">
        <v>131</v>
      </c>
      <c r="D1154">
        <v>9952</v>
      </c>
      <c r="E1154" s="1"/>
      <c r="F1154" s="1" t="s">
        <v>271</v>
      </c>
      <c r="G1154">
        <v>2010</v>
      </c>
      <c r="H1154">
        <v>12031.31</v>
      </c>
      <c r="I1154">
        <v>5</v>
      </c>
      <c r="J1154" s="1" t="s">
        <v>405</v>
      </c>
      <c r="K1154">
        <v>0</v>
      </c>
      <c r="L1154">
        <v>473</v>
      </c>
      <c r="M1154">
        <v>25.430796000000001</v>
      </c>
      <c r="N1154">
        <v>2</v>
      </c>
      <c r="O1154" s="1" t="s">
        <v>569</v>
      </c>
      <c r="P1154">
        <v>12031.31</v>
      </c>
      <c r="Q1154">
        <v>5642.68</v>
      </c>
      <c r="R1154">
        <v>0</v>
      </c>
      <c r="S1154" s="1" t="s">
        <v>980</v>
      </c>
      <c r="T1154" s="1" t="s">
        <v>1267</v>
      </c>
      <c r="U1154">
        <v>12031.316339999999</v>
      </c>
      <c r="V1154">
        <v>0</v>
      </c>
      <c r="W1154">
        <v>76304</v>
      </c>
    </row>
    <row r="1155" spans="1:23" x14ac:dyDescent="0.25">
      <c r="A1155" s="1" t="s">
        <v>27</v>
      </c>
      <c r="B1155" s="1"/>
      <c r="C1155" s="1" t="s">
        <v>131</v>
      </c>
      <c r="D1155">
        <v>9952</v>
      </c>
      <c r="E1155" s="1"/>
      <c r="F1155" s="1" t="s">
        <v>271</v>
      </c>
      <c r="G1155">
        <v>2009</v>
      </c>
      <c r="H1155">
        <v>12804.3</v>
      </c>
      <c r="I1155">
        <v>7</v>
      </c>
      <c r="J1155" s="1" t="s">
        <v>405</v>
      </c>
      <c r="K1155">
        <v>0</v>
      </c>
      <c r="L1155">
        <v>473</v>
      </c>
      <c r="M1155">
        <v>27.064679000000002</v>
      </c>
      <c r="N1155">
        <v>2</v>
      </c>
      <c r="O1155" s="1" t="s">
        <v>569</v>
      </c>
      <c r="P1155">
        <v>12804.3</v>
      </c>
      <c r="Q1155">
        <v>6005.2</v>
      </c>
      <c r="R1155">
        <v>0</v>
      </c>
      <c r="S1155" s="1" t="s">
        <v>980</v>
      </c>
      <c r="T1155" s="1" t="s">
        <v>1267</v>
      </c>
      <c r="U1155">
        <v>12804.29473</v>
      </c>
      <c r="V1155">
        <v>0</v>
      </c>
      <c r="W1155">
        <v>76304</v>
      </c>
    </row>
    <row r="1156" spans="1:23" x14ac:dyDescent="0.25">
      <c r="A1156" s="1" t="s">
        <v>27</v>
      </c>
      <c r="B1156" s="1"/>
      <c r="C1156" s="1" t="s">
        <v>131</v>
      </c>
      <c r="D1156">
        <v>9952</v>
      </c>
      <c r="E1156" s="1"/>
      <c r="F1156" s="1" t="s">
        <v>271</v>
      </c>
      <c r="G1156">
        <v>2008</v>
      </c>
      <c r="H1156">
        <v>12969.62</v>
      </c>
      <c r="I1156">
        <v>3</v>
      </c>
      <c r="J1156" s="1" t="s">
        <v>405</v>
      </c>
      <c r="K1156">
        <v>0</v>
      </c>
      <c r="L1156">
        <v>473</v>
      </c>
      <c r="M1156">
        <v>27.414118999999999</v>
      </c>
      <c r="N1156">
        <v>2</v>
      </c>
      <c r="O1156" s="1" t="s">
        <v>569</v>
      </c>
      <c r="P1156">
        <v>12969.62</v>
      </c>
      <c r="Q1156">
        <v>6082.76</v>
      </c>
      <c r="R1156">
        <v>0</v>
      </c>
      <c r="S1156" s="1" t="s">
        <v>980</v>
      </c>
      <c r="T1156" s="1" t="s">
        <v>1267</v>
      </c>
      <c r="U1156">
        <v>12969.6198</v>
      </c>
      <c r="V1156">
        <v>0</v>
      </c>
      <c r="W1156">
        <v>76304</v>
      </c>
    </row>
    <row r="1157" spans="1:23" x14ac:dyDescent="0.25">
      <c r="A1157" s="1" t="s">
        <v>27</v>
      </c>
      <c r="B1157" s="1" t="s">
        <v>59</v>
      </c>
      <c r="C1157" s="1" t="s">
        <v>132</v>
      </c>
      <c r="D1157">
        <v>5277</v>
      </c>
      <c r="E1157" s="1"/>
      <c r="F1157" s="1" t="s">
        <v>272</v>
      </c>
      <c r="G1157">
        <v>2015</v>
      </c>
      <c r="H1157">
        <v>8828.35</v>
      </c>
      <c r="I1157">
        <v>5</v>
      </c>
      <c r="J1157" s="1" t="s">
        <v>404</v>
      </c>
      <c r="K1157">
        <v>0</v>
      </c>
      <c r="L1157">
        <v>585</v>
      </c>
      <c r="M1157">
        <v>15.088616999999999</v>
      </c>
      <c r="N1157">
        <v>2</v>
      </c>
      <c r="O1157" s="1" t="s">
        <v>569</v>
      </c>
      <c r="P1157">
        <v>8828.35</v>
      </c>
      <c r="Q1157">
        <v>3531.34</v>
      </c>
      <c r="R1157">
        <v>0</v>
      </c>
      <c r="S1157" s="1" t="s">
        <v>981</v>
      </c>
      <c r="T1157" s="1" t="s">
        <v>1268</v>
      </c>
      <c r="U1157">
        <v>8828.3529999999992</v>
      </c>
      <c r="V1157">
        <v>0</v>
      </c>
      <c r="W1157">
        <v>56867</v>
      </c>
    </row>
    <row r="1158" spans="1:23" x14ac:dyDescent="0.25">
      <c r="A1158" s="1" t="s">
        <v>27</v>
      </c>
      <c r="B1158" s="1" t="s">
        <v>59</v>
      </c>
      <c r="C1158" s="1" t="s">
        <v>132</v>
      </c>
      <c r="D1158">
        <v>5277</v>
      </c>
      <c r="E1158" s="1"/>
      <c r="F1158" s="1" t="s">
        <v>272</v>
      </c>
      <c r="G1158">
        <v>2014</v>
      </c>
      <c r="H1158">
        <v>29563.03</v>
      </c>
      <c r="I1158">
        <v>12</v>
      </c>
      <c r="J1158" s="1" t="s">
        <v>404</v>
      </c>
      <c r="K1158">
        <v>0</v>
      </c>
      <c r="L1158">
        <v>585</v>
      </c>
      <c r="M1158">
        <v>50.526457000000001</v>
      </c>
      <c r="N1158">
        <v>2</v>
      </c>
      <c r="O1158" s="1" t="s">
        <v>569</v>
      </c>
      <c r="P1158">
        <v>29563.03</v>
      </c>
      <c r="Q1158">
        <v>11825.21</v>
      </c>
      <c r="R1158">
        <v>0</v>
      </c>
      <c r="S1158" s="1" t="s">
        <v>981</v>
      </c>
      <c r="T1158" s="1" t="s">
        <v>1268</v>
      </c>
      <c r="U1158">
        <v>29563.024000000001</v>
      </c>
      <c r="V1158">
        <v>0</v>
      </c>
      <c r="W1158">
        <v>56867</v>
      </c>
    </row>
    <row r="1159" spans="1:23" x14ac:dyDescent="0.25">
      <c r="A1159" s="1" t="s">
        <v>27</v>
      </c>
      <c r="B1159" s="1" t="s">
        <v>59</v>
      </c>
      <c r="C1159" s="1" t="s">
        <v>132</v>
      </c>
      <c r="D1159">
        <v>5277</v>
      </c>
      <c r="E1159" s="1"/>
      <c r="F1159" s="1" t="s">
        <v>272</v>
      </c>
      <c r="G1159">
        <v>2013</v>
      </c>
      <c r="H1159">
        <v>31097.33</v>
      </c>
      <c r="I1159">
        <v>12</v>
      </c>
      <c r="J1159" s="1" t="s">
        <v>404</v>
      </c>
      <c r="K1159">
        <v>0</v>
      </c>
      <c r="L1159">
        <v>585</v>
      </c>
      <c r="M1159">
        <v>53.148743000000003</v>
      </c>
      <c r="N1159">
        <v>2</v>
      </c>
      <c r="O1159" s="1" t="s">
        <v>569</v>
      </c>
      <c r="P1159">
        <v>31097.33</v>
      </c>
      <c r="Q1159">
        <v>12438.93</v>
      </c>
      <c r="R1159">
        <v>0</v>
      </c>
      <c r="S1159" s="1" t="s">
        <v>981</v>
      </c>
      <c r="T1159" s="1" t="s">
        <v>1268</v>
      </c>
      <c r="U1159">
        <v>31097.335999999999</v>
      </c>
      <c r="V1159">
        <v>0</v>
      </c>
      <c r="W1159">
        <v>56867</v>
      </c>
    </row>
    <row r="1160" spans="1:23" x14ac:dyDescent="0.25">
      <c r="A1160" s="1" t="s">
        <v>27</v>
      </c>
      <c r="B1160" s="1" t="s">
        <v>59</v>
      </c>
      <c r="C1160" s="1" t="s">
        <v>132</v>
      </c>
      <c r="D1160">
        <v>5277</v>
      </c>
      <c r="E1160" s="1"/>
      <c r="F1160" s="1" t="s">
        <v>272</v>
      </c>
      <c r="G1160">
        <v>2012</v>
      </c>
      <c r="H1160">
        <v>23652.01</v>
      </c>
      <c r="I1160">
        <v>12</v>
      </c>
      <c r="J1160" s="1" t="s">
        <v>404</v>
      </c>
      <c r="K1160">
        <v>0</v>
      </c>
      <c r="L1160">
        <v>585</v>
      </c>
      <c r="M1160">
        <v>40.423876</v>
      </c>
      <c r="N1160">
        <v>2</v>
      </c>
      <c r="O1160" s="1" t="s">
        <v>569</v>
      </c>
      <c r="P1160">
        <v>23652.01</v>
      </c>
      <c r="Q1160">
        <v>9460.7900000000009</v>
      </c>
      <c r="R1160">
        <v>0</v>
      </c>
      <c r="S1160" s="1" t="s">
        <v>981</v>
      </c>
      <c r="T1160" s="1" t="s">
        <v>1268</v>
      </c>
      <c r="U1160">
        <v>23652.01</v>
      </c>
      <c r="V1160">
        <v>0</v>
      </c>
      <c r="W1160">
        <v>56867</v>
      </c>
    </row>
    <row r="1161" spans="1:23" x14ac:dyDescent="0.25">
      <c r="A1161" s="1" t="s">
        <v>27</v>
      </c>
      <c r="B1161" s="1" t="s">
        <v>59</v>
      </c>
      <c r="C1161" s="1" t="s">
        <v>132</v>
      </c>
      <c r="D1161">
        <v>5277</v>
      </c>
      <c r="E1161" s="1"/>
      <c r="F1161" s="1" t="s">
        <v>272</v>
      </c>
      <c r="G1161">
        <v>2011</v>
      </c>
      <c r="H1161">
        <v>25426.71</v>
      </c>
      <c r="I1161">
        <v>12</v>
      </c>
      <c r="J1161" s="1" t="s">
        <v>404</v>
      </c>
      <c r="K1161">
        <v>0</v>
      </c>
      <c r="L1161">
        <v>585</v>
      </c>
      <c r="M1161">
        <v>43.457031999999998</v>
      </c>
      <c r="N1161">
        <v>2</v>
      </c>
      <c r="O1161" s="1" t="s">
        <v>569</v>
      </c>
      <c r="P1161">
        <v>25426.71</v>
      </c>
      <c r="Q1161">
        <v>11925.09</v>
      </c>
      <c r="R1161">
        <v>0</v>
      </c>
      <c r="S1161" s="1" t="s">
        <v>981</v>
      </c>
      <c r="T1161" s="1" t="s">
        <v>1268</v>
      </c>
      <c r="U1161">
        <v>25426.698</v>
      </c>
      <c r="V1161">
        <v>0</v>
      </c>
      <c r="W1161">
        <v>56867</v>
      </c>
    </row>
    <row r="1162" spans="1:23" x14ac:dyDescent="0.25">
      <c r="A1162" s="1" t="s">
        <v>27</v>
      </c>
      <c r="B1162" s="1" t="s">
        <v>59</v>
      </c>
      <c r="C1162" s="1" t="s">
        <v>132</v>
      </c>
      <c r="D1162">
        <v>5277</v>
      </c>
      <c r="E1162" s="1"/>
      <c r="F1162" s="1" t="s">
        <v>272</v>
      </c>
      <c r="G1162">
        <v>2010</v>
      </c>
      <c r="H1162">
        <v>31330.09</v>
      </c>
      <c r="I1162">
        <v>12</v>
      </c>
      <c r="J1162" s="1" t="s">
        <v>404</v>
      </c>
      <c r="K1162">
        <v>0</v>
      </c>
      <c r="L1162">
        <v>585</v>
      </c>
      <c r="M1162">
        <v>53.546556000000002</v>
      </c>
      <c r="N1162">
        <v>2</v>
      </c>
      <c r="O1162" s="1" t="s">
        <v>569</v>
      </c>
      <c r="P1162">
        <v>31330.09</v>
      </c>
      <c r="Q1162">
        <v>14693.82</v>
      </c>
      <c r="R1162">
        <v>0</v>
      </c>
      <c r="S1162" s="1" t="s">
        <v>981</v>
      </c>
      <c r="T1162" s="1" t="s">
        <v>1268</v>
      </c>
      <c r="U1162">
        <v>31330.082999999999</v>
      </c>
      <c r="V1162">
        <v>0</v>
      </c>
      <c r="W1162">
        <v>56867</v>
      </c>
    </row>
    <row r="1163" spans="1:23" x14ac:dyDescent="0.25">
      <c r="A1163" s="1" t="s">
        <v>27</v>
      </c>
      <c r="B1163" s="1" t="s">
        <v>59</v>
      </c>
      <c r="C1163" s="1" t="s">
        <v>132</v>
      </c>
      <c r="D1163">
        <v>5277</v>
      </c>
      <c r="E1163" s="1"/>
      <c r="F1163" s="1" t="s">
        <v>272</v>
      </c>
      <c r="G1163">
        <v>2009</v>
      </c>
      <c r="H1163">
        <v>27805.31</v>
      </c>
      <c r="I1163">
        <v>12</v>
      </c>
      <c r="J1163" s="1" t="s">
        <v>404</v>
      </c>
      <c r="K1163">
        <v>0</v>
      </c>
      <c r="L1163">
        <v>585</v>
      </c>
      <c r="M1163">
        <v>47.522320000000001</v>
      </c>
      <c r="N1163">
        <v>2</v>
      </c>
      <c r="O1163" s="1" t="s">
        <v>569</v>
      </c>
      <c r="P1163">
        <v>27805.31</v>
      </c>
      <c r="Q1163">
        <v>13040.7</v>
      </c>
      <c r="R1163">
        <v>0</v>
      </c>
      <c r="S1163" s="1" t="s">
        <v>981</v>
      </c>
      <c r="T1163" s="1" t="s">
        <v>1268</v>
      </c>
      <c r="U1163">
        <v>27805.31</v>
      </c>
      <c r="V1163">
        <v>0</v>
      </c>
      <c r="W1163">
        <v>56867</v>
      </c>
    </row>
    <row r="1164" spans="1:23" x14ac:dyDescent="0.25">
      <c r="A1164" s="1" t="s">
        <v>27</v>
      </c>
      <c r="B1164" s="1" t="s">
        <v>59</v>
      </c>
      <c r="C1164" s="1" t="s">
        <v>132</v>
      </c>
      <c r="D1164">
        <v>5277</v>
      </c>
      <c r="E1164" s="1"/>
      <c r="F1164" s="1" t="s">
        <v>272</v>
      </c>
      <c r="G1164">
        <v>2008</v>
      </c>
      <c r="H1164">
        <v>29113.47</v>
      </c>
      <c r="I1164">
        <v>12</v>
      </c>
      <c r="J1164" s="1" t="s">
        <v>404</v>
      </c>
      <c r="K1164">
        <v>0</v>
      </c>
      <c r="L1164">
        <v>585</v>
      </c>
      <c r="M1164">
        <v>49.758108999999997</v>
      </c>
      <c r="N1164">
        <v>2</v>
      </c>
      <c r="O1164" s="1" t="s">
        <v>569</v>
      </c>
      <c r="P1164">
        <v>29113.47</v>
      </c>
      <c r="Q1164">
        <v>13654.21</v>
      </c>
      <c r="R1164">
        <v>0</v>
      </c>
      <c r="S1164" s="1" t="s">
        <v>981</v>
      </c>
      <c r="T1164" s="1" t="s">
        <v>1268</v>
      </c>
      <c r="U1164">
        <v>29113.467000000001</v>
      </c>
      <c r="V1164">
        <v>0</v>
      </c>
      <c r="W1164">
        <v>56867</v>
      </c>
    </row>
    <row r="1165" spans="1:23" x14ac:dyDescent="0.25">
      <c r="A1165" s="1" t="s">
        <v>27</v>
      </c>
      <c r="B1165" s="1" t="s">
        <v>60</v>
      </c>
      <c r="C1165" s="1" t="s">
        <v>133</v>
      </c>
      <c r="D1165">
        <v>5274</v>
      </c>
      <c r="E1165" s="1"/>
      <c r="F1165" s="1" t="s">
        <v>273</v>
      </c>
      <c r="G1165">
        <v>2015</v>
      </c>
      <c r="H1165">
        <v>14124.28</v>
      </c>
      <c r="I1165">
        <v>5</v>
      </c>
      <c r="J1165" s="1" t="s">
        <v>402</v>
      </c>
      <c r="K1165">
        <v>0</v>
      </c>
      <c r="L1165">
        <v>586</v>
      </c>
      <c r="M1165">
        <v>24.098754</v>
      </c>
      <c r="N1165">
        <v>2</v>
      </c>
      <c r="O1165" s="1" t="s">
        <v>569</v>
      </c>
      <c r="P1165">
        <v>14124.28</v>
      </c>
      <c r="Q1165">
        <v>5649.71</v>
      </c>
      <c r="R1165">
        <v>0</v>
      </c>
      <c r="S1165" s="1" t="s">
        <v>982</v>
      </c>
      <c r="T1165" s="1" t="s">
        <v>1269</v>
      </c>
      <c r="U1165">
        <v>14124.279</v>
      </c>
      <c r="V1165">
        <v>0</v>
      </c>
      <c r="W1165">
        <v>56849</v>
      </c>
    </row>
    <row r="1166" spans="1:23" x14ac:dyDescent="0.25">
      <c r="A1166" s="1" t="s">
        <v>27</v>
      </c>
      <c r="B1166" s="1" t="s">
        <v>60</v>
      </c>
      <c r="C1166" s="1" t="s">
        <v>133</v>
      </c>
      <c r="D1166">
        <v>5274</v>
      </c>
      <c r="E1166" s="1"/>
      <c r="F1166" s="1" t="s">
        <v>273</v>
      </c>
      <c r="G1166">
        <v>2014</v>
      </c>
      <c r="H1166">
        <v>35190.720000000001</v>
      </c>
      <c r="I1166">
        <v>12</v>
      </c>
      <c r="J1166" s="1" t="s">
        <v>402</v>
      </c>
      <c r="K1166">
        <v>0</v>
      </c>
      <c r="L1166">
        <v>586</v>
      </c>
      <c r="M1166">
        <v>60.042177000000002</v>
      </c>
      <c r="N1166">
        <v>2</v>
      </c>
      <c r="O1166" s="1" t="s">
        <v>569</v>
      </c>
      <c r="P1166">
        <v>35190.720000000001</v>
      </c>
      <c r="Q1166">
        <v>14076.28</v>
      </c>
      <c r="R1166">
        <v>0</v>
      </c>
      <c r="S1166" s="1" t="s">
        <v>982</v>
      </c>
      <c r="T1166" s="1" t="s">
        <v>1269</v>
      </c>
      <c r="U1166">
        <v>35190.720000000001</v>
      </c>
      <c r="V1166">
        <v>0</v>
      </c>
      <c r="W1166">
        <v>56849</v>
      </c>
    </row>
    <row r="1167" spans="1:23" x14ac:dyDescent="0.25">
      <c r="A1167" s="1" t="s">
        <v>27</v>
      </c>
      <c r="B1167" s="1" t="s">
        <v>60</v>
      </c>
      <c r="C1167" s="1" t="s">
        <v>133</v>
      </c>
      <c r="D1167">
        <v>5274</v>
      </c>
      <c r="E1167" s="1"/>
      <c r="F1167" s="1" t="s">
        <v>273</v>
      </c>
      <c r="G1167">
        <v>2013</v>
      </c>
      <c r="H1167">
        <v>34183.919999999998</v>
      </c>
      <c r="I1167">
        <v>12</v>
      </c>
      <c r="J1167" s="1" t="s">
        <v>402</v>
      </c>
      <c r="K1167">
        <v>0</v>
      </c>
      <c r="L1167">
        <v>586</v>
      </c>
      <c r="M1167">
        <v>58.324381000000002</v>
      </c>
      <c r="N1167">
        <v>2</v>
      </c>
      <c r="O1167" s="1" t="s">
        <v>569</v>
      </c>
      <c r="P1167">
        <v>34183.919999999998</v>
      </c>
      <c r="Q1167">
        <v>13673.55</v>
      </c>
      <c r="R1167">
        <v>0</v>
      </c>
      <c r="S1167" s="1" t="s">
        <v>982</v>
      </c>
      <c r="T1167" s="1" t="s">
        <v>1269</v>
      </c>
      <c r="U1167">
        <v>34183.911999999997</v>
      </c>
      <c r="V1167">
        <v>0</v>
      </c>
      <c r="W1167">
        <v>56849</v>
      </c>
    </row>
    <row r="1168" spans="1:23" x14ac:dyDescent="0.25">
      <c r="A1168" s="1" t="s">
        <v>27</v>
      </c>
      <c r="B1168" s="1" t="s">
        <v>60</v>
      </c>
      <c r="C1168" s="1" t="s">
        <v>133</v>
      </c>
      <c r="D1168">
        <v>5274</v>
      </c>
      <c r="E1168" s="1"/>
      <c r="F1168" s="1" t="s">
        <v>273</v>
      </c>
      <c r="G1168">
        <v>2012</v>
      </c>
      <c r="H1168">
        <v>31608.98</v>
      </c>
      <c r="I1168">
        <v>12</v>
      </c>
      <c r="J1168" s="1" t="s">
        <v>402</v>
      </c>
      <c r="K1168">
        <v>0</v>
      </c>
      <c r="L1168">
        <v>586</v>
      </c>
      <c r="M1168">
        <v>53.931035000000001</v>
      </c>
      <c r="N1168">
        <v>2</v>
      </c>
      <c r="O1168" s="1" t="s">
        <v>569</v>
      </c>
      <c r="P1168">
        <v>31608.98</v>
      </c>
      <c r="Q1168">
        <v>12643.59</v>
      </c>
      <c r="R1168">
        <v>0</v>
      </c>
      <c r="S1168" s="1" t="s">
        <v>982</v>
      </c>
      <c r="T1168" s="1" t="s">
        <v>1269</v>
      </c>
      <c r="U1168">
        <v>31608.975999999999</v>
      </c>
      <c r="V1168">
        <v>0</v>
      </c>
      <c r="W1168">
        <v>56849</v>
      </c>
    </row>
    <row r="1169" spans="1:23" x14ac:dyDescent="0.25">
      <c r="A1169" s="1" t="s">
        <v>27</v>
      </c>
      <c r="B1169" s="1" t="s">
        <v>60</v>
      </c>
      <c r="C1169" s="1" t="s">
        <v>133</v>
      </c>
      <c r="D1169">
        <v>5274</v>
      </c>
      <c r="E1169" s="1"/>
      <c r="F1169" s="1" t="s">
        <v>273</v>
      </c>
      <c r="G1169">
        <v>2011</v>
      </c>
      <c r="H1169">
        <v>31963.55</v>
      </c>
      <c r="I1169">
        <v>12</v>
      </c>
      <c r="J1169" s="1" t="s">
        <v>402</v>
      </c>
      <c r="K1169">
        <v>0</v>
      </c>
      <c r="L1169">
        <v>586</v>
      </c>
      <c r="M1169">
        <v>54.536000000000001</v>
      </c>
      <c r="N1169">
        <v>2</v>
      </c>
      <c r="O1169" s="1" t="s">
        <v>569</v>
      </c>
      <c r="P1169">
        <v>31963.55</v>
      </c>
      <c r="Q1169">
        <v>14990.91</v>
      </c>
      <c r="R1169">
        <v>0</v>
      </c>
      <c r="S1169" s="1" t="s">
        <v>982</v>
      </c>
      <c r="T1169" s="1" t="s">
        <v>1269</v>
      </c>
      <c r="U1169">
        <v>31963.537</v>
      </c>
      <c r="V1169">
        <v>0</v>
      </c>
      <c r="W1169">
        <v>56849</v>
      </c>
    </row>
    <row r="1170" spans="1:23" x14ac:dyDescent="0.25">
      <c r="A1170" s="1" t="s">
        <v>27</v>
      </c>
      <c r="B1170" s="1" t="s">
        <v>60</v>
      </c>
      <c r="C1170" s="1" t="s">
        <v>133</v>
      </c>
      <c r="D1170">
        <v>5274</v>
      </c>
      <c r="E1170" s="1"/>
      <c r="F1170" s="1" t="s">
        <v>273</v>
      </c>
      <c r="G1170">
        <v>2010</v>
      </c>
      <c r="H1170">
        <v>35487.370000000003</v>
      </c>
      <c r="I1170">
        <v>12</v>
      </c>
      <c r="J1170" s="1" t="s">
        <v>402</v>
      </c>
      <c r="K1170">
        <v>0</v>
      </c>
      <c r="L1170">
        <v>586</v>
      </c>
      <c r="M1170">
        <v>60.548318999999999</v>
      </c>
      <c r="N1170">
        <v>2</v>
      </c>
      <c r="O1170" s="1" t="s">
        <v>569</v>
      </c>
      <c r="P1170">
        <v>35487.370000000003</v>
      </c>
      <c r="Q1170">
        <v>16643.57</v>
      </c>
      <c r="R1170">
        <v>0</v>
      </c>
      <c r="S1170" s="1" t="s">
        <v>982</v>
      </c>
      <c r="T1170" s="1" t="s">
        <v>1269</v>
      </c>
      <c r="U1170">
        <v>35487.358</v>
      </c>
      <c r="V1170">
        <v>0</v>
      </c>
      <c r="W1170">
        <v>56849</v>
      </c>
    </row>
    <row r="1171" spans="1:23" x14ac:dyDescent="0.25">
      <c r="A1171" s="1" t="s">
        <v>27</v>
      </c>
      <c r="B1171" s="1" t="s">
        <v>60</v>
      </c>
      <c r="C1171" s="1" t="s">
        <v>133</v>
      </c>
      <c r="D1171">
        <v>5274</v>
      </c>
      <c r="E1171" s="1"/>
      <c r="F1171" s="1" t="s">
        <v>273</v>
      </c>
      <c r="G1171">
        <v>2009</v>
      </c>
      <c r="H1171">
        <v>39185.35</v>
      </c>
      <c r="I1171">
        <v>12</v>
      </c>
      <c r="J1171" s="1" t="s">
        <v>402</v>
      </c>
      <c r="K1171">
        <v>0</v>
      </c>
      <c r="L1171">
        <v>586</v>
      </c>
      <c r="M1171">
        <v>66.857787999999999</v>
      </c>
      <c r="N1171">
        <v>2</v>
      </c>
      <c r="O1171" s="1" t="s">
        <v>569</v>
      </c>
      <c r="P1171">
        <v>39185.35</v>
      </c>
      <c r="Q1171">
        <v>18377.93</v>
      </c>
      <c r="R1171">
        <v>0</v>
      </c>
      <c r="S1171" s="1" t="s">
        <v>982</v>
      </c>
      <c r="T1171" s="1" t="s">
        <v>1269</v>
      </c>
      <c r="U1171">
        <v>39185.351999999999</v>
      </c>
      <c r="V1171">
        <v>0</v>
      </c>
      <c r="W1171">
        <v>56849</v>
      </c>
    </row>
    <row r="1172" spans="1:23" x14ac:dyDescent="0.25">
      <c r="A1172" s="1" t="s">
        <v>27</v>
      </c>
      <c r="B1172" s="1" t="s">
        <v>60</v>
      </c>
      <c r="C1172" s="1" t="s">
        <v>133</v>
      </c>
      <c r="D1172">
        <v>5274</v>
      </c>
      <c r="E1172" s="1"/>
      <c r="F1172" s="1" t="s">
        <v>273</v>
      </c>
      <c r="G1172">
        <v>2008</v>
      </c>
      <c r="H1172">
        <v>24439.66</v>
      </c>
      <c r="I1172">
        <v>12</v>
      </c>
      <c r="J1172" s="1" t="s">
        <v>402</v>
      </c>
      <c r="K1172">
        <v>0</v>
      </c>
      <c r="L1172">
        <v>586</v>
      </c>
      <c r="M1172">
        <v>41.698788</v>
      </c>
      <c r="N1172">
        <v>2</v>
      </c>
      <c r="O1172" s="1" t="s">
        <v>569</v>
      </c>
      <c r="P1172">
        <v>24439.66</v>
      </c>
      <c r="Q1172">
        <v>11462.19</v>
      </c>
      <c r="R1172">
        <v>0</v>
      </c>
      <c r="S1172" s="1" t="s">
        <v>982</v>
      </c>
      <c r="T1172" s="1" t="s">
        <v>1269</v>
      </c>
      <c r="U1172">
        <v>24439.654999999999</v>
      </c>
      <c r="V1172">
        <v>0</v>
      </c>
      <c r="W1172">
        <v>56849</v>
      </c>
    </row>
    <row r="1173" spans="1:23" x14ac:dyDescent="0.25">
      <c r="A1173" s="1" t="s">
        <v>27</v>
      </c>
      <c r="B1173" s="1" t="s">
        <v>60</v>
      </c>
      <c r="C1173" s="1" t="s">
        <v>133</v>
      </c>
      <c r="D1173">
        <v>5274</v>
      </c>
      <c r="E1173" s="1"/>
      <c r="F1173" s="1" t="s">
        <v>273</v>
      </c>
      <c r="G1173">
        <v>2008</v>
      </c>
      <c r="H1173">
        <v>14177.42</v>
      </c>
      <c r="I1173">
        <v>6</v>
      </c>
      <c r="J1173" s="1" t="s">
        <v>519</v>
      </c>
      <c r="K1173">
        <v>0</v>
      </c>
      <c r="L1173">
        <v>586</v>
      </c>
      <c r="M1173">
        <v>24.189420999999999</v>
      </c>
      <c r="N1173">
        <v>2</v>
      </c>
      <c r="O1173" s="1" t="s">
        <v>569</v>
      </c>
      <c r="P1173">
        <v>14177.42</v>
      </c>
      <c r="Q1173">
        <v>6649.21</v>
      </c>
      <c r="R1173">
        <v>0</v>
      </c>
      <c r="S1173" s="1" t="s">
        <v>983</v>
      </c>
      <c r="T1173" s="1"/>
      <c r="U1173">
        <v>14177.41935</v>
      </c>
      <c r="V1173">
        <v>0</v>
      </c>
      <c r="W1173">
        <v>56852</v>
      </c>
    </row>
    <row r="1174" spans="1:23" x14ac:dyDescent="0.25">
      <c r="A1174" s="1" t="s">
        <v>27</v>
      </c>
      <c r="B1174" s="1" t="s">
        <v>61</v>
      </c>
      <c r="C1174" s="1" t="s">
        <v>134</v>
      </c>
      <c r="D1174">
        <v>5247</v>
      </c>
      <c r="E1174" s="1"/>
      <c r="F1174" s="1" t="s">
        <v>274</v>
      </c>
      <c r="G1174">
        <v>2015</v>
      </c>
      <c r="H1174">
        <v>3902.02</v>
      </c>
      <c r="I1174">
        <v>5</v>
      </c>
      <c r="J1174" s="1" t="s">
        <v>404</v>
      </c>
      <c r="K1174">
        <v>0</v>
      </c>
      <c r="L1174">
        <v>284</v>
      </c>
      <c r="M1174">
        <v>13.734669999999999</v>
      </c>
      <c r="N1174">
        <v>2</v>
      </c>
      <c r="O1174" s="1" t="s">
        <v>569</v>
      </c>
      <c r="P1174">
        <v>3902.02</v>
      </c>
      <c r="Q1174">
        <v>1560.81</v>
      </c>
      <c r="R1174">
        <v>0</v>
      </c>
      <c r="S1174" s="1" t="s">
        <v>984</v>
      </c>
      <c r="T1174" s="1" t="s">
        <v>1270</v>
      </c>
      <c r="U1174">
        <v>3902.0239999999999</v>
      </c>
      <c r="V1174">
        <v>0</v>
      </c>
      <c r="W1174">
        <v>56636</v>
      </c>
    </row>
    <row r="1175" spans="1:23" x14ac:dyDescent="0.25">
      <c r="A1175" s="1" t="s">
        <v>27</v>
      </c>
      <c r="B1175" s="1" t="s">
        <v>61</v>
      </c>
      <c r="C1175" s="1" t="s">
        <v>134</v>
      </c>
      <c r="D1175">
        <v>5247</v>
      </c>
      <c r="E1175" s="1"/>
      <c r="F1175" s="1" t="s">
        <v>274</v>
      </c>
      <c r="G1175">
        <v>2014</v>
      </c>
      <c r="H1175">
        <v>9406.6299999999992</v>
      </c>
      <c r="I1175">
        <v>12</v>
      </c>
      <c r="J1175" s="1" t="s">
        <v>404</v>
      </c>
      <c r="K1175">
        <v>0</v>
      </c>
      <c r="L1175">
        <v>284</v>
      </c>
      <c r="M1175">
        <v>33.110278000000001</v>
      </c>
      <c r="N1175">
        <v>2</v>
      </c>
      <c r="O1175" s="1" t="s">
        <v>569</v>
      </c>
      <c r="P1175">
        <v>9406.6299999999992</v>
      </c>
      <c r="Q1175">
        <v>3762.65</v>
      </c>
      <c r="R1175">
        <v>0</v>
      </c>
      <c r="S1175" s="1" t="s">
        <v>984</v>
      </c>
      <c r="T1175" s="1" t="s">
        <v>1270</v>
      </c>
      <c r="U1175">
        <v>9406.6219999999994</v>
      </c>
      <c r="V1175">
        <v>0</v>
      </c>
      <c r="W1175">
        <v>56636</v>
      </c>
    </row>
    <row r="1176" spans="1:23" x14ac:dyDescent="0.25">
      <c r="A1176" s="1" t="s">
        <v>27</v>
      </c>
      <c r="B1176" s="1" t="s">
        <v>61</v>
      </c>
      <c r="C1176" s="1" t="s">
        <v>134</v>
      </c>
      <c r="D1176">
        <v>5247</v>
      </c>
      <c r="E1176" s="1"/>
      <c r="F1176" s="1" t="s">
        <v>274</v>
      </c>
      <c r="G1176">
        <v>2013</v>
      </c>
      <c r="H1176">
        <v>9511.19</v>
      </c>
      <c r="I1176">
        <v>12</v>
      </c>
      <c r="J1176" s="1" t="s">
        <v>404</v>
      </c>
      <c r="K1176">
        <v>0</v>
      </c>
      <c r="L1176">
        <v>284</v>
      </c>
      <c r="M1176">
        <v>33.478316999999997</v>
      </c>
      <c r="N1176">
        <v>2</v>
      </c>
      <c r="O1176" s="1" t="s">
        <v>569</v>
      </c>
      <c r="P1176">
        <v>9511.19</v>
      </c>
      <c r="Q1176">
        <v>3804.45</v>
      </c>
      <c r="R1176">
        <v>0</v>
      </c>
      <c r="S1176" s="1" t="s">
        <v>984</v>
      </c>
      <c r="T1176" s="1" t="s">
        <v>1270</v>
      </c>
      <c r="U1176">
        <v>9511.18</v>
      </c>
      <c r="V1176">
        <v>0</v>
      </c>
      <c r="W1176">
        <v>56636</v>
      </c>
    </row>
    <row r="1177" spans="1:23" x14ac:dyDescent="0.25">
      <c r="A1177" s="1" t="s">
        <v>27</v>
      </c>
      <c r="B1177" s="1" t="s">
        <v>61</v>
      </c>
      <c r="C1177" s="1" t="s">
        <v>134</v>
      </c>
      <c r="D1177">
        <v>5247</v>
      </c>
      <c r="E1177" s="1"/>
      <c r="F1177" s="1" t="s">
        <v>274</v>
      </c>
      <c r="G1177">
        <v>2012</v>
      </c>
      <c r="H1177">
        <v>10187.25</v>
      </c>
      <c r="I1177">
        <v>12</v>
      </c>
      <c r="J1177" s="1" t="s">
        <v>404</v>
      </c>
      <c r="K1177">
        <v>0</v>
      </c>
      <c r="L1177">
        <v>284</v>
      </c>
      <c r="M1177">
        <v>35.857971999999997</v>
      </c>
      <c r="N1177">
        <v>2</v>
      </c>
      <c r="O1177" s="1" t="s">
        <v>569</v>
      </c>
      <c r="P1177">
        <v>10187.25</v>
      </c>
      <c r="Q1177">
        <v>4074.89</v>
      </c>
      <c r="R1177">
        <v>0</v>
      </c>
      <c r="S1177" s="1" t="s">
        <v>984</v>
      </c>
      <c r="T1177" s="1" t="s">
        <v>1270</v>
      </c>
      <c r="U1177">
        <v>10187.248</v>
      </c>
      <c r="V1177">
        <v>0</v>
      </c>
      <c r="W1177">
        <v>56636</v>
      </c>
    </row>
    <row r="1178" spans="1:23" x14ac:dyDescent="0.25">
      <c r="A1178" s="1" t="s">
        <v>27</v>
      </c>
      <c r="B1178" s="1" t="s">
        <v>61</v>
      </c>
      <c r="C1178" s="1" t="s">
        <v>134</v>
      </c>
      <c r="D1178">
        <v>5247</v>
      </c>
      <c r="E1178" s="1"/>
      <c r="F1178" s="1" t="s">
        <v>274</v>
      </c>
      <c r="G1178">
        <v>2011</v>
      </c>
      <c r="H1178">
        <v>12867.66</v>
      </c>
      <c r="I1178">
        <v>12</v>
      </c>
      <c r="J1178" s="1" t="s">
        <v>404</v>
      </c>
      <c r="K1178">
        <v>0</v>
      </c>
      <c r="L1178">
        <v>284</v>
      </c>
      <c r="M1178">
        <v>45.292712999999999</v>
      </c>
      <c r="N1178">
        <v>2</v>
      </c>
      <c r="O1178" s="1" t="s">
        <v>569</v>
      </c>
      <c r="P1178">
        <v>12867.66</v>
      </c>
      <c r="Q1178">
        <v>6034.93</v>
      </c>
      <c r="R1178">
        <v>0</v>
      </c>
      <c r="S1178" s="1" t="s">
        <v>984</v>
      </c>
      <c r="T1178" s="1" t="s">
        <v>1270</v>
      </c>
      <c r="U1178">
        <v>12867.665999999999</v>
      </c>
      <c r="V1178">
        <v>0</v>
      </c>
      <c r="W1178">
        <v>56636</v>
      </c>
    </row>
    <row r="1179" spans="1:23" x14ac:dyDescent="0.25">
      <c r="A1179" s="1" t="s">
        <v>27</v>
      </c>
      <c r="B1179" s="1" t="s">
        <v>61</v>
      </c>
      <c r="C1179" s="1" t="s">
        <v>134</v>
      </c>
      <c r="D1179">
        <v>5247</v>
      </c>
      <c r="E1179" s="1"/>
      <c r="F1179" s="1" t="s">
        <v>274</v>
      </c>
      <c r="G1179">
        <v>2010</v>
      </c>
      <c r="H1179">
        <v>11690</v>
      </c>
      <c r="I1179">
        <v>12</v>
      </c>
      <c r="J1179" s="1" t="s">
        <v>404</v>
      </c>
      <c r="K1179">
        <v>0</v>
      </c>
      <c r="L1179">
        <v>284</v>
      </c>
      <c r="M1179">
        <v>41.147483000000001</v>
      </c>
      <c r="N1179">
        <v>2</v>
      </c>
      <c r="O1179" s="1" t="s">
        <v>569</v>
      </c>
      <c r="P1179">
        <v>11690</v>
      </c>
      <c r="Q1179">
        <v>5482.6</v>
      </c>
      <c r="R1179">
        <v>0</v>
      </c>
      <c r="S1179" s="1" t="s">
        <v>984</v>
      </c>
      <c r="T1179" s="1" t="s">
        <v>1270</v>
      </c>
      <c r="U1179">
        <v>11690.007799999999</v>
      </c>
      <c r="V1179">
        <v>0</v>
      </c>
      <c r="W1179">
        <v>56636</v>
      </c>
    </row>
    <row r="1180" spans="1:23" x14ac:dyDescent="0.25">
      <c r="A1180" s="1" t="s">
        <v>27</v>
      </c>
      <c r="B1180" s="1" t="s">
        <v>61</v>
      </c>
      <c r="C1180" s="1" t="s">
        <v>134</v>
      </c>
      <c r="D1180">
        <v>5247</v>
      </c>
      <c r="E1180" s="1"/>
      <c r="F1180" s="1" t="s">
        <v>274</v>
      </c>
      <c r="G1180">
        <v>2009</v>
      </c>
      <c r="H1180">
        <v>12166.63</v>
      </c>
      <c r="I1180">
        <v>12</v>
      </c>
      <c r="J1180" s="1" t="s">
        <v>404</v>
      </c>
      <c r="K1180">
        <v>0</v>
      </c>
      <c r="L1180">
        <v>284</v>
      </c>
      <c r="M1180">
        <v>42.825167</v>
      </c>
      <c r="N1180">
        <v>2</v>
      </c>
      <c r="O1180" s="1" t="s">
        <v>569</v>
      </c>
      <c r="P1180">
        <v>12166.63</v>
      </c>
      <c r="Q1180">
        <v>5706.14</v>
      </c>
      <c r="R1180">
        <v>0</v>
      </c>
      <c r="S1180" s="1" t="s">
        <v>984</v>
      </c>
      <c r="T1180" s="1" t="s">
        <v>1270</v>
      </c>
      <c r="U1180">
        <v>12166.6343</v>
      </c>
      <c r="V1180">
        <v>0</v>
      </c>
      <c r="W1180">
        <v>56636</v>
      </c>
    </row>
    <row r="1181" spans="1:23" x14ac:dyDescent="0.25">
      <c r="A1181" s="1" t="s">
        <v>27</v>
      </c>
      <c r="B1181" s="1" t="s">
        <v>61</v>
      </c>
      <c r="C1181" s="1" t="s">
        <v>134</v>
      </c>
      <c r="D1181">
        <v>5247</v>
      </c>
      <c r="E1181" s="1"/>
      <c r="F1181" s="1" t="s">
        <v>274</v>
      </c>
      <c r="G1181">
        <v>2008</v>
      </c>
      <c r="H1181">
        <v>11708.72</v>
      </c>
      <c r="I1181">
        <v>12</v>
      </c>
      <c r="J1181" s="1" t="s">
        <v>404</v>
      </c>
      <c r="K1181">
        <v>0</v>
      </c>
      <c r="L1181">
        <v>284</v>
      </c>
      <c r="M1181">
        <v>41.213374999999999</v>
      </c>
      <c r="N1181">
        <v>2</v>
      </c>
      <c r="O1181" s="1" t="s">
        <v>569</v>
      </c>
      <c r="P1181">
        <v>11708.72</v>
      </c>
      <c r="Q1181">
        <v>5491.39</v>
      </c>
      <c r="R1181">
        <v>0</v>
      </c>
      <c r="S1181" s="1" t="s">
        <v>984</v>
      </c>
      <c r="T1181" s="1" t="s">
        <v>1270</v>
      </c>
      <c r="U1181">
        <v>11708.727999999999</v>
      </c>
      <c r="V1181">
        <v>0</v>
      </c>
      <c r="W1181">
        <v>56636</v>
      </c>
    </row>
    <row r="1182" spans="1:23" x14ac:dyDescent="0.25">
      <c r="A1182" s="1" t="s">
        <v>27</v>
      </c>
      <c r="B1182" s="1"/>
      <c r="C1182" s="1" t="s">
        <v>135</v>
      </c>
      <c r="D1182">
        <v>10019</v>
      </c>
      <c r="E1182" s="1"/>
      <c r="F1182" s="1" t="s">
        <v>275</v>
      </c>
      <c r="G1182">
        <v>2015</v>
      </c>
      <c r="H1182">
        <v>10831.77</v>
      </c>
      <c r="I1182">
        <v>5</v>
      </c>
      <c r="J1182" s="1" t="s">
        <v>403</v>
      </c>
      <c r="K1182">
        <v>0</v>
      </c>
      <c r="L1182">
        <v>598</v>
      </c>
      <c r="M1182">
        <v>18.110299000000001</v>
      </c>
      <c r="N1182">
        <v>2</v>
      </c>
      <c r="O1182" s="1" t="s">
        <v>569</v>
      </c>
      <c r="P1182">
        <v>10831.77</v>
      </c>
      <c r="Q1182">
        <v>3249.53</v>
      </c>
      <c r="R1182">
        <v>0</v>
      </c>
      <c r="S1182" s="1" t="s">
        <v>985</v>
      </c>
      <c r="T1182" s="1" t="s">
        <v>1271</v>
      </c>
      <c r="U1182">
        <v>10831.77</v>
      </c>
      <c r="V1182">
        <v>0</v>
      </c>
      <c r="W1182">
        <v>76531</v>
      </c>
    </row>
    <row r="1183" spans="1:23" x14ac:dyDescent="0.25">
      <c r="A1183" s="1" t="s">
        <v>27</v>
      </c>
      <c r="B1183" s="1"/>
      <c r="C1183" s="1" t="s">
        <v>135</v>
      </c>
      <c r="D1183">
        <v>10019</v>
      </c>
      <c r="E1183" s="1"/>
      <c r="F1183" s="1" t="s">
        <v>275</v>
      </c>
      <c r="G1183">
        <v>2014</v>
      </c>
      <c r="H1183">
        <v>26480.69</v>
      </c>
      <c r="I1183">
        <v>12</v>
      </c>
      <c r="J1183" s="1" t="s">
        <v>403</v>
      </c>
      <c r="K1183">
        <v>0</v>
      </c>
      <c r="L1183">
        <v>598</v>
      </c>
      <c r="M1183">
        <v>44.274686000000003</v>
      </c>
      <c r="N1183">
        <v>2</v>
      </c>
      <c r="O1183" s="1" t="s">
        <v>569</v>
      </c>
      <c r="P1183">
        <v>26480.69</v>
      </c>
      <c r="Q1183">
        <v>7944.21</v>
      </c>
      <c r="R1183">
        <v>0</v>
      </c>
      <c r="S1183" s="1" t="s">
        <v>985</v>
      </c>
      <c r="T1183" s="1" t="s">
        <v>1271</v>
      </c>
      <c r="U1183">
        <v>26480.686000000002</v>
      </c>
      <c r="V1183">
        <v>0</v>
      </c>
      <c r="W1183">
        <v>76531</v>
      </c>
    </row>
    <row r="1184" spans="1:23" x14ac:dyDescent="0.25">
      <c r="A1184" s="1" t="s">
        <v>27</v>
      </c>
      <c r="B1184" s="1"/>
      <c r="C1184" s="1" t="s">
        <v>135</v>
      </c>
      <c r="D1184">
        <v>10019</v>
      </c>
      <c r="E1184" s="1"/>
      <c r="F1184" s="1" t="s">
        <v>275</v>
      </c>
      <c r="G1184">
        <v>2013</v>
      </c>
      <c r="H1184">
        <v>28552.16</v>
      </c>
      <c r="I1184">
        <v>12</v>
      </c>
      <c r="J1184" s="1" t="s">
        <v>403</v>
      </c>
      <c r="K1184">
        <v>0</v>
      </c>
      <c r="L1184">
        <v>598</v>
      </c>
      <c r="M1184">
        <v>47.738103000000002</v>
      </c>
      <c r="N1184">
        <v>2</v>
      </c>
      <c r="O1184" s="1" t="s">
        <v>569</v>
      </c>
      <c r="P1184">
        <v>28552.16</v>
      </c>
      <c r="Q1184">
        <v>8565.64</v>
      </c>
      <c r="R1184">
        <v>0</v>
      </c>
      <c r="S1184" s="1" t="s">
        <v>985</v>
      </c>
      <c r="T1184" s="1" t="s">
        <v>1271</v>
      </c>
      <c r="U1184">
        <v>28552.151000000002</v>
      </c>
      <c r="V1184">
        <v>0</v>
      </c>
      <c r="W1184">
        <v>76531</v>
      </c>
    </row>
    <row r="1185" spans="1:23" x14ac:dyDescent="0.25">
      <c r="A1185" s="1" t="s">
        <v>27</v>
      </c>
      <c r="B1185" s="1"/>
      <c r="C1185" s="1" t="s">
        <v>135</v>
      </c>
      <c r="D1185">
        <v>10019</v>
      </c>
      <c r="E1185" s="1"/>
      <c r="F1185" s="1" t="s">
        <v>275</v>
      </c>
      <c r="G1185">
        <v>2012</v>
      </c>
      <c r="H1185">
        <v>29762.29</v>
      </c>
      <c r="I1185">
        <v>12</v>
      </c>
      <c r="J1185" s="1" t="s">
        <v>403</v>
      </c>
      <c r="K1185">
        <v>0</v>
      </c>
      <c r="L1185">
        <v>598</v>
      </c>
      <c r="M1185">
        <v>49.761394000000003</v>
      </c>
      <c r="N1185">
        <v>2</v>
      </c>
      <c r="O1185" s="1" t="s">
        <v>569</v>
      </c>
      <c r="P1185">
        <v>29762.29</v>
      </c>
      <c r="Q1185">
        <v>11904.91</v>
      </c>
      <c r="R1185">
        <v>0</v>
      </c>
      <c r="S1185" s="1" t="s">
        <v>985</v>
      </c>
      <c r="T1185" s="1" t="s">
        <v>1271</v>
      </c>
      <c r="U1185">
        <v>29762.277999999998</v>
      </c>
      <c r="V1185">
        <v>0</v>
      </c>
      <c r="W1185">
        <v>76531</v>
      </c>
    </row>
    <row r="1186" spans="1:23" x14ac:dyDescent="0.25">
      <c r="A1186" s="1" t="s">
        <v>27</v>
      </c>
      <c r="B1186" s="1"/>
      <c r="C1186" s="1" t="s">
        <v>135</v>
      </c>
      <c r="D1186">
        <v>10019</v>
      </c>
      <c r="E1186" s="1"/>
      <c r="F1186" s="1" t="s">
        <v>275</v>
      </c>
      <c r="G1186">
        <v>2011</v>
      </c>
      <c r="H1186">
        <v>29981.06</v>
      </c>
      <c r="I1186">
        <v>12</v>
      </c>
      <c r="J1186" s="1" t="s">
        <v>403</v>
      </c>
      <c r="K1186">
        <v>0</v>
      </c>
      <c r="L1186">
        <v>598</v>
      </c>
      <c r="M1186">
        <v>50.127169000000002</v>
      </c>
      <c r="N1186">
        <v>2</v>
      </c>
      <c r="O1186" s="1" t="s">
        <v>569</v>
      </c>
      <c r="P1186">
        <v>29981.06</v>
      </c>
      <c r="Q1186">
        <v>14061.13</v>
      </c>
      <c r="R1186">
        <v>0</v>
      </c>
      <c r="S1186" s="1" t="s">
        <v>985</v>
      </c>
      <c r="T1186" s="1" t="s">
        <v>1271</v>
      </c>
      <c r="U1186">
        <v>29981.069</v>
      </c>
      <c r="V1186">
        <v>0</v>
      </c>
      <c r="W1186">
        <v>76531</v>
      </c>
    </row>
    <row r="1187" spans="1:23" x14ac:dyDescent="0.25">
      <c r="A1187" s="1" t="s">
        <v>27</v>
      </c>
      <c r="B1187" s="1"/>
      <c r="C1187" s="1" t="s">
        <v>135</v>
      </c>
      <c r="D1187">
        <v>10019</v>
      </c>
      <c r="E1187" s="1"/>
      <c r="F1187" s="1" t="s">
        <v>275</v>
      </c>
      <c r="G1187">
        <v>2010</v>
      </c>
      <c r="H1187">
        <v>28781.26</v>
      </c>
      <c r="I1187">
        <v>12</v>
      </c>
      <c r="J1187" s="1" t="s">
        <v>403</v>
      </c>
      <c r="K1187">
        <v>0</v>
      </c>
      <c r="L1187">
        <v>598</v>
      </c>
      <c r="M1187">
        <v>48.12115</v>
      </c>
      <c r="N1187">
        <v>2</v>
      </c>
      <c r="O1187" s="1" t="s">
        <v>569</v>
      </c>
      <c r="P1187">
        <v>28781.26</v>
      </c>
      <c r="Q1187">
        <v>13498.42</v>
      </c>
      <c r="R1187">
        <v>0</v>
      </c>
      <c r="S1187" s="1" t="s">
        <v>985</v>
      </c>
      <c r="T1187" s="1" t="s">
        <v>1271</v>
      </c>
      <c r="U1187">
        <v>28781.25116</v>
      </c>
      <c r="V1187">
        <v>0</v>
      </c>
      <c r="W1187">
        <v>76531</v>
      </c>
    </row>
    <row r="1188" spans="1:23" x14ac:dyDescent="0.25">
      <c r="A1188" s="1" t="s">
        <v>27</v>
      </c>
      <c r="B1188" s="1"/>
      <c r="C1188" s="1" t="s">
        <v>135</v>
      </c>
      <c r="D1188">
        <v>10019</v>
      </c>
      <c r="E1188" s="1"/>
      <c r="F1188" s="1" t="s">
        <v>275</v>
      </c>
      <c r="G1188">
        <v>2009</v>
      </c>
      <c r="H1188">
        <v>32927.99</v>
      </c>
      <c r="I1188">
        <v>6</v>
      </c>
      <c r="J1188" s="1" t="s">
        <v>403</v>
      </c>
      <c r="K1188">
        <v>0</v>
      </c>
      <c r="L1188">
        <v>598</v>
      </c>
      <c r="M1188">
        <v>55.054321999999999</v>
      </c>
      <c r="N1188">
        <v>2</v>
      </c>
      <c r="O1188" s="1" t="s">
        <v>569</v>
      </c>
      <c r="P1188">
        <v>32927.99</v>
      </c>
      <c r="Q1188">
        <v>15443.23</v>
      </c>
      <c r="R1188">
        <v>0</v>
      </c>
      <c r="S1188" s="1" t="s">
        <v>985</v>
      </c>
      <c r="T1188" s="1" t="s">
        <v>1271</v>
      </c>
      <c r="U1188">
        <v>32927.986830000002</v>
      </c>
      <c r="V1188">
        <v>0</v>
      </c>
      <c r="W1188">
        <v>76531</v>
      </c>
    </row>
    <row r="1189" spans="1:23" x14ac:dyDescent="0.25">
      <c r="A1189" s="1" t="s">
        <v>27</v>
      </c>
      <c r="B1189" s="1"/>
      <c r="C1189" s="1" t="s">
        <v>135</v>
      </c>
      <c r="D1189">
        <v>10019</v>
      </c>
      <c r="E1189" s="1"/>
      <c r="F1189" s="1" t="s">
        <v>275</v>
      </c>
      <c r="G1189">
        <v>2008</v>
      </c>
      <c r="H1189">
        <v>32153.61</v>
      </c>
      <c r="I1189">
        <v>5</v>
      </c>
      <c r="J1189" s="1" t="s">
        <v>403</v>
      </c>
      <c r="K1189">
        <v>0</v>
      </c>
      <c r="L1189">
        <v>598</v>
      </c>
      <c r="M1189">
        <v>53.759588000000001</v>
      </c>
      <c r="N1189">
        <v>2</v>
      </c>
      <c r="O1189" s="1" t="s">
        <v>569</v>
      </c>
      <c r="P1189">
        <v>32153.61</v>
      </c>
      <c r="Q1189">
        <v>15080.05</v>
      </c>
      <c r="R1189">
        <v>0</v>
      </c>
      <c r="S1189" s="1" t="s">
        <v>985</v>
      </c>
      <c r="T1189" s="1" t="s">
        <v>1271</v>
      </c>
      <c r="U1189">
        <v>32153.599999999999</v>
      </c>
      <c r="V1189">
        <v>0</v>
      </c>
      <c r="W1189">
        <v>76531</v>
      </c>
    </row>
    <row r="1190" spans="1:23" x14ac:dyDescent="0.25">
      <c r="A1190" s="1" t="s">
        <v>27</v>
      </c>
      <c r="B1190" s="1"/>
      <c r="C1190" s="1" t="s">
        <v>136</v>
      </c>
      <c r="D1190">
        <v>10056</v>
      </c>
      <c r="E1190" s="1"/>
      <c r="F1190" s="1" t="s">
        <v>136</v>
      </c>
      <c r="G1190">
        <v>2015</v>
      </c>
      <c r="H1190">
        <v>12164.13</v>
      </c>
      <c r="I1190">
        <v>5</v>
      </c>
      <c r="J1190" s="1"/>
      <c r="K1190">
        <v>0</v>
      </c>
      <c r="L1190">
        <v>836</v>
      </c>
      <c r="M1190">
        <v>14.548654000000001</v>
      </c>
      <c r="N1190">
        <v>2</v>
      </c>
      <c r="O1190" s="1" t="s">
        <v>569</v>
      </c>
      <c r="P1190">
        <v>12164.13</v>
      </c>
      <c r="Q1190">
        <v>3649.25</v>
      </c>
      <c r="R1190">
        <v>0</v>
      </c>
      <c r="S1190" s="1" t="s">
        <v>986</v>
      </c>
      <c r="T1190" s="1" t="s">
        <v>1272</v>
      </c>
      <c r="U1190">
        <v>12164.135</v>
      </c>
      <c r="V1190">
        <v>0</v>
      </c>
      <c r="W1190">
        <v>90613</v>
      </c>
    </row>
    <row r="1191" spans="1:23" x14ac:dyDescent="0.25">
      <c r="A1191" s="1" t="s">
        <v>27</v>
      </c>
      <c r="B1191" s="1"/>
      <c r="C1191" s="1" t="s">
        <v>136</v>
      </c>
      <c r="D1191">
        <v>10056</v>
      </c>
      <c r="E1191" s="1"/>
      <c r="F1191" s="1" t="s">
        <v>136</v>
      </c>
      <c r="G1191">
        <v>2014</v>
      </c>
      <c r="H1191">
        <v>29030.31</v>
      </c>
      <c r="I1191">
        <v>12</v>
      </c>
      <c r="J1191" s="1"/>
      <c r="K1191">
        <v>0</v>
      </c>
      <c r="L1191">
        <v>836</v>
      </c>
      <c r="M1191">
        <v>34.721097</v>
      </c>
      <c r="N1191">
        <v>2</v>
      </c>
      <c r="O1191" s="1" t="s">
        <v>569</v>
      </c>
      <c r="P1191">
        <v>29030.31</v>
      </c>
      <c r="Q1191">
        <v>8709.09</v>
      </c>
      <c r="R1191">
        <v>0</v>
      </c>
      <c r="S1191" s="1" t="s">
        <v>986</v>
      </c>
      <c r="T1191" s="1" t="s">
        <v>1272</v>
      </c>
      <c r="U1191">
        <v>29030.326000000001</v>
      </c>
      <c r="V1191">
        <v>0</v>
      </c>
      <c r="W1191">
        <v>90613</v>
      </c>
    </row>
    <row r="1192" spans="1:23" x14ac:dyDescent="0.25">
      <c r="A1192" s="1" t="s">
        <v>27</v>
      </c>
      <c r="B1192" s="1"/>
      <c r="C1192" s="1" t="s">
        <v>136</v>
      </c>
      <c r="D1192">
        <v>10056</v>
      </c>
      <c r="E1192" s="1"/>
      <c r="F1192" s="1" t="s">
        <v>136</v>
      </c>
      <c r="G1192">
        <v>2013</v>
      </c>
      <c r="H1192">
        <v>29597.45</v>
      </c>
      <c r="I1192">
        <v>12</v>
      </c>
      <c r="J1192" s="1"/>
      <c r="K1192">
        <v>0</v>
      </c>
      <c r="L1192">
        <v>836</v>
      </c>
      <c r="M1192">
        <v>35.399413000000003</v>
      </c>
      <c r="N1192">
        <v>2</v>
      </c>
      <c r="O1192" s="1" t="s">
        <v>569</v>
      </c>
      <c r="P1192">
        <v>29597.45</v>
      </c>
      <c r="Q1192">
        <v>8879.23</v>
      </c>
      <c r="R1192">
        <v>0</v>
      </c>
      <c r="S1192" s="1" t="s">
        <v>986</v>
      </c>
      <c r="T1192" s="1" t="s">
        <v>1272</v>
      </c>
      <c r="U1192">
        <v>29597.43</v>
      </c>
      <c r="V1192">
        <v>0</v>
      </c>
      <c r="W1192">
        <v>90613</v>
      </c>
    </row>
    <row r="1193" spans="1:23" x14ac:dyDescent="0.25">
      <c r="A1193" s="1" t="s">
        <v>27</v>
      </c>
      <c r="B1193" s="1"/>
      <c r="C1193" s="1" t="s">
        <v>136</v>
      </c>
      <c r="D1193">
        <v>10056</v>
      </c>
      <c r="E1193" s="1"/>
      <c r="F1193" s="1" t="s">
        <v>136</v>
      </c>
      <c r="G1193">
        <v>2012</v>
      </c>
      <c r="H1193">
        <v>32745.46</v>
      </c>
      <c r="I1193">
        <v>12</v>
      </c>
      <c r="J1193" s="1"/>
      <c r="K1193">
        <v>0</v>
      </c>
      <c r="L1193">
        <v>836</v>
      </c>
      <c r="M1193">
        <v>39.164524999999998</v>
      </c>
      <c r="N1193">
        <v>2</v>
      </c>
      <c r="O1193" s="1" t="s">
        <v>569</v>
      </c>
      <c r="P1193">
        <v>32745.46</v>
      </c>
      <c r="Q1193">
        <v>13098.18</v>
      </c>
      <c r="R1193">
        <v>0</v>
      </c>
      <c r="S1193" s="1" t="s">
        <v>986</v>
      </c>
      <c r="T1193" s="1" t="s">
        <v>1272</v>
      </c>
      <c r="U1193">
        <v>32745.45</v>
      </c>
      <c r="V1193">
        <v>0</v>
      </c>
      <c r="W1193">
        <v>90613</v>
      </c>
    </row>
    <row r="1194" spans="1:23" x14ac:dyDescent="0.25">
      <c r="A1194" s="1" t="s">
        <v>27</v>
      </c>
      <c r="B1194" s="1"/>
      <c r="C1194" s="1" t="s">
        <v>136</v>
      </c>
      <c r="D1194">
        <v>10056</v>
      </c>
      <c r="E1194" s="1"/>
      <c r="F1194" s="1" t="s">
        <v>136</v>
      </c>
      <c r="G1194">
        <v>2011</v>
      </c>
      <c r="H1194">
        <v>33037.65</v>
      </c>
      <c r="I1194">
        <v>12</v>
      </c>
      <c r="J1194" s="1"/>
      <c r="K1194">
        <v>0</v>
      </c>
      <c r="L1194">
        <v>836</v>
      </c>
      <c r="M1194">
        <v>39.513992999999999</v>
      </c>
      <c r="N1194">
        <v>2</v>
      </c>
      <c r="O1194" s="1" t="s">
        <v>569</v>
      </c>
      <c r="P1194">
        <v>33037.65</v>
      </c>
      <c r="Q1194">
        <v>15494.65</v>
      </c>
      <c r="R1194">
        <v>0</v>
      </c>
      <c r="S1194" s="1" t="s">
        <v>986</v>
      </c>
      <c r="T1194" s="1" t="s">
        <v>1272</v>
      </c>
      <c r="U1194">
        <v>33037.665000000001</v>
      </c>
      <c r="V1194">
        <v>0</v>
      </c>
      <c r="W1194">
        <v>90613</v>
      </c>
    </row>
    <row r="1195" spans="1:23" x14ac:dyDescent="0.25">
      <c r="A1195" s="1" t="s">
        <v>27</v>
      </c>
      <c r="B1195" s="1"/>
      <c r="C1195" s="1" t="s">
        <v>136</v>
      </c>
      <c r="D1195">
        <v>10056</v>
      </c>
      <c r="E1195" s="1"/>
      <c r="F1195" s="1" t="s">
        <v>136</v>
      </c>
      <c r="G1195">
        <v>2010</v>
      </c>
      <c r="H1195">
        <v>6479.08</v>
      </c>
      <c r="I1195">
        <v>2</v>
      </c>
      <c r="J1195" s="1"/>
      <c r="K1195">
        <v>0</v>
      </c>
      <c r="L1195">
        <v>836</v>
      </c>
      <c r="M1195">
        <v>7.7491680000000001</v>
      </c>
      <c r="N1195">
        <v>2</v>
      </c>
      <c r="O1195" s="1" t="s">
        <v>569</v>
      </c>
      <c r="P1195">
        <v>6479.08</v>
      </c>
      <c r="Q1195">
        <v>3038.69</v>
      </c>
      <c r="R1195">
        <v>0</v>
      </c>
      <c r="S1195" s="1" t="s">
        <v>986</v>
      </c>
      <c r="T1195" s="1" t="s">
        <v>1272</v>
      </c>
      <c r="U1195">
        <v>6479.085</v>
      </c>
      <c r="V1195">
        <v>0</v>
      </c>
      <c r="W1195">
        <v>90613</v>
      </c>
    </row>
    <row r="1196" spans="1:23" x14ac:dyDescent="0.25">
      <c r="A1196" s="1" t="s">
        <v>27</v>
      </c>
      <c r="B1196" s="1"/>
      <c r="C1196" s="1" t="s">
        <v>136</v>
      </c>
      <c r="D1196">
        <v>10056</v>
      </c>
      <c r="E1196" s="1"/>
      <c r="F1196" s="1" t="s">
        <v>136</v>
      </c>
      <c r="G1196">
        <v>2010</v>
      </c>
      <c r="H1196">
        <v>25155.53</v>
      </c>
      <c r="I1196">
        <v>8</v>
      </c>
      <c r="J1196" s="1" t="s">
        <v>405</v>
      </c>
      <c r="K1196">
        <v>0</v>
      </c>
      <c r="L1196">
        <v>836</v>
      </c>
      <c r="M1196">
        <v>30.086746999999999</v>
      </c>
      <c r="N1196">
        <v>2</v>
      </c>
      <c r="O1196" s="1" t="s">
        <v>569</v>
      </c>
      <c r="P1196">
        <v>25155.53</v>
      </c>
      <c r="Q1196">
        <v>11797.96</v>
      </c>
      <c r="R1196">
        <v>0</v>
      </c>
      <c r="S1196" s="1" t="s">
        <v>810</v>
      </c>
      <c r="T1196" s="1"/>
      <c r="U1196">
        <v>25155.534250000001</v>
      </c>
      <c r="V1196">
        <v>0</v>
      </c>
      <c r="W1196">
        <v>76676</v>
      </c>
    </row>
    <row r="1197" spans="1:23" x14ac:dyDescent="0.25">
      <c r="A1197" s="1" t="s">
        <v>27</v>
      </c>
      <c r="B1197" s="1"/>
      <c r="C1197" s="1" t="s">
        <v>136</v>
      </c>
      <c r="D1197">
        <v>10056</v>
      </c>
      <c r="E1197" s="1"/>
      <c r="F1197" s="1" t="s">
        <v>136</v>
      </c>
      <c r="G1197">
        <v>2009</v>
      </c>
      <c r="H1197">
        <v>28972.52</v>
      </c>
      <c r="I1197">
        <v>6</v>
      </c>
      <c r="J1197" s="1" t="s">
        <v>405</v>
      </c>
      <c r="K1197">
        <v>0</v>
      </c>
      <c r="L1197">
        <v>836</v>
      </c>
      <c r="M1197">
        <v>34.651978999999997</v>
      </c>
      <c r="N1197">
        <v>2</v>
      </c>
      <c r="O1197" s="1" t="s">
        <v>569</v>
      </c>
      <c r="P1197">
        <v>28972.52</v>
      </c>
      <c r="Q1197">
        <v>13588.12</v>
      </c>
      <c r="R1197">
        <v>0</v>
      </c>
      <c r="S1197" s="1" t="s">
        <v>810</v>
      </c>
      <c r="T1197" s="1"/>
      <c r="U1197">
        <v>28972.518390000001</v>
      </c>
      <c r="V1197">
        <v>0</v>
      </c>
      <c r="W1197">
        <v>76676</v>
      </c>
    </row>
    <row r="1198" spans="1:23" x14ac:dyDescent="0.25">
      <c r="A1198" s="1" t="s">
        <v>27</v>
      </c>
      <c r="B1198" s="1"/>
      <c r="C1198" s="1" t="s">
        <v>136</v>
      </c>
      <c r="D1198">
        <v>10056</v>
      </c>
      <c r="E1198" s="1"/>
      <c r="F1198" s="1" t="s">
        <v>136</v>
      </c>
      <c r="G1198">
        <v>2008</v>
      </c>
      <c r="H1198">
        <v>25485.09</v>
      </c>
      <c r="I1198">
        <v>5</v>
      </c>
      <c r="J1198" s="1" t="s">
        <v>405</v>
      </c>
      <c r="K1198">
        <v>0</v>
      </c>
      <c r="L1198">
        <v>836</v>
      </c>
      <c r="M1198">
        <v>30.480910999999999</v>
      </c>
      <c r="N1198">
        <v>2</v>
      </c>
      <c r="O1198" s="1" t="s">
        <v>569</v>
      </c>
      <c r="P1198">
        <v>25485.09</v>
      </c>
      <c r="Q1198">
        <v>11952.52</v>
      </c>
      <c r="R1198">
        <v>0</v>
      </c>
      <c r="S1198" s="1" t="s">
        <v>810</v>
      </c>
      <c r="T1198" s="1"/>
      <c r="U1198">
        <v>25485.090230000002</v>
      </c>
      <c r="V1198">
        <v>0</v>
      </c>
      <c r="W1198">
        <v>76676</v>
      </c>
    </row>
    <row r="1199" spans="1:23" x14ac:dyDescent="0.25">
      <c r="A1199" s="1" t="s">
        <v>27</v>
      </c>
      <c r="B1199" s="1"/>
      <c r="C1199" s="1" t="s">
        <v>137</v>
      </c>
      <c r="D1199">
        <v>5950</v>
      </c>
      <c r="E1199" s="1"/>
      <c r="F1199" s="1" t="s">
        <v>137</v>
      </c>
      <c r="G1199">
        <v>2015</v>
      </c>
      <c r="H1199">
        <v>38501.31</v>
      </c>
      <c r="I1199">
        <v>5</v>
      </c>
      <c r="J1199" s="1" t="s">
        <v>520</v>
      </c>
      <c r="K1199">
        <v>0</v>
      </c>
      <c r="L1199">
        <v>500</v>
      </c>
      <c r="M1199">
        <v>76.987222000000003</v>
      </c>
      <c r="N1199">
        <v>2</v>
      </c>
      <c r="O1199" s="1" t="s">
        <v>569</v>
      </c>
      <c r="P1199">
        <v>38501.31</v>
      </c>
      <c r="Q1199">
        <v>15400.54</v>
      </c>
      <c r="R1199">
        <v>0</v>
      </c>
      <c r="S1199" s="1" t="s">
        <v>987</v>
      </c>
      <c r="T1199" s="1"/>
      <c r="U1199">
        <v>38501.32</v>
      </c>
      <c r="V1199">
        <v>0</v>
      </c>
      <c r="W1199">
        <v>59968</v>
      </c>
    </row>
    <row r="1200" spans="1:23" x14ac:dyDescent="0.25">
      <c r="A1200" s="1" t="s">
        <v>27</v>
      </c>
      <c r="B1200" s="1"/>
      <c r="C1200" s="1" t="s">
        <v>137</v>
      </c>
      <c r="D1200">
        <v>5950</v>
      </c>
      <c r="E1200" s="1"/>
      <c r="F1200" s="1" t="s">
        <v>137</v>
      </c>
      <c r="G1200">
        <v>2014</v>
      </c>
      <c r="H1200">
        <v>80405.679999999993</v>
      </c>
      <c r="I1200">
        <v>12</v>
      </c>
      <c r="J1200" s="1" t="s">
        <v>520</v>
      </c>
      <c r="K1200">
        <v>0</v>
      </c>
      <c r="L1200">
        <v>500</v>
      </c>
      <c r="M1200">
        <v>160.77920399999999</v>
      </c>
      <c r="N1200">
        <v>2</v>
      </c>
      <c r="O1200" s="1" t="s">
        <v>569</v>
      </c>
      <c r="P1200">
        <v>80405.679999999993</v>
      </c>
      <c r="Q1200">
        <v>32162.28</v>
      </c>
      <c r="R1200">
        <v>0</v>
      </c>
      <c r="S1200" s="1" t="s">
        <v>987</v>
      </c>
      <c r="T1200" s="1"/>
      <c r="U1200">
        <v>80405.682000000001</v>
      </c>
      <c r="V1200">
        <v>0</v>
      </c>
      <c r="W1200">
        <v>59968</v>
      </c>
    </row>
    <row r="1201" spans="1:23" x14ac:dyDescent="0.25">
      <c r="A1201" s="1" t="s">
        <v>27</v>
      </c>
      <c r="B1201" s="1"/>
      <c r="C1201" s="1" t="s">
        <v>137</v>
      </c>
      <c r="D1201">
        <v>5950</v>
      </c>
      <c r="E1201" s="1"/>
      <c r="F1201" s="1" t="s">
        <v>137</v>
      </c>
      <c r="G1201">
        <v>2013</v>
      </c>
      <c r="H1201">
        <v>85541.8</v>
      </c>
      <c r="I1201">
        <v>12</v>
      </c>
      <c r="J1201" s="1" t="s">
        <v>520</v>
      </c>
      <c r="K1201">
        <v>0</v>
      </c>
      <c r="L1201">
        <v>500</v>
      </c>
      <c r="M1201">
        <v>171.04938999999999</v>
      </c>
      <c r="N1201">
        <v>2</v>
      </c>
      <c r="O1201" s="1" t="s">
        <v>569</v>
      </c>
      <c r="P1201">
        <v>85541.8</v>
      </c>
      <c r="Q1201">
        <v>34216.720000000001</v>
      </c>
      <c r="R1201">
        <v>0</v>
      </c>
      <c r="S1201" s="1" t="s">
        <v>987</v>
      </c>
      <c r="T1201" s="1"/>
      <c r="U1201">
        <v>85541.8</v>
      </c>
      <c r="V1201">
        <v>0</v>
      </c>
      <c r="W1201">
        <v>59968</v>
      </c>
    </row>
    <row r="1202" spans="1:23" x14ac:dyDescent="0.25">
      <c r="A1202" s="1" t="s">
        <v>27</v>
      </c>
      <c r="B1202" s="1"/>
      <c r="C1202" s="1" t="s">
        <v>137</v>
      </c>
      <c r="D1202">
        <v>5950</v>
      </c>
      <c r="E1202" s="1"/>
      <c r="F1202" s="1" t="s">
        <v>137</v>
      </c>
      <c r="G1202">
        <v>2012</v>
      </c>
      <c r="H1202">
        <v>92596</v>
      </c>
      <c r="I1202">
        <v>12</v>
      </c>
      <c r="J1202" s="1" t="s">
        <v>520</v>
      </c>
      <c r="K1202">
        <v>0</v>
      </c>
      <c r="L1202">
        <v>500</v>
      </c>
      <c r="M1202">
        <v>185.15496899999999</v>
      </c>
      <c r="N1202">
        <v>2</v>
      </c>
      <c r="O1202" s="1" t="s">
        <v>569</v>
      </c>
      <c r="P1202">
        <v>92596</v>
      </c>
      <c r="Q1202">
        <v>37038.400000000001</v>
      </c>
      <c r="R1202">
        <v>0</v>
      </c>
      <c r="S1202" s="1" t="s">
        <v>987</v>
      </c>
      <c r="T1202" s="1"/>
      <c r="U1202">
        <v>92596</v>
      </c>
      <c r="V1202">
        <v>0</v>
      </c>
      <c r="W1202">
        <v>59968</v>
      </c>
    </row>
    <row r="1203" spans="1:23" x14ac:dyDescent="0.25">
      <c r="A1203" s="1" t="s">
        <v>27</v>
      </c>
      <c r="B1203" s="1"/>
      <c r="C1203" s="1" t="s">
        <v>137</v>
      </c>
      <c r="D1203">
        <v>5950</v>
      </c>
      <c r="E1203" s="1"/>
      <c r="F1203" s="1" t="s">
        <v>137</v>
      </c>
      <c r="G1203">
        <v>2011</v>
      </c>
      <c r="H1203">
        <v>69031.789999999994</v>
      </c>
      <c r="I1203">
        <v>5</v>
      </c>
      <c r="J1203" s="1" t="s">
        <v>520</v>
      </c>
      <c r="K1203">
        <v>0</v>
      </c>
      <c r="L1203">
        <v>500</v>
      </c>
      <c r="M1203">
        <v>138.03597199999999</v>
      </c>
      <c r="N1203">
        <v>2</v>
      </c>
      <c r="O1203" s="1" t="s">
        <v>569</v>
      </c>
      <c r="P1203">
        <v>69031.789999999994</v>
      </c>
      <c r="Q1203">
        <v>32375.91</v>
      </c>
      <c r="R1203">
        <v>0</v>
      </c>
      <c r="S1203" s="1" t="s">
        <v>987</v>
      </c>
      <c r="T1203" s="1"/>
      <c r="U1203">
        <v>69031.800019999995</v>
      </c>
      <c r="V1203">
        <v>0</v>
      </c>
      <c r="W1203">
        <v>59968</v>
      </c>
    </row>
    <row r="1204" spans="1:23" x14ac:dyDescent="0.25">
      <c r="A1204" s="1" t="s">
        <v>27</v>
      </c>
      <c r="B1204" s="1"/>
      <c r="C1204" s="1" t="s">
        <v>137</v>
      </c>
      <c r="D1204">
        <v>5950</v>
      </c>
      <c r="E1204" s="1"/>
      <c r="F1204" s="1" t="s">
        <v>137</v>
      </c>
      <c r="G1204">
        <v>2010</v>
      </c>
      <c r="H1204">
        <v>54069.17</v>
      </c>
      <c r="I1204">
        <v>3</v>
      </c>
      <c r="J1204" s="1" t="s">
        <v>520</v>
      </c>
      <c r="K1204">
        <v>0</v>
      </c>
      <c r="L1204">
        <v>500</v>
      </c>
      <c r="M1204">
        <v>108.116716</v>
      </c>
      <c r="N1204">
        <v>2</v>
      </c>
      <c r="O1204" s="1" t="s">
        <v>569</v>
      </c>
      <c r="P1204">
        <v>54069.17</v>
      </c>
      <c r="Q1204">
        <v>25358.43</v>
      </c>
      <c r="R1204">
        <v>0</v>
      </c>
      <c r="S1204" s="1" t="s">
        <v>987</v>
      </c>
      <c r="T1204" s="1"/>
      <c r="U1204">
        <v>54069.173909999998</v>
      </c>
      <c r="V1204">
        <v>0</v>
      </c>
      <c r="W1204">
        <v>59968</v>
      </c>
    </row>
    <row r="1205" spans="1:23" x14ac:dyDescent="0.25">
      <c r="A1205" s="1" t="s">
        <v>27</v>
      </c>
      <c r="B1205" s="1"/>
      <c r="C1205" s="1" t="s">
        <v>137</v>
      </c>
      <c r="D1205">
        <v>5950</v>
      </c>
      <c r="E1205" s="1"/>
      <c r="F1205" s="1" t="s">
        <v>137</v>
      </c>
      <c r="G1205">
        <v>2009</v>
      </c>
      <c r="H1205">
        <v>64875.519999999997</v>
      </c>
      <c r="I1205">
        <v>6</v>
      </c>
      <c r="J1205" s="1" t="s">
        <v>520</v>
      </c>
      <c r="K1205">
        <v>0</v>
      </c>
      <c r="L1205">
        <v>500</v>
      </c>
      <c r="M1205">
        <v>129.72509400000001</v>
      </c>
      <c r="N1205">
        <v>2</v>
      </c>
      <c r="O1205" s="1" t="s">
        <v>569</v>
      </c>
      <c r="P1205">
        <v>64875.519999999997</v>
      </c>
      <c r="Q1205">
        <v>30426.61</v>
      </c>
      <c r="R1205">
        <v>0</v>
      </c>
      <c r="S1205" s="1" t="s">
        <v>987</v>
      </c>
      <c r="T1205" s="1"/>
      <c r="U1205">
        <v>64875.540359999999</v>
      </c>
      <c r="V1205">
        <v>0</v>
      </c>
      <c r="W1205">
        <v>59968</v>
      </c>
    </row>
    <row r="1206" spans="1:23" x14ac:dyDescent="0.25">
      <c r="A1206" s="1" t="s">
        <v>27</v>
      </c>
      <c r="B1206" s="1"/>
      <c r="C1206" s="1" t="s">
        <v>137</v>
      </c>
      <c r="D1206">
        <v>5950</v>
      </c>
      <c r="E1206" s="1"/>
      <c r="F1206" s="1" t="s">
        <v>137</v>
      </c>
      <c r="G1206">
        <v>2008</v>
      </c>
      <c r="H1206">
        <v>71773.2</v>
      </c>
      <c r="I1206">
        <v>12</v>
      </c>
      <c r="J1206" s="1" t="s">
        <v>520</v>
      </c>
      <c r="K1206">
        <v>0</v>
      </c>
      <c r="L1206">
        <v>500</v>
      </c>
      <c r="M1206">
        <v>143.517696</v>
      </c>
      <c r="N1206">
        <v>2</v>
      </c>
      <c r="O1206" s="1" t="s">
        <v>569</v>
      </c>
      <c r="P1206">
        <v>71773.2</v>
      </c>
      <c r="Q1206">
        <v>33661.629999999997</v>
      </c>
      <c r="R1206">
        <v>0</v>
      </c>
      <c r="S1206" s="1" t="s">
        <v>987</v>
      </c>
      <c r="T1206" s="1"/>
      <c r="U1206">
        <v>71773.191959999996</v>
      </c>
      <c r="V1206">
        <v>0</v>
      </c>
      <c r="W1206">
        <v>59968</v>
      </c>
    </row>
    <row r="1207" spans="1:23" x14ac:dyDescent="0.25">
      <c r="A1207" s="1" t="s">
        <v>27</v>
      </c>
      <c r="B1207" s="1" t="s">
        <v>62</v>
      </c>
      <c r="C1207" s="1" t="s">
        <v>138</v>
      </c>
      <c r="D1207">
        <v>5275</v>
      </c>
      <c r="E1207" s="1"/>
      <c r="F1207" s="1" t="s">
        <v>276</v>
      </c>
      <c r="G1207">
        <v>2015</v>
      </c>
      <c r="H1207">
        <v>6456.18</v>
      </c>
      <c r="I1207">
        <v>5</v>
      </c>
      <c r="J1207" s="1" t="s">
        <v>399</v>
      </c>
      <c r="K1207">
        <v>0</v>
      </c>
      <c r="L1207">
        <v>675</v>
      </c>
      <c r="M1207">
        <v>9.5632940000000008</v>
      </c>
      <c r="N1207">
        <v>2</v>
      </c>
      <c r="O1207" s="1" t="s">
        <v>569</v>
      </c>
      <c r="P1207">
        <v>6456.18</v>
      </c>
      <c r="Q1207">
        <v>1936.85</v>
      </c>
      <c r="R1207">
        <v>0</v>
      </c>
      <c r="S1207" s="1" t="s">
        <v>988</v>
      </c>
      <c r="T1207" s="1" t="s">
        <v>1273</v>
      </c>
      <c r="U1207">
        <v>6456.1710000000003</v>
      </c>
      <c r="V1207">
        <v>0</v>
      </c>
      <c r="W1207">
        <v>56855</v>
      </c>
    </row>
    <row r="1208" spans="1:23" x14ac:dyDescent="0.25">
      <c r="A1208" s="1" t="s">
        <v>27</v>
      </c>
      <c r="B1208" s="1" t="s">
        <v>62</v>
      </c>
      <c r="C1208" s="1" t="s">
        <v>138</v>
      </c>
      <c r="D1208">
        <v>5275</v>
      </c>
      <c r="E1208" s="1"/>
      <c r="F1208" s="1" t="s">
        <v>276</v>
      </c>
      <c r="G1208">
        <v>2014</v>
      </c>
      <c r="H1208">
        <v>15324.75</v>
      </c>
      <c r="I1208">
        <v>12</v>
      </c>
      <c r="J1208" s="1" t="s">
        <v>399</v>
      </c>
      <c r="K1208">
        <v>0</v>
      </c>
      <c r="L1208">
        <v>675</v>
      </c>
      <c r="M1208">
        <v>22.69997</v>
      </c>
      <c r="N1208">
        <v>2</v>
      </c>
      <c r="O1208" s="1" t="s">
        <v>569</v>
      </c>
      <c r="P1208">
        <v>15324.75</v>
      </c>
      <c r="Q1208">
        <v>4597.41</v>
      </c>
      <c r="R1208">
        <v>0</v>
      </c>
      <c r="S1208" s="1" t="s">
        <v>988</v>
      </c>
      <c r="T1208" s="1" t="s">
        <v>1273</v>
      </c>
      <c r="U1208">
        <v>15324.7533</v>
      </c>
      <c r="V1208">
        <v>0</v>
      </c>
      <c r="W1208">
        <v>56855</v>
      </c>
    </row>
    <row r="1209" spans="1:23" x14ac:dyDescent="0.25">
      <c r="A1209" s="1" t="s">
        <v>27</v>
      </c>
      <c r="B1209" s="1" t="s">
        <v>62</v>
      </c>
      <c r="C1209" s="1" t="s">
        <v>138</v>
      </c>
      <c r="D1209">
        <v>5275</v>
      </c>
      <c r="E1209" s="1"/>
      <c r="F1209" s="1" t="s">
        <v>276</v>
      </c>
      <c r="G1209">
        <v>2013</v>
      </c>
      <c r="H1209">
        <v>17435.990000000002</v>
      </c>
      <c r="I1209">
        <v>12</v>
      </c>
      <c r="J1209" s="1" t="s">
        <v>399</v>
      </c>
      <c r="K1209">
        <v>0</v>
      </c>
      <c r="L1209">
        <v>675</v>
      </c>
      <c r="M1209">
        <v>25.827269999999999</v>
      </c>
      <c r="N1209">
        <v>2</v>
      </c>
      <c r="O1209" s="1" t="s">
        <v>569</v>
      </c>
      <c r="P1209">
        <v>17435.990000000002</v>
      </c>
      <c r="Q1209">
        <v>5230.78</v>
      </c>
      <c r="R1209">
        <v>0</v>
      </c>
      <c r="S1209" s="1" t="s">
        <v>988</v>
      </c>
      <c r="T1209" s="1" t="s">
        <v>1273</v>
      </c>
      <c r="U1209">
        <v>17435.984</v>
      </c>
      <c r="V1209">
        <v>0</v>
      </c>
      <c r="W1209">
        <v>56855</v>
      </c>
    </row>
    <row r="1210" spans="1:23" x14ac:dyDescent="0.25">
      <c r="A1210" s="1" t="s">
        <v>27</v>
      </c>
      <c r="B1210" s="1" t="s">
        <v>62</v>
      </c>
      <c r="C1210" s="1" t="s">
        <v>138</v>
      </c>
      <c r="D1210">
        <v>5275</v>
      </c>
      <c r="E1210" s="1"/>
      <c r="F1210" s="1" t="s">
        <v>276</v>
      </c>
      <c r="G1210">
        <v>2012</v>
      </c>
      <c r="H1210">
        <v>16415.38</v>
      </c>
      <c r="I1210">
        <v>12</v>
      </c>
      <c r="J1210" s="1" t="s">
        <v>399</v>
      </c>
      <c r="K1210">
        <v>0</v>
      </c>
      <c r="L1210">
        <v>675</v>
      </c>
      <c r="M1210">
        <v>24.315479</v>
      </c>
      <c r="N1210">
        <v>2</v>
      </c>
      <c r="O1210" s="1" t="s">
        <v>569</v>
      </c>
      <c r="P1210">
        <v>16415.38</v>
      </c>
      <c r="Q1210">
        <v>6566.14</v>
      </c>
      <c r="R1210">
        <v>0</v>
      </c>
      <c r="S1210" s="1" t="s">
        <v>988</v>
      </c>
      <c r="T1210" s="1" t="s">
        <v>1273</v>
      </c>
      <c r="U1210">
        <v>16415.367999999999</v>
      </c>
      <c r="V1210">
        <v>0</v>
      </c>
      <c r="W1210">
        <v>56855</v>
      </c>
    </row>
    <row r="1211" spans="1:23" x14ac:dyDescent="0.25">
      <c r="A1211" s="1" t="s">
        <v>27</v>
      </c>
      <c r="B1211" s="1" t="s">
        <v>62</v>
      </c>
      <c r="C1211" s="1" t="s">
        <v>138</v>
      </c>
      <c r="D1211">
        <v>5275</v>
      </c>
      <c r="E1211" s="1"/>
      <c r="F1211" s="1" t="s">
        <v>276</v>
      </c>
      <c r="G1211">
        <v>2011</v>
      </c>
      <c r="H1211">
        <v>17905.650000000001</v>
      </c>
      <c r="I1211">
        <v>2</v>
      </c>
      <c r="J1211" s="1" t="s">
        <v>399</v>
      </c>
      <c r="K1211">
        <v>0</v>
      </c>
      <c r="L1211">
        <v>675</v>
      </c>
      <c r="M1211">
        <v>26.522959</v>
      </c>
      <c r="N1211">
        <v>2</v>
      </c>
      <c r="O1211" s="1" t="s">
        <v>569</v>
      </c>
      <c r="P1211">
        <v>17905.650000000001</v>
      </c>
      <c r="Q1211">
        <v>8397.7199999999993</v>
      </c>
      <c r="R1211">
        <v>0</v>
      </c>
      <c r="S1211" s="1" t="s">
        <v>988</v>
      </c>
      <c r="T1211" s="1" t="s">
        <v>1273</v>
      </c>
      <c r="U1211">
        <v>17905.631710000001</v>
      </c>
      <c r="V1211">
        <v>0</v>
      </c>
      <c r="W1211">
        <v>56855</v>
      </c>
    </row>
    <row r="1212" spans="1:23" x14ac:dyDescent="0.25">
      <c r="A1212" s="1" t="s">
        <v>27</v>
      </c>
      <c r="B1212" s="1" t="s">
        <v>62</v>
      </c>
      <c r="C1212" s="1" t="s">
        <v>138</v>
      </c>
      <c r="D1212">
        <v>5275</v>
      </c>
      <c r="E1212" s="1"/>
      <c r="F1212" s="1" t="s">
        <v>276</v>
      </c>
      <c r="G1212">
        <v>2010</v>
      </c>
      <c r="H1212">
        <v>22026.99</v>
      </c>
      <c r="I1212">
        <v>1</v>
      </c>
      <c r="J1212" s="1" t="s">
        <v>399</v>
      </c>
      <c r="K1212">
        <v>0</v>
      </c>
      <c r="L1212">
        <v>675</v>
      </c>
      <c r="M1212">
        <v>32.627744</v>
      </c>
      <c r="N1212">
        <v>2</v>
      </c>
      <c r="O1212" s="1" t="s">
        <v>569</v>
      </c>
      <c r="P1212">
        <v>22026.99</v>
      </c>
      <c r="Q1212">
        <v>10330.64</v>
      </c>
      <c r="R1212">
        <v>0</v>
      </c>
      <c r="S1212" s="1" t="s">
        <v>988</v>
      </c>
      <c r="T1212" s="1" t="s">
        <v>1273</v>
      </c>
      <c r="U1212">
        <v>22026.986290000001</v>
      </c>
      <c r="V1212">
        <v>0</v>
      </c>
      <c r="W1212">
        <v>56855</v>
      </c>
    </row>
    <row r="1213" spans="1:23" x14ac:dyDescent="0.25">
      <c r="A1213" s="1" t="s">
        <v>27</v>
      </c>
      <c r="B1213" s="1" t="s">
        <v>62</v>
      </c>
      <c r="C1213" s="1" t="s">
        <v>138</v>
      </c>
      <c r="D1213">
        <v>5275</v>
      </c>
      <c r="E1213" s="1"/>
      <c r="F1213" s="1" t="s">
        <v>276</v>
      </c>
      <c r="G1213">
        <v>2009</v>
      </c>
      <c r="H1213">
        <v>21321.62</v>
      </c>
      <c r="I1213">
        <v>1</v>
      </c>
      <c r="J1213" s="1" t="s">
        <v>399</v>
      </c>
      <c r="K1213">
        <v>0</v>
      </c>
      <c r="L1213">
        <v>675</v>
      </c>
      <c r="M1213">
        <v>31.582906000000001</v>
      </c>
      <c r="N1213">
        <v>2</v>
      </c>
      <c r="O1213" s="1" t="s">
        <v>569</v>
      </c>
      <c r="P1213">
        <v>21321.62</v>
      </c>
      <c r="Q1213">
        <v>9999.82</v>
      </c>
      <c r="R1213">
        <v>0</v>
      </c>
      <c r="S1213" s="1" t="s">
        <v>988</v>
      </c>
      <c r="T1213" s="1" t="s">
        <v>1273</v>
      </c>
      <c r="U1213">
        <v>21321.609079999998</v>
      </c>
      <c r="V1213">
        <v>0</v>
      </c>
      <c r="W1213">
        <v>56855</v>
      </c>
    </row>
    <row r="1214" spans="1:23" x14ac:dyDescent="0.25">
      <c r="A1214" s="1" t="s">
        <v>27</v>
      </c>
      <c r="B1214" s="1" t="s">
        <v>62</v>
      </c>
      <c r="C1214" s="1" t="s">
        <v>138</v>
      </c>
      <c r="D1214">
        <v>5275</v>
      </c>
      <c r="E1214" s="1"/>
      <c r="F1214" s="1" t="s">
        <v>276</v>
      </c>
      <c r="G1214">
        <v>2008</v>
      </c>
      <c r="H1214">
        <v>21600.66</v>
      </c>
      <c r="I1214">
        <v>2</v>
      </c>
      <c r="J1214" s="1" t="s">
        <v>399</v>
      </c>
      <c r="K1214">
        <v>0</v>
      </c>
      <c r="L1214">
        <v>675</v>
      </c>
      <c r="M1214">
        <v>31.996237000000001</v>
      </c>
      <c r="N1214">
        <v>2</v>
      </c>
      <c r="O1214" s="1" t="s">
        <v>569</v>
      </c>
      <c r="P1214">
        <v>21600.66</v>
      </c>
      <c r="Q1214">
        <v>10130.69</v>
      </c>
      <c r="R1214">
        <v>0</v>
      </c>
      <c r="S1214" s="1" t="s">
        <v>988</v>
      </c>
      <c r="T1214" s="1" t="s">
        <v>1273</v>
      </c>
      <c r="U1214">
        <v>21600.637299999999</v>
      </c>
      <c r="V1214">
        <v>0</v>
      </c>
      <c r="W1214">
        <v>56855</v>
      </c>
    </row>
    <row r="1215" spans="1:23" x14ac:dyDescent="0.25">
      <c r="A1215" s="1" t="s">
        <v>27</v>
      </c>
      <c r="B1215" s="1" t="s">
        <v>63</v>
      </c>
      <c r="C1215" s="1" t="s">
        <v>139</v>
      </c>
      <c r="D1215">
        <v>5279</v>
      </c>
      <c r="E1215" s="1"/>
      <c r="F1215" s="1" t="s">
        <v>277</v>
      </c>
      <c r="G1215">
        <v>2015</v>
      </c>
      <c r="H1215">
        <v>51449.57</v>
      </c>
      <c r="I1215">
        <v>5</v>
      </c>
      <c r="J1215" s="1" t="s">
        <v>404</v>
      </c>
      <c r="K1215">
        <v>0</v>
      </c>
      <c r="L1215">
        <v>1603</v>
      </c>
      <c r="M1215">
        <v>32.093798999999997</v>
      </c>
      <c r="N1215">
        <v>2</v>
      </c>
      <c r="O1215" s="1" t="s">
        <v>569</v>
      </c>
      <c r="P1215">
        <v>51449.57</v>
      </c>
      <c r="Q1215">
        <v>20579.830000000002</v>
      </c>
      <c r="R1215">
        <v>0</v>
      </c>
      <c r="S1215" s="1" t="s">
        <v>989</v>
      </c>
      <c r="T1215" s="1" t="s">
        <v>1274</v>
      </c>
      <c r="U1215">
        <v>51449.57</v>
      </c>
      <c r="V1215">
        <v>0</v>
      </c>
      <c r="W1215">
        <v>56881</v>
      </c>
    </row>
    <row r="1216" spans="1:23" x14ac:dyDescent="0.25">
      <c r="A1216" s="1" t="s">
        <v>27</v>
      </c>
      <c r="B1216" s="1" t="s">
        <v>63</v>
      </c>
      <c r="C1216" s="1" t="s">
        <v>139</v>
      </c>
      <c r="D1216">
        <v>5279</v>
      </c>
      <c r="E1216" s="1"/>
      <c r="F1216" s="1" t="s">
        <v>277</v>
      </c>
      <c r="G1216">
        <v>2014</v>
      </c>
      <c r="H1216">
        <v>99227.41</v>
      </c>
      <c r="I1216">
        <v>12</v>
      </c>
      <c r="J1216" s="1" t="s">
        <v>404</v>
      </c>
      <c r="K1216">
        <v>0</v>
      </c>
      <c r="L1216">
        <v>1603</v>
      </c>
      <c r="M1216">
        <v>61.897205</v>
      </c>
      <c r="N1216">
        <v>2</v>
      </c>
      <c r="O1216" s="1" t="s">
        <v>569</v>
      </c>
      <c r="P1216">
        <v>99227.41</v>
      </c>
      <c r="Q1216">
        <v>39690.97</v>
      </c>
      <c r="R1216">
        <v>0</v>
      </c>
      <c r="S1216" s="1" t="s">
        <v>989</v>
      </c>
      <c r="T1216" s="1" t="s">
        <v>1274</v>
      </c>
      <c r="U1216">
        <v>99227.43</v>
      </c>
      <c r="V1216">
        <v>0</v>
      </c>
      <c r="W1216">
        <v>56881</v>
      </c>
    </row>
    <row r="1217" spans="1:23" x14ac:dyDescent="0.25">
      <c r="A1217" s="1" t="s">
        <v>27</v>
      </c>
      <c r="B1217" s="1" t="s">
        <v>63</v>
      </c>
      <c r="C1217" s="1" t="s">
        <v>139</v>
      </c>
      <c r="D1217">
        <v>5279</v>
      </c>
      <c r="E1217" s="1"/>
      <c r="F1217" s="1" t="s">
        <v>277</v>
      </c>
      <c r="G1217">
        <v>2014</v>
      </c>
      <c r="H1217">
        <v>711.2</v>
      </c>
      <c r="I1217">
        <v>2</v>
      </c>
      <c r="J1217" s="1" t="s">
        <v>521</v>
      </c>
      <c r="K1217">
        <v>0</v>
      </c>
      <c r="L1217">
        <v>1603</v>
      </c>
      <c r="M1217">
        <v>0.44363999999999998</v>
      </c>
      <c r="N1217">
        <v>2</v>
      </c>
      <c r="O1217" s="1" t="s">
        <v>569</v>
      </c>
      <c r="P1217">
        <v>711.2</v>
      </c>
      <c r="Q1217">
        <v>213.36</v>
      </c>
      <c r="R1217">
        <v>1</v>
      </c>
      <c r="S1217" s="1" t="s">
        <v>990</v>
      </c>
      <c r="T1217" s="1"/>
      <c r="U1217">
        <v>711.2</v>
      </c>
      <c r="V1217">
        <v>0</v>
      </c>
      <c r="W1217">
        <v>96387</v>
      </c>
    </row>
    <row r="1218" spans="1:23" x14ac:dyDescent="0.25">
      <c r="A1218" s="1" t="s">
        <v>27</v>
      </c>
      <c r="B1218" s="1" t="s">
        <v>63</v>
      </c>
      <c r="C1218" s="1" t="s">
        <v>139</v>
      </c>
      <c r="D1218">
        <v>5279</v>
      </c>
      <c r="E1218" s="1"/>
      <c r="F1218" s="1" t="s">
        <v>277</v>
      </c>
      <c r="G1218">
        <v>2014</v>
      </c>
      <c r="H1218">
        <v>881.3</v>
      </c>
      <c r="I1218">
        <v>2</v>
      </c>
      <c r="J1218" s="1" t="s">
        <v>521</v>
      </c>
      <c r="K1218">
        <v>0</v>
      </c>
      <c r="L1218">
        <v>1603</v>
      </c>
      <c r="M1218">
        <v>0.54974699999999999</v>
      </c>
      <c r="N1218">
        <v>2</v>
      </c>
      <c r="O1218" s="1" t="s">
        <v>569</v>
      </c>
      <c r="P1218">
        <v>881.3</v>
      </c>
      <c r="Q1218">
        <v>264.39</v>
      </c>
      <c r="R1218">
        <v>1</v>
      </c>
      <c r="S1218" s="1" t="s">
        <v>991</v>
      </c>
      <c r="T1218" s="1"/>
      <c r="U1218">
        <v>881.3</v>
      </c>
      <c r="V1218">
        <v>0</v>
      </c>
      <c r="W1218">
        <v>96388</v>
      </c>
    </row>
    <row r="1219" spans="1:23" x14ac:dyDescent="0.25">
      <c r="A1219" s="1" t="s">
        <v>27</v>
      </c>
      <c r="B1219" s="1" t="s">
        <v>63</v>
      </c>
      <c r="C1219" s="1" t="s">
        <v>139</v>
      </c>
      <c r="D1219">
        <v>5279</v>
      </c>
      <c r="E1219" s="1"/>
      <c r="F1219" s="1" t="s">
        <v>277</v>
      </c>
      <c r="G1219">
        <v>2013</v>
      </c>
      <c r="H1219">
        <v>94328.45</v>
      </c>
      <c r="I1219">
        <v>12</v>
      </c>
      <c r="J1219" s="1" t="s">
        <v>404</v>
      </c>
      <c r="K1219">
        <v>0</v>
      </c>
      <c r="L1219">
        <v>1603</v>
      </c>
      <c r="M1219">
        <v>58.841276000000001</v>
      </c>
      <c r="N1219">
        <v>2</v>
      </c>
      <c r="O1219" s="1" t="s">
        <v>569</v>
      </c>
      <c r="P1219">
        <v>94328.45</v>
      </c>
      <c r="Q1219">
        <v>37731.370000000003</v>
      </c>
      <c r="R1219">
        <v>0</v>
      </c>
      <c r="S1219" s="1" t="s">
        <v>989</v>
      </c>
      <c r="T1219" s="1" t="s">
        <v>1274</v>
      </c>
      <c r="U1219">
        <v>94328.452000000005</v>
      </c>
      <c r="V1219">
        <v>0</v>
      </c>
      <c r="W1219">
        <v>56881</v>
      </c>
    </row>
    <row r="1220" spans="1:23" x14ac:dyDescent="0.25">
      <c r="A1220" s="1" t="s">
        <v>27</v>
      </c>
      <c r="B1220" s="1" t="s">
        <v>63</v>
      </c>
      <c r="C1220" s="1" t="s">
        <v>139</v>
      </c>
      <c r="D1220">
        <v>5279</v>
      </c>
      <c r="E1220" s="1"/>
      <c r="F1220" s="1" t="s">
        <v>277</v>
      </c>
      <c r="G1220">
        <v>2012</v>
      </c>
      <c r="H1220">
        <v>109093.75999999999</v>
      </c>
      <c r="I1220">
        <v>12</v>
      </c>
      <c r="J1220" s="1" t="s">
        <v>404</v>
      </c>
      <c r="K1220">
        <v>0</v>
      </c>
      <c r="L1220">
        <v>1603</v>
      </c>
      <c r="M1220">
        <v>68.051749000000001</v>
      </c>
      <c r="N1220">
        <v>2</v>
      </c>
      <c r="O1220" s="1" t="s">
        <v>569</v>
      </c>
      <c r="P1220">
        <v>109093.75999999999</v>
      </c>
      <c r="Q1220">
        <v>43637.5</v>
      </c>
      <c r="R1220">
        <v>0</v>
      </c>
      <c r="S1220" s="1" t="s">
        <v>989</v>
      </c>
      <c r="T1220" s="1" t="s">
        <v>1274</v>
      </c>
      <c r="U1220">
        <v>109093.745</v>
      </c>
      <c r="V1220">
        <v>0</v>
      </c>
      <c r="W1220">
        <v>56881</v>
      </c>
    </row>
    <row r="1221" spans="1:23" x14ac:dyDescent="0.25">
      <c r="A1221" s="1" t="s">
        <v>27</v>
      </c>
      <c r="B1221" s="1" t="s">
        <v>63</v>
      </c>
      <c r="C1221" s="1" t="s">
        <v>139</v>
      </c>
      <c r="D1221">
        <v>5279</v>
      </c>
      <c r="E1221" s="1"/>
      <c r="F1221" s="1" t="s">
        <v>277</v>
      </c>
      <c r="G1221">
        <v>2011</v>
      </c>
      <c r="H1221">
        <v>112098.68</v>
      </c>
      <c r="I1221">
        <v>12</v>
      </c>
      <c r="J1221" s="1" t="s">
        <v>404</v>
      </c>
      <c r="K1221">
        <v>0</v>
      </c>
      <c r="L1221">
        <v>1603</v>
      </c>
      <c r="M1221">
        <v>69.926192999999998</v>
      </c>
      <c r="N1221">
        <v>2</v>
      </c>
      <c r="O1221" s="1" t="s">
        <v>569</v>
      </c>
      <c r="P1221">
        <v>112098.68</v>
      </c>
      <c r="Q1221">
        <v>52574.26</v>
      </c>
      <c r="R1221">
        <v>0</v>
      </c>
      <c r="S1221" s="1" t="s">
        <v>989</v>
      </c>
      <c r="T1221" s="1" t="s">
        <v>1274</v>
      </c>
      <c r="U1221">
        <v>112098.675</v>
      </c>
      <c r="V1221">
        <v>0</v>
      </c>
      <c r="W1221">
        <v>56881</v>
      </c>
    </row>
    <row r="1222" spans="1:23" x14ac:dyDescent="0.25">
      <c r="A1222" s="1" t="s">
        <v>27</v>
      </c>
      <c r="B1222" s="1" t="s">
        <v>63</v>
      </c>
      <c r="C1222" s="1" t="s">
        <v>139</v>
      </c>
      <c r="D1222">
        <v>5279</v>
      </c>
      <c r="E1222" s="1"/>
      <c r="F1222" s="1" t="s">
        <v>277</v>
      </c>
      <c r="G1222">
        <v>2010</v>
      </c>
      <c r="H1222">
        <v>130942.79</v>
      </c>
      <c r="I1222">
        <v>12</v>
      </c>
      <c r="J1222" s="1" t="s">
        <v>404</v>
      </c>
      <c r="K1222">
        <v>0</v>
      </c>
      <c r="L1222">
        <v>1603</v>
      </c>
      <c r="M1222">
        <v>81.680986000000004</v>
      </c>
      <c r="N1222">
        <v>2</v>
      </c>
      <c r="O1222" s="1" t="s">
        <v>569</v>
      </c>
      <c r="P1222">
        <v>130942.79</v>
      </c>
      <c r="Q1222">
        <v>61412.17</v>
      </c>
      <c r="R1222">
        <v>0</v>
      </c>
      <c r="S1222" s="1" t="s">
        <v>989</v>
      </c>
      <c r="T1222" s="1" t="s">
        <v>1274</v>
      </c>
      <c r="U1222">
        <v>130942.78</v>
      </c>
      <c r="V1222">
        <v>0</v>
      </c>
      <c r="W1222">
        <v>56881</v>
      </c>
    </row>
    <row r="1223" spans="1:23" x14ac:dyDescent="0.25">
      <c r="A1223" s="1" t="s">
        <v>27</v>
      </c>
      <c r="B1223" s="1" t="s">
        <v>63</v>
      </c>
      <c r="C1223" s="1" t="s">
        <v>139</v>
      </c>
      <c r="D1223">
        <v>5279</v>
      </c>
      <c r="E1223" s="1"/>
      <c r="F1223" s="1" t="s">
        <v>277</v>
      </c>
      <c r="G1223">
        <v>2009</v>
      </c>
      <c r="H1223">
        <v>130679.94</v>
      </c>
      <c r="I1223">
        <v>12</v>
      </c>
      <c r="J1223" s="1" t="s">
        <v>404</v>
      </c>
      <c r="K1223">
        <v>0</v>
      </c>
      <c r="L1223">
        <v>1603</v>
      </c>
      <c r="M1223">
        <v>81.517022999999995</v>
      </c>
      <c r="N1223">
        <v>2</v>
      </c>
      <c r="O1223" s="1" t="s">
        <v>569</v>
      </c>
      <c r="P1223">
        <v>130679.94</v>
      </c>
      <c r="Q1223">
        <v>61288.91</v>
      </c>
      <c r="R1223">
        <v>0</v>
      </c>
      <c r="S1223" s="1" t="s">
        <v>989</v>
      </c>
      <c r="T1223" s="1" t="s">
        <v>1274</v>
      </c>
      <c r="U1223">
        <v>130679.94</v>
      </c>
      <c r="V1223">
        <v>0</v>
      </c>
      <c r="W1223">
        <v>56881</v>
      </c>
    </row>
    <row r="1224" spans="1:23" x14ac:dyDescent="0.25">
      <c r="A1224" s="1" t="s">
        <v>27</v>
      </c>
      <c r="B1224" s="1" t="s">
        <v>63</v>
      </c>
      <c r="C1224" s="1" t="s">
        <v>139</v>
      </c>
      <c r="D1224">
        <v>5279</v>
      </c>
      <c r="E1224" s="1"/>
      <c r="F1224" s="1" t="s">
        <v>277</v>
      </c>
      <c r="G1224">
        <v>2008</v>
      </c>
      <c r="H1224">
        <v>152560.51</v>
      </c>
      <c r="I1224">
        <v>12</v>
      </c>
      <c r="J1224" s="1" t="s">
        <v>404</v>
      </c>
      <c r="K1224">
        <v>0</v>
      </c>
      <c r="L1224">
        <v>1603</v>
      </c>
      <c r="M1224">
        <v>95.165933999999993</v>
      </c>
      <c r="N1224">
        <v>2</v>
      </c>
      <c r="O1224" s="1" t="s">
        <v>569</v>
      </c>
      <c r="P1224">
        <v>152560.51</v>
      </c>
      <c r="Q1224">
        <v>71550.86</v>
      </c>
      <c r="R1224">
        <v>0</v>
      </c>
      <c r="S1224" s="1" t="s">
        <v>989</v>
      </c>
      <c r="T1224" s="1" t="s">
        <v>1274</v>
      </c>
      <c r="U1224">
        <v>152560.505</v>
      </c>
      <c r="V1224">
        <v>0</v>
      </c>
      <c r="W1224">
        <v>56881</v>
      </c>
    </row>
    <row r="1225" spans="1:23" x14ac:dyDescent="0.25">
      <c r="A1225" s="1" t="s">
        <v>27</v>
      </c>
      <c r="B1225" s="1"/>
      <c r="C1225" s="1" t="s">
        <v>140</v>
      </c>
      <c r="D1225">
        <v>10209</v>
      </c>
      <c r="E1225" s="1"/>
      <c r="F1225" s="1" t="s">
        <v>140</v>
      </c>
      <c r="G1225">
        <v>2015</v>
      </c>
      <c r="H1225">
        <v>27631.37</v>
      </c>
      <c r="I1225">
        <v>5</v>
      </c>
      <c r="J1225" s="1"/>
      <c r="K1225">
        <v>0</v>
      </c>
      <c r="L1225">
        <v>1839</v>
      </c>
      <c r="M1225">
        <v>15.024397</v>
      </c>
      <c r="N1225">
        <v>2</v>
      </c>
      <c r="O1225" s="1" t="s">
        <v>569</v>
      </c>
      <c r="P1225">
        <v>27631.37</v>
      </c>
      <c r="Q1225">
        <v>8289.41</v>
      </c>
      <c r="R1225">
        <v>0</v>
      </c>
      <c r="S1225" s="1" t="s">
        <v>992</v>
      </c>
      <c r="T1225" s="1" t="s">
        <v>1275</v>
      </c>
      <c r="U1225">
        <v>27631.366999999998</v>
      </c>
      <c r="V1225">
        <v>0</v>
      </c>
      <c r="W1225">
        <v>90611</v>
      </c>
    </row>
    <row r="1226" spans="1:23" x14ac:dyDescent="0.25">
      <c r="A1226" s="1" t="s">
        <v>27</v>
      </c>
      <c r="B1226" s="1"/>
      <c r="C1226" s="1" t="s">
        <v>140</v>
      </c>
      <c r="D1226">
        <v>10209</v>
      </c>
      <c r="E1226" s="1"/>
      <c r="F1226" s="1" t="s">
        <v>140</v>
      </c>
      <c r="G1226">
        <v>2014</v>
      </c>
      <c r="H1226">
        <v>52196.98</v>
      </c>
      <c r="I1226">
        <v>11</v>
      </c>
      <c r="J1226" s="1"/>
      <c r="K1226">
        <v>0</v>
      </c>
      <c r="L1226">
        <v>1839</v>
      </c>
      <c r="M1226">
        <v>28.381806000000001</v>
      </c>
      <c r="N1226">
        <v>2</v>
      </c>
      <c r="O1226" s="1" t="s">
        <v>569</v>
      </c>
      <c r="P1226">
        <v>52196.98</v>
      </c>
      <c r="Q1226">
        <v>15659.1</v>
      </c>
      <c r="R1226">
        <v>0</v>
      </c>
      <c r="S1226" s="1" t="s">
        <v>992</v>
      </c>
      <c r="T1226" s="1" t="s">
        <v>1275</v>
      </c>
      <c r="U1226">
        <v>52196.998</v>
      </c>
      <c r="V1226">
        <v>0</v>
      </c>
      <c r="W1226">
        <v>90611</v>
      </c>
    </row>
    <row r="1227" spans="1:23" x14ac:dyDescent="0.25">
      <c r="A1227" s="1" t="s">
        <v>27</v>
      </c>
      <c r="B1227" s="1"/>
      <c r="C1227" s="1" t="s">
        <v>140</v>
      </c>
      <c r="D1227">
        <v>10209</v>
      </c>
      <c r="E1227" s="1"/>
      <c r="F1227" s="1" t="s">
        <v>140</v>
      </c>
      <c r="G1227">
        <v>2013</v>
      </c>
      <c r="H1227">
        <v>47998.04</v>
      </c>
      <c r="I1227">
        <v>12</v>
      </c>
      <c r="J1227" s="1"/>
      <c r="K1227">
        <v>0</v>
      </c>
      <c r="L1227">
        <v>1839</v>
      </c>
      <c r="M1227">
        <v>26.098655999999998</v>
      </c>
      <c r="N1227">
        <v>2</v>
      </c>
      <c r="O1227" s="1" t="s">
        <v>569</v>
      </c>
      <c r="P1227">
        <v>47998.04</v>
      </c>
      <c r="Q1227">
        <v>14399.41</v>
      </c>
      <c r="R1227">
        <v>0</v>
      </c>
      <c r="S1227" s="1" t="s">
        <v>992</v>
      </c>
      <c r="T1227" s="1" t="s">
        <v>1275</v>
      </c>
      <c r="U1227">
        <v>47998.034</v>
      </c>
      <c r="V1227">
        <v>0</v>
      </c>
      <c r="W1227">
        <v>90611</v>
      </c>
    </row>
    <row r="1228" spans="1:23" x14ac:dyDescent="0.25">
      <c r="A1228" s="1" t="s">
        <v>27</v>
      </c>
      <c r="B1228" s="1"/>
      <c r="C1228" s="1" t="s">
        <v>140</v>
      </c>
      <c r="D1228">
        <v>10209</v>
      </c>
      <c r="E1228" s="1"/>
      <c r="F1228" s="1" t="s">
        <v>140</v>
      </c>
      <c r="G1228">
        <v>2012</v>
      </c>
      <c r="H1228">
        <v>54145.37</v>
      </c>
      <c r="I1228">
        <v>12</v>
      </c>
      <c r="J1228" s="1"/>
      <c r="K1228">
        <v>0</v>
      </c>
      <c r="L1228">
        <v>1839</v>
      </c>
      <c r="M1228">
        <v>29.441231999999999</v>
      </c>
      <c r="N1228">
        <v>2</v>
      </c>
      <c r="O1228" s="1" t="s">
        <v>569</v>
      </c>
      <c r="P1228">
        <v>54145.37</v>
      </c>
      <c r="Q1228">
        <v>21658.15</v>
      </c>
      <c r="R1228">
        <v>0</v>
      </c>
      <c r="S1228" s="1" t="s">
        <v>992</v>
      </c>
      <c r="T1228" s="1" t="s">
        <v>1275</v>
      </c>
      <c r="U1228">
        <v>54145.366999999998</v>
      </c>
      <c r="V1228">
        <v>0</v>
      </c>
      <c r="W1228">
        <v>90611</v>
      </c>
    </row>
    <row r="1229" spans="1:23" x14ac:dyDescent="0.25">
      <c r="A1229" s="1" t="s">
        <v>27</v>
      </c>
      <c r="B1229" s="1"/>
      <c r="C1229" s="1" t="s">
        <v>140</v>
      </c>
      <c r="D1229">
        <v>10209</v>
      </c>
      <c r="E1229" s="1"/>
      <c r="F1229" s="1" t="s">
        <v>140</v>
      </c>
      <c r="G1229">
        <v>2011</v>
      </c>
      <c r="H1229">
        <v>58568.639999999999</v>
      </c>
      <c r="I1229">
        <v>12</v>
      </c>
      <c r="J1229" s="1"/>
      <c r="K1229">
        <v>0</v>
      </c>
      <c r="L1229">
        <v>1839</v>
      </c>
      <c r="M1229">
        <v>31.846359</v>
      </c>
      <c r="N1229">
        <v>2</v>
      </c>
      <c r="O1229" s="1" t="s">
        <v>569</v>
      </c>
      <c r="P1229">
        <v>58568.639999999999</v>
      </c>
      <c r="Q1229">
        <v>27468.69</v>
      </c>
      <c r="R1229">
        <v>0</v>
      </c>
      <c r="S1229" s="1" t="s">
        <v>992</v>
      </c>
      <c r="T1229" s="1" t="s">
        <v>1275</v>
      </c>
      <c r="U1229">
        <v>58568.633999999998</v>
      </c>
      <c r="V1229">
        <v>0</v>
      </c>
      <c r="W1229">
        <v>90611</v>
      </c>
    </row>
    <row r="1230" spans="1:23" x14ac:dyDescent="0.25">
      <c r="A1230" s="1" t="s">
        <v>27</v>
      </c>
      <c r="B1230" s="1"/>
      <c r="C1230" s="1" t="s">
        <v>140</v>
      </c>
      <c r="D1230">
        <v>10209</v>
      </c>
      <c r="E1230" s="1"/>
      <c r="F1230" s="1" t="s">
        <v>140</v>
      </c>
      <c r="G1230">
        <v>2010</v>
      </c>
      <c r="H1230">
        <v>53852.54</v>
      </c>
      <c r="I1230">
        <v>4</v>
      </c>
      <c r="J1230" s="1" t="s">
        <v>405</v>
      </c>
      <c r="K1230">
        <v>0</v>
      </c>
      <c r="L1230">
        <v>1839</v>
      </c>
      <c r="M1230">
        <v>29.282007</v>
      </c>
      <c r="N1230">
        <v>2</v>
      </c>
      <c r="O1230" s="1" t="s">
        <v>569</v>
      </c>
      <c r="P1230">
        <v>53852.54</v>
      </c>
      <c r="Q1230">
        <v>25256.85</v>
      </c>
      <c r="R1230">
        <v>0</v>
      </c>
      <c r="S1230" s="1" t="s">
        <v>993</v>
      </c>
      <c r="T1230" s="1" t="s">
        <v>1275</v>
      </c>
      <c r="U1230">
        <v>53852.559439999997</v>
      </c>
      <c r="V1230">
        <v>0</v>
      </c>
      <c r="W1230">
        <v>77416</v>
      </c>
    </row>
    <row r="1231" spans="1:23" x14ac:dyDescent="0.25">
      <c r="A1231" s="1" t="s">
        <v>27</v>
      </c>
      <c r="B1231" s="1"/>
      <c r="C1231" s="1" t="s">
        <v>140</v>
      </c>
      <c r="D1231">
        <v>10209</v>
      </c>
      <c r="E1231" s="1"/>
      <c r="F1231" s="1" t="s">
        <v>140</v>
      </c>
      <c r="G1231">
        <v>2010</v>
      </c>
      <c r="H1231">
        <v>10362.83</v>
      </c>
      <c r="I1231">
        <v>2</v>
      </c>
      <c r="J1231" s="1"/>
      <c r="K1231">
        <v>0</v>
      </c>
      <c r="L1231">
        <v>1839</v>
      </c>
      <c r="M1231">
        <v>5.634728</v>
      </c>
      <c r="N1231">
        <v>2</v>
      </c>
      <c r="O1231" s="1" t="s">
        <v>569</v>
      </c>
      <c r="P1231">
        <v>10362.83</v>
      </c>
      <c r="Q1231">
        <v>4860.16</v>
      </c>
      <c r="R1231">
        <v>0</v>
      </c>
      <c r="S1231" s="1" t="s">
        <v>992</v>
      </c>
      <c r="T1231" s="1" t="s">
        <v>1275</v>
      </c>
      <c r="U1231">
        <v>10362.833000000001</v>
      </c>
      <c r="V1231">
        <v>0</v>
      </c>
      <c r="W1231">
        <v>90611</v>
      </c>
    </row>
    <row r="1232" spans="1:23" x14ac:dyDescent="0.25">
      <c r="A1232" s="1" t="s">
        <v>27</v>
      </c>
      <c r="B1232" s="1"/>
      <c r="C1232" s="1" t="s">
        <v>140</v>
      </c>
      <c r="D1232">
        <v>10209</v>
      </c>
      <c r="E1232" s="1"/>
      <c r="F1232" s="1" t="s">
        <v>140</v>
      </c>
      <c r="G1232">
        <v>2009</v>
      </c>
      <c r="H1232">
        <v>67972.899999999994</v>
      </c>
      <c r="I1232">
        <v>3</v>
      </c>
      <c r="J1232" s="1" t="s">
        <v>405</v>
      </c>
      <c r="K1232">
        <v>0</v>
      </c>
      <c r="L1232">
        <v>1839</v>
      </c>
      <c r="M1232">
        <v>36.959871</v>
      </c>
      <c r="N1232">
        <v>2</v>
      </c>
      <c r="O1232" s="1" t="s">
        <v>569</v>
      </c>
      <c r="P1232">
        <v>67972.899999999994</v>
      </c>
      <c r="Q1232">
        <v>31879.33</v>
      </c>
      <c r="R1232">
        <v>0</v>
      </c>
      <c r="S1232" s="1" t="s">
        <v>993</v>
      </c>
      <c r="T1232" s="1" t="s">
        <v>1275</v>
      </c>
      <c r="U1232">
        <v>67972.888819999993</v>
      </c>
      <c r="V1232">
        <v>0</v>
      </c>
      <c r="W1232">
        <v>77416</v>
      </c>
    </row>
    <row r="1233" spans="1:23" x14ac:dyDescent="0.25">
      <c r="A1233" s="1" t="s">
        <v>27</v>
      </c>
      <c r="B1233" s="1"/>
      <c r="C1233" s="1" t="s">
        <v>140</v>
      </c>
      <c r="D1233">
        <v>10209</v>
      </c>
      <c r="E1233" s="1"/>
      <c r="F1233" s="1" t="s">
        <v>140</v>
      </c>
      <c r="G1233">
        <v>2008</v>
      </c>
      <c r="H1233">
        <v>44548.54</v>
      </c>
      <c r="I1233">
        <v>9</v>
      </c>
      <c r="J1233" s="1" t="s">
        <v>405</v>
      </c>
      <c r="K1233">
        <v>0</v>
      </c>
      <c r="L1233">
        <v>1839</v>
      </c>
      <c r="M1233">
        <v>24.223011</v>
      </c>
      <c r="N1233">
        <v>2</v>
      </c>
      <c r="O1233" s="1" t="s">
        <v>569</v>
      </c>
      <c r="P1233">
        <v>44548.54</v>
      </c>
      <c r="Q1233">
        <v>20893.27</v>
      </c>
      <c r="R1233">
        <v>0</v>
      </c>
      <c r="S1233" s="1" t="s">
        <v>993</v>
      </c>
      <c r="T1233" s="1" t="s">
        <v>1275</v>
      </c>
      <c r="U1233">
        <v>44548.551729999999</v>
      </c>
      <c r="V1233">
        <v>0</v>
      </c>
      <c r="W1233">
        <v>77416</v>
      </c>
    </row>
    <row r="1234" spans="1:23" x14ac:dyDescent="0.25">
      <c r="A1234" s="1" t="s">
        <v>28</v>
      </c>
      <c r="B1234" s="1"/>
      <c r="C1234" s="1" t="s">
        <v>141</v>
      </c>
      <c r="D1234">
        <v>9979</v>
      </c>
      <c r="E1234" s="1"/>
      <c r="F1234" s="1" t="s">
        <v>278</v>
      </c>
      <c r="G1234">
        <v>2015</v>
      </c>
      <c r="H1234">
        <v>5.3</v>
      </c>
      <c r="I1234">
        <v>1</v>
      </c>
      <c r="J1234" s="1" t="s">
        <v>418</v>
      </c>
      <c r="K1234">
        <v>0</v>
      </c>
      <c r="L1234">
        <v>290</v>
      </c>
      <c r="M1234">
        <v>1.8269000000000001E-2</v>
      </c>
      <c r="N1234">
        <v>3</v>
      </c>
      <c r="O1234" s="1" t="s">
        <v>560</v>
      </c>
      <c r="P1234">
        <v>5.3</v>
      </c>
      <c r="Q1234">
        <v>4.24</v>
      </c>
      <c r="R1234">
        <v>0</v>
      </c>
      <c r="S1234" s="1"/>
      <c r="T1234" s="1"/>
      <c r="U1234">
        <v>5.3028599999999999</v>
      </c>
      <c r="V1234">
        <v>0</v>
      </c>
      <c r="W1234">
        <v>76412</v>
      </c>
    </row>
    <row r="1235" spans="1:23" x14ac:dyDescent="0.25">
      <c r="A1235" s="1" t="s">
        <v>28</v>
      </c>
      <c r="B1235" s="1"/>
      <c r="C1235" s="1" t="s">
        <v>141</v>
      </c>
      <c r="D1235">
        <v>9979</v>
      </c>
      <c r="E1235" s="1"/>
      <c r="F1235" s="1" t="s">
        <v>278</v>
      </c>
      <c r="G1235">
        <v>2014</v>
      </c>
      <c r="H1235">
        <v>44.99</v>
      </c>
      <c r="I1235">
        <v>0</v>
      </c>
      <c r="J1235" s="1" t="s">
        <v>418</v>
      </c>
      <c r="K1235">
        <v>0</v>
      </c>
      <c r="L1235">
        <v>290</v>
      </c>
      <c r="M1235">
        <v>0.155084</v>
      </c>
      <c r="N1235">
        <v>3</v>
      </c>
      <c r="O1235" s="1" t="s">
        <v>560</v>
      </c>
      <c r="P1235">
        <v>44.99</v>
      </c>
      <c r="Q1235">
        <v>36.020000000000003</v>
      </c>
      <c r="R1235">
        <v>0</v>
      </c>
      <c r="S1235" s="1"/>
      <c r="T1235" s="1"/>
      <c r="U1235">
        <v>45.012590000000003</v>
      </c>
      <c r="V1235">
        <v>0</v>
      </c>
      <c r="W1235">
        <v>76412</v>
      </c>
    </row>
    <row r="1236" spans="1:23" x14ac:dyDescent="0.25">
      <c r="A1236" s="1" t="s">
        <v>28</v>
      </c>
      <c r="B1236" s="1"/>
      <c r="C1236" s="1" t="s">
        <v>141</v>
      </c>
      <c r="D1236">
        <v>9979</v>
      </c>
      <c r="E1236" s="1"/>
      <c r="F1236" s="1" t="s">
        <v>278</v>
      </c>
      <c r="G1236">
        <v>2013</v>
      </c>
      <c r="H1236">
        <v>44.99</v>
      </c>
      <c r="I1236">
        <v>0</v>
      </c>
      <c r="J1236" s="1" t="s">
        <v>418</v>
      </c>
      <c r="K1236">
        <v>0</v>
      </c>
      <c r="L1236">
        <v>290</v>
      </c>
      <c r="M1236">
        <v>0.155084</v>
      </c>
      <c r="N1236">
        <v>3</v>
      </c>
      <c r="O1236" s="1" t="s">
        <v>560</v>
      </c>
      <c r="P1236">
        <v>44.99</v>
      </c>
      <c r="Q1236">
        <v>36.020000000000003</v>
      </c>
      <c r="R1236">
        <v>0</v>
      </c>
      <c r="S1236" s="1"/>
      <c r="T1236" s="1"/>
      <c r="U1236">
        <v>45.012590000000003</v>
      </c>
      <c r="V1236">
        <v>0</v>
      </c>
      <c r="W1236">
        <v>76412</v>
      </c>
    </row>
    <row r="1237" spans="1:23" x14ac:dyDescent="0.25">
      <c r="A1237" s="1" t="s">
        <v>28</v>
      </c>
      <c r="B1237" s="1"/>
      <c r="C1237" s="1" t="s">
        <v>141</v>
      </c>
      <c r="D1237">
        <v>9979</v>
      </c>
      <c r="E1237" s="1"/>
      <c r="F1237" s="1" t="s">
        <v>278</v>
      </c>
      <c r="G1237">
        <v>2012</v>
      </c>
      <c r="H1237">
        <v>45.12</v>
      </c>
      <c r="I1237">
        <v>0</v>
      </c>
      <c r="J1237" s="1" t="s">
        <v>418</v>
      </c>
      <c r="K1237">
        <v>0</v>
      </c>
      <c r="L1237">
        <v>290</v>
      </c>
      <c r="M1237">
        <v>0.155532</v>
      </c>
      <c r="N1237">
        <v>3</v>
      </c>
      <c r="O1237" s="1" t="s">
        <v>560</v>
      </c>
      <c r="P1237">
        <v>45.12</v>
      </c>
      <c r="Q1237">
        <v>36.119999999999997</v>
      </c>
      <c r="R1237">
        <v>0</v>
      </c>
      <c r="S1237" s="1"/>
      <c r="T1237" s="1"/>
      <c r="U1237">
        <v>45.135910000000003</v>
      </c>
      <c r="V1237">
        <v>0</v>
      </c>
      <c r="W1237">
        <v>76412</v>
      </c>
    </row>
    <row r="1238" spans="1:23" x14ac:dyDescent="0.25">
      <c r="A1238" s="1" t="s">
        <v>28</v>
      </c>
      <c r="B1238" s="1"/>
      <c r="C1238" s="1" t="s">
        <v>141</v>
      </c>
      <c r="D1238">
        <v>9979</v>
      </c>
      <c r="E1238" s="1"/>
      <c r="F1238" s="1" t="s">
        <v>278</v>
      </c>
      <c r="G1238">
        <v>2011</v>
      </c>
      <c r="H1238">
        <v>217.54</v>
      </c>
      <c r="I1238">
        <v>3</v>
      </c>
      <c r="J1238" s="1" t="s">
        <v>418</v>
      </c>
      <c r="K1238">
        <v>0</v>
      </c>
      <c r="L1238">
        <v>290</v>
      </c>
      <c r="M1238">
        <v>0.74987899999999996</v>
      </c>
      <c r="N1238">
        <v>3</v>
      </c>
      <c r="O1238" s="1" t="s">
        <v>560</v>
      </c>
      <c r="P1238">
        <v>217.54</v>
      </c>
      <c r="Q1238">
        <v>174.03</v>
      </c>
      <c r="R1238">
        <v>0</v>
      </c>
      <c r="S1238" s="1"/>
      <c r="T1238" s="1"/>
      <c r="U1238">
        <v>217.53609</v>
      </c>
      <c r="V1238">
        <v>0</v>
      </c>
      <c r="W1238">
        <v>76412</v>
      </c>
    </row>
    <row r="1239" spans="1:23" x14ac:dyDescent="0.25">
      <c r="A1239" s="1" t="s">
        <v>28</v>
      </c>
      <c r="B1239" s="1"/>
      <c r="C1239" s="1" t="s">
        <v>141</v>
      </c>
      <c r="D1239">
        <v>9979</v>
      </c>
      <c r="E1239" s="1"/>
      <c r="F1239" s="1" t="s">
        <v>278</v>
      </c>
      <c r="G1239">
        <v>2010</v>
      </c>
      <c r="H1239">
        <v>8.24</v>
      </c>
      <c r="I1239">
        <v>4</v>
      </c>
      <c r="J1239" s="1" t="s">
        <v>418</v>
      </c>
      <c r="K1239">
        <v>0</v>
      </c>
      <c r="L1239">
        <v>290</v>
      </c>
      <c r="M1239">
        <v>2.8403000000000001E-2</v>
      </c>
      <c r="N1239">
        <v>3</v>
      </c>
      <c r="O1239" s="1" t="s">
        <v>560</v>
      </c>
      <c r="P1239">
        <v>8.24</v>
      </c>
      <c r="Q1239">
        <v>6.59</v>
      </c>
      <c r="R1239">
        <v>0</v>
      </c>
      <c r="S1239" s="1"/>
      <c r="T1239" s="1"/>
      <c r="U1239">
        <v>8.2372800000000002</v>
      </c>
      <c r="V1239">
        <v>0</v>
      </c>
      <c r="W1239">
        <v>76412</v>
      </c>
    </row>
    <row r="1240" spans="1:23" x14ac:dyDescent="0.25">
      <c r="A1240" s="1" t="s">
        <v>28</v>
      </c>
      <c r="B1240" s="1"/>
      <c r="C1240" s="1" t="s">
        <v>141</v>
      </c>
      <c r="D1240">
        <v>9979</v>
      </c>
      <c r="E1240" s="1"/>
      <c r="F1240" s="1" t="s">
        <v>278</v>
      </c>
      <c r="G1240">
        <v>2009</v>
      </c>
      <c r="H1240">
        <v>87.75</v>
      </c>
      <c r="I1240">
        <v>6</v>
      </c>
      <c r="J1240" s="1" t="s">
        <v>418</v>
      </c>
      <c r="K1240">
        <v>0</v>
      </c>
      <c r="L1240">
        <v>290</v>
      </c>
      <c r="M1240">
        <v>0.302481</v>
      </c>
      <c r="N1240">
        <v>3</v>
      </c>
      <c r="O1240" s="1" t="s">
        <v>560</v>
      </c>
      <c r="P1240">
        <v>87.75</v>
      </c>
      <c r="Q1240">
        <v>70.22</v>
      </c>
      <c r="R1240">
        <v>0</v>
      </c>
      <c r="S1240" s="1"/>
      <c r="T1240" s="1"/>
      <c r="U1240">
        <v>87.762730000000005</v>
      </c>
      <c r="V1240">
        <v>0</v>
      </c>
      <c r="W1240">
        <v>76412</v>
      </c>
    </row>
    <row r="1241" spans="1:23" x14ac:dyDescent="0.25">
      <c r="A1241" s="1" t="s">
        <v>28</v>
      </c>
      <c r="B1241" s="1"/>
      <c r="C1241" s="1" t="s">
        <v>141</v>
      </c>
      <c r="D1241">
        <v>9979</v>
      </c>
      <c r="E1241" s="1"/>
      <c r="F1241" s="1" t="s">
        <v>278</v>
      </c>
      <c r="G1241">
        <v>2008</v>
      </c>
      <c r="H1241">
        <v>186.58</v>
      </c>
      <c r="I1241">
        <v>7</v>
      </c>
      <c r="J1241" s="1" t="s">
        <v>418</v>
      </c>
      <c r="K1241">
        <v>0</v>
      </c>
      <c r="L1241">
        <v>290</v>
      </c>
      <c r="M1241">
        <v>0.64315699999999998</v>
      </c>
      <c r="N1241">
        <v>3</v>
      </c>
      <c r="O1241" s="1" t="s">
        <v>560</v>
      </c>
      <c r="P1241">
        <v>186.58</v>
      </c>
      <c r="Q1241">
        <v>149.24</v>
      </c>
      <c r="R1241">
        <v>0</v>
      </c>
      <c r="S1241" s="1"/>
      <c r="T1241" s="1"/>
      <c r="U1241">
        <v>186.55208999999999</v>
      </c>
      <c r="V1241">
        <v>0</v>
      </c>
      <c r="W1241">
        <v>76412</v>
      </c>
    </row>
    <row r="1242" spans="1:23" x14ac:dyDescent="0.25">
      <c r="A1242" s="1" t="s">
        <v>28</v>
      </c>
      <c r="B1242" s="1"/>
      <c r="C1242" s="1" t="s">
        <v>142</v>
      </c>
      <c r="D1242">
        <v>10271</v>
      </c>
      <c r="E1242" s="1"/>
      <c r="F1242" s="1" t="s">
        <v>279</v>
      </c>
      <c r="G1242">
        <v>2015</v>
      </c>
      <c r="H1242">
        <v>1.25</v>
      </c>
      <c r="I1242">
        <v>1</v>
      </c>
      <c r="J1242" s="1" t="s">
        <v>419</v>
      </c>
      <c r="K1242">
        <v>0</v>
      </c>
      <c r="L1242">
        <v>123</v>
      </c>
      <c r="M1242">
        <v>1.0154E-2</v>
      </c>
      <c r="N1242">
        <v>3</v>
      </c>
      <c r="O1242" s="1" t="s">
        <v>560</v>
      </c>
      <c r="P1242">
        <v>1.25</v>
      </c>
      <c r="Q1242">
        <v>1</v>
      </c>
      <c r="R1242">
        <v>0</v>
      </c>
      <c r="S1242" s="1" t="s">
        <v>612</v>
      </c>
      <c r="T1242" s="1"/>
      <c r="U1242">
        <v>1.24752</v>
      </c>
      <c r="V1242">
        <v>0</v>
      </c>
      <c r="W1242">
        <v>77654</v>
      </c>
    </row>
    <row r="1243" spans="1:23" x14ac:dyDescent="0.25">
      <c r="A1243" s="1" t="s">
        <v>28</v>
      </c>
      <c r="B1243" s="1"/>
      <c r="C1243" s="1" t="s">
        <v>142</v>
      </c>
      <c r="D1243">
        <v>10271</v>
      </c>
      <c r="E1243" s="1"/>
      <c r="F1243" s="1" t="s">
        <v>279</v>
      </c>
      <c r="G1243">
        <v>2014</v>
      </c>
      <c r="H1243">
        <v>2.75</v>
      </c>
      <c r="I1243">
        <v>4</v>
      </c>
      <c r="J1243" s="1" t="s">
        <v>419</v>
      </c>
      <c r="K1243">
        <v>0</v>
      </c>
      <c r="L1243">
        <v>123</v>
      </c>
      <c r="M1243">
        <v>2.2339000000000001E-2</v>
      </c>
      <c r="N1243">
        <v>3</v>
      </c>
      <c r="O1243" s="1" t="s">
        <v>560</v>
      </c>
      <c r="P1243">
        <v>2.75</v>
      </c>
      <c r="Q1243">
        <v>2.2000000000000002</v>
      </c>
      <c r="R1243">
        <v>0</v>
      </c>
      <c r="S1243" s="1" t="s">
        <v>612</v>
      </c>
      <c r="T1243" s="1"/>
      <c r="U1243">
        <v>2.7524700000000002</v>
      </c>
      <c r="V1243">
        <v>0</v>
      </c>
      <c r="W1243">
        <v>77654</v>
      </c>
    </row>
    <row r="1244" spans="1:23" x14ac:dyDescent="0.25">
      <c r="A1244" s="1" t="s">
        <v>28</v>
      </c>
      <c r="B1244" s="1"/>
      <c r="C1244" s="1" t="s">
        <v>142</v>
      </c>
      <c r="D1244">
        <v>10271</v>
      </c>
      <c r="E1244" s="1"/>
      <c r="F1244" s="1" t="s">
        <v>279</v>
      </c>
      <c r="G1244">
        <v>2013</v>
      </c>
      <c r="H1244">
        <v>11.38</v>
      </c>
      <c r="I1244">
        <v>7</v>
      </c>
      <c r="J1244" s="1" t="s">
        <v>419</v>
      </c>
      <c r="K1244">
        <v>0</v>
      </c>
      <c r="L1244">
        <v>123</v>
      </c>
      <c r="M1244">
        <v>9.2444999999999999E-2</v>
      </c>
      <c r="N1244">
        <v>3</v>
      </c>
      <c r="O1244" s="1" t="s">
        <v>560</v>
      </c>
      <c r="P1244">
        <v>11.38</v>
      </c>
      <c r="Q1244">
        <v>9.11</v>
      </c>
      <c r="R1244">
        <v>0</v>
      </c>
      <c r="S1244" s="1" t="s">
        <v>612</v>
      </c>
      <c r="T1244" s="1"/>
      <c r="U1244">
        <v>11.382350000000001</v>
      </c>
      <c r="V1244">
        <v>0</v>
      </c>
      <c r="W1244">
        <v>77654</v>
      </c>
    </row>
    <row r="1245" spans="1:23" x14ac:dyDescent="0.25">
      <c r="A1245" s="1" t="s">
        <v>28</v>
      </c>
      <c r="B1245" s="1"/>
      <c r="C1245" s="1" t="s">
        <v>142</v>
      </c>
      <c r="D1245">
        <v>10271</v>
      </c>
      <c r="E1245" s="1"/>
      <c r="F1245" s="1" t="s">
        <v>279</v>
      </c>
      <c r="G1245">
        <v>2012</v>
      </c>
      <c r="H1245">
        <v>77.66</v>
      </c>
      <c r="I1245">
        <v>3</v>
      </c>
      <c r="J1245" s="1" t="s">
        <v>419</v>
      </c>
      <c r="K1245">
        <v>0</v>
      </c>
      <c r="L1245">
        <v>123</v>
      </c>
      <c r="M1245">
        <v>0.63086900000000001</v>
      </c>
      <c r="N1245">
        <v>3</v>
      </c>
      <c r="O1245" s="1" t="s">
        <v>560</v>
      </c>
      <c r="P1245">
        <v>77.66</v>
      </c>
      <c r="Q1245">
        <v>62.13</v>
      </c>
      <c r="R1245">
        <v>0</v>
      </c>
      <c r="S1245" s="1" t="s">
        <v>612</v>
      </c>
      <c r="T1245" s="1"/>
      <c r="U1245">
        <v>77.666430000000005</v>
      </c>
      <c r="V1245">
        <v>0</v>
      </c>
      <c r="W1245">
        <v>77654</v>
      </c>
    </row>
    <row r="1246" spans="1:23" x14ac:dyDescent="0.25">
      <c r="A1246" s="1" t="s">
        <v>28</v>
      </c>
      <c r="B1246" s="1"/>
      <c r="C1246" s="1" t="s">
        <v>142</v>
      </c>
      <c r="D1246">
        <v>10271</v>
      </c>
      <c r="E1246" s="1"/>
      <c r="F1246" s="1" t="s">
        <v>279</v>
      </c>
      <c r="G1246">
        <v>2011</v>
      </c>
      <c r="H1246">
        <v>32.520000000000003</v>
      </c>
      <c r="I1246">
        <v>3</v>
      </c>
      <c r="J1246" s="1" t="s">
        <v>419</v>
      </c>
      <c r="K1246">
        <v>0</v>
      </c>
      <c r="L1246">
        <v>123</v>
      </c>
      <c r="M1246">
        <v>0.26417499999999999</v>
      </c>
      <c r="N1246">
        <v>3</v>
      </c>
      <c r="O1246" s="1" t="s">
        <v>560</v>
      </c>
      <c r="P1246">
        <v>32.520000000000003</v>
      </c>
      <c r="Q1246">
        <v>26.02</v>
      </c>
      <c r="R1246">
        <v>0</v>
      </c>
      <c r="S1246" s="1" t="s">
        <v>612</v>
      </c>
      <c r="T1246" s="1"/>
      <c r="U1246">
        <v>32.506779999999999</v>
      </c>
      <c r="V1246">
        <v>0</v>
      </c>
      <c r="W1246">
        <v>77654</v>
      </c>
    </row>
    <row r="1247" spans="1:23" x14ac:dyDescent="0.25">
      <c r="A1247" s="1" t="s">
        <v>28</v>
      </c>
      <c r="B1247" s="1"/>
      <c r="C1247" s="1" t="s">
        <v>142</v>
      </c>
      <c r="D1247">
        <v>10271</v>
      </c>
      <c r="E1247" s="1"/>
      <c r="F1247" s="1" t="s">
        <v>279</v>
      </c>
      <c r="G1247">
        <v>2010</v>
      </c>
      <c r="H1247">
        <v>180.56</v>
      </c>
      <c r="I1247">
        <v>4</v>
      </c>
      <c r="J1247" s="1" t="s">
        <v>419</v>
      </c>
      <c r="K1247">
        <v>0</v>
      </c>
      <c r="L1247">
        <v>123</v>
      </c>
      <c r="M1247">
        <v>1.466774</v>
      </c>
      <c r="N1247">
        <v>3</v>
      </c>
      <c r="O1247" s="1" t="s">
        <v>560</v>
      </c>
      <c r="P1247">
        <v>180.56</v>
      </c>
      <c r="Q1247">
        <v>144.44</v>
      </c>
      <c r="R1247">
        <v>0</v>
      </c>
      <c r="S1247" s="1" t="s">
        <v>612</v>
      </c>
      <c r="T1247" s="1"/>
      <c r="U1247">
        <v>180.54544999999999</v>
      </c>
      <c r="V1247">
        <v>0</v>
      </c>
      <c r="W1247">
        <v>77654</v>
      </c>
    </row>
    <row r="1248" spans="1:23" x14ac:dyDescent="0.25">
      <c r="A1248" s="1" t="s">
        <v>28</v>
      </c>
      <c r="B1248" s="1"/>
      <c r="C1248" s="1" t="s">
        <v>142</v>
      </c>
      <c r="D1248">
        <v>10271</v>
      </c>
      <c r="E1248" s="1"/>
      <c r="F1248" s="1" t="s">
        <v>279</v>
      </c>
      <c r="G1248">
        <v>2009</v>
      </c>
      <c r="H1248">
        <v>12.13</v>
      </c>
      <c r="I1248">
        <v>3</v>
      </c>
      <c r="J1248" s="1" t="s">
        <v>419</v>
      </c>
      <c r="K1248">
        <v>0</v>
      </c>
      <c r="L1248">
        <v>123</v>
      </c>
      <c r="M1248">
        <v>9.8537E-2</v>
      </c>
      <c r="N1248">
        <v>3</v>
      </c>
      <c r="O1248" s="1" t="s">
        <v>560</v>
      </c>
      <c r="P1248">
        <v>12.13</v>
      </c>
      <c r="Q1248">
        <v>9.73</v>
      </c>
      <c r="R1248">
        <v>0</v>
      </c>
      <c r="S1248" s="1" t="s">
        <v>612</v>
      </c>
      <c r="T1248" s="1"/>
      <c r="U1248">
        <v>12.124779999999999</v>
      </c>
      <c r="V1248">
        <v>0</v>
      </c>
      <c r="W1248">
        <v>77654</v>
      </c>
    </row>
    <row r="1249" spans="1:23" x14ac:dyDescent="0.25">
      <c r="A1249" s="1" t="s">
        <v>28</v>
      </c>
      <c r="B1249" s="1"/>
      <c r="C1249" s="1" t="s">
        <v>142</v>
      </c>
      <c r="D1249">
        <v>10271</v>
      </c>
      <c r="E1249" s="1"/>
      <c r="F1249" s="1" t="s">
        <v>279</v>
      </c>
      <c r="G1249">
        <v>2008</v>
      </c>
      <c r="H1249">
        <v>111.25</v>
      </c>
      <c r="I1249">
        <v>2</v>
      </c>
      <c r="J1249" s="1" t="s">
        <v>419</v>
      </c>
      <c r="K1249">
        <v>0</v>
      </c>
      <c r="L1249">
        <v>123</v>
      </c>
      <c r="M1249">
        <v>0.90373599999999998</v>
      </c>
      <c r="N1249">
        <v>3</v>
      </c>
      <c r="O1249" s="1" t="s">
        <v>560</v>
      </c>
      <c r="P1249">
        <v>111.25</v>
      </c>
      <c r="Q1249">
        <v>89.01</v>
      </c>
      <c r="R1249">
        <v>0</v>
      </c>
      <c r="S1249" s="1" t="s">
        <v>612</v>
      </c>
      <c r="T1249" s="1"/>
      <c r="U1249">
        <v>111.25619</v>
      </c>
      <c r="V1249">
        <v>0</v>
      </c>
      <c r="W1249">
        <v>77654</v>
      </c>
    </row>
    <row r="1250" spans="1:23" x14ac:dyDescent="0.25">
      <c r="A1250" s="1" t="s">
        <v>28</v>
      </c>
      <c r="B1250" s="1"/>
      <c r="C1250" s="1" t="s">
        <v>143</v>
      </c>
      <c r="D1250">
        <v>13961</v>
      </c>
      <c r="E1250" s="1" t="s">
        <v>243</v>
      </c>
      <c r="F1250" s="1" t="s">
        <v>143</v>
      </c>
      <c r="G1250">
        <v>2014</v>
      </c>
      <c r="H1250">
        <v>0.13</v>
      </c>
      <c r="I1250">
        <v>4</v>
      </c>
      <c r="J1250" s="1" t="s">
        <v>414</v>
      </c>
      <c r="K1250">
        <v>0</v>
      </c>
      <c r="L1250">
        <v>214</v>
      </c>
      <c r="M1250">
        <v>6.0700000000000001E-4</v>
      </c>
      <c r="N1250">
        <v>3</v>
      </c>
      <c r="O1250" s="1" t="s">
        <v>560</v>
      </c>
      <c r="P1250">
        <v>0.13</v>
      </c>
      <c r="Q1250">
        <v>0.11</v>
      </c>
      <c r="R1250">
        <v>0</v>
      </c>
      <c r="S1250" s="1" t="s">
        <v>613</v>
      </c>
      <c r="T1250" s="1"/>
      <c r="U1250">
        <v>0.13711999999999999</v>
      </c>
      <c r="V1250">
        <v>0</v>
      </c>
      <c r="W1250">
        <v>92681</v>
      </c>
    </row>
    <row r="1251" spans="1:23" x14ac:dyDescent="0.25">
      <c r="A1251" s="1" t="s">
        <v>28</v>
      </c>
      <c r="B1251" s="1"/>
      <c r="C1251" s="1" t="s">
        <v>143</v>
      </c>
      <c r="D1251">
        <v>13961</v>
      </c>
      <c r="E1251" s="1" t="s">
        <v>243</v>
      </c>
      <c r="F1251" s="1" t="s">
        <v>143</v>
      </c>
      <c r="G1251">
        <v>2013</v>
      </c>
      <c r="H1251">
        <v>1.57</v>
      </c>
      <c r="I1251">
        <v>5</v>
      </c>
      <c r="J1251" s="1" t="s">
        <v>414</v>
      </c>
      <c r="K1251">
        <v>0</v>
      </c>
      <c r="L1251">
        <v>214</v>
      </c>
      <c r="M1251">
        <v>7.3330000000000001E-3</v>
      </c>
      <c r="N1251">
        <v>3</v>
      </c>
      <c r="O1251" s="1" t="s">
        <v>560</v>
      </c>
      <c r="P1251">
        <v>1.57</v>
      </c>
      <c r="Q1251">
        <v>1.25</v>
      </c>
      <c r="R1251">
        <v>0</v>
      </c>
      <c r="S1251" s="1" t="s">
        <v>613</v>
      </c>
      <c r="T1251" s="1"/>
      <c r="U1251">
        <v>1.5628899999999999</v>
      </c>
      <c r="V1251">
        <v>0</v>
      </c>
      <c r="W1251">
        <v>92681</v>
      </c>
    </row>
    <row r="1252" spans="1:23" x14ac:dyDescent="0.25">
      <c r="A1252" s="1" t="s">
        <v>28</v>
      </c>
      <c r="B1252" s="1"/>
      <c r="C1252" s="1" t="s">
        <v>143</v>
      </c>
      <c r="D1252">
        <v>13961</v>
      </c>
      <c r="E1252" s="1" t="s">
        <v>243</v>
      </c>
      <c r="F1252" s="1" t="s">
        <v>143</v>
      </c>
      <c r="G1252">
        <v>2012</v>
      </c>
      <c r="H1252">
        <v>0</v>
      </c>
      <c r="I1252">
        <v>1</v>
      </c>
      <c r="J1252" s="1" t="s">
        <v>414</v>
      </c>
      <c r="K1252">
        <v>0</v>
      </c>
      <c r="L1252">
        <v>214</v>
      </c>
      <c r="M1252">
        <v>0</v>
      </c>
      <c r="N1252">
        <v>3</v>
      </c>
      <c r="O1252" s="1" t="s">
        <v>560</v>
      </c>
      <c r="P1252">
        <v>0</v>
      </c>
      <c r="Q1252">
        <v>0</v>
      </c>
      <c r="R1252">
        <v>0</v>
      </c>
      <c r="S1252" s="1" t="s">
        <v>613</v>
      </c>
      <c r="T1252" s="1"/>
      <c r="U1252">
        <v>0</v>
      </c>
      <c r="V1252">
        <v>0</v>
      </c>
      <c r="W1252">
        <v>92681</v>
      </c>
    </row>
    <row r="1253" spans="1:23" x14ac:dyDescent="0.25">
      <c r="A1253" s="1" t="s">
        <v>28</v>
      </c>
      <c r="B1253" s="1"/>
      <c r="C1253" s="1" t="s">
        <v>141</v>
      </c>
      <c r="D1253">
        <v>9979</v>
      </c>
      <c r="E1253" s="1"/>
      <c r="F1253" s="1" t="s">
        <v>278</v>
      </c>
      <c r="G1253">
        <v>2015</v>
      </c>
      <c r="H1253">
        <v>8246.2199999999993</v>
      </c>
      <c r="I1253">
        <v>1</v>
      </c>
      <c r="J1253" s="1" t="s">
        <v>418</v>
      </c>
      <c r="K1253">
        <v>0</v>
      </c>
      <c r="L1253">
        <v>290</v>
      </c>
      <c r="M1253">
        <v>28.425439000000001</v>
      </c>
      <c r="N1253">
        <v>1</v>
      </c>
      <c r="O1253" s="1" t="s">
        <v>565</v>
      </c>
      <c r="P1253">
        <v>9531.42</v>
      </c>
      <c r="Q1253">
        <v>1200.96</v>
      </c>
      <c r="R1253">
        <v>0</v>
      </c>
      <c r="S1253" s="1"/>
      <c r="T1253" s="1"/>
      <c r="U1253">
        <v>8.2462199999999992</v>
      </c>
      <c r="V1253">
        <v>0</v>
      </c>
      <c r="W1253">
        <v>97163</v>
      </c>
    </row>
    <row r="1254" spans="1:23" x14ac:dyDescent="0.25">
      <c r="A1254" s="1" t="s">
        <v>28</v>
      </c>
      <c r="B1254" s="1"/>
      <c r="C1254" s="1" t="s">
        <v>141</v>
      </c>
      <c r="D1254">
        <v>9979</v>
      </c>
      <c r="E1254" s="1"/>
      <c r="F1254" s="1" t="s">
        <v>278</v>
      </c>
      <c r="G1254">
        <v>2014</v>
      </c>
      <c r="H1254">
        <v>61750.78</v>
      </c>
      <c r="I1254">
        <v>1</v>
      </c>
      <c r="J1254" s="1" t="s">
        <v>418</v>
      </c>
      <c r="K1254">
        <v>0</v>
      </c>
      <c r="L1254">
        <v>290</v>
      </c>
      <c r="M1254">
        <v>212.86032399999999</v>
      </c>
      <c r="N1254">
        <v>1</v>
      </c>
      <c r="O1254" s="1" t="s">
        <v>565</v>
      </c>
      <c r="P1254">
        <v>73185.47</v>
      </c>
      <c r="Q1254">
        <v>9221.36</v>
      </c>
      <c r="R1254">
        <v>0</v>
      </c>
      <c r="S1254" s="1"/>
      <c r="T1254" s="1"/>
      <c r="U1254">
        <v>61.750779999999999</v>
      </c>
      <c r="V1254">
        <v>0</v>
      </c>
      <c r="W1254">
        <v>97163</v>
      </c>
    </row>
    <row r="1255" spans="1:23" x14ac:dyDescent="0.25">
      <c r="A1255" s="1" t="s">
        <v>28</v>
      </c>
      <c r="B1255" s="1"/>
      <c r="C1255" s="1" t="s">
        <v>141</v>
      </c>
      <c r="D1255">
        <v>9979</v>
      </c>
      <c r="E1255" s="1"/>
      <c r="F1255" s="1" t="s">
        <v>278</v>
      </c>
      <c r="G1255">
        <v>2011</v>
      </c>
      <c r="H1255">
        <v>12264.96</v>
      </c>
      <c r="I1255">
        <v>3</v>
      </c>
      <c r="J1255" s="1" t="s">
        <v>479</v>
      </c>
      <c r="K1255">
        <v>0</v>
      </c>
      <c r="L1255">
        <v>290</v>
      </c>
      <c r="M1255">
        <v>42.278385999999998</v>
      </c>
      <c r="N1255">
        <v>1</v>
      </c>
      <c r="O1255" s="1" t="s">
        <v>564</v>
      </c>
      <c r="P1255">
        <v>12809.04</v>
      </c>
      <c r="Q1255">
        <v>2708.88</v>
      </c>
      <c r="R1255">
        <v>0</v>
      </c>
      <c r="S1255" s="1"/>
      <c r="T1255" s="1" t="s">
        <v>1198</v>
      </c>
      <c r="U1255">
        <v>1135.64517</v>
      </c>
      <c r="V1255">
        <v>0</v>
      </c>
      <c r="W1255">
        <v>76413</v>
      </c>
    </row>
    <row r="1256" spans="1:23" x14ac:dyDescent="0.25">
      <c r="A1256" s="1" t="s">
        <v>28</v>
      </c>
      <c r="B1256" s="1"/>
      <c r="C1256" s="1" t="s">
        <v>141</v>
      </c>
      <c r="D1256">
        <v>9979</v>
      </c>
      <c r="E1256" s="1"/>
      <c r="F1256" s="1" t="s">
        <v>278</v>
      </c>
      <c r="G1256">
        <v>2010</v>
      </c>
      <c r="H1256">
        <v>48211.86</v>
      </c>
      <c r="I1256">
        <v>3</v>
      </c>
      <c r="J1256" s="1" t="s">
        <v>479</v>
      </c>
      <c r="K1256">
        <v>0</v>
      </c>
      <c r="L1256">
        <v>290</v>
      </c>
      <c r="M1256">
        <v>166.19048599999999</v>
      </c>
      <c r="N1256">
        <v>1</v>
      </c>
      <c r="O1256" s="1" t="s">
        <v>564</v>
      </c>
      <c r="P1256">
        <v>59578.47</v>
      </c>
      <c r="Q1256">
        <v>12599.74</v>
      </c>
      <c r="R1256">
        <v>0</v>
      </c>
      <c r="S1256" s="1"/>
      <c r="T1256" s="1" t="s">
        <v>1198</v>
      </c>
      <c r="U1256">
        <v>4464.0622599999997</v>
      </c>
      <c r="V1256">
        <v>0</v>
      </c>
      <c r="W1256">
        <v>76413</v>
      </c>
    </row>
    <row r="1257" spans="1:23" x14ac:dyDescent="0.25">
      <c r="A1257" s="1" t="s">
        <v>28</v>
      </c>
      <c r="B1257" s="1"/>
      <c r="C1257" s="1" t="s">
        <v>141</v>
      </c>
      <c r="D1257">
        <v>9979</v>
      </c>
      <c r="E1257" s="1"/>
      <c r="F1257" s="1" t="s">
        <v>278</v>
      </c>
      <c r="G1257">
        <v>2009</v>
      </c>
      <c r="H1257">
        <v>23925.22</v>
      </c>
      <c r="I1257">
        <v>4</v>
      </c>
      <c r="J1257" s="1" t="s">
        <v>479</v>
      </c>
      <c r="K1257">
        <v>0</v>
      </c>
      <c r="L1257">
        <v>290</v>
      </c>
      <c r="M1257">
        <v>82.472318999999999</v>
      </c>
      <c r="N1257">
        <v>1</v>
      </c>
      <c r="O1257" s="1" t="s">
        <v>564</v>
      </c>
      <c r="P1257">
        <v>26883.26</v>
      </c>
      <c r="Q1257">
        <v>5685.31</v>
      </c>
      <c r="R1257">
        <v>0</v>
      </c>
      <c r="S1257" s="1"/>
      <c r="T1257" s="1" t="s">
        <v>1198</v>
      </c>
      <c r="U1257">
        <v>2215.2983300000001</v>
      </c>
      <c r="V1257">
        <v>0</v>
      </c>
      <c r="W1257">
        <v>76413</v>
      </c>
    </row>
    <row r="1258" spans="1:23" x14ac:dyDescent="0.25">
      <c r="A1258" s="1" t="s">
        <v>28</v>
      </c>
      <c r="B1258" s="1"/>
      <c r="C1258" s="1" t="s">
        <v>141</v>
      </c>
      <c r="D1258">
        <v>9979</v>
      </c>
      <c r="E1258" s="1"/>
      <c r="F1258" s="1" t="s">
        <v>278</v>
      </c>
      <c r="G1258">
        <v>2008</v>
      </c>
      <c r="H1258">
        <v>40391.589999999997</v>
      </c>
      <c r="I1258">
        <v>7</v>
      </c>
      <c r="J1258" s="1" t="s">
        <v>479</v>
      </c>
      <c r="K1258">
        <v>0</v>
      </c>
      <c r="L1258">
        <v>290</v>
      </c>
      <c r="M1258">
        <v>139.23333299999999</v>
      </c>
      <c r="N1258">
        <v>1</v>
      </c>
      <c r="O1258" s="1" t="s">
        <v>564</v>
      </c>
      <c r="P1258">
        <v>46856.22</v>
      </c>
      <c r="Q1258">
        <v>9909.2199999999993</v>
      </c>
      <c r="R1258">
        <v>0</v>
      </c>
      <c r="S1258" s="1"/>
      <c r="T1258" s="1" t="s">
        <v>1198</v>
      </c>
      <c r="U1258">
        <v>3739.9630400000001</v>
      </c>
      <c r="V1258">
        <v>0</v>
      </c>
      <c r="W1258">
        <v>76413</v>
      </c>
    </row>
    <row r="1259" spans="1:23" x14ac:dyDescent="0.25">
      <c r="A1259" s="1" t="s">
        <v>28</v>
      </c>
      <c r="B1259" s="1"/>
      <c r="C1259" s="1" t="s">
        <v>142</v>
      </c>
      <c r="D1259">
        <v>10271</v>
      </c>
      <c r="E1259" s="1"/>
      <c r="F1259" s="1" t="s">
        <v>279</v>
      </c>
      <c r="G1259">
        <v>2015</v>
      </c>
      <c r="H1259">
        <v>2007.52</v>
      </c>
      <c r="I1259">
        <v>1</v>
      </c>
      <c r="J1259" s="1" t="s">
        <v>419</v>
      </c>
      <c r="K1259">
        <v>0</v>
      </c>
      <c r="L1259">
        <v>123</v>
      </c>
      <c r="M1259">
        <v>16.308042</v>
      </c>
      <c r="N1259">
        <v>1</v>
      </c>
      <c r="O1259" s="1" t="s">
        <v>564</v>
      </c>
      <c r="P1259">
        <v>2333.02</v>
      </c>
      <c r="Q1259">
        <v>493.39</v>
      </c>
      <c r="R1259">
        <v>0</v>
      </c>
      <c r="S1259" s="1" t="s">
        <v>791</v>
      </c>
      <c r="T1259" s="1" t="s">
        <v>1199</v>
      </c>
      <c r="U1259">
        <v>185.88119</v>
      </c>
      <c r="V1259">
        <v>0</v>
      </c>
      <c r="W1259">
        <v>77658</v>
      </c>
    </row>
    <row r="1260" spans="1:23" x14ac:dyDescent="0.25">
      <c r="A1260" s="1" t="s">
        <v>28</v>
      </c>
      <c r="B1260" s="1"/>
      <c r="C1260" s="1" t="s">
        <v>142</v>
      </c>
      <c r="D1260">
        <v>10271</v>
      </c>
      <c r="E1260" s="1"/>
      <c r="F1260" s="1" t="s">
        <v>279</v>
      </c>
      <c r="G1260">
        <v>2014</v>
      </c>
      <c r="H1260">
        <v>7381.07</v>
      </c>
      <c r="I1260">
        <v>4</v>
      </c>
      <c r="J1260" s="1" t="s">
        <v>419</v>
      </c>
      <c r="K1260">
        <v>0</v>
      </c>
      <c r="L1260">
        <v>123</v>
      </c>
      <c r="M1260">
        <v>59.959950999999997</v>
      </c>
      <c r="N1260">
        <v>1</v>
      </c>
      <c r="O1260" s="1" t="s">
        <v>564</v>
      </c>
      <c r="P1260">
        <v>8815.18</v>
      </c>
      <c r="Q1260">
        <v>1864.24</v>
      </c>
      <c r="R1260">
        <v>0</v>
      </c>
      <c r="S1260" s="1" t="s">
        <v>791</v>
      </c>
      <c r="T1260" s="1" t="s">
        <v>1199</v>
      </c>
      <c r="U1260">
        <v>683.43129999999996</v>
      </c>
      <c r="V1260">
        <v>0</v>
      </c>
      <c r="W1260">
        <v>77658</v>
      </c>
    </row>
    <row r="1261" spans="1:23" x14ac:dyDescent="0.25">
      <c r="A1261" s="1" t="s">
        <v>28</v>
      </c>
      <c r="B1261" s="1"/>
      <c r="C1261" s="1" t="s">
        <v>142</v>
      </c>
      <c r="D1261">
        <v>10271</v>
      </c>
      <c r="E1261" s="1"/>
      <c r="F1261" s="1" t="s">
        <v>279</v>
      </c>
      <c r="G1261">
        <v>2013</v>
      </c>
      <c r="H1261">
        <v>14871.83</v>
      </c>
      <c r="I1261">
        <v>8</v>
      </c>
      <c r="J1261" s="1" t="s">
        <v>419</v>
      </c>
      <c r="K1261">
        <v>0</v>
      </c>
      <c r="L1261">
        <v>123</v>
      </c>
      <c r="M1261">
        <v>120.81096599999999</v>
      </c>
      <c r="N1261">
        <v>1</v>
      </c>
      <c r="O1261" s="1" t="s">
        <v>564</v>
      </c>
      <c r="P1261">
        <v>15422.87</v>
      </c>
      <c r="Q1261">
        <v>3261.65</v>
      </c>
      <c r="R1261">
        <v>0</v>
      </c>
      <c r="S1261" s="1" t="s">
        <v>791</v>
      </c>
      <c r="T1261" s="1" t="s">
        <v>1199</v>
      </c>
      <c r="U1261">
        <v>1377.0208299999999</v>
      </c>
      <c r="V1261">
        <v>0</v>
      </c>
      <c r="W1261">
        <v>77658</v>
      </c>
    </row>
    <row r="1262" spans="1:23" x14ac:dyDescent="0.25">
      <c r="A1262" s="1" t="s">
        <v>28</v>
      </c>
      <c r="B1262" s="1"/>
      <c r="C1262" s="1" t="s">
        <v>142</v>
      </c>
      <c r="D1262">
        <v>10271</v>
      </c>
      <c r="E1262" s="1"/>
      <c r="F1262" s="1" t="s">
        <v>279</v>
      </c>
      <c r="G1262">
        <v>2012</v>
      </c>
      <c r="H1262">
        <v>23764.32</v>
      </c>
      <c r="I1262">
        <v>2</v>
      </c>
      <c r="J1262" s="1" t="s">
        <v>419</v>
      </c>
      <c r="K1262">
        <v>0</v>
      </c>
      <c r="L1262">
        <v>123</v>
      </c>
      <c r="M1262">
        <v>193.048903</v>
      </c>
      <c r="N1262">
        <v>1</v>
      </c>
      <c r="O1262" s="1" t="s">
        <v>564</v>
      </c>
      <c r="P1262">
        <v>25990.69</v>
      </c>
      <c r="Q1262">
        <v>5496.55</v>
      </c>
      <c r="R1262">
        <v>0</v>
      </c>
      <c r="S1262" s="1" t="s">
        <v>791</v>
      </c>
      <c r="T1262" s="1" t="s">
        <v>1199</v>
      </c>
      <c r="U1262">
        <v>2200.4007799999999</v>
      </c>
      <c r="V1262">
        <v>0</v>
      </c>
      <c r="W1262">
        <v>77658</v>
      </c>
    </row>
    <row r="1263" spans="1:23" x14ac:dyDescent="0.25">
      <c r="A1263" s="1" t="s">
        <v>28</v>
      </c>
      <c r="B1263" s="1"/>
      <c r="C1263" s="1" t="s">
        <v>142</v>
      </c>
      <c r="D1263">
        <v>10271</v>
      </c>
      <c r="E1263" s="1"/>
      <c r="F1263" s="1" t="s">
        <v>279</v>
      </c>
      <c r="G1263">
        <v>2011</v>
      </c>
      <c r="H1263">
        <v>25405.279999999999</v>
      </c>
      <c r="I1263">
        <v>2</v>
      </c>
      <c r="J1263" s="1" t="s">
        <v>419</v>
      </c>
      <c r="K1263">
        <v>0</v>
      </c>
      <c r="L1263">
        <v>123</v>
      </c>
      <c r="M1263">
        <v>206.37920299999999</v>
      </c>
      <c r="N1263">
        <v>1</v>
      </c>
      <c r="O1263" s="1" t="s">
        <v>564</v>
      </c>
      <c r="P1263">
        <v>29462.17</v>
      </c>
      <c r="Q1263">
        <v>6230.7</v>
      </c>
      <c r="R1263">
        <v>0</v>
      </c>
      <c r="S1263" s="1" t="s">
        <v>791</v>
      </c>
      <c r="T1263" s="1" t="s">
        <v>1199</v>
      </c>
      <c r="U1263">
        <v>2352.33997</v>
      </c>
      <c r="V1263">
        <v>0</v>
      </c>
      <c r="W1263">
        <v>77658</v>
      </c>
    </row>
    <row r="1264" spans="1:23" x14ac:dyDescent="0.25">
      <c r="A1264" s="1" t="s">
        <v>28</v>
      </c>
      <c r="B1264" s="1"/>
      <c r="C1264" s="1" t="s">
        <v>142</v>
      </c>
      <c r="D1264">
        <v>10271</v>
      </c>
      <c r="E1264" s="1"/>
      <c r="F1264" s="1" t="s">
        <v>279</v>
      </c>
      <c r="G1264">
        <v>2010</v>
      </c>
      <c r="H1264">
        <v>23882.3</v>
      </c>
      <c r="I1264">
        <v>4</v>
      </c>
      <c r="J1264" s="1" t="s">
        <v>419</v>
      </c>
      <c r="K1264">
        <v>0</v>
      </c>
      <c r="L1264">
        <v>123</v>
      </c>
      <c r="M1264">
        <v>194.00731099999999</v>
      </c>
      <c r="N1264">
        <v>1</v>
      </c>
      <c r="O1264" s="1" t="s">
        <v>564</v>
      </c>
      <c r="P1264">
        <v>27819.53</v>
      </c>
      <c r="Q1264">
        <v>5883.32</v>
      </c>
      <c r="R1264">
        <v>0</v>
      </c>
      <c r="S1264" s="1" t="s">
        <v>791</v>
      </c>
      <c r="T1264" s="1" t="s">
        <v>1199</v>
      </c>
      <c r="U1264">
        <v>2211.3231000000001</v>
      </c>
      <c r="V1264">
        <v>0</v>
      </c>
      <c r="W1264">
        <v>77658</v>
      </c>
    </row>
    <row r="1265" spans="1:23" x14ac:dyDescent="0.25">
      <c r="A1265" s="1" t="s">
        <v>28</v>
      </c>
      <c r="B1265" s="1"/>
      <c r="C1265" s="1" t="s">
        <v>142</v>
      </c>
      <c r="D1265">
        <v>10271</v>
      </c>
      <c r="E1265" s="1"/>
      <c r="F1265" s="1" t="s">
        <v>279</v>
      </c>
      <c r="G1265">
        <v>2009</v>
      </c>
      <c r="H1265">
        <v>21850.18</v>
      </c>
      <c r="I1265">
        <v>2</v>
      </c>
      <c r="J1265" s="1" t="s">
        <v>419</v>
      </c>
      <c r="K1265">
        <v>0</v>
      </c>
      <c r="L1265">
        <v>123</v>
      </c>
      <c r="M1265">
        <v>177.49943099999999</v>
      </c>
      <c r="N1265">
        <v>1</v>
      </c>
      <c r="O1265" s="1" t="s">
        <v>564</v>
      </c>
      <c r="P1265">
        <v>30659.68</v>
      </c>
      <c r="Q1265">
        <v>6483.96</v>
      </c>
      <c r="R1265">
        <v>0</v>
      </c>
      <c r="S1265" s="1" t="s">
        <v>791</v>
      </c>
      <c r="T1265" s="1" t="s">
        <v>1199</v>
      </c>
      <c r="U1265">
        <v>2023.16281</v>
      </c>
      <c r="V1265">
        <v>0</v>
      </c>
      <c r="W1265">
        <v>77658</v>
      </c>
    </row>
    <row r="1266" spans="1:23" x14ac:dyDescent="0.25">
      <c r="A1266" s="1" t="s">
        <v>28</v>
      </c>
      <c r="B1266" s="1"/>
      <c r="C1266" s="1" t="s">
        <v>142</v>
      </c>
      <c r="D1266">
        <v>10271</v>
      </c>
      <c r="E1266" s="1"/>
      <c r="F1266" s="1" t="s">
        <v>279</v>
      </c>
      <c r="G1266">
        <v>2008</v>
      </c>
      <c r="H1266">
        <v>14380.14</v>
      </c>
      <c r="I1266">
        <v>3</v>
      </c>
      <c r="J1266" s="1" t="s">
        <v>419</v>
      </c>
      <c r="K1266">
        <v>0</v>
      </c>
      <c r="L1266">
        <v>123</v>
      </c>
      <c r="M1266">
        <v>116.816734</v>
      </c>
      <c r="N1266">
        <v>1</v>
      </c>
      <c r="O1266" s="1" t="s">
        <v>564</v>
      </c>
      <c r="P1266">
        <v>16480.25</v>
      </c>
      <c r="Q1266">
        <v>3485.25</v>
      </c>
      <c r="R1266">
        <v>0</v>
      </c>
      <c r="S1266" s="1" t="s">
        <v>791</v>
      </c>
      <c r="T1266" s="1" t="s">
        <v>1199</v>
      </c>
      <c r="U1266">
        <v>1331.4932100000001</v>
      </c>
      <c r="V1266">
        <v>0</v>
      </c>
      <c r="W1266">
        <v>77658</v>
      </c>
    </row>
    <row r="1267" spans="1:23" x14ac:dyDescent="0.25">
      <c r="A1267" s="1" t="s">
        <v>28</v>
      </c>
      <c r="B1267" s="1"/>
      <c r="C1267" s="1" t="s">
        <v>143</v>
      </c>
      <c r="D1267">
        <v>13961</v>
      </c>
      <c r="E1267" s="1" t="s">
        <v>243</v>
      </c>
      <c r="F1267" s="1" t="s">
        <v>143</v>
      </c>
      <c r="G1267">
        <v>2014</v>
      </c>
      <c r="H1267">
        <v>4071.04</v>
      </c>
      <c r="I1267">
        <v>3</v>
      </c>
      <c r="J1267" s="1" t="s">
        <v>480</v>
      </c>
      <c r="K1267">
        <v>0</v>
      </c>
      <c r="L1267">
        <v>214</v>
      </c>
      <c r="M1267">
        <v>19.014665999999998</v>
      </c>
      <c r="N1267">
        <v>1</v>
      </c>
      <c r="O1267" s="1" t="s">
        <v>564</v>
      </c>
      <c r="P1267">
        <v>4831.8999999999996</v>
      </c>
      <c r="Q1267">
        <v>1021.86</v>
      </c>
      <c r="R1267">
        <v>0</v>
      </c>
      <c r="S1267" s="1" t="s">
        <v>792</v>
      </c>
      <c r="T1267" s="1" t="s">
        <v>1200</v>
      </c>
      <c r="U1267">
        <v>376.94700999999998</v>
      </c>
      <c r="V1267">
        <v>0</v>
      </c>
      <c r="W1267">
        <v>92684</v>
      </c>
    </row>
    <row r="1268" spans="1:23" x14ac:dyDescent="0.25">
      <c r="A1268" s="1" t="s">
        <v>28</v>
      </c>
      <c r="B1268" s="1"/>
      <c r="C1268" s="1" t="s">
        <v>143</v>
      </c>
      <c r="D1268">
        <v>13961</v>
      </c>
      <c r="E1268" s="1" t="s">
        <v>243</v>
      </c>
      <c r="F1268" s="1" t="s">
        <v>143</v>
      </c>
      <c r="G1268">
        <v>2013</v>
      </c>
      <c r="H1268">
        <v>18038.3</v>
      </c>
      <c r="I1268">
        <v>8</v>
      </c>
      <c r="J1268" s="1" t="s">
        <v>480</v>
      </c>
      <c r="K1268">
        <v>0</v>
      </c>
      <c r="L1268">
        <v>214</v>
      </c>
      <c r="M1268">
        <v>84.251750999999999</v>
      </c>
      <c r="N1268">
        <v>1</v>
      </c>
      <c r="O1268" s="1" t="s">
        <v>564</v>
      </c>
      <c r="P1268">
        <v>19690.490000000002</v>
      </c>
      <c r="Q1268">
        <v>4164.18</v>
      </c>
      <c r="R1268">
        <v>0</v>
      </c>
      <c r="S1268" s="1" t="s">
        <v>792</v>
      </c>
      <c r="T1268" s="1" t="s">
        <v>1200</v>
      </c>
      <c r="U1268">
        <v>1670.2144599999999</v>
      </c>
      <c r="V1268">
        <v>0</v>
      </c>
      <c r="W1268">
        <v>92684</v>
      </c>
    </row>
    <row r="1269" spans="1:23" x14ac:dyDescent="0.25">
      <c r="A1269" s="1" t="s">
        <v>28</v>
      </c>
      <c r="B1269" s="1"/>
      <c r="C1269" s="1" t="s">
        <v>143</v>
      </c>
      <c r="D1269">
        <v>13961</v>
      </c>
      <c r="E1269" s="1" t="s">
        <v>243</v>
      </c>
      <c r="F1269" s="1" t="s">
        <v>143</v>
      </c>
      <c r="G1269">
        <v>2012</v>
      </c>
      <c r="H1269">
        <v>7910.84</v>
      </c>
      <c r="I1269">
        <v>1</v>
      </c>
      <c r="J1269" s="1" t="s">
        <v>480</v>
      </c>
      <c r="K1269">
        <v>0</v>
      </c>
      <c r="L1269">
        <v>214</v>
      </c>
      <c r="M1269">
        <v>36.949275999999998</v>
      </c>
      <c r="N1269">
        <v>1</v>
      </c>
      <c r="O1269" s="1" t="s">
        <v>564</v>
      </c>
      <c r="P1269">
        <v>8917.9599999999991</v>
      </c>
      <c r="Q1269">
        <v>1885.98</v>
      </c>
      <c r="R1269">
        <v>0</v>
      </c>
      <c r="S1269" s="1" t="s">
        <v>792</v>
      </c>
      <c r="T1269" s="1" t="s">
        <v>1200</v>
      </c>
      <c r="U1269">
        <v>732.48554999999999</v>
      </c>
      <c r="V1269">
        <v>0</v>
      </c>
      <c r="W1269">
        <v>92684</v>
      </c>
    </row>
    <row r="1270" spans="1:23" x14ac:dyDescent="0.25">
      <c r="A1270" s="1" t="s">
        <v>28</v>
      </c>
      <c r="B1270" s="1"/>
      <c r="C1270" s="1" t="s">
        <v>141</v>
      </c>
      <c r="D1270">
        <v>9979</v>
      </c>
      <c r="E1270" s="1"/>
      <c r="F1270" s="1" t="s">
        <v>278</v>
      </c>
      <c r="G1270">
        <v>2015</v>
      </c>
      <c r="H1270">
        <v>887.16</v>
      </c>
      <c r="I1270">
        <v>1</v>
      </c>
      <c r="J1270" s="1" t="s">
        <v>418</v>
      </c>
      <c r="K1270">
        <v>0</v>
      </c>
      <c r="L1270">
        <v>290</v>
      </c>
      <c r="M1270">
        <v>3.0581170000000002</v>
      </c>
      <c r="N1270">
        <v>2</v>
      </c>
      <c r="O1270" s="1" t="s">
        <v>569</v>
      </c>
      <c r="P1270">
        <v>887.16</v>
      </c>
      <c r="Q1270">
        <v>266.14</v>
      </c>
      <c r="R1270">
        <v>0</v>
      </c>
      <c r="S1270" s="1"/>
      <c r="T1270" s="1" t="s">
        <v>1276</v>
      </c>
      <c r="U1270">
        <v>887.16359</v>
      </c>
      <c r="V1270">
        <v>0</v>
      </c>
      <c r="W1270">
        <v>76411</v>
      </c>
    </row>
    <row r="1271" spans="1:23" x14ac:dyDescent="0.25">
      <c r="A1271" s="1" t="s">
        <v>28</v>
      </c>
      <c r="B1271" s="1"/>
      <c r="C1271" s="1" t="s">
        <v>141</v>
      </c>
      <c r="D1271">
        <v>9979</v>
      </c>
      <c r="E1271" s="1"/>
      <c r="F1271" s="1" t="s">
        <v>278</v>
      </c>
      <c r="G1271">
        <v>2014</v>
      </c>
      <c r="H1271">
        <v>7530.55</v>
      </c>
      <c r="I1271">
        <v>0</v>
      </c>
      <c r="J1271" s="1" t="s">
        <v>418</v>
      </c>
      <c r="K1271">
        <v>0</v>
      </c>
      <c r="L1271">
        <v>290</v>
      </c>
      <c r="M1271">
        <v>25.958462000000001</v>
      </c>
      <c r="N1271">
        <v>2</v>
      </c>
      <c r="O1271" s="1" t="s">
        <v>569</v>
      </c>
      <c r="P1271">
        <v>7530.55</v>
      </c>
      <c r="Q1271">
        <v>2259.16</v>
      </c>
      <c r="R1271">
        <v>0</v>
      </c>
      <c r="S1271" s="1"/>
      <c r="T1271" s="1" t="s">
        <v>1276</v>
      </c>
      <c r="U1271">
        <v>7530.5746300000001</v>
      </c>
      <c r="V1271">
        <v>0</v>
      </c>
      <c r="W1271">
        <v>76411</v>
      </c>
    </row>
    <row r="1272" spans="1:23" x14ac:dyDescent="0.25">
      <c r="A1272" s="1" t="s">
        <v>28</v>
      </c>
      <c r="B1272" s="1"/>
      <c r="C1272" s="1" t="s">
        <v>141</v>
      </c>
      <c r="D1272">
        <v>9979</v>
      </c>
      <c r="E1272" s="1"/>
      <c r="F1272" s="1" t="s">
        <v>278</v>
      </c>
      <c r="G1272">
        <v>2013</v>
      </c>
      <c r="H1272">
        <v>7530.55</v>
      </c>
      <c r="I1272">
        <v>0</v>
      </c>
      <c r="J1272" s="1" t="s">
        <v>418</v>
      </c>
      <c r="K1272">
        <v>0</v>
      </c>
      <c r="L1272">
        <v>290</v>
      </c>
      <c r="M1272">
        <v>25.958462000000001</v>
      </c>
      <c r="N1272">
        <v>2</v>
      </c>
      <c r="O1272" s="1" t="s">
        <v>569</v>
      </c>
      <c r="P1272">
        <v>7530.55</v>
      </c>
      <c r="Q1272">
        <v>2259.16</v>
      </c>
      <c r="R1272">
        <v>0</v>
      </c>
      <c r="S1272" s="1"/>
      <c r="T1272" s="1" t="s">
        <v>1276</v>
      </c>
      <c r="U1272">
        <v>7530.5746300000001</v>
      </c>
      <c r="V1272">
        <v>0</v>
      </c>
      <c r="W1272">
        <v>76411</v>
      </c>
    </row>
    <row r="1273" spans="1:23" x14ac:dyDescent="0.25">
      <c r="A1273" s="1" t="s">
        <v>28</v>
      </c>
      <c r="B1273" s="1"/>
      <c r="C1273" s="1" t="s">
        <v>141</v>
      </c>
      <c r="D1273">
        <v>9979</v>
      </c>
      <c r="E1273" s="1"/>
      <c r="F1273" s="1" t="s">
        <v>278</v>
      </c>
      <c r="G1273">
        <v>2012</v>
      </c>
      <c r="H1273">
        <v>7551.18</v>
      </c>
      <c r="I1273">
        <v>0</v>
      </c>
      <c r="J1273" s="1" t="s">
        <v>418</v>
      </c>
      <c r="K1273">
        <v>0</v>
      </c>
      <c r="L1273">
        <v>290</v>
      </c>
      <c r="M1273">
        <v>26.029575999999999</v>
      </c>
      <c r="N1273">
        <v>2</v>
      </c>
      <c r="O1273" s="1" t="s">
        <v>569</v>
      </c>
      <c r="P1273">
        <v>7551.18</v>
      </c>
      <c r="Q1273">
        <v>3020.46</v>
      </c>
      <c r="R1273">
        <v>0</v>
      </c>
      <c r="S1273" s="1"/>
      <c r="T1273" s="1" t="s">
        <v>1276</v>
      </c>
      <c r="U1273">
        <v>7551.2063399999997</v>
      </c>
      <c r="V1273">
        <v>0</v>
      </c>
      <c r="W1273">
        <v>76411</v>
      </c>
    </row>
    <row r="1274" spans="1:23" x14ac:dyDescent="0.25">
      <c r="A1274" s="1" t="s">
        <v>28</v>
      </c>
      <c r="B1274" s="1"/>
      <c r="C1274" s="1" t="s">
        <v>141</v>
      </c>
      <c r="D1274">
        <v>9979</v>
      </c>
      <c r="E1274" s="1"/>
      <c r="F1274" s="1" t="s">
        <v>278</v>
      </c>
      <c r="G1274">
        <v>2011</v>
      </c>
      <c r="H1274">
        <v>13218.23</v>
      </c>
      <c r="I1274">
        <v>3</v>
      </c>
      <c r="J1274" s="1" t="s">
        <v>418</v>
      </c>
      <c r="K1274">
        <v>0</v>
      </c>
      <c r="L1274">
        <v>290</v>
      </c>
      <c r="M1274">
        <v>45.564391000000001</v>
      </c>
      <c r="N1274">
        <v>2</v>
      </c>
      <c r="O1274" s="1" t="s">
        <v>569</v>
      </c>
      <c r="P1274">
        <v>13218.23</v>
      </c>
      <c r="Q1274">
        <v>6199.34</v>
      </c>
      <c r="R1274">
        <v>0</v>
      </c>
      <c r="S1274" s="1"/>
      <c r="T1274" s="1" t="s">
        <v>1276</v>
      </c>
      <c r="U1274">
        <v>13218.22265</v>
      </c>
      <c r="V1274">
        <v>0</v>
      </c>
      <c r="W1274">
        <v>76411</v>
      </c>
    </row>
    <row r="1275" spans="1:23" x14ac:dyDescent="0.25">
      <c r="A1275" s="1" t="s">
        <v>28</v>
      </c>
      <c r="B1275" s="1"/>
      <c r="C1275" s="1" t="s">
        <v>141</v>
      </c>
      <c r="D1275">
        <v>9979</v>
      </c>
      <c r="E1275" s="1"/>
      <c r="F1275" s="1" t="s">
        <v>278</v>
      </c>
      <c r="G1275">
        <v>2010</v>
      </c>
      <c r="H1275">
        <v>3510.71</v>
      </c>
      <c r="I1275">
        <v>3</v>
      </c>
      <c r="J1275" s="1" t="s">
        <v>418</v>
      </c>
      <c r="K1275">
        <v>0</v>
      </c>
      <c r="L1275">
        <v>290</v>
      </c>
      <c r="M1275">
        <v>12.101723</v>
      </c>
      <c r="N1275">
        <v>2</v>
      </c>
      <c r="O1275" s="1" t="s">
        <v>569</v>
      </c>
      <c r="P1275">
        <v>3510.71</v>
      </c>
      <c r="Q1275">
        <v>1646.51</v>
      </c>
      <c r="R1275">
        <v>0</v>
      </c>
      <c r="S1275" s="1"/>
      <c r="T1275" s="1" t="s">
        <v>1276</v>
      </c>
      <c r="U1275">
        <v>3510.71569</v>
      </c>
      <c r="V1275">
        <v>0</v>
      </c>
      <c r="W1275">
        <v>76411</v>
      </c>
    </row>
    <row r="1276" spans="1:23" x14ac:dyDescent="0.25">
      <c r="A1276" s="1" t="s">
        <v>28</v>
      </c>
      <c r="B1276" s="1"/>
      <c r="C1276" s="1" t="s">
        <v>141</v>
      </c>
      <c r="D1276">
        <v>9979</v>
      </c>
      <c r="E1276" s="1"/>
      <c r="F1276" s="1" t="s">
        <v>278</v>
      </c>
      <c r="G1276">
        <v>2009</v>
      </c>
      <c r="H1276">
        <v>4290.55</v>
      </c>
      <c r="I1276">
        <v>5</v>
      </c>
      <c r="J1276" s="1" t="s">
        <v>418</v>
      </c>
      <c r="K1276">
        <v>0</v>
      </c>
      <c r="L1276">
        <v>290</v>
      </c>
      <c r="M1276">
        <v>14.789899999999999</v>
      </c>
      <c r="N1276">
        <v>2</v>
      </c>
      <c r="O1276" s="1" t="s">
        <v>569</v>
      </c>
      <c r="P1276">
        <v>4290.55</v>
      </c>
      <c r="Q1276">
        <v>2012.28</v>
      </c>
      <c r="R1276">
        <v>0</v>
      </c>
      <c r="S1276" s="1"/>
      <c r="T1276" s="1" t="s">
        <v>1276</v>
      </c>
      <c r="U1276">
        <v>4290.5423600000004</v>
      </c>
      <c r="V1276">
        <v>0</v>
      </c>
      <c r="W1276">
        <v>76411</v>
      </c>
    </row>
    <row r="1277" spans="1:23" x14ac:dyDescent="0.25">
      <c r="A1277" s="1" t="s">
        <v>28</v>
      </c>
      <c r="B1277" s="1"/>
      <c r="C1277" s="1" t="s">
        <v>141</v>
      </c>
      <c r="D1277">
        <v>9979</v>
      </c>
      <c r="E1277" s="1"/>
      <c r="F1277" s="1" t="s">
        <v>278</v>
      </c>
      <c r="G1277">
        <v>2008</v>
      </c>
      <c r="H1277">
        <v>7001.98</v>
      </c>
      <c r="I1277">
        <v>7</v>
      </c>
      <c r="J1277" s="1" t="s">
        <v>418</v>
      </c>
      <c r="K1277">
        <v>0</v>
      </c>
      <c r="L1277">
        <v>290</v>
      </c>
      <c r="M1277">
        <v>24.136434999999999</v>
      </c>
      <c r="N1277">
        <v>2</v>
      </c>
      <c r="O1277" s="1" t="s">
        <v>569</v>
      </c>
      <c r="P1277">
        <v>7001.98</v>
      </c>
      <c r="Q1277">
        <v>3283.93</v>
      </c>
      <c r="R1277">
        <v>0</v>
      </c>
      <c r="S1277" s="1"/>
      <c r="T1277" s="1" t="s">
        <v>1276</v>
      </c>
      <c r="U1277">
        <v>7001.9791599999999</v>
      </c>
      <c r="V1277">
        <v>0</v>
      </c>
      <c r="W1277">
        <v>76411</v>
      </c>
    </row>
    <row r="1278" spans="1:23" x14ac:dyDescent="0.25">
      <c r="A1278" s="1" t="s">
        <v>28</v>
      </c>
      <c r="B1278" s="1"/>
      <c r="C1278" s="1" t="s">
        <v>142</v>
      </c>
      <c r="D1278">
        <v>10271</v>
      </c>
      <c r="E1278" s="1"/>
      <c r="F1278" s="1" t="s">
        <v>279</v>
      </c>
      <c r="G1278">
        <v>2015</v>
      </c>
      <c r="H1278">
        <v>170.91</v>
      </c>
      <c r="I1278">
        <v>1</v>
      </c>
      <c r="J1278" s="1" t="s">
        <v>419</v>
      </c>
      <c r="K1278">
        <v>0</v>
      </c>
      <c r="L1278">
        <v>123</v>
      </c>
      <c r="M1278">
        <v>1.3883829999999999</v>
      </c>
      <c r="N1278">
        <v>2</v>
      </c>
      <c r="O1278" s="1" t="s">
        <v>569</v>
      </c>
      <c r="P1278">
        <v>170.91</v>
      </c>
      <c r="Q1278">
        <v>51.27</v>
      </c>
      <c r="R1278">
        <v>0</v>
      </c>
      <c r="S1278" s="1" t="s">
        <v>994</v>
      </c>
      <c r="T1278" s="1" t="s">
        <v>1277</v>
      </c>
      <c r="U1278">
        <v>170.91088999999999</v>
      </c>
      <c r="V1278">
        <v>0</v>
      </c>
      <c r="W1278">
        <v>77653</v>
      </c>
    </row>
    <row r="1279" spans="1:23" x14ac:dyDescent="0.25">
      <c r="A1279" s="1" t="s">
        <v>28</v>
      </c>
      <c r="B1279" s="1"/>
      <c r="C1279" s="1" t="s">
        <v>142</v>
      </c>
      <c r="D1279">
        <v>10271</v>
      </c>
      <c r="E1279" s="1"/>
      <c r="F1279" s="1" t="s">
        <v>279</v>
      </c>
      <c r="G1279">
        <v>2014</v>
      </c>
      <c r="H1279">
        <v>411.77</v>
      </c>
      <c r="I1279">
        <v>4</v>
      </c>
      <c r="J1279" s="1" t="s">
        <v>419</v>
      </c>
      <c r="K1279">
        <v>0</v>
      </c>
      <c r="L1279">
        <v>123</v>
      </c>
      <c r="M1279">
        <v>3.3450039999999999</v>
      </c>
      <c r="N1279">
        <v>2</v>
      </c>
      <c r="O1279" s="1" t="s">
        <v>569</v>
      </c>
      <c r="P1279">
        <v>411.77</v>
      </c>
      <c r="Q1279">
        <v>123.52</v>
      </c>
      <c r="R1279">
        <v>0</v>
      </c>
      <c r="S1279" s="1" t="s">
        <v>994</v>
      </c>
      <c r="T1279" s="1" t="s">
        <v>1277</v>
      </c>
      <c r="U1279">
        <v>411.77659999999997</v>
      </c>
      <c r="V1279">
        <v>0</v>
      </c>
      <c r="W1279">
        <v>77653</v>
      </c>
    </row>
    <row r="1280" spans="1:23" x14ac:dyDescent="0.25">
      <c r="A1280" s="1" t="s">
        <v>28</v>
      </c>
      <c r="B1280" s="1"/>
      <c r="C1280" s="1" t="s">
        <v>142</v>
      </c>
      <c r="D1280">
        <v>10271</v>
      </c>
      <c r="E1280" s="1"/>
      <c r="F1280" s="1" t="s">
        <v>279</v>
      </c>
      <c r="G1280">
        <v>2013</v>
      </c>
      <c r="H1280">
        <v>1058.8800000000001</v>
      </c>
      <c r="I1280">
        <v>7</v>
      </c>
      <c r="J1280" s="1" t="s">
        <v>419</v>
      </c>
      <c r="K1280">
        <v>0</v>
      </c>
      <c r="L1280">
        <v>123</v>
      </c>
      <c r="M1280">
        <v>8.6017869999999998</v>
      </c>
      <c r="N1280">
        <v>2</v>
      </c>
      <c r="O1280" s="1" t="s">
        <v>569</v>
      </c>
      <c r="P1280">
        <v>1058.8800000000001</v>
      </c>
      <c r="Q1280">
        <v>317.67</v>
      </c>
      <c r="R1280">
        <v>0</v>
      </c>
      <c r="S1280" s="1" t="s">
        <v>994</v>
      </c>
      <c r="T1280" s="1" t="s">
        <v>1277</v>
      </c>
      <c r="U1280">
        <v>1058.89048</v>
      </c>
      <c r="V1280">
        <v>0</v>
      </c>
      <c r="W1280">
        <v>77653</v>
      </c>
    </row>
    <row r="1281" spans="1:23" x14ac:dyDescent="0.25">
      <c r="A1281" s="1" t="s">
        <v>28</v>
      </c>
      <c r="B1281" s="1"/>
      <c r="C1281" s="1" t="s">
        <v>142</v>
      </c>
      <c r="D1281">
        <v>10271</v>
      </c>
      <c r="E1281" s="1"/>
      <c r="F1281" s="1" t="s">
        <v>279</v>
      </c>
      <c r="G1281">
        <v>2012</v>
      </c>
      <c r="H1281">
        <v>2236.41</v>
      </c>
      <c r="I1281">
        <v>3</v>
      </c>
      <c r="J1281" s="1" t="s">
        <v>419</v>
      </c>
      <c r="K1281">
        <v>0</v>
      </c>
      <c r="L1281">
        <v>123</v>
      </c>
      <c r="M1281">
        <v>18.167424</v>
      </c>
      <c r="N1281">
        <v>2</v>
      </c>
      <c r="O1281" s="1" t="s">
        <v>569</v>
      </c>
      <c r="P1281">
        <v>2236.41</v>
      </c>
      <c r="Q1281">
        <v>894.55</v>
      </c>
      <c r="R1281">
        <v>0</v>
      </c>
      <c r="S1281" s="1" t="s">
        <v>994</v>
      </c>
      <c r="T1281" s="1" t="s">
        <v>1277</v>
      </c>
      <c r="U1281">
        <v>2236.42202</v>
      </c>
      <c r="V1281">
        <v>0</v>
      </c>
      <c r="W1281">
        <v>77653</v>
      </c>
    </row>
    <row r="1282" spans="1:23" x14ac:dyDescent="0.25">
      <c r="A1282" s="1" t="s">
        <v>28</v>
      </c>
      <c r="B1282" s="1"/>
      <c r="C1282" s="1" t="s">
        <v>142</v>
      </c>
      <c r="D1282">
        <v>10271</v>
      </c>
      <c r="E1282" s="1"/>
      <c r="F1282" s="1" t="s">
        <v>279</v>
      </c>
      <c r="G1282">
        <v>2011</v>
      </c>
      <c r="H1282">
        <v>2701.55</v>
      </c>
      <c r="I1282">
        <v>2</v>
      </c>
      <c r="J1282" s="1" t="s">
        <v>419</v>
      </c>
      <c r="K1282">
        <v>0</v>
      </c>
      <c r="L1282">
        <v>123</v>
      </c>
      <c r="M1282">
        <v>21.945978</v>
      </c>
      <c r="N1282">
        <v>2</v>
      </c>
      <c r="O1282" s="1" t="s">
        <v>569</v>
      </c>
      <c r="P1282">
        <v>2701.55</v>
      </c>
      <c r="Q1282">
        <v>1267.02</v>
      </c>
      <c r="R1282">
        <v>0</v>
      </c>
      <c r="S1282" s="1" t="s">
        <v>994</v>
      </c>
      <c r="T1282" s="1" t="s">
        <v>1277</v>
      </c>
      <c r="U1282">
        <v>2701.55557</v>
      </c>
      <c r="V1282">
        <v>0</v>
      </c>
      <c r="W1282">
        <v>77653</v>
      </c>
    </row>
    <row r="1283" spans="1:23" x14ac:dyDescent="0.25">
      <c r="A1283" s="1" t="s">
        <v>28</v>
      </c>
      <c r="B1283" s="1"/>
      <c r="C1283" s="1" t="s">
        <v>142</v>
      </c>
      <c r="D1283">
        <v>10271</v>
      </c>
      <c r="E1283" s="1"/>
      <c r="F1283" s="1" t="s">
        <v>279</v>
      </c>
      <c r="G1283">
        <v>2010</v>
      </c>
      <c r="H1283">
        <v>3605.69</v>
      </c>
      <c r="I1283">
        <v>4</v>
      </c>
      <c r="J1283" s="1" t="s">
        <v>419</v>
      </c>
      <c r="K1283">
        <v>0</v>
      </c>
      <c r="L1283">
        <v>123</v>
      </c>
      <c r="M1283">
        <v>29.290738999999999</v>
      </c>
      <c r="N1283">
        <v>2</v>
      </c>
      <c r="O1283" s="1" t="s">
        <v>569</v>
      </c>
      <c r="P1283">
        <v>3605.69</v>
      </c>
      <c r="Q1283">
        <v>1691.09</v>
      </c>
      <c r="R1283">
        <v>0</v>
      </c>
      <c r="S1283" s="1" t="s">
        <v>994</v>
      </c>
      <c r="T1283" s="1" t="s">
        <v>1277</v>
      </c>
      <c r="U1283">
        <v>3605.69976</v>
      </c>
      <c r="V1283">
        <v>0</v>
      </c>
      <c r="W1283">
        <v>77653</v>
      </c>
    </row>
    <row r="1284" spans="1:23" x14ac:dyDescent="0.25">
      <c r="A1284" s="1" t="s">
        <v>28</v>
      </c>
      <c r="B1284" s="1"/>
      <c r="C1284" s="1" t="s">
        <v>142</v>
      </c>
      <c r="D1284">
        <v>10271</v>
      </c>
      <c r="E1284" s="1"/>
      <c r="F1284" s="1" t="s">
        <v>279</v>
      </c>
      <c r="G1284">
        <v>2009</v>
      </c>
      <c r="H1284">
        <v>1626.98</v>
      </c>
      <c r="I1284">
        <v>3</v>
      </c>
      <c r="J1284" s="1" t="s">
        <v>419</v>
      </c>
      <c r="K1284">
        <v>0</v>
      </c>
      <c r="L1284">
        <v>123</v>
      </c>
      <c r="M1284">
        <v>13.216734000000001</v>
      </c>
      <c r="N1284">
        <v>2</v>
      </c>
      <c r="O1284" s="1" t="s">
        <v>569</v>
      </c>
      <c r="P1284">
        <v>1626.98</v>
      </c>
      <c r="Q1284">
        <v>763.05</v>
      </c>
      <c r="R1284">
        <v>0</v>
      </c>
      <c r="S1284" s="1" t="s">
        <v>994</v>
      </c>
      <c r="T1284" s="1" t="s">
        <v>1277</v>
      </c>
      <c r="U1284">
        <v>1626.9754600000001</v>
      </c>
      <c r="V1284">
        <v>0</v>
      </c>
      <c r="W1284">
        <v>77653</v>
      </c>
    </row>
    <row r="1285" spans="1:23" x14ac:dyDescent="0.25">
      <c r="A1285" s="1" t="s">
        <v>28</v>
      </c>
      <c r="B1285" s="1"/>
      <c r="C1285" s="1" t="s">
        <v>142</v>
      </c>
      <c r="D1285">
        <v>10271</v>
      </c>
      <c r="E1285" s="1"/>
      <c r="F1285" s="1" t="s">
        <v>279</v>
      </c>
      <c r="G1285">
        <v>2008</v>
      </c>
      <c r="H1285">
        <v>4827.3900000000003</v>
      </c>
      <c r="I1285">
        <v>2</v>
      </c>
      <c r="J1285" s="1" t="s">
        <v>419</v>
      </c>
      <c r="K1285">
        <v>0</v>
      </c>
      <c r="L1285">
        <v>123</v>
      </c>
      <c r="M1285">
        <v>39.21519</v>
      </c>
      <c r="N1285">
        <v>2</v>
      </c>
      <c r="O1285" s="1" t="s">
        <v>569</v>
      </c>
      <c r="P1285">
        <v>4827.3900000000003</v>
      </c>
      <c r="Q1285">
        <v>2264.0500000000002</v>
      </c>
      <c r="R1285">
        <v>0</v>
      </c>
      <c r="S1285" s="1" t="s">
        <v>994</v>
      </c>
      <c r="T1285" s="1" t="s">
        <v>1277</v>
      </c>
      <c r="U1285">
        <v>4827.3867099999998</v>
      </c>
      <c r="V1285">
        <v>0</v>
      </c>
      <c r="W1285">
        <v>77653</v>
      </c>
    </row>
    <row r="1286" spans="1:23" x14ac:dyDescent="0.25">
      <c r="A1286" s="1" t="s">
        <v>28</v>
      </c>
      <c r="B1286" s="1"/>
      <c r="C1286" s="1" t="s">
        <v>143</v>
      </c>
      <c r="D1286">
        <v>13961</v>
      </c>
      <c r="E1286" s="1" t="s">
        <v>243</v>
      </c>
      <c r="F1286" s="1" t="s">
        <v>143</v>
      </c>
      <c r="G1286">
        <v>2014</v>
      </c>
      <c r="H1286">
        <v>122.53</v>
      </c>
      <c r="I1286">
        <v>3</v>
      </c>
      <c r="J1286" s="1" t="s">
        <v>480</v>
      </c>
      <c r="K1286">
        <v>0</v>
      </c>
      <c r="L1286">
        <v>214</v>
      </c>
      <c r="M1286">
        <v>0.57230199999999998</v>
      </c>
      <c r="N1286">
        <v>2</v>
      </c>
      <c r="O1286" s="1" t="s">
        <v>569</v>
      </c>
      <c r="P1286">
        <v>122.53</v>
      </c>
      <c r="Q1286">
        <v>36.75</v>
      </c>
      <c r="R1286">
        <v>0</v>
      </c>
      <c r="S1286" s="1" t="s">
        <v>995</v>
      </c>
      <c r="T1286" s="1" t="s">
        <v>1278</v>
      </c>
      <c r="U1286">
        <v>122.53256</v>
      </c>
      <c r="V1286">
        <v>0</v>
      </c>
      <c r="W1286">
        <v>92680</v>
      </c>
    </row>
    <row r="1287" spans="1:23" x14ac:dyDescent="0.25">
      <c r="A1287" s="1" t="s">
        <v>28</v>
      </c>
      <c r="B1287" s="1"/>
      <c r="C1287" s="1" t="s">
        <v>143</v>
      </c>
      <c r="D1287">
        <v>13961</v>
      </c>
      <c r="E1287" s="1" t="s">
        <v>243</v>
      </c>
      <c r="F1287" s="1" t="s">
        <v>143</v>
      </c>
      <c r="G1287">
        <v>2013</v>
      </c>
      <c r="H1287">
        <v>1219.8800000000001</v>
      </c>
      <c r="I1287">
        <v>3</v>
      </c>
      <c r="J1287" s="1" t="s">
        <v>480</v>
      </c>
      <c r="K1287">
        <v>0</v>
      </c>
      <c r="L1287">
        <v>214</v>
      </c>
      <c r="M1287">
        <v>5.697711</v>
      </c>
      <c r="N1287">
        <v>2</v>
      </c>
      <c r="O1287" s="1" t="s">
        <v>569</v>
      </c>
      <c r="P1287">
        <v>1219.8800000000001</v>
      </c>
      <c r="Q1287">
        <v>365.96</v>
      </c>
      <c r="R1287">
        <v>0</v>
      </c>
      <c r="S1287" s="1" t="s">
        <v>995</v>
      </c>
      <c r="T1287" s="1" t="s">
        <v>1278</v>
      </c>
      <c r="U1287">
        <v>1219.86402</v>
      </c>
      <c r="V1287">
        <v>0</v>
      </c>
      <c r="W1287">
        <v>92680</v>
      </c>
    </row>
    <row r="1288" spans="1:23" x14ac:dyDescent="0.25">
      <c r="A1288" s="1" t="s">
        <v>28</v>
      </c>
      <c r="B1288" s="1"/>
      <c r="C1288" s="1" t="s">
        <v>143</v>
      </c>
      <c r="D1288">
        <v>13961</v>
      </c>
      <c r="E1288" s="1" t="s">
        <v>243</v>
      </c>
      <c r="F1288" s="1" t="s">
        <v>143</v>
      </c>
      <c r="G1288">
        <v>2012</v>
      </c>
      <c r="H1288">
        <v>354.61</v>
      </c>
      <c r="I1288">
        <v>2</v>
      </c>
      <c r="J1288" s="1" t="s">
        <v>480</v>
      </c>
      <c r="K1288">
        <v>0</v>
      </c>
      <c r="L1288">
        <v>214</v>
      </c>
      <c r="M1288">
        <v>1.656282</v>
      </c>
      <c r="N1288">
        <v>2</v>
      </c>
      <c r="O1288" s="1" t="s">
        <v>569</v>
      </c>
      <c r="P1288">
        <v>354.61</v>
      </c>
      <c r="Q1288">
        <v>141.84</v>
      </c>
      <c r="R1288">
        <v>0</v>
      </c>
      <c r="S1288" s="1" t="s">
        <v>995</v>
      </c>
      <c r="T1288" s="1" t="s">
        <v>1278</v>
      </c>
      <c r="U1288">
        <v>354.60345000000001</v>
      </c>
      <c r="V1288">
        <v>0</v>
      </c>
      <c r="W1288">
        <v>92680</v>
      </c>
    </row>
    <row r="1289" spans="1:23" x14ac:dyDescent="0.25">
      <c r="A1289" s="1" t="s">
        <v>29</v>
      </c>
      <c r="B1289" s="1"/>
      <c r="C1289" s="1" t="s">
        <v>144</v>
      </c>
      <c r="D1289">
        <v>10256</v>
      </c>
      <c r="E1289" s="1"/>
      <c r="F1289" s="1" t="s">
        <v>144</v>
      </c>
      <c r="G1289">
        <v>2015</v>
      </c>
      <c r="H1289">
        <v>17.739999999999998</v>
      </c>
      <c r="I1289">
        <v>2</v>
      </c>
      <c r="J1289" s="1" t="s">
        <v>420</v>
      </c>
      <c r="K1289">
        <v>0</v>
      </c>
      <c r="L1289">
        <v>381</v>
      </c>
      <c r="M1289">
        <v>4.6549E-2</v>
      </c>
      <c r="N1289">
        <v>3</v>
      </c>
      <c r="O1289" s="1" t="s">
        <v>560</v>
      </c>
      <c r="P1289">
        <v>17.739999999999998</v>
      </c>
      <c r="Q1289">
        <v>14.19</v>
      </c>
      <c r="R1289">
        <v>0</v>
      </c>
      <c r="S1289" s="1" t="s">
        <v>614</v>
      </c>
      <c r="T1289" s="1"/>
      <c r="U1289">
        <v>17.744679999999999</v>
      </c>
      <c r="V1289">
        <v>0</v>
      </c>
      <c r="W1289">
        <v>77569</v>
      </c>
    </row>
    <row r="1290" spans="1:23" x14ac:dyDescent="0.25">
      <c r="A1290" s="1" t="s">
        <v>29</v>
      </c>
      <c r="B1290" s="1"/>
      <c r="C1290" s="1" t="s">
        <v>144</v>
      </c>
      <c r="D1290">
        <v>10256</v>
      </c>
      <c r="E1290" s="1"/>
      <c r="F1290" s="1" t="s">
        <v>144</v>
      </c>
      <c r="G1290">
        <v>2015</v>
      </c>
      <c r="H1290">
        <v>14.01</v>
      </c>
      <c r="I1290">
        <v>3</v>
      </c>
      <c r="J1290" s="1" t="s">
        <v>421</v>
      </c>
      <c r="K1290">
        <v>0</v>
      </c>
      <c r="L1290">
        <v>381</v>
      </c>
      <c r="M1290">
        <v>3.6762000000000003E-2</v>
      </c>
      <c r="N1290">
        <v>3</v>
      </c>
      <c r="O1290" s="1" t="s">
        <v>560</v>
      </c>
      <c r="P1290">
        <v>14.01</v>
      </c>
      <c r="Q1290">
        <v>0</v>
      </c>
      <c r="R1290">
        <v>0</v>
      </c>
      <c r="S1290" s="1" t="s">
        <v>615</v>
      </c>
      <c r="T1290" s="1"/>
      <c r="U1290">
        <v>14</v>
      </c>
      <c r="V1290">
        <v>0</v>
      </c>
      <c r="W1290">
        <v>97285</v>
      </c>
    </row>
    <row r="1291" spans="1:23" x14ac:dyDescent="0.25">
      <c r="A1291" s="1" t="s">
        <v>29</v>
      </c>
      <c r="B1291" s="1"/>
      <c r="C1291" s="1" t="s">
        <v>144</v>
      </c>
      <c r="D1291">
        <v>10256</v>
      </c>
      <c r="E1291" s="1"/>
      <c r="F1291" s="1" t="s">
        <v>144</v>
      </c>
      <c r="G1291">
        <v>2014</v>
      </c>
      <c r="H1291">
        <v>83.83</v>
      </c>
      <c r="I1291">
        <v>10</v>
      </c>
      <c r="J1291" s="1" t="s">
        <v>420</v>
      </c>
      <c r="K1291">
        <v>0</v>
      </c>
      <c r="L1291">
        <v>381</v>
      </c>
      <c r="M1291">
        <v>0.219968</v>
      </c>
      <c r="N1291">
        <v>3</v>
      </c>
      <c r="O1291" s="1" t="s">
        <v>560</v>
      </c>
      <c r="P1291">
        <v>83.83</v>
      </c>
      <c r="Q1291">
        <v>67.05</v>
      </c>
      <c r="R1291">
        <v>0</v>
      </c>
      <c r="S1291" s="1" t="s">
        <v>614</v>
      </c>
      <c r="T1291" s="1"/>
      <c r="U1291">
        <v>83.826750000000004</v>
      </c>
      <c r="V1291">
        <v>0</v>
      </c>
      <c r="W1291">
        <v>77569</v>
      </c>
    </row>
    <row r="1292" spans="1:23" x14ac:dyDescent="0.25">
      <c r="A1292" s="1" t="s">
        <v>29</v>
      </c>
      <c r="B1292" s="1"/>
      <c r="C1292" s="1" t="s">
        <v>144</v>
      </c>
      <c r="D1292">
        <v>10256</v>
      </c>
      <c r="E1292" s="1"/>
      <c r="F1292" s="1" t="s">
        <v>144</v>
      </c>
      <c r="G1292">
        <v>2013</v>
      </c>
      <c r="H1292">
        <v>99.39</v>
      </c>
      <c r="I1292">
        <v>10</v>
      </c>
      <c r="J1292" s="1" t="s">
        <v>420</v>
      </c>
      <c r="K1292">
        <v>0</v>
      </c>
      <c r="L1292">
        <v>381</v>
      </c>
      <c r="M1292">
        <v>0.260797</v>
      </c>
      <c r="N1292">
        <v>3</v>
      </c>
      <c r="O1292" s="1" t="s">
        <v>560</v>
      </c>
      <c r="P1292">
        <v>99.39</v>
      </c>
      <c r="Q1292">
        <v>79.52</v>
      </c>
      <c r="R1292">
        <v>0</v>
      </c>
      <c r="S1292" s="1" t="s">
        <v>614</v>
      </c>
      <c r="T1292" s="1"/>
      <c r="U1292">
        <v>99.396320000000003</v>
      </c>
      <c r="V1292">
        <v>0</v>
      </c>
      <c r="W1292">
        <v>77569</v>
      </c>
    </row>
    <row r="1293" spans="1:23" x14ac:dyDescent="0.25">
      <c r="A1293" s="1" t="s">
        <v>29</v>
      </c>
      <c r="B1293" s="1"/>
      <c r="C1293" s="1" t="s">
        <v>144</v>
      </c>
      <c r="D1293">
        <v>10256</v>
      </c>
      <c r="E1293" s="1"/>
      <c r="F1293" s="1" t="s">
        <v>144</v>
      </c>
      <c r="G1293">
        <v>2012</v>
      </c>
      <c r="H1293">
        <v>86.21</v>
      </c>
      <c r="I1293">
        <v>11</v>
      </c>
      <c r="J1293" s="1" t="s">
        <v>420</v>
      </c>
      <c r="K1293">
        <v>0</v>
      </c>
      <c r="L1293">
        <v>381</v>
      </c>
      <c r="M1293">
        <v>0.226213</v>
      </c>
      <c r="N1293">
        <v>3</v>
      </c>
      <c r="O1293" s="1" t="s">
        <v>560</v>
      </c>
      <c r="P1293">
        <v>86.21</v>
      </c>
      <c r="Q1293">
        <v>68.97</v>
      </c>
      <c r="R1293">
        <v>0</v>
      </c>
      <c r="S1293" s="1" t="s">
        <v>614</v>
      </c>
      <c r="T1293" s="1"/>
      <c r="U1293">
        <v>86.210830000000001</v>
      </c>
      <c r="V1293">
        <v>0</v>
      </c>
      <c r="W1293">
        <v>77569</v>
      </c>
    </row>
    <row r="1294" spans="1:23" x14ac:dyDescent="0.25">
      <c r="A1294" s="1" t="s">
        <v>29</v>
      </c>
      <c r="B1294" s="1"/>
      <c r="C1294" s="1" t="s">
        <v>144</v>
      </c>
      <c r="D1294">
        <v>10256</v>
      </c>
      <c r="E1294" s="1"/>
      <c r="F1294" s="1" t="s">
        <v>144</v>
      </c>
      <c r="G1294">
        <v>2011</v>
      </c>
      <c r="H1294">
        <v>78</v>
      </c>
      <c r="I1294">
        <v>8</v>
      </c>
      <c r="J1294" s="1" t="s">
        <v>420</v>
      </c>
      <c r="K1294">
        <v>0</v>
      </c>
      <c r="L1294">
        <v>381</v>
      </c>
      <c r="M1294">
        <v>0.20466999999999999</v>
      </c>
      <c r="N1294">
        <v>3</v>
      </c>
      <c r="O1294" s="1" t="s">
        <v>560</v>
      </c>
      <c r="P1294">
        <v>78</v>
      </c>
      <c r="Q1294">
        <v>62.41</v>
      </c>
      <c r="R1294">
        <v>0</v>
      </c>
      <c r="S1294" s="1" t="s">
        <v>614</v>
      </c>
      <c r="T1294" s="1"/>
      <c r="U1294">
        <v>78.003249999999994</v>
      </c>
      <c r="V1294">
        <v>0</v>
      </c>
      <c r="W1294">
        <v>77569</v>
      </c>
    </row>
    <row r="1295" spans="1:23" x14ac:dyDescent="0.25">
      <c r="A1295" s="1" t="s">
        <v>29</v>
      </c>
      <c r="B1295" s="1"/>
      <c r="C1295" s="1" t="s">
        <v>144</v>
      </c>
      <c r="D1295">
        <v>10256</v>
      </c>
      <c r="E1295" s="1"/>
      <c r="F1295" s="1" t="s">
        <v>144</v>
      </c>
      <c r="G1295">
        <v>2010</v>
      </c>
      <c r="H1295">
        <v>37.08</v>
      </c>
      <c r="I1295">
        <v>12</v>
      </c>
      <c r="J1295" s="1" t="s">
        <v>420</v>
      </c>
      <c r="K1295">
        <v>0</v>
      </c>
      <c r="L1295">
        <v>381</v>
      </c>
      <c r="M1295">
        <v>9.7296999999999995E-2</v>
      </c>
      <c r="N1295">
        <v>3</v>
      </c>
      <c r="O1295" s="1" t="s">
        <v>560</v>
      </c>
      <c r="P1295">
        <v>37.08</v>
      </c>
      <c r="Q1295">
        <v>29.67</v>
      </c>
      <c r="R1295">
        <v>0</v>
      </c>
      <c r="S1295" s="1" t="s">
        <v>614</v>
      </c>
      <c r="T1295" s="1"/>
      <c r="U1295">
        <v>37.075319999999998</v>
      </c>
      <c r="V1295">
        <v>0</v>
      </c>
      <c r="W1295">
        <v>77569</v>
      </c>
    </row>
    <row r="1296" spans="1:23" x14ac:dyDescent="0.25">
      <c r="A1296" s="1" t="s">
        <v>29</v>
      </c>
      <c r="B1296" s="1"/>
      <c r="C1296" s="1" t="s">
        <v>144</v>
      </c>
      <c r="D1296">
        <v>10256</v>
      </c>
      <c r="E1296" s="1"/>
      <c r="F1296" s="1" t="s">
        <v>144</v>
      </c>
      <c r="G1296">
        <v>2009</v>
      </c>
      <c r="H1296">
        <v>59.6</v>
      </c>
      <c r="I1296">
        <v>9</v>
      </c>
      <c r="J1296" s="1" t="s">
        <v>420</v>
      </c>
      <c r="K1296">
        <v>0</v>
      </c>
      <c r="L1296">
        <v>381</v>
      </c>
      <c r="M1296">
        <v>0.156389</v>
      </c>
      <c r="N1296">
        <v>3</v>
      </c>
      <c r="O1296" s="1" t="s">
        <v>560</v>
      </c>
      <c r="P1296">
        <v>59.6</v>
      </c>
      <c r="Q1296">
        <v>47.67</v>
      </c>
      <c r="R1296">
        <v>0</v>
      </c>
      <c r="S1296" s="1" t="s">
        <v>614</v>
      </c>
      <c r="T1296" s="1"/>
      <c r="U1296">
        <v>59.592309999999998</v>
      </c>
      <c r="V1296">
        <v>0</v>
      </c>
      <c r="W1296">
        <v>77569</v>
      </c>
    </row>
    <row r="1297" spans="1:23" x14ac:dyDescent="0.25">
      <c r="A1297" s="1" t="s">
        <v>29</v>
      </c>
      <c r="B1297" s="1"/>
      <c r="C1297" s="1" t="s">
        <v>144</v>
      </c>
      <c r="D1297">
        <v>10256</v>
      </c>
      <c r="E1297" s="1"/>
      <c r="F1297" s="1" t="s">
        <v>144</v>
      </c>
      <c r="G1297">
        <v>2008</v>
      </c>
      <c r="H1297">
        <v>58.91</v>
      </c>
      <c r="I1297">
        <v>13</v>
      </c>
      <c r="J1297" s="1" t="s">
        <v>420</v>
      </c>
      <c r="K1297">
        <v>0</v>
      </c>
      <c r="L1297">
        <v>381</v>
      </c>
      <c r="M1297">
        <v>0.15457799999999999</v>
      </c>
      <c r="N1297">
        <v>3</v>
      </c>
      <c r="O1297" s="1" t="s">
        <v>560</v>
      </c>
      <c r="P1297">
        <v>58.91</v>
      </c>
      <c r="Q1297">
        <v>47.12</v>
      </c>
      <c r="R1297">
        <v>0</v>
      </c>
      <c r="S1297" s="1" t="s">
        <v>614</v>
      </c>
      <c r="T1297" s="1"/>
      <c r="U1297">
        <v>58.892470000000003</v>
      </c>
      <c r="V1297">
        <v>0</v>
      </c>
      <c r="W1297">
        <v>77569</v>
      </c>
    </row>
    <row r="1298" spans="1:23" x14ac:dyDescent="0.25">
      <c r="A1298" s="1" t="s">
        <v>29</v>
      </c>
      <c r="B1298" s="1"/>
      <c r="C1298" s="1" t="s">
        <v>145</v>
      </c>
      <c r="D1298">
        <v>11351</v>
      </c>
      <c r="E1298" s="1" t="s">
        <v>243</v>
      </c>
      <c r="F1298" s="1" t="s">
        <v>280</v>
      </c>
      <c r="G1298">
        <v>2015</v>
      </c>
      <c r="H1298">
        <v>40.97</v>
      </c>
      <c r="I1298">
        <v>5</v>
      </c>
      <c r="J1298" s="1" t="s">
        <v>399</v>
      </c>
      <c r="K1298">
        <v>0</v>
      </c>
      <c r="L1298">
        <v>867</v>
      </c>
      <c r="M1298">
        <v>4.7248999999999999E-2</v>
      </c>
      <c r="N1298">
        <v>3</v>
      </c>
      <c r="O1298" s="1" t="s">
        <v>560</v>
      </c>
      <c r="P1298">
        <v>40.97</v>
      </c>
      <c r="Q1298">
        <v>32.770000000000003</v>
      </c>
      <c r="R1298">
        <v>0</v>
      </c>
      <c r="S1298" s="1" t="s">
        <v>616</v>
      </c>
      <c r="T1298" s="1"/>
      <c r="U1298">
        <v>40.966999999999999</v>
      </c>
      <c r="V1298">
        <v>0</v>
      </c>
      <c r="W1298">
        <v>80896</v>
      </c>
    </row>
    <row r="1299" spans="1:23" x14ac:dyDescent="0.25">
      <c r="A1299" s="1" t="s">
        <v>29</v>
      </c>
      <c r="B1299" s="1"/>
      <c r="C1299" s="1" t="s">
        <v>145</v>
      </c>
      <c r="D1299">
        <v>11351</v>
      </c>
      <c r="E1299" s="1" t="s">
        <v>243</v>
      </c>
      <c r="F1299" s="1" t="s">
        <v>280</v>
      </c>
      <c r="G1299">
        <v>2014</v>
      </c>
      <c r="H1299">
        <v>123.27</v>
      </c>
      <c r="I1299">
        <v>12</v>
      </c>
      <c r="J1299" s="1" t="s">
        <v>399</v>
      </c>
      <c r="K1299">
        <v>0</v>
      </c>
      <c r="L1299">
        <v>867</v>
      </c>
      <c r="M1299">
        <v>0.14216300000000001</v>
      </c>
      <c r="N1299">
        <v>3</v>
      </c>
      <c r="O1299" s="1" t="s">
        <v>560</v>
      </c>
      <c r="P1299">
        <v>123.27</v>
      </c>
      <c r="Q1299">
        <v>98.61</v>
      </c>
      <c r="R1299">
        <v>0</v>
      </c>
      <c r="S1299" s="1" t="s">
        <v>616</v>
      </c>
      <c r="T1299" s="1"/>
      <c r="U1299">
        <v>123.267</v>
      </c>
      <c r="V1299">
        <v>0</v>
      </c>
      <c r="W1299">
        <v>80896</v>
      </c>
    </row>
    <row r="1300" spans="1:23" x14ac:dyDescent="0.25">
      <c r="A1300" s="1" t="s">
        <v>29</v>
      </c>
      <c r="B1300" s="1"/>
      <c r="C1300" s="1" t="s">
        <v>145</v>
      </c>
      <c r="D1300">
        <v>11351</v>
      </c>
      <c r="E1300" s="1" t="s">
        <v>243</v>
      </c>
      <c r="F1300" s="1" t="s">
        <v>280</v>
      </c>
      <c r="G1300">
        <v>2013</v>
      </c>
      <c r="H1300">
        <v>139.22999999999999</v>
      </c>
      <c r="I1300">
        <v>12</v>
      </c>
      <c r="J1300" s="1" t="s">
        <v>399</v>
      </c>
      <c r="K1300">
        <v>0</v>
      </c>
      <c r="L1300">
        <v>867</v>
      </c>
      <c r="M1300">
        <v>0.16056899999999999</v>
      </c>
      <c r="N1300">
        <v>3</v>
      </c>
      <c r="O1300" s="1" t="s">
        <v>560</v>
      </c>
      <c r="P1300">
        <v>139.22999999999999</v>
      </c>
      <c r="Q1300">
        <v>111.38</v>
      </c>
      <c r="R1300">
        <v>0</v>
      </c>
      <c r="S1300" s="1" t="s">
        <v>616</v>
      </c>
      <c r="T1300" s="1"/>
      <c r="U1300">
        <v>139.22200000000001</v>
      </c>
      <c r="V1300">
        <v>0</v>
      </c>
      <c r="W1300">
        <v>80896</v>
      </c>
    </row>
    <row r="1301" spans="1:23" x14ac:dyDescent="0.25">
      <c r="A1301" s="1" t="s">
        <v>29</v>
      </c>
      <c r="B1301" s="1"/>
      <c r="C1301" s="1" t="s">
        <v>145</v>
      </c>
      <c r="D1301">
        <v>11351</v>
      </c>
      <c r="E1301" s="1" t="s">
        <v>243</v>
      </c>
      <c r="F1301" s="1" t="s">
        <v>280</v>
      </c>
      <c r="G1301">
        <v>2012</v>
      </c>
      <c r="H1301">
        <v>120.15</v>
      </c>
      <c r="I1301">
        <v>12</v>
      </c>
      <c r="J1301" s="1" t="s">
        <v>399</v>
      </c>
      <c r="K1301">
        <v>0</v>
      </c>
      <c r="L1301">
        <v>867</v>
      </c>
      <c r="M1301">
        <v>0.13856499999999999</v>
      </c>
      <c r="N1301">
        <v>3</v>
      </c>
      <c r="O1301" s="1" t="s">
        <v>560</v>
      </c>
      <c r="P1301">
        <v>120.15</v>
      </c>
      <c r="Q1301">
        <v>96.14</v>
      </c>
      <c r="R1301">
        <v>0</v>
      </c>
      <c r="S1301" s="1" t="s">
        <v>616</v>
      </c>
      <c r="T1301" s="1"/>
      <c r="U1301">
        <v>120.15600000000001</v>
      </c>
      <c r="V1301">
        <v>0</v>
      </c>
      <c r="W1301">
        <v>80896</v>
      </c>
    </row>
    <row r="1302" spans="1:23" x14ac:dyDescent="0.25">
      <c r="A1302" s="1" t="s">
        <v>29</v>
      </c>
      <c r="B1302" s="1"/>
      <c r="C1302" s="1" t="s">
        <v>145</v>
      </c>
      <c r="D1302">
        <v>11351</v>
      </c>
      <c r="E1302" s="1" t="s">
        <v>243</v>
      </c>
      <c r="F1302" s="1" t="s">
        <v>280</v>
      </c>
      <c r="G1302">
        <v>2011</v>
      </c>
      <c r="H1302">
        <v>63.76</v>
      </c>
      <c r="I1302">
        <v>7</v>
      </c>
      <c r="J1302" s="1" t="s">
        <v>399</v>
      </c>
      <c r="K1302">
        <v>0</v>
      </c>
      <c r="L1302">
        <v>867</v>
      </c>
      <c r="M1302">
        <v>7.3532E-2</v>
      </c>
      <c r="N1302">
        <v>3</v>
      </c>
      <c r="O1302" s="1" t="s">
        <v>560</v>
      </c>
      <c r="P1302">
        <v>63.76</v>
      </c>
      <c r="Q1302">
        <v>50.98</v>
      </c>
      <c r="R1302">
        <v>0</v>
      </c>
      <c r="S1302" s="1" t="s">
        <v>616</v>
      </c>
      <c r="T1302" s="1"/>
      <c r="U1302">
        <v>63.749989999999997</v>
      </c>
      <c r="V1302">
        <v>0</v>
      </c>
      <c r="W1302">
        <v>80896</v>
      </c>
    </row>
    <row r="1303" spans="1:23" x14ac:dyDescent="0.25">
      <c r="A1303" s="1" t="s">
        <v>29</v>
      </c>
      <c r="B1303" s="1"/>
      <c r="C1303" s="1" t="s">
        <v>145</v>
      </c>
      <c r="D1303">
        <v>11351</v>
      </c>
      <c r="E1303" s="1" t="s">
        <v>243</v>
      </c>
      <c r="F1303" s="1" t="s">
        <v>280</v>
      </c>
      <c r="G1303">
        <v>2010</v>
      </c>
      <c r="H1303">
        <v>120.43</v>
      </c>
      <c r="I1303">
        <v>4</v>
      </c>
      <c r="J1303" s="1" t="s">
        <v>399</v>
      </c>
      <c r="K1303">
        <v>0</v>
      </c>
      <c r="L1303">
        <v>867</v>
      </c>
      <c r="M1303">
        <v>0.13888800000000001</v>
      </c>
      <c r="N1303">
        <v>3</v>
      </c>
      <c r="O1303" s="1" t="s">
        <v>560</v>
      </c>
      <c r="P1303">
        <v>120.43</v>
      </c>
      <c r="Q1303">
        <v>96.36</v>
      </c>
      <c r="R1303">
        <v>0</v>
      </c>
      <c r="S1303" s="1" t="s">
        <v>616</v>
      </c>
      <c r="T1303" s="1"/>
      <c r="U1303">
        <v>120.45</v>
      </c>
      <c r="V1303">
        <v>0</v>
      </c>
      <c r="W1303">
        <v>80896</v>
      </c>
    </row>
    <row r="1304" spans="1:23" x14ac:dyDescent="0.25">
      <c r="A1304" s="1" t="s">
        <v>29</v>
      </c>
      <c r="B1304" s="1"/>
      <c r="C1304" s="1" t="s">
        <v>145</v>
      </c>
      <c r="D1304">
        <v>11351</v>
      </c>
      <c r="E1304" s="1" t="s">
        <v>243</v>
      </c>
      <c r="F1304" s="1" t="s">
        <v>280</v>
      </c>
      <c r="G1304">
        <v>2009</v>
      </c>
      <c r="H1304">
        <v>143.84</v>
      </c>
      <c r="I1304">
        <v>4</v>
      </c>
      <c r="J1304" s="1" t="s">
        <v>399</v>
      </c>
      <c r="K1304">
        <v>0</v>
      </c>
      <c r="L1304">
        <v>867</v>
      </c>
      <c r="M1304">
        <v>0.16588600000000001</v>
      </c>
      <c r="N1304">
        <v>3</v>
      </c>
      <c r="O1304" s="1" t="s">
        <v>560</v>
      </c>
      <c r="P1304">
        <v>143.84</v>
      </c>
      <c r="Q1304">
        <v>115.09</v>
      </c>
      <c r="R1304">
        <v>0</v>
      </c>
      <c r="S1304" s="1" t="s">
        <v>616</v>
      </c>
      <c r="T1304" s="1"/>
      <c r="U1304">
        <v>143.85714999999999</v>
      </c>
      <c r="V1304">
        <v>0</v>
      </c>
      <c r="W1304">
        <v>80896</v>
      </c>
    </row>
    <row r="1305" spans="1:23" x14ac:dyDescent="0.25">
      <c r="A1305" s="1" t="s">
        <v>29</v>
      </c>
      <c r="B1305" s="1"/>
      <c r="C1305" s="1" t="s">
        <v>145</v>
      </c>
      <c r="D1305">
        <v>11351</v>
      </c>
      <c r="E1305" s="1" t="s">
        <v>243</v>
      </c>
      <c r="F1305" s="1" t="s">
        <v>280</v>
      </c>
      <c r="G1305">
        <v>2008</v>
      </c>
      <c r="H1305">
        <v>202.08</v>
      </c>
      <c r="I1305">
        <v>1</v>
      </c>
      <c r="J1305" s="1" t="s">
        <v>399</v>
      </c>
      <c r="K1305">
        <v>0</v>
      </c>
      <c r="L1305">
        <v>867</v>
      </c>
      <c r="M1305">
        <v>0.23305200000000001</v>
      </c>
      <c r="N1305">
        <v>3</v>
      </c>
      <c r="O1305" s="1" t="s">
        <v>560</v>
      </c>
      <c r="P1305">
        <v>202.08</v>
      </c>
      <c r="Q1305">
        <v>161.66</v>
      </c>
      <c r="R1305">
        <v>0</v>
      </c>
      <c r="S1305" s="1" t="s">
        <v>616</v>
      </c>
      <c r="T1305" s="1"/>
      <c r="U1305">
        <v>202.07489000000001</v>
      </c>
      <c r="V1305">
        <v>0</v>
      </c>
      <c r="W1305">
        <v>80896</v>
      </c>
    </row>
    <row r="1306" spans="1:23" x14ac:dyDescent="0.25">
      <c r="A1306" s="1" t="s">
        <v>29</v>
      </c>
      <c r="B1306" s="1"/>
      <c r="C1306" s="1" t="s">
        <v>146</v>
      </c>
      <c r="D1306">
        <v>10205</v>
      </c>
      <c r="E1306" s="1"/>
      <c r="F1306" s="1" t="s">
        <v>146</v>
      </c>
      <c r="G1306">
        <v>2015</v>
      </c>
      <c r="H1306">
        <v>14.55</v>
      </c>
      <c r="I1306">
        <v>5</v>
      </c>
      <c r="J1306" s="1" t="s">
        <v>422</v>
      </c>
      <c r="K1306">
        <v>0</v>
      </c>
      <c r="L1306">
        <v>314</v>
      </c>
      <c r="M1306">
        <v>4.6322000000000002E-2</v>
      </c>
      <c r="N1306">
        <v>3</v>
      </c>
      <c r="O1306" s="1" t="s">
        <v>560</v>
      </c>
      <c r="P1306">
        <v>14.55</v>
      </c>
      <c r="Q1306">
        <v>11.63</v>
      </c>
      <c r="R1306">
        <v>0</v>
      </c>
      <c r="S1306" s="1" t="s">
        <v>617</v>
      </c>
      <c r="T1306" s="1"/>
      <c r="U1306">
        <v>14.55</v>
      </c>
      <c r="V1306">
        <v>0</v>
      </c>
      <c r="W1306">
        <v>77391</v>
      </c>
    </row>
    <row r="1307" spans="1:23" x14ac:dyDescent="0.25">
      <c r="A1307" s="1" t="s">
        <v>29</v>
      </c>
      <c r="B1307" s="1"/>
      <c r="C1307" s="1" t="s">
        <v>146</v>
      </c>
      <c r="D1307">
        <v>10205</v>
      </c>
      <c r="E1307" s="1"/>
      <c r="F1307" s="1" t="s">
        <v>146</v>
      </c>
      <c r="G1307">
        <v>2014</v>
      </c>
      <c r="H1307">
        <v>49.37</v>
      </c>
      <c r="I1307">
        <v>12</v>
      </c>
      <c r="J1307" s="1" t="s">
        <v>422</v>
      </c>
      <c r="K1307">
        <v>0</v>
      </c>
      <c r="L1307">
        <v>314</v>
      </c>
      <c r="M1307">
        <v>0.15717900000000001</v>
      </c>
      <c r="N1307">
        <v>3</v>
      </c>
      <c r="O1307" s="1" t="s">
        <v>560</v>
      </c>
      <c r="P1307">
        <v>49.37</v>
      </c>
      <c r="Q1307">
        <v>39.479999999999997</v>
      </c>
      <c r="R1307">
        <v>0</v>
      </c>
      <c r="S1307" s="1" t="s">
        <v>617</v>
      </c>
      <c r="T1307" s="1"/>
      <c r="U1307">
        <v>49.36</v>
      </c>
      <c r="V1307">
        <v>0</v>
      </c>
      <c r="W1307">
        <v>77391</v>
      </c>
    </row>
    <row r="1308" spans="1:23" x14ac:dyDescent="0.25">
      <c r="A1308" s="1" t="s">
        <v>29</v>
      </c>
      <c r="B1308" s="1"/>
      <c r="C1308" s="1" t="s">
        <v>146</v>
      </c>
      <c r="D1308">
        <v>10205</v>
      </c>
      <c r="E1308" s="1"/>
      <c r="F1308" s="1" t="s">
        <v>146</v>
      </c>
      <c r="G1308">
        <v>2013</v>
      </c>
      <c r="H1308">
        <v>45.74</v>
      </c>
      <c r="I1308">
        <v>8</v>
      </c>
      <c r="J1308" s="1" t="s">
        <v>422</v>
      </c>
      <c r="K1308">
        <v>0</v>
      </c>
      <c r="L1308">
        <v>314</v>
      </c>
      <c r="M1308">
        <v>0.145622</v>
      </c>
      <c r="N1308">
        <v>3</v>
      </c>
      <c r="O1308" s="1" t="s">
        <v>560</v>
      </c>
      <c r="P1308">
        <v>45.74</v>
      </c>
      <c r="Q1308">
        <v>36.56</v>
      </c>
      <c r="R1308">
        <v>0</v>
      </c>
      <c r="S1308" s="1" t="s">
        <v>617</v>
      </c>
      <c r="T1308" s="1"/>
      <c r="U1308">
        <v>45.735329999999998</v>
      </c>
      <c r="V1308">
        <v>0</v>
      </c>
      <c r="W1308">
        <v>77391</v>
      </c>
    </row>
    <row r="1309" spans="1:23" x14ac:dyDescent="0.25">
      <c r="A1309" s="1" t="s">
        <v>29</v>
      </c>
      <c r="B1309" s="1"/>
      <c r="C1309" s="1" t="s">
        <v>146</v>
      </c>
      <c r="D1309">
        <v>10205</v>
      </c>
      <c r="E1309" s="1"/>
      <c r="F1309" s="1" t="s">
        <v>146</v>
      </c>
      <c r="G1309">
        <v>2012</v>
      </c>
      <c r="H1309">
        <v>44.12</v>
      </c>
      <c r="I1309">
        <v>8</v>
      </c>
      <c r="J1309" s="1" t="s">
        <v>422</v>
      </c>
      <c r="K1309">
        <v>0</v>
      </c>
      <c r="L1309">
        <v>314</v>
      </c>
      <c r="M1309">
        <v>0.14046400000000001</v>
      </c>
      <c r="N1309">
        <v>3</v>
      </c>
      <c r="O1309" s="1" t="s">
        <v>560</v>
      </c>
      <c r="P1309">
        <v>44.12</v>
      </c>
      <c r="Q1309">
        <v>35.299999999999997</v>
      </c>
      <c r="R1309">
        <v>0</v>
      </c>
      <c r="S1309" s="1" t="s">
        <v>617</v>
      </c>
      <c r="T1309" s="1"/>
      <c r="U1309">
        <v>44.121200000000002</v>
      </c>
      <c r="V1309">
        <v>0</v>
      </c>
      <c r="W1309">
        <v>77391</v>
      </c>
    </row>
    <row r="1310" spans="1:23" x14ac:dyDescent="0.25">
      <c r="A1310" s="1" t="s">
        <v>29</v>
      </c>
      <c r="B1310" s="1"/>
      <c r="C1310" s="1" t="s">
        <v>146</v>
      </c>
      <c r="D1310">
        <v>10205</v>
      </c>
      <c r="E1310" s="1"/>
      <c r="F1310" s="1" t="s">
        <v>146</v>
      </c>
      <c r="G1310">
        <v>2011</v>
      </c>
      <c r="H1310">
        <v>37.950000000000003</v>
      </c>
      <c r="I1310">
        <v>5</v>
      </c>
      <c r="J1310" s="1" t="s">
        <v>422</v>
      </c>
      <c r="K1310">
        <v>0</v>
      </c>
      <c r="L1310">
        <v>314</v>
      </c>
      <c r="M1310">
        <v>0.120821</v>
      </c>
      <c r="N1310">
        <v>3</v>
      </c>
      <c r="O1310" s="1" t="s">
        <v>560</v>
      </c>
      <c r="P1310">
        <v>37.950000000000003</v>
      </c>
      <c r="Q1310">
        <v>30.37</v>
      </c>
      <c r="R1310">
        <v>0</v>
      </c>
      <c r="S1310" s="1" t="s">
        <v>617</v>
      </c>
      <c r="T1310" s="1"/>
      <c r="U1310">
        <v>37.954999999999998</v>
      </c>
      <c r="V1310">
        <v>0</v>
      </c>
      <c r="W1310">
        <v>77391</v>
      </c>
    </row>
    <row r="1311" spans="1:23" x14ac:dyDescent="0.25">
      <c r="A1311" s="1" t="s">
        <v>29</v>
      </c>
      <c r="B1311" s="1"/>
      <c r="C1311" s="1" t="s">
        <v>146</v>
      </c>
      <c r="D1311">
        <v>10205</v>
      </c>
      <c r="E1311" s="1"/>
      <c r="F1311" s="1" t="s">
        <v>146</v>
      </c>
      <c r="G1311">
        <v>2010</v>
      </c>
      <c r="H1311">
        <v>44.05</v>
      </c>
      <c r="I1311">
        <v>2</v>
      </c>
      <c r="J1311" s="1" t="s">
        <v>422</v>
      </c>
      <c r="K1311">
        <v>0</v>
      </c>
      <c r="L1311">
        <v>314</v>
      </c>
      <c r="M1311">
        <v>0.140241</v>
      </c>
      <c r="N1311">
        <v>3</v>
      </c>
      <c r="O1311" s="1" t="s">
        <v>560</v>
      </c>
      <c r="P1311">
        <v>44.05</v>
      </c>
      <c r="Q1311">
        <v>35.200000000000003</v>
      </c>
      <c r="R1311">
        <v>0</v>
      </c>
      <c r="S1311" s="1" t="s">
        <v>617</v>
      </c>
      <c r="T1311" s="1"/>
      <c r="U1311">
        <v>44.021529999999998</v>
      </c>
      <c r="V1311">
        <v>0</v>
      </c>
      <c r="W1311">
        <v>77391</v>
      </c>
    </row>
    <row r="1312" spans="1:23" x14ac:dyDescent="0.25">
      <c r="A1312" s="1" t="s">
        <v>29</v>
      </c>
      <c r="B1312" s="1"/>
      <c r="C1312" s="1" t="s">
        <v>146</v>
      </c>
      <c r="D1312">
        <v>10205</v>
      </c>
      <c r="E1312" s="1"/>
      <c r="F1312" s="1" t="s">
        <v>146</v>
      </c>
      <c r="G1312">
        <v>2009</v>
      </c>
      <c r="H1312">
        <v>56.15</v>
      </c>
      <c r="I1312">
        <v>6</v>
      </c>
      <c r="J1312" s="1" t="s">
        <v>422</v>
      </c>
      <c r="K1312">
        <v>0</v>
      </c>
      <c r="L1312">
        <v>314</v>
      </c>
      <c r="M1312">
        <v>0.17876400000000001</v>
      </c>
      <c r="N1312">
        <v>3</v>
      </c>
      <c r="O1312" s="1" t="s">
        <v>560</v>
      </c>
      <c r="P1312">
        <v>56.15</v>
      </c>
      <c r="Q1312">
        <v>44.95</v>
      </c>
      <c r="R1312">
        <v>0</v>
      </c>
      <c r="S1312" s="1" t="s">
        <v>617</v>
      </c>
      <c r="T1312" s="1"/>
      <c r="U1312">
        <v>56.167879999999997</v>
      </c>
      <c r="V1312">
        <v>0</v>
      </c>
      <c r="W1312">
        <v>77391</v>
      </c>
    </row>
    <row r="1313" spans="1:23" x14ac:dyDescent="0.25">
      <c r="A1313" s="1" t="s">
        <v>29</v>
      </c>
      <c r="B1313" s="1"/>
      <c r="C1313" s="1" t="s">
        <v>146</v>
      </c>
      <c r="D1313">
        <v>10205</v>
      </c>
      <c r="E1313" s="1"/>
      <c r="F1313" s="1" t="s">
        <v>146</v>
      </c>
      <c r="G1313">
        <v>2008</v>
      </c>
      <c r="H1313">
        <v>60.75</v>
      </c>
      <c r="I1313">
        <v>4</v>
      </c>
      <c r="J1313" s="1" t="s">
        <v>422</v>
      </c>
      <c r="K1313">
        <v>0</v>
      </c>
      <c r="L1313">
        <v>314</v>
      </c>
      <c r="M1313">
        <v>0.193409</v>
      </c>
      <c r="N1313">
        <v>3</v>
      </c>
      <c r="O1313" s="1" t="s">
        <v>560</v>
      </c>
      <c r="P1313">
        <v>60.75</v>
      </c>
      <c r="Q1313">
        <v>48.57</v>
      </c>
      <c r="R1313">
        <v>0</v>
      </c>
      <c r="S1313" s="1" t="s">
        <v>617</v>
      </c>
      <c r="T1313" s="1"/>
      <c r="U1313">
        <v>60.736249999999998</v>
      </c>
      <c r="V1313">
        <v>0</v>
      </c>
      <c r="W1313">
        <v>77391</v>
      </c>
    </row>
    <row r="1314" spans="1:23" x14ac:dyDescent="0.25">
      <c r="A1314" s="1" t="s">
        <v>29</v>
      </c>
      <c r="B1314" s="1" t="s">
        <v>64</v>
      </c>
      <c r="C1314" s="1" t="s">
        <v>147</v>
      </c>
      <c r="D1314">
        <v>13661</v>
      </c>
      <c r="E1314" s="1" t="s">
        <v>243</v>
      </c>
      <c r="F1314" s="1" t="s">
        <v>147</v>
      </c>
      <c r="G1314">
        <v>2015</v>
      </c>
      <c r="H1314">
        <v>3.22</v>
      </c>
      <c r="I1314">
        <v>5</v>
      </c>
      <c r="J1314" s="1" t="s">
        <v>422</v>
      </c>
      <c r="K1314">
        <v>0</v>
      </c>
      <c r="L1314">
        <v>307</v>
      </c>
      <c r="M1314">
        <v>1.0485E-2</v>
      </c>
      <c r="N1314">
        <v>3</v>
      </c>
      <c r="O1314" s="1" t="s">
        <v>560</v>
      </c>
      <c r="P1314">
        <v>3.22</v>
      </c>
      <c r="Q1314">
        <v>2.58</v>
      </c>
      <c r="R1314">
        <v>0</v>
      </c>
      <c r="S1314" s="1"/>
      <c r="T1314" s="1"/>
      <c r="U1314">
        <v>3.2210000000000001</v>
      </c>
      <c r="V1314">
        <v>0</v>
      </c>
      <c r="W1314">
        <v>91250</v>
      </c>
    </row>
    <row r="1315" spans="1:23" x14ac:dyDescent="0.25">
      <c r="A1315" s="1" t="s">
        <v>29</v>
      </c>
      <c r="B1315" s="1" t="s">
        <v>64</v>
      </c>
      <c r="C1315" s="1" t="s">
        <v>147</v>
      </c>
      <c r="D1315">
        <v>13661</v>
      </c>
      <c r="E1315" s="1" t="s">
        <v>243</v>
      </c>
      <c r="F1315" s="1" t="s">
        <v>147</v>
      </c>
      <c r="G1315">
        <v>2014</v>
      </c>
      <c r="H1315">
        <v>5.21</v>
      </c>
      <c r="I1315">
        <v>12</v>
      </c>
      <c r="J1315" s="1" t="s">
        <v>422</v>
      </c>
      <c r="K1315">
        <v>0</v>
      </c>
      <c r="L1315">
        <v>307</v>
      </c>
      <c r="M1315">
        <v>1.6965000000000001E-2</v>
      </c>
      <c r="N1315">
        <v>3</v>
      </c>
      <c r="O1315" s="1" t="s">
        <v>560</v>
      </c>
      <c r="P1315">
        <v>5.21</v>
      </c>
      <c r="Q1315">
        <v>4.16</v>
      </c>
      <c r="R1315">
        <v>0</v>
      </c>
      <c r="S1315" s="1"/>
      <c r="T1315" s="1"/>
      <c r="U1315">
        <v>5.2039999999999997</v>
      </c>
      <c r="V1315">
        <v>0</v>
      </c>
      <c r="W1315">
        <v>91250</v>
      </c>
    </row>
    <row r="1316" spans="1:23" x14ac:dyDescent="0.25">
      <c r="A1316" s="1" t="s">
        <v>29</v>
      </c>
      <c r="B1316" s="1" t="s">
        <v>64</v>
      </c>
      <c r="C1316" s="1" t="s">
        <v>147</v>
      </c>
      <c r="D1316">
        <v>13661</v>
      </c>
      <c r="E1316" s="1" t="s">
        <v>243</v>
      </c>
      <c r="F1316" s="1" t="s">
        <v>147</v>
      </c>
      <c r="G1316">
        <v>2013</v>
      </c>
      <c r="H1316">
        <v>35.979999999999997</v>
      </c>
      <c r="I1316">
        <v>6</v>
      </c>
      <c r="J1316" s="1" t="s">
        <v>422</v>
      </c>
      <c r="K1316">
        <v>0</v>
      </c>
      <c r="L1316">
        <v>307</v>
      </c>
      <c r="M1316">
        <v>0.11716</v>
      </c>
      <c r="N1316">
        <v>3</v>
      </c>
      <c r="O1316" s="1" t="s">
        <v>560</v>
      </c>
      <c r="P1316">
        <v>35.979999999999997</v>
      </c>
      <c r="Q1316">
        <v>28.79</v>
      </c>
      <c r="R1316">
        <v>0</v>
      </c>
      <c r="S1316" s="1"/>
      <c r="T1316" s="1"/>
      <c r="U1316">
        <v>35.984439999999999</v>
      </c>
      <c r="V1316">
        <v>0</v>
      </c>
      <c r="W1316">
        <v>91250</v>
      </c>
    </row>
    <row r="1317" spans="1:23" x14ac:dyDescent="0.25">
      <c r="A1317" s="1" t="s">
        <v>29</v>
      </c>
      <c r="B1317" s="1" t="s">
        <v>64</v>
      </c>
      <c r="C1317" s="1" t="s">
        <v>147</v>
      </c>
      <c r="D1317">
        <v>13661</v>
      </c>
      <c r="E1317" s="1" t="s">
        <v>243</v>
      </c>
      <c r="F1317" s="1" t="s">
        <v>147</v>
      </c>
      <c r="G1317">
        <v>2012</v>
      </c>
      <c r="H1317">
        <v>0.41</v>
      </c>
      <c r="I1317">
        <v>1</v>
      </c>
      <c r="J1317" s="1" t="s">
        <v>422</v>
      </c>
      <c r="K1317">
        <v>0</v>
      </c>
      <c r="L1317">
        <v>307</v>
      </c>
      <c r="M1317">
        <v>1.335E-3</v>
      </c>
      <c r="N1317">
        <v>3</v>
      </c>
      <c r="O1317" s="1" t="s">
        <v>560</v>
      </c>
      <c r="P1317">
        <v>0.41</v>
      </c>
      <c r="Q1317">
        <v>0.33</v>
      </c>
      <c r="R1317">
        <v>0</v>
      </c>
      <c r="S1317" s="1"/>
      <c r="T1317" s="1"/>
      <c r="U1317">
        <v>0.40856999999999999</v>
      </c>
      <c r="V1317">
        <v>0</v>
      </c>
      <c r="W1317">
        <v>91250</v>
      </c>
    </row>
    <row r="1318" spans="1:23" x14ac:dyDescent="0.25">
      <c r="A1318" s="1" t="s">
        <v>29</v>
      </c>
      <c r="B1318" s="1"/>
      <c r="C1318" s="1" t="s">
        <v>148</v>
      </c>
      <c r="D1318">
        <v>10206</v>
      </c>
      <c r="E1318" s="1"/>
      <c r="F1318" s="1" t="s">
        <v>281</v>
      </c>
      <c r="G1318">
        <v>2015</v>
      </c>
      <c r="H1318">
        <v>43.68</v>
      </c>
      <c r="I1318">
        <v>5</v>
      </c>
      <c r="J1318" s="1" t="s">
        <v>423</v>
      </c>
      <c r="K1318">
        <v>0</v>
      </c>
      <c r="L1318">
        <v>439</v>
      </c>
      <c r="M1318">
        <v>9.9475999999999995E-2</v>
      </c>
      <c r="N1318">
        <v>3</v>
      </c>
      <c r="O1318" s="1" t="s">
        <v>560</v>
      </c>
      <c r="P1318">
        <v>43.68</v>
      </c>
      <c r="Q1318">
        <v>34.94</v>
      </c>
      <c r="R1318">
        <v>0</v>
      </c>
      <c r="S1318" s="1" t="s">
        <v>618</v>
      </c>
      <c r="T1318" s="1"/>
      <c r="U1318">
        <v>43.676000000000002</v>
      </c>
      <c r="V1318">
        <v>0</v>
      </c>
      <c r="W1318">
        <v>77394</v>
      </c>
    </row>
    <row r="1319" spans="1:23" x14ac:dyDescent="0.25">
      <c r="A1319" s="1" t="s">
        <v>29</v>
      </c>
      <c r="B1319" s="1"/>
      <c r="C1319" s="1" t="s">
        <v>148</v>
      </c>
      <c r="D1319">
        <v>10206</v>
      </c>
      <c r="E1319" s="1"/>
      <c r="F1319" s="1" t="s">
        <v>281</v>
      </c>
      <c r="G1319">
        <v>2014</v>
      </c>
      <c r="H1319">
        <v>99.72</v>
      </c>
      <c r="I1319">
        <v>12</v>
      </c>
      <c r="J1319" s="1" t="s">
        <v>423</v>
      </c>
      <c r="K1319">
        <v>0</v>
      </c>
      <c r="L1319">
        <v>439</v>
      </c>
      <c r="M1319">
        <v>0.2271</v>
      </c>
      <c r="N1319">
        <v>3</v>
      </c>
      <c r="O1319" s="1" t="s">
        <v>560</v>
      </c>
      <c r="P1319">
        <v>99.72</v>
      </c>
      <c r="Q1319">
        <v>79.77</v>
      </c>
      <c r="R1319">
        <v>0</v>
      </c>
      <c r="S1319" s="1" t="s">
        <v>618</v>
      </c>
      <c r="T1319" s="1"/>
      <c r="U1319">
        <v>99.710999999999999</v>
      </c>
      <c r="V1319">
        <v>0</v>
      </c>
      <c r="W1319">
        <v>77394</v>
      </c>
    </row>
    <row r="1320" spans="1:23" x14ac:dyDescent="0.25">
      <c r="A1320" s="1" t="s">
        <v>29</v>
      </c>
      <c r="B1320" s="1"/>
      <c r="C1320" s="1" t="s">
        <v>148</v>
      </c>
      <c r="D1320">
        <v>10206</v>
      </c>
      <c r="E1320" s="1"/>
      <c r="F1320" s="1" t="s">
        <v>281</v>
      </c>
      <c r="G1320">
        <v>2014</v>
      </c>
      <c r="H1320">
        <v>23.71</v>
      </c>
      <c r="I1320">
        <v>2</v>
      </c>
      <c r="J1320" s="1" t="s">
        <v>424</v>
      </c>
      <c r="K1320">
        <v>0</v>
      </c>
      <c r="L1320">
        <v>439</v>
      </c>
      <c r="M1320">
        <v>5.3996000000000002E-2</v>
      </c>
      <c r="N1320">
        <v>3</v>
      </c>
      <c r="O1320" s="1" t="s">
        <v>560</v>
      </c>
      <c r="P1320">
        <v>23.71</v>
      </c>
      <c r="Q1320">
        <v>18.98</v>
      </c>
      <c r="R1320">
        <v>0</v>
      </c>
      <c r="S1320" s="1" t="s">
        <v>619</v>
      </c>
      <c r="T1320" s="1"/>
      <c r="U1320">
        <v>23.726030000000002</v>
      </c>
      <c r="V1320">
        <v>0</v>
      </c>
      <c r="W1320">
        <v>93708</v>
      </c>
    </row>
    <row r="1321" spans="1:23" x14ac:dyDescent="0.25">
      <c r="A1321" s="1" t="s">
        <v>29</v>
      </c>
      <c r="B1321" s="1"/>
      <c r="C1321" s="1" t="s">
        <v>148</v>
      </c>
      <c r="D1321">
        <v>10206</v>
      </c>
      <c r="E1321" s="1"/>
      <c r="F1321" s="1" t="s">
        <v>281</v>
      </c>
      <c r="G1321">
        <v>2013</v>
      </c>
      <c r="H1321">
        <v>128.55000000000001</v>
      </c>
      <c r="I1321">
        <v>12</v>
      </c>
      <c r="J1321" s="1" t="s">
        <v>423</v>
      </c>
      <c r="K1321">
        <v>0</v>
      </c>
      <c r="L1321">
        <v>439</v>
      </c>
      <c r="M1321">
        <v>0.29275699999999999</v>
      </c>
      <c r="N1321">
        <v>3</v>
      </c>
      <c r="O1321" s="1" t="s">
        <v>560</v>
      </c>
      <c r="P1321">
        <v>128.55000000000001</v>
      </c>
      <c r="Q1321">
        <v>102.87</v>
      </c>
      <c r="R1321">
        <v>0</v>
      </c>
      <c r="S1321" s="1" t="s">
        <v>618</v>
      </c>
      <c r="T1321" s="1"/>
      <c r="U1321">
        <v>128.565</v>
      </c>
      <c r="V1321">
        <v>0</v>
      </c>
      <c r="W1321">
        <v>77394</v>
      </c>
    </row>
    <row r="1322" spans="1:23" x14ac:dyDescent="0.25">
      <c r="A1322" s="1" t="s">
        <v>29</v>
      </c>
      <c r="B1322" s="1"/>
      <c r="C1322" s="1" t="s">
        <v>148</v>
      </c>
      <c r="D1322">
        <v>10206</v>
      </c>
      <c r="E1322" s="1"/>
      <c r="F1322" s="1" t="s">
        <v>281</v>
      </c>
      <c r="G1322">
        <v>2013</v>
      </c>
      <c r="H1322">
        <v>37.26</v>
      </c>
      <c r="I1322">
        <v>3</v>
      </c>
      <c r="J1322" s="1" t="s">
        <v>424</v>
      </c>
      <c r="K1322">
        <v>0</v>
      </c>
      <c r="L1322">
        <v>439</v>
      </c>
      <c r="M1322">
        <v>8.4855E-2</v>
      </c>
      <c r="N1322">
        <v>3</v>
      </c>
      <c r="O1322" s="1" t="s">
        <v>560</v>
      </c>
      <c r="P1322">
        <v>37.26</v>
      </c>
      <c r="Q1322">
        <v>29.83</v>
      </c>
      <c r="R1322">
        <v>0</v>
      </c>
      <c r="S1322" s="1" t="s">
        <v>619</v>
      </c>
      <c r="T1322" s="1"/>
      <c r="U1322">
        <v>37.273969999999998</v>
      </c>
      <c r="V1322">
        <v>0</v>
      </c>
      <c r="W1322">
        <v>93708</v>
      </c>
    </row>
    <row r="1323" spans="1:23" x14ac:dyDescent="0.25">
      <c r="A1323" s="1" t="s">
        <v>29</v>
      </c>
      <c r="B1323" s="1"/>
      <c r="C1323" s="1" t="s">
        <v>148</v>
      </c>
      <c r="D1323">
        <v>10206</v>
      </c>
      <c r="E1323" s="1"/>
      <c r="F1323" s="1" t="s">
        <v>281</v>
      </c>
      <c r="G1323">
        <v>2012</v>
      </c>
      <c r="H1323">
        <v>130.84</v>
      </c>
      <c r="I1323">
        <v>12</v>
      </c>
      <c r="J1323" s="1" t="s">
        <v>423</v>
      </c>
      <c r="K1323">
        <v>0</v>
      </c>
      <c r="L1323">
        <v>439</v>
      </c>
      <c r="M1323">
        <v>0.29797299999999999</v>
      </c>
      <c r="N1323">
        <v>3</v>
      </c>
      <c r="O1323" s="1" t="s">
        <v>560</v>
      </c>
      <c r="P1323">
        <v>130.84</v>
      </c>
      <c r="Q1323">
        <v>104.68</v>
      </c>
      <c r="R1323">
        <v>0</v>
      </c>
      <c r="S1323" s="1" t="s">
        <v>618</v>
      </c>
      <c r="T1323" s="1"/>
      <c r="U1323">
        <v>130.846</v>
      </c>
      <c r="V1323">
        <v>0</v>
      </c>
      <c r="W1323">
        <v>77394</v>
      </c>
    </row>
    <row r="1324" spans="1:23" x14ac:dyDescent="0.25">
      <c r="A1324" s="1" t="s">
        <v>29</v>
      </c>
      <c r="B1324" s="1"/>
      <c r="C1324" s="1" t="s">
        <v>148</v>
      </c>
      <c r="D1324">
        <v>10206</v>
      </c>
      <c r="E1324" s="1"/>
      <c r="F1324" s="1" t="s">
        <v>281</v>
      </c>
      <c r="G1324">
        <v>2011</v>
      </c>
      <c r="H1324">
        <v>181.05</v>
      </c>
      <c r="I1324">
        <v>9</v>
      </c>
      <c r="J1324" s="1" t="s">
        <v>423</v>
      </c>
      <c r="K1324">
        <v>0</v>
      </c>
      <c r="L1324">
        <v>439</v>
      </c>
      <c r="M1324">
        <v>0.41232000000000002</v>
      </c>
      <c r="N1324">
        <v>3</v>
      </c>
      <c r="O1324" s="1" t="s">
        <v>560</v>
      </c>
      <c r="P1324">
        <v>181.05</v>
      </c>
      <c r="Q1324">
        <v>144.85</v>
      </c>
      <c r="R1324">
        <v>0</v>
      </c>
      <c r="S1324" s="1" t="s">
        <v>618</v>
      </c>
      <c r="T1324" s="1"/>
      <c r="U1324">
        <v>181.05758</v>
      </c>
      <c r="V1324">
        <v>0</v>
      </c>
      <c r="W1324">
        <v>77394</v>
      </c>
    </row>
    <row r="1325" spans="1:23" x14ac:dyDescent="0.25">
      <c r="A1325" s="1" t="s">
        <v>29</v>
      </c>
      <c r="B1325" s="1"/>
      <c r="C1325" s="1" t="s">
        <v>148</v>
      </c>
      <c r="D1325">
        <v>10206</v>
      </c>
      <c r="E1325" s="1"/>
      <c r="F1325" s="1" t="s">
        <v>281</v>
      </c>
      <c r="G1325">
        <v>2010</v>
      </c>
      <c r="H1325">
        <v>152.75</v>
      </c>
      <c r="I1325">
        <v>2</v>
      </c>
      <c r="J1325" s="1" t="s">
        <v>423</v>
      </c>
      <c r="K1325">
        <v>0</v>
      </c>
      <c r="L1325">
        <v>439</v>
      </c>
      <c r="M1325">
        <v>0.34787000000000001</v>
      </c>
      <c r="N1325">
        <v>3</v>
      </c>
      <c r="O1325" s="1" t="s">
        <v>560</v>
      </c>
      <c r="P1325">
        <v>152.75</v>
      </c>
      <c r="Q1325">
        <v>122.22</v>
      </c>
      <c r="R1325">
        <v>0</v>
      </c>
      <c r="S1325" s="1" t="s">
        <v>618</v>
      </c>
      <c r="T1325" s="1"/>
      <c r="U1325">
        <v>152.76292000000001</v>
      </c>
      <c r="V1325">
        <v>0</v>
      </c>
      <c r="W1325">
        <v>77394</v>
      </c>
    </row>
    <row r="1326" spans="1:23" x14ac:dyDescent="0.25">
      <c r="A1326" s="1" t="s">
        <v>29</v>
      </c>
      <c r="B1326" s="1"/>
      <c r="C1326" s="1" t="s">
        <v>148</v>
      </c>
      <c r="D1326">
        <v>10206</v>
      </c>
      <c r="E1326" s="1"/>
      <c r="F1326" s="1" t="s">
        <v>281</v>
      </c>
      <c r="G1326">
        <v>2009</v>
      </c>
      <c r="H1326">
        <v>210.92</v>
      </c>
      <c r="I1326">
        <v>4</v>
      </c>
      <c r="J1326" s="1" t="s">
        <v>423</v>
      </c>
      <c r="K1326">
        <v>0</v>
      </c>
      <c r="L1326">
        <v>439</v>
      </c>
      <c r="M1326">
        <v>0.480346</v>
      </c>
      <c r="N1326">
        <v>3</v>
      </c>
      <c r="O1326" s="1" t="s">
        <v>560</v>
      </c>
      <c r="P1326">
        <v>210.92</v>
      </c>
      <c r="Q1326">
        <v>168.74</v>
      </c>
      <c r="R1326">
        <v>0</v>
      </c>
      <c r="S1326" s="1" t="s">
        <v>618</v>
      </c>
      <c r="T1326" s="1"/>
      <c r="U1326">
        <v>210.91839999999999</v>
      </c>
      <c r="V1326">
        <v>0</v>
      </c>
      <c r="W1326">
        <v>77394</v>
      </c>
    </row>
    <row r="1327" spans="1:23" x14ac:dyDescent="0.25">
      <c r="A1327" s="1" t="s">
        <v>29</v>
      </c>
      <c r="B1327" s="1"/>
      <c r="C1327" s="1" t="s">
        <v>148</v>
      </c>
      <c r="D1327">
        <v>10206</v>
      </c>
      <c r="E1327" s="1"/>
      <c r="F1327" s="1" t="s">
        <v>281</v>
      </c>
      <c r="G1327">
        <v>2008</v>
      </c>
      <c r="H1327">
        <v>233.09</v>
      </c>
      <c r="I1327">
        <v>4</v>
      </c>
      <c r="J1327" s="1" t="s">
        <v>423</v>
      </c>
      <c r="K1327">
        <v>0</v>
      </c>
      <c r="L1327">
        <v>439</v>
      </c>
      <c r="M1327">
        <v>0.53083499999999995</v>
      </c>
      <c r="N1327">
        <v>3</v>
      </c>
      <c r="O1327" s="1" t="s">
        <v>560</v>
      </c>
      <c r="P1327">
        <v>233.09</v>
      </c>
      <c r="Q1327">
        <v>186.48</v>
      </c>
      <c r="R1327">
        <v>0</v>
      </c>
      <c r="S1327" s="1" t="s">
        <v>618</v>
      </c>
      <c r="T1327" s="1"/>
      <c r="U1327">
        <v>233.10990000000001</v>
      </c>
      <c r="V1327">
        <v>0</v>
      </c>
      <c r="W1327">
        <v>77394</v>
      </c>
    </row>
    <row r="1328" spans="1:23" x14ac:dyDescent="0.25">
      <c r="A1328" s="1" t="s">
        <v>29</v>
      </c>
      <c r="B1328" s="1"/>
      <c r="C1328" s="1" t="s">
        <v>149</v>
      </c>
      <c r="D1328">
        <v>14003</v>
      </c>
      <c r="E1328" s="1" t="s">
        <v>243</v>
      </c>
      <c r="F1328" s="1" t="s">
        <v>282</v>
      </c>
      <c r="G1328">
        <v>2015</v>
      </c>
      <c r="H1328">
        <v>1.71</v>
      </c>
      <c r="I1328">
        <v>1</v>
      </c>
      <c r="J1328" s="1" t="s">
        <v>425</v>
      </c>
      <c r="K1328">
        <v>0</v>
      </c>
      <c r="L1328">
        <v>50</v>
      </c>
      <c r="M1328">
        <v>3.4131000000000002E-2</v>
      </c>
      <c r="N1328">
        <v>3</v>
      </c>
      <c r="O1328" s="1" t="s">
        <v>560</v>
      </c>
      <c r="P1328">
        <v>1.71</v>
      </c>
      <c r="Q1328">
        <v>1.36</v>
      </c>
      <c r="R1328">
        <v>0</v>
      </c>
      <c r="S1328" s="1" t="s">
        <v>620</v>
      </c>
      <c r="T1328" s="1"/>
      <c r="U1328">
        <v>1.70834</v>
      </c>
      <c r="V1328">
        <v>0</v>
      </c>
      <c r="W1328">
        <v>93000</v>
      </c>
    </row>
    <row r="1329" spans="1:23" x14ac:dyDescent="0.25">
      <c r="A1329" s="1" t="s">
        <v>29</v>
      </c>
      <c r="B1329" s="1"/>
      <c r="C1329" s="1" t="s">
        <v>149</v>
      </c>
      <c r="D1329">
        <v>14003</v>
      </c>
      <c r="E1329" s="1" t="s">
        <v>243</v>
      </c>
      <c r="F1329" s="1" t="s">
        <v>282</v>
      </c>
      <c r="G1329">
        <v>2014</v>
      </c>
      <c r="H1329">
        <v>144.37</v>
      </c>
      <c r="I1329">
        <v>4</v>
      </c>
      <c r="J1329" s="1" t="s">
        <v>425</v>
      </c>
      <c r="K1329">
        <v>0</v>
      </c>
      <c r="L1329">
        <v>50</v>
      </c>
      <c r="M1329">
        <v>2.8816359999999999</v>
      </c>
      <c r="N1329">
        <v>3</v>
      </c>
      <c r="O1329" s="1" t="s">
        <v>560</v>
      </c>
      <c r="P1329">
        <v>144.37</v>
      </c>
      <c r="Q1329">
        <v>115.49</v>
      </c>
      <c r="R1329">
        <v>0</v>
      </c>
      <c r="S1329" s="1" t="s">
        <v>620</v>
      </c>
      <c r="T1329" s="1"/>
      <c r="U1329">
        <v>144.36741000000001</v>
      </c>
      <c r="V1329">
        <v>0</v>
      </c>
      <c r="W1329">
        <v>93000</v>
      </c>
    </row>
    <row r="1330" spans="1:23" x14ac:dyDescent="0.25">
      <c r="A1330" s="1" t="s">
        <v>29</v>
      </c>
      <c r="B1330" s="1"/>
      <c r="C1330" s="1" t="s">
        <v>149</v>
      </c>
      <c r="D1330">
        <v>14003</v>
      </c>
      <c r="E1330" s="1" t="s">
        <v>243</v>
      </c>
      <c r="F1330" s="1" t="s">
        <v>282</v>
      </c>
      <c r="G1330">
        <v>2013</v>
      </c>
      <c r="H1330">
        <v>131</v>
      </c>
      <c r="I1330">
        <v>4</v>
      </c>
      <c r="J1330" s="1" t="s">
        <v>425</v>
      </c>
      <c r="K1330">
        <v>0</v>
      </c>
      <c r="L1330">
        <v>50</v>
      </c>
      <c r="M1330">
        <v>2.61477</v>
      </c>
      <c r="N1330">
        <v>3</v>
      </c>
      <c r="O1330" s="1" t="s">
        <v>560</v>
      </c>
      <c r="P1330">
        <v>131</v>
      </c>
      <c r="Q1330">
        <v>104.82</v>
      </c>
      <c r="R1330">
        <v>0</v>
      </c>
      <c r="S1330" s="1" t="s">
        <v>620</v>
      </c>
      <c r="T1330" s="1"/>
      <c r="U1330">
        <v>131.02424999999999</v>
      </c>
      <c r="V1330">
        <v>0</v>
      </c>
      <c r="W1330">
        <v>93000</v>
      </c>
    </row>
    <row r="1331" spans="1:23" x14ac:dyDescent="0.25">
      <c r="A1331" s="1" t="s">
        <v>29</v>
      </c>
      <c r="B1331" s="1"/>
      <c r="C1331" s="1" t="s">
        <v>144</v>
      </c>
      <c r="D1331">
        <v>10256</v>
      </c>
      <c r="E1331" s="1"/>
      <c r="F1331" s="1" t="s">
        <v>144</v>
      </c>
      <c r="G1331">
        <v>2015</v>
      </c>
      <c r="H1331">
        <v>26289</v>
      </c>
      <c r="I1331">
        <v>5</v>
      </c>
      <c r="J1331" s="1" t="s">
        <v>481</v>
      </c>
      <c r="K1331">
        <v>0</v>
      </c>
      <c r="L1331">
        <v>381</v>
      </c>
      <c r="M1331">
        <v>68.981893999999997</v>
      </c>
      <c r="N1331">
        <v>1</v>
      </c>
      <c r="O1331" s="1" t="s">
        <v>565</v>
      </c>
      <c r="P1331">
        <v>30092.97</v>
      </c>
      <c r="Q1331">
        <v>1925.96</v>
      </c>
      <c r="R1331">
        <v>0</v>
      </c>
      <c r="S1331" s="1" t="s">
        <v>793</v>
      </c>
      <c r="T1331" s="1"/>
      <c r="U1331">
        <v>26.289000000000001</v>
      </c>
      <c r="V1331">
        <v>0</v>
      </c>
      <c r="W1331">
        <v>77615</v>
      </c>
    </row>
    <row r="1332" spans="1:23" x14ac:dyDescent="0.25">
      <c r="A1332" s="1" t="s">
        <v>29</v>
      </c>
      <c r="B1332" s="1"/>
      <c r="C1332" s="1" t="s">
        <v>144</v>
      </c>
      <c r="D1332">
        <v>10256</v>
      </c>
      <c r="E1332" s="1"/>
      <c r="F1332" s="1" t="s">
        <v>144</v>
      </c>
      <c r="G1332">
        <v>2014</v>
      </c>
      <c r="H1332">
        <v>40969.050000000003</v>
      </c>
      <c r="I1332">
        <v>12</v>
      </c>
      <c r="J1332" s="1" t="s">
        <v>481</v>
      </c>
      <c r="K1332">
        <v>0</v>
      </c>
      <c r="L1332">
        <v>381</v>
      </c>
      <c r="M1332">
        <v>107.502099</v>
      </c>
      <c r="N1332">
        <v>1</v>
      </c>
      <c r="O1332" s="1" t="s">
        <v>565</v>
      </c>
      <c r="P1332">
        <v>50069.58</v>
      </c>
      <c r="Q1332">
        <v>3204.46</v>
      </c>
      <c r="R1332">
        <v>0</v>
      </c>
      <c r="S1332" s="1" t="s">
        <v>793</v>
      </c>
      <c r="T1332" s="1"/>
      <c r="U1332">
        <v>40.969050000000003</v>
      </c>
      <c r="V1332">
        <v>0</v>
      </c>
      <c r="W1332">
        <v>77615</v>
      </c>
    </row>
    <row r="1333" spans="1:23" x14ac:dyDescent="0.25">
      <c r="A1333" s="1" t="s">
        <v>29</v>
      </c>
      <c r="B1333" s="1"/>
      <c r="C1333" s="1" t="s">
        <v>144</v>
      </c>
      <c r="D1333">
        <v>10256</v>
      </c>
      <c r="E1333" s="1"/>
      <c r="F1333" s="1" t="s">
        <v>144</v>
      </c>
      <c r="G1333">
        <v>2013</v>
      </c>
      <c r="H1333">
        <v>52650.42</v>
      </c>
      <c r="I1333">
        <v>11</v>
      </c>
      <c r="J1333" s="1" t="s">
        <v>481</v>
      </c>
      <c r="K1333">
        <v>0</v>
      </c>
      <c r="L1333">
        <v>381</v>
      </c>
      <c r="M1333">
        <v>138.153817</v>
      </c>
      <c r="N1333">
        <v>1</v>
      </c>
      <c r="O1333" s="1" t="s">
        <v>565</v>
      </c>
      <c r="P1333">
        <v>54567.67</v>
      </c>
      <c r="Q1333">
        <v>3492.32</v>
      </c>
      <c r="R1333">
        <v>0</v>
      </c>
      <c r="S1333" s="1" t="s">
        <v>793</v>
      </c>
      <c r="T1333" s="1"/>
      <c r="U1333">
        <v>52.650419999999997</v>
      </c>
      <c r="V1333">
        <v>0</v>
      </c>
      <c r="W1333">
        <v>77615</v>
      </c>
    </row>
    <row r="1334" spans="1:23" x14ac:dyDescent="0.25">
      <c r="A1334" s="1" t="s">
        <v>29</v>
      </c>
      <c r="B1334" s="1"/>
      <c r="C1334" s="1" t="s">
        <v>144</v>
      </c>
      <c r="D1334">
        <v>10256</v>
      </c>
      <c r="E1334" s="1"/>
      <c r="F1334" s="1" t="s">
        <v>144</v>
      </c>
      <c r="G1334">
        <v>2012</v>
      </c>
      <c r="H1334">
        <v>54812.06</v>
      </c>
      <c r="I1334">
        <v>10</v>
      </c>
      <c r="J1334" s="1" t="s">
        <v>481</v>
      </c>
      <c r="K1334">
        <v>0</v>
      </c>
      <c r="L1334">
        <v>381</v>
      </c>
      <c r="M1334">
        <v>143.82592399999999</v>
      </c>
      <c r="N1334">
        <v>1</v>
      </c>
      <c r="O1334" s="1" t="s">
        <v>565</v>
      </c>
      <c r="P1334">
        <v>58770.32</v>
      </c>
      <c r="Q1334">
        <v>10872.52</v>
      </c>
      <c r="R1334">
        <v>0</v>
      </c>
      <c r="S1334" s="1" t="s">
        <v>793</v>
      </c>
      <c r="T1334" s="1"/>
      <c r="U1334">
        <v>54.812060000000002</v>
      </c>
      <c r="V1334">
        <v>0</v>
      </c>
      <c r="W1334">
        <v>77615</v>
      </c>
    </row>
    <row r="1335" spans="1:23" x14ac:dyDescent="0.25">
      <c r="A1335" s="1" t="s">
        <v>29</v>
      </c>
      <c r="B1335" s="1"/>
      <c r="C1335" s="1" t="s">
        <v>144</v>
      </c>
      <c r="D1335">
        <v>10256</v>
      </c>
      <c r="E1335" s="1"/>
      <c r="F1335" s="1" t="s">
        <v>144</v>
      </c>
      <c r="G1335">
        <v>2011</v>
      </c>
      <c r="H1335">
        <v>54706.74</v>
      </c>
      <c r="I1335">
        <v>8</v>
      </c>
      <c r="J1335" s="1" t="s">
        <v>481</v>
      </c>
      <c r="K1335">
        <v>0</v>
      </c>
      <c r="L1335">
        <v>381</v>
      </c>
      <c r="M1335">
        <v>143.549567</v>
      </c>
      <c r="N1335">
        <v>1</v>
      </c>
      <c r="O1335" s="1" t="s">
        <v>565</v>
      </c>
      <c r="P1335">
        <v>65410.65</v>
      </c>
      <c r="Q1335">
        <v>12100.95</v>
      </c>
      <c r="R1335">
        <v>0</v>
      </c>
      <c r="S1335" s="1" t="s">
        <v>793</v>
      </c>
      <c r="T1335" s="1"/>
      <c r="U1335">
        <v>54.706740000000003</v>
      </c>
      <c r="V1335">
        <v>0</v>
      </c>
      <c r="W1335">
        <v>77615</v>
      </c>
    </row>
    <row r="1336" spans="1:23" x14ac:dyDescent="0.25">
      <c r="A1336" s="1" t="s">
        <v>29</v>
      </c>
      <c r="B1336" s="1"/>
      <c r="C1336" s="1" t="s">
        <v>144</v>
      </c>
      <c r="D1336">
        <v>10256</v>
      </c>
      <c r="E1336" s="1"/>
      <c r="F1336" s="1" t="s">
        <v>144</v>
      </c>
      <c r="G1336">
        <v>2010</v>
      </c>
      <c r="H1336">
        <v>68009.72</v>
      </c>
      <c r="I1336">
        <v>12</v>
      </c>
      <c r="J1336" s="1" t="s">
        <v>481</v>
      </c>
      <c r="K1336">
        <v>0</v>
      </c>
      <c r="L1336">
        <v>381</v>
      </c>
      <c r="M1336">
        <v>178.45636300000001</v>
      </c>
      <c r="N1336">
        <v>1</v>
      </c>
      <c r="O1336" s="1" t="s">
        <v>565</v>
      </c>
      <c r="P1336">
        <v>61328.65</v>
      </c>
      <c r="Q1336">
        <v>11345.82</v>
      </c>
      <c r="R1336">
        <v>0</v>
      </c>
      <c r="S1336" s="1" t="s">
        <v>793</v>
      </c>
      <c r="T1336" s="1"/>
      <c r="U1336">
        <v>68.009720000000002</v>
      </c>
      <c r="V1336">
        <v>0</v>
      </c>
      <c r="W1336">
        <v>77615</v>
      </c>
    </row>
    <row r="1337" spans="1:23" x14ac:dyDescent="0.25">
      <c r="A1337" s="1" t="s">
        <v>29</v>
      </c>
      <c r="B1337" s="1"/>
      <c r="C1337" s="1" t="s">
        <v>144</v>
      </c>
      <c r="D1337">
        <v>10256</v>
      </c>
      <c r="E1337" s="1"/>
      <c r="F1337" s="1" t="s">
        <v>144</v>
      </c>
      <c r="G1337">
        <v>2009</v>
      </c>
      <c r="H1337">
        <v>55225.74</v>
      </c>
      <c r="I1337">
        <v>12</v>
      </c>
      <c r="J1337" s="1" t="s">
        <v>481</v>
      </c>
      <c r="K1337">
        <v>0</v>
      </c>
      <c r="L1337">
        <v>381</v>
      </c>
      <c r="M1337">
        <v>144.91141400000001</v>
      </c>
      <c r="N1337">
        <v>1</v>
      </c>
      <c r="O1337" s="1" t="s">
        <v>565</v>
      </c>
      <c r="P1337">
        <v>59430.77</v>
      </c>
      <c r="Q1337">
        <v>10994.7</v>
      </c>
      <c r="R1337">
        <v>0</v>
      </c>
      <c r="S1337" s="1" t="s">
        <v>793</v>
      </c>
      <c r="T1337" s="1"/>
      <c r="U1337">
        <v>55.225740000000002</v>
      </c>
      <c r="V1337">
        <v>0</v>
      </c>
      <c r="W1337">
        <v>77615</v>
      </c>
    </row>
    <row r="1338" spans="1:23" x14ac:dyDescent="0.25">
      <c r="A1338" s="1" t="s">
        <v>29</v>
      </c>
      <c r="B1338" s="1"/>
      <c r="C1338" s="1" t="s">
        <v>144</v>
      </c>
      <c r="D1338">
        <v>10256</v>
      </c>
      <c r="E1338" s="1"/>
      <c r="F1338" s="1" t="s">
        <v>144</v>
      </c>
      <c r="G1338">
        <v>2008</v>
      </c>
      <c r="H1338">
        <v>52664.46</v>
      </c>
      <c r="I1338">
        <v>13</v>
      </c>
      <c r="J1338" s="1" t="s">
        <v>481</v>
      </c>
      <c r="K1338">
        <v>0</v>
      </c>
      <c r="L1338">
        <v>381</v>
      </c>
      <c r="M1338">
        <v>138.19065800000001</v>
      </c>
      <c r="N1338">
        <v>1</v>
      </c>
      <c r="O1338" s="1" t="s">
        <v>565</v>
      </c>
      <c r="P1338">
        <v>62461.18</v>
      </c>
      <c r="Q1338">
        <v>11555.32</v>
      </c>
      <c r="R1338">
        <v>0</v>
      </c>
      <c r="S1338" s="1" t="s">
        <v>793</v>
      </c>
      <c r="T1338" s="1"/>
      <c r="U1338">
        <v>52.664459999999998</v>
      </c>
      <c r="V1338">
        <v>0</v>
      </c>
      <c r="W1338">
        <v>77615</v>
      </c>
    </row>
    <row r="1339" spans="1:23" x14ac:dyDescent="0.25">
      <c r="A1339" s="1" t="s">
        <v>29</v>
      </c>
      <c r="B1339" s="1"/>
      <c r="C1339" s="1" t="s">
        <v>145</v>
      </c>
      <c r="D1339">
        <v>11351</v>
      </c>
      <c r="E1339" s="1" t="s">
        <v>243</v>
      </c>
      <c r="F1339" s="1" t="s">
        <v>280</v>
      </c>
      <c r="G1339">
        <v>2015</v>
      </c>
      <c r="H1339">
        <v>36418.26</v>
      </c>
      <c r="I1339">
        <v>5</v>
      </c>
      <c r="J1339" s="1" t="s">
        <v>399</v>
      </c>
      <c r="K1339">
        <v>0</v>
      </c>
      <c r="L1339">
        <v>867</v>
      </c>
      <c r="M1339">
        <v>42.000069000000003</v>
      </c>
      <c r="N1339">
        <v>1</v>
      </c>
      <c r="O1339" s="1" t="s">
        <v>564</v>
      </c>
      <c r="P1339">
        <v>41951.93</v>
      </c>
      <c r="Q1339">
        <v>8872.0499999999993</v>
      </c>
      <c r="R1339">
        <v>0</v>
      </c>
      <c r="S1339" s="1" t="s">
        <v>794</v>
      </c>
      <c r="T1339" s="1" t="s">
        <v>1201</v>
      </c>
      <c r="U1339">
        <v>3372.0605</v>
      </c>
      <c r="V1339">
        <v>0</v>
      </c>
      <c r="W1339">
        <v>80928</v>
      </c>
    </row>
    <row r="1340" spans="1:23" x14ac:dyDescent="0.25">
      <c r="A1340" s="1" t="s">
        <v>29</v>
      </c>
      <c r="B1340" s="1"/>
      <c r="C1340" s="1" t="s">
        <v>145</v>
      </c>
      <c r="D1340">
        <v>11351</v>
      </c>
      <c r="E1340" s="1" t="s">
        <v>243</v>
      </c>
      <c r="F1340" s="1" t="s">
        <v>280</v>
      </c>
      <c r="G1340">
        <v>2014</v>
      </c>
      <c r="H1340">
        <v>74468.89</v>
      </c>
      <c r="I1340">
        <v>12</v>
      </c>
      <c r="J1340" s="1" t="s">
        <v>399</v>
      </c>
      <c r="K1340">
        <v>0</v>
      </c>
      <c r="L1340">
        <v>867</v>
      </c>
      <c r="M1340">
        <v>85.8827</v>
      </c>
      <c r="N1340">
        <v>1</v>
      </c>
      <c r="O1340" s="1" t="s">
        <v>564</v>
      </c>
      <c r="P1340">
        <v>92526.5</v>
      </c>
      <c r="Q1340">
        <v>19567.64</v>
      </c>
      <c r="R1340">
        <v>0</v>
      </c>
      <c r="S1340" s="1" t="s">
        <v>794</v>
      </c>
      <c r="T1340" s="1" t="s">
        <v>1201</v>
      </c>
      <c r="U1340">
        <v>6895.2695999999996</v>
      </c>
      <c r="V1340">
        <v>0</v>
      </c>
      <c r="W1340">
        <v>80928</v>
      </c>
    </row>
    <row r="1341" spans="1:23" x14ac:dyDescent="0.25">
      <c r="A1341" s="1" t="s">
        <v>29</v>
      </c>
      <c r="B1341" s="1"/>
      <c r="C1341" s="1" t="s">
        <v>145</v>
      </c>
      <c r="D1341">
        <v>11351</v>
      </c>
      <c r="E1341" s="1" t="s">
        <v>243</v>
      </c>
      <c r="F1341" s="1" t="s">
        <v>280</v>
      </c>
      <c r="G1341">
        <v>2013</v>
      </c>
      <c r="H1341">
        <v>82409.09</v>
      </c>
      <c r="I1341">
        <v>12</v>
      </c>
      <c r="J1341" s="1" t="s">
        <v>399</v>
      </c>
      <c r="K1341">
        <v>0</v>
      </c>
      <c r="L1341">
        <v>867</v>
      </c>
      <c r="M1341">
        <v>95.039890999999997</v>
      </c>
      <c r="N1341">
        <v>1</v>
      </c>
      <c r="O1341" s="1" t="s">
        <v>564</v>
      </c>
      <c r="P1341">
        <v>90943.56</v>
      </c>
      <c r="Q1341">
        <v>19232.87</v>
      </c>
      <c r="R1341">
        <v>0</v>
      </c>
      <c r="S1341" s="1" t="s">
        <v>794</v>
      </c>
      <c r="T1341" s="1" t="s">
        <v>1201</v>
      </c>
      <c r="U1341">
        <v>7630.4704000000002</v>
      </c>
      <c r="V1341">
        <v>0</v>
      </c>
      <c r="W1341">
        <v>80928</v>
      </c>
    </row>
    <row r="1342" spans="1:23" x14ac:dyDescent="0.25">
      <c r="A1342" s="1" t="s">
        <v>29</v>
      </c>
      <c r="B1342" s="1"/>
      <c r="C1342" s="1" t="s">
        <v>145</v>
      </c>
      <c r="D1342">
        <v>11351</v>
      </c>
      <c r="E1342" s="1" t="s">
        <v>243</v>
      </c>
      <c r="F1342" s="1" t="s">
        <v>280</v>
      </c>
      <c r="G1342">
        <v>2012</v>
      </c>
      <c r="H1342">
        <v>84818.68</v>
      </c>
      <c r="I1342">
        <v>12</v>
      </c>
      <c r="J1342" s="1" t="s">
        <v>399</v>
      </c>
      <c r="K1342">
        <v>0</v>
      </c>
      <c r="L1342">
        <v>867</v>
      </c>
      <c r="M1342">
        <v>97.818798000000001</v>
      </c>
      <c r="N1342">
        <v>1</v>
      </c>
      <c r="O1342" s="1" t="s">
        <v>564</v>
      </c>
      <c r="P1342">
        <v>90262.73</v>
      </c>
      <c r="Q1342">
        <v>19088.900000000001</v>
      </c>
      <c r="R1342">
        <v>0</v>
      </c>
      <c r="S1342" s="1" t="s">
        <v>794</v>
      </c>
      <c r="T1342" s="1" t="s">
        <v>1201</v>
      </c>
      <c r="U1342">
        <v>7853.58</v>
      </c>
      <c r="V1342">
        <v>0</v>
      </c>
      <c r="W1342">
        <v>80928</v>
      </c>
    </row>
    <row r="1343" spans="1:23" x14ac:dyDescent="0.25">
      <c r="A1343" s="1" t="s">
        <v>29</v>
      </c>
      <c r="B1343" s="1"/>
      <c r="C1343" s="1" t="s">
        <v>145</v>
      </c>
      <c r="D1343">
        <v>11351</v>
      </c>
      <c r="E1343" s="1" t="s">
        <v>243</v>
      </c>
      <c r="F1343" s="1" t="s">
        <v>280</v>
      </c>
      <c r="G1343">
        <v>2011</v>
      </c>
      <c r="H1343">
        <v>81746.960000000006</v>
      </c>
      <c r="I1343">
        <v>5</v>
      </c>
      <c r="J1343" s="1" t="s">
        <v>399</v>
      </c>
      <c r="K1343">
        <v>0</v>
      </c>
      <c r="L1343">
        <v>867</v>
      </c>
      <c r="M1343">
        <v>94.276276999999993</v>
      </c>
      <c r="N1343">
        <v>1</v>
      </c>
      <c r="O1343" s="1" t="s">
        <v>564</v>
      </c>
      <c r="P1343">
        <v>93953.49</v>
      </c>
      <c r="Q1343">
        <v>19869.419999999998</v>
      </c>
      <c r="R1343">
        <v>0</v>
      </c>
      <c r="S1343" s="1" t="s">
        <v>794</v>
      </c>
      <c r="T1343" s="1" t="s">
        <v>1201</v>
      </c>
      <c r="U1343">
        <v>7569.1636500000004</v>
      </c>
      <c r="V1343">
        <v>0</v>
      </c>
      <c r="W1343">
        <v>80928</v>
      </c>
    </row>
    <row r="1344" spans="1:23" x14ac:dyDescent="0.25">
      <c r="A1344" s="1" t="s">
        <v>29</v>
      </c>
      <c r="B1344" s="1"/>
      <c r="C1344" s="1" t="s">
        <v>145</v>
      </c>
      <c r="D1344">
        <v>11351</v>
      </c>
      <c r="E1344" s="1" t="s">
        <v>243</v>
      </c>
      <c r="F1344" s="1" t="s">
        <v>280</v>
      </c>
      <c r="G1344">
        <v>2010</v>
      </c>
      <c r="H1344">
        <v>89029.14</v>
      </c>
      <c r="I1344">
        <v>4</v>
      </c>
      <c r="J1344" s="1" t="s">
        <v>399</v>
      </c>
      <c r="K1344">
        <v>0</v>
      </c>
      <c r="L1344">
        <v>867</v>
      </c>
      <c r="M1344">
        <v>102.674593</v>
      </c>
      <c r="N1344">
        <v>1</v>
      </c>
      <c r="O1344" s="1" t="s">
        <v>564</v>
      </c>
      <c r="P1344">
        <v>113756.5</v>
      </c>
      <c r="Q1344">
        <v>24057.39</v>
      </c>
      <c r="R1344">
        <v>0</v>
      </c>
      <c r="S1344" s="1" t="s">
        <v>794</v>
      </c>
      <c r="T1344" s="1" t="s">
        <v>1201</v>
      </c>
      <c r="U1344">
        <v>8243.4392399999997</v>
      </c>
      <c r="V1344">
        <v>0</v>
      </c>
      <c r="W1344">
        <v>80928</v>
      </c>
    </row>
    <row r="1345" spans="1:23" x14ac:dyDescent="0.25">
      <c r="A1345" s="1" t="s">
        <v>29</v>
      </c>
      <c r="B1345" s="1"/>
      <c r="C1345" s="1" t="s">
        <v>145</v>
      </c>
      <c r="D1345">
        <v>11351</v>
      </c>
      <c r="E1345" s="1" t="s">
        <v>243</v>
      </c>
      <c r="F1345" s="1" t="s">
        <v>280</v>
      </c>
      <c r="G1345">
        <v>2009</v>
      </c>
      <c r="H1345">
        <v>88598.07</v>
      </c>
      <c r="I1345">
        <v>4</v>
      </c>
      <c r="J1345" s="1" t="s">
        <v>399</v>
      </c>
      <c r="K1345">
        <v>0</v>
      </c>
      <c r="L1345">
        <v>867</v>
      </c>
      <c r="M1345">
        <v>102.177453</v>
      </c>
      <c r="N1345">
        <v>1</v>
      </c>
      <c r="O1345" s="1" t="s">
        <v>564</v>
      </c>
      <c r="P1345">
        <v>131753.78</v>
      </c>
      <c r="Q1345">
        <v>27863.48</v>
      </c>
      <c r="R1345">
        <v>0</v>
      </c>
      <c r="S1345" s="1" t="s">
        <v>794</v>
      </c>
      <c r="T1345" s="1" t="s">
        <v>1201</v>
      </c>
      <c r="U1345">
        <v>8203.5221099999999</v>
      </c>
      <c r="V1345">
        <v>0</v>
      </c>
      <c r="W1345">
        <v>80928</v>
      </c>
    </row>
    <row r="1346" spans="1:23" x14ac:dyDescent="0.25">
      <c r="A1346" s="1" t="s">
        <v>29</v>
      </c>
      <c r="B1346" s="1"/>
      <c r="C1346" s="1" t="s">
        <v>145</v>
      </c>
      <c r="D1346">
        <v>11351</v>
      </c>
      <c r="E1346" s="1" t="s">
        <v>243</v>
      </c>
      <c r="F1346" s="1" t="s">
        <v>280</v>
      </c>
      <c r="G1346">
        <v>2008</v>
      </c>
      <c r="H1346">
        <v>71589.52</v>
      </c>
      <c r="I1346">
        <v>1</v>
      </c>
      <c r="J1346" s="1" t="s">
        <v>399</v>
      </c>
      <c r="K1346">
        <v>0</v>
      </c>
      <c r="L1346">
        <v>867</v>
      </c>
      <c r="M1346">
        <v>82.562010999999998</v>
      </c>
      <c r="N1346">
        <v>1</v>
      </c>
      <c r="O1346" s="1" t="s">
        <v>564</v>
      </c>
      <c r="P1346">
        <v>94381.13</v>
      </c>
      <c r="Q1346">
        <v>19959.87</v>
      </c>
      <c r="R1346">
        <v>0</v>
      </c>
      <c r="S1346" s="1" t="s">
        <v>794</v>
      </c>
      <c r="T1346" s="1" t="s">
        <v>1201</v>
      </c>
      <c r="U1346">
        <v>6628.6584300000004</v>
      </c>
      <c r="V1346">
        <v>0</v>
      </c>
      <c r="W1346">
        <v>80928</v>
      </c>
    </row>
    <row r="1347" spans="1:23" x14ac:dyDescent="0.25">
      <c r="A1347" s="1" t="s">
        <v>29</v>
      </c>
      <c r="B1347" s="1"/>
      <c r="C1347" s="1" t="s">
        <v>146</v>
      </c>
      <c r="D1347">
        <v>10205</v>
      </c>
      <c r="E1347" s="1"/>
      <c r="F1347" s="1" t="s">
        <v>146</v>
      </c>
      <c r="G1347">
        <v>2015</v>
      </c>
      <c r="H1347">
        <v>31838.74</v>
      </c>
      <c r="I1347">
        <v>5</v>
      </c>
      <c r="J1347" s="1" t="s">
        <v>422</v>
      </c>
      <c r="K1347">
        <v>0</v>
      </c>
      <c r="L1347">
        <v>314</v>
      </c>
      <c r="M1347">
        <v>101.36497900000001</v>
      </c>
      <c r="N1347">
        <v>1</v>
      </c>
      <c r="O1347" s="1" t="s">
        <v>564</v>
      </c>
      <c r="P1347">
        <v>36090.550000000003</v>
      </c>
      <c r="Q1347">
        <v>7632.49</v>
      </c>
      <c r="R1347">
        <v>0</v>
      </c>
      <c r="S1347" s="1" t="s">
        <v>795</v>
      </c>
      <c r="T1347" s="1" t="s">
        <v>1202</v>
      </c>
      <c r="U1347">
        <v>2948.0317</v>
      </c>
      <c r="V1347">
        <v>0</v>
      </c>
      <c r="W1347">
        <v>77392</v>
      </c>
    </row>
    <row r="1348" spans="1:23" x14ac:dyDescent="0.25">
      <c r="A1348" s="1" t="s">
        <v>29</v>
      </c>
      <c r="B1348" s="1"/>
      <c r="C1348" s="1" t="s">
        <v>146</v>
      </c>
      <c r="D1348">
        <v>10205</v>
      </c>
      <c r="E1348" s="1"/>
      <c r="F1348" s="1" t="s">
        <v>146</v>
      </c>
      <c r="G1348">
        <v>2014</v>
      </c>
      <c r="H1348">
        <v>49753.98</v>
      </c>
      <c r="I1348">
        <v>12</v>
      </c>
      <c r="J1348" s="1" t="s">
        <v>422</v>
      </c>
      <c r="K1348">
        <v>0</v>
      </c>
      <c r="L1348">
        <v>314</v>
      </c>
      <c r="M1348">
        <v>158.40171900000001</v>
      </c>
      <c r="N1348">
        <v>1</v>
      </c>
      <c r="O1348" s="1" t="s">
        <v>564</v>
      </c>
      <c r="P1348">
        <v>59526.17</v>
      </c>
      <c r="Q1348">
        <v>12588.69</v>
      </c>
      <c r="R1348">
        <v>0</v>
      </c>
      <c r="S1348" s="1" t="s">
        <v>795</v>
      </c>
      <c r="T1348" s="1" t="s">
        <v>1202</v>
      </c>
      <c r="U1348">
        <v>4606.8490000000002</v>
      </c>
      <c r="V1348">
        <v>0</v>
      </c>
      <c r="W1348">
        <v>77392</v>
      </c>
    </row>
    <row r="1349" spans="1:23" x14ac:dyDescent="0.25">
      <c r="A1349" s="1" t="s">
        <v>29</v>
      </c>
      <c r="B1349" s="1"/>
      <c r="C1349" s="1" t="s">
        <v>146</v>
      </c>
      <c r="D1349">
        <v>10205</v>
      </c>
      <c r="E1349" s="1"/>
      <c r="F1349" s="1" t="s">
        <v>146</v>
      </c>
      <c r="G1349">
        <v>2013</v>
      </c>
      <c r="H1349">
        <v>51431.47</v>
      </c>
      <c r="I1349">
        <v>8</v>
      </c>
      <c r="J1349" s="1" t="s">
        <v>422</v>
      </c>
      <c r="K1349">
        <v>0</v>
      </c>
      <c r="L1349">
        <v>314</v>
      </c>
      <c r="M1349">
        <v>163.74234300000001</v>
      </c>
      <c r="N1349">
        <v>1</v>
      </c>
      <c r="O1349" s="1" t="s">
        <v>564</v>
      </c>
      <c r="P1349">
        <v>54242.57</v>
      </c>
      <c r="Q1349">
        <v>11471.3</v>
      </c>
      <c r="R1349">
        <v>0</v>
      </c>
      <c r="S1349" s="1" t="s">
        <v>795</v>
      </c>
      <c r="T1349" s="1" t="s">
        <v>1202</v>
      </c>
      <c r="U1349">
        <v>4762.1735399999998</v>
      </c>
      <c r="V1349">
        <v>0</v>
      </c>
      <c r="W1349">
        <v>77392</v>
      </c>
    </row>
    <row r="1350" spans="1:23" x14ac:dyDescent="0.25">
      <c r="A1350" s="1" t="s">
        <v>29</v>
      </c>
      <c r="B1350" s="1"/>
      <c r="C1350" s="1" t="s">
        <v>146</v>
      </c>
      <c r="D1350">
        <v>10205</v>
      </c>
      <c r="E1350" s="1"/>
      <c r="F1350" s="1" t="s">
        <v>146</v>
      </c>
      <c r="G1350">
        <v>2012</v>
      </c>
      <c r="H1350">
        <v>55453.11</v>
      </c>
      <c r="I1350">
        <v>6</v>
      </c>
      <c r="J1350" s="1" t="s">
        <v>422</v>
      </c>
      <c r="K1350">
        <v>0</v>
      </c>
      <c r="L1350">
        <v>314</v>
      </c>
      <c r="M1350">
        <v>176.54603599999999</v>
      </c>
      <c r="N1350">
        <v>1</v>
      </c>
      <c r="O1350" s="1" t="s">
        <v>564</v>
      </c>
      <c r="P1350">
        <v>57819.18</v>
      </c>
      <c r="Q1350">
        <v>12227.69</v>
      </c>
      <c r="R1350">
        <v>0</v>
      </c>
      <c r="S1350" s="1" t="s">
        <v>795</v>
      </c>
      <c r="T1350" s="1" t="s">
        <v>1202</v>
      </c>
      <c r="U1350">
        <v>5134.5476699999999</v>
      </c>
      <c r="V1350">
        <v>0</v>
      </c>
      <c r="W1350">
        <v>77392</v>
      </c>
    </row>
    <row r="1351" spans="1:23" x14ac:dyDescent="0.25">
      <c r="A1351" s="1" t="s">
        <v>29</v>
      </c>
      <c r="B1351" s="1"/>
      <c r="C1351" s="1" t="s">
        <v>146</v>
      </c>
      <c r="D1351">
        <v>10205</v>
      </c>
      <c r="E1351" s="1"/>
      <c r="F1351" s="1" t="s">
        <v>146</v>
      </c>
      <c r="G1351">
        <v>2011</v>
      </c>
      <c r="H1351">
        <v>50881.31</v>
      </c>
      <c r="I1351">
        <v>3</v>
      </c>
      <c r="J1351" s="1" t="s">
        <v>422</v>
      </c>
      <c r="K1351">
        <v>0</v>
      </c>
      <c r="L1351">
        <v>314</v>
      </c>
      <c r="M1351">
        <v>161.99079900000001</v>
      </c>
      <c r="N1351">
        <v>1</v>
      </c>
      <c r="O1351" s="1" t="s">
        <v>564</v>
      </c>
      <c r="P1351">
        <v>60584.04</v>
      </c>
      <c r="Q1351">
        <v>12812.39</v>
      </c>
      <c r="R1351">
        <v>0</v>
      </c>
      <c r="S1351" s="1" t="s">
        <v>795</v>
      </c>
      <c r="T1351" s="1" t="s">
        <v>1202</v>
      </c>
      <c r="U1351">
        <v>4711.2312300000003</v>
      </c>
      <c r="V1351">
        <v>0</v>
      </c>
      <c r="W1351">
        <v>77392</v>
      </c>
    </row>
    <row r="1352" spans="1:23" x14ac:dyDescent="0.25">
      <c r="A1352" s="1" t="s">
        <v>29</v>
      </c>
      <c r="B1352" s="1"/>
      <c r="C1352" s="1" t="s">
        <v>146</v>
      </c>
      <c r="D1352">
        <v>10205</v>
      </c>
      <c r="E1352" s="1"/>
      <c r="F1352" s="1" t="s">
        <v>146</v>
      </c>
      <c r="G1352">
        <v>2010</v>
      </c>
      <c r="H1352">
        <v>61071.6</v>
      </c>
      <c r="I1352">
        <v>2</v>
      </c>
      <c r="J1352" s="1" t="s">
        <v>422</v>
      </c>
      <c r="K1352">
        <v>0</v>
      </c>
      <c r="L1352">
        <v>314</v>
      </c>
      <c r="M1352">
        <v>194.43361899999999</v>
      </c>
      <c r="N1352">
        <v>1</v>
      </c>
      <c r="O1352" s="1" t="s">
        <v>564</v>
      </c>
      <c r="P1352">
        <v>77150.259999999995</v>
      </c>
      <c r="Q1352">
        <v>16315.87</v>
      </c>
      <c r="R1352">
        <v>0</v>
      </c>
      <c r="S1352" s="1" t="s">
        <v>795</v>
      </c>
      <c r="T1352" s="1" t="s">
        <v>1202</v>
      </c>
      <c r="U1352">
        <v>5654.7781500000001</v>
      </c>
      <c r="V1352">
        <v>0</v>
      </c>
      <c r="W1352">
        <v>77392</v>
      </c>
    </row>
    <row r="1353" spans="1:23" x14ac:dyDescent="0.25">
      <c r="A1353" s="1" t="s">
        <v>29</v>
      </c>
      <c r="B1353" s="1"/>
      <c r="C1353" s="1" t="s">
        <v>146</v>
      </c>
      <c r="D1353">
        <v>10205</v>
      </c>
      <c r="E1353" s="1"/>
      <c r="F1353" s="1" t="s">
        <v>146</v>
      </c>
      <c r="G1353">
        <v>2009</v>
      </c>
      <c r="H1353">
        <v>53703.72</v>
      </c>
      <c r="I1353">
        <v>6</v>
      </c>
      <c r="J1353" s="1" t="s">
        <v>422</v>
      </c>
      <c r="K1353">
        <v>0</v>
      </c>
      <c r="L1353">
        <v>314</v>
      </c>
      <c r="M1353">
        <v>170.97650400000001</v>
      </c>
      <c r="N1353">
        <v>1</v>
      </c>
      <c r="O1353" s="1" t="s">
        <v>564</v>
      </c>
      <c r="P1353">
        <v>63813.21</v>
      </c>
      <c r="Q1353">
        <v>13495.33</v>
      </c>
      <c r="R1353">
        <v>0</v>
      </c>
      <c r="S1353" s="1" t="s">
        <v>795</v>
      </c>
      <c r="T1353" s="1" t="s">
        <v>1202</v>
      </c>
      <c r="U1353">
        <v>4972.5663999999997</v>
      </c>
      <c r="V1353">
        <v>0</v>
      </c>
      <c r="W1353">
        <v>77392</v>
      </c>
    </row>
    <row r="1354" spans="1:23" x14ac:dyDescent="0.25">
      <c r="A1354" s="1" t="s">
        <v>29</v>
      </c>
      <c r="B1354" s="1"/>
      <c r="C1354" s="1" t="s">
        <v>146</v>
      </c>
      <c r="D1354">
        <v>10205</v>
      </c>
      <c r="E1354" s="1"/>
      <c r="F1354" s="1" t="s">
        <v>146</v>
      </c>
      <c r="G1354">
        <v>2008</v>
      </c>
      <c r="H1354">
        <v>72169.41</v>
      </c>
      <c r="I1354">
        <v>6</v>
      </c>
      <c r="J1354" s="1" t="s">
        <v>422</v>
      </c>
      <c r="K1354">
        <v>0</v>
      </c>
      <c r="L1354">
        <v>314</v>
      </c>
      <c r="M1354">
        <v>229.76571100000001</v>
      </c>
      <c r="N1354">
        <v>1</v>
      </c>
      <c r="O1354" s="1" t="s">
        <v>564</v>
      </c>
      <c r="P1354">
        <v>85211.16</v>
      </c>
      <c r="Q1354">
        <v>18020.580000000002</v>
      </c>
      <c r="R1354">
        <v>0</v>
      </c>
      <c r="S1354" s="1" t="s">
        <v>795</v>
      </c>
      <c r="T1354" s="1" t="s">
        <v>1202</v>
      </c>
      <c r="U1354">
        <v>6682.35232</v>
      </c>
      <c r="V1354">
        <v>0</v>
      </c>
      <c r="W1354">
        <v>77392</v>
      </c>
    </row>
    <row r="1355" spans="1:23" x14ac:dyDescent="0.25">
      <c r="A1355" s="1" t="s">
        <v>29</v>
      </c>
      <c r="B1355" s="1" t="s">
        <v>64</v>
      </c>
      <c r="C1355" s="1" t="s">
        <v>147</v>
      </c>
      <c r="D1355">
        <v>13661</v>
      </c>
      <c r="E1355" s="1" t="s">
        <v>243</v>
      </c>
      <c r="F1355" s="1" t="s">
        <v>147</v>
      </c>
      <c r="G1355">
        <v>2015</v>
      </c>
      <c r="H1355">
        <v>23814</v>
      </c>
      <c r="I1355">
        <v>5</v>
      </c>
      <c r="J1355" s="1" t="s">
        <v>422</v>
      </c>
      <c r="K1355">
        <v>0</v>
      </c>
      <c r="L1355">
        <v>307</v>
      </c>
      <c r="M1355">
        <v>77.544773000000006</v>
      </c>
      <c r="N1355">
        <v>1</v>
      </c>
      <c r="O1355" s="1" t="s">
        <v>562</v>
      </c>
      <c r="P1355">
        <v>27250.720000000001</v>
      </c>
      <c r="Q1355">
        <v>5041383.2</v>
      </c>
      <c r="R1355">
        <v>0</v>
      </c>
      <c r="S1355" s="1" t="s">
        <v>796</v>
      </c>
      <c r="T1355" s="1"/>
      <c r="U1355">
        <v>23814.001</v>
      </c>
      <c r="V1355">
        <v>0</v>
      </c>
      <c r="W1355">
        <v>92672</v>
      </c>
    </row>
    <row r="1356" spans="1:23" x14ac:dyDescent="0.25">
      <c r="A1356" s="1" t="s">
        <v>29</v>
      </c>
      <c r="B1356" s="1" t="s">
        <v>64</v>
      </c>
      <c r="C1356" s="1" t="s">
        <v>147</v>
      </c>
      <c r="D1356">
        <v>13661</v>
      </c>
      <c r="E1356" s="1" t="s">
        <v>243</v>
      </c>
      <c r="F1356" s="1" t="s">
        <v>147</v>
      </c>
      <c r="G1356">
        <v>2014</v>
      </c>
      <c r="H1356">
        <v>32376.06</v>
      </c>
      <c r="I1356">
        <v>12</v>
      </c>
      <c r="J1356" s="1" t="s">
        <v>422</v>
      </c>
      <c r="K1356">
        <v>0</v>
      </c>
      <c r="L1356">
        <v>307</v>
      </c>
      <c r="M1356">
        <v>105.425138</v>
      </c>
      <c r="N1356">
        <v>1</v>
      </c>
      <c r="O1356" s="1" t="s">
        <v>562</v>
      </c>
      <c r="P1356">
        <v>38775.54</v>
      </c>
      <c r="Q1356">
        <v>2307384.66</v>
      </c>
      <c r="R1356">
        <v>0</v>
      </c>
      <c r="S1356" s="1" t="s">
        <v>796</v>
      </c>
      <c r="T1356" s="1"/>
      <c r="U1356">
        <v>32376.058000000001</v>
      </c>
      <c r="V1356">
        <v>0</v>
      </c>
      <c r="W1356">
        <v>92672</v>
      </c>
    </row>
    <row r="1357" spans="1:23" x14ac:dyDescent="0.25">
      <c r="A1357" s="1" t="s">
        <v>29</v>
      </c>
      <c r="B1357" s="1" t="s">
        <v>64</v>
      </c>
      <c r="C1357" s="1" t="s">
        <v>147</v>
      </c>
      <c r="D1357">
        <v>13661</v>
      </c>
      <c r="E1357" s="1" t="s">
        <v>243</v>
      </c>
      <c r="F1357" s="1" t="s">
        <v>147</v>
      </c>
      <c r="G1357">
        <v>2013</v>
      </c>
      <c r="H1357">
        <v>41581.360000000001</v>
      </c>
      <c r="I1357">
        <v>6</v>
      </c>
      <c r="J1357" s="1" t="s">
        <v>422</v>
      </c>
      <c r="K1357">
        <v>0</v>
      </c>
      <c r="L1357">
        <v>307</v>
      </c>
      <c r="M1357">
        <v>135.40006500000001</v>
      </c>
      <c r="N1357">
        <v>1</v>
      </c>
      <c r="O1357" s="1" t="s">
        <v>562</v>
      </c>
      <c r="P1357">
        <v>45130.03</v>
      </c>
      <c r="Q1357">
        <v>8349.06</v>
      </c>
      <c r="R1357">
        <v>0</v>
      </c>
      <c r="S1357" s="1" t="s">
        <v>796</v>
      </c>
      <c r="T1357" s="1"/>
      <c r="U1357">
        <v>41581.371570000003</v>
      </c>
      <c r="V1357">
        <v>0</v>
      </c>
      <c r="W1357">
        <v>92672</v>
      </c>
    </row>
    <row r="1358" spans="1:23" x14ac:dyDescent="0.25">
      <c r="A1358" s="1" t="s">
        <v>29</v>
      </c>
      <c r="B1358" s="1" t="s">
        <v>64</v>
      </c>
      <c r="C1358" s="1" t="s">
        <v>147</v>
      </c>
      <c r="D1358">
        <v>13661</v>
      </c>
      <c r="E1358" s="1" t="s">
        <v>243</v>
      </c>
      <c r="F1358" s="1" t="s">
        <v>147</v>
      </c>
      <c r="G1358">
        <v>2012</v>
      </c>
      <c r="H1358">
        <v>64573.02</v>
      </c>
      <c r="I1358">
        <v>3</v>
      </c>
      <c r="J1358" s="1" t="s">
        <v>422</v>
      </c>
      <c r="K1358">
        <v>0</v>
      </c>
      <c r="L1358">
        <v>307</v>
      </c>
      <c r="M1358">
        <v>210.267079</v>
      </c>
      <c r="N1358">
        <v>1</v>
      </c>
      <c r="O1358" s="1" t="s">
        <v>562</v>
      </c>
      <c r="P1358">
        <v>72016.92</v>
      </c>
      <c r="Q1358">
        <v>13323.14</v>
      </c>
      <c r="R1358">
        <v>0</v>
      </c>
      <c r="S1358" s="1" t="s">
        <v>796</v>
      </c>
      <c r="T1358" s="1"/>
      <c r="U1358">
        <v>64572.99134</v>
      </c>
      <c r="V1358">
        <v>0</v>
      </c>
      <c r="W1358">
        <v>92672</v>
      </c>
    </row>
    <row r="1359" spans="1:23" x14ac:dyDescent="0.25">
      <c r="A1359" s="1" t="s">
        <v>29</v>
      </c>
      <c r="B1359" s="1" t="s">
        <v>64</v>
      </c>
      <c r="C1359" s="1" t="s">
        <v>147</v>
      </c>
      <c r="D1359">
        <v>13661</v>
      </c>
      <c r="E1359" s="1" t="s">
        <v>243</v>
      </c>
      <c r="F1359" s="1" t="s">
        <v>147</v>
      </c>
      <c r="G1359">
        <v>2011</v>
      </c>
      <c r="H1359">
        <v>58616.27</v>
      </c>
      <c r="I1359">
        <v>2</v>
      </c>
      <c r="J1359" s="1" t="s">
        <v>422</v>
      </c>
      <c r="K1359">
        <v>0</v>
      </c>
      <c r="L1359">
        <v>307</v>
      </c>
      <c r="M1359">
        <v>190.87030200000001</v>
      </c>
      <c r="N1359">
        <v>1</v>
      </c>
      <c r="O1359" s="1" t="s">
        <v>562</v>
      </c>
      <c r="P1359">
        <v>69207.149999999994</v>
      </c>
      <c r="Q1359">
        <v>12803.31</v>
      </c>
      <c r="R1359">
        <v>0</v>
      </c>
      <c r="S1359" s="1" t="s">
        <v>796</v>
      </c>
      <c r="T1359" s="1"/>
      <c r="U1359">
        <v>58616.305890000003</v>
      </c>
      <c r="V1359">
        <v>0</v>
      </c>
      <c r="W1359">
        <v>92672</v>
      </c>
    </row>
    <row r="1360" spans="1:23" x14ac:dyDescent="0.25">
      <c r="A1360" s="1" t="s">
        <v>29</v>
      </c>
      <c r="B1360" s="1" t="s">
        <v>64</v>
      </c>
      <c r="C1360" s="1" t="s">
        <v>147</v>
      </c>
      <c r="D1360">
        <v>13661</v>
      </c>
      <c r="E1360" s="1" t="s">
        <v>243</v>
      </c>
      <c r="F1360" s="1" t="s">
        <v>147</v>
      </c>
      <c r="G1360">
        <v>2010</v>
      </c>
      <c r="H1360">
        <v>69108.960000000006</v>
      </c>
      <c r="I1360">
        <v>2</v>
      </c>
      <c r="J1360" s="1" t="s">
        <v>422</v>
      </c>
      <c r="K1360">
        <v>0</v>
      </c>
      <c r="L1360">
        <v>307</v>
      </c>
      <c r="M1360">
        <v>225.037316</v>
      </c>
      <c r="N1360">
        <v>1</v>
      </c>
      <c r="O1360" s="1" t="s">
        <v>562</v>
      </c>
      <c r="P1360">
        <v>87977.59</v>
      </c>
      <c r="Q1360">
        <v>16275.85</v>
      </c>
      <c r="R1360">
        <v>0</v>
      </c>
      <c r="S1360" s="1" t="s">
        <v>796</v>
      </c>
      <c r="T1360" s="1"/>
      <c r="U1360">
        <v>69108.95925</v>
      </c>
      <c r="V1360">
        <v>0</v>
      </c>
      <c r="W1360">
        <v>92672</v>
      </c>
    </row>
    <row r="1361" spans="1:23" x14ac:dyDescent="0.25">
      <c r="A1361" s="1" t="s">
        <v>29</v>
      </c>
      <c r="B1361" s="1" t="s">
        <v>64</v>
      </c>
      <c r="C1361" s="1" t="s">
        <v>147</v>
      </c>
      <c r="D1361">
        <v>13661</v>
      </c>
      <c r="E1361" s="1" t="s">
        <v>243</v>
      </c>
      <c r="F1361" s="1" t="s">
        <v>147</v>
      </c>
      <c r="G1361">
        <v>2009</v>
      </c>
      <c r="H1361">
        <v>72138.13</v>
      </c>
      <c r="I1361">
        <v>2</v>
      </c>
      <c r="J1361" s="1" t="s">
        <v>422</v>
      </c>
      <c r="K1361">
        <v>0</v>
      </c>
      <c r="L1361">
        <v>307</v>
      </c>
      <c r="M1361">
        <v>234.901107</v>
      </c>
      <c r="N1361">
        <v>1</v>
      </c>
      <c r="O1361" s="1" t="s">
        <v>562</v>
      </c>
      <c r="P1361">
        <v>100768.21</v>
      </c>
      <c r="Q1361">
        <v>18642.11</v>
      </c>
      <c r="R1361">
        <v>0</v>
      </c>
      <c r="S1361" s="1" t="s">
        <v>796</v>
      </c>
      <c r="T1361" s="1"/>
      <c r="U1361">
        <v>72138.122220000005</v>
      </c>
      <c r="V1361">
        <v>0</v>
      </c>
      <c r="W1361">
        <v>92672</v>
      </c>
    </row>
    <row r="1362" spans="1:23" x14ac:dyDescent="0.25">
      <c r="A1362" s="1" t="s">
        <v>29</v>
      </c>
      <c r="B1362" s="1" t="s">
        <v>64</v>
      </c>
      <c r="C1362" s="1" t="s">
        <v>147</v>
      </c>
      <c r="D1362">
        <v>13661</v>
      </c>
      <c r="E1362" s="1" t="s">
        <v>243</v>
      </c>
      <c r="F1362" s="1" t="s">
        <v>147</v>
      </c>
      <c r="G1362">
        <v>2008</v>
      </c>
      <c r="H1362">
        <v>74139.86</v>
      </c>
      <c r="I1362">
        <v>2</v>
      </c>
      <c r="J1362" s="1" t="s">
        <v>422</v>
      </c>
      <c r="K1362">
        <v>0</v>
      </c>
      <c r="L1362">
        <v>307</v>
      </c>
      <c r="M1362">
        <v>241.41927699999999</v>
      </c>
      <c r="N1362">
        <v>1</v>
      </c>
      <c r="O1362" s="1" t="s">
        <v>562</v>
      </c>
      <c r="P1362">
        <v>94513.89</v>
      </c>
      <c r="Q1362">
        <v>17485.060000000001</v>
      </c>
      <c r="R1362">
        <v>0</v>
      </c>
      <c r="S1362" s="1" t="s">
        <v>796</v>
      </c>
      <c r="T1362" s="1"/>
      <c r="U1362">
        <v>74139.856780000002</v>
      </c>
      <c r="V1362">
        <v>0</v>
      </c>
      <c r="W1362">
        <v>92672</v>
      </c>
    </row>
    <row r="1363" spans="1:23" x14ac:dyDescent="0.25">
      <c r="A1363" s="1" t="s">
        <v>29</v>
      </c>
      <c r="B1363" s="1"/>
      <c r="C1363" s="1" t="s">
        <v>148</v>
      </c>
      <c r="D1363">
        <v>10206</v>
      </c>
      <c r="E1363" s="1"/>
      <c r="F1363" s="1" t="s">
        <v>281</v>
      </c>
      <c r="G1363">
        <v>2015</v>
      </c>
      <c r="H1363">
        <v>34651.589999999997</v>
      </c>
      <c r="I1363">
        <v>5</v>
      </c>
      <c r="J1363" s="1" t="s">
        <v>399</v>
      </c>
      <c r="K1363">
        <v>0</v>
      </c>
      <c r="L1363">
        <v>439</v>
      </c>
      <c r="M1363">
        <v>78.915030000000002</v>
      </c>
      <c r="N1363">
        <v>1</v>
      </c>
      <c r="O1363" s="1" t="s">
        <v>564</v>
      </c>
      <c r="P1363">
        <v>38995.279999999999</v>
      </c>
      <c r="Q1363">
        <v>8246.77</v>
      </c>
      <c r="R1363">
        <v>0</v>
      </c>
      <c r="S1363" s="1" t="s">
        <v>797</v>
      </c>
      <c r="T1363" s="1" t="s">
        <v>1203</v>
      </c>
      <c r="U1363">
        <v>3208.48</v>
      </c>
      <c r="V1363">
        <v>0</v>
      </c>
      <c r="W1363">
        <v>77398</v>
      </c>
    </row>
    <row r="1364" spans="1:23" x14ac:dyDescent="0.25">
      <c r="A1364" s="1" t="s">
        <v>29</v>
      </c>
      <c r="B1364" s="1"/>
      <c r="C1364" s="1" t="s">
        <v>148</v>
      </c>
      <c r="D1364">
        <v>10206</v>
      </c>
      <c r="E1364" s="1"/>
      <c r="F1364" s="1" t="s">
        <v>281</v>
      </c>
      <c r="G1364">
        <v>2014</v>
      </c>
      <c r="H1364">
        <v>56912.33</v>
      </c>
      <c r="I1364">
        <v>12</v>
      </c>
      <c r="J1364" s="1" t="s">
        <v>399</v>
      </c>
      <c r="K1364">
        <v>0</v>
      </c>
      <c r="L1364">
        <v>439</v>
      </c>
      <c r="M1364">
        <v>129.61131800000001</v>
      </c>
      <c r="N1364">
        <v>1</v>
      </c>
      <c r="O1364" s="1" t="s">
        <v>564</v>
      </c>
      <c r="P1364">
        <v>67768.39</v>
      </c>
      <c r="Q1364">
        <v>14331.75</v>
      </c>
      <c r="R1364">
        <v>0</v>
      </c>
      <c r="S1364" s="1" t="s">
        <v>797</v>
      </c>
      <c r="T1364" s="1" t="s">
        <v>1203</v>
      </c>
      <c r="U1364">
        <v>5269.66</v>
      </c>
      <c r="V1364">
        <v>0</v>
      </c>
      <c r="W1364">
        <v>77398</v>
      </c>
    </row>
    <row r="1365" spans="1:23" x14ac:dyDescent="0.25">
      <c r="A1365" s="1" t="s">
        <v>29</v>
      </c>
      <c r="B1365" s="1"/>
      <c r="C1365" s="1" t="s">
        <v>148</v>
      </c>
      <c r="D1365">
        <v>10206</v>
      </c>
      <c r="E1365" s="1"/>
      <c r="F1365" s="1" t="s">
        <v>281</v>
      </c>
      <c r="G1365">
        <v>2013</v>
      </c>
      <c r="H1365">
        <v>77204.56</v>
      </c>
      <c r="I1365">
        <v>12</v>
      </c>
      <c r="J1365" s="1" t="s">
        <v>399</v>
      </c>
      <c r="K1365">
        <v>0</v>
      </c>
      <c r="L1365">
        <v>439</v>
      </c>
      <c r="M1365">
        <v>175.82454999999999</v>
      </c>
      <c r="N1365">
        <v>1</v>
      </c>
      <c r="O1365" s="1" t="s">
        <v>564</v>
      </c>
      <c r="P1365">
        <v>81978.86</v>
      </c>
      <c r="Q1365">
        <v>17337.009999999998</v>
      </c>
      <c r="R1365">
        <v>0</v>
      </c>
      <c r="S1365" s="1" t="s">
        <v>797</v>
      </c>
      <c r="T1365" s="1" t="s">
        <v>1203</v>
      </c>
      <c r="U1365">
        <v>7148.57</v>
      </c>
      <c r="V1365">
        <v>0</v>
      </c>
      <c r="W1365">
        <v>77398</v>
      </c>
    </row>
    <row r="1366" spans="1:23" x14ac:dyDescent="0.25">
      <c r="A1366" s="1" t="s">
        <v>29</v>
      </c>
      <c r="B1366" s="1"/>
      <c r="C1366" s="1" t="s">
        <v>148</v>
      </c>
      <c r="D1366">
        <v>10206</v>
      </c>
      <c r="E1366" s="1"/>
      <c r="F1366" s="1" t="s">
        <v>281</v>
      </c>
      <c r="G1366">
        <v>2012</v>
      </c>
      <c r="H1366">
        <v>80447.460000000006</v>
      </c>
      <c r="I1366">
        <v>12</v>
      </c>
      <c r="J1366" s="1" t="s">
        <v>399</v>
      </c>
      <c r="K1366">
        <v>0</v>
      </c>
      <c r="L1366">
        <v>439</v>
      </c>
      <c r="M1366">
        <v>183.20988299999999</v>
      </c>
      <c r="N1366">
        <v>1</v>
      </c>
      <c r="O1366" s="1" t="s">
        <v>564</v>
      </c>
      <c r="P1366">
        <v>84209.24</v>
      </c>
      <c r="Q1366">
        <v>17808.7</v>
      </c>
      <c r="R1366">
        <v>0</v>
      </c>
      <c r="S1366" s="1" t="s">
        <v>797</v>
      </c>
      <c r="T1366" s="1" t="s">
        <v>1203</v>
      </c>
      <c r="U1366">
        <v>7448.84</v>
      </c>
      <c r="V1366">
        <v>0</v>
      </c>
      <c r="W1366">
        <v>77398</v>
      </c>
    </row>
    <row r="1367" spans="1:23" x14ac:dyDescent="0.25">
      <c r="A1367" s="1" t="s">
        <v>29</v>
      </c>
      <c r="B1367" s="1"/>
      <c r="C1367" s="1" t="s">
        <v>148</v>
      </c>
      <c r="D1367">
        <v>10206</v>
      </c>
      <c r="E1367" s="1"/>
      <c r="F1367" s="1" t="s">
        <v>281</v>
      </c>
      <c r="G1367">
        <v>2011</v>
      </c>
      <c r="H1367">
        <v>59393.2</v>
      </c>
      <c r="I1367">
        <v>7</v>
      </c>
      <c r="J1367" s="1" t="s">
        <v>399</v>
      </c>
      <c r="K1367">
        <v>0</v>
      </c>
      <c r="L1367">
        <v>439</v>
      </c>
      <c r="M1367">
        <v>135.26121599999999</v>
      </c>
      <c r="N1367">
        <v>1</v>
      </c>
      <c r="O1367" s="1" t="s">
        <v>564</v>
      </c>
      <c r="P1367">
        <v>67610.149999999994</v>
      </c>
      <c r="Q1367">
        <v>14298.3</v>
      </c>
      <c r="R1367">
        <v>0</v>
      </c>
      <c r="S1367" s="1" t="s">
        <v>797</v>
      </c>
      <c r="T1367" s="1" t="s">
        <v>1203</v>
      </c>
      <c r="U1367">
        <v>5499.3693400000002</v>
      </c>
      <c r="V1367">
        <v>0</v>
      </c>
      <c r="W1367">
        <v>77398</v>
      </c>
    </row>
    <row r="1368" spans="1:23" x14ac:dyDescent="0.25">
      <c r="A1368" s="1" t="s">
        <v>29</v>
      </c>
      <c r="B1368" s="1"/>
      <c r="C1368" s="1" t="s">
        <v>148</v>
      </c>
      <c r="D1368">
        <v>10206</v>
      </c>
      <c r="E1368" s="1"/>
      <c r="F1368" s="1" t="s">
        <v>281</v>
      </c>
      <c r="G1368">
        <v>2010</v>
      </c>
      <c r="H1368">
        <v>86211.97</v>
      </c>
      <c r="I1368">
        <v>3</v>
      </c>
      <c r="J1368" s="1" t="s">
        <v>399</v>
      </c>
      <c r="K1368">
        <v>0</v>
      </c>
      <c r="L1368">
        <v>439</v>
      </c>
      <c r="M1368">
        <v>196.337895</v>
      </c>
      <c r="N1368">
        <v>1</v>
      </c>
      <c r="O1368" s="1" t="s">
        <v>564</v>
      </c>
      <c r="P1368">
        <v>111287.41</v>
      </c>
      <c r="Q1368">
        <v>23535.21</v>
      </c>
      <c r="R1368">
        <v>0</v>
      </c>
      <c r="S1368" s="1" t="s">
        <v>797</v>
      </c>
      <c r="T1368" s="1" t="s">
        <v>1203</v>
      </c>
      <c r="U1368">
        <v>7982.5901000000003</v>
      </c>
      <c r="V1368">
        <v>0</v>
      </c>
      <c r="W1368">
        <v>77398</v>
      </c>
    </row>
    <row r="1369" spans="1:23" x14ac:dyDescent="0.25">
      <c r="A1369" s="1" t="s">
        <v>29</v>
      </c>
      <c r="B1369" s="1"/>
      <c r="C1369" s="1" t="s">
        <v>148</v>
      </c>
      <c r="D1369">
        <v>10206</v>
      </c>
      <c r="E1369" s="1"/>
      <c r="F1369" s="1" t="s">
        <v>281</v>
      </c>
      <c r="G1369">
        <v>2009</v>
      </c>
      <c r="H1369">
        <v>77180.44</v>
      </c>
      <c r="I1369">
        <v>4</v>
      </c>
      <c r="J1369" s="1" t="s">
        <v>399</v>
      </c>
      <c r="K1369">
        <v>0</v>
      </c>
      <c r="L1369">
        <v>439</v>
      </c>
      <c r="M1369">
        <v>175.76961900000001</v>
      </c>
      <c r="N1369">
        <v>1</v>
      </c>
      <c r="O1369" s="1" t="s">
        <v>564</v>
      </c>
      <c r="P1369">
        <v>96053.1</v>
      </c>
      <c r="Q1369">
        <v>20313.45</v>
      </c>
      <c r="R1369">
        <v>0</v>
      </c>
      <c r="S1369" s="1" t="s">
        <v>797</v>
      </c>
      <c r="T1369" s="1" t="s">
        <v>1203</v>
      </c>
      <c r="U1369">
        <v>7146.3372300000001</v>
      </c>
      <c r="V1369">
        <v>0</v>
      </c>
      <c r="W1369">
        <v>77398</v>
      </c>
    </row>
    <row r="1370" spans="1:23" x14ac:dyDescent="0.25">
      <c r="A1370" s="1" t="s">
        <v>29</v>
      </c>
      <c r="B1370" s="1"/>
      <c r="C1370" s="1" t="s">
        <v>148</v>
      </c>
      <c r="D1370">
        <v>10206</v>
      </c>
      <c r="E1370" s="1"/>
      <c r="F1370" s="1" t="s">
        <v>281</v>
      </c>
      <c r="G1370">
        <v>2008</v>
      </c>
      <c r="H1370">
        <v>73810.399999999994</v>
      </c>
      <c r="I1370">
        <v>4</v>
      </c>
      <c r="J1370" s="1" t="s">
        <v>399</v>
      </c>
      <c r="K1370">
        <v>0</v>
      </c>
      <c r="L1370">
        <v>439</v>
      </c>
      <c r="M1370">
        <v>168.094739</v>
      </c>
      <c r="N1370">
        <v>1</v>
      </c>
      <c r="O1370" s="1" t="s">
        <v>564</v>
      </c>
      <c r="P1370">
        <v>86010.38</v>
      </c>
      <c r="Q1370">
        <v>18189.59</v>
      </c>
      <c r="R1370">
        <v>0</v>
      </c>
      <c r="S1370" s="1" t="s">
        <v>797</v>
      </c>
      <c r="T1370" s="1" t="s">
        <v>1203</v>
      </c>
      <c r="U1370">
        <v>6834.2966900000001</v>
      </c>
      <c r="V1370">
        <v>0</v>
      </c>
      <c r="W1370">
        <v>77398</v>
      </c>
    </row>
    <row r="1371" spans="1:23" x14ac:dyDescent="0.25">
      <c r="A1371" s="1" t="s">
        <v>29</v>
      </c>
      <c r="B1371" s="1"/>
      <c r="C1371" s="1" t="s">
        <v>144</v>
      </c>
      <c r="D1371">
        <v>10256</v>
      </c>
      <c r="E1371" s="1"/>
      <c r="F1371" s="1" t="s">
        <v>144</v>
      </c>
      <c r="G1371">
        <v>2015</v>
      </c>
      <c r="H1371">
        <v>2962.06</v>
      </c>
      <c r="I1371">
        <v>3</v>
      </c>
      <c r="J1371" s="1" t="s">
        <v>421</v>
      </c>
      <c r="K1371">
        <v>0</v>
      </c>
      <c r="L1371">
        <v>381</v>
      </c>
      <c r="M1371">
        <v>7.7723950000000004</v>
      </c>
      <c r="N1371">
        <v>2</v>
      </c>
      <c r="O1371" s="1" t="s">
        <v>569</v>
      </c>
      <c r="P1371">
        <v>2962.06</v>
      </c>
      <c r="Q1371">
        <v>888.61</v>
      </c>
      <c r="R1371">
        <v>0</v>
      </c>
      <c r="S1371" s="1" t="s">
        <v>996</v>
      </c>
      <c r="T1371" s="1" t="s">
        <v>1279</v>
      </c>
      <c r="U1371">
        <v>2962.0638300000001</v>
      </c>
      <c r="V1371">
        <v>0</v>
      </c>
      <c r="W1371">
        <v>77568</v>
      </c>
    </row>
    <row r="1372" spans="1:23" x14ac:dyDescent="0.25">
      <c r="A1372" s="1" t="s">
        <v>29</v>
      </c>
      <c r="B1372" s="1"/>
      <c r="C1372" s="1" t="s">
        <v>144</v>
      </c>
      <c r="D1372">
        <v>10256</v>
      </c>
      <c r="E1372" s="1"/>
      <c r="F1372" s="1" t="s">
        <v>144</v>
      </c>
      <c r="G1372">
        <v>2014</v>
      </c>
      <c r="H1372">
        <v>10032.15</v>
      </c>
      <c r="I1372">
        <v>10</v>
      </c>
      <c r="J1372" s="1" t="s">
        <v>421</v>
      </c>
      <c r="K1372">
        <v>0</v>
      </c>
      <c r="L1372">
        <v>381</v>
      </c>
      <c r="M1372">
        <v>26.324193000000001</v>
      </c>
      <c r="N1372">
        <v>2</v>
      </c>
      <c r="O1372" s="1" t="s">
        <v>569</v>
      </c>
      <c r="P1372">
        <v>10032.15</v>
      </c>
      <c r="Q1372">
        <v>3009.66</v>
      </c>
      <c r="R1372">
        <v>0</v>
      </c>
      <c r="S1372" s="1" t="s">
        <v>996</v>
      </c>
      <c r="T1372" s="1" t="s">
        <v>1279</v>
      </c>
      <c r="U1372">
        <v>10032.15357</v>
      </c>
      <c r="V1372">
        <v>0</v>
      </c>
      <c r="W1372">
        <v>77568</v>
      </c>
    </row>
    <row r="1373" spans="1:23" x14ac:dyDescent="0.25">
      <c r="A1373" s="1" t="s">
        <v>29</v>
      </c>
      <c r="B1373" s="1"/>
      <c r="C1373" s="1" t="s">
        <v>144</v>
      </c>
      <c r="D1373">
        <v>10256</v>
      </c>
      <c r="E1373" s="1"/>
      <c r="F1373" s="1" t="s">
        <v>144</v>
      </c>
      <c r="G1373">
        <v>2013</v>
      </c>
      <c r="H1373">
        <v>10227.129999999999</v>
      </c>
      <c r="I1373">
        <v>10</v>
      </c>
      <c r="J1373" s="1" t="s">
        <v>421</v>
      </c>
      <c r="K1373">
        <v>0</v>
      </c>
      <c r="L1373">
        <v>381</v>
      </c>
      <c r="M1373">
        <v>26.835816999999999</v>
      </c>
      <c r="N1373">
        <v>2</v>
      </c>
      <c r="O1373" s="1" t="s">
        <v>569</v>
      </c>
      <c r="P1373">
        <v>10227.129999999999</v>
      </c>
      <c r="Q1373">
        <v>3068.13</v>
      </c>
      <c r="R1373">
        <v>0</v>
      </c>
      <c r="S1373" s="1" t="s">
        <v>996</v>
      </c>
      <c r="T1373" s="1" t="s">
        <v>1279</v>
      </c>
      <c r="U1373">
        <v>10227.105170000001</v>
      </c>
      <c r="V1373">
        <v>0</v>
      </c>
      <c r="W1373">
        <v>77568</v>
      </c>
    </row>
    <row r="1374" spans="1:23" x14ac:dyDescent="0.25">
      <c r="A1374" s="1" t="s">
        <v>29</v>
      </c>
      <c r="B1374" s="1"/>
      <c r="C1374" s="1" t="s">
        <v>144</v>
      </c>
      <c r="D1374">
        <v>10256</v>
      </c>
      <c r="E1374" s="1"/>
      <c r="F1374" s="1" t="s">
        <v>144</v>
      </c>
      <c r="G1374">
        <v>2012</v>
      </c>
      <c r="H1374">
        <v>10335.81</v>
      </c>
      <c r="I1374">
        <v>12</v>
      </c>
      <c r="J1374" s="1" t="s">
        <v>421</v>
      </c>
      <c r="K1374">
        <v>0</v>
      </c>
      <c r="L1374">
        <v>381</v>
      </c>
      <c r="M1374">
        <v>27.120991</v>
      </c>
      <c r="N1374">
        <v>2</v>
      </c>
      <c r="O1374" s="1" t="s">
        <v>569</v>
      </c>
      <c r="P1374">
        <v>10335.81</v>
      </c>
      <c r="Q1374">
        <v>4134.3100000000004</v>
      </c>
      <c r="R1374">
        <v>0</v>
      </c>
      <c r="S1374" s="1" t="s">
        <v>996</v>
      </c>
      <c r="T1374" s="1" t="s">
        <v>1279</v>
      </c>
      <c r="U1374">
        <v>10335.82026</v>
      </c>
      <c r="V1374">
        <v>0</v>
      </c>
      <c r="W1374">
        <v>77568</v>
      </c>
    </row>
    <row r="1375" spans="1:23" x14ac:dyDescent="0.25">
      <c r="A1375" s="1" t="s">
        <v>29</v>
      </c>
      <c r="B1375" s="1"/>
      <c r="C1375" s="1" t="s">
        <v>144</v>
      </c>
      <c r="D1375">
        <v>10256</v>
      </c>
      <c r="E1375" s="1"/>
      <c r="F1375" s="1" t="s">
        <v>144</v>
      </c>
      <c r="G1375">
        <v>2011</v>
      </c>
      <c r="H1375">
        <v>9648.67</v>
      </c>
      <c r="I1375">
        <v>8</v>
      </c>
      <c r="J1375" s="1" t="s">
        <v>421</v>
      </c>
      <c r="K1375">
        <v>0</v>
      </c>
      <c r="L1375">
        <v>381</v>
      </c>
      <c r="M1375">
        <v>25.317948000000001</v>
      </c>
      <c r="N1375">
        <v>2</v>
      </c>
      <c r="O1375" s="1" t="s">
        <v>569</v>
      </c>
      <c r="P1375">
        <v>9648.67</v>
      </c>
      <c r="Q1375">
        <v>4525.2299999999996</v>
      </c>
      <c r="R1375">
        <v>0</v>
      </c>
      <c r="S1375" s="1" t="s">
        <v>996</v>
      </c>
      <c r="T1375" s="1" t="s">
        <v>1279</v>
      </c>
      <c r="U1375">
        <v>9648.6753200000003</v>
      </c>
      <c r="V1375">
        <v>0</v>
      </c>
      <c r="W1375">
        <v>77568</v>
      </c>
    </row>
    <row r="1376" spans="1:23" x14ac:dyDescent="0.25">
      <c r="A1376" s="1" t="s">
        <v>29</v>
      </c>
      <c r="B1376" s="1"/>
      <c r="C1376" s="1" t="s">
        <v>144</v>
      </c>
      <c r="D1376">
        <v>10256</v>
      </c>
      <c r="E1376" s="1"/>
      <c r="F1376" s="1" t="s">
        <v>144</v>
      </c>
      <c r="G1376">
        <v>2010</v>
      </c>
      <c r="H1376">
        <v>6776.58</v>
      </c>
      <c r="I1376">
        <v>12</v>
      </c>
      <c r="J1376" s="1" t="s">
        <v>421</v>
      </c>
      <c r="K1376">
        <v>0</v>
      </c>
      <c r="L1376">
        <v>381</v>
      </c>
      <c r="M1376">
        <v>17.781631999999998</v>
      </c>
      <c r="N1376">
        <v>2</v>
      </c>
      <c r="O1376" s="1" t="s">
        <v>569</v>
      </c>
      <c r="P1376">
        <v>6776.58</v>
      </c>
      <c r="Q1376">
        <v>3178.21</v>
      </c>
      <c r="R1376">
        <v>0</v>
      </c>
      <c r="S1376" s="1" t="s">
        <v>996</v>
      </c>
      <c r="T1376" s="1" t="s">
        <v>1279</v>
      </c>
      <c r="U1376">
        <v>6776.5818200000003</v>
      </c>
      <c r="V1376">
        <v>0</v>
      </c>
      <c r="W1376">
        <v>77568</v>
      </c>
    </row>
    <row r="1377" spans="1:23" x14ac:dyDescent="0.25">
      <c r="A1377" s="1" t="s">
        <v>29</v>
      </c>
      <c r="B1377" s="1"/>
      <c r="C1377" s="1" t="s">
        <v>144</v>
      </c>
      <c r="D1377">
        <v>10256</v>
      </c>
      <c r="E1377" s="1"/>
      <c r="F1377" s="1" t="s">
        <v>144</v>
      </c>
      <c r="G1377">
        <v>2009</v>
      </c>
      <c r="H1377">
        <v>6633.34</v>
      </c>
      <c r="I1377">
        <v>9</v>
      </c>
      <c r="J1377" s="1" t="s">
        <v>421</v>
      </c>
      <c r="K1377">
        <v>0</v>
      </c>
      <c r="L1377">
        <v>381</v>
      </c>
      <c r="M1377">
        <v>17.405771999999999</v>
      </c>
      <c r="N1377">
        <v>2</v>
      </c>
      <c r="O1377" s="1" t="s">
        <v>569</v>
      </c>
      <c r="P1377">
        <v>6633.34</v>
      </c>
      <c r="Q1377">
        <v>3111.03</v>
      </c>
      <c r="R1377">
        <v>0</v>
      </c>
      <c r="S1377" s="1" t="s">
        <v>996</v>
      </c>
      <c r="T1377" s="1" t="s">
        <v>1279</v>
      </c>
      <c r="U1377">
        <v>6633.3311700000004</v>
      </c>
      <c r="V1377">
        <v>0</v>
      </c>
      <c r="W1377">
        <v>77568</v>
      </c>
    </row>
    <row r="1378" spans="1:23" x14ac:dyDescent="0.25">
      <c r="A1378" s="1" t="s">
        <v>29</v>
      </c>
      <c r="B1378" s="1"/>
      <c r="C1378" s="1" t="s">
        <v>144</v>
      </c>
      <c r="D1378">
        <v>10256</v>
      </c>
      <c r="E1378" s="1"/>
      <c r="F1378" s="1" t="s">
        <v>144</v>
      </c>
      <c r="G1378">
        <v>2008</v>
      </c>
      <c r="H1378">
        <v>6756.6</v>
      </c>
      <c r="I1378">
        <v>13</v>
      </c>
      <c r="J1378" s="1" t="s">
        <v>421</v>
      </c>
      <c r="K1378">
        <v>0</v>
      </c>
      <c r="L1378">
        <v>381</v>
      </c>
      <c r="M1378">
        <v>17.729203999999999</v>
      </c>
      <c r="N1378">
        <v>2</v>
      </c>
      <c r="O1378" s="1" t="s">
        <v>569</v>
      </c>
      <c r="P1378">
        <v>6756.6</v>
      </c>
      <c r="Q1378">
        <v>3168.85</v>
      </c>
      <c r="R1378">
        <v>0</v>
      </c>
      <c r="S1378" s="1" t="s">
        <v>996</v>
      </c>
      <c r="T1378" s="1" t="s">
        <v>1279</v>
      </c>
      <c r="U1378">
        <v>6756.5913899999996</v>
      </c>
      <c r="V1378">
        <v>0</v>
      </c>
      <c r="W1378">
        <v>77568</v>
      </c>
    </row>
    <row r="1379" spans="1:23" x14ac:dyDescent="0.25">
      <c r="A1379" s="1" t="s">
        <v>29</v>
      </c>
      <c r="B1379" s="1"/>
      <c r="C1379" s="1" t="s">
        <v>145</v>
      </c>
      <c r="D1379">
        <v>11351</v>
      </c>
      <c r="E1379" s="1" t="s">
        <v>243</v>
      </c>
      <c r="F1379" s="1" t="s">
        <v>280</v>
      </c>
      <c r="G1379">
        <v>2015</v>
      </c>
      <c r="H1379">
        <v>6901.37</v>
      </c>
      <c r="I1379">
        <v>5</v>
      </c>
      <c r="J1379" s="1" t="s">
        <v>399</v>
      </c>
      <c r="K1379">
        <v>0</v>
      </c>
      <c r="L1379">
        <v>867</v>
      </c>
      <c r="M1379">
        <v>7.9591390000000004</v>
      </c>
      <c r="N1379">
        <v>2</v>
      </c>
      <c r="O1379" s="1" t="s">
        <v>569</v>
      </c>
      <c r="P1379">
        <v>6901.37</v>
      </c>
      <c r="Q1379">
        <v>2070.42</v>
      </c>
      <c r="R1379">
        <v>0</v>
      </c>
      <c r="S1379" s="1" t="s">
        <v>997</v>
      </c>
      <c r="T1379" s="1"/>
      <c r="U1379">
        <v>6901.3756000000003</v>
      </c>
      <c r="V1379">
        <v>0</v>
      </c>
      <c r="W1379">
        <v>80895</v>
      </c>
    </row>
    <row r="1380" spans="1:23" x14ac:dyDescent="0.25">
      <c r="A1380" s="1" t="s">
        <v>29</v>
      </c>
      <c r="B1380" s="1"/>
      <c r="C1380" s="1" t="s">
        <v>145</v>
      </c>
      <c r="D1380">
        <v>11351</v>
      </c>
      <c r="E1380" s="1" t="s">
        <v>243</v>
      </c>
      <c r="F1380" s="1" t="s">
        <v>280</v>
      </c>
      <c r="G1380">
        <v>2015</v>
      </c>
      <c r="H1380">
        <v>25.28</v>
      </c>
      <c r="I1380">
        <v>5</v>
      </c>
      <c r="J1380" s="1" t="s">
        <v>399</v>
      </c>
      <c r="K1380">
        <v>0</v>
      </c>
      <c r="L1380">
        <v>867</v>
      </c>
      <c r="M1380">
        <v>2.9153999999999999E-2</v>
      </c>
      <c r="N1380">
        <v>2</v>
      </c>
      <c r="O1380" s="1" t="s">
        <v>569</v>
      </c>
      <c r="P1380">
        <v>25.28</v>
      </c>
      <c r="Q1380">
        <v>7.59</v>
      </c>
      <c r="R1380">
        <v>0</v>
      </c>
      <c r="S1380" s="1" t="s">
        <v>998</v>
      </c>
      <c r="T1380" s="1" t="s">
        <v>1280</v>
      </c>
      <c r="U1380">
        <v>25.279</v>
      </c>
      <c r="V1380">
        <v>0</v>
      </c>
      <c r="W1380">
        <v>80929</v>
      </c>
    </row>
    <row r="1381" spans="1:23" x14ac:dyDescent="0.25">
      <c r="A1381" s="1" t="s">
        <v>29</v>
      </c>
      <c r="B1381" s="1"/>
      <c r="C1381" s="1" t="s">
        <v>145</v>
      </c>
      <c r="D1381">
        <v>11351</v>
      </c>
      <c r="E1381" s="1" t="s">
        <v>243</v>
      </c>
      <c r="F1381" s="1" t="s">
        <v>280</v>
      </c>
      <c r="G1381">
        <v>2014</v>
      </c>
      <c r="H1381">
        <v>17297.95</v>
      </c>
      <c r="I1381">
        <v>12</v>
      </c>
      <c r="J1381" s="1" t="s">
        <v>399</v>
      </c>
      <c r="K1381">
        <v>0</v>
      </c>
      <c r="L1381">
        <v>867</v>
      </c>
      <c r="M1381">
        <v>19.949197999999999</v>
      </c>
      <c r="N1381">
        <v>2</v>
      </c>
      <c r="O1381" s="1" t="s">
        <v>569</v>
      </c>
      <c r="P1381">
        <v>17297.95</v>
      </c>
      <c r="Q1381">
        <v>5189.37</v>
      </c>
      <c r="R1381">
        <v>0</v>
      </c>
      <c r="S1381" s="1" t="s">
        <v>997</v>
      </c>
      <c r="T1381" s="1"/>
      <c r="U1381">
        <v>17297.963</v>
      </c>
      <c r="V1381">
        <v>0</v>
      </c>
      <c r="W1381">
        <v>80895</v>
      </c>
    </row>
    <row r="1382" spans="1:23" x14ac:dyDescent="0.25">
      <c r="A1382" s="1" t="s">
        <v>29</v>
      </c>
      <c r="B1382" s="1"/>
      <c r="C1382" s="1" t="s">
        <v>145</v>
      </c>
      <c r="D1382">
        <v>11351</v>
      </c>
      <c r="E1382" s="1" t="s">
        <v>243</v>
      </c>
      <c r="F1382" s="1" t="s">
        <v>280</v>
      </c>
      <c r="G1382">
        <v>2014</v>
      </c>
      <c r="H1382">
        <v>120.87</v>
      </c>
      <c r="I1382">
        <v>12</v>
      </c>
      <c r="J1382" s="1" t="s">
        <v>399</v>
      </c>
      <c r="K1382">
        <v>0</v>
      </c>
      <c r="L1382">
        <v>867</v>
      </c>
      <c r="M1382">
        <v>0.13939499999999999</v>
      </c>
      <c r="N1382">
        <v>2</v>
      </c>
      <c r="O1382" s="1" t="s">
        <v>569</v>
      </c>
      <c r="P1382">
        <v>120.87</v>
      </c>
      <c r="Q1382">
        <v>36.26</v>
      </c>
      <c r="R1382">
        <v>0</v>
      </c>
      <c r="S1382" s="1" t="s">
        <v>998</v>
      </c>
      <c r="T1382" s="1" t="s">
        <v>1280</v>
      </c>
      <c r="U1382">
        <v>120.867</v>
      </c>
      <c r="V1382">
        <v>0</v>
      </c>
      <c r="W1382">
        <v>80929</v>
      </c>
    </row>
    <row r="1383" spans="1:23" x14ac:dyDescent="0.25">
      <c r="A1383" s="1" t="s">
        <v>29</v>
      </c>
      <c r="B1383" s="1"/>
      <c r="C1383" s="1" t="s">
        <v>145</v>
      </c>
      <c r="D1383">
        <v>11351</v>
      </c>
      <c r="E1383" s="1" t="s">
        <v>243</v>
      </c>
      <c r="F1383" s="1" t="s">
        <v>280</v>
      </c>
      <c r="G1383">
        <v>2013</v>
      </c>
      <c r="H1383">
        <v>19167.32</v>
      </c>
      <c r="I1383">
        <v>12</v>
      </c>
      <c r="J1383" s="1" t="s">
        <v>399</v>
      </c>
      <c r="K1383">
        <v>0</v>
      </c>
      <c r="L1383">
        <v>867</v>
      </c>
      <c r="M1383">
        <v>22.105084999999999</v>
      </c>
      <c r="N1383">
        <v>2</v>
      </c>
      <c r="O1383" s="1" t="s">
        <v>569</v>
      </c>
      <c r="P1383">
        <v>19167.32</v>
      </c>
      <c r="Q1383">
        <v>5750.2</v>
      </c>
      <c r="R1383">
        <v>0</v>
      </c>
      <c r="S1383" s="1" t="s">
        <v>997</v>
      </c>
      <c r="T1383" s="1"/>
      <c r="U1383">
        <v>19167.310000000001</v>
      </c>
      <c r="V1383">
        <v>0</v>
      </c>
      <c r="W1383">
        <v>80895</v>
      </c>
    </row>
    <row r="1384" spans="1:23" x14ac:dyDescent="0.25">
      <c r="A1384" s="1" t="s">
        <v>29</v>
      </c>
      <c r="B1384" s="1"/>
      <c r="C1384" s="1" t="s">
        <v>145</v>
      </c>
      <c r="D1384">
        <v>11351</v>
      </c>
      <c r="E1384" s="1" t="s">
        <v>243</v>
      </c>
      <c r="F1384" s="1" t="s">
        <v>280</v>
      </c>
      <c r="G1384">
        <v>2013</v>
      </c>
      <c r="H1384">
        <v>165.53</v>
      </c>
      <c r="I1384">
        <v>12</v>
      </c>
      <c r="J1384" s="1" t="s">
        <v>399</v>
      </c>
      <c r="K1384">
        <v>0</v>
      </c>
      <c r="L1384">
        <v>867</v>
      </c>
      <c r="M1384">
        <v>0.19089999999999999</v>
      </c>
      <c r="N1384">
        <v>2</v>
      </c>
      <c r="O1384" s="1" t="s">
        <v>569</v>
      </c>
      <c r="P1384">
        <v>165.53</v>
      </c>
      <c r="Q1384">
        <v>49.66</v>
      </c>
      <c r="R1384">
        <v>0</v>
      </c>
      <c r="S1384" s="1" t="s">
        <v>998</v>
      </c>
      <c r="T1384" s="1" t="s">
        <v>1280</v>
      </c>
      <c r="U1384">
        <v>165.52699999999999</v>
      </c>
      <c r="V1384">
        <v>0</v>
      </c>
      <c r="W1384">
        <v>80929</v>
      </c>
    </row>
    <row r="1385" spans="1:23" x14ac:dyDescent="0.25">
      <c r="A1385" s="1" t="s">
        <v>29</v>
      </c>
      <c r="B1385" s="1"/>
      <c r="C1385" s="1" t="s">
        <v>145</v>
      </c>
      <c r="D1385">
        <v>11351</v>
      </c>
      <c r="E1385" s="1" t="s">
        <v>243</v>
      </c>
      <c r="F1385" s="1" t="s">
        <v>280</v>
      </c>
      <c r="G1385">
        <v>2012</v>
      </c>
      <c r="H1385">
        <v>17865.34</v>
      </c>
      <c r="I1385">
        <v>12</v>
      </c>
      <c r="J1385" s="1" t="s">
        <v>399</v>
      </c>
      <c r="K1385">
        <v>0</v>
      </c>
      <c r="L1385">
        <v>867</v>
      </c>
      <c r="M1385">
        <v>20.603552000000001</v>
      </c>
      <c r="N1385">
        <v>2</v>
      </c>
      <c r="O1385" s="1" t="s">
        <v>569</v>
      </c>
      <c r="P1385">
        <v>17865.34</v>
      </c>
      <c r="Q1385">
        <v>7146.14</v>
      </c>
      <c r="R1385">
        <v>0</v>
      </c>
      <c r="S1385" s="1" t="s">
        <v>997</v>
      </c>
      <c r="T1385" s="1"/>
      <c r="U1385">
        <v>17865.325000000001</v>
      </c>
      <c r="V1385">
        <v>0</v>
      </c>
      <c r="W1385">
        <v>80895</v>
      </c>
    </row>
    <row r="1386" spans="1:23" x14ac:dyDescent="0.25">
      <c r="A1386" s="1" t="s">
        <v>29</v>
      </c>
      <c r="B1386" s="1"/>
      <c r="C1386" s="1" t="s">
        <v>145</v>
      </c>
      <c r="D1386">
        <v>11351</v>
      </c>
      <c r="E1386" s="1" t="s">
        <v>243</v>
      </c>
      <c r="F1386" s="1" t="s">
        <v>280</v>
      </c>
      <c r="G1386">
        <v>2012</v>
      </c>
      <c r="H1386">
        <v>105.72</v>
      </c>
      <c r="I1386">
        <v>12</v>
      </c>
      <c r="J1386" s="1" t="s">
        <v>399</v>
      </c>
      <c r="K1386">
        <v>0</v>
      </c>
      <c r="L1386">
        <v>867</v>
      </c>
      <c r="M1386">
        <v>0.121923</v>
      </c>
      <c r="N1386">
        <v>2</v>
      </c>
      <c r="O1386" s="1" t="s">
        <v>569</v>
      </c>
      <c r="P1386">
        <v>105.72</v>
      </c>
      <c r="Q1386">
        <v>42.28</v>
      </c>
      <c r="R1386">
        <v>0</v>
      </c>
      <c r="S1386" s="1" t="s">
        <v>998</v>
      </c>
      <c r="T1386" s="1" t="s">
        <v>1280</v>
      </c>
      <c r="U1386">
        <v>105.715</v>
      </c>
      <c r="V1386">
        <v>0</v>
      </c>
      <c r="W1386">
        <v>80929</v>
      </c>
    </row>
    <row r="1387" spans="1:23" x14ac:dyDescent="0.25">
      <c r="A1387" s="1" t="s">
        <v>29</v>
      </c>
      <c r="B1387" s="1"/>
      <c r="C1387" s="1" t="s">
        <v>145</v>
      </c>
      <c r="D1387">
        <v>11351</v>
      </c>
      <c r="E1387" s="1" t="s">
        <v>243</v>
      </c>
      <c r="F1387" s="1" t="s">
        <v>280</v>
      </c>
      <c r="G1387">
        <v>2011</v>
      </c>
      <c r="H1387">
        <v>19552.25</v>
      </c>
      <c r="I1387">
        <v>6</v>
      </c>
      <c r="J1387" s="1" t="s">
        <v>399</v>
      </c>
      <c r="K1387">
        <v>0</v>
      </c>
      <c r="L1387">
        <v>867</v>
      </c>
      <c r="M1387">
        <v>22.549012999999999</v>
      </c>
      <c r="N1387">
        <v>2</v>
      </c>
      <c r="O1387" s="1" t="s">
        <v>569</v>
      </c>
      <c r="P1387">
        <v>19552.25</v>
      </c>
      <c r="Q1387">
        <v>9169.9699999999993</v>
      </c>
      <c r="R1387">
        <v>0</v>
      </c>
      <c r="S1387" s="1" t="s">
        <v>997</v>
      </c>
      <c r="T1387" s="1"/>
      <c r="U1387">
        <v>19552.23299</v>
      </c>
      <c r="V1387">
        <v>0</v>
      </c>
      <c r="W1387">
        <v>80895</v>
      </c>
    </row>
    <row r="1388" spans="1:23" x14ac:dyDescent="0.25">
      <c r="A1388" s="1" t="s">
        <v>29</v>
      </c>
      <c r="B1388" s="1"/>
      <c r="C1388" s="1" t="s">
        <v>145</v>
      </c>
      <c r="D1388">
        <v>11351</v>
      </c>
      <c r="E1388" s="1" t="s">
        <v>243</v>
      </c>
      <c r="F1388" s="1" t="s">
        <v>280</v>
      </c>
      <c r="G1388">
        <v>2011</v>
      </c>
      <c r="H1388">
        <v>193.71</v>
      </c>
      <c r="I1388">
        <v>9</v>
      </c>
      <c r="J1388" s="1" t="s">
        <v>399</v>
      </c>
      <c r="K1388">
        <v>0</v>
      </c>
      <c r="L1388">
        <v>867</v>
      </c>
      <c r="M1388">
        <v>0.22339899999999999</v>
      </c>
      <c r="N1388">
        <v>2</v>
      </c>
      <c r="O1388" s="1" t="s">
        <v>569</v>
      </c>
      <c r="P1388">
        <v>193.71</v>
      </c>
      <c r="Q1388">
        <v>90.84</v>
      </c>
      <c r="R1388">
        <v>0</v>
      </c>
      <c r="S1388" s="1" t="s">
        <v>998</v>
      </c>
      <c r="T1388" s="1" t="s">
        <v>1280</v>
      </c>
      <c r="U1388">
        <v>193.72450000000001</v>
      </c>
      <c r="V1388">
        <v>0</v>
      </c>
      <c r="W1388">
        <v>80929</v>
      </c>
    </row>
    <row r="1389" spans="1:23" x14ac:dyDescent="0.25">
      <c r="A1389" s="1" t="s">
        <v>29</v>
      </c>
      <c r="B1389" s="1"/>
      <c r="C1389" s="1" t="s">
        <v>145</v>
      </c>
      <c r="D1389">
        <v>11351</v>
      </c>
      <c r="E1389" s="1" t="s">
        <v>243</v>
      </c>
      <c r="F1389" s="1" t="s">
        <v>280</v>
      </c>
      <c r="G1389">
        <v>2010</v>
      </c>
      <c r="H1389">
        <v>21291.82</v>
      </c>
      <c r="I1389">
        <v>4</v>
      </c>
      <c r="J1389" s="1" t="s">
        <v>399</v>
      </c>
      <c r="K1389">
        <v>0</v>
      </c>
      <c r="L1389">
        <v>867</v>
      </c>
      <c r="M1389">
        <v>24.555206999999999</v>
      </c>
      <c r="N1389">
        <v>2</v>
      </c>
      <c r="O1389" s="1" t="s">
        <v>569</v>
      </c>
      <c r="P1389">
        <v>21291.82</v>
      </c>
      <c r="Q1389">
        <v>9985.85</v>
      </c>
      <c r="R1389">
        <v>0</v>
      </c>
      <c r="S1389" s="1" t="s">
        <v>997</v>
      </c>
      <c r="T1389" s="1"/>
      <c r="U1389">
        <v>21291.793880000001</v>
      </c>
      <c r="V1389">
        <v>0</v>
      </c>
      <c r="W1389">
        <v>80895</v>
      </c>
    </row>
    <row r="1390" spans="1:23" x14ac:dyDescent="0.25">
      <c r="A1390" s="1" t="s">
        <v>29</v>
      </c>
      <c r="B1390" s="1"/>
      <c r="C1390" s="1" t="s">
        <v>145</v>
      </c>
      <c r="D1390">
        <v>11351</v>
      </c>
      <c r="E1390" s="1" t="s">
        <v>243</v>
      </c>
      <c r="F1390" s="1" t="s">
        <v>280</v>
      </c>
      <c r="G1390">
        <v>2010</v>
      </c>
      <c r="H1390">
        <v>158.77000000000001</v>
      </c>
      <c r="I1390">
        <v>3</v>
      </c>
      <c r="J1390" s="1" t="s">
        <v>399</v>
      </c>
      <c r="K1390">
        <v>0</v>
      </c>
      <c r="L1390">
        <v>867</v>
      </c>
      <c r="M1390">
        <v>0.18310399999999999</v>
      </c>
      <c r="N1390">
        <v>2</v>
      </c>
      <c r="O1390" s="1" t="s">
        <v>569</v>
      </c>
      <c r="P1390">
        <v>158.77000000000001</v>
      </c>
      <c r="Q1390">
        <v>74.48</v>
      </c>
      <c r="R1390">
        <v>0</v>
      </c>
      <c r="S1390" s="1" t="s">
        <v>998</v>
      </c>
      <c r="T1390" s="1" t="s">
        <v>1280</v>
      </c>
      <c r="U1390">
        <v>158.77552</v>
      </c>
      <c r="V1390">
        <v>0</v>
      </c>
      <c r="W1390">
        <v>80929</v>
      </c>
    </row>
    <row r="1391" spans="1:23" x14ac:dyDescent="0.25">
      <c r="A1391" s="1" t="s">
        <v>29</v>
      </c>
      <c r="B1391" s="1"/>
      <c r="C1391" s="1" t="s">
        <v>145</v>
      </c>
      <c r="D1391">
        <v>11351</v>
      </c>
      <c r="E1391" s="1" t="s">
        <v>243</v>
      </c>
      <c r="F1391" s="1" t="s">
        <v>280</v>
      </c>
      <c r="G1391">
        <v>2009</v>
      </c>
      <c r="H1391">
        <v>19960.36</v>
      </c>
      <c r="I1391">
        <v>6</v>
      </c>
      <c r="J1391" s="1" t="s">
        <v>399</v>
      </c>
      <c r="K1391">
        <v>0</v>
      </c>
      <c r="L1391">
        <v>867</v>
      </c>
      <c r="M1391">
        <v>23.019673999999998</v>
      </c>
      <c r="N1391">
        <v>2</v>
      </c>
      <c r="O1391" s="1" t="s">
        <v>569</v>
      </c>
      <c r="P1391">
        <v>19960.36</v>
      </c>
      <c r="Q1391">
        <v>9361.41</v>
      </c>
      <c r="R1391">
        <v>0</v>
      </c>
      <c r="S1391" s="1" t="s">
        <v>997</v>
      </c>
      <c r="T1391" s="1"/>
      <c r="U1391">
        <v>19960.365280000002</v>
      </c>
      <c r="V1391">
        <v>0</v>
      </c>
      <c r="W1391">
        <v>80895</v>
      </c>
    </row>
    <row r="1392" spans="1:23" x14ac:dyDescent="0.25">
      <c r="A1392" s="1" t="s">
        <v>29</v>
      </c>
      <c r="B1392" s="1"/>
      <c r="C1392" s="1" t="s">
        <v>145</v>
      </c>
      <c r="D1392">
        <v>11351</v>
      </c>
      <c r="E1392" s="1" t="s">
        <v>243</v>
      </c>
      <c r="F1392" s="1" t="s">
        <v>280</v>
      </c>
      <c r="G1392">
        <v>2009</v>
      </c>
      <c r="H1392">
        <v>3470.4</v>
      </c>
      <c r="I1392">
        <v>6</v>
      </c>
      <c r="J1392" s="1" t="s">
        <v>399</v>
      </c>
      <c r="K1392">
        <v>0</v>
      </c>
      <c r="L1392">
        <v>867</v>
      </c>
      <c r="M1392">
        <v>4.0023059999999999</v>
      </c>
      <c r="N1392">
        <v>2</v>
      </c>
      <c r="O1392" s="1" t="s">
        <v>569</v>
      </c>
      <c r="P1392">
        <v>3470.4</v>
      </c>
      <c r="Q1392">
        <v>1627.61</v>
      </c>
      <c r="R1392">
        <v>0</v>
      </c>
      <c r="S1392" s="1" t="s">
        <v>998</v>
      </c>
      <c r="T1392" s="1" t="s">
        <v>1280</v>
      </c>
      <c r="U1392">
        <v>3470.4000099999998</v>
      </c>
      <c r="V1392">
        <v>0</v>
      </c>
      <c r="W1392">
        <v>80929</v>
      </c>
    </row>
    <row r="1393" spans="1:23" x14ac:dyDescent="0.25">
      <c r="A1393" s="1" t="s">
        <v>29</v>
      </c>
      <c r="B1393" s="1"/>
      <c r="C1393" s="1" t="s">
        <v>145</v>
      </c>
      <c r="D1393">
        <v>11351</v>
      </c>
      <c r="E1393" s="1" t="s">
        <v>243</v>
      </c>
      <c r="F1393" s="1" t="s">
        <v>280</v>
      </c>
      <c r="G1393">
        <v>2008</v>
      </c>
      <c r="H1393">
        <v>8897.26</v>
      </c>
      <c r="I1393">
        <v>2</v>
      </c>
      <c r="J1393" s="1" t="s">
        <v>399</v>
      </c>
      <c r="K1393">
        <v>0</v>
      </c>
      <c r="L1393">
        <v>867</v>
      </c>
      <c r="M1393">
        <v>10.260937999999999</v>
      </c>
      <c r="N1393">
        <v>2</v>
      </c>
      <c r="O1393" s="1" t="s">
        <v>569</v>
      </c>
      <c r="P1393">
        <v>8897.26</v>
      </c>
      <c r="Q1393">
        <v>4172.8</v>
      </c>
      <c r="R1393">
        <v>0</v>
      </c>
      <c r="S1393" s="1" t="s">
        <v>997</v>
      </c>
      <c r="T1393" s="1"/>
      <c r="U1393">
        <v>8897.2477199999994</v>
      </c>
      <c r="V1393">
        <v>0</v>
      </c>
      <c r="W1393">
        <v>80895</v>
      </c>
    </row>
    <row r="1394" spans="1:23" x14ac:dyDescent="0.25">
      <c r="A1394" s="1" t="s">
        <v>29</v>
      </c>
      <c r="B1394" s="1"/>
      <c r="C1394" s="1" t="s">
        <v>145</v>
      </c>
      <c r="D1394">
        <v>11351</v>
      </c>
      <c r="E1394" s="1" t="s">
        <v>243</v>
      </c>
      <c r="F1394" s="1" t="s">
        <v>280</v>
      </c>
      <c r="G1394">
        <v>2008</v>
      </c>
      <c r="H1394">
        <v>140.1</v>
      </c>
      <c r="I1394">
        <v>2</v>
      </c>
      <c r="J1394" s="1" t="s">
        <v>399</v>
      </c>
      <c r="K1394">
        <v>0</v>
      </c>
      <c r="L1394">
        <v>867</v>
      </c>
      <c r="M1394">
        <v>0.16157299999999999</v>
      </c>
      <c r="N1394">
        <v>2</v>
      </c>
      <c r="O1394" s="1" t="s">
        <v>569</v>
      </c>
      <c r="P1394">
        <v>140.1</v>
      </c>
      <c r="Q1394">
        <v>65.709999999999994</v>
      </c>
      <c r="R1394">
        <v>0</v>
      </c>
      <c r="S1394" s="1" t="s">
        <v>998</v>
      </c>
      <c r="T1394" s="1" t="s">
        <v>1280</v>
      </c>
      <c r="U1394">
        <v>140.1</v>
      </c>
      <c r="V1394">
        <v>0</v>
      </c>
      <c r="W1394">
        <v>80929</v>
      </c>
    </row>
    <row r="1395" spans="1:23" x14ac:dyDescent="0.25">
      <c r="A1395" s="1" t="s">
        <v>29</v>
      </c>
      <c r="B1395" s="1"/>
      <c r="C1395" s="1" t="s">
        <v>146</v>
      </c>
      <c r="D1395">
        <v>10205</v>
      </c>
      <c r="E1395" s="1"/>
      <c r="F1395" s="1" t="s">
        <v>146</v>
      </c>
      <c r="G1395">
        <v>2015</v>
      </c>
      <c r="H1395">
        <v>1171.3900000000001</v>
      </c>
      <c r="I1395">
        <v>5</v>
      </c>
      <c r="J1395" s="1" t="s">
        <v>435</v>
      </c>
      <c r="K1395">
        <v>0</v>
      </c>
      <c r="L1395">
        <v>314</v>
      </c>
      <c r="M1395">
        <v>3.7293530000000001</v>
      </c>
      <c r="N1395">
        <v>2</v>
      </c>
      <c r="O1395" s="1" t="s">
        <v>569</v>
      </c>
      <c r="P1395">
        <v>1171.3900000000001</v>
      </c>
      <c r="Q1395">
        <v>2675.47</v>
      </c>
      <c r="R1395">
        <v>0</v>
      </c>
      <c r="S1395" s="1" t="s">
        <v>999</v>
      </c>
      <c r="T1395" s="1" t="s">
        <v>1281</v>
      </c>
      <c r="U1395">
        <v>1171.3952999999999</v>
      </c>
      <c r="V1395">
        <v>0</v>
      </c>
      <c r="W1395">
        <v>77390</v>
      </c>
    </row>
    <row r="1396" spans="1:23" x14ac:dyDescent="0.25">
      <c r="A1396" s="1" t="s">
        <v>29</v>
      </c>
      <c r="B1396" s="1"/>
      <c r="C1396" s="1" t="s">
        <v>146</v>
      </c>
      <c r="D1396">
        <v>10205</v>
      </c>
      <c r="E1396" s="1"/>
      <c r="F1396" s="1" t="s">
        <v>146</v>
      </c>
      <c r="G1396">
        <v>2014</v>
      </c>
      <c r="H1396">
        <v>3360.33</v>
      </c>
      <c r="I1396">
        <v>12</v>
      </c>
      <c r="J1396" s="1" t="s">
        <v>435</v>
      </c>
      <c r="K1396">
        <v>0</v>
      </c>
      <c r="L1396">
        <v>314</v>
      </c>
      <c r="M1396">
        <v>10.69828</v>
      </c>
      <c r="N1396">
        <v>2</v>
      </c>
      <c r="O1396" s="1" t="s">
        <v>569</v>
      </c>
      <c r="P1396">
        <v>3360.33</v>
      </c>
      <c r="Q1396">
        <v>7674.98</v>
      </c>
      <c r="R1396">
        <v>0</v>
      </c>
      <c r="S1396" s="1" t="s">
        <v>999</v>
      </c>
      <c r="T1396" s="1" t="s">
        <v>1281</v>
      </c>
      <c r="U1396">
        <v>3360.3220000000001</v>
      </c>
      <c r="V1396">
        <v>0</v>
      </c>
      <c r="W1396">
        <v>77390</v>
      </c>
    </row>
    <row r="1397" spans="1:23" x14ac:dyDescent="0.25">
      <c r="A1397" s="1" t="s">
        <v>29</v>
      </c>
      <c r="B1397" s="1"/>
      <c r="C1397" s="1" t="s">
        <v>146</v>
      </c>
      <c r="D1397">
        <v>10205</v>
      </c>
      <c r="E1397" s="1"/>
      <c r="F1397" s="1" t="s">
        <v>146</v>
      </c>
      <c r="G1397">
        <v>2013</v>
      </c>
      <c r="H1397">
        <v>3892.39</v>
      </c>
      <c r="I1397">
        <v>10</v>
      </c>
      <c r="J1397" s="1" t="s">
        <v>435</v>
      </c>
      <c r="K1397">
        <v>0</v>
      </c>
      <c r="L1397">
        <v>314</v>
      </c>
      <c r="M1397">
        <v>12.392199</v>
      </c>
      <c r="N1397">
        <v>2</v>
      </c>
      <c r="O1397" s="1" t="s">
        <v>569</v>
      </c>
      <c r="P1397">
        <v>3892.39</v>
      </c>
      <c r="Q1397">
        <v>8890.2099999999991</v>
      </c>
      <c r="R1397">
        <v>0</v>
      </c>
      <c r="S1397" s="1" t="s">
        <v>999</v>
      </c>
      <c r="T1397" s="1" t="s">
        <v>1281</v>
      </c>
      <c r="U1397">
        <v>3892.3950399999999</v>
      </c>
      <c r="V1397">
        <v>0</v>
      </c>
      <c r="W1397">
        <v>77390</v>
      </c>
    </row>
    <row r="1398" spans="1:23" x14ac:dyDescent="0.25">
      <c r="A1398" s="1" t="s">
        <v>29</v>
      </c>
      <c r="B1398" s="1"/>
      <c r="C1398" s="1" t="s">
        <v>146</v>
      </c>
      <c r="D1398">
        <v>10205</v>
      </c>
      <c r="E1398" s="1"/>
      <c r="F1398" s="1" t="s">
        <v>146</v>
      </c>
      <c r="G1398">
        <v>2012</v>
      </c>
      <c r="H1398">
        <v>4594.16</v>
      </c>
      <c r="I1398">
        <v>8</v>
      </c>
      <c r="J1398" s="1" t="s">
        <v>435</v>
      </c>
      <c r="K1398">
        <v>0</v>
      </c>
      <c r="L1398">
        <v>314</v>
      </c>
      <c r="M1398">
        <v>14.626424</v>
      </c>
      <c r="N1398">
        <v>2</v>
      </c>
      <c r="O1398" s="1" t="s">
        <v>569</v>
      </c>
      <c r="P1398">
        <v>4594.16</v>
      </c>
      <c r="Q1398">
        <v>10493.07</v>
      </c>
      <c r="R1398">
        <v>0</v>
      </c>
      <c r="S1398" s="1" t="s">
        <v>999</v>
      </c>
      <c r="T1398" s="1" t="s">
        <v>1281</v>
      </c>
      <c r="U1398">
        <v>4594.1584599999996</v>
      </c>
      <c r="V1398">
        <v>0</v>
      </c>
      <c r="W1398">
        <v>77390</v>
      </c>
    </row>
    <row r="1399" spans="1:23" x14ac:dyDescent="0.25">
      <c r="A1399" s="1" t="s">
        <v>29</v>
      </c>
      <c r="B1399" s="1"/>
      <c r="C1399" s="1" t="s">
        <v>146</v>
      </c>
      <c r="D1399">
        <v>10205</v>
      </c>
      <c r="E1399" s="1"/>
      <c r="F1399" s="1" t="s">
        <v>146</v>
      </c>
      <c r="G1399">
        <v>2011</v>
      </c>
      <c r="H1399">
        <v>5045.09</v>
      </c>
      <c r="I1399">
        <v>4</v>
      </c>
      <c r="J1399" s="1" t="s">
        <v>435</v>
      </c>
      <c r="K1399">
        <v>0</v>
      </c>
      <c r="L1399">
        <v>314</v>
      </c>
      <c r="M1399">
        <v>16.062049999999999</v>
      </c>
      <c r="N1399">
        <v>2</v>
      </c>
      <c r="O1399" s="1" t="s">
        <v>569</v>
      </c>
      <c r="P1399">
        <v>5045.09</v>
      </c>
      <c r="Q1399">
        <v>11522.97</v>
      </c>
      <c r="R1399">
        <v>0</v>
      </c>
      <c r="S1399" s="1" t="s">
        <v>999</v>
      </c>
      <c r="T1399" s="1" t="s">
        <v>1281</v>
      </c>
      <c r="U1399">
        <v>5045.0951599999999</v>
      </c>
      <c r="V1399">
        <v>0</v>
      </c>
      <c r="W1399">
        <v>77390</v>
      </c>
    </row>
    <row r="1400" spans="1:23" x14ac:dyDescent="0.25">
      <c r="A1400" s="1" t="s">
        <v>29</v>
      </c>
      <c r="B1400" s="1"/>
      <c r="C1400" s="1" t="s">
        <v>146</v>
      </c>
      <c r="D1400">
        <v>10205</v>
      </c>
      <c r="E1400" s="1"/>
      <c r="F1400" s="1" t="s">
        <v>146</v>
      </c>
      <c r="G1400">
        <v>2010</v>
      </c>
      <c r="H1400">
        <v>4860.66</v>
      </c>
      <c r="I1400">
        <v>2</v>
      </c>
      <c r="J1400" s="1" t="s">
        <v>435</v>
      </c>
      <c r="K1400">
        <v>0</v>
      </c>
      <c r="L1400">
        <v>314</v>
      </c>
      <c r="M1400">
        <v>15.474880000000001</v>
      </c>
      <c r="N1400">
        <v>2</v>
      </c>
      <c r="O1400" s="1" t="s">
        <v>569</v>
      </c>
      <c r="P1400">
        <v>4860.66</v>
      </c>
      <c r="Q1400">
        <v>11101.74</v>
      </c>
      <c r="R1400">
        <v>0</v>
      </c>
      <c r="S1400" s="1" t="s">
        <v>999</v>
      </c>
      <c r="T1400" s="1" t="s">
        <v>1281</v>
      </c>
      <c r="U1400">
        <v>4860.6659</v>
      </c>
      <c r="V1400">
        <v>0</v>
      </c>
      <c r="W1400">
        <v>77390</v>
      </c>
    </row>
    <row r="1401" spans="1:23" x14ac:dyDescent="0.25">
      <c r="A1401" s="1" t="s">
        <v>29</v>
      </c>
      <c r="B1401" s="1"/>
      <c r="C1401" s="1" t="s">
        <v>146</v>
      </c>
      <c r="D1401">
        <v>10205</v>
      </c>
      <c r="E1401" s="1"/>
      <c r="F1401" s="1" t="s">
        <v>146</v>
      </c>
      <c r="G1401">
        <v>2009</v>
      </c>
      <c r="H1401">
        <v>4187.03</v>
      </c>
      <c r="I1401">
        <v>6</v>
      </c>
      <c r="J1401" s="1" t="s">
        <v>435</v>
      </c>
      <c r="K1401">
        <v>0</v>
      </c>
      <c r="L1401">
        <v>314</v>
      </c>
      <c r="M1401">
        <v>13.330245</v>
      </c>
      <c r="N1401">
        <v>2</v>
      </c>
      <c r="O1401" s="1" t="s">
        <v>569</v>
      </c>
      <c r="P1401">
        <v>4187.03</v>
      </c>
      <c r="Q1401">
        <v>9563.19</v>
      </c>
      <c r="R1401">
        <v>0</v>
      </c>
      <c r="S1401" s="1" t="s">
        <v>999</v>
      </c>
      <c r="T1401" s="1" t="s">
        <v>1281</v>
      </c>
      <c r="U1401">
        <v>4187.0328399999999</v>
      </c>
      <c r="V1401">
        <v>0</v>
      </c>
      <c r="W1401">
        <v>77390</v>
      </c>
    </row>
    <row r="1402" spans="1:23" x14ac:dyDescent="0.25">
      <c r="A1402" s="1" t="s">
        <v>29</v>
      </c>
      <c r="B1402" s="1"/>
      <c r="C1402" s="1" t="s">
        <v>146</v>
      </c>
      <c r="D1402">
        <v>10205</v>
      </c>
      <c r="E1402" s="1"/>
      <c r="F1402" s="1" t="s">
        <v>146</v>
      </c>
      <c r="G1402">
        <v>2008</v>
      </c>
      <c r="H1402">
        <v>4838.1899999999996</v>
      </c>
      <c r="I1402">
        <v>4</v>
      </c>
      <c r="J1402" s="1" t="s">
        <v>435</v>
      </c>
      <c r="K1402">
        <v>0</v>
      </c>
      <c r="L1402">
        <v>314</v>
      </c>
      <c r="M1402">
        <v>15.403342</v>
      </c>
      <c r="N1402">
        <v>2</v>
      </c>
      <c r="O1402" s="1" t="s">
        <v>569</v>
      </c>
      <c r="P1402">
        <v>4838.1899999999996</v>
      </c>
      <c r="Q1402">
        <v>11050.41</v>
      </c>
      <c r="R1402">
        <v>0</v>
      </c>
      <c r="S1402" s="1" t="s">
        <v>999</v>
      </c>
      <c r="T1402" s="1" t="s">
        <v>1281</v>
      </c>
      <c r="U1402">
        <v>4838.1868199999999</v>
      </c>
      <c r="V1402">
        <v>0</v>
      </c>
      <c r="W1402">
        <v>77390</v>
      </c>
    </row>
    <row r="1403" spans="1:23" x14ac:dyDescent="0.25">
      <c r="A1403" s="1" t="s">
        <v>29</v>
      </c>
      <c r="B1403" s="1" t="s">
        <v>64</v>
      </c>
      <c r="C1403" s="1" t="s">
        <v>147</v>
      </c>
      <c r="D1403">
        <v>13661</v>
      </c>
      <c r="E1403" s="1" t="s">
        <v>243</v>
      </c>
      <c r="F1403" s="1" t="s">
        <v>147</v>
      </c>
      <c r="G1403">
        <v>2015</v>
      </c>
      <c r="H1403">
        <v>725.62</v>
      </c>
      <c r="I1403">
        <v>5</v>
      </c>
      <c r="J1403" s="1" t="s">
        <v>435</v>
      </c>
      <c r="K1403">
        <v>0</v>
      </c>
      <c r="L1403">
        <v>307</v>
      </c>
      <c r="M1403">
        <v>2.3628130000000001</v>
      </c>
      <c r="N1403">
        <v>2</v>
      </c>
      <c r="O1403" s="1" t="s">
        <v>569</v>
      </c>
      <c r="P1403">
        <v>725.62</v>
      </c>
      <c r="Q1403">
        <v>217.68</v>
      </c>
      <c r="R1403">
        <v>0</v>
      </c>
      <c r="S1403" s="1" t="s">
        <v>1000</v>
      </c>
      <c r="T1403" s="1" t="s">
        <v>1282</v>
      </c>
      <c r="U1403">
        <v>725.60298999999998</v>
      </c>
      <c r="V1403">
        <v>0</v>
      </c>
      <c r="W1403">
        <v>91249</v>
      </c>
    </row>
    <row r="1404" spans="1:23" x14ac:dyDescent="0.25">
      <c r="A1404" s="1" t="s">
        <v>29</v>
      </c>
      <c r="B1404" s="1" t="s">
        <v>64</v>
      </c>
      <c r="C1404" s="1" t="s">
        <v>147</v>
      </c>
      <c r="D1404">
        <v>13661</v>
      </c>
      <c r="E1404" s="1" t="s">
        <v>243</v>
      </c>
      <c r="F1404" s="1" t="s">
        <v>147</v>
      </c>
      <c r="G1404">
        <v>2014</v>
      </c>
      <c r="H1404">
        <v>1001.13</v>
      </c>
      <c r="I1404">
        <v>12</v>
      </c>
      <c r="J1404" s="1" t="s">
        <v>435</v>
      </c>
      <c r="K1404">
        <v>0</v>
      </c>
      <c r="L1404">
        <v>307</v>
      </c>
      <c r="M1404">
        <v>3.2599469999999999</v>
      </c>
      <c r="N1404">
        <v>2</v>
      </c>
      <c r="O1404" s="1" t="s">
        <v>569</v>
      </c>
      <c r="P1404">
        <v>1001.13</v>
      </c>
      <c r="Q1404">
        <v>300.33999999999997</v>
      </c>
      <c r="R1404">
        <v>0</v>
      </c>
      <c r="S1404" s="1" t="s">
        <v>1000</v>
      </c>
      <c r="T1404" s="1" t="s">
        <v>1282</v>
      </c>
      <c r="U1404">
        <v>1001.11536</v>
      </c>
      <c r="V1404">
        <v>0</v>
      </c>
      <c r="W1404">
        <v>91249</v>
      </c>
    </row>
    <row r="1405" spans="1:23" x14ac:dyDescent="0.25">
      <c r="A1405" s="1" t="s">
        <v>29</v>
      </c>
      <c r="B1405" s="1" t="s">
        <v>64</v>
      </c>
      <c r="C1405" s="1" t="s">
        <v>147</v>
      </c>
      <c r="D1405">
        <v>13661</v>
      </c>
      <c r="E1405" s="1" t="s">
        <v>243</v>
      </c>
      <c r="F1405" s="1" t="s">
        <v>147</v>
      </c>
      <c r="G1405">
        <v>2013</v>
      </c>
      <c r="H1405">
        <v>707.93</v>
      </c>
      <c r="I1405">
        <v>8</v>
      </c>
      <c r="J1405" s="1" t="s">
        <v>435</v>
      </c>
      <c r="K1405">
        <v>0</v>
      </c>
      <c r="L1405">
        <v>307</v>
      </c>
      <c r="M1405">
        <v>2.3052100000000002</v>
      </c>
      <c r="N1405">
        <v>2</v>
      </c>
      <c r="O1405" s="1" t="s">
        <v>569</v>
      </c>
      <c r="P1405">
        <v>707.93</v>
      </c>
      <c r="Q1405">
        <v>212.38</v>
      </c>
      <c r="R1405">
        <v>0</v>
      </c>
      <c r="S1405" s="1" t="s">
        <v>1000</v>
      </c>
      <c r="T1405" s="1" t="s">
        <v>1282</v>
      </c>
      <c r="U1405">
        <v>707.93692999999996</v>
      </c>
      <c r="V1405">
        <v>0</v>
      </c>
      <c r="W1405">
        <v>91249</v>
      </c>
    </row>
    <row r="1406" spans="1:23" x14ac:dyDescent="0.25">
      <c r="A1406" s="1" t="s">
        <v>29</v>
      </c>
      <c r="B1406" s="1" t="s">
        <v>64</v>
      </c>
      <c r="C1406" s="1" t="s">
        <v>147</v>
      </c>
      <c r="D1406">
        <v>13661</v>
      </c>
      <c r="E1406" s="1" t="s">
        <v>243</v>
      </c>
      <c r="F1406" s="1" t="s">
        <v>147</v>
      </c>
      <c r="G1406">
        <v>2012</v>
      </c>
      <c r="H1406">
        <v>2457.59</v>
      </c>
      <c r="I1406">
        <v>3</v>
      </c>
      <c r="J1406" s="1" t="s">
        <v>435</v>
      </c>
      <c r="K1406">
        <v>0</v>
      </c>
      <c r="L1406">
        <v>307</v>
      </c>
      <c r="M1406">
        <v>8.0025720000000007</v>
      </c>
      <c r="N1406">
        <v>2</v>
      </c>
      <c r="O1406" s="1" t="s">
        <v>569</v>
      </c>
      <c r="P1406">
        <v>2457.59</v>
      </c>
      <c r="Q1406">
        <v>983.05</v>
      </c>
      <c r="R1406">
        <v>0</v>
      </c>
      <c r="S1406" s="1" t="s">
        <v>1000</v>
      </c>
      <c r="T1406" s="1" t="s">
        <v>1282</v>
      </c>
      <c r="U1406">
        <v>2457.5971800000002</v>
      </c>
      <c r="V1406">
        <v>0</v>
      </c>
      <c r="W1406">
        <v>91249</v>
      </c>
    </row>
    <row r="1407" spans="1:23" x14ac:dyDescent="0.25">
      <c r="A1407" s="1" t="s">
        <v>29</v>
      </c>
      <c r="B1407" s="1" t="s">
        <v>64</v>
      </c>
      <c r="C1407" s="1" t="s">
        <v>147</v>
      </c>
      <c r="D1407">
        <v>13661</v>
      </c>
      <c r="E1407" s="1" t="s">
        <v>243</v>
      </c>
      <c r="F1407" s="1" t="s">
        <v>147</v>
      </c>
      <c r="G1407">
        <v>2011</v>
      </c>
      <c r="H1407">
        <v>1533.41</v>
      </c>
      <c r="I1407">
        <v>1</v>
      </c>
      <c r="J1407" s="1" t="s">
        <v>435</v>
      </c>
      <c r="K1407">
        <v>0</v>
      </c>
      <c r="L1407">
        <v>307</v>
      </c>
      <c r="M1407">
        <v>4.9931939999999999</v>
      </c>
      <c r="N1407">
        <v>2</v>
      </c>
      <c r="O1407" s="1" t="s">
        <v>569</v>
      </c>
      <c r="P1407">
        <v>1533.41</v>
      </c>
      <c r="Q1407">
        <v>719.15</v>
      </c>
      <c r="R1407">
        <v>0</v>
      </c>
      <c r="S1407" s="1" t="s">
        <v>1000</v>
      </c>
      <c r="T1407" s="1" t="s">
        <v>1282</v>
      </c>
      <c r="U1407">
        <v>1533.4122600000001</v>
      </c>
      <c r="V1407">
        <v>0</v>
      </c>
      <c r="W1407">
        <v>91249</v>
      </c>
    </row>
    <row r="1408" spans="1:23" x14ac:dyDescent="0.25">
      <c r="A1408" s="1" t="s">
        <v>29</v>
      </c>
      <c r="B1408" s="1" t="s">
        <v>64</v>
      </c>
      <c r="C1408" s="1" t="s">
        <v>147</v>
      </c>
      <c r="D1408">
        <v>13661</v>
      </c>
      <c r="E1408" s="1" t="s">
        <v>243</v>
      </c>
      <c r="F1408" s="1" t="s">
        <v>147</v>
      </c>
      <c r="G1408">
        <v>2010</v>
      </c>
      <c r="H1408">
        <v>1876.26</v>
      </c>
      <c r="I1408">
        <v>1</v>
      </c>
      <c r="J1408" s="1" t="s">
        <v>435</v>
      </c>
      <c r="K1408">
        <v>0</v>
      </c>
      <c r="L1408">
        <v>307</v>
      </c>
      <c r="M1408">
        <v>6.1096050000000002</v>
      </c>
      <c r="N1408">
        <v>2</v>
      </c>
      <c r="O1408" s="1" t="s">
        <v>569</v>
      </c>
      <c r="P1408">
        <v>1876.26</v>
      </c>
      <c r="Q1408">
        <v>879.98</v>
      </c>
      <c r="R1408">
        <v>0</v>
      </c>
      <c r="S1408" s="1" t="s">
        <v>1000</v>
      </c>
      <c r="T1408" s="1" t="s">
        <v>1282</v>
      </c>
      <c r="U1408">
        <v>1876.26253</v>
      </c>
      <c r="V1408">
        <v>0</v>
      </c>
      <c r="W1408">
        <v>91249</v>
      </c>
    </row>
    <row r="1409" spans="1:23" x14ac:dyDescent="0.25">
      <c r="A1409" s="1" t="s">
        <v>29</v>
      </c>
      <c r="B1409" s="1" t="s">
        <v>64</v>
      </c>
      <c r="C1409" s="1" t="s">
        <v>147</v>
      </c>
      <c r="D1409">
        <v>13661</v>
      </c>
      <c r="E1409" s="1" t="s">
        <v>243</v>
      </c>
      <c r="F1409" s="1" t="s">
        <v>147</v>
      </c>
      <c r="G1409">
        <v>2009</v>
      </c>
      <c r="H1409">
        <v>3191.03</v>
      </c>
      <c r="I1409">
        <v>1</v>
      </c>
      <c r="J1409" s="1" t="s">
        <v>435</v>
      </c>
      <c r="K1409">
        <v>0</v>
      </c>
      <c r="L1409">
        <v>307</v>
      </c>
      <c r="M1409">
        <v>10.390848999999999</v>
      </c>
      <c r="N1409">
        <v>2</v>
      </c>
      <c r="O1409" s="1" t="s">
        <v>569</v>
      </c>
      <c r="P1409">
        <v>3191.03</v>
      </c>
      <c r="Q1409">
        <v>1496.6</v>
      </c>
      <c r="R1409">
        <v>0</v>
      </c>
      <c r="S1409" s="1" t="s">
        <v>1000</v>
      </c>
      <c r="T1409" s="1" t="s">
        <v>1282</v>
      </c>
      <c r="U1409">
        <v>3191.0430299999998</v>
      </c>
      <c r="V1409">
        <v>0</v>
      </c>
      <c r="W1409">
        <v>91249</v>
      </c>
    </row>
    <row r="1410" spans="1:23" x14ac:dyDescent="0.25">
      <c r="A1410" s="1" t="s">
        <v>29</v>
      </c>
      <c r="B1410" s="1" t="s">
        <v>64</v>
      </c>
      <c r="C1410" s="1" t="s">
        <v>147</v>
      </c>
      <c r="D1410">
        <v>13661</v>
      </c>
      <c r="E1410" s="1" t="s">
        <v>243</v>
      </c>
      <c r="F1410" s="1" t="s">
        <v>147</v>
      </c>
      <c r="G1410">
        <v>2008</v>
      </c>
      <c r="H1410">
        <v>3951.15</v>
      </c>
      <c r="I1410">
        <v>1</v>
      </c>
      <c r="J1410" s="1" t="s">
        <v>435</v>
      </c>
      <c r="K1410">
        <v>0</v>
      </c>
      <c r="L1410">
        <v>307</v>
      </c>
      <c r="M1410">
        <v>12.866004</v>
      </c>
      <c r="N1410">
        <v>2</v>
      </c>
      <c r="O1410" s="1" t="s">
        <v>569</v>
      </c>
      <c r="P1410">
        <v>3951.15</v>
      </c>
      <c r="Q1410">
        <v>1853.12</v>
      </c>
      <c r="R1410">
        <v>0</v>
      </c>
      <c r="S1410" s="1" t="s">
        <v>1000</v>
      </c>
      <c r="T1410" s="1" t="s">
        <v>1282</v>
      </c>
      <c r="U1410">
        <v>3951.1728899999998</v>
      </c>
      <c r="V1410">
        <v>0</v>
      </c>
      <c r="W1410">
        <v>91249</v>
      </c>
    </row>
    <row r="1411" spans="1:23" x14ac:dyDescent="0.25">
      <c r="A1411" s="1" t="s">
        <v>29</v>
      </c>
      <c r="B1411" s="1"/>
      <c r="C1411" s="1" t="s">
        <v>148</v>
      </c>
      <c r="D1411">
        <v>10206</v>
      </c>
      <c r="E1411" s="1"/>
      <c r="F1411" s="1" t="s">
        <v>281</v>
      </c>
      <c r="G1411">
        <v>2015</v>
      </c>
      <c r="H1411">
        <v>5364.89</v>
      </c>
      <c r="I1411">
        <v>5</v>
      </c>
      <c r="J1411" s="1" t="s">
        <v>416</v>
      </c>
      <c r="K1411">
        <v>0</v>
      </c>
      <c r="L1411">
        <v>439</v>
      </c>
      <c r="M1411">
        <v>12.217923000000001</v>
      </c>
      <c r="N1411">
        <v>2</v>
      </c>
      <c r="O1411" s="1" t="s">
        <v>569</v>
      </c>
      <c r="P1411">
        <v>5364.89</v>
      </c>
      <c r="Q1411">
        <v>1609.46</v>
      </c>
      <c r="R1411">
        <v>0</v>
      </c>
      <c r="S1411" s="1" t="s">
        <v>1001</v>
      </c>
      <c r="T1411" s="1" t="s">
        <v>1283</v>
      </c>
      <c r="U1411">
        <v>5364.8837000000003</v>
      </c>
      <c r="V1411">
        <v>0</v>
      </c>
      <c r="W1411">
        <v>77393</v>
      </c>
    </row>
    <row r="1412" spans="1:23" x14ac:dyDescent="0.25">
      <c r="A1412" s="1" t="s">
        <v>29</v>
      </c>
      <c r="B1412" s="1"/>
      <c r="C1412" s="1" t="s">
        <v>148</v>
      </c>
      <c r="D1412">
        <v>10206</v>
      </c>
      <c r="E1412" s="1"/>
      <c r="F1412" s="1" t="s">
        <v>281</v>
      </c>
      <c r="G1412">
        <v>2014</v>
      </c>
      <c r="H1412">
        <v>10435.459999999999</v>
      </c>
      <c r="I1412">
        <v>12</v>
      </c>
      <c r="J1412" s="1" t="s">
        <v>416</v>
      </c>
      <c r="K1412">
        <v>0</v>
      </c>
      <c r="L1412">
        <v>439</v>
      </c>
      <c r="M1412">
        <v>23.765564999999999</v>
      </c>
      <c r="N1412">
        <v>2</v>
      </c>
      <c r="O1412" s="1" t="s">
        <v>569</v>
      </c>
      <c r="P1412">
        <v>10435.459999999999</v>
      </c>
      <c r="Q1412">
        <v>3130.65</v>
      </c>
      <c r="R1412">
        <v>0</v>
      </c>
      <c r="S1412" s="1" t="s">
        <v>1001</v>
      </c>
      <c r="T1412" s="1" t="s">
        <v>1283</v>
      </c>
      <c r="U1412">
        <v>10435.47351</v>
      </c>
      <c r="V1412">
        <v>0</v>
      </c>
      <c r="W1412">
        <v>77393</v>
      </c>
    </row>
    <row r="1413" spans="1:23" x14ac:dyDescent="0.25">
      <c r="A1413" s="1" t="s">
        <v>29</v>
      </c>
      <c r="B1413" s="1"/>
      <c r="C1413" s="1" t="s">
        <v>148</v>
      </c>
      <c r="D1413">
        <v>10206</v>
      </c>
      <c r="E1413" s="1"/>
      <c r="F1413" s="1" t="s">
        <v>281</v>
      </c>
      <c r="G1413">
        <v>2014</v>
      </c>
      <c r="H1413">
        <v>407.73</v>
      </c>
      <c r="I1413">
        <v>2</v>
      </c>
      <c r="J1413" s="1" t="s">
        <v>424</v>
      </c>
      <c r="K1413">
        <v>0</v>
      </c>
      <c r="L1413">
        <v>439</v>
      </c>
      <c r="M1413">
        <v>0.92855799999999999</v>
      </c>
      <c r="N1413">
        <v>2</v>
      </c>
      <c r="O1413" s="1" t="s">
        <v>569</v>
      </c>
      <c r="P1413">
        <v>407.73</v>
      </c>
      <c r="Q1413">
        <v>191.23</v>
      </c>
      <c r="R1413">
        <v>0</v>
      </c>
      <c r="S1413" s="1" t="s">
        <v>1002</v>
      </c>
      <c r="T1413" s="1"/>
      <c r="U1413">
        <v>407.72998999999999</v>
      </c>
      <c r="V1413">
        <v>0</v>
      </c>
      <c r="W1413">
        <v>96485</v>
      </c>
    </row>
    <row r="1414" spans="1:23" x14ac:dyDescent="0.25">
      <c r="A1414" s="1" t="s">
        <v>29</v>
      </c>
      <c r="B1414" s="1"/>
      <c r="C1414" s="1" t="s">
        <v>148</v>
      </c>
      <c r="D1414">
        <v>10206</v>
      </c>
      <c r="E1414" s="1"/>
      <c r="F1414" s="1" t="s">
        <v>281</v>
      </c>
      <c r="G1414">
        <v>2013</v>
      </c>
      <c r="H1414">
        <v>12881.32</v>
      </c>
      <c r="I1414">
        <v>12</v>
      </c>
      <c r="J1414" s="1" t="s">
        <v>416</v>
      </c>
      <c r="K1414">
        <v>0</v>
      </c>
      <c r="L1414">
        <v>439</v>
      </c>
      <c r="M1414">
        <v>29.335732</v>
      </c>
      <c r="N1414">
        <v>2</v>
      </c>
      <c r="O1414" s="1" t="s">
        <v>569</v>
      </c>
      <c r="P1414">
        <v>12881.32</v>
      </c>
      <c r="Q1414">
        <v>3864.39</v>
      </c>
      <c r="R1414">
        <v>0</v>
      </c>
      <c r="S1414" s="1" t="s">
        <v>1001</v>
      </c>
      <c r="T1414" s="1" t="s">
        <v>1283</v>
      </c>
      <c r="U1414">
        <v>12881.317499999999</v>
      </c>
      <c r="V1414">
        <v>0</v>
      </c>
      <c r="W1414">
        <v>77393</v>
      </c>
    </row>
    <row r="1415" spans="1:23" x14ac:dyDescent="0.25">
      <c r="A1415" s="1" t="s">
        <v>29</v>
      </c>
      <c r="B1415" s="1"/>
      <c r="C1415" s="1" t="s">
        <v>148</v>
      </c>
      <c r="D1415">
        <v>10206</v>
      </c>
      <c r="E1415" s="1"/>
      <c r="F1415" s="1" t="s">
        <v>281</v>
      </c>
      <c r="G1415">
        <v>2012</v>
      </c>
      <c r="H1415">
        <v>14595.95</v>
      </c>
      <c r="I1415">
        <v>12</v>
      </c>
      <c r="J1415" s="1" t="s">
        <v>416</v>
      </c>
      <c r="K1415">
        <v>0</v>
      </c>
      <c r="L1415">
        <v>439</v>
      </c>
      <c r="M1415">
        <v>33.240605000000002</v>
      </c>
      <c r="N1415">
        <v>2</v>
      </c>
      <c r="O1415" s="1" t="s">
        <v>569</v>
      </c>
      <c r="P1415">
        <v>14595.95</v>
      </c>
      <c r="Q1415">
        <v>5838.37</v>
      </c>
      <c r="R1415">
        <v>0</v>
      </c>
      <c r="S1415" s="1" t="s">
        <v>1001</v>
      </c>
      <c r="T1415" s="1" t="s">
        <v>1283</v>
      </c>
      <c r="U1415">
        <v>14595.95</v>
      </c>
      <c r="V1415">
        <v>0</v>
      </c>
      <c r="W1415">
        <v>77393</v>
      </c>
    </row>
    <row r="1416" spans="1:23" x14ac:dyDescent="0.25">
      <c r="A1416" s="1" t="s">
        <v>29</v>
      </c>
      <c r="B1416" s="1"/>
      <c r="C1416" s="1" t="s">
        <v>148</v>
      </c>
      <c r="D1416">
        <v>10206</v>
      </c>
      <c r="E1416" s="1"/>
      <c r="F1416" s="1" t="s">
        <v>281</v>
      </c>
      <c r="G1416">
        <v>2011</v>
      </c>
      <c r="H1416">
        <v>15834.53</v>
      </c>
      <c r="I1416">
        <v>12</v>
      </c>
      <c r="J1416" s="1" t="s">
        <v>416</v>
      </c>
      <c r="K1416">
        <v>0</v>
      </c>
      <c r="L1416">
        <v>439</v>
      </c>
      <c r="M1416">
        <v>36.061329000000001</v>
      </c>
      <c r="N1416">
        <v>2</v>
      </c>
      <c r="O1416" s="1" t="s">
        <v>569</v>
      </c>
      <c r="P1416">
        <v>15834.53</v>
      </c>
      <c r="Q1416">
        <v>7426.4</v>
      </c>
      <c r="R1416">
        <v>0</v>
      </c>
      <c r="S1416" s="1" t="s">
        <v>1001</v>
      </c>
      <c r="T1416" s="1" t="s">
        <v>1283</v>
      </c>
      <c r="U1416">
        <v>15834.5273</v>
      </c>
      <c r="V1416">
        <v>0</v>
      </c>
      <c r="W1416">
        <v>77393</v>
      </c>
    </row>
    <row r="1417" spans="1:23" x14ac:dyDescent="0.25">
      <c r="A1417" s="1" t="s">
        <v>29</v>
      </c>
      <c r="B1417" s="1"/>
      <c r="C1417" s="1" t="s">
        <v>148</v>
      </c>
      <c r="D1417">
        <v>10206</v>
      </c>
      <c r="E1417" s="1"/>
      <c r="F1417" s="1" t="s">
        <v>281</v>
      </c>
      <c r="G1417">
        <v>2010</v>
      </c>
      <c r="H1417">
        <v>18417</v>
      </c>
      <c r="I1417">
        <v>8</v>
      </c>
      <c r="J1417" s="1" t="s">
        <v>416</v>
      </c>
      <c r="K1417">
        <v>0</v>
      </c>
      <c r="L1417">
        <v>439</v>
      </c>
      <c r="M1417">
        <v>41.942608999999997</v>
      </c>
      <c r="N1417">
        <v>2</v>
      </c>
      <c r="O1417" s="1" t="s">
        <v>569</v>
      </c>
      <c r="P1417">
        <v>18417</v>
      </c>
      <c r="Q1417">
        <v>8637.6</v>
      </c>
      <c r="R1417">
        <v>0</v>
      </c>
      <c r="S1417" s="1" t="s">
        <v>1001</v>
      </c>
      <c r="T1417" s="1" t="s">
        <v>1283</v>
      </c>
      <c r="U1417">
        <v>18417.0147</v>
      </c>
      <c r="V1417">
        <v>0</v>
      </c>
      <c r="W1417">
        <v>77393</v>
      </c>
    </row>
    <row r="1418" spans="1:23" x14ac:dyDescent="0.25">
      <c r="A1418" s="1" t="s">
        <v>29</v>
      </c>
      <c r="B1418" s="1"/>
      <c r="C1418" s="1" t="s">
        <v>148</v>
      </c>
      <c r="D1418">
        <v>10206</v>
      </c>
      <c r="E1418" s="1"/>
      <c r="F1418" s="1" t="s">
        <v>281</v>
      </c>
      <c r="G1418">
        <v>2009</v>
      </c>
      <c r="H1418">
        <v>17934.22</v>
      </c>
      <c r="I1418">
        <v>5</v>
      </c>
      <c r="J1418" s="1" t="s">
        <v>416</v>
      </c>
      <c r="K1418">
        <v>0</v>
      </c>
      <c r="L1418">
        <v>439</v>
      </c>
      <c r="M1418">
        <v>40.843133000000002</v>
      </c>
      <c r="N1418">
        <v>2</v>
      </c>
      <c r="O1418" s="1" t="s">
        <v>569</v>
      </c>
      <c r="P1418">
        <v>17934.22</v>
      </c>
      <c r="Q1418">
        <v>8411.17</v>
      </c>
      <c r="R1418">
        <v>0</v>
      </c>
      <c r="S1418" s="1" t="s">
        <v>1001</v>
      </c>
      <c r="T1418" s="1" t="s">
        <v>1283</v>
      </c>
      <c r="U1418">
        <v>17934.226200000001</v>
      </c>
      <c r="V1418">
        <v>0</v>
      </c>
      <c r="W1418">
        <v>77393</v>
      </c>
    </row>
    <row r="1419" spans="1:23" x14ac:dyDescent="0.25">
      <c r="A1419" s="1" t="s">
        <v>29</v>
      </c>
      <c r="B1419" s="1"/>
      <c r="C1419" s="1" t="s">
        <v>148</v>
      </c>
      <c r="D1419">
        <v>10206</v>
      </c>
      <c r="E1419" s="1"/>
      <c r="F1419" s="1" t="s">
        <v>281</v>
      </c>
      <c r="G1419">
        <v>2008</v>
      </c>
      <c r="H1419">
        <v>19854.5</v>
      </c>
      <c r="I1419">
        <v>4</v>
      </c>
      <c r="J1419" s="1" t="s">
        <v>416</v>
      </c>
      <c r="K1419">
        <v>0</v>
      </c>
      <c r="L1419">
        <v>439</v>
      </c>
      <c r="M1419">
        <v>45.216351000000003</v>
      </c>
      <c r="N1419">
        <v>2</v>
      </c>
      <c r="O1419" s="1" t="s">
        <v>569</v>
      </c>
      <c r="P1419">
        <v>19854.5</v>
      </c>
      <c r="Q1419">
        <v>9311.76</v>
      </c>
      <c r="R1419">
        <v>0</v>
      </c>
      <c r="S1419" s="1" t="s">
        <v>1001</v>
      </c>
      <c r="T1419" s="1" t="s">
        <v>1283</v>
      </c>
      <c r="U1419">
        <v>19854.516500000002</v>
      </c>
      <c r="V1419">
        <v>0</v>
      </c>
      <c r="W1419">
        <v>77393</v>
      </c>
    </row>
    <row r="1420" spans="1:23" x14ac:dyDescent="0.25">
      <c r="A1420" s="1" t="s">
        <v>29</v>
      </c>
      <c r="B1420" s="1"/>
      <c r="C1420" s="1" t="s">
        <v>149</v>
      </c>
      <c r="D1420">
        <v>14003</v>
      </c>
      <c r="E1420" s="1" t="s">
        <v>243</v>
      </c>
      <c r="F1420" s="1" t="s">
        <v>282</v>
      </c>
      <c r="G1420">
        <v>2015</v>
      </c>
      <c r="H1420">
        <v>412.99</v>
      </c>
      <c r="I1420">
        <v>1</v>
      </c>
      <c r="J1420" s="1" t="s">
        <v>425</v>
      </c>
      <c r="K1420">
        <v>0</v>
      </c>
      <c r="L1420">
        <v>50</v>
      </c>
      <c r="M1420">
        <v>8.2433130000000006</v>
      </c>
      <c r="N1420">
        <v>2</v>
      </c>
      <c r="O1420" s="1" t="s">
        <v>569</v>
      </c>
      <c r="P1420">
        <v>412.99</v>
      </c>
      <c r="Q1420">
        <v>123.9</v>
      </c>
      <c r="R1420">
        <v>0</v>
      </c>
      <c r="S1420" s="1" t="s">
        <v>1003</v>
      </c>
      <c r="T1420" s="1" t="s">
        <v>1284</v>
      </c>
      <c r="U1420">
        <v>412.98959000000002</v>
      </c>
      <c r="V1420">
        <v>0</v>
      </c>
      <c r="W1420">
        <v>92999</v>
      </c>
    </row>
    <row r="1421" spans="1:23" x14ac:dyDescent="0.25">
      <c r="A1421" s="1" t="s">
        <v>29</v>
      </c>
      <c r="B1421" s="1"/>
      <c r="C1421" s="1" t="s">
        <v>149</v>
      </c>
      <c r="D1421">
        <v>14003</v>
      </c>
      <c r="E1421" s="1" t="s">
        <v>243</v>
      </c>
      <c r="F1421" s="1" t="s">
        <v>282</v>
      </c>
      <c r="G1421">
        <v>2014</v>
      </c>
      <c r="H1421">
        <v>2281.39</v>
      </c>
      <c r="I1421">
        <v>5</v>
      </c>
      <c r="J1421" s="1" t="s">
        <v>425</v>
      </c>
      <c r="K1421">
        <v>0</v>
      </c>
      <c r="L1421">
        <v>50</v>
      </c>
      <c r="M1421">
        <v>45.536726000000002</v>
      </c>
      <c r="N1421">
        <v>2</v>
      </c>
      <c r="O1421" s="1" t="s">
        <v>569</v>
      </c>
      <c r="P1421">
        <v>2281.39</v>
      </c>
      <c r="Q1421">
        <v>684.41</v>
      </c>
      <c r="R1421">
        <v>0</v>
      </c>
      <c r="S1421" s="1" t="s">
        <v>1003</v>
      </c>
      <c r="T1421" s="1" t="s">
        <v>1284</v>
      </c>
      <c r="U1421">
        <v>2281.3933999999999</v>
      </c>
      <c r="V1421">
        <v>0</v>
      </c>
      <c r="W1421">
        <v>92999</v>
      </c>
    </row>
    <row r="1422" spans="1:23" x14ac:dyDescent="0.25">
      <c r="A1422" s="1" t="s">
        <v>29</v>
      </c>
      <c r="B1422" s="1"/>
      <c r="C1422" s="1" t="s">
        <v>149</v>
      </c>
      <c r="D1422">
        <v>14003</v>
      </c>
      <c r="E1422" s="1" t="s">
        <v>243</v>
      </c>
      <c r="F1422" s="1" t="s">
        <v>282</v>
      </c>
      <c r="G1422">
        <v>2013</v>
      </c>
      <c r="H1422">
        <v>2597.13</v>
      </c>
      <c r="I1422">
        <v>5</v>
      </c>
      <c r="J1422" s="1" t="s">
        <v>425</v>
      </c>
      <c r="K1422">
        <v>0</v>
      </c>
      <c r="L1422">
        <v>50</v>
      </c>
      <c r="M1422">
        <v>51.838921999999997</v>
      </c>
      <c r="N1422">
        <v>2</v>
      </c>
      <c r="O1422" s="1" t="s">
        <v>569</v>
      </c>
      <c r="P1422">
        <v>2597.13</v>
      </c>
      <c r="Q1422">
        <v>779.17</v>
      </c>
      <c r="R1422">
        <v>0</v>
      </c>
      <c r="S1422" s="1" t="s">
        <v>1003</v>
      </c>
      <c r="T1422" s="1" t="s">
        <v>1284</v>
      </c>
      <c r="U1422">
        <v>2597.1433400000001</v>
      </c>
      <c r="V1422">
        <v>0</v>
      </c>
      <c r="W1422">
        <v>92999</v>
      </c>
    </row>
    <row r="1423" spans="1:23" x14ac:dyDescent="0.25">
      <c r="A1423" s="1" t="s">
        <v>29</v>
      </c>
      <c r="B1423" s="1"/>
      <c r="C1423" s="1" t="s">
        <v>149</v>
      </c>
      <c r="D1423">
        <v>14003</v>
      </c>
      <c r="E1423" s="1" t="s">
        <v>243</v>
      </c>
      <c r="F1423" s="1" t="s">
        <v>282</v>
      </c>
      <c r="G1423">
        <v>2012</v>
      </c>
      <c r="H1423">
        <v>3216.47</v>
      </c>
      <c r="I1423">
        <v>3</v>
      </c>
      <c r="J1423" s="1" t="s">
        <v>425</v>
      </c>
      <c r="K1423">
        <v>0</v>
      </c>
      <c r="L1423">
        <v>50</v>
      </c>
      <c r="M1423">
        <v>64.200997999999998</v>
      </c>
      <c r="N1423">
        <v>2</v>
      </c>
      <c r="O1423" s="1" t="s">
        <v>569</v>
      </c>
      <c r="P1423">
        <v>3216.47</v>
      </c>
      <c r="Q1423">
        <v>1286.5899999999999</v>
      </c>
      <c r="R1423">
        <v>0</v>
      </c>
      <c r="S1423" s="1" t="s">
        <v>1003</v>
      </c>
      <c r="T1423" s="1" t="s">
        <v>1284</v>
      </c>
      <c r="U1423">
        <v>3216.4736899999998</v>
      </c>
      <c r="V1423">
        <v>0</v>
      </c>
      <c r="W1423">
        <v>92999</v>
      </c>
    </row>
    <row r="1424" spans="1:23" x14ac:dyDescent="0.25">
      <c r="A1424" s="1" t="s">
        <v>30</v>
      </c>
      <c r="B1424" s="1"/>
      <c r="C1424" s="1" t="s">
        <v>150</v>
      </c>
      <c r="D1424">
        <v>10208</v>
      </c>
      <c r="E1424" s="1"/>
      <c r="F1424" s="1" t="s">
        <v>283</v>
      </c>
      <c r="G1424">
        <v>2015</v>
      </c>
      <c r="H1424">
        <v>144.80000000000001</v>
      </c>
      <c r="I1424">
        <v>5</v>
      </c>
      <c r="J1424" s="1" t="s">
        <v>426</v>
      </c>
      <c r="K1424">
        <v>0</v>
      </c>
      <c r="L1424">
        <v>741</v>
      </c>
      <c r="M1424">
        <v>0.195385</v>
      </c>
      <c r="N1424">
        <v>3</v>
      </c>
      <c r="O1424" s="1" t="s">
        <v>560</v>
      </c>
      <c r="P1424">
        <v>144.80000000000001</v>
      </c>
      <c r="Q1424">
        <v>115.84</v>
      </c>
      <c r="R1424">
        <v>0</v>
      </c>
      <c r="S1424" s="1" t="s">
        <v>621</v>
      </c>
      <c r="T1424" s="1"/>
      <c r="U1424">
        <v>144.80000000000001</v>
      </c>
      <c r="V1424">
        <v>0</v>
      </c>
      <c r="W1424">
        <v>77412</v>
      </c>
    </row>
    <row r="1425" spans="1:23" x14ac:dyDescent="0.25">
      <c r="A1425" s="1" t="s">
        <v>30</v>
      </c>
      <c r="B1425" s="1"/>
      <c r="C1425" s="1" t="s">
        <v>150</v>
      </c>
      <c r="D1425">
        <v>10208</v>
      </c>
      <c r="E1425" s="1"/>
      <c r="F1425" s="1" t="s">
        <v>283</v>
      </c>
      <c r="G1425">
        <v>2014</v>
      </c>
      <c r="H1425">
        <v>163.5</v>
      </c>
      <c r="I1425">
        <v>12</v>
      </c>
      <c r="J1425" s="1" t="s">
        <v>426</v>
      </c>
      <c r="K1425">
        <v>0</v>
      </c>
      <c r="L1425">
        <v>741</v>
      </c>
      <c r="M1425">
        <v>0.22061800000000001</v>
      </c>
      <c r="N1425">
        <v>3</v>
      </c>
      <c r="O1425" s="1" t="s">
        <v>560</v>
      </c>
      <c r="P1425">
        <v>163.5</v>
      </c>
      <c r="Q1425">
        <v>130.80000000000001</v>
      </c>
      <c r="R1425">
        <v>0</v>
      </c>
      <c r="S1425" s="1" t="s">
        <v>621</v>
      </c>
      <c r="T1425" s="1"/>
      <c r="U1425">
        <v>163.5</v>
      </c>
      <c r="V1425">
        <v>0</v>
      </c>
      <c r="W1425">
        <v>77412</v>
      </c>
    </row>
    <row r="1426" spans="1:23" x14ac:dyDescent="0.25">
      <c r="A1426" s="1" t="s">
        <v>30</v>
      </c>
      <c r="B1426" s="1"/>
      <c r="C1426" s="1" t="s">
        <v>150</v>
      </c>
      <c r="D1426">
        <v>10208</v>
      </c>
      <c r="E1426" s="1"/>
      <c r="F1426" s="1" t="s">
        <v>283</v>
      </c>
      <c r="G1426">
        <v>2013</v>
      </c>
      <c r="H1426">
        <v>198.9</v>
      </c>
      <c r="I1426">
        <v>12</v>
      </c>
      <c r="J1426" s="1" t="s">
        <v>426</v>
      </c>
      <c r="K1426">
        <v>0</v>
      </c>
      <c r="L1426">
        <v>741</v>
      </c>
      <c r="M1426">
        <v>0.26838400000000001</v>
      </c>
      <c r="N1426">
        <v>3</v>
      </c>
      <c r="O1426" s="1" t="s">
        <v>560</v>
      </c>
      <c r="P1426">
        <v>198.9</v>
      </c>
      <c r="Q1426">
        <v>159.12</v>
      </c>
      <c r="R1426">
        <v>0</v>
      </c>
      <c r="S1426" s="1" t="s">
        <v>621</v>
      </c>
      <c r="T1426" s="1"/>
      <c r="U1426">
        <v>198.9</v>
      </c>
      <c r="V1426">
        <v>0</v>
      </c>
      <c r="W1426">
        <v>77412</v>
      </c>
    </row>
    <row r="1427" spans="1:23" x14ac:dyDescent="0.25">
      <c r="A1427" s="1" t="s">
        <v>30</v>
      </c>
      <c r="B1427" s="1"/>
      <c r="C1427" s="1" t="s">
        <v>150</v>
      </c>
      <c r="D1427">
        <v>10208</v>
      </c>
      <c r="E1427" s="1"/>
      <c r="F1427" s="1" t="s">
        <v>283</v>
      </c>
      <c r="G1427">
        <v>2012</v>
      </c>
      <c r="H1427">
        <v>195.5</v>
      </c>
      <c r="I1427">
        <v>12</v>
      </c>
      <c r="J1427" s="1" t="s">
        <v>426</v>
      </c>
      <c r="K1427">
        <v>0</v>
      </c>
      <c r="L1427">
        <v>741</v>
      </c>
      <c r="M1427">
        <v>0.263797</v>
      </c>
      <c r="N1427">
        <v>3</v>
      </c>
      <c r="O1427" s="1" t="s">
        <v>560</v>
      </c>
      <c r="P1427">
        <v>195.5</v>
      </c>
      <c r="Q1427">
        <v>156.4</v>
      </c>
      <c r="R1427">
        <v>0</v>
      </c>
      <c r="S1427" s="1" t="s">
        <v>621</v>
      </c>
      <c r="T1427" s="1"/>
      <c r="U1427">
        <v>195.5</v>
      </c>
      <c r="V1427">
        <v>0</v>
      </c>
      <c r="W1427">
        <v>77412</v>
      </c>
    </row>
    <row r="1428" spans="1:23" x14ac:dyDescent="0.25">
      <c r="A1428" s="1" t="s">
        <v>30</v>
      </c>
      <c r="B1428" s="1"/>
      <c r="C1428" s="1" t="s">
        <v>150</v>
      </c>
      <c r="D1428">
        <v>10208</v>
      </c>
      <c r="E1428" s="1"/>
      <c r="F1428" s="1" t="s">
        <v>283</v>
      </c>
      <c r="G1428">
        <v>2011</v>
      </c>
      <c r="H1428">
        <v>183.88</v>
      </c>
      <c r="I1428">
        <v>6</v>
      </c>
      <c r="J1428" s="1" t="s">
        <v>426</v>
      </c>
      <c r="K1428">
        <v>0</v>
      </c>
      <c r="L1428">
        <v>741</v>
      </c>
      <c r="M1428">
        <v>0.248117</v>
      </c>
      <c r="N1428">
        <v>3</v>
      </c>
      <c r="O1428" s="1" t="s">
        <v>560</v>
      </c>
      <c r="P1428">
        <v>183.88</v>
      </c>
      <c r="Q1428">
        <v>147.1</v>
      </c>
      <c r="R1428">
        <v>0</v>
      </c>
      <c r="S1428" s="1" t="s">
        <v>621</v>
      </c>
      <c r="T1428" s="1"/>
      <c r="U1428">
        <v>183.87855999999999</v>
      </c>
      <c r="V1428">
        <v>0</v>
      </c>
      <c r="W1428">
        <v>77412</v>
      </c>
    </row>
    <row r="1429" spans="1:23" x14ac:dyDescent="0.25">
      <c r="A1429" s="1" t="s">
        <v>30</v>
      </c>
      <c r="B1429" s="1"/>
      <c r="C1429" s="1" t="s">
        <v>150</v>
      </c>
      <c r="D1429">
        <v>10208</v>
      </c>
      <c r="E1429" s="1"/>
      <c r="F1429" s="1" t="s">
        <v>283</v>
      </c>
      <c r="G1429">
        <v>2010</v>
      </c>
      <c r="H1429">
        <v>242.33</v>
      </c>
      <c r="I1429">
        <v>6</v>
      </c>
      <c r="J1429" s="1" t="s">
        <v>426</v>
      </c>
      <c r="K1429">
        <v>0</v>
      </c>
      <c r="L1429">
        <v>741</v>
      </c>
      <c r="M1429">
        <v>0.326986</v>
      </c>
      <c r="N1429">
        <v>3</v>
      </c>
      <c r="O1429" s="1" t="s">
        <v>560</v>
      </c>
      <c r="P1429">
        <v>242.33</v>
      </c>
      <c r="Q1429">
        <v>193.86</v>
      </c>
      <c r="R1429">
        <v>0</v>
      </c>
      <c r="S1429" s="1" t="s">
        <v>621</v>
      </c>
      <c r="T1429" s="1"/>
      <c r="U1429">
        <v>242.31729999999999</v>
      </c>
      <c r="V1429">
        <v>0</v>
      </c>
      <c r="W1429">
        <v>77412</v>
      </c>
    </row>
    <row r="1430" spans="1:23" x14ac:dyDescent="0.25">
      <c r="A1430" s="1" t="s">
        <v>30</v>
      </c>
      <c r="B1430" s="1"/>
      <c r="C1430" s="1" t="s">
        <v>150</v>
      </c>
      <c r="D1430">
        <v>10208</v>
      </c>
      <c r="E1430" s="1"/>
      <c r="F1430" s="1" t="s">
        <v>283</v>
      </c>
      <c r="G1430">
        <v>2009</v>
      </c>
      <c r="H1430">
        <v>253.61</v>
      </c>
      <c r="I1430">
        <v>4</v>
      </c>
      <c r="J1430" s="1" t="s">
        <v>426</v>
      </c>
      <c r="K1430">
        <v>0</v>
      </c>
      <c r="L1430">
        <v>741</v>
      </c>
      <c r="M1430">
        <v>0.34220699999999998</v>
      </c>
      <c r="N1430">
        <v>3</v>
      </c>
      <c r="O1430" s="1" t="s">
        <v>560</v>
      </c>
      <c r="P1430">
        <v>253.61</v>
      </c>
      <c r="Q1430">
        <v>202.88</v>
      </c>
      <c r="R1430">
        <v>0</v>
      </c>
      <c r="S1430" s="1" t="s">
        <v>621</v>
      </c>
      <c r="T1430" s="1"/>
      <c r="U1430">
        <v>253.61223000000001</v>
      </c>
      <c r="V1430">
        <v>0</v>
      </c>
      <c r="W1430">
        <v>77412</v>
      </c>
    </row>
    <row r="1431" spans="1:23" x14ac:dyDescent="0.25">
      <c r="A1431" s="1" t="s">
        <v>30</v>
      </c>
      <c r="B1431" s="1"/>
      <c r="C1431" s="1" t="s">
        <v>150</v>
      </c>
      <c r="D1431">
        <v>10208</v>
      </c>
      <c r="E1431" s="1"/>
      <c r="F1431" s="1" t="s">
        <v>283</v>
      </c>
      <c r="G1431">
        <v>2008</v>
      </c>
      <c r="H1431">
        <v>195.38</v>
      </c>
      <c r="I1431">
        <v>5</v>
      </c>
      <c r="J1431" s="1" t="s">
        <v>426</v>
      </c>
      <c r="K1431">
        <v>0</v>
      </c>
      <c r="L1431">
        <v>741</v>
      </c>
      <c r="M1431">
        <v>0.26363500000000001</v>
      </c>
      <c r="N1431">
        <v>3</v>
      </c>
      <c r="O1431" s="1" t="s">
        <v>560</v>
      </c>
      <c r="P1431">
        <v>195.38</v>
      </c>
      <c r="Q1431">
        <v>156.31</v>
      </c>
      <c r="R1431">
        <v>0</v>
      </c>
      <c r="S1431" s="1" t="s">
        <v>621</v>
      </c>
      <c r="T1431" s="1"/>
      <c r="U1431">
        <v>195.36442</v>
      </c>
      <c r="V1431">
        <v>0</v>
      </c>
      <c r="W1431">
        <v>77412</v>
      </c>
    </row>
    <row r="1432" spans="1:23" x14ac:dyDescent="0.25">
      <c r="A1432" s="1" t="s">
        <v>30</v>
      </c>
      <c r="B1432" s="1"/>
      <c r="C1432" s="1" t="s">
        <v>151</v>
      </c>
      <c r="D1432">
        <v>10236</v>
      </c>
      <c r="E1432" s="1"/>
      <c r="F1432" s="1" t="s">
        <v>284</v>
      </c>
      <c r="G1432">
        <v>2015</v>
      </c>
      <c r="H1432">
        <v>101.84</v>
      </c>
      <c r="I1432">
        <v>2</v>
      </c>
      <c r="J1432" s="1" t="s">
        <v>427</v>
      </c>
      <c r="K1432">
        <v>0</v>
      </c>
      <c r="L1432">
        <v>696</v>
      </c>
      <c r="M1432">
        <v>0.14630000000000001</v>
      </c>
      <c r="N1432">
        <v>3</v>
      </c>
      <c r="O1432" s="1" t="s">
        <v>560</v>
      </c>
      <c r="P1432">
        <v>101.84</v>
      </c>
      <c r="Q1432">
        <v>81.459999999999994</v>
      </c>
      <c r="R1432">
        <v>0</v>
      </c>
      <c r="S1432" s="1" t="s">
        <v>622</v>
      </c>
      <c r="T1432" s="1"/>
      <c r="U1432">
        <v>101.82980000000001</v>
      </c>
      <c r="V1432">
        <v>0</v>
      </c>
      <c r="W1432">
        <v>77525</v>
      </c>
    </row>
    <row r="1433" spans="1:23" x14ac:dyDescent="0.25">
      <c r="A1433" s="1" t="s">
        <v>30</v>
      </c>
      <c r="B1433" s="1"/>
      <c r="C1433" s="1" t="s">
        <v>151</v>
      </c>
      <c r="D1433">
        <v>10236</v>
      </c>
      <c r="E1433" s="1"/>
      <c r="F1433" s="1" t="s">
        <v>284</v>
      </c>
      <c r="G1433">
        <v>2014</v>
      </c>
      <c r="H1433">
        <v>506.74</v>
      </c>
      <c r="I1433">
        <v>10</v>
      </c>
      <c r="J1433" s="1" t="s">
        <v>427</v>
      </c>
      <c r="K1433">
        <v>0</v>
      </c>
      <c r="L1433">
        <v>696</v>
      </c>
      <c r="M1433">
        <v>0.72797000000000001</v>
      </c>
      <c r="N1433">
        <v>3</v>
      </c>
      <c r="O1433" s="1" t="s">
        <v>560</v>
      </c>
      <c r="P1433">
        <v>506.74</v>
      </c>
      <c r="Q1433">
        <v>405.4</v>
      </c>
      <c r="R1433">
        <v>0</v>
      </c>
      <c r="S1433" s="1" t="s">
        <v>622</v>
      </c>
      <c r="T1433" s="1"/>
      <c r="U1433">
        <v>506.74164000000002</v>
      </c>
      <c r="V1433">
        <v>0</v>
      </c>
      <c r="W1433">
        <v>77525</v>
      </c>
    </row>
    <row r="1434" spans="1:23" x14ac:dyDescent="0.25">
      <c r="A1434" s="1" t="s">
        <v>30</v>
      </c>
      <c r="B1434" s="1"/>
      <c r="C1434" s="1" t="s">
        <v>151</v>
      </c>
      <c r="D1434">
        <v>10236</v>
      </c>
      <c r="E1434" s="1"/>
      <c r="F1434" s="1" t="s">
        <v>284</v>
      </c>
      <c r="G1434">
        <v>2013</v>
      </c>
      <c r="H1434">
        <v>630.66999999999996</v>
      </c>
      <c r="I1434">
        <v>7</v>
      </c>
      <c r="J1434" s="1" t="s">
        <v>427</v>
      </c>
      <c r="K1434">
        <v>0</v>
      </c>
      <c r="L1434">
        <v>696</v>
      </c>
      <c r="M1434">
        <v>0.90600400000000003</v>
      </c>
      <c r="N1434">
        <v>3</v>
      </c>
      <c r="O1434" s="1" t="s">
        <v>560</v>
      </c>
      <c r="P1434">
        <v>630.66999999999996</v>
      </c>
      <c r="Q1434">
        <v>504.54</v>
      </c>
      <c r="R1434">
        <v>0</v>
      </c>
      <c r="S1434" s="1" t="s">
        <v>622</v>
      </c>
      <c r="T1434" s="1"/>
      <c r="U1434">
        <v>630.67461000000003</v>
      </c>
      <c r="V1434">
        <v>0</v>
      </c>
      <c r="W1434">
        <v>77525</v>
      </c>
    </row>
    <row r="1435" spans="1:23" x14ac:dyDescent="0.25">
      <c r="A1435" s="1" t="s">
        <v>30</v>
      </c>
      <c r="B1435" s="1"/>
      <c r="C1435" s="1" t="s">
        <v>151</v>
      </c>
      <c r="D1435">
        <v>10236</v>
      </c>
      <c r="E1435" s="1"/>
      <c r="F1435" s="1" t="s">
        <v>284</v>
      </c>
      <c r="G1435">
        <v>2012</v>
      </c>
      <c r="H1435">
        <v>324.33999999999997</v>
      </c>
      <c r="I1435">
        <v>4</v>
      </c>
      <c r="J1435" s="1" t="s">
        <v>427</v>
      </c>
      <c r="K1435">
        <v>0</v>
      </c>
      <c r="L1435">
        <v>696</v>
      </c>
      <c r="M1435">
        <v>0.46593800000000002</v>
      </c>
      <c r="N1435">
        <v>3</v>
      </c>
      <c r="O1435" s="1" t="s">
        <v>560</v>
      </c>
      <c r="P1435">
        <v>324.33999999999997</v>
      </c>
      <c r="Q1435">
        <v>259.45999999999998</v>
      </c>
      <c r="R1435">
        <v>0</v>
      </c>
      <c r="S1435" s="1" t="s">
        <v>622</v>
      </c>
      <c r="T1435" s="1"/>
      <c r="U1435">
        <v>324.31648000000001</v>
      </c>
      <c r="V1435">
        <v>0</v>
      </c>
      <c r="W1435">
        <v>77525</v>
      </c>
    </row>
    <row r="1436" spans="1:23" x14ac:dyDescent="0.25">
      <c r="A1436" s="1" t="s">
        <v>30</v>
      </c>
      <c r="B1436" s="1"/>
      <c r="C1436" s="1" t="s">
        <v>151</v>
      </c>
      <c r="D1436">
        <v>10236</v>
      </c>
      <c r="E1436" s="1"/>
      <c r="F1436" s="1" t="s">
        <v>284</v>
      </c>
      <c r="G1436">
        <v>2011</v>
      </c>
      <c r="H1436">
        <v>327.19</v>
      </c>
      <c r="I1436">
        <v>11</v>
      </c>
      <c r="J1436" s="1" t="s">
        <v>427</v>
      </c>
      <c r="K1436">
        <v>0</v>
      </c>
      <c r="L1436">
        <v>696</v>
      </c>
      <c r="M1436">
        <v>0.47003299999999998</v>
      </c>
      <c r="N1436">
        <v>3</v>
      </c>
      <c r="O1436" s="1" t="s">
        <v>560</v>
      </c>
      <c r="P1436">
        <v>327.19</v>
      </c>
      <c r="Q1436">
        <v>261.73</v>
      </c>
      <c r="R1436">
        <v>0</v>
      </c>
      <c r="S1436" s="1" t="s">
        <v>622</v>
      </c>
      <c r="T1436" s="1"/>
      <c r="U1436">
        <v>327.17084999999997</v>
      </c>
      <c r="V1436">
        <v>0</v>
      </c>
      <c r="W1436">
        <v>77525</v>
      </c>
    </row>
    <row r="1437" spans="1:23" x14ac:dyDescent="0.25">
      <c r="A1437" s="1" t="s">
        <v>30</v>
      </c>
      <c r="B1437" s="1"/>
      <c r="C1437" s="1" t="s">
        <v>151</v>
      </c>
      <c r="D1437">
        <v>10236</v>
      </c>
      <c r="E1437" s="1"/>
      <c r="F1437" s="1" t="s">
        <v>284</v>
      </c>
      <c r="G1437">
        <v>2010</v>
      </c>
      <c r="H1437">
        <v>247.09</v>
      </c>
      <c r="I1437">
        <v>12</v>
      </c>
      <c r="J1437" s="1" t="s">
        <v>427</v>
      </c>
      <c r="K1437">
        <v>0</v>
      </c>
      <c r="L1437">
        <v>696</v>
      </c>
      <c r="M1437">
        <v>0.35496299999999997</v>
      </c>
      <c r="N1437">
        <v>3</v>
      </c>
      <c r="O1437" s="1" t="s">
        <v>560</v>
      </c>
      <c r="P1437">
        <v>247.09</v>
      </c>
      <c r="Q1437">
        <v>197.69</v>
      </c>
      <c r="R1437">
        <v>0</v>
      </c>
      <c r="S1437" s="1" t="s">
        <v>622</v>
      </c>
      <c r="T1437" s="1"/>
      <c r="U1437">
        <v>247.09523999999999</v>
      </c>
      <c r="V1437">
        <v>0</v>
      </c>
      <c r="W1437">
        <v>77525</v>
      </c>
    </row>
    <row r="1438" spans="1:23" x14ac:dyDescent="0.25">
      <c r="A1438" s="1" t="s">
        <v>30</v>
      </c>
      <c r="B1438" s="1"/>
      <c r="C1438" s="1" t="s">
        <v>151</v>
      </c>
      <c r="D1438">
        <v>10236</v>
      </c>
      <c r="E1438" s="1"/>
      <c r="F1438" s="1" t="s">
        <v>284</v>
      </c>
      <c r="G1438">
        <v>2009</v>
      </c>
      <c r="H1438">
        <v>252.53</v>
      </c>
      <c r="I1438">
        <v>11</v>
      </c>
      <c r="J1438" s="1" t="s">
        <v>427</v>
      </c>
      <c r="K1438">
        <v>0</v>
      </c>
      <c r="L1438">
        <v>696</v>
      </c>
      <c r="M1438">
        <v>0.36277799999999999</v>
      </c>
      <c r="N1438">
        <v>3</v>
      </c>
      <c r="O1438" s="1" t="s">
        <v>560</v>
      </c>
      <c r="P1438">
        <v>252.53</v>
      </c>
      <c r="Q1438">
        <v>202.03</v>
      </c>
      <c r="R1438">
        <v>0</v>
      </c>
      <c r="S1438" s="1" t="s">
        <v>622</v>
      </c>
      <c r="T1438" s="1"/>
      <c r="U1438">
        <v>252.53208000000001</v>
      </c>
      <c r="V1438">
        <v>0</v>
      </c>
      <c r="W1438">
        <v>77525</v>
      </c>
    </row>
    <row r="1439" spans="1:23" x14ac:dyDescent="0.25">
      <c r="A1439" s="1" t="s">
        <v>30</v>
      </c>
      <c r="B1439" s="1"/>
      <c r="C1439" s="1" t="s">
        <v>151</v>
      </c>
      <c r="D1439">
        <v>10236</v>
      </c>
      <c r="E1439" s="1"/>
      <c r="F1439" s="1" t="s">
        <v>284</v>
      </c>
      <c r="G1439">
        <v>2008</v>
      </c>
      <c r="H1439">
        <v>257.83999999999997</v>
      </c>
      <c r="I1439">
        <v>10</v>
      </c>
      <c r="J1439" s="1" t="s">
        <v>427</v>
      </c>
      <c r="K1439">
        <v>0</v>
      </c>
      <c r="L1439">
        <v>696</v>
      </c>
      <c r="M1439">
        <v>0.37040600000000001</v>
      </c>
      <c r="N1439">
        <v>3</v>
      </c>
      <c r="O1439" s="1" t="s">
        <v>560</v>
      </c>
      <c r="P1439">
        <v>257.83999999999997</v>
      </c>
      <c r="Q1439">
        <v>206.27</v>
      </c>
      <c r="R1439">
        <v>0</v>
      </c>
      <c r="S1439" s="1" t="s">
        <v>622</v>
      </c>
      <c r="T1439" s="1"/>
      <c r="U1439">
        <v>257.8329</v>
      </c>
      <c r="V1439">
        <v>0</v>
      </c>
      <c r="W1439">
        <v>77525</v>
      </c>
    </row>
    <row r="1440" spans="1:23" x14ac:dyDescent="0.25">
      <c r="A1440" s="1" t="s">
        <v>30</v>
      </c>
      <c r="B1440" s="1" t="s">
        <v>65</v>
      </c>
      <c r="C1440" s="1" t="s">
        <v>152</v>
      </c>
      <c r="D1440">
        <v>5273</v>
      </c>
      <c r="E1440" s="1"/>
      <c r="F1440" s="1" t="s">
        <v>285</v>
      </c>
      <c r="G1440">
        <v>2015</v>
      </c>
      <c r="H1440">
        <v>43.63</v>
      </c>
      <c r="I1440">
        <v>5</v>
      </c>
      <c r="J1440" s="1" t="s">
        <v>393</v>
      </c>
      <c r="K1440">
        <v>0</v>
      </c>
      <c r="L1440">
        <v>457</v>
      </c>
      <c r="M1440">
        <v>9.5449000000000006E-2</v>
      </c>
      <c r="N1440">
        <v>3</v>
      </c>
      <c r="O1440" s="1" t="s">
        <v>560</v>
      </c>
      <c r="P1440">
        <v>43.63</v>
      </c>
      <c r="Q1440">
        <v>34.909999999999997</v>
      </c>
      <c r="R1440">
        <v>0</v>
      </c>
      <c r="S1440" s="1" t="s">
        <v>623</v>
      </c>
      <c r="T1440" s="1"/>
      <c r="U1440">
        <v>43.634</v>
      </c>
      <c r="V1440">
        <v>0</v>
      </c>
      <c r="W1440">
        <v>56845</v>
      </c>
    </row>
    <row r="1441" spans="1:23" x14ac:dyDescent="0.25">
      <c r="A1441" s="1" t="s">
        <v>30</v>
      </c>
      <c r="B1441" s="1" t="s">
        <v>65</v>
      </c>
      <c r="C1441" s="1" t="s">
        <v>152</v>
      </c>
      <c r="D1441">
        <v>5273</v>
      </c>
      <c r="E1441" s="1"/>
      <c r="F1441" s="1" t="s">
        <v>285</v>
      </c>
      <c r="G1441">
        <v>2015</v>
      </c>
      <c r="H1441">
        <v>0.36</v>
      </c>
      <c r="I1441">
        <v>5</v>
      </c>
      <c r="J1441" s="1" t="s">
        <v>393</v>
      </c>
      <c r="K1441">
        <v>0</v>
      </c>
      <c r="L1441">
        <v>457</v>
      </c>
      <c r="M1441">
        <v>7.8700000000000005E-4</v>
      </c>
      <c r="N1441">
        <v>3</v>
      </c>
      <c r="O1441" s="1" t="s">
        <v>560</v>
      </c>
      <c r="P1441">
        <v>0.36</v>
      </c>
      <c r="Q1441">
        <v>0.28000000000000003</v>
      </c>
      <c r="R1441">
        <v>0</v>
      </c>
      <c r="S1441" s="1" t="s">
        <v>624</v>
      </c>
      <c r="T1441" s="1"/>
      <c r="U1441">
        <v>0.36</v>
      </c>
      <c r="V1441">
        <v>0</v>
      </c>
      <c r="W1441">
        <v>57992</v>
      </c>
    </row>
    <row r="1442" spans="1:23" x14ac:dyDescent="0.25">
      <c r="A1442" s="1" t="s">
        <v>30</v>
      </c>
      <c r="B1442" s="1" t="s">
        <v>65</v>
      </c>
      <c r="C1442" s="1" t="s">
        <v>152</v>
      </c>
      <c r="D1442">
        <v>5273</v>
      </c>
      <c r="E1442" s="1"/>
      <c r="F1442" s="1" t="s">
        <v>285</v>
      </c>
      <c r="G1442">
        <v>2014</v>
      </c>
      <c r="H1442">
        <v>126.57</v>
      </c>
      <c r="I1442">
        <v>12</v>
      </c>
      <c r="J1442" s="1" t="s">
        <v>393</v>
      </c>
      <c r="K1442">
        <v>0</v>
      </c>
      <c r="L1442">
        <v>457</v>
      </c>
      <c r="M1442">
        <v>0.276897</v>
      </c>
      <c r="N1442">
        <v>3</v>
      </c>
      <c r="O1442" s="1" t="s">
        <v>560</v>
      </c>
      <c r="P1442">
        <v>126.57</v>
      </c>
      <c r="Q1442">
        <v>101.26</v>
      </c>
      <c r="R1442">
        <v>0</v>
      </c>
      <c r="S1442" s="1" t="s">
        <v>623</v>
      </c>
      <c r="T1442" s="1"/>
      <c r="U1442">
        <v>126.575</v>
      </c>
      <c r="V1442">
        <v>0</v>
      </c>
      <c r="W1442">
        <v>56845</v>
      </c>
    </row>
    <row r="1443" spans="1:23" x14ac:dyDescent="0.25">
      <c r="A1443" s="1" t="s">
        <v>30</v>
      </c>
      <c r="B1443" s="1" t="s">
        <v>65</v>
      </c>
      <c r="C1443" s="1" t="s">
        <v>152</v>
      </c>
      <c r="D1443">
        <v>5273</v>
      </c>
      <c r="E1443" s="1"/>
      <c r="F1443" s="1" t="s">
        <v>285</v>
      </c>
      <c r="G1443">
        <v>2014</v>
      </c>
      <c r="H1443">
        <v>0.52</v>
      </c>
      <c r="I1443">
        <v>12</v>
      </c>
      <c r="J1443" s="1" t="s">
        <v>393</v>
      </c>
      <c r="K1443">
        <v>0</v>
      </c>
      <c r="L1443">
        <v>457</v>
      </c>
      <c r="M1443">
        <v>1.137E-3</v>
      </c>
      <c r="N1443">
        <v>3</v>
      </c>
      <c r="O1443" s="1" t="s">
        <v>560</v>
      </c>
      <c r="P1443">
        <v>0.52</v>
      </c>
      <c r="Q1443">
        <v>0.42</v>
      </c>
      <c r="R1443">
        <v>0</v>
      </c>
      <c r="S1443" s="1" t="s">
        <v>624</v>
      </c>
      <c r="T1443" s="1"/>
      <c r="U1443">
        <v>0.52</v>
      </c>
      <c r="V1443">
        <v>0</v>
      </c>
      <c r="W1443">
        <v>57992</v>
      </c>
    </row>
    <row r="1444" spans="1:23" x14ac:dyDescent="0.25">
      <c r="A1444" s="1" t="s">
        <v>30</v>
      </c>
      <c r="B1444" s="1" t="s">
        <v>65</v>
      </c>
      <c r="C1444" s="1" t="s">
        <v>152</v>
      </c>
      <c r="D1444">
        <v>5273</v>
      </c>
      <c r="E1444" s="1"/>
      <c r="F1444" s="1" t="s">
        <v>285</v>
      </c>
      <c r="G1444">
        <v>2013</v>
      </c>
      <c r="H1444">
        <v>177.46</v>
      </c>
      <c r="I1444">
        <v>12</v>
      </c>
      <c r="J1444" s="1" t="s">
        <v>393</v>
      </c>
      <c r="K1444">
        <v>0</v>
      </c>
      <c r="L1444">
        <v>457</v>
      </c>
      <c r="M1444">
        <v>0.38823000000000002</v>
      </c>
      <c r="N1444">
        <v>3</v>
      </c>
      <c r="O1444" s="1" t="s">
        <v>560</v>
      </c>
      <c r="P1444">
        <v>177.46</v>
      </c>
      <c r="Q1444">
        <v>141.97999999999999</v>
      </c>
      <c r="R1444">
        <v>0</v>
      </c>
      <c r="S1444" s="1" t="s">
        <v>623</v>
      </c>
      <c r="T1444" s="1"/>
      <c r="U1444">
        <v>177.465</v>
      </c>
      <c r="V1444">
        <v>0</v>
      </c>
      <c r="W1444">
        <v>56845</v>
      </c>
    </row>
    <row r="1445" spans="1:23" x14ac:dyDescent="0.25">
      <c r="A1445" s="1" t="s">
        <v>30</v>
      </c>
      <c r="B1445" s="1" t="s">
        <v>65</v>
      </c>
      <c r="C1445" s="1" t="s">
        <v>152</v>
      </c>
      <c r="D1445">
        <v>5273</v>
      </c>
      <c r="E1445" s="1"/>
      <c r="F1445" s="1" t="s">
        <v>285</v>
      </c>
      <c r="G1445">
        <v>2013</v>
      </c>
      <c r="H1445">
        <v>0.52</v>
      </c>
      <c r="I1445">
        <v>12</v>
      </c>
      <c r="J1445" s="1" t="s">
        <v>393</v>
      </c>
      <c r="K1445">
        <v>0</v>
      </c>
      <c r="L1445">
        <v>457</v>
      </c>
      <c r="M1445">
        <v>1.137E-3</v>
      </c>
      <c r="N1445">
        <v>3</v>
      </c>
      <c r="O1445" s="1" t="s">
        <v>560</v>
      </c>
      <c r="P1445">
        <v>0.52</v>
      </c>
      <c r="Q1445">
        <v>0.42</v>
      </c>
      <c r="R1445">
        <v>0</v>
      </c>
      <c r="S1445" s="1" t="s">
        <v>624</v>
      </c>
      <c r="T1445" s="1"/>
      <c r="U1445">
        <v>0.52</v>
      </c>
      <c r="V1445">
        <v>0</v>
      </c>
      <c r="W1445">
        <v>57992</v>
      </c>
    </row>
    <row r="1446" spans="1:23" x14ac:dyDescent="0.25">
      <c r="A1446" s="1" t="s">
        <v>30</v>
      </c>
      <c r="B1446" s="1" t="s">
        <v>65</v>
      </c>
      <c r="C1446" s="1" t="s">
        <v>152</v>
      </c>
      <c r="D1446">
        <v>5273</v>
      </c>
      <c r="E1446" s="1"/>
      <c r="F1446" s="1" t="s">
        <v>285</v>
      </c>
      <c r="G1446">
        <v>2012</v>
      </c>
      <c r="H1446">
        <v>216.27</v>
      </c>
      <c r="I1446">
        <v>12</v>
      </c>
      <c r="J1446" s="1" t="s">
        <v>393</v>
      </c>
      <c r="K1446">
        <v>0</v>
      </c>
      <c r="L1446">
        <v>457</v>
      </c>
      <c r="M1446">
        <v>0.473134</v>
      </c>
      <c r="N1446">
        <v>3</v>
      </c>
      <c r="O1446" s="1" t="s">
        <v>560</v>
      </c>
      <c r="P1446">
        <v>216.27</v>
      </c>
      <c r="Q1446">
        <v>173.02</v>
      </c>
      <c r="R1446">
        <v>0</v>
      </c>
      <c r="S1446" s="1" t="s">
        <v>623</v>
      </c>
      <c r="T1446" s="1"/>
      <c r="U1446">
        <v>216.27600000000001</v>
      </c>
      <c r="V1446">
        <v>0</v>
      </c>
      <c r="W1446">
        <v>56845</v>
      </c>
    </row>
    <row r="1447" spans="1:23" x14ac:dyDescent="0.25">
      <c r="A1447" s="1" t="s">
        <v>30</v>
      </c>
      <c r="B1447" s="1" t="s">
        <v>65</v>
      </c>
      <c r="C1447" s="1" t="s">
        <v>152</v>
      </c>
      <c r="D1447">
        <v>5273</v>
      </c>
      <c r="E1447" s="1"/>
      <c r="F1447" s="1" t="s">
        <v>285</v>
      </c>
      <c r="G1447">
        <v>2012</v>
      </c>
      <c r="H1447">
        <v>23.41</v>
      </c>
      <c r="I1447">
        <v>12</v>
      </c>
      <c r="J1447" s="1" t="s">
        <v>393</v>
      </c>
      <c r="K1447">
        <v>0</v>
      </c>
      <c r="L1447">
        <v>457</v>
      </c>
      <c r="M1447">
        <v>5.1214000000000003E-2</v>
      </c>
      <c r="N1447">
        <v>3</v>
      </c>
      <c r="O1447" s="1" t="s">
        <v>560</v>
      </c>
      <c r="P1447">
        <v>23.41</v>
      </c>
      <c r="Q1447">
        <v>18.71</v>
      </c>
      <c r="R1447">
        <v>0</v>
      </c>
      <c r="S1447" s="1" t="s">
        <v>624</v>
      </c>
      <c r="T1447" s="1"/>
      <c r="U1447">
        <v>23.41</v>
      </c>
      <c r="V1447">
        <v>0</v>
      </c>
      <c r="W1447">
        <v>57992</v>
      </c>
    </row>
    <row r="1448" spans="1:23" x14ac:dyDescent="0.25">
      <c r="A1448" s="1" t="s">
        <v>30</v>
      </c>
      <c r="B1448" s="1" t="s">
        <v>65</v>
      </c>
      <c r="C1448" s="1" t="s">
        <v>152</v>
      </c>
      <c r="D1448">
        <v>5273</v>
      </c>
      <c r="E1448" s="1"/>
      <c r="F1448" s="1" t="s">
        <v>285</v>
      </c>
      <c r="G1448">
        <v>2011</v>
      </c>
      <c r="H1448">
        <v>225.32</v>
      </c>
      <c r="I1448">
        <v>12</v>
      </c>
      <c r="J1448" s="1" t="s">
        <v>393</v>
      </c>
      <c r="K1448">
        <v>0</v>
      </c>
      <c r="L1448">
        <v>457</v>
      </c>
      <c r="M1448">
        <v>0.49293300000000001</v>
      </c>
      <c r="N1448">
        <v>3</v>
      </c>
      <c r="O1448" s="1" t="s">
        <v>560</v>
      </c>
      <c r="P1448">
        <v>225.32</v>
      </c>
      <c r="Q1448">
        <v>180.24</v>
      </c>
      <c r="R1448">
        <v>0</v>
      </c>
      <c r="S1448" s="1" t="s">
        <v>623</v>
      </c>
      <c r="T1448" s="1"/>
      <c r="U1448">
        <v>225.31100000000001</v>
      </c>
      <c r="V1448">
        <v>0</v>
      </c>
      <c r="W1448">
        <v>56845</v>
      </c>
    </row>
    <row r="1449" spans="1:23" x14ac:dyDescent="0.25">
      <c r="A1449" s="1" t="s">
        <v>30</v>
      </c>
      <c r="B1449" s="1" t="s">
        <v>65</v>
      </c>
      <c r="C1449" s="1" t="s">
        <v>152</v>
      </c>
      <c r="D1449">
        <v>5273</v>
      </c>
      <c r="E1449" s="1"/>
      <c r="F1449" s="1" t="s">
        <v>285</v>
      </c>
      <c r="G1449">
        <v>2011</v>
      </c>
      <c r="H1449">
        <v>0.57999999999999996</v>
      </c>
      <c r="I1449">
        <v>12</v>
      </c>
      <c r="J1449" s="1" t="s">
        <v>393</v>
      </c>
      <c r="K1449">
        <v>0</v>
      </c>
      <c r="L1449">
        <v>457</v>
      </c>
      <c r="M1449">
        <v>1.268E-3</v>
      </c>
      <c r="N1449">
        <v>3</v>
      </c>
      <c r="O1449" s="1" t="s">
        <v>560</v>
      </c>
      <c r="P1449">
        <v>0.57999999999999996</v>
      </c>
      <c r="Q1449">
        <v>0.48</v>
      </c>
      <c r="R1449">
        <v>0</v>
      </c>
      <c r="S1449" s="1" t="s">
        <v>624</v>
      </c>
      <c r="T1449" s="1"/>
      <c r="U1449">
        <v>0.57999999999999996</v>
      </c>
      <c r="V1449">
        <v>0</v>
      </c>
      <c r="W1449">
        <v>57992</v>
      </c>
    </row>
    <row r="1450" spans="1:23" x14ac:dyDescent="0.25">
      <c r="A1450" s="1" t="s">
        <v>30</v>
      </c>
      <c r="B1450" s="1" t="s">
        <v>65</v>
      </c>
      <c r="C1450" s="1" t="s">
        <v>152</v>
      </c>
      <c r="D1450">
        <v>5273</v>
      </c>
      <c r="E1450" s="1"/>
      <c r="F1450" s="1" t="s">
        <v>285</v>
      </c>
      <c r="G1450">
        <v>2010</v>
      </c>
      <c r="H1450">
        <v>198.57</v>
      </c>
      <c r="I1450">
        <v>12</v>
      </c>
      <c r="J1450" s="1" t="s">
        <v>393</v>
      </c>
      <c r="K1450">
        <v>0</v>
      </c>
      <c r="L1450">
        <v>457</v>
      </c>
      <c r="M1450">
        <v>0.43441200000000002</v>
      </c>
      <c r="N1450">
        <v>3</v>
      </c>
      <c r="O1450" s="1" t="s">
        <v>560</v>
      </c>
      <c r="P1450">
        <v>198.57</v>
      </c>
      <c r="Q1450">
        <v>158.86000000000001</v>
      </c>
      <c r="R1450">
        <v>0</v>
      </c>
      <c r="S1450" s="1" t="s">
        <v>623</v>
      </c>
      <c r="T1450" s="1"/>
      <c r="U1450">
        <v>198.57499999999999</v>
      </c>
      <c r="V1450">
        <v>0</v>
      </c>
      <c r="W1450">
        <v>56845</v>
      </c>
    </row>
    <row r="1451" spans="1:23" x14ac:dyDescent="0.25">
      <c r="A1451" s="1" t="s">
        <v>30</v>
      </c>
      <c r="B1451" s="1" t="s">
        <v>65</v>
      </c>
      <c r="C1451" s="1" t="s">
        <v>152</v>
      </c>
      <c r="D1451">
        <v>5273</v>
      </c>
      <c r="E1451" s="1"/>
      <c r="F1451" s="1" t="s">
        <v>285</v>
      </c>
      <c r="G1451">
        <v>2010</v>
      </c>
      <c r="H1451">
        <v>44.33</v>
      </c>
      <c r="I1451">
        <v>12</v>
      </c>
      <c r="J1451" s="1" t="s">
        <v>393</v>
      </c>
      <c r="K1451">
        <v>0</v>
      </c>
      <c r="L1451">
        <v>457</v>
      </c>
      <c r="M1451">
        <v>9.6979999999999997E-2</v>
      </c>
      <c r="N1451">
        <v>3</v>
      </c>
      <c r="O1451" s="1" t="s">
        <v>560</v>
      </c>
      <c r="P1451">
        <v>44.33</v>
      </c>
      <c r="Q1451">
        <v>35.46</v>
      </c>
      <c r="R1451">
        <v>0</v>
      </c>
      <c r="S1451" s="1" t="s">
        <v>624</v>
      </c>
      <c r="T1451" s="1"/>
      <c r="U1451">
        <v>44.33</v>
      </c>
      <c r="V1451">
        <v>0</v>
      </c>
      <c r="W1451">
        <v>57992</v>
      </c>
    </row>
    <row r="1452" spans="1:23" x14ac:dyDescent="0.25">
      <c r="A1452" s="1" t="s">
        <v>30</v>
      </c>
      <c r="B1452" s="1" t="s">
        <v>65</v>
      </c>
      <c r="C1452" s="1" t="s">
        <v>152</v>
      </c>
      <c r="D1452">
        <v>5273</v>
      </c>
      <c r="E1452" s="1"/>
      <c r="F1452" s="1" t="s">
        <v>285</v>
      </c>
      <c r="G1452">
        <v>2009</v>
      </c>
      <c r="H1452">
        <v>215.33</v>
      </c>
      <c r="I1452">
        <v>12</v>
      </c>
      <c r="J1452" s="1" t="s">
        <v>393</v>
      </c>
      <c r="K1452">
        <v>0</v>
      </c>
      <c r="L1452">
        <v>457</v>
      </c>
      <c r="M1452">
        <v>0.471078</v>
      </c>
      <c r="N1452">
        <v>3</v>
      </c>
      <c r="O1452" s="1" t="s">
        <v>560</v>
      </c>
      <c r="P1452">
        <v>215.33</v>
      </c>
      <c r="Q1452">
        <v>172.26</v>
      </c>
      <c r="R1452">
        <v>0</v>
      </c>
      <c r="S1452" s="1" t="s">
        <v>623</v>
      </c>
      <c r="T1452" s="1"/>
      <c r="U1452">
        <v>215.33699999999999</v>
      </c>
      <c r="V1452">
        <v>0</v>
      </c>
      <c r="W1452">
        <v>56845</v>
      </c>
    </row>
    <row r="1453" spans="1:23" x14ac:dyDescent="0.25">
      <c r="A1453" s="1" t="s">
        <v>30</v>
      </c>
      <c r="B1453" s="1" t="s">
        <v>65</v>
      </c>
      <c r="C1453" s="1" t="s">
        <v>152</v>
      </c>
      <c r="D1453">
        <v>5273</v>
      </c>
      <c r="E1453" s="1"/>
      <c r="F1453" s="1" t="s">
        <v>285</v>
      </c>
      <c r="G1453">
        <v>2009</v>
      </c>
      <c r="H1453">
        <v>152.37</v>
      </c>
      <c r="I1453">
        <v>12</v>
      </c>
      <c r="J1453" s="1" t="s">
        <v>393</v>
      </c>
      <c r="K1453">
        <v>0</v>
      </c>
      <c r="L1453">
        <v>457</v>
      </c>
      <c r="M1453">
        <v>0.33334000000000003</v>
      </c>
      <c r="N1453">
        <v>3</v>
      </c>
      <c r="O1453" s="1" t="s">
        <v>560</v>
      </c>
      <c r="P1453">
        <v>152.37</v>
      </c>
      <c r="Q1453">
        <v>121.91</v>
      </c>
      <c r="R1453">
        <v>0</v>
      </c>
      <c r="S1453" s="1" t="s">
        <v>624</v>
      </c>
      <c r="T1453" s="1"/>
      <c r="U1453">
        <v>152.37</v>
      </c>
      <c r="V1453">
        <v>0</v>
      </c>
      <c r="W1453">
        <v>57992</v>
      </c>
    </row>
    <row r="1454" spans="1:23" x14ac:dyDescent="0.25">
      <c r="A1454" s="1" t="s">
        <v>30</v>
      </c>
      <c r="B1454" s="1" t="s">
        <v>65</v>
      </c>
      <c r="C1454" s="1" t="s">
        <v>152</v>
      </c>
      <c r="D1454">
        <v>5273</v>
      </c>
      <c r="E1454" s="1"/>
      <c r="F1454" s="1" t="s">
        <v>285</v>
      </c>
      <c r="G1454">
        <v>2008</v>
      </c>
      <c r="H1454">
        <v>191.39</v>
      </c>
      <c r="I1454">
        <v>12</v>
      </c>
      <c r="J1454" s="1" t="s">
        <v>393</v>
      </c>
      <c r="K1454">
        <v>0</v>
      </c>
      <c r="L1454">
        <v>457</v>
      </c>
      <c r="M1454">
        <v>0.41870400000000002</v>
      </c>
      <c r="N1454">
        <v>3</v>
      </c>
      <c r="O1454" s="1" t="s">
        <v>560</v>
      </c>
      <c r="P1454">
        <v>191.39</v>
      </c>
      <c r="Q1454">
        <v>153.11000000000001</v>
      </c>
      <c r="R1454">
        <v>0</v>
      </c>
      <c r="S1454" s="1" t="s">
        <v>623</v>
      </c>
      <c r="T1454" s="1"/>
      <c r="U1454">
        <v>191.38900000000001</v>
      </c>
      <c r="V1454">
        <v>0</v>
      </c>
      <c r="W1454">
        <v>56845</v>
      </c>
    </row>
    <row r="1455" spans="1:23" x14ac:dyDescent="0.25">
      <c r="A1455" s="1" t="s">
        <v>30</v>
      </c>
      <c r="B1455" s="1" t="s">
        <v>65</v>
      </c>
      <c r="C1455" s="1" t="s">
        <v>152</v>
      </c>
      <c r="D1455">
        <v>5273</v>
      </c>
      <c r="E1455" s="1"/>
      <c r="F1455" s="1" t="s">
        <v>285</v>
      </c>
      <c r="G1455">
        <v>2008</v>
      </c>
      <c r="H1455">
        <v>65.64</v>
      </c>
      <c r="I1455">
        <v>12</v>
      </c>
      <c r="J1455" s="1" t="s">
        <v>393</v>
      </c>
      <c r="K1455">
        <v>0</v>
      </c>
      <c r="L1455">
        <v>457</v>
      </c>
      <c r="M1455">
        <v>0.14360000000000001</v>
      </c>
      <c r="N1455">
        <v>3</v>
      </c>
      <c r="O1455" s="1" t="s">
        <v>560</v>
      </c>
      <c r="P1455">
        <v>65.64</v>
      </c>
      <c r="Q1455">
        <v>52.5</v>
      </c>
      <c r="R1455">
        <v>0</v>
      </c>
      <c r="S1455" s="1" t="s">
        <v>624</v>
      </c>
      <c r="T1455" s="1"/>
      <c r="U1455">
        <v>65.64</v>
      </c>
      <c r="V1455">
        <v>0</v>
      </c>
      <c r="W1455">
        <v>57992</v>
      </c>
    </row>
    <row r="1456" spans="1:23" x14ac:dyDescent="0.25">
      <c r="A1456" s="1" t="s">
        <v>30</v>
      </c>
      <c r="B1456" s="1"/>
      <c r="C1456" s="1" t="s">
        <v>153</v>
      </c>
      <c r="D1456">
        <v>10211</v>
      </c>
      <c r="E1456" s="1"/>
      <c r="F1456" s="1" t="s">
        <v>153</v>
      </c>
      <c r="G1456">
        <v>2015</v>
      </c>
      <c r="H1456">
        <v>20.149999999999999</v>
      </c>
      <c r="I1456">
        <v>1</v>
      </c>
      <c r="J1456" s="1" t="s">
        <v>428</v>
      </c>
      <c r="K1456">
        <v>0</v>
      </c>
      <c r="L1456">
        <v>1107</v>
      </c>
      <c r="M1456">
        <v>1.8200000000000001E-2</v>
      </c>
      <c r="N1456">
        <v>3</v>
      </c>
      <c r="O1456" s="1" t="s">
        <v>560</v>
      </c>
      <c r="P1456">
        <v>20.149999999999999</v>
      </c>
      <c r="Q1456">
        <v>16.11</v>
      </c>
      <c r="R1456">
        <v>0</v>
      </c>
      <c r="S1456" s="1" t="s">
        <v>625</v>
      </c>
      <c r="T1456" s="1"/>
      <c r="U1456">
        <v>20.149799999999999</v>
      </c>
      <c r="V1456">
        <v>0</v>
      </c>
      <c r="W1456">
        <v>77438</v>
      </c>
    </row>
    <row r="1457" spans="1:23" x14ac:dyDescent="0.25">
      <c r="A1457" s="1" t="s">
        <v>30</v>
      </c>
      <c r="B1457" s="1"/>
      <c r="C1457" s="1" t="s">
        <v>153</v>
      </c>
      <c r="D1457">
        <v>10211</v>
      </c>
      <c r="E1457" s="1"/>
      <c r="F1457" s="1" t="s">
        <v>153</v>
      </c>
      <c r="G1457">
        <v>2014</v>
      </c>
      <c r="H1457">
        <v>174.62</v>
      </c>
      <c r="I1457">
        <v>3</v>
      </c>
      <c r="J1457" s="1" t="s">
        <v>428</v>
      </c>
      <c r="K1457">
        <v>0</v>
      </c>
      <c r="L1457">
        <v>1107</v>
      </c>
      <c r="M1457">
        <v>0.15772700000000001</v>
      </c>
      <c r="N1457">
        <v>3</v>
      </c>
      <c r="O1457" s="1" t="s">
        <v>560</v>
      </c>
      <c r="P1457">
        <v>174.62</v>
      </c>
      <c r="Q1457">
        <v>139.72</v>
      </c>
      <c r="R1457">
        <v>0</v>
      </c>
      <c r="S1457" s="1" t="s">
        <v>625</v>
      </c>
      <c r="T1457" s="1"/>
      <c r="U1457">
        <v>174.63659999999999</v>
      </c>
      <c r="V1457">
        <v>0</v>
      </c>
      <c r="W1457">
        <v>77438</v>
      </c>
    </row>
    <row r="1458" spans="1:23" x14ac:dyDescent="0.25">
      <c r="A1458" s="1" t="s">
        <v>30</v>
      </c>
      <c r="B1458" s="1"/>
      <c r="C1458" s="1" t="s">
        <v>153</v>
      </c>
      <c r="D1458">
        <v>10211</v>
      </c>
      <c r="E1458" s="1"/>
      <c r="F1458" s="1" t="s">
        <v>153</v>
      </c>
      <c r="G1458">
        <v>2013</v>
      </c>
      <c r="H1458">
        <v>217.57</v>
      </c>
      <c r="I1458">
        <v>3</v>
      </c>
      <c r="J1458" s="1" t="s">
        <v>428</v>
      </c>
      <c r="K1458">
        <v>0</v>
      </c>
      <c r="L1458">
        <v>1107</v>
      </c>
      <c r="M1458">
        <v>0.196522</v>
      </c>
      <c r="N1458">
        <v>3</v>
      </c>
      <c r="O1458" s="1" t="s">
        <v>560</v>
      </c>
      <c r="P1458">
        <v>217.57</v>
      </c>
      <c r="Q1458">
        <v>174.04</v>
      </c>
      <c r="R1458">
        <v>0</v>
      </c>
      <c r="S1458" s="1" t="s">
        <v>625</v>
      </c>
      <c r="T1458" s="1"/>
      <c r="U1458">
        <v>217.55937</v>
      </c>
      <c r="V1458">
        <v>0</v>
      </c>
      <c r="W1458">
        <v>77438</v>
      </c>
    </row>
    <row r="1459" spans="1:23" x14ac:dyDescent="0.25">
      <c r="A1459" s="1" t="s">
        <v>30</v>
      </c>
      <c r="B1459" s="1"/>
      <c r="C1459" s="1" t="s">
        <v>153</v>
      </c>
      <c r="D1459">
        <v>10211</v>
      </c>
      <c r="E1459" s="1"/>
      <c r="F1459" s="1" t="s">
        <v>153</v>
      </c>
      <c r="G1459">
        <v>2012</v>
      </c>
      <c r="H1459">
        <v>212.22</v>
      </c>
      <c r="I1459">
        <v>6</v>
      </c>
      <c r="J1459" s="1" t="s">
        <v>428</v>
      </c>
      <c r="K1459">
        <v>0</v>
      </c>
      <c r="L1459">
        <v>1107</v>
      </c>
      <c r="M1459">
        <v>0.19169</v>
      </c>
      <c r="N1459">
        <v>3</v>
      </c>
      <c r="O1459" s="1" t="s">
        <v>560</v>
      </c>
      <c r="P1459">
        <v>212.22</v>
      </c>
      <c r="Q1459">
        <v>169.75</v>
      </c>
      <c r="R1459">
        <v>0</v>
      </c>
      <c r="S1459" s="1" t="s">
        <v>625</v>
      </c>
      <c r="T1459" s="1"/>
      <c r="U1459">
        <v>212.19969</v>
      </c>
      <c r="V1459">
        <v>0</v>
      </c>
      <c r="W1459">
        <v>77438</v>
      </c>
    </row>
    <row r="1460" spans="1:23" x14ac:dyDescent="0.25">
      <c r="A1460" s="1" t="s">
        <v>30</v>
      </c>
      <c r="B1460" s="1"/>
      <c r="C1460" s="1" t="s">
        <v>153</v>
      </c>
      <c r="D1460">
        <v>10211</v>
      </c>
      <c r="E1460" s="1"/>
      <c r="F1460" s="1" t="s">
        <v>153</v>
      </c>
      <c r="G1460">
        <v>2011</v>
      </c>
      <c r="H1460">
        <v>224.37</v>
      </c>
      <c r="I1460">
        <v>4</v>
      </c>
      <c r="J1460" s="1" t="s">
        <v>428</v>
      </c>
      <c r="K1460">
        <v>0</v>
      </c>
      <c r="L1460">
        <v>1107</v>
      </c>
      <c r="M1460">
        <v>0.20266400000000001</v>
      </c>
      <c r="N1460">
        <v>3</v>
      </c>
      <c r="O1460" s="1" t="s">
        <v>560</v>
      </c>
      <c r="P1460">
        <v>224.37</v>
      </c>
      <c r="Q1460">
        <v>179.5</v>
      </c>
      <c r="R1460">
        <v>0</v>
      </c>
      <c r="S1460" s="1" t="s">
        <v>625</v>
      </c>
      <c r="T1460" s="1"/>
      <c r="U1460">
        <v>224.37454</v>
      </c>
      <c r="V1460">
        <v>0</v>
      </c>
      <c r="W1460">
        <v>77438</v>
      </c>
    </row>
    <row r="1461" spans="1:23" x14ac:dyDescent="0.25">
      <c r="A1461" s="1" t="s">
        <v>30</v>
      </c>
      <c r="B1461" s="1"/>
      <c r="C1461" s="1" t="s">
        <v>153</v>
      </c>
      <c r="D1461">
        <v>10211</v>
      </c>
      <c r="E1461" s="1"/>
      <c r="F1461" s="1" t="s">
        <v>153</v>
      </c>
      <c r="G1461">
        <v>2010</v>
      </c>
      <c r="H1461">
        <v>291.33999999999997</v>
      </c>
      <c r="I1461">
        <v>11</v>
      </c>
      <c r="J1461" s="1" t="s">
        <v>428</v>
      </c>
      <c r="K1461">
        <v>0</v>
      </c>
      <c r="L1461">
        <v>1107</v>
      </c>
      <c r="M1461">
        <v>0.26315499999999997</v>
      </c>
      <c r="N1461">
        <v>3</v>
      </c>
      <c r="O1461" s="1" t="s">
        <v>560</v>
      </c>
      <c r="P1461">
        <v>291.33999999999997</v>
      </c>
      <c r="Q1461">
        <v>233.08</v>
      </c>
      <c r="R1461">
        <v>0</v>
      </c>
      <c r="S1461" s="1" t="s">
        <v>625</v>
      </c>
      <c r="T1461" s="1"/>
      <c r="U1461">
        <v>291.33713999999998</v>
      </c>
      <c r="V1461">
        <v>0</v>
      </c>
      <c r="W1461">
        <v>77438</v>
      </c>
    </row>
    <row r="1462" spans="1:23" x14ac:dyDescent="0.25">
      <c r="A1462" s="1" t="s">
        <v>30</v>
      </c>
      <c r="B1462" s="1"/>
      <c r="C1462" s="1" t="s">
        <v>153</v>
      </c>
      <c r="D1462">
        <v>10211</v>
      </c>
      <c r="E1462" s="1"/>
      <c r="F1462" s="1" t="s">
        <v>153</v>
      </c>
      <c r="G1462">
        <v>2009</v>
      </c>
      <c r="H1462">
        <v>316.04000000000002</v>
      </c>
      <c r="I1462">
        <v>13</v>
      </c>
      <c r="J1462" s="1" t="s">
        <v>428</v>
      </c>
      <c r="K1462">
        <v>0</v>
      </c>
      <c r="L1462">
        <v>1107</v>
      </c>
      <c r="M1462">
        <v>0.285466</v>
      </c>
      <c r="N1462">
        <v>3</v>
      </c>
      <c r="O1462" s="1" t="s">
        <v>560</v>
      </c>
      <c r="P1462">
        <v>316.04000000000002</v>
      </c>
      <c r="Q1462">
        <v>252.83</v>
      </c>
      <c r="R1462">
        <v>0</v>
      </c>
      <c r="S1462" s="1" t="s">
        <v>625</v>
      </c>
      <c r="T1462" s="1"/>
      <c r="U1462">
        <v>316.02856000000003</v>
      </c>
      <c r="V1462">
        <v>0</v>
      </c>
      <c r="W1462">
        <v>77438</v>
      </c>
    </row>
    <row r="1463" spans="1:23" x14ac:dyDescent="0.25">
      <c r="A1463" s="1" t="s">
        <v>30</v>
      </c>
      <c r="B1463" s="1"/>
      <c r="C1463" s="1" t="s">
        <v>153</v>
      </c>
      <c r="D1463">
        <v>10211</v>
      </c>
      <c r="E1463" s="1"/>
      <c r="F1463" s="1" t="s">
        <v>153</v>
      </c>
      <c r="G1463">
        <v>2008</v>
      </c>
      <c r="H1463">
        <v>409.38</v>
      </c>
      <c r="I1463">
        <v>13</v>
      </c>
      <c r="J1463" s="1" t="s">
        <v>428</v>
      </c>
      <c r="K1463">
        <v>0</v>
      </c>
      <c r="L1463">
        <v>1107</v>
      </c>
      <c r="M1463">
        <v>0.36977599999999999</v>
      </c>
      <c r="N1463">
        <v>3</v>
      </c>
      <c r="O1463" s="1" t="s">
        <v>560</v>
      </c>
      <c r="P1463">
        <v>409.38</v>
      </c>
      <c r="Q1463">
        <v>327.52</v>
      </c>
      <c r="R1463">
        <v>0</v>
      </c>
      <c r="S1463" s="1" t="s">
        <v>625</v>
      </c>
      <c r="T1463" s="1"/>
      <c r="U1463">
        <v>409.39172000000002</v>
      </c>
      <c r="V1463">
        <v>0</v>
      </c>
      <c r="W1463">
        <v>77438</v>
      </c>
    </row>
    <row r="1464" spans="1:23" x14ac:dyDescent="0.25">
      <c r="A1464" s="1" t="s">
        <v>30</v>
      </c>
      <c r="B1464" s="1" t="s">
        <v>53</v>
      </c>
      <c r="C1464" s="1" t="s">
        <v>154</v>
      </c>
      <c r="D1464">
        <v>5250</v>
      </c>
      <c r="E1464" s="1"/>
      <c r="F1464" s="1" t="s">
        <v>286</v>
      </c>
      <c r="G1464">
        <v>2015</v>
      </c>
      <c r="H1464">
        <v>59.56</v>
      </c>
      <c r="I1464">
        <v>5</v>
      </c>
      <c r="J1464" s="1" t="s">
        <v>404</v>
      </c>
      <c r="K1464">
        <v>0</v>
      </c>
      <c r="L1464">
        <v>417</v>
      </c>
      <c r="M1464">
        <v>0.14279500000000001</v>
      </c>
      <c r="N1464">
        <v>3</v>
      </c>
      <c r="O1464" s="1" t="s">
        <v>560</v>
      </c>
      <c r="P1464">
        <v>59.56</v>
      </c>
      <c r="Q1464">
        <v>47.64</v>
      </c>
      <c r="R1464">
        <v>0</v>
      </c>
      <c r="S1464" s="1" t="s">
        <v>626</v>
      </c>
      <c r="T1464" s="1"/>
      <c r="U1464">
        <v>59.555</v>
      </c>
      <c r="V1464">
        <v>0</v>
      </c>
      <c r="W1464">
        <v>57497</v>
      </c>
    </row>
    <row r="1465" spans="1:23" x14ac:dyDescent="0.25">
      <c r="A1465" s="1" t="s">
        <v>30</v>
      </c>
      <c r="B1465" s="1" t="s">
        <v>53</v>
      </c>
      <c r="C1465" s="1" t="s">
        <v>154</v>
      </c>
      <c r="D1465">
        <v>5250</v>
      </c>
      <c r="E1465" s="1"/>
      <c r="F1465" s="1" t="s">
        <v>286</v>
      </c>
      <c r="G1465">
        <v>2014</v>
      </c>
      <c r="H1465">
        <v>197.56</v>
      </c>
      <c r="I1465">
        <v>12</v>
      </c>
      <c r="J1465" s="1" t="s">
        <v>404</v>
      </c>
      <c r="K1465">
        <v>0</v>
      </c>
      <c r="L1465">
        <v>417</v>
      </c>
      <c r="M1465">
        <v>0.47365099999999999</v>
      </c>
      <c r="N1465">
        <v>3</v>
      </c>
      <c r="O1465" s="1" t="s">
        <v>560</v>
      </c>
      <c r="P1465">
        <v>197.56</v>
      </c>
      <c r="Q1465">
        <v>158.06</v>
      </c>
      <c r="R1465">
        <v>0</v>
      </c>
      <c r="S1465" s="1" t="s">
        <v>626</v>
      </c>
      <c r="T1465" s="1"/>
      <c r="U1465">
        <v>197.56899999999999</v>
      </c>
      <c r="V1465">
        <v>0</v>
      </c>
      <c r="W1465">
        <v>57497</v>
      </c>
    </row>
    <row r="1466" spans="1:23" x14ac:dyDescent="0.25">
      <c r="A1466" s="1" t="s">
        <v>30</v>
      </c>
      <c r="B1466" s="1" t="s">
        <v>53</v>
      </c>
      <c r="C1466" s="1" t="s">
        <v>154</v>
      </c>
      <c r="D1466">
        <v>5250</v>
      </c>
      <c r="E1466" s="1"/>
      <c r="F1466" s="1" t="s">
        <v>286</v>
      </c>
      <c r="G1466">
        <v>2013</v>
      </c>
      <c r="H1466">
        <v>131.77000000000001</v>
      </c>
      <c r="I1466">
        <v>12</v>
      </c>
      <c r="J1466" s="1" t="s">
        <v>404</v>
      </c>
      <c r="K1466">
        <v>0</v>
      </c>
      <c r="L1466">
        <v>417</v>
      </c>
      <c r="M1466">
        <v>0.31591900000000001</v>
      </c>
      <c r="N1466">
        <v>3</v>
      </c>
      <c r="O1466" s="1" t="s">
        <v>560</v>
      </c>
      <c r="P1466">
        <v>131.77000000000001</v>
      </c>
      <c r="Q1466">
        <v>105.4</v>
      </c>
      <c r="R1466">
        <v>0</v>
      </c>
      <c r="S1466" s="1" t="s">
        <v>626</v>
      </c>
      <c r="T1466" s="1"/>
      <c r="U1466">
        <v>131.78</v>
      </c>
      <c r="V1466">
        <v>0</v>
      </c>
      <c r="W1466">
        <v>57497</v>
      </c>
    </row>
    <row r="1467" spans="1:23" x14ac:dyDescent="0.25">
      <c r="A1467" s="1" t="s">
        <v>30</v>
      </c>
      <c r="B1467" s="1" t="s">
        <v>53</v>
      </c>
      <c r="C1467" s="1" t="s">
        <v>154</v>
      </c>
      <c r="D1467">
        <v>5250</v>
      </c>
      <c r="E1467" s="1"/>
      <c r="F1467" s="1" t="s">
        <v>286</v>
      </c>
      <c r="G1467">
        <v>2012</v>
      </c>
      <c r="H1467">
        <v>212.16</v>
      </c>
      <c r="I1467">
        <v>12</v>
      </c>
      <c r="J1467" s="1" t="s">
        <v>404</v>
      </c>
      <c r="K1467">
        <v>0</v>
      </c>
      <c r="L1467">
        <v>417</v>
      </c>
      <c r="M1467">
        <v>0.50865400000000005</v>
      </c>
      <c r="N1467">
        <v>3</v>
      </c>
      <c r="O1467" s="1" t="s">
        <v>560</v>
      </c>
      <c r="P1467">
        <v>212.16</v>
      </c>
      <c r="Q1467">
        <v>169.73</v>
      </c>
      <c r="R1467">
        <v>0</v>
      </c>
      <c r="S1467" s="1" t="s">
        <v>626</v>
      </c>
      <c r="T1467" s="1"/>
      <c r="U1467">
        <v>212.15799999999999</v>
      </c>
      <c r="V1467">
        <v>0</v>
      </c>
      <c r="W1467">
        <v>57497</v>
      </c>
    </row>
    <row r="1468" spans="1:23" x14ac:dyDescent="0.25">
      <c r="A1468" s="1" t="s">
        <v>30</v>
      </c>
      <c r="B1468" s="1" t="s">
        <v>53</v>
      </c>
      <c r="C1468" s="1" t="s">
        <v>154</v>
      </c>
      <c r="D1468">
        <v>5250</v>
      </c>
      <c r="E1468" s="1"/>
      <c r="F1468" s="1" t="s">
        <v>286</v>
      </c>
      <c r="G1468">
        <v>2011</v>
      </c>
      <c r="H1468">
        <v>162.69</v>
      </c>
      <c r="I1468">
        <v>12</v>
      </c>
      <c r="J1468" s="1" t="s">
        <v>404</v>
      </c>
      <c r="K1468">
        <v>0</v>
      </c>
      <c r="L1468">
        <v>417</v>
      </c>
      <c r="M1468">
        <v>0.39005000000000001</v>
      </c>
      <c r="N1468">
        <v>3</v>
      </c>
      <c r="O1468" s="1" t="s">
        <v>560</v>
      </c>
      <c r="P1468">
        <v>162.69</v>
      </c>
      <c r="Q1468">
        <v>130.15</v>
      </c>
      <c r="R1468">
        <v>0</v>
      </c>
      <c r="S1468" s="1" t="s">
        <v>626</v>
      </c>
      <c r="T1468" s="1"/>
      <c r="U1468">
        <v>162.69</v>
      </c>
      <c r="V1468">
        <v>0</v>
      </c>
      <c r="W1468">
        <v>57497</v>
      </c>
    </row>
    <row r="1469" spans="1:23" x14ac:dyDescent="0.25">
      <c r="A1469" s="1" t="s">
        <v>30</v>
      </c>
      <c r="B1469" s="1" t="s">
        <v>53</v>
      </c>
      <c r="C1469" s="1" t="s">
        <v>154</v>
      </c>
      <c r="D1469">
        <v>5250</v>
      </c>
      <c r="E1469" s="1"/>
      <c r="F1469" s="1" t="s">
        <v>286</v>
      </c>
      <c r="G1469">
        <v>2010</v>
      </c>
      <c r="H1469">
        <v>232.89</v>
      </c>
      <c r="I1469">
        <v>12</v>
      </c>
      <c r="J1469" s="1" t="s">
        <v>404</v>
      </c>
      <c r="K1469">
        <v>0</v>
      </c>
      <c r="L1469">
        <v>417</v>
      </c>
      <c r="M1469">
        <v>0.55835500000000005</v>
      </c>
      <c r="N1469">
        <v>3</v>
      </c>
      <c r="O1469" s="1" t="s">
        <v>560</v>
      </c>
      <c r="P1469">
        <v>232.89</v>
      </c>
      <c r="Q1469">
        <v>186.3</v>
      </c>
      <c r="R1469">
        <v>0</v>
      </c>
      <c r="S1469" s="1" t="s">
        <v>626</v>
      </c>
      <c r="T1469" s="1"/>
      <c r="U1469">
        <v>232.887</v>
      </c>
      <c r="V1469">
        <v>0</v>
      </c>
      <c r="W1469">
        <v>57497</v>
      </c>
    </row>
    <row r="1470" spans="1:23" x14ac:dyDescent="0.25">
      <c r="A1470" s="1" t="s">
        <v>30</v>
      </c>
      <c r="B1470" s="1" t="s">
        <v>53</v>
      </c>
      <c r="C1470" s="1" t="s">
        <v>154</v>
      </c>
      <c r="D1470">
        <v>5250</v>
      </c>
      <c r="E1470" s="1"/>
      <c r="F1470" s="1" t="s">
        <v>286</v>
      </c>
      <c r="G1470">
        <v>2009</v>
      </c>
      <c r="H1470">
        <v>294.3</v>
      </c>
      <c r="I1470">
        <v>12</v>
      </c>
      <c r="J1470" s="1" t="s">
        <v>404</v>
      </c>
      <c r="K1470">
        <v>0</v>
      </c>
      <c r="L1470">
        <v>417</v>
      </c>
      <c r="M1470">
        <v>0.70558600000000005</v>
      </c>
      <c r="N1470">
        <v>3</v>
      </c>
      <c r="O1470" s="1" t="s">
        <v>560</v>
      </c>
      <c r="P1470">
        <v>294.3</v>
      </c>
      <c r="Q1470">
        <v>235.44</v>
      </c>
      <c r="R1470">
        <v>0</v>
      </c>
      <c r="S1470" s="1" t="s">
        <v>626</v>
      </c>
      <c r="T1470" s="1"/>
      <c r="U1470">
        <v>294.29399999999998</v>
      </c>
      <c r="V1470">
        <v>0</v>
      </c>
      <c r="W1470">
        <v>57497</v>
      </c>
    </row>
    <row r="1471" spans="1:23" x14ac:dyDescent="0.25">
      <c r="A1471" s="1" t="s">
        <v>30</v>
      </c>
      <c r="B1471" s="1" t="s">
        <v>53</v>
      </c>
      <c r="C1471" s="1" t="s">
        <v>154</v>
      </c>
      <c r="D1471">
        <v>5250</v>
      </c>
      <c r="E1471" s="1"/>
      <c r="F1471" s="1" t="s">
        <v>286</v>
      </c>
      <c r="G1471">
        <v>2008</v>
      </c>
      <c r="H1471">
        <v>335.42</v>
      </c>
      <c r="I1471">
        <v>12</v>
      </c>
      <c r="J1471" s="1" t="s">
        <v>404</v>
      </c>
      <c r="K1471">
        <v>0</v>
      </c>
      <c r="L1471">
        <v>417</v>
      </c>
      <c r="M1471">
        <v>0.80417099999999997</v>
      </c>
      <c r="N1471">
        <v>3</v>
      </c>
      <c r="O1471" s="1" t="s">
        <v>560</v>
      </c>
      <c r="P1471">
        <v>335.42</v>
      </c>
      <c r="Q1471">
        <v>268.33</v>
      </c>
      <c r="R1471">
        <v>0</v>
      </c>
      <c r="S1471" s="1" t="s">
        <v>626</v>
      </c>
      <c r="T1471" s="1"/>
      <c r="U1471">
        <v>335.40800000000002</v>
      </c>
      <c r="V1471">
        <v>0</v>
      </c>
      <c r="W1471">
        <v>57497</v>
      </c>
    </row>
    <row r="1472" spans="1:23" x14ac:dyDescent="0.25">
      <c r="A1472" s="1" t="s">
        <v>30</v>
      </c>
      <c r="B1472" s="1"/>
      <c r="C1472" s="1" t="s">
        <v>155</v>
      </c>
      <c r="D1472">
        <v>5941</v>
      </c>
      <c r="E1472" s="1"/>
      <c r="F1472" s="1" t="s">
        <v>155</v>
      </c>
      <c r="G1472">
        <v>2015</v>
      </c>
      <c r="H1472">
        <v>19.809999999999999</v>
      </c>
      <c r="I1472">
        <v>5</v>
      </c>
      <c r="J1472" s="1" t="s">
        <v>411</v>
      </c>
      <c r="K1472">
        <v>0</v>
      </c>
      <c r="L1472">
        <v>550</v>
      </c>
      <c r="M1472">
        <v>3.6011000000000001E-2</v>
      </c>
      <c r="N1472">
        <v>3</v>
      </c>
      <c r="O1472" s="1" t="s">
        <v>560</v>
      </c>
      <c r="P1472">
        <v>19.809999999999999</v>
      </c>
      <c r="Q1472">
        <v>15.85</v>
      </c>
      <c r="R1472">
        <v>0</v>
      </c>
      <c r="S1472" s="1" t="s">
        <v>627</v>
      </c>
      <c r="T1472" s="1"/>
      <c r="U1472">
        <v>19.806999999999999</v>
      </c>
      <c r="V1472">
        <v>0</v>
      </c>
      <c r="W1472">
        <v>59941</v>
      </c>
    </row>
    <row r="1473" spans="1:23" x14ac:dyDescent="0.25">
      <c r="A1473" s="1" t="s">
        <v>30</v>
      </c>
      <c r="B1473" s="1"/>
      <c r="C1473" s="1" t="s">
        <v>155</v>
      </c>
      <c r="D1473">
        <v>5941</v>
      </c>
      <c r="E1473" s="1"/>
      <c r="F1473" s="1" t="s">
        <v>155</v>
      </c>
      <c r="G1473">
        <v>2014</v>
      </c>
      <c r="H1473">
        <v>60.31</v>
      </c>
      <c r="I1473">
        <v>12</v>
      </c>
      <c r="J1473" s="1" t="s">
        <v>411</v>
      </c>
      <c r="K1473">
        <v>0</v>
      </c>
      <c r="L1473">
        <v>550</v>
      </c>
      <c r="M1473">
        <v>0.109634</v>
      </c>
      <c r="N1473">
        <v>3</v>
      </c>
      <c r="O1473" s="1" t="s">
        <v>560</v>
      </c>
      <c r="P1473">
        <v>60.31</v>
      </c>
      <c r="Q1473">
        <v>48.24</v>
      </c>
      <c r="R1473">
        <v>0</v>
      </c>
      <c r="S1473" s="1" t="s">
        <v>627</v>
      </c>
      <c r="T1473" s="1"/>
      <c r="U1473">
        <v>60.316000000000003</v>
      </c>
      <c r="V1473">
        <v>0</v>
      </c>
      <c r="W1473">
        <v>59941</v>
      </c>
    </row>
    <row r="1474" spans="1:23" x14ac:dyDescent="0.25">
      <c r="A1474" s="1" t="s">
        <v>30</v>
      </c>
      <c r="B1474" s="1"/>
      <c r="C1474" s="1" t="s">
        <v>155</v>
      </c>
      <c r="D1474">
        <v>5941</v>
      </c>
      <c r="E1474" s="1"/>
      <c r="F1474" s="1" t="s">
        <v>155</v>
      </c>
      <c r="G1474">
        <v>2013</v>
      </c>
      <c r="H1474">
        <v>56.4</v>
      </c>
      <c r="I1474">
        <v>12</v>
      </c>
      <c r="J1474" s="1" t="s">
        <v>411</v>
      </c>
      <c r="K1474">
        <v>0</v>
      </c>
      <c r="L1474">
        <v>550</v>
      </c>
      <c r="M1474">
        <v>0.10252600000000001</v>
      </c>
      <c r="N1474">
        <v>3</v>
      </c>
      <c r="O1474" s="1" t="s">
        <v>560</v>
      </c>
      <c r="P1474">
        <v>56.4</v>
      </c>
      <c r="Q1474">
        <v>45.11</v>
      </c>
      <c r="R1474">
        <v>0</v>
      </c>
      <c r="S1474" s="1" t="s">
        <v>627</v>
      </c>
      <c r="T1474" s="1"/>
      <c r="U1474">
        <v>56.390999999999998</v>
      </c>
      <c r="V1474">
        <v>0</v>
      </c>
      <c r="W1474">
        <v>59941</v>
      </c>
    </row>
    <row r="1475" spans="1:23" x14ac:dyDescent="0.25">
      <c r="A1475" s="1" t="s">
        <v>30</v>
      </c>
      <c r="B1475" s="1"/>
      <c r="C1475" s="1" t="s">
        <v>155</v>
      </c>
      <c r="D1475">
        <v>5941</v>
      </c>
      <c r="E1475" s="1"/>
      <c r="F1475" s="1" t="s">
        <v>155</v>
      </c>
      <c r="G1475">
        <v>2012</v>
      </c>
      <c r="H1475">
        <v>52.96</v>
      </c>
      <c r="I1475">
        <v>12</v>
      </c>
      <c r="J1475" s="1" t="s">
        <v>411</v>
      </c>
      <c r="K1475">
        <v>0</v>
      </c>
      <c r="L1475">
        <v>550</v>
      </c>
      <c r="M1475">
        <v>9.6272999999999997E-2</v>
      </c>
      <c r="N1475">
        <v>3</v>
      </c>
      <c r="O1475" s="1" t="s">
        <v>560</v>
      </c>
      <c r="P1475">
        <v>52.96</v>
      </c>
      <c r="Q1475">
        <v>42.36</v>
      </c>
      <c r="R1475">
        <v>0</v>
      </c>
      <c r="S1475" s="1" t="s">
        <v>627</v>
      </c>
      <c r="T1475" s="1"/>
      <c r="U1475">
        <v>52.953510000000001</v>
      </c>
      <c r="V1475">
        <v>0</v>
      </c>
      <c r="W1475">
        <v>59941</v>
      </c>
    </row>
    <row r="1476" spans="1:23" x14ac:dyDescent="0.25">
      <c r="A1476" s="1" t="s">
        <v>30</v>
      </c>
      <c r="B1476" s="1"/>
      <c r="C1476" s="1" t="s">
        <v>155</v>
      </c>
      <c r="D1476">
        <v>5941</v>
      </c>
      <c r="E1476" s="1"/>
      <c r="F1476" s="1" t="s">
        <v>155</v>
      </c>
      <c r="G1476">
        <v>2011</v>
      </c>
      <c r="H1476">
        <v>271.68</v>
      </c>
      <c r="I1476">
        <v>4</v>
      </c>
      <c r="J1476" s="1" t="s">
        <v>411</v>
      </c>
      <c r="K1476">
        <v>0</v>
      </c>
      <c r="L1476">
        <v>550</v>
      </c>
      <c r="M1476">
        <v>0.49387300000000001</v>
      </c>
      <c r="N1476">
        <v>3</v>
      </c>
      <c r="O1476" s="1" t="s">
        <v>560</v>
      </c>
      <c r="P1476">
        <v>271.68</v>
      </c>
      <c r="Q1476">
        <v>217.31</v>
      </c>
      <c r="R1476">
        <v>0</v>
      </c>
      <c r="S1476" s="1" t="s">
        <v>627</v>
      </c>
      <c r="T1476" s="1"/>
      <c r="U1476">
        <v>271.65505000000002</v>
      </c>
      <c r="V1476">
        <v>0</v>
      </c>
      <c r="W1476">
        <v>59941</v>
      </c>
    </row>
    <row r="1477" spans="1:23" x14ac:dyDescent="0.25">
      <c r="A1477" s="1" t="s">
        <v>30</v>
      </c>
      <c r="B1477" s="1"/>
      <c r="C1477" s="1" t="s">
        <v>155</v>
      </c>
      <c r="D1477">
        <v>5941</v>
      </c>
      <c r="E1477" s="1"/>
      <c r="F1477" s="1" t="s">
        <v>155</v>
      </c>
      <c r="G1477">
        <v>2010</v>
      </c>
      <c r="H1477">
        <v>150.56</v>
      </c>
      <c r="I1477">
        <v>4</v>
      </c>
      <c r="J1477" s="1" t="s">
        <v>411</v>
      </c>
      <c r="K1477">
        <v>0</v>
      </c>
      <c r="L1477">
        <v>550</v>
      </c>
      <c r="M1477">
        <v>0.27369500000000002</v>
      </c>
      <c r="N1477">
        <v>3</v>
      </c>
      <c r="O1477" s="1" t="s">
        <v>560</v>
      </c>
      <c r="P1477">
        <v>150.56</v>
      </c>
      <c r="Q1477">
        <v>120.45</v>
      </c>
      <c r="R1477">
        <v>0</v>
      </c>
      <c r="S1477" s="1" t="s">
        <v>627</v>
      </c>
      <c r="T1477" s="1"/>
      <c r="U1477">
        <v>150.5718</v>
      </c>
      <c r="V1477">
        <v>0</v>
      </c>
      <c r="W1477">
        <v>59941</v>
      </c>
    </row>
    <row r="1478" spans="1:23" x14ac:dyDescent="0.25">
      <c r="A1478" s="1" t="s">
        <v>30</v>
      </c>
      <c r="B1478" s="1"/>
      <c r="C1478" s="1" t="s">
        <v>155</v>
      </c>
      <c r="D1478">
        <v>5941</v>
      </c>
      <c r="E1478" s="1"/>
      <c r="F1478" s="1" t="s">
        <v>155</v>
      </c>
      <c r="G1478">
        <v>2009</v>
      </c>
      <c r="H1478">
        <v>128.74</v>
      </c>
      <c r="I1478">
        <v>2</v>
      </c>
      <c r="J1478" s="1" t="s">
        <v>411</v>
      </c>
      <c r="K1478">
        <v>0</v>
      </c>
      <c r="L1478">
        <v>550</v>
      </c>
      <c r="M1478">
        <v>0.23402999999999999</v>
      </c>
      <c r="N1478">
        <v>3</v>
      </c>
      <c r="O1478" s="1" t="s">
        <v>560</v>
      </c>
      <c r="P1478">
        <v>128.74</v>
      </c>
      <c r="Q1478">
        <v>102.99</v>
      </c>
      <c r="R1478">
        <v>0</v>
      </c>
      <c r="S1478" s="1" t="s">
        <v>627</v>
      </c>
      <c r="T1478" s="1"/>
      <c r="U1478">
        <v>128.7321</v>
      </c>
      <c r="V1478">
        <v>0</v>
      </c>
      <c r="W1478">
        <v>59941</v>
      </c>
    </row>
    <row r="1479" spans="1:23" x14ac:dyDescent="0.25">
      <c r="A1479" s="1" t="s">
        <v>30</v>
      </c>
      <c r="B1479" s="1"/>
      <c r="C1479" s="1" t="s">
        <v>155</v>
      </c>
      <c r="D1479">
        <v>5941</v>
      </c>
      <c r="E1479" s="1"/>
      <c r="F1479" s="1" t="s">
        <v>155</v>
      </c>
      <c r="G1479">
        <v>2008</v>
      </c>
      <c r="H1479">
        <v>156.61000000000001</v>
      </c>
      <c r="I1479">
        <v>8</v>
      </c>
      <c r="J1479" s="1" t="s">
        <v>411</v>
      </c>
      <c r="K1479">
        <v>0</v>
      </c>
      <c r="L1479">
        <v>550</v>
      </c>
      <c r="M1479">
        <v>0.28469299999999997</v>
      </c>
      <c r="N1479">
        <v>3</v>
      </c>
      <c r="O1479" s="1" t="s">
        <v>560</v>
      </c>
      <c r="P1479">
        <v>156.61000000000001</v>
      </c>
      <c r="Q1479">
        <v>125.28</v>
      </c>
      <c r="R1479">
        <v>0</v>
      </c>
      <c r="S1479" s="1" t="s">
        <v>627</v>
      </c>
      <c r="T1479" s="1"/>
      <c r="U1479">
        <v>156.60677999999999</v>
      </c>
      <c r="V1479">
        <v>0</v>
      </c>
      <c r="W1479">
        <v>59941</v>
      </c>
    </row>
    <row r="1480" spans="1:23" x14ac:dyDescent="0.25">
      <c r="A1480" s="1" t="s">
        <v>30</v>
      </c>
      <c r="B1480" s="1"/>
      <c r="C1480" s="1" t="s">
        <v>150</v>
      </c>
      <c r="D1480">
        <v>10208</v>
      </c>
      <c r="E1480" s="1"/>
      <c r="F1480" s="1" t="s">
        <v>283</v>
      </c>
      <c r="G1480">
        <v>2015</v>
      </c>
      <c r="H1480">
        <v>37267.230000000003</v>
      </c>
      <c r="I1480">
        <v>5</v>
      </c>
      <c r="J1480" s="1" t="s">
        <v>482</v>
      </c>
      <c r="K1480">
        <v>0</v>
      </c>
      <c r="L1480">
        <v>741</v>
      </c>
      <c r="M1480">
        <v>50.286371000000003</v>
      </c>
      <c r="N1480">
        <v>1</v>
      </c>
      <c r="O1480" s="1" t="s">
        <v>564</v>
      </c>
      <c r="P1480">
        <v>42192.94</v>
      </c>
      <c r="Q1480">
        <v>8923.0300000000007</v>
      </c>
      <c r="R1480">
        <v>0</v>
      </c>
      <c r="S1480" s="1" t="s">
        <v>798</v>
      </c>
      <c r="T1480" s="1" t="s">
        <v>1204</v>
      </c>
      <c r="U1480">
        <v>3450.6700999999998</v>
      </c>
      <c r="V1480">
        <v>0</v>
      </c>
      <c r="W1480">
        <v>77414</v>
      </c>
    </row>
    <row r="1481" spans="1:23" x14ac:dyDescent="0.25">
      <c r="A1481" s="1" t="s">
        <v>30</v>
      </c>
      <c r="B1481" s="1"/>
      <c r="C1481" s="1" t="s">
        <v>150</v>
      </c>
      <c r="D1481">
        <v>10208</v>
      </c>
      <c r="E1481" s="1"/>
      <c r="F1481" s="1" t="s">
        <v>283</v>
      </c>
      <c r="G1481">
        <v>2014</v>
      </c>
      <c r="H1481">
        <v>62527.45</v>
      </c>
      <c r="I1481">
        <v>12</v>
      </c>
      <c r="J1481" s="1" t="s">
        <v>482</v>
      </c>
      <c r="K1481">
        <v>0</v>
      </c>
      <c r="L1481">
        <v>741</v>
      </c>
      <c r="M1481">
        <v>84.371137000000004</v>
      </c>
      <c r="N1481">
        <v>1</v>
      </c>
      <c r="O1481" s="1" t="s">
        <v>564</v>
      </c>
      <c r="P1481">
        <v>74279.58</v>
      </c>
      <c r="Q1481">
        <v>15708.74</v>
      </c>
      <c r="R1481">
        <v>0</v>
      </c>
      <c r="S1481" s="1" t="s">
        <v>798</v>
      </c>
      <c r="T1481" s="1" t="s">
        <v>1204</v>
      </c>
      <c r="U1481">
        <v>5789.5778</v>
      </c>
      <c r="V1481">
        <v>0</v>
      </c>
      <c r="W1481">
        <v>77414</v>
      </c>
    </row>
    <row r="1482" spans="1:23" x14ac:dyDescent="0.25">
      <c r="A1482" s="1" t="s">
        <v>30</v>
      </c>
      <c r="B1482" s="1"/>
      <c r="C1482" s="1" t="s">
        <v>150</v>
      </c>
      <c r="D1482">
        <v>10208</v>
      </c>
      <c r="E1482" s="1"/>
      <c r="F1482" s="1" t="s">
        <v>283</v>
      </c>
      <c r="G1482">
        <v>2013</v>
      </c>
      <c r="H1482">
        <v>69834.880000000005</v>
      </c>
      <c r="I1482">
        <v>12</v>
      </c>
      <c r="J1482" s="1" t="s">
        <v>482</v>
      </c>
      <c r="K1482">
        <v>0</v>
      </c>
      <c r="L1482">
        <v>741</v>
      </c>
      <c r="M1482">
        <v>94.231385000000003</v>
      </c>
      <c r="N1482">
        <v>1</v>
      </c>
      <c r="O1482" s="1" t="s">
        <v>564</v>
      </c>
      <c r="P1482">
        <v>72519.429999999993</v>
      </c>
      <c r="Q1482">
        <v>15336.51</v>
      </c>
      <c r="R1482">
        <v>0</v>
      </c>
      <c r="S1482" s="1" t="s">
        <v>798</v>
      </c>
      <c r="T1482" s="1" t="s">
        <v>1204</v>
      </c>
      <c r="U1482">
        <v>6466.1917000000003</v>
      </c>
      <c r="V1482">
        <v>0</v>
      </c>
      <c r="W1482">
        <v>77414</v>
      </c>
    </row>
    <row r="1483" spans="1:23" x14ac:dyDescent="0.25">
      <c r="A1483" s="1" t="s">
        <v>30</v>
      </c>
      <c r="B1483" s="1"/>
      <c r="C1483" s="1" t="s">
        <v>150</v>
      </c>
      <c r="D1483">
        <v>10208</v>
      </c>
      <c r="E1483" s="1"/>
      <c r="F1483" s="1" t="s">
        <v>283</v>
      </c>
      <c r="G1483">
        <v>2012</v>
      </c>
      <c r="H1483">
        <v>84071.62</v>
      </c>
      <c r="I1483">
        <v>12</v>
      </c>
      <c r="J1483" s="1" t="s">
        <v>482</v>
      </c>
      <c r="K1483">
        <v>0</v>
      </c>
      <c r="L1483">
        <v>741</v>
      </c>
      <c r="M1483">
        <v>113.441667</v>
      </c>
      <c r="N1483">
        <v>1</v>
      </c>
      <c r="O1483" s="1" t="s">
        <v>564</v>
      </c>
      <c r="P1483">
        <v>88366.49</v>
      </c>
      <c r="Q1483">
        <v>18687.88</v>
      </c>
      <c r="R1483">
        <v>0</v>
      </c>
      <c r="S1483" s="1" t="s">
        <v>798</v>
      </c>
      <c r="T1483" s="1" t="s">
        <v>1204</v>
      </c>
      <c r="U1483">
        <v>7784.4096</v>
      </c>
      <c r="V1483">
        <v>0</v>
      </c>
      <c r="W1483">
        <v>77414</v>
      </c>
    </row>
    <row r="1484" spans="1:23" x14ac:dyDescent="0.25">
      <c r="A1484" s="1" t="s">
        <v>30</v>
      </c>
      <c r="B1484" s="1"/>
      <c r="C1484" s="1" t="s">
        <v>150</v>
      </c>
      <c r="D1484">
        <v>10208</v>
      </c>
      <c r="E1484" s="1"/>
      <c r="F1484" s="1" t="s">
        <v>283</v>
      </c>
      <c r="G1484">
        <v>2011</v>
      </c>
      <c r="H1484">
        <v>66560.03</v>
      </c>
      <c r="I1484">
        <v>6</v>
      </c>
      <c r="J1484" s="1" t="s">
        <v>482</v>
      </c>
      <c r="K1484">
        <v>0</v>
      </c>
      <c r="L1484">
        <v>741</v>
      </c>
      <c r="M1484">
        <v>89.812481000000005</v>
      </c>
      <c r="N1484">
        <v>1</v>
      </c>
      <c r="O1484" s="1" t="s">
        <v>564</v>
      </c>
      <c r="P1484">
        <v>78253.37</v>
      </c>
      <c r="Q1484">
        <v>16549.13</v>
      </c>
      <c r="R1484">
        <v>0</v>
      </c>
      <c r="S1484" s="1" t="s">
        <v>798</v>
      </c>
      <c r="T1484" s="1" t="s">
        <v>1204</v>
      </c>
      <c r="U1484">
        <v>6162.9642899999999</v>
      </c>
      <c r="V1484">
        <v>0</v>
      </c>
      <c r="W1484">
        <v>77414</v>
      </c>
    </row>
    <row r="1485" spans="1:23" x14ac:dyDescent="0.25">
      <c r="A1485" s="1" t="s">
        <v>30</v>
      </c>
      <c r="B1485" s="1"/>
      <c r="C1485" s="1" t="s">
        <v>150</v>
      </c>
      <c r="D1485">
        <v>10208</v>
      </c>
      <c r="E1485" s="1"/>
      <c r="F1485" s="1" t="s">
        <v>283</v>
      </c>
      <c r="G1485">
        <v>2010</v>
      </c>
      <c r="H1485">
        <v>72241.19</v>
      </c>
      <c r="I1485">
        <v>6</v>
      </c>
      <c r="J1485" s="1" t="s">
        <v>482</v>
      </c>
      <c r="K1485">
        <v>0</v>
      </c>
      <c r="L1485">
        <v>741</v>
      </c>
      <c r="M1485">
        <v>97.478329000000002</v>
      </c>
      <c r="N1485">
        <v>1</v>
      </c>
      <c r="O1485" s="1" t="s">
        <v>564</v>
      </c>
      <c r="P1485">
        <v>74366.27</v>
      </c>
      <c r="Q1485">
        <v>15727.1</v>
      </c>
      <c r="R1485">
        <v>0</v>
      </c>
      <c r="S1485" s="1" t="s">
        <v>798</v>
      </c>
      <c r="T1485" s="1" t="s">
        <v>1204</v>
      </c>
      <c r="U1485">
        <v>6688.9985200000001</v>
      </c>
      <c r="V1485">
        <v>0</v>
      </c>
      <c r="W1485">
        <v>77414</v>
      </c>
    </row>
    <row r="1486" spans="1:23" x14ac:dyDescent="0.25">
      <c r="A1486" s="1" t="s">
        <v>30</v>
      </c>
      <c r="B1486" s="1"/>
      <c r="C1486" s="1" t="s">
        <v>150</v>
      </c>
      <c r="D1486">
        <v>10208</v>
      </c>
      <c r="E1486" s="1"/>
      <c r="F1486" s="1" t="s">
        <v>283</v>
      </c>
      <c r="G1486">
        <v>2009</v>
      </c>
      <c r="H1486">
        <v>78710.37</v>
      </c>
      <c r="I1486">
        <v>4</v>
      </c>
      <c r="J1486" s="1" t="s">
        <v>482</v>
      </c>
      <c r="K1486">
        <v>0</v>
      </c>
      <c r="L1486">
        <v>741</v>
      </c>
      <c r="M1486">
        <v>106.207488</v>
      </c>
      <c r="N1486">
        <v>1</v>
      </c>
      <c r="O1486" s="1" t="s">
        <v>564</v>
      </c>
      <c r="P1486">
        <v>109454.33</v>
      </c>
      <c r="Q1486">
        <v>23147.57</v>
      </c>
      <c r="R1486">
        <v>0</v>
      </c>
      <c r="S1486" s="1" t="s">
        <v>798</v>
      </c>
      <c r="T1486" s="1" t="s">
        <v>1204</v>
      </c>
      <c r="U1486">
        <v>7287.9966599999998</v>
      </c>
      <c r="V1486">
        <v>0</v>
      </c>
      <c r="W1486">
        <v>77414</v>
      </c>
    </row>
    <row r="1487" spans="1:23" x14ac:dyDescent="0.25">
      <c r="A1487" s="1" t="s">
        <v>30</v>
      </c>
      <c r="B1487" s="1"/>
      <c r="C1487" s="1" t="s">
        <v>150</v>
      </c>
      <c r="D1487">
        <v>10208</v>
      </c>
      <c r="E1487" s="1"/>
      <c r="F1487" s="1" t="s">
        <v>283</v>
      </c>
      <c r="G1487">
        <v>2008</v>
      </c>
      <c r="H1487">
        <v>66862.89</v>
      </c>
      <c r="I1487">
        <v>5</v>
      </c>
      <c r="J1487" s="1" t="s">
        <v>482</v>
      </c>
      <c r="K1487">
        <v>0</v>
      </c>
      <c r="L1487">
        <v>741</v>
      </c>
      <c r="M1487">
        <v>90.221143999999995</v>
      </c>
      <c r="N1487">
        <v>1</v>
      </c>
      <c r="O1487" s="1" t="s">
        <v>564</v>
      </c>
      <c r="P1487">
        <v>75686.86</v>
      </c>
      <c r="Q1487">
        <v>16006.36</v>
      </c>
      <c r="R1487">
        <v>0</v>
      </c>
      <c r="S1487" s="1" t="s">
        <v>798</v>
      </c>
      <c r="T1487" s="1" t="s">
        <v>1204</v>
      </c>
      <c r="U1487">
        <v>6191.00756</v>
      </c>
      <c r="V1487">
        <v>0</v>
      </c>
      <c r="W1487">
        <v>77414</v>
      </c>
    </row>
    <row r="1488" spans="1:23" x14ac:dyDescent="0.25">
      <c r="A1488" s="1" t="s">
        <v>30</v>
      </c>
      <c r="B1488" s="1"/>
      <c r="C1488" s="1" t="s">
        <v>151</v>
      </c>
      <c r="D1488">
        <v>10237</v>
      </c>
      <c r="E1488" s="1"/>
      <c r="F1488" s="1" t="s">
        <v>360</v>
      </c>
      <c r="G1488">
        <v>2015</v>
      </c>
      <c r="H1488">
        <v>8961.6200000000008</v>
      </c>
      <c r="I1488">
        <v>5</v>
      </c>
      <c r="J1488" s="1" t="s">
        <v>483</v>
      </c>
      <c r="K1488">
        <v>0</v>
      </c>
      <c r="L1488">
        <v>0</v>
      </c>
      <c r="M1488">
        <v>89616.2</v>
      </c>
      <c r="N1488">
        <v>1</v>
      </c>
      <c r="O1488" s="1" t="s">
        <v>564</v>
      </c>
      <c r="P1488">
        <v>10066.290000000001</v>
      </c>
      <c r="Q1488">
        <v>2128.83</v>
      </c>
      <c r="R1488">
        <v>0</v>
      </c>
      <c r="S1488" s="1" t="s">
        <v>799</v>
      </c>
      <c r="T1488" s="1" t="s">
        <v>1205</v>
      </c>
      <c r="U1488">
        <v>829.78</v>
      </c>
      <c r="V1488">
        <v>0</v>
      </c>
      <c r="W1488">
        <v>77527</v>
      </c>
    </row>
    <row r="1489" spans="1:23" x14ac:dyDescent="0.25">
      <c r="A1489" s="1" t="s">
        <v>30</v>
      </c>
      <c r="B1489" s="1"/>
      <c r="C1489" s="1" t="s">
        <v>151</v>
      </c>
      <c r="D1489">
        <v>10237</v>
      </c>
      <c r="E1489" s="1"/>
      <c r="F1489" s="1" t="s">
        <v>360</v>
      </c>
      <c r="G1489">
        <v>2014</v>
      </c>
      <c r="H1489">
        <v>13907.27</v>
      </c>
      <c r="I1489">
        <v>12</v>
      </c>
      <c r="J1489" s="1" t="s">
        <v>483</v>
      </c>
      <c r="K1489">
        <v>0</v>
      </c>
      <c r="L1489">
        <v>0</v>
      </c>
      <c r="M1489">
        <v>139072.70000000001</v>
      </c>
      <c r="N1489">
        <v>1</v>
      </c>
      <c r="O1489" s="1" t="s">
        <v>564</v>
      </c>
      <c r="P1489">
        <v>16509.560000000001</v>
      </c>
      <c r="Q1489">
        <v>3491.47</v>
      </c>
      <c r="R1489">
        <v>0</v>
      </c>
      <c r="S1489" s="1" t="s">
        <v>799</v>
      </c>
      <c r="T1489" s="1" t="s">
        <v>1205</v>
      </c>
      <c r="U1489">
        <v>1287.71</v>
      </c>
      <c r="V1489">
        <v>0</v>
      </c>
      <c r="W1489">
        <v>77527</v>
      </c>
    </row>
    <row r="1490" spans="1:23" x14ac:dyDescent="0.25">
      <c r="A1490" s="1" t="s">
        <v>30</v>
      </c>
      <c r="B1490" s="1"/>
      <c r="C1490" s="1" t="s">
        <v>151</v>
      </c>
      <c r="D1490">
        <v>10237</v>
      </c>
      <c r="E1490" s="1"/>
      <c r="F1490" s="1" t="s">
        <v>360</v>
      </c>
      <c r="G1490">
        <v>2013</v>
      </c>
      <c r="H1490">
        <v>20647.23</v>
      </c>
      <c r="I1490">
        <v>12</v>
      </c>
      <c r="J1490" s="1" t="s">
        <v>483</v>
      </c>
      <c r="K1490">
        <v>0</v>
      </c>
      <c r="L1490">
        <v>0</v>
      </c>
      <c r="M1490">
        <v>206472.3</v>
      </c>
      <c r="N1490">
        <v>1</v>
      </c>
      <c r="O1490" s="1" t="s">
        <v>564</v>
      </c>
      <c r="P1490">
        <v>21633</v>
      </c>
      <c r="Q1490">
        <v>4574.97</v>
      </c>
      <c r="R1490">
        <v>0</v>
      </c>
      <c r="S1490" s="1" t="s">
        <v>799</v>
      </c>
      <c r="T1490" s="1" t="s">
        <v>1205</v>
      </c>
      <c r="U1490">
        <v>1911.78</v>
      </c>
      <c r="V1490">
        <v>0</v>
      </c>
      <c r="W1490">
        <v>77527</v>
      </c>
    </row>
    <row r="1491" spans="1:23" x14ac:dyDescent="0.25">
      <c r="A1491" s="1" t="s">
        <v>30</v>
      </c>
      <c r="B1491" s="1"/>
      <c r="C1491" s="1" t="s">
        <v>151</v>
      </c>
      <c r="D1491">
        <v>10237</v>
      </c>
      <c r="E1491" s="1"/>
      <c r="F1491" s="1" t="s">
        <v>360</v>
      </c>
      <c r="G1491">
        <v>2012</v>
      </c>
      <c r="H1491">
        <v>23197.75</v>
      </c>
      <c r="I1491">
        <v>12</v>
      </c>
      <c r="J1491" s="1" t="s">
        <v>483</v>
      </c>
      <c r="K1491">
        <v>0</v>
      </c>
      <c r="L1491">
        <v>0</v>
      </c>
      <c r="M1491">
        <v>231977.5</v>
      </c>
      <c r="N1491">
        <v>1</v>
      </c>
      <c r="O1491" s="1" t="s">
        <v>564</v>
      </c>
      <c r="P1491">
        <v>24551.42</v>
      </c>
      <c r="Q1491">
        <v>5192.17</v>
      </c>
      <c r="R1491">
        <v>0</v>
      </c>
      <c r="S1491" s="1" t="s">
        <v>799</v>
      </c>
      <c r="T1491" s="1" t="s">
        <v>1205</v>
      </c>
      <c r="U1491">
        <v>2147.94</v>
      </c>
      <c r="V1491">
        <v>0</v>
      </c>
      <c r="W1491">
        <v>77527</v>
      </c>
    </row>
    <row r="1492" spans="1:23" x14ac:dyDescent="0.25">
      <c r="A1492" s="1" t="s">
        <v>30</v>
      </c>
      <c r="B1492" s="1"/>
      <c r="C1492" s="1" t="s">
        <v>151</v>
      </c>
      <c r="D1492">
        <v>10237</v>
      </c>
      <c r="E1492" s="1"/>
      <c r="F1492" s="1" t="s">
        <v>360</v>
      </c>
      <c r="G1492">
        <v>2011</v>
      </c>
      <c r="H1492">
        <v>21349.77</v>
      </c>
      <c r="I1492">
        <v>12</v>
      </c>
      <c r="J1492" s="1" t="s">
        <v>483</v>
      </c>
      <c r="K1492">
        <v>0</v>
      </c>
      <c r="L1492">
        <v>0</v>
      </c>
      <c r="M1492">
        <v>213497.7</v>
      </c>
      <c r="N1492">
        <v>1</v>
      </c>
      <c r="O1492" s="1" t="s">
        <v>564</v>
      </c>
      <c r="P1492">
        <v>23513.85</v>
      </c>
      <c r="Q1492">
        <v>4972.75</v>
      </c>
      <c r="R1492">
        <v>0</v>
      </c>
      <c r="S1492" s="1" t="s">
        <v>799</v>
      </c>
      <c r="T1492" s="1" t="s">
        <v>1205</v>
      </c>
      <c r="U1492">
        <v>1976.83</v>
      </c>
      <c r="V1492">
        <v>0</v>
      </c>
      <c r="W1492">
        <v>77527</v>
      </c>
    </row>
    <row r="1493" spans="1:23" x14ac:dyDescent="0.25">
      <c r="A1493" s="1" t="s">
        <v>30</v>
      </c>
      <c r="B1493" s="1"/>
      <c r="C1493" s="1" t="s">
        <v>151</v>
      </c>
      <c r="D1493">
        <v>10237</v>
      </c>
      <c r="E1493" s="1"/>
      <c r="F1493" s="1" t="s">
        <v>360</v>
      </c>
      <c r="G1493">
        <v>2010</v>
      </c>
      <c r="H1493">
        <v>26037.91</v>
      </c>
      <c r="I1493">
        <v>13</v>
      </c>
      <c r="J1493" s="1" t="s">
        <v>483</v>
      </c>
      <c r="K1493">
        <v>0</v>
      </c>
      <c r="L1493">
        <v>0</v>
      </c>
      <c r="M1493">
        <v>260379.1</v>
      </c>
      <c r="N1493">
        <v>1</v>
      </c>
      <c r="O1493" s="1" t="s">
        <v>564</v>
      </c>
      <c r="P1493">
        <v>23849.29</v>
      </c>
      <c r="Q1493">
        <v>5043.68</v>
      </c>
      <c r="R1493">
        <v>0</v>
      </c>
      <c r="S1493" s="1" t="s">
        <v>799</v>
      </c>
      <c r="T1493" s="1" t="s">
        <v>1205</v>
      </c>
      <c r="U1493">
        <v>2410.91743</v>
      </c>
      <c r="V1493">
        <v>0</v>
      </c>
      <c r="W1493">
        <v>77527</v>
      </c>
    </row>
    <row r="1494" spans="1:23" x14ac:dyDescent="0.25">
      <c r="A1494" s="1" t="s">
        <v>30</v>
      </c>
      <c r="B1494" s="1"/>
      <c r="C1494" s="1" t="s">
        <v>151</v>
      </c>
      <c r="D1494">
        <v>10237</v>
      </c>
      <c r="E1494" s="1"/>
      <c r="F1494" s="1" t="s">
        <v>360</v>
      </c>
      <c r="G1494">
        <v>2009</v>
      </c>
      <c r="H1494">
        <v>19178.86</v>
      </c>
      <c r="I1494">
        <v>11</v>
      </c>
      <c r="J1494" s="1" t="s">
        <v>483</v>
      </c>
      <c r="K1494">
        <v>0</v>
      </c>
      <c r="L1494">
        <v>0</v>
      </c>
      <c r="M1494">
        <v>191788.6</v>
      </c>
      <c r="N1494">
        <v>1</v>
      </c>
      <c r="O1494" s="1" t="s">
        <v>564</v>
      </c>
      <c r="P1494">
        <v>20215.88</v>
      </c>
      <c r="Q1494">
        <v>4275.29</v>
      </c>
      <c r="R1494">
        <v>0</v>
      </c>
      <c r="S1494" s="1" t="s">
        <v>799</v>
      </c>
      <c r="T1494" s="1" t="s">
        <v>1205</v>
      </c>
      <c r="U1494">
        <v>1775.8204599999999</v>
      </c>
      <c r="V1494">
        <v>0</v>
      </c>
      <c r="W1494">
        <v>77527</v>
      </c>
    </row>
    <row r="1495" spans="1:23" x14ac:dyDescent="0.25">
      <c r="A1495" s="1" t="s">
        <v>30</v>
      </c>
      <c r="B1495" s="1"/>
      <c r="C1495" s="1" t="s">
        <v>151</v>
      </c>
      <c r="D1495">
        <v>10237</v>
      </c>
      <c r="E1495" s="1"/>
      <c r="F1495" s="1" t="s">
        <v>360</v>
      </c>
      <c r="G1495">
        <v>2008</v>
      </c>
      <c r="H1495">
        <v>17955.810000000001</v>
      </c>
      <c r="I1495">
        <v>10</v>
      </c>
      <c r="J1495" s="1" t="s">
        <v>483</v>
      </c>
      <c r="K1495">
        <v>0</v>
      </c>
      <c r="L1495">
        <v>0</v>
      </c>
      <c r="M1495">
        <v>179558.1</v>
      </c>
      <c r="N1495">
        <v>1</v>
      </c>
      <c r="O1495" s="1" t="s">
        <v>564</v>
      </c>
      <c r="P1495">
        <v>20505.740000000002</v>
      </c>
      <c r="Q1495">
        <v>4336.58</v>
      </c>
      <c r="R1495">
        <v>0</v>
      </c>
      <c r="S1495" s="1" t="s">
        <v>799</v>
      </c>
      <c r="T1495" s="1" t="s">
        <v>1205</v>
      </c>
      <c r="U1495">
        <v>1662.5743600000001</v>
      </c>
      <c r="V1495">
        <v>0</v>
      </c>
      <c r="W1495">
        <v>77527</v>
      </c>
    </row>
    <row r="1496" spans="1:23" x14ac:dyDescent="0.25">
      <c r="A1496" s="1" t="s">
        <v>30</v>
      </c>
      <c r="B1496" s="1"/>
      <c r="C1496" s="1" t="s">
        <v>151</v>
      </c>
      <c r="D1496">
        <v>10236</v>
      </c>
      <c r="E1496" s="1"/>
      <c r="F1496" s="1" t="s">
        <v>284</v>
      </c>
      <c r="G1496">
        <v>2015</v>
      </c>
      <c r="H1496">
        <v>30417.98</v>
      </c>
      <c r="I1496">
        <v>5</v>
      </c>
      <c r="J1496" s="1" t="s">
        <v>405</v>
      </c>
      <c r="K1496">
        <v>0</v>
      </c>
      <c r="L1496">
        <v>696</v>
      </c>
      <c r="M1496">
        <v>43.697715000000002</v>
      </c>
      <c r="N1496">
        <v>1</v>
      </c>
      <c r="O1496" s="1" t="s">
        <v>564</v>
      </c>
      <c r="P1496">
        <v>33992.15</v>
      </c>
      <c r="Q1496">
        <v>7188.71</v>
      </c>
      <c r="R1496">
        <v>0</v>
      </c>
      <c r="S1496" s="1" t="s">
        <v>800</v>
      </c>
      <c r="T1496" s="1" t="s">
        <v>1206</v>
      </c>
      <c r="U1496">
        <v>2816.48</v>
      </c>
      <c r="V1496">
        <v>0</v>
      </c>
      <c r="W1496">
        <v>77526</v>
      </c>
    </row>
    <row r="1497" spans="1:23" x14ac:dyDescent="0.25">
      <c r="A1497" s="1" t="s">
        <v>30</v>
      </c>
      <c r="B1497" s="1"/>
      <c r="C1497" s="1" t="s">
        <v>151</v>
      </c>
      <c r="D1497">
        <v>10236</v>
      </c>
      <c r="E1497" s="1"/>
      <c r="F1497" s="1" t="s">
        <v>284</v>
      </c>
      <c r="G1497">
        <v>2014</v>
      </c>
      <c r="H1497">
        <v>53943.08</v>
      </c>
      <c r="I1497">
        <v>12</v>
      </c>
      <c r="J1497" s="1" t="s">
        <v>405</v>
      </c>
      <c r="K1497">
        <v>0</v>
      </c>
      <c r="L1497">
        <v>696</v>
      </c>
      <c r="M1497">
        <v>77.493290999999999</v>
      </c>
      <c r="N1497">
        <v>1</v>
      </c>
      <c r="O1497" s="1" t="s">
        <v>564</v>
      </c>
      <c r="P1497">
        <v>64563.09</v>
      </c>
      <c r="Q1497">
        <v>13653.9</v>
      </c>
      <c r="R1497">
        <v>0</v>
      </c>
      <c r="S1497" s="1" t="s">
        <v>800</v>
      </c>
      <c r="T1497" s="1" t="s">
        <v>1206</v>
      </c>
      <c r="U1497">
        <v>4994.7299999999996</v>
      </c>
      <c r="V1497">
        <v>0</v>
      </c>
      <c r="W1497">
        <v>77526</v>
      </c>
    </row>
    <row r="1498" spans="1:23" x14ac:dyDescent="0.25">
      <c r="A1498" s="1" t="s">
        <v>30</v>
      </c>
      <c r="B1498" s="1"/>
      <c r="C1498" s="1" t="s">
        <v>151</v>
      </c>
      <c r="D1498">
        <v>10236</v>
      </c>
      <c r="E1498" s="1"/>
      <c r="F1498" s="1" t="s">
        <v>284</v>
      </c>
      <c r="G1498">
        <v>2013</v>
      </c>
      <c r="H1498">
        <v>59161.22</v>
      </c>
      <c r="I1498">
        <v>12</v>
      </c>
      <c r="J1498" s="1" t="s">
        <v>405</v>
      </c>
      <c r="K1498">
        <v>0</v>
      </c>
      <c r="L1498">
        <v>696</v>
      </c>
      <c r="M1498">
        <v>84.989541000000003</v>
      </c>
      <c r="N1498">
        <v>1</v>
      </c>
      <c r="O1498" s="1" t="s">
        <v>564</v>
      </c>
      <c r="P1498">
        <v>61941.19</v>
      </c>
      <c r="Q1498">
        <v>13099.42</v>
      </c>
      <c r="R1498">
        <v>0</v>
      </c>
      <c r="S1498" s="1" t="s">
        <v>800</v>
      </c>
      <c r="T1498" s="1" t="s">
        <v>1206</v>
      </c>
      <c r="U1498">
        <v>5477.89</v>
      </c>
      <c r="V1498">
        <v>0</v>
      </c>
      <c r="W1498">
        <v>77526</v>
      </c>
    </row>
    <row r="1499" spans="1:23" x14ac:dyDescent="0.25">
      <c r="A1499" s="1" t="s">
        <v>30</v>
      </c>
      <c r="B1499" s="1"/>
      <c r="C1499" s="1" t="s">
        <v>151</v>
      </c>
      <c r="D1499">
        <v>10236</v>
      </c>
      <c r="E1499" s="1"/>
      <c r="F1499" s="1" t="s">
        <v>284</v>
      </c>
      <c r="G1499">
        <v>2012</v>
      </c>
      <c r="H1499">
        <v>71245.119999999995</v>
      </c>
      <c r="I1499">
        <v>12</v>
      </c>
      <c r="J1499" s="1" t="s">
        <v>405</v>
      </c>
      <c r="K1499">
        <v>0</v>
      </c>
      <c r="L1499">
        <v>696</v>
      </c>
      <c r="M1499">
        <v>102.348972</v>
      </c>
      <c r="N1499">
        <v>1</v>
      </c>
      <c r="O1499" s="1" t="s">
        <v>564</v>
      </c>
      <c r="P1499">
        <v>75359.59</v>
      </c>
      <c r="Q1499">
        <v>15937.16</v>
      </c>
      <c r="R1499">
        <v>0</v>
      </c>
      <c r="S1499" s="1" t="s">
        <v>800</v>
      </c>
      <c r="T1499" s="1" t="s">
        <v>1206</v>
      </c>
      <c r="U1499">
        <v>6596.77</v>
      </c>
      <c r="V1499">
        <v>0</v>
      </c>
      <c r="W1499">
        <v>77526</v>
      </c>
    </row>
    <row r="1500" spans="1:23" x14ac:dyDescent="0.25">
      <c r="A1500" s="1" t="s">
        <v>30</v>
      </c>
      <c r="B1500" s="1"/>
      <c r="C1500" s="1" t="s">
        <v>151</v>
      </c>
      <c r="D1500">
        <v>10236</v>
      </c>
      <c r="E1500" s="1"/>
      <c r="F1500" s="1" t="s">
        <v>284</v>
      </c>
      <c r="G1500">
        <v>2011</v>
      </c>
      <c r="H1500">
        <v>75888.789999999994</v>
      </c>
      <c r="I1500">
        <v>12</v>
      </c>
      <c r="J1500" s="1" t="s">
        <v>405</v>
      </c>
      <c r="K1500">
        <v>0</v>
      </c>
      <c r="L1500">
        <v>696</v>
      </c>
      <c r="M1500">
        <v>109.019954</v>
      </c>
      <c r="N1500">
        <v>1</v>
      </c>
      <c r="O1500" s="1" t="s">
        <v>564</v>
      </c>
      <c r="P1500">
        <v>83191.94</v>
      </c>
      <c r="Q1500">
        <v>17593.55</v>
      </c>
      <c r="R1500">
        <v>0</v>
      </c>
      <c r="S1500" s="1" t="s">
        <v>800</v>
      </c>
      <c r="T1500" s="1" t="s">
        <v>1206</v>
      </c>
      <c r="U1500">
        <v>7026.74</v>
      </c>
      <c r="V1500">
        <v>0</v>
      </c>
      <c r="W1500">
        <v>77526</v>
      </c>
    </row>
    <row r="1501" spans="1:23" x14ac:dyDescent="0.25">
      <c r="A1501" s="1" t="s">
        <v>30</v>
      </c>
      <c r="B1501" s="1"/>
      <c r="C1501" s="1" t="s">
        <v>151</v>
      </c>
      <c r="D1501">
        <v>10236</v>
      </c>
      <c r="E1501" s="1"/>
      <c r="F1501" s="1" t="s">
        <v>284</v>
      </c>
      <c r="G1501">
        <v>2010</v>
      </c>
      <c r="H1501">
        <v>88406.94</v>
      </c>
      <c r="I1501">
        <v>13</v>
      </c>
      <c r="J1501" s="1" t="s">
        <v>405</v>
      </c>
      <c r="K1501">
        <v>0</v>
      </c>
      <c r="L1501">
        <v>696</v>
      </c>
      <c r="M1501">
        <v>127.00321700000001</v>
      </c>
      <c r="N1501">
        <v>1</v>
      </c>
      <c r="O1501" s="1" t="s">
        <v>564</v>
      </c>
      <c r="P1501">
        <v>80914.75</v>
      </c>
      <c r="Q1501">
        <v>17111.97</v>
      </c>
      <c r="R1501">
        <v>0</v>
      </c>
      <c r="S1501" s="1" t="s">
        <v>800</v>
      </c>
      <c r="T1501" s="1" t="s">
        <v>1206</v>
      </c>
      <c r="U1501">
        <v>8185.82744</v>
      </c>
      <c r="V1501">
        <v>0</v>
      </c>
      <c r="W1501">
        <v>77526</v>
      </c>
    </row>
    <row r="1502" spans="1:23" x14ac:dyDescent="0.25">
      <c r="A1502" s="1" t="s">
        <v>30</v>
      </c>
      <c r="B1502" s="1"/>
      <c r="C1502" s="1" t="s">
        <v>151</v>
      </c>
      <c r="D1502">
        <v>10236</v>
      </c>
      <c r="E1502" s="1"/>
      <c r="F1502" s="1" t="s">
        <v>284</v>
      </c>
      <c r="G1502">
        <v>2009</v>
      </c>
      <c r="H1502">
        <v>72654.850000000006</v>
      </c>
      <c r="I1502">
        <v>11</v>
      </c>
      <c r="J1502" s="1" t="s">
        <v>405</v>
      </c>
      <c r="K1502">
        <v>0</v>
      </c>
      <c r="L1502">
        <v>696</v>
      </c>
      <c r="M1502">
        <v>104.374156</v>
      </c>
      <c r="N1502">
        <v>1</v>
      </c>
      <c r="O1502" s="1" t="s">
        <v>564</v>
      </c>
      <c r="P1502">
        <v>77913.19</v>
      </c>
      <c r="Q1502">
        <v>16477.2</v>
      </c>
      <c r="R1502">
        <v>0</v>
      </c>
      <c r="S1502" s="1" t="s">
        <v>800</v>
      </c>
      <c r="T1502" s="1" t="s">
        <v>1206</v>
      </c>
      <c r="U1502">
        <v>6727.30116</v>
      </c>
      <c r="V1502">
        <v>0</v>
      </c>
      <c r="W1502">
        <v>77526</v>
      </c>
    </row>
    <row r="1503" spans="1:23" x14ac:dyDescent="0.25">
      <c r="A1503" s="1" t="s">
        <v>30</v>
      </c>
      <c r="B1503" s="1"/>
      <c r="C1503" s="1" t="s">
        <v>151</v>
      </c>
      <c r="D1503">
        <v>10236</v>
      </c>
      <c r="E1503" s="1"/>
      <c r="F1503" s="1" t="s">
        <v>284</v>
      </c>
      <c r="G1503">
        <v>2008</v>
      </c>
      <c r="H1503">
        <v>68876.44</v>
      </c>
      <c r="I1503">
        <v>10</v>
      </c>
      <c r="J1503" s="1" t="s">
        <v>405</v>
      </c>
      <c r="K1503">
        <v>0</v>
      </c>
      <c r="L1503">
        <v>696</v>
      </c>
      <c r="M1503">
        <v>98.946185</v>
      </c>
      <c r="N1503">
        <v>1</v>
      </c>
      <c r="O1503" s="1" t="s">
        <v>564</v>
      </c>
      <c r="P1503">
        <v>78229.919999999998</v>
      </c>
      <c r="Q1503">
        <v>16544.18</v>
      </c>
      <c r="R1503">
        <v>0</v>
      </c>
      <c r="S1503" s="1" t="s">
        <v>800</v>
      </c>
      <c r="T1503" s="1" t="s">
        <v>1206</v>
      </c>
      <c r="U1503">
        <v>6377.4481699999997</v>
      </c>
      <c r="V1503">
        <v>0</v>
      </c>
      <c r="W1503">
        <v>77526</v>
      </c>
    </row>
    <row r="1504" spans="1:23" x14ac:dyDescent="0.25">
      <c r="A1504" s="1" t="s">
        <v>30</v>
      </c>
      <c r="B1504" s="1"/>
      <c r="C1504" s="1" t="s">
        <v>151</v>
      </c>
      <c r="D1504">
        <v>10238</v>
      </c>
      <c r="E1504" s="1"/>
      <c r="F1504" s="1" t="s">
        <v>361</v>
      </c>
      <c r="G1504">
        <v>2015</v>
      </c>
      <c r="H1504">
        <v>8882.9</v>
      </c>
      <c r="I1504">
        <v>5</v>
      </c>
      <c r="J1504" s="1" t="s">
        <v>405</v>
      </c>
      <c r="K1504">
        <v>0</v>
      </c>
      <c r="L1504">
        <v>0</v>
      </c>
      <c r="M1504">
        <v>88829</v>
      </c>
      <c r="N1504">
        <v>1</v>
      </c>
      <c r="O1504" s="1" t="s">
        <v>564</v>
      </c>
      <c r="P1504">
        <v>9955.49</v>
      </c>
      <c r="Q1504">
        <v>194.51</v>
      </c>
      <c r="R1504">
        <v>0</v>
      </c>
      <c r="S1504" s="1" t="s">
        <v>801</v>
      </c>
      <c r="T1504" s="1" t="s">
        <v>1207</v>
      </c>
      <c r="U1504">
        <v>822.49</v>
      </c>
      <c r="V1504">
        <v>0</v>
      </c>
      <c r="W1504">
        <v>77528</v>
      </c>
    </row>
    <row r="1505" spans="1:23" x14ac:dyDescent="0.25">
      <c r="A1505" s="1" t="s">
        <v>30</v>
      </c>
      <c r="B1505" s="1"/>
      <c r="C1505" s="1" t="s">
        <v>151</v>
      </c>
      <c r="D1505">
        <v>10238</v>
      </c>
      <c r="E1505" s="1"/>
      <c r="F1505" s="1" t="s">
        <v>361</v>
      </c>
      <c r="G1505">
        <v>2014</v>
      </c>
      <c r="H1505">
        <v>15340.32</v>
      </c>
      <c r="I1505">
        <v>12</v>
      </c>
      <c r="J1505" s="1" t="s">
        <v>405</v>
      </c>
      <c r="K1505">
        <v>0</v>
      </c>
      <c r="L1505">
        <v>0</v>
      </c>
      <c r="M1505">
        <v>153403.20000000001</v>
      </c>
      <c r="N1505">
        <v>1</v>
      </c>
      <c r="O1505" s="1" t="s">
        <v>564</v>
      </c>
      <c r="P1505">
        <v>18221.689999999999</v>
      </c>
      <c r="Q1505">
        <v>355.99</v>
      </c>
      <c r="R1505">
        <v>0</v>
      </c>
      <c r="S1505" s="1" t="s">
        <v>801</v>
      </c>
      <c r="T1505" s="1" t="s">
        <v>1207</v>
      </c>
      <c r="U1505">
        <v>1420.4</v>
      </c>
      <c r="V1505">
        <v>0</v>
      </c>
      <c r="W1505">
        <v>77528</v>
      </c>
    </row>
    <row r="1506" spans="1:23" x14ac:dyDescent="0.25">
      <c r="A1506" s="1" t="s">
        <v>30</v>
      </c>
      <c r="B1506" s="1"/>
      <c r="C1506" s="1" t="s">
        <v>151</v>
      </c>
      <c r="D1506">
        <v>10238</v>
      </c>
      <c r="E1506" s="1"/>
      <c r="F1506" s="1" t="s">
        <v>361</v>
      </c>
      <c r="G1506">
        <v>2013</v>
      </c>
      <c r="H1506">
        <v>22882.71</v>
      </c>
      <c r="I1506">
        <v>12</v>
      </c>
      <c r="J1506" s="1" t="s">
        <v>405</v>
      </c>
      <c r="K1506">
        <v>0</v>
      </c>
      <c r="L1506">
        <v>0</v>
      </c>
      <c r="M1506">
        <v>228827.1</v>
      </c>
      <c r="N1506">
        <v>1</v>
      </c>
      <c r="O1506" s="1" t="s">
        <v>564</v>
      </c>
      <c r="P1506">
        <v>23734.7</v>
      </c>
      <c r="Q1506">
        <v>463.69</v>
      </c>
      <c r="R1506">
        <v>0</v>
      </c>
      <c r="S1506" s="1" t="s">
        <v>801</v>
      </c>
      <c r="T1506" s="1" t="s">
        <v>1207</v>
      </c>
      <c r="U1506">
        <v>2118.77</v>
      </c>
      <c r="V1506">
        <v>0</v>
      </c>
      <c r="W1506">
        <v>77528</v>
      </c>
    </row>
    <row r="1507" spans="1:23" x14ac:dyDescent="0.25">
      <c r="A1507" s="1" t="s">
        <v>30</v>
      </c>
      <c r="B1507" s="1"/>
      <c r="C1507" s="1" t="s">
        <v>151</v>
      </c>
      <c r="D1507">
        <v>10238</v>
      </c>
      <c r="E1507" s="1"/>
      <c r="F1507" s="1" t="s">
        <v>361</v>
      </c>
      <c r="G1507">
        <v>2012</v>
      </c>
      <c r="H1507">
        <v>23549.49</v>
      </c>
      <c r="I1507">
        <v>12</v>
      </c>
      <c r="J1507" s="1" t="s">
        <v>405</v>
      </c>
      <c r="K1507">
        <v>0</v>
      </c>
      <c r="L1507">
        <v>0</v>
      </c>
      <c r="M1507">
        <v>235494.9</v>
      </c>
      <c r="N1507">
        <v>1</v>
      </c>
      <c r="O1507" s="1" t="s">
        <v>564</v>
      </c>
      <c r="P1507">
        <v>24678.33</v>
      </c>
      <c r="Q1507">
        <v>482.16</v>
      </c>
      <c r="R1507">
        <v>0</v>
      </c>
      <c r="S1507" s="1" t="s">
        <v>801</v>
      </c>
      <c r="T1507" s="1" t="s">
        <v>1207</v>
      </c>
      <c r="U1507">
        <v>2180.5100000000002</v>
      </c>
      <c r="V1507">
        <v>0</v>
      </c>
      <c r="W1507">
        <v>77528</v>
      </c>
    </row>
    <row r="1508" spans="1:23" x14ac:dyDescent="0.25">
      <c r="A1508" s="1" t="s">
        <v>30</v>
      </c>
      <c r="B1508" s="1"/>
      <c r="C1508" s="1" t="s">
        <v>151</v>
      </c>
      <c r="D1508">
        <v>10238</v>
      </c>
      <c r="E1508" s="1"/>
      <c r="F1508" s="1" t="s">
        <v>361</v>
      </c>
      <c r="G1508">
        <v>2011</v>
      </c>
      <c r="H1508">
        <v>22657.63</v>
      </c>
      <c r="I1508">
        <v>12</v>
      </c>
      <c r="J1508" s="1" t="s">
        <v>405</v>
      </c>
      <c r="K1508">
        <v>0</v>
      </c>
      <c r="L1508">
        <v>0</v>
      </c>
      <c r="M1508">
        <v>226576.3</v>
      </c>
      <c r="N1508">
        <v>1</v>
      </c>
      <c r="O1508" s="1" t="s">
        <v>564</v>
      </c>
      <c r="P1508">
        <v>24763.22</v>
      </c>
      <c r="Q1508">
        <v>483.81</v>
      </c>
      <c r="R1508">
        <v>0</v>
      </c>
      <c r="S1508" s="1" t="s">
        <v>801</v>
      </c>
      <c r="T1508" s="1" t="s">
        <v>1207</v>
      </c>
      <c r="U1508">
        <v>2097.9299999999998</v>
      </c>
      <c r="V1508">
        <v>0</v>
      </c>
      <c r="W1508">
        <v>77528</v>
      </c>
    </row>
    <row r="1509" spans="1:23" x14ac:dyDescent="0.25">
      <c r="A1509" s="1" t="s">
        <v>30</v>
      </c>
      <c r="B1509" s="1"/>
      <c r="C1509" s="1" t="s">
        <v>151</v>
      </c>
      <c r="D1509">
        <v>10238</v>
      </c>
      <c r="E1509" s="1"/>
      <c r="F1509" s="1" t="s">
        <v>361</v>
      </c>
      <c r="G1509">
        <v>2010</v>
      </c>
      <c r="H1509">
        <v>26093.65</v>
      </c>
      <c r="I1509">
        <v>11</v>
      </c>
      <c r="J1509" s="1" t="s">
        <v>405</v>
      </c>
      <c r="K1509">
        <v>0</v>
      </c>
      <c r="L1509">
        <v>0</v>
      </c>
      <c r="M1509">
        <v>260936.5</v>
      </c>
      <c r="N1509">
        <v>1</v>
      </c>
      <c r="O1509" s="1" t="s">
        <v>564</v>
      </c>
      <c r="P1509">
        <v>23931.21</v>
      </c>
      <c r="Q1509">
        <v>467.54</v>
      </c>
      <c r="R1509">
        <v>0</v>
      </c>
      <c r="S1509" s="1" t="s">
        <v>801</v>
      </c>
      <c r="T1509" s="1" t="s">
        <v>1207</v>
      </c>
      <c r="U1509">
        <v>2416.0800100000001</v>
      </c>
      <c r="V1509">
        <v>0</v>
      </c>
      <c r="W1509">
        <v>77528</v>
      </c>
    </row>
    <row r="1510" spans="1:23" x14ac:dyDescent="0.25">
      <c r="A1510" s="1" t="s">
        <v>30</v>
      </c>
      <c r="B1510" s="1"/>
      <c r="C1510" s="1" t="s">
        <v>151</v>
      </c>
      <c r="D1510">
        <v>10238</v>
      </c>
      <c r="E1510" s="1"/>
      <c r="F1510" s="1" t="s">
        <v>361</v>
      </c>
      <c r="G1510">
        <v>2009</v>
      </c>
      <c r="H1510">
        <v>22264.34</v>
      </c>
      <c r="I1510">
        <v>10</v>
      </c>
      <c r="J1510" s="1" t="s">
        <v>405</v>
      </c>
      <c r="K1510">
        <v>0</v>
      </c>
      <c r="L1510">
        <v>0</v>
      </c>
      <c r="M1510">
        <v>222643.4</v>
      </c>
      <c r="N1510">
        <v>1</v>
      </c>
      <c r="O1510" s="1" t="s">
        <v>564</v>
      </c>
      <c r="P1510">
        <v>24541.9</v>
      </c>
      <c r="Q1510">
        <v>479.49</v>
      </c>
      <c r="R1510">
        <v>0</v>
      </c>
      <c r="S1510" s="1" t="s">
        <v>801</v>
      </c>
      <c r="T1510" s="1" t="s">
        <v>1207</v>
      </c>
      <c r="U1510">
        <v>2061.51361</v>
      </c>
      <c r="V1510">
        <v>0</v>
      </c>
      <c r="W1510">
        <v>77528</v>
      </c>
    </row>
    <row r="1511" spans="1:23" x14ac:dyDescent="0.25">
      <c r="A1511" s="1" t="s">
        <v>30</v>
      </c>
      <c r="B1511" s="1"/>
      <c r="C1511" s="1" t="s">
        <v>151</v>
      </c>
      <c r="D1511">
        <v>10238</v>
      </c>
      <c r="E1511" s="1"/>
      <c r="F1511" s="1" t="s">
        <v>361</v>
      </c>
      <c r="G1511">
        <v>2008</v>
      </c>
      <c r="H1511">
        <v>22346.400000000001</v>
      </c>
      <c r="I1511">
        <v>9</v>
      </c>
      <c r="J1511" s="1" t="s">
        <v>405</v>
      </c>
      <c r="K1511">
        <v>0</v>
      </c>
      <c r="L1511">
        <v>0</v>
      </c>
      <c r="M1511">
        <v>223464</v>
      </c>
      <c r="N1511">
        <v>1</v>
      </c>
      <c r="O1511" s="1" t="s">
        <v>564</v>
      </c>
      <c r="P1511">
        <v>25242.26</v>
      </c>
      <c r="Q1511">
        <v>493.16</v>
      </c>
      <c r="R1511">
        <v>0</v>
      </c>
      <c r="S1511" s="1" t="s">
        <v>801</v>
      </c>
      <c r="T1511" s="1" t="s">
        <v>1207</v>
      </c>
      <c r="U1511">
        <v>2069.1109099999999</v>
      </c>
      <c r="V1511">
        <v>0</v>
      </c>
      <c r="W1511">
        <v>77528</v>
      </c>
    </row>
    <row r="1512" spans="1:23" x14ac:dyDescent="0.25">
      <c r="A1512" s="1" t="s">
        <v>30</v>
      </c>
      <c r="B1512" s="1" t="s">
        <v>65</v>
      </c>
      <c r="C1512" s="1" t="s">
        <v>152</v>
      </c>
      <c r="D1512">
        <v>5273</v>
      </c>
      <c r="E1512" s="1"/>
      <c r="F1512" s="1" t="s">
        <v>285</v>
      </c>
      <c r="G1512">
        <v>2015</v>
      </c>
      <c r="H1512">
        <v>34080</v>
      </c>
      <c r="I1512">
        <v>5</v>
      </c>
      <c r="J1512" s="1" t="s">
        <v>469</v>
      </c>
      <c r="K1512">
        <v>0</v>
      </c>
      <c r="L1512">
        <v>457</v>
      </c>
      <c r="M1512">
        <v>74.556989000000002</v>
      </c>
      <c r="N1512">
        <v>1</v>
      </c>
      <c r="O1512" s="1" t="s">
        <v>562</v>
      </c>
      <c r="P1512">
        <v>38222.480000000003</v>
      </c>
      <c r="Q1512">
        <v>7071158.7999999998</v>
      </c>
      <c r="R1512">
        <v>0</v>
      </c>
      <c r="S1512" s="1" t="s">
        <v>802</v>
      </c>
      <c r="T1512" s="1"/>
      <c r="U1512">
        <v>34080</v>
      </c>
      <c r="V1512">
        <v>0</v>
      </c>
      <c r="W1512">
        <v>56844</v>
      </c>
    </row>
    <row r="1513" spans="1:23" x14ac:dyDescent="0.25">
      <c r="A1513" s="1" t="s">
        <v>30</v>
      </c>
      <c r="B1513" s="1" t="s">
        <v>65</v>
      </c>
      <c r="C1513" s="1" t="s">
        <v>152</v>
      </c>
      <c r="D1513">
        <v>5273</v>
      </c>
      <c r="E1513" s="1"/>
      <c r="F1513" s="1" t="s">
        <v>285</v>
      </c>
      <c r="G1513">
        <v>2015</v>
      </c>
      <c r="H1513">
        <v>36165.58</v>
      </c>
      <c r="I1513">
        <v>5</v>
      </c>
      <c r="J1513" s="1" t="s">
        <v>469</v>
      </c>
      <c r="K1513">
        <v>0</v>
      </c>
      <c r="L1513">
        <v>457</v>
      </c>
      <c r="M1513">
        <v>79.119623000000004</v>
      </c>
      <c r="N1513">
        <v>1</v>
      </c>
      <c r="O1513" s="1" t="s">
        <v>563</v>
      </c>
      <c r="P1513">
        <v>40802.519999999997</v>
      </c>
      <c r="Q1513">
        <v>216350.42</v>
      </c>
      <c r="R1513">
        <v>1</v>
      </c>
      <c r="S1513" s="1" t="s">
        <v>802</v>
      </c>
      <c r="T1513" s="1"/>
      <c r="U1513">
        <v>1036.56</v>
      </c>
      <c r="V1513">
        <v>0</v>
      </c>
      <c r="W1513">
        <v>57004</v>
      </c>
    </row>
    <row r="1514" spans="1:23" x14ac:dyDescent="0.25">
      <c r="A1514" s="1" t="s">
        <v>30</v>
      </c>
      <c r="B1514" s="1" t="s">
        <v>65</v>
      </c>
      <c r="C1514" s="1" t="s">
        <v>152</v>
      </c>
      <c r="D1514">
        <v>5273</v>
      </c>
      <c r="E1514" s="1"/>
      <c r="F1514" s="1" t="s">
        <v>285</v>
      </c>
      <c r="G1514">
        <v>2014</v>
      </c>
      <c r="H1514">
        <v>51342.720000000001</v>
      </c>
      <c r="I1514">
        <v>12</v>
      </c>
      <c r="J1514" s="1" t="s">
        <v>469</v>
      </c>
      <c r="K1514">
        <v>0</v>
      </c>
      <c r="L1514">
        <v>457</v>
      </c>
      <c r="M1514">
        <v>112.32273000000001</v>
      </c>
      <c r="N1514">
        <v>1</v>
      </c>
      <c r="O1514" s="1" t="s">
        <v>563</v>
      </c>
      <c r="P1514">
        <v>60764.53</v>
      </c>
      <c r="Q1514">
        <v>147843.65</v>
      </c>
      <c r="R1514">
        <v>1</v>
      </c>
      <c r="S1514" s="1" t="s">
        <v>802</v>
      </c>
      <c r="T1514" s="1"/>
      <c r="U1514">
        <v>1471.56</v>
      </c>
      <c r="V1514">
        <v>0</v>
      </c>
      <c r="W1514">
        <v>57004</v>
      </c>
    </row>
    <row r="1515" spans="1:23" x14ac:dyDescent="0.25">
      <c r="A1515" s="1" t="s">
        <v>30</v>
      </c>
      <c r="B1515" s="1" t="s">
        <v>65</v>
      </c>
      <c r="C1515" s="1" t="s">
        <v>152</v>
      </c>
      <c r="D1515">
        <v>5273</v>
      </c>
      <c r="E1515" s="1"/>
      <c r="F1515" s="1" t="s">
        <v>285</v>
      </c>
      <c r="G1515">
        <v>2014</v>
      </c>
      <c r="H1515">
        <v>50306</v>
      </c>
      <c r="I1515">
        <v>12</v>
      </c>
      <c r="J1515" s="1" t="s">
        <v>469</v>
      </c>
      <c r="K1515">
        <v>0</v>
      </c>
      <c r="L1515">
        <v>457</v>
      </c>
      <c r="M1515">
        <v>110.054692</v>
      </c>
      <c r="N1515">
        <v>1</v>
      </c>
      <c r="O1515" s="1" t="s">
        <v>562</v>
      </c>
      <c r="P1515">
        <v>60151.33</v>
      </c>
      <c r="Q1515">
        <v>5077380.2699999996</v>
      </c>
      <c r="R1515">
        <v>0</v>
      </c>
      <c r="S1515" s="1" t="s">
        <v>802</v>
      </c>
      <c r="T1515" s="1"/>
      <c r="U1515">
        <v>50306</v>
      </c>
      <c r="V1515">
        <v>0</v>
      </c>
      <c r="W1515">
        <v>56844</v>
      </c>
    </row>
    <row r="1516" spans="1:23" x14ac:dyDescent="0.25">
      <c r="A1516" s="1" t="s">
        <v>30</v>
      </c>
      <c r="B1516" s="1" t="s">
        <v>65</v>
      </c>
      <c r="C1516" s="1" t="s">
        <v>152</v>
      </c>
      <c r="D1516">
        <v>5273</v>
      </c>
      <c r="E1516" s="1"/>
      <c r="F1516" s="1" t="s">
        <v>285</v>
      </c>
      <c r="G1516">
        <v>2013</v>
      </c>
      <c r="H1516">
        <v>58497.45</v>
      </c>
      <c r="I1516">
        <v>12</v>
      </c>
      <c r="J1516" s="1" t="s">
        <v>469</v>
      </c>
      <c r="K1516">
        <v>0</v>
      </c>
      <c r="L1516">
        <v>457</v>
      </c>
      <c r="M1516">
        <v>127.97516899999999</v>
      </c>
      <c r="N1516">
        <v>1</v>
      </c>
      <c r="O1516" s="1" t="s">
        <v>563</v>
      </c>
      <c r="P1516">
        <v>59552.79</v>
      </c>
      <c r="Q1516">
        <v>315.76</v>
      </c>
      <c r="R1516">
        <v>1</v>
      </c>
      <c r="S1516" s="1" t="s">
        <v>802</v>
      </c>
      <c r="T1516" s="1"/>
      <c r="U1516">
        <v>1676.625</v>
      </c>
      <c r="V1516">
        <v>0</v>
      </c>
      <c r="W1516">
        <v>57004</v>
      </c>
    </row>
    <row r="1517" spans="1:23" x14ac:dyDescent="0.25">
      <c r="A1517" s="1" t="s">
        <v>30</v>
      </c>
      <c r="B1517" s="1" t="s">
        <v>65</v>
      </c>
      <c r="C1517" s="1" t="s">
        <v>152</v>
      </c>
      <c r="D1517">
        <v>5273</v>
      </c>
      <c r="E1517" s="1"/>
      <c r="F1517" s="1" t="s">
        <v>285</v>
      </c>
      <c r="G1517">
        <v>2013</v>
      </c>
      <c r="H1517">
        <v>56064</v>
      </c>
      <c r="I1517">
        <v>12</v>
      </c>
      <c r="J1517" s="1" t="s">
        <v>469</v>
      </c>
      <c r="K1517">
        <v>0</v>
      </c>
      <c r="L1517">
        <v>457</v>
      </c>
      <c r="M1517">
        <v>122.651498</v>
      </c>
      <c r="N1517">
        <v>1</v>
      </c>
      <c r="O1517" s="1" t="s">
        <v>562</v>
      </c>
      <c r="P1517">
        <v>57987.6</v>
      </c>
      <c r="Q1517">
        <v>10727.7</v>
      </c>
      <c r="R1517">
        <v>0</v>
      </c>
      <c r="S1517" s="1" t="s">
        <v>802</v>
      </c>
      <c r="T1517" s="1"/>
      <c r="U1517">
        <v>56064</v>
      </c>
      <c r="V1517">
        <v>0</v>
      </c>
      <c r="W1517">
        <v>56844</v>
      </c>
    </row>
    <row r="1518" spans="1:23" x14ac:dyDescent="0.25">
      <c r="A1518" s="1" t="s">
        <v>30</v>
      </c>
      <c r="B1518" s="1" t="s">
        <v>65</v>
      </c>
      <c r="C1518" s="1" t="s">
        <v>152</v>
      </c>
      <c r="D1518">
        <v>5273</v>
      </c>
      <c r="E1518" s="1"/>
      <c r="F1518" s="1" t="s">
        <v>285</v>
      </c>
      <c r="G1518">
        <v>2012</v>
      </c>
      <c r="H1518">
        <v>62902</v>
      </c>
      <c r="I1518">
        <v>12</v>
      </c>
      <c r="J1518" s="1" t="s">
        <v>469</v>
      </c>
      <c r="K1518">
        <v>0</v>
      </c>
      <c r="L1518">
        <v>457</v>
      </c>
      <c r="M1518">
        <v>137.61102600000001</v>
      </c>
      <c r="N1518">
        <v>1</v>
      </c>
      <c r="O1518" s="1" t="s">
        <v>562</v>
      </c>
      <c r="P1518">
        <v>65979.98</v>
      </c>
      <c r="Q1518">
        <v>12206.29</v>
      </c>
      <c r="R1518">
        <v>0</v>
      </c>
      <c r="S1518" s="1" t="s">
        <v>802</v>
      </c>
      <c r="T1518" s="1"/>
      <c r="U1518">
        <v>62902</v>
      </c>
      <c r="V1518">
        <v>0</v>
      </c>
      <c r="W1518">
        <v>56844</v>
      </c>
    </row>
    <row r="1519" spans="1:23" x14ac:dyDescent="0.25">
      <c r="A1519" s="1" t="s">
        <v>30</v>
      </c>
      <c r="B1519" s="1" t="s">
        <v>65</v>
      </c>
      <c r="C1519" s="1" t="s">
        <v>152</v>
      </c>
      <c r="D1519">
        <v>5273</v>
      </c>
      <c r="E1519" s="1"/>
      <c r="F1519" s="1" t="s">
        <v>285</v>
      </c>
      <c r="G1519">
        <v>2012</v>
      </c>
      <c r="H1519">
        <v>64496.77</v>
      </c>
      <c r="I1519">
        <v>12</v>
      </c>
      <c r="J1519" s="1" t="s">
        <v>469</v>
      </c>
      <c r="K1519">
        <v>0</v>
      </c>
      <c r="L1519">
        <v>457</v>
      </c>
      <c r="M1519">
        <v>141.09991199999999</v>
      </c>
      <c r="N1519">
        <v>1</v>
      </c>
      <c r="O1519" s="1" t="s">
        <v>563</v>
      </c>
      <c r="P1519">
        <v>67747.78</v>
      </c>
      <c r="Q1519">
        <v>359.22</v>
      </c>
      <c r="R1519">
        <v>1</v>
      </c>
      <c r="S1519" s="1" t="s">
        <v>802</v>
      </c>
      <c r="T1519" s="1"/>
      <c r="U1519">
        <v>1848.575</v>
      </c>
      <c r="V1519">
        <v>0</v>
      </c>
      <c r="W1519">
        <v>57004</v>
      </c>
    </row>
    <row r="1520" spans="1:23" x14ac:dyDescent="0.25">
      <c r="A1520" s="1" t="s">
        <v>30</v>
      </c>
      <c r="B1520" s="1" t="s">
        <v>65</v>
      </c>
      <c r="C1520" s="1" t="s">
        <v>152</v>
      </c>
      <c r="D1520">
        <v>5273</v>
      </c>
      <c r="E1520" s="1"/>
      <c r="F1520" s="1" t="s">
        <v>285</v>
      </c>
      <c r="G1520">
        <v>2011</v>
      </c>
      <c r="H1520">
        <v>72418</v>
      </c>
      <c r="I1520">
        <v>12</v>
      </c>
      <c r="J1520" s="1" t="s">
        <v>469</v>
      </c>
      <c r="K1520">
        <v>0</v>
      </c>
      <c r="L1520">
        <v>457</v>
      </c>
      <c r="M1520">
        <v>158.429227</v>
      </c>
      <c r="N1520">
        <v>1</v>
      </c>
      <c r="O1520" s="1" t="s">
        <v>562</v>
      </c>
      <c r="P1520">
        <v>79661.87</v>
      </c>
      <c r="Q1520">
        <v>14737.45</v>
      </c>
      <c r="R1520">
        <v>0</v>
      </c>
      <c r="S1520" s="1" t="s">
        <v>802</v>
      </c>
      <c r="T1520" s="1"/>
      <c r="U1520">
        <v>72418</v>
      </c>
      <c r="V1520">
        <v>0</v>
      </c>
      <c r="W1520">
        <v>56844</v>
      </c>
    </row>
    <row r="1521" spans="1:23" x14ac:dyDescent="0.25">
      <c r="A1521" s="1" t="s">
        <v>30</v>
      </c>
      <c r="B1521" s="1" t="s">
        <v>65</v>
      </c>
      <c r="C1521" s="1" t="s">
        <v>152</v>
      </c>
      <c r="D1521">
        <v>5273</v>
      </c>
      <c r="E1521" s="1"/>
      <c r="F1521" s="1" t="s">
        <v>285</v>
      </c>
      <c r="G1521">
        <v>2011</v>
      </c>
      <c r="H1521">
        <v>82571.37</v>
      </c>
      <c r="I1521">
        <v>12</v>
      </c>
      <c r="J1521" s="1" t="s">
        <v>469</v>
      </c>
      <c r="K1521">
        <v>0</v>
      </c>
      <c r="L1521">
        <v>457</v>
      </c>
      <c r="M1521">
        <v>180.641807</v>
      </c>
      <c r="N1521">
        <v>1</v>
      </c>
      <c r="O1521" s="1" t="s">
        <v>563</v>
      </c>
      <c r="P1521">
        <v>88827.51</v>
      </c>
      <c r="Q1521">
        <v>470.99</v>
      </c>
      <c r="R1521">
        <v>1</v>
      </c>
      <c r="S1521" s="1" t="s">
        <v>802</v>
      </c>
      <c r="T1521" s="1"/>
      <c r="U1521">
        <v>2366.62</v>
      </c>
      <c r="V1521">
        <v>0</v>
      </c>
      <c r="W1521">
        <v>57004</v>
      </c>
    </row>
    <row r="1522" spans="1:23" x14ac:dyDescent="0.25">
      <c r="A1522" s="1" t="s">
        <v>30</v>
      </c>
      <c r="B1522" s="1" t="s">
        <v>65</v>
      </c>
      <c r="C1522" s="1" t="s">
        <v>152</v>
      </c>
      <c r="D1522">
        <v>5273</v>
      </c>
      <c r="E1522" s="1"/>
      <c r="F1522" s="1" t="s">
        <v>285</v>
      </c>
      <c r="G1522">
        <v>2010</v>
      </c>
      <c r="H1522">
        <v>111271.02</v>
      </c>
      <c r="I1522">
        <v>12</v>
      </c>
      <c r="J1522" s="1" t="s">
        <v>469</v>
      </c>
      <c r="K1522">
        <v>0</v>
      </c>
      <c r="L1522">
        <v>457</v>
      </c>
      <c r="M1522">
        <v>243.42817700000001</v>
      </c>
      <c r="N1522">
        <v>1</v>
      </c>
      <c r="O1522" s="1" t="s">
        <v>563</v>
      </c>
      <c r="P1522">
        <v>99935.75</v>
      </c>
      <c r="Q1522">
        <v>529.9</v>
      </c>
      <c r="R1522">
        <v>1</v>
      </c>
      <c r="S1522" s="1" t="s">
        <v>802</v>
      </c>
      <c r="T1522" s="1"/>
      <c r="U1522">
        <v>3189.1952999999999</v>
      </c>
      <c r="V1522">
        <v>0</v>
      </c>
      <c r="W1522">
        <v>57004</v>
      </c>
    </row>
    <row r="1523" spans="1:23" x14ac:dyDescent="0.25">
      <c r="A1523" s="1" t="s">
        <v>30</v>
      </c>
      <c r="B1523" s="1" t="s">
        <v>65</v>
      </c>
      <c r="C1523" s="1" t="s">
        <v>152</v>
      </c>
      <c r="D1523">
        <v>5273</v>
      </c>
      <c r="E1523" s="1"/>
      <c r="F1523" s="1" t="s">
        <v>285</v>
      </c>
      <c r="G1523">
        <v>2010</v>
      </c>
      <c r="H1523">
        <v>83898.21</v>
      </c>
      <c r="I1523">
        <v>12</v>
      </c>
      <c r="J1523" s="1" t="s">
        <v>469</v>
      </c>
      <c r="K1523">
        <v>0</v>
      </c>
      <c r="L1523">
        <v>457</v>
      </c>
      <c r="M1523">
        <v>183.54454100000001</v>
      </c>
      <c r="N1523">
        <v>1</v>
      </c>
      <c r="O1523" s="1" t="s">
        <v>562</v>
      </c>
      <c r="P1523">
        <v>76290.28</v>
      </c>
      <c r="Q1523">
        <v>14113.69</v>
      </c>
      <c r="R1523">
        <v>0</v>
      </c>
      <c r="S1523" s="1" t="s">
        <v>802</v>
      </c>
      <c r="T1523" s="1"/>
      <c r="U1523">
        <v>83898.21</v>
      </c>
      <c r="V1523">
        <v>0</v>
      </c>
      <c r="W1523">
        <v>56844</v>
      </c>
    </row>
    <row r="1524" spans="1:23" x14ac:dyDescent="0.25">
      <c r="A1524" s="1" t="s">
        <v>30</v>
      </c>
      <c r="B1524" s="1" t="s">
        <v>65</v>
      </c>
      <c r="C1524" s="1" t="s">
        <v>152</v>
      </c>
      <c r="D1524">
        <v>5273</v>
      </c>
      <c r="E1524" s="1"/>
      <c r="F1524" s="1" t="s">
        <v>285</v>
      </c>
      <c r="G1524">
        <v>2009</v>
      </c>
      <c r="H1524">
        <v>101796.15</v>
      </c>
      <c r="I1524">
        <v>12</v>
      </c>
      <c r="J1524" s="1" t="s">
        <v>469</v>
      </c>
      <c r="K1524">
        <v>0</v>
      </c>
      <c r="L1524">
        <v>457</v>
      </c>
      <c r="M1524">
        <v>222.69995599999999</v>
      </c>
      <c r="N1524">
        <v>1</v>
      </c>
      <c r="O1524" s="1" t="s">
        <v>563</v>
      </c>
      <c r="P1524">
        <v>110125.34</v>
      </c>
      <c r="Q1524">
        <v>583.91999999999996</v>
      </c>
      <c r="R1524">
        <v>1</v>
      </c>
      <c r="S1524" s="1" t="s">
        <v>802</v>
      </c>
      <c r="T1524" s="1"/>
      <c r="U1524">
        <v>2917.6314000000002</v>
      </c>
      <c r="V1524">
        <v>0</v>
      </c>
      <c r="W1524">
        <v>57004</v>
      </c>
    </row>
    <row r="1525" spans="1:23" x14ac:dyDescent="0.25">
      <c r="A1525" s="1" t="s">
        <v>30</v>
      </c>
      <c r="B1525" s="1" t="s">
        <v>65</v>
      </c>
      <c r="C1525" s="1" t="s">
        <v>152</v>
      </c>
      <c r="D1525">
        <v>5273</v>
      </c>
      <c r="E1525" s="1"/>
      <c r="F1525" s="1" t="s">
        <v>285</v>
      </c>
      <c r="G1525">
        <v>2009</v>
      </c>
      <c r="H1525">
        <v>73459.320000000007</v>
      </c>
      <c r="I1525">
        <v>12</v>
      </c>
      <c r="J1525" s="1" t="s">
        <v>469</v>
      </c>
      <c r="K1525">
        <v>0</v>
      </c>
      <c r="L1525">
        <v>457</v>
      </c>
      <c r="M1525">
        <v>160.70732799999999</v>
      </c>
      <c r="N1525">
        <v>1</v>
      </c>
      <c r="O1525" s="1" t="s">
        <v>562</v>
      </c>
      <c r="P1525">
        <v>78898.990000000005</v>
      </c>
      <c r="Q1525">
        <v>14596.31</v>
      </c>
      <c r="R1525">
        <v>0</v>
      </c>
      <c r="S1525" s="1" t="s">
        <v>802</v>
      </c>
      <c r="T1525" s="1"/>
      <c r="U1525">
        <v>73459.320000000007</v>
      </c>
      <c r="V1525">
        <v>0</v>
      </c>
      <c r="W1525">
        <v>56844</v>
      </c>
    </row>
    <row r="1526" spans="1:23" x14ac:dyDescent="0.25">
      <c r="A1526" s="1" t="s">
        <v>30</v>
      </c>
      <c r="B1526" s="1" t="s">
        <v>65</v>
      </c>
      <c r="C1526" s="1" t="s">
        <v>152</v>
      </c>
      <c r="D1526">
        <v>5273</v>
      </c>
      <c r="E1526" s="1"/>
      <c r="F1526" s="1" t="s">
        <v>285</v>
      </c>
      <c r="G1526">
        <v>2008</v>
      </c>
      <c r="H1526">
        <v>69988.47</v>
      </c>
      <c r="I1526">
        <v>12</v>
      </c>
      <c r="J1526" s="1" t="s">
        <v>469</v>
      </c>
      <c r="K1526">
        <v>0</v>
      </c>
      <c r="L1526">
        <v>457</v>
      </c>
      <c r="M1526">
        <v>153.11413200000001</v>
      </c>
      <c r="N1526">
        <v>1</v>
      </c>
      <c r="O1526" s="1" t="s">
        <v>562</v>
      </c>
      <c r="P1526">
        <v>79461.100000000006</v>
      </c>
      <c r="Q1526">
        <v>14700.29</v>
      </c>
      <c r="R1526">
        <v>0</v>
      </c>
      <c r="S1526" s="1" t="s">
        <v>802</v>
      </c>
      <c r="T1526" s="1"/>
      <c r="U1526">
        <v>69988.47</v>
      </c>
      <c r="V1526">
        <v>0</v>
      </c>
      <c r="W1526">
        <v>56844</v>
      </c>
    </row>
    <row r="1527" spans="1:23" x14ac:dyDescent="0.25">
      <c r="A1527" s="1" t="s">
        <v>30</v>
      </c>
      <c r="B1527" s="1" t="s">
        <v>65</v>
      </c>
      <c r="C1527" s="1" t="s">
        <v>152</v>
      </c>
      <c r="D1527">
        <v>5273</v>
      </c>
      <c r="E1527" s="1"/>
      <c r="F1527" s="1" t="s">
        <v>285</v>
      </c>
      <c r="G1527">
        <v>2008</v>
      </c>
      <c r="H1527">
        <v>85144.960000000006</v>
      </c>
      <c r="I1527">
        <v>12</v>
      </c>
      <c r="J1527" s="1" t="s">
        <v>469</v>
      </c>
      <c r="K1527">
        <v>0</v>
      </c>
      <c r="L1527">
        <v>457</v>
      </c>
      <c r="M1527">
        <v>186.272063</v>
      </c>
      <c r="N1527">
        <v>1</v>
      </c>
      <c r="O1527" s="1" t="s">
        <v>563</v>
      </c>
      <c r="P1527">
        <v>96201.55</v>
      </c>
      <c r="Q1527">
        <v>510.11</v>
      </c>
      <c r="R1527">
        <v>1</v>
      </c>
      <c r="S1527" s="1" t="s">
        <v>802</v>
      </c>
      <c r="T1527" s="1"/>
      <c r="U1527">
        <v>2440.3833</v>
      </c>
      <c r="V1527">
        <v>0</v>
      </c>
      <c r="W1527">
        <v>57004</v>
      </c>
    </row>
    <row r="1528" spans="1:23" x14ac:dyDescent="0.25">
      <c r="A1528" s="1" t="s">
        <v>30</v>
      </c>
      <c r="B1528" s="1"/>
      <c r="C1528" s="1" t="s">
        <v>153</v>
      </c>
      <c r="D1528">
        <v>10211</v>
      </c>
      <c r="E1528" s="1"/>
      <c r="F1528" s="1" t="s">
        <v>153</v>
      </c>
      <c r="G1528">
        <v>2015</v>
      </c>
      <c r="H1528">
        <v>48550</v>
      </c>
      <c r="I1528">
        <v>5</v>
      </c>
      <c r="J1528" s="1" t="s">
        <v>471</v>
      </c>
      <c r="K1528">
        <v>0</v>
      </c>
      <c r="L1528">
        <v>1107</v>
      </c>
      <c r="M1528">
        <v>43.85331</v>
      </c>
      <c r="N1528">
        <v>1</v>
      </c>
      <c r="O1528" s="1" t="s">
        <v>565</v>
      </c>
      <c r="P1528">
        <v>55045.35</v>
      </c>
      <c r="Q1528">
        <v>3522.91</v>
      </c>
      <c r="R1528">
        <v>0</v>
      </c>
      <c r="S1528" s="1" t="s">
        <v>803</v>
      </c>
      <c r="T1528" s="1"/>
      <c r="U1528">
        <v>48.55</v>
      </c>
      <c r="V1528">
        <v>0</v>
      </c>
      <c r="W1528">
        <v>77445</v>
      </c>
    </row>
    <row r="1529" spans="1:23" x14ac:dyDescent="0.25">
      <c r="A1529" s="1" t="s">
        <v>30</v>
      </c>
      <c r="B1529" s="1"/>
      <c r="C1529" s="1" t="s">
        <v>153</v>
      </c>
      <c r="D1529">
        <v>10211</v>
      </c>
      <c r="E1529" s="1"/>
      <c r="F1529" s="1" t="s">
        <v>153</v>
      </c>
      <c r="G1529">
        <v>2014</v>
      </c>
      <c r="H1529">
        <v>85929.83</v>
      </c>
      <c r="I1529">
        <v>11</v>
      </c>
      <c r="J1529" s="1" t="s">
        <v>471</v>
      </c>
      <c r="K1529">
        <v>0</v>
      </c>
      <c r="L1529">
        <v>1107</v>
      </c>
      <c r="M1529">
        <v>77.617044000000007</v>
      </c>
      <c r="N1529">
        <v>1</v>
      </c>
      <c r="O1529" s="1" t="s">
        <v>565</v>
      </c>
      <c r="P1529">
        <v>103003.98</v>
      </c>
      <c r="Q1529">
        <v>6592.24</v>
      </c>
      <c r="R1529">
        <v>0</v>
      </c>
      <c r="S1529" s="1" t="s">
        <v>803</v>
      </c>
      <c r="T1529" s="1"/>
      <c r="U1529">
        <v>85.929829999999995</v>
      </c>
      <c r="V1529">
        <v>0</v>
      </c>
      <c r="W1529">
        <v>77445</v>
      </c>
    </row>
    <row r="1530" spans="1:23" x14ac:dyDescent="0.25">
      <c r="A1530" s="1" t="s">
        <v>30</v>
      </c>
      <c r="B1530" s="1"/>
      <c r="C1530" s="1" t="s">
        <v>153</v>
      </c>
      <c r="D1530">
        <v>10211</v>
      </c>
      <c r="E1530" s="1"/>
      <c r="F1530" s="1" t="s">
        <v>153</v>
      </c>
      <c r="G1530">
        <v>2013</v>
      </c>
      <c r="H1530">
        <v>104934</v>
      </c>
      <c r="I1530">
        <v>6</v>
      </c>
      <c r="J1530" s="1" t="s">
        <v>471</v>
      </c>
      <c r="K1530">
        <v>0</v>
      </c>
      <c r="L1530">
        <v>1107</v>
      </c>
      <c r="M1530">
        <v>94.782764999999998</v>
      </c>
      <c r="N1530">
        <v>1</v>
      </c>
      <c r="O1530" s="1" t="s">
        <v>565</v>
      </c>
      <c r="P1530">
        <v>111100.78</v>
      </c>
      <c r="Q1530">
        <v>7110.46</v>
      </c>
      <c r="R1530">
        <v>0</v>
      </c>
      <c r="S1530" s="1" t="s">
        <v>803</v>
      </c>
      <c r="T1530" s="1"/>
      <c r="U1530">
        <v>104.934</v>
      </c>
      <c r="V1530">
        <v>0</v>
      </c>
      <c r="W1530">
        <v>77445</v>
      </c>
    </row>
    <row r="1531" spans="1:23" x14ac:dyDescent="0.25">
      <c r="A1531" s="1" t="s">
        <v>30</v>
      </c>
      <c r="B1531" s="1"/>
      <c r="C1531" s="1" t="s">
        <v>153</v>
      </c>
      <c r="D1531">
        <v>10211</v>
      </c>
      <c r="E1531" s="1"/>
      <c r="F1531" s="1" t="s">
        <v>153</v>
      </c>
      <c r="G1531">
        <v>2012</v>
      </c>
      <c r="H1531">
        <v>104364.54</v>
      </c>
      <c r="I1531">
        <v>6</v>
      </c>
      <c r="J1531" s="1" t="s">
        <v>471</v>
      </c>
      <c r="K1531">
        <v>0</v>
      </c>
      <c r="L1531">
        <v>1107</v>
      </c>
      <c r="M1531">
        <v>94.268394000000001</v>
      </c>
      <c r="N1531">
        <v>1</v>
      </c>
      <c r="O1531" s="1" t="s">
        <v>565</v>
      </c>
      <c r="P1531">
        <v>108874.13</v>
      </c>
      <c r="Q1531">
        <v>20141.7</v>
      </c>
      <c r="R1531">
        <v>0</v>
      </c>
      <c r="S1531" s="1" t="s">
        <v>803</v>
      </c>
      <c r="T1531" s="1"/>
      <c r="U1531">
        <v>104.36454000000001</v>
      </c>
      <c r="V1531">
        <v>0</v>
      </c>
      <c r="W1531">
        <v>77445</v>
      </c>
    </row>
    <row r="1532" spans="1:23" x14ac:dyDescent="0.25">
      <c r="A1532" s="1" t="s">
        <v>30</v>
      </c>
      <c r="B1532" s="1"/>
      <c r="C1532" s="1" t="s">
        <v>153</v>
      </c>
      <c r="D1532">
        <v>10211</v>
      </c>
      <c r="E1532" s="1"/>
      <c r="F1532" s="1" t="s">
        <v>153</v>
      </c>
      <c r="G1532">
        <v>2011</v>
      </c>
      <c r="H1532">
        <v>101765.17</v>
      </c>
      <c r="I1532">
        <v>7</v>
      </c>
      <c r="J1532" s="1" t="s">
        <v>471</v>
      </c>
      <c r="K1532">
        <v>0</v>
      </c>
      <c r="L1532">
        <v>1107</v>
      </c>
      <c r="M1532">
        <v>91.920484999999999</v>
      </c>
      <c r="N1532">
        <v>1</v>
      </c>
      <c r="O1532" s="1" t="s">
        <v>565</v>
      </c>
      <c r="P1532">
        <v>117127.13</v>
      </c>
      <c r="Q1532">
        <v>21668.5</v>
      </c>
      <c r="R1532">
        <v>0</v>
      </c>
      <c r="S1532" s="1" t="s">
        <v>803</v>
      </c>
      <c r="T1532" s="1"/>
      <c r="U1532">
        <v>101.76517</v>
      </c>
      <c r="V1532">
        <v>0</v>
      </c>
      <c r="W1532">
        <v>77445</v>
      </c>
    </row>
    <row r="1533" spans="1:23" x14ac:dyDescent="0.25">
      <c r="A1533" s="1" t="s">
        <v>30</v>
      </c>
      <c r="B1533" s="1"/>
      <c r="C1533" s="1" t="s">
        <v>153</v>
      </c>
      <c r="D1533">
        <v>10211</v>
      </c>
      <c r="E1533" s="1"/>
      <c r="F1533" s="1" t="s">
        <v>153</v>
      </c>
      <c r="G1533">
        <v>2010</v>
      </c>
      <c r="H1533">
        <v>147791.57999999999</v>
      </c>
      <c r="I1533">
        <v>12</v>
      </c>
      <c r="J1533" s="1" t="s">
        <v>471</v>
      </c>
      <c r="K1533">
        <v>0</v>
      </c>
      <c r="L1533">
        <v>1107</v>
      </c>
      <c r="M1533">
        <v>133.494336</v>
      </c>
      <c r="N1533">
        <v>1</v>
      </c>
      <c r="O1533" s="1" t="s">
        <v>565</v>
      </c>
      <c r="P1533">
        <v>134839.51</v>
      </c>
      <c r="Q1533">
        <v>24945.31</v>
      </c>
      <c r="R1533">
        <v>0</v>
      </c>
      <c r="S1533" s="1" t="s">
        <v>803</v>
      </c>
      <c r="T1533" s="1"/>
      <c r="U1533">
        <v>147.79158000000001</v>
      </c>
      <c r="V1533">
        <v>0</v>
      </c>
      <c r="W1533">
        <v>77445</v>
      </c>
    </row>
    <row r="1534" spans="1:23" x14ac:dyDescent="0.25">
      <c r="A1534" s="1" t="s">
        <v>30</v>
      </c>
      <c r="B1534" s="1"/>
      <c r="C1534" s="1" t="s">
        <v>153</v>
      </c>
      <c r="D1534">
        <v>10211</v>
      </c>
      <c r="E1534" s="1"/>
      <c r="F1534" s="1" t="s">
        <v>153</v>
      </c>
      <c r="G1534">
        <v>2009</v>
      </c>
      <c r="H1534">
        <v>119743.44</v>
      </c>
      <c r="I1534">
        <v>13</v>
      </c>
      <c r="J1534" s="1" t="s">
        <v>471</v>
      </c>
      <c r="K1534">
        <v>0</v>
      </c>
      <c r="L1534">
        <v>1107</v>
      </c>
      <c r="M1534">
        <v>108.15955099999999</v>
      </c>
      <c r="N1534">
        <v>1</v>
      </c>
      <c r="O1534" s="1" t="s">
        <v>565</v>
      </c>
      <c r="P1534">
        <v>134836.17000000001</v>
      </c>
      <c r="Q1534">
        <v>24944.69</v>
      </c>
      <c r="R1534">
        <v>0</v>
      </c>
      <c r="S1534" s="1" t="s">
        <v>803</v>
      </c>
      <c r="T1534" s="1"/>
      <c r="U1534">
        <v>119.74344000000001</v>
      </c>
      <c r="V1534">
        <v>0</v>
      </c>
      <c r="W1534">
        <v>77445</v>
      </c>
    </row>
    <row r="1535" spans="1:23" x14ac:dyDescent="0.25">
      <c r="A1535" s="1" t="s">
        <v>30</v>
      </c>
      <c r="B1535" s="1"/>
      <c r="C1535" s="1" t="s">
        <v>153</v>
      </c>
      <c r="D1535">
        <v>10211</v>
      </c>
      <c r="E1535" s="1"/>
      <c r="F1535" s="1" t="s">
        <v>153</v>
      </c>
      <c r="G1535">
        <v>2008</v>
      </c>
      <c r="H1535">
        <v>106006.58</v>
      </c>
      <c r="I1535">
        <v>13</v>
      </c>
      <c r="J1535" s="1" t="s">
        <v>471</v>
      </c>
      <c r="K1535">
        <v>0</v>
      </c>
      <c r="L1535">
        <v>1107</v>
      </c>
      <c r="M1535">
        <v>95.751585000000006</v>
      </c>
      <c r="N1535">
        <v>1</v>
      </c>
      <c r="O1535" s="1" t="s">
        <v>565</v>
      </c>
      <c r="P1535">
        <v>120498.33</v>
      </c>
      <c r="Q1535">
        <v>22292.19</v>
      </c>
      <c r="R1535">
        <v>0</v>
      </c>
      <c r="S1535" s="1" t="s">
        <v>803</v>
      </c>
      <c r="T1535" s="1"/>
      <c r="U1535">
        <v>106.00658</v>
      </c>
      <c r="V1535">
        <v>0</v>
      </c>
      <c r="W1535">
        <v>77445</v>
      </c>
    </row>
    <row r="1536" spans="1:23" x14ac:dyDescent="0.25">
      <c r="A1536" s="1" t="s">
        <v>30</v>
      </c>
      <c r="B1536" s="1" t="s">
        <v>53</v>
      </c>
      <c r="C1536" s="1" t="s">
        <v>154</v>
      </c>
      <c r="D1536">
        <v>5250</v>
      </c>
      <c r="E1536" s="1"/>
      <c r="F1536" s="1" t="s">
        <v>286</v>
      </c>
      <c r="G1536">
        <v>2015</v>
      </c>
      <c r="H1536">
        <v>24759.33</v>
      </c>
      <c r="I1536">
        <v>5</v>
      </c>
      <c r="J1536" s="1" t="s">
        <v>469</v>
      </c>
      <c r="K1536">
        <v>0</v>
      </c>
      <c r="L1536">
        <v>417</v>
      </c>
      <c r="M1536">
        <v>59.360655999999999</v>
      </c>
      <c r="N1536">
        <v>1</v>
      </c>
      <c r="O1536" s="1" t="s">
        <v>562</v>
      </c>
      <c r="P1536">
        <v>27841.35</v>
      </c>
      <c r="Q1536">
        <v>5150649.75</v>
      </c>
      <c r="R1536">
        <v>0</v>
      </c>
      <c r="S1536" s="1" t="s">
        <v>804</v>
      </c>
      <c r="T1536" s="1"/>
      <c r="U1536">
        <v>24759.332999999999</v>
      </c>
      <c r="V1536">
        <v>0</v>
      </c>
      <c r="W1536">
        <v>56672</v>
      </c>
    </row>
    <row r="1537" spans="1:23" x14ac:dyDescent="0.25">
      <c r="A1537" s="1" t="s">
        <v>30</v>
      </c>
      <c r="B1537" s="1" t="s">
        <v>53</v>
      </c>
      <c r="C1537" s="1" t="s">
        <v>154</v>
      </c>
      <c r="D1537">
        <v>5250</v>
      </c>
      <c r="E1537" s="1"/>
      <c r="F1537" s="1" t="s">
        <v>286</v>
      </c>
      <c r="G1537">
        <v>2015</v>
      </c>
      <c r="H1537">
        <v>18821.18</v>
      </c>
      <c r="I1537">
        <v>5</v>
      </c>
      <c r="J1537" s="1"/>
      <c r="K1537">
        <v>0</v>
      </c>
      <c r="L1537">
        <v>417</v>
      </c>
      <c r="M1537">
        <v>45.123902999999999</v>
      </c>
      <c r="N1537">
        <v>1</v>
      </c>
      <c r="O1537" s="1" t="s">
        <v>563</v>
      </c>
      <c r="P1537">
        <v>20776.509999999998</v>
      </c>
      <c r="Q1537">
        <v>110164.93</v>
      </c>
      <c r="R1537">
        <v>1</v>
      </c>
      <c r="S1537" s="1" t="s">
        <v>804</v>
      </c>
      <c r="T1537" s="1"/>
      <c r="U1537">
        <v>539.44332999999995</v>
      </c>
      <c r="V1537">
        <v>0</v>
      </c>
      <c r="W1537">
        <v>57006</v>
      </c>
    </row>
    <row r="1538" spans="1:23" x14ac:dyDescent="0.25">
      <c r="A1538" s="1" t="s">
        <v>30</v>
      </c>
      <c r="B1538" s="1" t="s">
        <v>53</v>
      </c>
      <c r="C1538" s="1" t="s">
        <v>154</v>
      </c>
      <c r="D1538">
        <v>5250</v>
      </c>
      <c r="E1538" s="1"/>
      <c r="F1538" s="1" t="s">
        <v>286</v>
      </c>
      <c r="G1538">
        <v>2014</v>
      </c>
      <c r="H1538">
        <v>35648.660000000003</v>
      </c>
      <c r="I1538">
        <v>12</v>
      </c>
      <c r="J1538" s="1" t="s">
        <v>469</v>
      </c>
      <c r="K1538">
        <v>0</v>
      </c>
      <c r="L1538">
        <v>417</v>
      </c>
      <c r="M1538">
        <v>85.467896999999994</v>
      </c>
      <c r="N1538">
        <v>1</v>
      </c>
      <c r="O1538" s="1" t="s">
        <v>562</v>
      </c>
      <c r="P1538">
        <v>42423.57</v>
      </c>
      <c r="Q1538">
        <v>2909822.74</v>
      </c>
      <c r="R1538">
        <v>0</v>
      </c>
      <c r="S1538" s="1" t="s">
        <v>804</v>
      </c>
      <c r="T1538" s="1"/>
      <c r="U1538">
        <v>35648.665999999997</v>
      </c>
      <c r="V1538">
        <v>0</v>
      </c>
      <c r="W1538">
        <v>56672</v>
      </c>
    </row>
    <row r="1539" spans="1:23" x14ac:dyDescent="0.25">
      <c r="A1539" s="1" t="s">
        <v>30</v>
      </c>
      <c r="B1539" s="1" t="s">
        <v>53</v>
      </c>
      <c r="C1539" s="1" t="s">
        <v>154</v>
      </c>
      <c r="D1539">
        <v>5250</v>
      </c>
      <c r="E1539" s="1"/>
      <c r="F1539" s="1" t="s">
        <v>286</v>
      </c>
      <c r="G1539">
        <v>2014</v>
      </c>
      <c r="H1539">
        <v>37876.83</v>
      </c>
      <c r="I1539">
        <v>12</v>
      </c>
      <c r="J1539" s="1"/>
      <c r="K1539">
        <v>0</v>
      </c>
      <c r="L1539">
        <v>417</v>
      </c>
      <c r="M1539">
        <v>90.809949000000003</v>
      </c>
      <c r="N1539">
        <v>1</v>
      </c>
      <c r="O1539" s="1" t="s">
        <v>563</v>
      </c>
      <c r="P1539">
        <v>44589.83</v>
      </c>
      <c r="Q1539">
        <v>94311.62</v>
      </c>
      <c r="R1539">
        <v>1</v>
      </c>
      <c r="S1539" s="1" t="s">
        <v>804</v>
      </c>
      <c r="T1539" s="1"/>
      <c r="U1539">
        <v>1085.6067</v>
      </c>
      <c r="V1539">
        <v>0</v>
      </c>
      <c r="W1539">
        <v>57006</v>
      </c>
    </row>
    <row r="1540" spans="1:23" x14ac:dyDescent="0.25">
      <c r="A1540" s="1" t="s">
        <v>30</v>
      </c>
      <c r="B1540" s="1" t="s">
        <v>53</v>
      </c>
      <c r="C1540" s="1" t="s">
        <v>154</v>
      </c>
      <c r="D1540">
        <v>5250</v>
      </c>
      <c r="E1540" s="1"/>
      <c r="F1540" s="1" t="s">
        <v>286</v>
      </c>
      <c r="G1540">
        <v>2013</v>
      </c>
      <c r="H1540">
        <v>56591</v>
      </c>
      <c r="I1540">
        <v>12</v>
      </c>
      <c r="J1540" s="1" t="s">
        <v>469</v>
      </c>
      <c r="K1540">
        <v>0</v>
      </c>
      <c r="L1540">
        <v>417</v>
      </c>
      <c r="M1540">
        <v>135.67729499999999</v>
      </c>
      <c r="N1540">
        <v>1</v>
      </c>
      <c r="O1540" s="1" t="s">
        <v>562</v>
      </c>
      <c r="P1540">
        <v>59743.57</v>
      </c>
      <c r="Q1540">
        <v>11052.56</v>
      </c>
      <c r="R1540">
        <v>0</v>
      </c>
      <c r="S1540" s="1" t="s">
        <v>804</v>
      </c>
      <c r="T1540" s="1"/>
      <c r="U1540">
        <v>56591</v>
      </c>
      <c r="V1540">
        <v>0</v>
      </c>
      <c r="W1540">
        <v>56672</v>
      </c>
    </row>
    <row r="1541" spans="1:23" x14ac:dyDescent="0.25">
      <c r="A1541" s="1" t="s">
        <v>30</v>
      </c>
      <c r="B1541" s="1" t="s">
        <v>53</v>
      </c>
      <c r="C1541" s="1" t="s">
        <v>154</v>
      </c>
      <c r="D1541">
        <v>5250</v>
      </c>
      <c r="E1541" s="1"/>
      <c r="F1541" s="1" t="s">
        <v>286</v>
      </c>
      <c r="G1541">
        <v>2013</v>
      </c>
      <c r="H1541">
        <v>76582.5</v>
      </c>
      <c r="I1541">
        <v>12</v>
      </c>
      <c r="J1541" s="1"/>
      <c r="K1541">
        <v>0</v>
      </c>
      <c r="L1541">
        <v>417</v>
      </c>
      <c r="M1541">
        <v>183.60704799999999</v>
      </c>
      <c r="N1541">
        <v>1</v>
      </c>
      <c r="O1541" s="1" t="s">
        <v>563</v>
      </c>
      <c r="P1541">
        <v>78562.84</v>
      </c>
      <c r="Q1541">
        <v>416.55</v>
      </c>
      <c r="R1541">
        <v>1</v>
      </c>
      <c r="S1541" s="1" t="s">
        <v>804</v>
      </c>
      <c r="T1541" s="1"/>
      <c r="U1541">
        <v>2194.9699999999998</v>
      </c>
      <c r="V1541">
        <v>0</v>
      </c>
      <c r="W1541">
        <v>57006</v>
      </c>
    </row>
    <row r="1542" spans="1:23" x14ac:dyDescent="0.25">
      <c r="A1542" s="1" t="s">
        <v>30</v>
      </c>
      <c r="B1542" s="1" t="s">
        <v>53</v>
      </c>
      <c r="C1542" s="1" t="s">
        <v>154</v>
      </c>
      <c r="D1542">
        <v>5250</v>
      </c>
      <c r="E1542" s="1"/>
      <c r="F1542" s="1" t="s">
        <v>286</v>
      </c>
      <c r="G1542">
        <v>2012</v>
      </c>
      <c r="H1542">
        <v>65327</v>
      </c>
      <c r="I1542">
        <v>12</v>
      </c>
      <c r="J1542" s="1" t="s">
        <v>469</v>
      </c>
      <c r="K1542">
        <v>0</v>
      </c>
      <c r="L1542">
        <v>417</v>
      </c>
      <c r="M1542">
        <v>156.62191300000001</v>
      </c>
      <c r="N1542">
        <v>1</v>
      </c>
      <c r="O1542" s="1" t="s">
        <v>562</v>
      </c>
      <c r="P1542">
        <v>69006.39</v>
      </c>
      <c r="Q1542">
        <v>12766.18</v>
      </c>
      <c r="R1542">
        <v>0</v>
      </c>
      <c r="S1542" s="1" t="s">
        <v>804</v>
      </c>
      <c r="T1542" s="1"/>
      <c r="U1542">
        <v>65327</v>
      </c>
      <c r="V1542">
        <v>0</v>
      </c>
      <c r="W1542">
        <v>56672</v>
      </c>
    </row>
    <row r="1543" spans="1:23" x14ac:dyDescent="0.25">
      <c r="A1543" s="1" t="s">
        <v>30</v>
      </c>
      <c r="B1543" s="1" t="s">
        <v>53</v>
      </c>
      <c r="C1543" s="1" t="s">
        <v>154</v>
      </c>
      <c r="D1543">
        <v>5250</v>
      </c>
      <c r="E1543" s="1"/>
      <c r="F1543" s="1" t="s">
        <v>286</v>
      </c>
      <c r="G1543">
        <v>2012</v>
      </c>
      <c r="H1543">
        <v>96443.29</v>
      </c>
      <c r="I1543">
        <v>12</v>
      </c>
      <c r="J1543" s="1"/>
      <c r="K1543">
        <v>0</v>
      </c>
      <c r="L1543">
        <v>417</v>
      </c>
      <c r="M1543">
        <v>231.223423</v>
      </c>
      <c r="N1543">
        <v>1</v>
      </c>
      <c r="O1543" s="1" t="s">
        <v>563</v>
      </c>
      <c r="P1543">
        <v>100816.82</v>
      </c>
      <c r="Q1543">
        <v>534.55999999999995</v>
      </c>
      <c r="R1543">
        <v>1</v>
      </c>
      <c r="S1543" s="1" t="s">
        <v>804</v>
      </c>
      <c r="T1543" s="1"/>
      <c r="U1543">
        <v>2764.21</v>
      </c>
      <c r="V1543">
        <v>0</v>
      </c>
      <c r="W1543">
        <v>57006</v>
      </c>
    </row>
    <row r="1544" spans="1:23" x14ac:dyDescent="0.25">
      <c r="A1544" s="1" t="s">
        <v>30</v>
      </c>
      <c r="B1544" s="1" t="s">
        <v>53</v>
      </c>
      <c r="C1544" s="1" t="s">
        <v>154</v>
      </c>
      <c r="D1544">
        <v>5250</v>
      </c>
      <c r="E1544" s="1"/>
      <c r="F1544" s="1" t="s">
        <v>286</v>
      </c>
      <c r="G1544">
        <v>2011</v>
      </c>
      <c r="H1544">
        <v>57978</v>
      </c>
      <c r="I1544">
        <v>12</v>
      </c>
      <c r="J1544" s="1" t="s">
        <v>469</v>
      </c>
      <c r="K1544">
        <v>0</v>
      </c>
      <c r="L1544">
        <v>417</v>
      </c>
      <c r="M1544">
        <v>139.00263699999999</v>
      </c>
      <c r="N1544">
        <v>1</v>
      </c>
      <c r="O1544" s="1" t="s">
        <v>562</v>
      </c>
      <c r="P1544">
        <v>64031.27</v>
      </c>
      <c r="Q1544">
        <v>11845.79</v>
      </c>
      <c r="R1544">
        <v>0</v>
      </c>
      <c r="S1544" s="1" t="s">
        <v>804</v>
      </c>
      <c r="T1544" s="1"/>
      <c r="U1544">
        <v>57978</v>
      </c>
      <c r="V1544">
        <v>0</v>
      </c>
      <c r="W1544">
        <v>56672</v>
      </c>
    </row>
    <row r="1545" spans="1:23" x14ac:dyDescent="0.25">
      <c r="A1545" s="1" t="s">
        <v>30</v>
      </c>
      <c r="B1545" s="1" t="s">
        <v>53</v>
      </c>
      <c r="C1545" s="1" t="s">
        <v>154</v>
      </c>
      <c r="D1545">
        <v>5250</v>
      </c>
      <c r="E1545" s="1"/>
      <c r="F1545" s="1" t="s">
        <v>286</v>
      </c>
      <c r="G1545">
        <v>2011</v>
      </c>
      <c r="H1545">
        <v>71993.09</v>
      </c>
      <c r="I1545">
        <v>12</v>
      </c>
      <c r="J1545" s="1"/>
      <c r="K1545">
        <v>0</v>
      </c>
      <c r="L1545">
        <v>417</v>
      </c>
      <c r="M1545">
        <v>172.60390699999999</v>
      </c>
      <c r="N1545">
        <v>1</v>
      </c>
      <c r="O1545" s="1" t="s">
        <v>563</v>
      </c>
      <c r="P1545">
        <v>78433.490000000005</v>
      </c>
      <c r="Q1545">
        <v>415.9</v>
      </c>
      <c r="R1545">
        <v>1</v>
      </c>
      <c r="S1545" s="1" t="s">
        <v>804</v>
      </c>
      <c r="T1545" s="1"/>
      <c r="U1545">
        <v>2063.4299999999998</v>
      </c>
      <c r="V1545">
        <v>0</v>
      </c>
      <c r="W1545">
        <v>57006</v>
      </c>
    </row>
    <row r="1546" spans="1:23" x14ac:dyDescent="0.25">
      <c r="A1546" s="1" t="s">
        <v>30</v>
      </c>
      <c r="B1546" s="1" t="s">
        <v>53</v>
      </c>
      <c r="C1546" s="1" t="s">
        <v>154</v>
      </c>
      <c r="D1546">
        <v>5250</v>
      </c>
      <c r="E1546" s="1"/>
      <c r="F1546" s="1" t="s">
        <v>286</v>
      </c>
      <c r="G1546">
        <v>2010</v>
      </c>
      <c r="H1546">
        <v>59625</v>
      </c>
      <c r="I1546">
        <v>12</v>
      </c>
      <c r="J1546" s="1" t="s">
        <v>469</v>
      </c>
      <c r="K1546">
        <v>0</v>
      </c>
      <c r="L1546">
        <v>417</v>
      </c>
      <c r="M1546">
        <v>142.95133000000001</v>
      </c>
      <c r="N1546">
        <v>1</v>
      </c>
      <c r="O1546" s="1" t="s">
        <v>562</v>
      </c>
      <c r="P1546">
        <v>54399.9</v>
      </c>
      <c r="Q1546">
        <v>10064.01</v>
      </c>
      <c r="R1546">
        <v>0</v>
      </c>
      <c r="S1546" s="1" t="s">
        <v>804</v>
      </c>
      <c r="T1546" s="1"/>
      <c r="U1546">
        <v>59625</v>
      </c>
      <c r="V1546">
        <v>0</v>
      </c>
      <c r="W1546">
        <v>56672</v>
      </c>
    </row>
    <row r="1547" spans="1:23" x14ac:dyDescent="0.25">
      <c r="A1547" s="1" t="s">
        <v>30</v>
      </c>
      <c r="B1547" s="1" t="s">
        <v>53</v>
      </c>
      <c r="C1547" s="1" t="s">
        <v>154</v>
      </c>
      <c r="D1547">
        <v>5250</v>
      </c>
      <c r="E1547" s="1"/>
      <c r="F1547" s="1" t="s">
        <v>286</v>
      </c>
      <c r="G1547">
        <v>2010</v>
      </c>
      <c r="H1547">
        <v>103203.23</v>
      </c>
      <c r="I1547">
        <v>12</v>
      </c>
      <c r="J1547" s="1"/>
      <c r="K1547">
        <v>0</v>
      </c>
      <c r="L1547">
        <v>417</v>
      </c>
      <c r="M1547">
        <v>247.43042399999999</v>
      </c>
      <c r="N1547">
        <v>1</v>
      </c>
      <c r="O1547" s="1" t="s">
        <v>563</v>
      </c>
      <c r="P1547">
        <v>92344.21</v>
      </c>
      <c r="Q1547">
        <v>489.63</v>
      </c>
      <c r="R1547">
        <v>1</v>
      </c>
      <c r="S1547" s="1" t="s">
        <v>804</v>
      </c>
      <c r="T1547" s="1"/>
      <c r="U1547">
        <v>2957.96</v>
      </c>
      <c r="V1547">
        <v>0</v>
      </c>
      <c r="W1547">
        <v>57006</v>
      </c>
    </row>
    <row r="1548" spans="1:23" x14ac:dyDescent="0.25">
      <c r="A1548" s="1" t="s">
        <v>30</v>
      </c>
      <c r="B1548" s="1" t="s">
        <v>53</v>
      </c>
      <c r="C1548" s="1" t="s">
        <v>154</v>
      </c>
      <c r="D1548">
        <v>5250</v>
      </c>
      <c r="E1548" s="1"/>
      <c r="F1548" s="1" t="s">
        <v>286</v>
      </c>
      <c r="G1548">
        <v>2009</v>
      </c>
      <c r="H1548">
        <v>53333</v>
      </c>
      <c r="I1548">
        <v>12</v>
      </c>
      <c r="J1548" s="1" t="s">
        <v>469</v>
      </c>
      <c r="K1548">
        <v>0</v>
      </c>
      <c r="L1548">
        <v>417</v>
      </c>
      <c r="M1548">
        <v>127.866219</v>
      </c>
      <c r="N1548">
        <v>1</v>
      </c>
      <c r="O1548" s="1" t="s">
        <v>562</v>
      </c>
      <c r="P1548">
        <v>56811.18</v>
      </c>
      <c r="Q1548">
        <v>10510.06</v>
      </c>
      <c r="R1548">
        <v>0</v>
      </c>
      <c r="S1548" s="1" t="s">
        <v>804</v>
      </c>
      <c r="T1548" s="1"/>
      <c r="U1548">
        <v>53333</v>
      </c>
      <c r="V1548">
        <v>0</v>
      </c>
      <c r="W1548">
        <v>56672</v>
      </c>
    </row>
    <row r="1549" spans="1:23" x14ac:dyDescent="0.25">
      <c r="A1549" s="1" t="s">
        <v>30</v>
      </c>
      <c r="B1549" s="1" t="s">
        <v>53</v>
      </c>
      <c r="C1549" s="1" t="s">
        <v>154</v>
      </c>
      <c r="D1549">
        <v>5250</v>
      </c>
      <c r="E1549" s="1"/>
      <c r="F1549" s="1" t="s">
        <v>286</v>
      </c>
      <c r="G1549">
        <v>2009</v>
      </c>
      <c r="H1549">
        <v>55130.74</v>
      </c>
      <c r="I1549">
        <v>12</v>
      </c>
      <c r="J1549" s="1"/>
      <c r="K1549">
        <v>0</v>
      </c>
      <c r="L1549">
        <v>417</v>
      </c>
      <c r="M1549">
        <v>132.176312</v>
      </c>
      <c r="N1549">
        <v>1</v>
      </c>
      <c r="O1549" s="1" t="s">
        <v>563</v>
      </c>
      <c r="P1549">
        <v>58254.33</v>
      </c>
      <c r="Q1549">
        <v>308.89</v>
      </c>
      <c r="R1549">
        <v>1</v>
      </c>
      <c r="S1549" s="1" t="s">
        <v>804</v>
      </c>
      <c r="T1549" s="1"/>
      <c r="U1549">
        <v>1580.13</v>
      </c>
      <c r="V1549">
        <v>0</v>
      </c>
      <c r="W1549">
        <v>57006</v>
      </c>
    </row>
    <row r="1550" spans="1:23" x14ac:dyDescent="0.25">
      <c r="A1550" s="1" t="s">
        <v>30</v>
      </c>
      <c r="B1550" s="1" t="s">
        <v>53</v>
      </c>
      <c r="C1550" s="1" t="s">
        <v>154</v>
      </c>
      <c r="D1550">
        <v>5250</v>
      </c>
      <c r="E1550" s="1"/>
      <c r="F1550" s="1" t="s">
        <v>286</v>
      </c>
      <c r="G1550">
        <v>2008</v>
      </c>
      <c r="H1550">
        <v>48506</v>
      </c>
      <c r="I1550">
        <v>12</v>
      </c>
      <c r="J1550" s="1" t="s">
        <v>469</v>
      </c>
      <c r="K1550">
        <v>0</v>
      </c>
      <c r="L1550">
        <v>417</v>
      </c>
      <c r="M1550">
        <v>116.293454</v>
      </c>
      <c r="N1550">
        <v>1</v>
      </c>
      <c r="O1550" s="1" t="s">
        <v>562</v>
      </c>
      <c r="P1550">
        <v>55217.2</v>
      </c>
      <c r="Q1550">
        <v>10215.17</v>
      </c>
      <c r="R1550">
        <v>0</v>
      </c>
      <c r="S1550" s="1" t="s">
        <v>804</v>
      </c>
      <c r="T1550" s="1"/>
      <c r="U1550">
        <v>48506</v>
      </c>
      <c r="V1550">
        <v>0</v>
      </c>
      <c r="W1550">
        <v>56672</v>
      </c>
    </row>
    <row r="1551" spans="1:23" x14ac:dyDescent="0.25">
      <c r="A1551" s="1" t="s">
        <v>30</v>
      </c>
      <c r="B1551" s="1" t="s">
        <v>53</v>
      </c>
      <c r="C1551" s="1" t="s">
        <v>154</v>
      </c>
      <c r="D1551">
        <v>5250</v>
      </c>
      <c r="E1551" s="1"/>
      <c r="F1551" s="1" t="s">
        <v>286</v>
      </c>
      <c r="G1551">
        <v>2008</v>
      </c>
      <c r="H1551">
        <v>49501.24</v>
      </c>
      <c r="I1551">
        <v>12</v>
      </c>
      <c r="J1551" s="1"/>
      <c r="K1551">
        <v>0</v>
      </c>
      <c r="L1551">
        <v>417</v>
      </c>
      <c r="M1551">
        <v>118.67954899999999</v>
      </c>
      <c r="N1551">
        <v>1</v>
      </c>
      <c r="O1551" s="1" t="s">
        <v>563</v>
      </c>
      <c r="P1551">
        <v>56488.78</v>
      </c>
      <c r="Q1551">
        <v>299.52</v>
      </c>
      <c r="R1551">
        <v>1</v>
      </c>
      <c r="S1551" s="1" t="s">
        <v>804</v>
      </c>
      <c r="T1551" s="1"/>
      <c r="U1551">
        <v>1418.78</v>
      </c>
      <c r="V1551">
        <v>0</v>
      </c>
      <c r="W1551">
        <v>57006</v>
      </c>
    </row>
    <row r="1552" spans="1:23" x14ac:dyDescent="0.25">
      <c r="A1552" s="1" t="s">
        <v>30</v>
      </c>
      <c r="B1552" s="1"/>
      <c r="C1552" s="1" t="s">
        <v>150</v>
      </c>
      <c r="D1552">
        <v>10208</v>
      </c>
      <c r="E1552" s="1"/>
      <c r="F1552" s="1" t="s">
        <v>283</v>
      </c>
      <c r="G1552">
        <v>2015</v>
      </c>
      <c r="H1552">
        <v>11302.97</v>
      </c>
      <c r="I1552">
        <v>5</v>
      </c>
      <c r="J1552" s="1" t="s">
        <v>426</v>
      </c>
      <c r="K1552">
        <v>0</v>
      </c>
      <c r="L1552">
        <v>741</v>
      </c>
      <c r="M1552">
        <v>15.251612</v>
      </c>
      <c r="N1552">
        <v>2</v>
      </c>
      <c r="O1552" s="1" t="s">
        <v>569</v>
      </c>
      <c r="P1552">
        <v>11302.97</v>
      </c>
      <c r="Q1552">
        <v>3390.89</v>
      </c>
      <c r="R1552">
        <v>0</v>
      </c>
      <c r="S1552" s="1" t="s">
        <v>1004</v>
      </c>
      <c r="T1552" s="1" t="s">
        <v>1285</v>
      </c>
      <c r="U1552">
        <v>11302.974</v>
      </c>
      <c r="V1552">
        <v>0</v>
      </c>
      <c r="W1552">
        <v>77411</v>
      </c>
    </row>
    <row r="1553" spans="1:23" x14ac:dyDescent="0.25">
      <c r="A1553" s="1" t="s">
        <v>30</v>
      </c>
      <c r="B1553" s="1"/>
      <c r="C1553" s="1" t="s">
        <v>150</v>
      </c>
      <c r="D1553">
        <v>10208</v>
      </c>
      <c r="E1553" s="1"/>
      <c r="F1553" s="1" t="s">
        <v>283</v>
      </c>
      <c r="G1553">
        <v>2014</v>
      </c>
      <c r="H1553">
        <v>26376.23</v>
      </c>
      <c r="I1553">
        <v>12</v>
      </c>
      <c r="J1553" s="1" t="s">
        <v>426</v>
      </c>
      <c r="K1553">
        <v>0</v>
      </c>
      <c r="L1553">
        <v>741</v>
      </c>
      <c r="M1553">
        <v>35.590648999999999</v>
      </c>
      <c r="N1553">
        <v>2</v>
      </c>
      <c r="O1553" s="1" t="s">
        <v>569</v>
      </c>
      <c r="P1553">
        <v>26376.23</v>
      </c>
      <c r="Q1553">
        <v>7912.86</v>
      </c>
      <c r="R1553">
        <v>0</v>
      </c>
      <c r="S1553" s="1" t="s">
        <v>1004</v>
      </c>
      <c r="T1553" s="1" t="s">
        <v>1285</v>
      </c>
      <c r="U1553">
        <v>26376.215</v>
      </c>
      <c r="V1553">
        <v>0</v>
      </c>
      <c r="W1553">
        <v>77411</v>
      </c>
    </row>
    <row r="1554" spans="1:23" x14ac:dyDescent="0.25">
      <c r="A1554" s="1" t="s">
        <v>30</v>
      </c>
      <c r="B1554" s="1"/>
      <c r="C1554" s="1" t="s">
        <v>150</v>
      </c>
      <c r="D1554">
        <v>10208</v>
      </c>
      <c r="E1554" s="1"/>
      <c r="F1554" s="1" t="s">
        <v>283</v>
      </c>
      <c r="G1554">
        <v>2013</v>
      </c>
      <c r="H1554">
        <v>27083.47</v>
      </c>
      <c r="I1554">
        <v>12</v>
      </c>
      <c r="J1554" s="1" t="s">
        <v>426</v>
      </c>
      <c r="K1554">
        <v>0</v>
      </c>
      <c r="L1554">
        <v>741</v>
      </c>
      <c r="M1554">
        <v>36.544960000000003</v>
      </c>
      <c r="N1554">
        <v>2</v>
      </c>
      <c r="O1554" s="1" t="s">
        <v>569</v>
      </c>
      <c r="P1554">
        <v>27083.47</v>
      </c>
      <c r="Q1554">
        <v>8125.04</v>
      </c>
      <c r="R1554">
        <v>0</v>
      </c>
      <c r="S1554" s="1" t="s">
        <v>1004</v>
      </c>
      <c r="T1554" s="1" t="s">
        <v>1285</v>
      </c>
      <c r="U1554">
        <v>27083.451000000001</v>
      </c>
      <c r="V1554">
        <v>0</v>
      </c>
      <c r="W1554">
        <v>77411</v>
      </c>
    </row>
    <row r="1555" spans="1:23" x14ac:dyDescent="0.25">
      <c r="A1555" s="1" t="s">
        <v>30</v>
      </c>
      <c r="B1555" s="1"/>
      <c r="C1555" s="1" t="s">
        <v>150</v>
      </c>
      <c r="D1555">
        <v>10208</v>
      </c>
      <c r="E1555" s="1"/>
      <c r="F1555" s="1" t="s">
        <v>283</v>
      </c>
      <c r="G1555">
        <v>2012</v>
      </c>
      <c r="H1555">
        <v>29950.400000000001</v>
      </c>
      <c r="I1555">
        <v>12</v>
      </c>
      <c r="J1555" s="1" t="s">
        <v>426</v>
      </c>
      <c r="K1555">
        <v>0</v>
      </c>
      <c r="L1555">
        <v>741</v>
      </c>
      <c r="M1555">
        <v>40.413438999999997</v>
      </c>
      <c r="N1555">
        <v>2</v>
      </c>
      <c r="O1555" s="1" t="s">
        <v>569</v>
      </c>
      <c r="P1555">
        <v>29950.400000000001</v>
      </c>
      <c r="Q1555">
        <v>11980.18</v>
      </c>
      <c r="R1555">
        <v>0</v>
      </c>
      <c r="S1555" s="1" t="s">
        <v>1004</v>
      </c>
      <c r="T1555" s="1" t="s">
        <v>1285</v>
      </c>
      <c r="U1555">
        <v>29950.392</v>
      </c>
      <c r="V1555">
        <v>0</v>
      </c>
      <c r="W1555">
        <v>77411</v>
      </c>
    </row>
    <row r="1556" spans="1:23" x14ac:dyDescent="0.25">
      <c r="A1556" s="1" t="s">
        <v>30</v>
      </c>
      <c r="B1556" s="1"/>
      <c r="C1556" s="1" t="s">
        <v>150</v>
      </c>
      <c r="D1556">
        <v>10208</v>
      </c>
      <c r="E1556" s="1"/>
      <c r="F1556" s="1" t="s">
        <v>283</v>
      </c>
      <c r="G1556">
        <v>2011</v>
      </c>
      <c r="H1556">
        <v>27922.44</v>
      </c>
      <c r="I1556">
        <v>6</v>
      </c>
      <c r="J1556" s="1" t="s">
        <v>426</v>
      </c>
      <c r="K1556">
        <v>0</v>
      </c>
      <c r="L1556">
        <v>741</v>
      </c>
      <c r="M1556">
        <v>37.677019999999999</v>
      </c>
      <c r="N1556">
        <v>2</v>
      </c>
      <c r="O1556" s="1" t="s">
        <v>569</v>
      </c>
      <c r="P1556">
        <v>27922.44</v>
      </c>
      <c r="Q1556">
        <v>13095.62</v>
      </c>
      <c r="R1556">
        <v>0</v>
      </c>
      <c r="S1556" s="1" t="s">
        <v>1004</v>
      </c>
      <c r="T1556" s="1" t="s">
        <v>1285</v>
      </c>
      <c r="U1556">
        <v>27922.452120000002</v>
      </c>
      <c r="V1556">
        <v>0</v>
      </c>
      <c r="W1556">
        <v>77411</v>
      </c>
    </row>
    <row r="1557" spans="1:23" x14ac:dyDescent="0.25">
      <c r="A1557" s="1" t="s">
        <v>30</v>
      </c>
      <c r="B1557" s="1"/>
      <c r="C1557" s="1" t="s">
        <v>150</v>
      </c>
      <c r="D1557">
        <v>10208</v>
      </c>
      <c r="E1557" s="1"/>
      <c r="F1557" s="1" t="s">
        <v>283</v>
      </c>
      <c r="G1557">
        <v>2010</v>
      </c>
      <c r="H1557">
        <v>30721.62</v>
      </c>
      <c r="I1557">
        <v>6</v>
      </c>
      <c r="J1557" s="1" t="s">
        <v>426</v>
      </c>
      <c r="K1557">
        <v>0</v>
      </c>
      <c r="L1557">
        <v>741</v>
      </c>
      <c r="M1557">
        <v>41.454081000000002</v>
      </c>
      <c r="N1557">
        <v>2</v>
      </c>
      <c r="O1557" s="1" t="s">
        <v>569</v>
      </c>
      <c r="P1557">
        <v>30721.62</v>
      </c>
      <c r="Q1557">
        <v>14408.42</v>
      </c>
      <c r="R1557">
        <v>0</v>
      </c>
      <c r="S1557" s="1" t="s">
        <v>1004</v>
      </c>
      <c r="T1557" s="1" t="s">
        <v>1285</v>
      </c>
      <c r="U1557">
        <v>30721.62012</v>
      </c>
      <c r="V1557">
        <v>0</v>
      </c>
      <c r="W1557">
        <v>77411</v>
      </c>
    </row>
    <row r="1558" spans="1:23" x14ac:dyDescent="0.25">
      <c r="A1558" s="1" t="s">
        <v>30</v>
      </c>
      <c r="B1558" s="1"/>
      <c r="C1558" s="1" t="s">
        <v>150</v>
      </c>
      <c r="D1558">
        <v>10208</v>
      </c>
      <c r="E1558" s="1"/>
      <c r="F1558" s="1" t="s">
        <v>283</v>
      </c>
      <c r="G1558">
        <v>2009</v>
      </c>
      <c r="H1558">
        <v>33158.370000000003</v>
      </c>
      <c r="I1558">
        <v>4</v>
      </c>
      <c r="J1558" s="1" t="s">
        <v>426</v>
      </c>
      <c r="K1558">
        <v>0</v>
      </c>
      <c r="L1558">
        <v>741</v>
      </c>
      <c r="M1558">
        <v>44.742099000000003</v>
      </c>
      <c r="N1558">
        <v>2</v>
      </c>
      <c r="O1558" s="1" t="s">
        <v>569</v>
      </c>
      <c r="P1558">
        <v>33158.370000000003</v>
      </c>
      <c r="Q1558">
        <v>15551.27</v>
      </c>
      <c r="R1558">
        <v>0</v>
      </c>
      <c r="S1558" s="1" t="s">
        <v>1004</v>
      </c>
      <c r="T1558" s="1" t="s">
        <v>1285</v>
      </c>
      <c r="U1558">
        <v>33158.353799999997</v>
      </c>
      <c r="V1558">
        <v>0</v>
      </c>
      <c r="W1558">
        <v>77411</v>
      </c>
    </row>
    <row r="1559" spans="1:23" x14ac:dyDescent="0.25">
      <c r="A1559" s="1" t="s">
        <v>30</v>
      </c>
      <c r="B1559" s="1"/>
      <c r="C1559" s="1" t="s">
        <v>150</v>
      </c>
      <c r="D1559">
        <v>10208</v>
      </c>
      <c r="E1559" s="1"/>
      <c r="F1559" s="1" t="s">
        <v>283</v>
      </c>
      <c r="G1559">
        <v>2008</v>
      </c>
      <c r="H1559">
        <v>30978.78</v>
      </c>
      <c r="I1559">
        <v>5</v>
      </c>
      <c r="J1559" s="1" t="s">
        <v>426</v>
      </c>
      <c r="K1559">
        <v>0</v>
      </c>
      <c r="L1559">
        <v>741</v>
      </c>
      <c r="M1559">
        <v>41.801079000000001</v>
      </c>
      <c r="N1559">
        <v>2</v>
      </c>
      <c r="O1559" s="1" t="s">
        <v>569</v>
      </c>
      <c r="P1559">
        <v>30978.78</v>
      </c>
      <c r="Q1559">
        <v>14529.04</v>
      </c>
      <c r="R1559">
        <v>0</v>
      </c>
      <c r="S1559" s="1" t="s">
        <v>1004</v>
      </c>
      <c r="T1559" s="1" t="s">
        <v>1285</v>
      </c>
      <c r="U1559">
        <v>30978.781559999999</v>
      </c>
      <c r="V1559">
        <v>0</v>
      </c>
      <c r="W1559">
        <v>77411</v>
      </c>
    </row>
    <row r="1560" spans="1:23" x14ac:dyDescent="0.25">
      <c r="A1560" s="1" t="s">
        <v>30</v>
      </c>
      <c r="B1560" s="1"/>
      <c r="C1560" s="1" t="s">
        <v>151</v>
      </c>
      <c r="D1560">
        <v>10236</v>
      </c>
      <c r="E1560" s="1"/>
      <c r="F1560" s="1" t="s">
        <v>284</v>
      </c>
      <c r="G1560">
        <v>2015</v>
      </c>
      <c r="H1560">
        <v>11031.84</v>
      </c>
      <c r="I1560">
        <v>5</v>
      </c>
      <c r="J1560" s="1" t="s">
        <v>522</v>
      </c>
      <c r="K1560">
        <v>0</v>
      </c>
      <c r="L1560">
        <v>696</v>
      </c>
      <c r="M1560">
        <v>15.848067</v>
      </c>
      <c r="N1560">
        <v>2</v>
      </c>
      <c r="O1560" s="1" t="s">
        <v>569</v>
      </c>
      <c r="P1560">
        <v>11031.84</v>
      </c>
      <c r="Q1560">
        <v>3309.55</v>
      </c>
      <c r="R1560">
        <v>0</v>
      </c>
      <c r="S1560" s="1" t="s">
        <v>1005</v>
      </c>
      <c r="T1560" s="1" t="s">
        <v>1286</v>
      </c>
      <c r="U1560">
        <v>11031.837</v>
      </c>
      <c r="V1560">
        <v>0</v>
      </c>
      <c r="W1560">
        <v>77524</v>
      </c>
    </row>
    <row r="1561" spans="1:23" x14ac:dyDescent="0.25">
      <c r="A1561" s="1" t="s">
        <v>30</v>
      </c>
      <c r="B1561" s="1"/>
      <c r="C1561" s="1" t="s">
        <v>151</v>
      </c>
      <c r="D1561">
        <v>10236</v>
      </c>
      <c r="E1561" s="1"/>
      <c r="F1561" s="1" t="s">
        <v>284</v>
      </c>
      <c r="G1561">
        <v>2014</v>
      </c>
      <c r="H1561">
        <v>23526.78</v>
      </c>
      <c r="I1561">
        <v>11</v>
      </c>
      <c r="J1561" s="1" t="s">
        <v>522</v>
      </c>
      <c r="K1561">
        <v>0</v>
      </c>
      <c r="L1561">
        <v>696</v>
      </c>
      <c r="M1561">
        <v>33.797987999999997</v>
      </c>
      <c r="N1561">
        <v>2</v>
      </c>
      <c r="O1561" s="1" t="s">
        <v>569</v>
      </c>
      <c r="P1561">
        <v>23526.78</v>
      </c>
      <c r="Q1561">
        <v>7058.04</v>
      </c>
      <c r="R1561">
        <v>0</v>
      </c>
      <c r="S1561" s="1" t="s">
        <v>1005</v>
      </c>
      <c r="T1561" s="1" t="s">
        <v>1286</v>
      </c>
      <c r="U1561">
        <v>23526.78</v>
      </c>
      <c r="V1561">
        <v>0</v>
      </c>
      <c r="W1561">
        <v>77524</v>
      </c>
    </row>
    <row r="1562" spans="1:23" x14ac:dyDescent="0.25">
      <c r="A1562" s="1" t="s">
        <v>30</v>
      </c>
      <c r="B1562" s="1"/>
      <c r="C1562" s="1" t="s">
        <v>151</v>
      </c>
      <c r="D1562">
        <v>10236</v>
      </c>
      <c r="E1562" s="1"/>
      <c r="F1562" s="1" t="s">
        <v>284</v>
      </c>
      <c r="G1562">
        <v>2013</v>
      </c>
      <c r="H1562">
        <v>22877.48</v>
      </c>
      <c r="I1562">
        <v>12</v>
      </c>
      <c r="J1562" s="1" t="s">
        <v>522</v>
      </c>
      <c r="K1562">
        <v>0</v>
      </c>
      <c r="L1562">
        <v>696</v>
      </c>
      <c r="M1562">
        <v>32.865220000000001</v>
      </c>
      <c r="N1562">
        <v>2</v>
      </c>
      <c r="O1562" s="1" t="s">
        <v>569</v>
      </c>
      <c r="P1562">
        <v>22877.48</v>
      </c>
      <c r="Q1562">
        <v>6863.25</v>
      </c>
      <c r="R1562">
        <v>0</v>
      </c>
      <c r="S1562" s="1" t="s">
        <v>1005</v>
      </c>
      <c r="T1562" s="1" t="s">
        <v>1286</v>
      </c>
      <c r="U1562">
        <v>22877.486000000001</v>
      </c>
      <c r="V1562">
        <v>0</v>
      </c>
      <c r="W1562">
        <v>77524</v>
      </c>
    </row>
    <row r="1563" spans="1:23" x14ac:dyDescent="0.25">
      <c r="A1563" s="1" t="s">
        <v>30</v>
      </c>
      <c r="B1563" s="1"/>
      <c r="C1563" s="1" t="s">
        <v>151</v>
      </c>
      <c r="D1563">
        <v>10236</v>
      </c>
      <c r="E1563" s="1"/>
      <c r="F1563" s="1" t="s">
        <v>284</v>
      </c>
      <c r="G1563">
        <v>2012</v>
      </c>
      <c r="H1563">
        <v>23810.37</v>
      </c>
      <c r="I1563">
        <v>12</v>
      </c>
      <c r="J1563" s="1" t="s">
        <v>522</v>
      </c>
      <c r="K1563">
        <v>0</v>
      </c>
      <c r="L1563">
        <v>696</v>
      </c>
      <c r="M1563">
        <v>34.205387000000002</v>
      </c>
      <c r="N1563">
        <v>2</v>
      </c>
      <c r="O1563" s="1" t="s">
        <v>569</v>
      </c>
      <c r="P1563">
        <v>23810.37</v>
      </c>
      <c r="Q1563">
        <v>9524.16</v>
      </c>
      <c r="R1563">
        <v>0</v>
      </c>
      <c r="S1563" s="1" t="s">
        <v>1005</v>
      </c>
      <c r="T1563" s="1" t="s">
        <v>1286</v>
      </c>
      <c r="U1563">
        <v>23810.376</v>
      </c>
      <c r="V1563">
        <v>0</v>
      </c>
      <c r="W1563">
        <v>77524</v>
      </c>
    </row>
    <row r="1564" spans="1:23" x14ac:dyDescent="0.25">
      <c r="A1564" s="1" t="s">
        <v>30</v>
      </c>
      <c r="B1564" s="1"/>
      <c r="C1564" s="1" t="s">
        <v>151</v>
      </c>
      <c r="D1564">
        <v>10236</v>
      </c>
      <c r="E1564" s="1"/>
      <c r="F1564" s="1" t="s">
        <v>284</v>
      </c>
      <c r="G1564">
        <v>2011</v>
      </c>
      <c r="H1564">
        <v>21492.46</v>
      </c>
      <c r="I1564">
        <v>12</v>
      </c>
      <c r="J1564" s="1" t="s">
        <v>522</v>
      </c>
      <c r="K1564">
        <v>0</v>
      </c>
      <c r="L1564">
        <v>696</v>
      </c>
      <c r="M1564">
        <v>30.875534999999999</v>
      </c>
      <c r="N1564">
        <v>2</v>
      </c>
      <c r="O1564" s="1" t="s">
        <v>569</v>
      </c>
      <c r="P1564">
        <v>21492.46</v>
      </c>
      <c r="Q1564">
        <v>10079.969999999999</v>
      </c>
      <c r="R1564">
        <v>0</v>
      </c>
      <c r="S1564" s="1" t="s">
        <v>1005</v>
      </c>
      <c r="T1564" s="1" t="s">
        <v>1286</v>
      </c>
      <c r="U1564">
        <v>21492.448</v>
      </c>
      <c r="V1564">
        <v>0</v>
      </c>
      <c r="W1564">
        <v>77524</v>
      </c>
    </row>
    <row r="1565" spans="1:23" x14ac:dyDescent="0.25">
      <c r="A1565" s="1" t="s">
        <v>30</v>
      </c>
      <c r="B1565" s="1"/>
      <c r="C1565" s="1" t="s">
        <v>151</v>
      </c>
      <c r="D1565">
        <v>10236</v>
      </c>
      <c r="E1565" s="1"/>
      <c r="F1565" s="1" t="s">
        <v>284</v>
      </c>
      <c r="G1565">
        <v>2010</v>
      </c>
      <c r="H1565">
        <v>17664.64</v>
      </c>
      <c r="I1565">
        <v>12</v>
      </c>
      <c r="J1565" s="1" t="s">
        <v>522</v>
      </c>
      <c r="K1565">
        <v>0</v>
      </c>
      <c r="L1565">
        <v>696</v>
      </c>
      <c r="M1565">
        <v>25.376583</v>
      </c>
      <c r="N1565">
        <v>2</v>
      </c>
      <c r="O1565" s="1" t="s">
        <v>569</v>
      </c>
      <c r="P1565">
        <v>17664.64</v>
      </c>
      <c r="Q1565">
        <v>8284.7199999999993</v>
      </c>
      <c r="R1565">
        <v>0</v>
      </c>
      <c r="S1565" s="1" t="s">
        <v>1005</v>
      </c>
      <c r="T1565" s="1" t="s">
        <v>1286</v>
      </c>
      <c r="U1565">
        <v>17664.657999999999</v>
      </c>
      <c r="V1565">
        <v>0</v>
      </c>
      <c r="W1565">
        <v>77524</v>
      </c>
    </row>
    <row r="1566" spans="1:23" x14ac:dyDescent="0.25">
      <c r="A1566" s="1" t="s">
        <v>30</v>
      </c>
      <c r="B1566" s="1"/>
      <c r="C1566" s="1" t="s">
        <v>151</v>
      </c>
      <c r="D1566">
        <v>10236</v>
      </c>
      <c r="E1566" s="1"/>
      <c r="F1566" s="1" t="s">
        <v>284</v>
      </c>
      <c r="G1566">
        <v>2009</v>
      </c>
      <c r="H1566">
        <v>17177.59</v>
      </c>
      <c r="I1566">
        <v>19</v>
      </c>
      <c r="J1566" s="1" t="s">
        <v>522</v>
      </c>
      <c r="K1566">
        <v>0</v>
      </c>
      <c r="L1566">
        <v>696</v>
      </c>
      <c r="M1566">
        <v>24.676898999999999</v>
      </c>
      <c r="N1566">
        <v>2</v>
      </c>
      <c r="O1566" s="1" t="s">
        <v>569</v>
      </c>
      <c r="P1566">
        <v>17177.59</v>
      </c>
      <c r="Q1566">
        <v>8056.29</v>
      </c>
      <c r="R1566">
        <v>0</v>
      </c>
      <c r="S1566" s="1" t="s">
        <v>1005</v>
      </c>
      <c r="T1566" s="1" t="s">
        <v>1286</v>
      </c>
      <c r="U1566">
        <v>17177.58023</v>
      </c>
      <c r="V1566">
        <v>0</v>
      </c>
      <c r="W1566">
        <v>77524</v>
      </c>
    </row>
    <row r="1567" spans="1:23" x14ac:dyDescent="0.25">
      <c r="A1567" s="1" t="s">
        <v>30</v>
      </c>
      <c r="B1567" s="1"/>
      <c r="C1567" s="1" t="s">
        <v>151</v>
      </c>
      <c r="D1567">
        <v>10236</v>
      </c>
      <c r="E1567" s="1"/>
      <c r="F1567" s="1" t="s">
        <v>284</v>
      </c>
      <c r="G1567">
        <v>2008</v>
      </c>
      <c r="H1567">
        <v>21556.27</v>
      </c>
      <c r="I1567">
        <v>22</v>
      </c>
      <c r="J1567" s="1" t="s">
        <v>522</v>
      </c>
      <c r="K1567">
        <v>0</v>
      </c>
      <c r="L1567">
        <v>696</v>
      </c>
      <c r="M1567">
        <v>30.967202</v>
      </c>
      <c r="N1567">
        <v>2</v>
      </c>
      <c r="O1567" s="1" t="s">
        <v>569</v>
      </c>
      <c r="P1567">
        <v>21556.27</v>
      </c>
      <c r="Q1567">
        <v>10109.92</v>
      </c>
      <c r="R1567">
        <v>0</v>
      </c>
      <c r="S1567" s="1" t="s">
        <v>1005</v>
      </c>
      <c r="T1567" s="1" t="s">
        <v>1286</v>
      </c>
      <c r="U1567">
        <v>21556.283439999999</v>
      </c>
      <c r="V1567">
        <v>0</v>
      </c>
      <c r="W1567">
        <v>77524</v>
      </c>
    </row>
    <row r="1568" spans="1:23" x14ac:dyDescent="0.25">
      <c r="A1568" s="1" t="s">
        <v>30</v>
      </c>
      <c r="B1568" s="1" t="s">
        <v>65</v>
      </c>
      <c r="C1568" s="1" t="s">
        <v>152</v>
      </c>
      <c r="D1568">
        <v>5273</v>
      </c>
      <c r="E1568" s="1"/>
      <c r="F1568" s="1" t="s">
        <v>285</v>
      </c>
      <c r="G1568">
        <v>2015</v>
      </c>
      <c r="H1568">
        <v>4492.22</v>
      </c>
      <c r="I1568">
        <v>5</v>
      </c>
      <c r="J1568" s="1" t="s">
        <v>399</v>
      </c>
      <c r="K1568">
        <v>0</v>
      </c>
      <c r="L1568">
        <v>457</v>
      </c>
      <c r="M1568">
        <v>9.8276520000000005</v>
      </c>
      <c r="N1568">
        <v>2</v>
      </c>
      <c r="O1568" s="1" t="s">
        <v>569</v>
      </c>
      <c r="P1568">
        <v>4492.22</v>
      </c>
      <c r="Q1568">
        <v>1796.88</v>
      </c>
      <c r="R1568">
        <v>0</v>
      </c>
      <c r="S1568" s="1" t="s">
        <v>1006</v>
      </c>
      <c r="T1568" s="1" t="s">
        <v>1287</v>
      </c>
      <c r="U1568">
        <v>4492.21</v>
      </c>
      <c r="V1568">
        <v>0</v>
      </c>
      <c r="W1568">
        <v>56843</v>
      </c>
    </row>
    <row r="1569" spans="1:23" x14ac:dyDescent="0.25">
      <c r="A1569" s="1" t="s">
        <v>30</v>
      </c>
      <c r="B1569" s="1" t="s">
        <v>65</v>
      </c>
      <c r="C1569" s="1" t="s">
        <v>152</v>
      </c>
      <c r="D1569">
        <v>5273</v>
      </c>
      <c r="E1569" s="1"/>
      <c r="F1569" s="1" t="s">
        <v>285</v>
      </c>
      <c r="G1569">
        <v>2014</v>
      </c>
      <c r="H1569">
        <v>9757.4699999999993</v>
      </c>
      <c r="I1569">
        <v>12</v>
      </c>
      <c r="J1569" s="1" t="s">
        <v>399</v>
      </c>
      <c r="K1569">
        <v>0</v>
      </c>
      <c r="L1569">
        <v>457</v>
      </c>
      <c r="M1569">
        <v>21.346465999999999</v>
      </c>
      <c r="N1569">
        <v>2</v>
      </c>
      <c r="O1569" s="1" t="s">
        <v>569</v>
      </c>
      <c r="P1569">
        <v>9757.4699999999993</v>
      </c>
      <c r="Q1569">
        <v>3902.99</v>
      </c>
      <c r="R1569">
        <v>0</v>
      </c>
      <c r="S1569" s="1" t="s">
        <v>1006</v>
      </c>
      <c r="T1569" s="1" t="s">
        <v>1287</v>
      </c>
      <c r="U1569">
        <v>9757.4750000000004</v>
      </c>
      <c r="V1569">
        <v>0</v>
      </c>
      <c r="W1569">
        <v>56843</v>
      </c>
    </row>
    <row r="1570" spans="1:23" x14ac:dyDescent="0.25">
      <c r="A1570" s="1" t="s">
        <v>30</v>
      </c>
      <c r="B1570" s="1" t="s">
        <v>65</v>
      </c>
      <c r="C1570" s="1" t="s">
        <v>152</v>
      </c>
      <c r="D1570">
        <v>5273</v>
      </c>
      <c r="E1570" s="1"/>
      <c r="F1570" s="1" t="s">
        <v>285</v>
      </c>
      <c r="G1570">
        <v>2013</v>
      </c>
      <c r="H1570">
        <v>10744.81</v>
      </c>
      <c r="I1570">
        <v>12</v>
      </c>
      <c r="J1570" s="1" t="s">
        <v>399</v>
      </c>
      <c r="K1570">
        <v>0</v>
      </c>
      <c r="L1570">
        <v>457</v>
      </c>
      <c r="M1570">
        <v>23.506474999999998</v>
      </c>
      <c r="N1570">
        <v>2</v>
      </c>
      <c r="O1570" s="1" t="s">
        <v>569</v>
      </c>
      <c r="P1570">
        <v>10744.81</v>
      </c>
      <c r="Q1570">
        <v>4297.91</v>
      </c>
      <c r="R1570">
        <v>0</v>
      </c>
      <c r="S1570" s="1" t="s">
        <v>1006</v>
      </c>
      <c r="T1570" s="1" t="s">
        <v>1287</v>
      </c>
      <c r="U1570">
        <v>10744.805</v>
      </c>
      <c r="V1570">
        <v>0</v>
      </c>
      <c r="W1570">
        <v>56843</v>
      </c>
    </row>
    <row r="1571" spans="1:23" x14ac:dyDescent="0.25">
      <c r="A1571" s="1" t="s">
        <v>30</v>
      </c>
      <c r="B1571" s="1" t="s">
        <v>65</v>
      </c>
      <c r="C1571" s="1" t="s">
        <v>152</v>
      </c>
      <c r="D1571">
        <v>5273</v>
      </c>
      <c r="E1571" s="1"/>
      <c r="F1571" s="1" t="s">
        <v>285</v>
      </c>
      <c r="G1571">
        <v>2012</v>
      </c>
      <c r="H1571">
        <v>10797.81</v>
      </c>
      <c r="I1571">
        <v>12</v>
      </c>
      <c r="J1571" s="1" t="s">
        <v>399</v>
      </c>
      <c r="K1571">
        <v>0</v>
      </c>
      <c r="L1571">
        <v>457</v>
      </c>
      <c r="M1571">
        <v>23.622423000000001</v>
      </c>
      <c r="N1571">
        <v>2</v>
      </c>
      <c r="O1571" s="1" t="s">
        <v>569</v>
      </c>
      <c r="P1571">
        <v>10797.81</v>
      </c>
      <c r="Q1571">
        <v>4319.12</v>
      </c>
      <c r="R1571">
        <v>0</v>
      </c>
      <c r="S1571" s="1" t="s">
        <v>1006</v>
      </c>
      <c r="T1571" s="1" t="s">
        <v>1287</v>
      </c>
      <c r="U1571">
        <v>10797.817999999999</v>
      </c>
      <c r="V1571">
        <v>0</v>
      </c>
      <c r="W1571">
        <v>56843</v>
      </c>
    </row>
    <row r="1572" spans="1:23" x14ac:dyDescent="0.25">
      <c r="A1572" s="1" t="s">
        <v>30</v>
      </c>
      <c r="B1572" s="1" t="s">
        <v>65</v>
      </c>
      <c r="C1572" s="1" t="s">
        <v>152</v>
      </c>
      <c r="D1572">
        <v>5273</v>
      </c>
      <c r="E1572" s="1"/>
      <c r="F1572" s="1" t="s">
        <v>285</v>
      </c>
      <c r="G1572">
        <v>2011</v>
      </c>
      <c r="H1572">
        <v>15092.73</v>
      </c>
      <c r="I1572">
        <v>3</v>
      </c>
      <c r="J1572" s="1" t="s">
        <v>399</v>
      </c>
      <c r="K1572">
        <v>0</v>
      </c>
      <c r="L1572">
        <v>457</v>
      </c>
      <c r="M1572">
        <v>33.018442</v>
      </c>
      <c r="N1572">
        <v>2</v>
      </c>
      <c r="O1572" s="1" t="s">
        <v>569</v>
      </c>
      <c r="P1572">
        <v>15092.73</v>
      </c>
      <c r="Q1572">
        <v>7078.46</v>
      </c>
      <c r="R1572">
        <v>0</v>
      </c>
      <c r="S1572" s="1" t="s">
        <v>1006</v>
      </c>
      <c r="T1572" s="1" t="s">
        <v>1287</v>
      </c>
      <c r="U1572">
        <v>15092.721890000001</v>
      </c>
      <c r="V1572">
        <v>0</v>
      </c>
      <c r="W1572">
        <v>56843</v>
      </c>
    </row>
    <row r="1573" spans="1:23" x14ac:dyDescent="0.25">
      <c r="A1573" s="1" t="s">
        <v>30</v>
      </c>
      <c r="B1573" s="1" t="s">
        <v>65</v>
      </c>
      <c r="C1573" s="1" t="s">
        <v>152</v>
      </c>
      <c r="D1573">
        <v>5273</v>
      </c>
      <c r="E1573" s="1"/>
      <c r="F1573" s="1" t="s">
        <v>285</v>
      </c>
      <c r="G1573">
        <v>2010</v>
      </c>
      <c r="H1573">
        <v>16747.939999999999</v>
      </c>
      <c r="I1573">
        <v>3</v>
      </c>
      <c r="J1573" s="1" t="s">
        <v>399</v>
      </c>
      <c r="K1573">
        <v>0</v>
      </c>
      <c r="L1573">
        <v>457</v>
      </c>
      <c r="M1573">
        <v>36.639552999999999</v>
      </c>
      <c r="N1573">
        <v>2</v>
      </c>
      <c r="O1573" s="1" t="s">
        <v>569</v>
      </c>
      <c r="P1573">
        <v>16747.939999999999</v>
      </c>
      <c r="Q1573">
        <v>7854.8</v>
      </c>
      <c r="R1573">
        <v>0</v>
      </c>
      <c r="S1573" s="1" t="s">
        <v>1006</v>
      </c>
      <c r="T1573" s="1" t="s">
        <v>1287</v>
      </c>
      <c r="U1573">
        <v>16747.94975</v>
      </c>
      <c r="V1573">
        <v>0</v>
      </c>
      <c r="W1573">
        <v>56843</v>
      </c>
    </row>
    <row r="1574" spans="1:23" x14ac:dyDescent="0.25">
      <c r="A1574" s="1" t="s">
        <v>30</v>
      </c>
      <c r="B1574" s="1" t="s">
        <v>65</v>
      </c>
      <c r="C1574" s="1" t="s">
        <v>152</v>
      </c>
      <c r="D1574">
        <v>5273</v>
      </c>
      <c r="E1574" s="1"/>
      <c r="F1574" s="1" t="s">
        <v>285</v>
      </c>
      <c r="G1574">
        <v>2009</v>
      </c>
      <c r="H1574">
        <v>16588.419999999998</v>
      </c>
      <c r="I1574">
        <v>0</v>
      </c>
      <c r="J1574" s="1" t="s">
        <v>399</v>
      </c>
      <c r="K1574">
        <v>0</v>
      </c>
      <c r="L1574">
        <v>457</v>
      </c>
      <c r="M1574">
        <v>36.290570000000002</v>
      </c>
      <c r="N1574">
        <v>2</v>
      </c>
      <c r="O1574" s="1" t="s">
        <v>569</v>
      </c>
      <c r="P1574">
        <v>16588.419999999998</v>
      </c>
      <c r="Q1574">
        <v>7780.01</v>
      </c>
      <c r="R1574">
        <v>0</v>
      </c>
      <c r="S1574" s="1" t="s">
        <v>1006</v>
      </c>
      <c r="T1574" s="1" t="s">
        <v>1287</v>
      </c>
      <c r="U1574">
        <v>16588.432870000001</v>
      </c>
      <c r="V1574">
        <v>0</v>
      </c>
      <c r="W1574">
        <v>56843</v>
      </c>
    </row>
    <row r="1575" spans="1:23" x14ac:dyDescent="0.25">
      <c r="A1575" s="1" t="s">
        <v>30</v>
      </c>
      <c r="B1575" s="1" t="s">
        <v>65</v>
      </c>
      <c r="C1575" s="1" t="s">
        <v>152</v>
      </c>
      <c r="D1575">
        <v>5273</v>
      </c>
      <c r="E1575" s="1"/>
      <c r="F1575" s="1" t="s">
        <v>285</v>
      </c>
      <c r="G1575">
        <v>2008</v>
      </c>
      <c r="H1575">
        <v>17879.13</v>
      </c>
      <c r="I1575">
        <v>4</v>
      </c>
      <c r="J1575" s="1" t="s">
        <v>399</v>
      </c>
      <c r="K1575">
        <v>0</v>
      </c>
      <c r="L1575">
        <v>457</v>
      </c>
      <c r="M1575">
        <v>39.114263000000001</v>
      </c>
      <c r="N1575">
        <v>2</v>
      </c>
      <c r="O1575" s="1" t="s">
        <v>569</v>
      </c>
      <c r="P1575">
        <v>17879.13</v>
      </c>
      <c r="Q1575">
        <v>8385.34</v>
      </c>
      <c r="R1575">
        <v>0</v>
      </c>
      <c r="S1575" s="1" t="s">
        <v>1006</v>
      </c>
      <c r="T1575" s="1" t="s">
        <v>1287</v>
      </c>
      <c r="U1575">
        <v>17879.12787</v>
      </c>
      <c r="V1575">
        <v>0</v>
      </c>
      <c r="W1575">
        <v>56843</v>
      </c>
    </row>
    <row r="1576" spans="1:23" x14ac:dyDescent="0.25">
      <c r="A1576" s="1" t="s">
        <v>30</v>
      </c>
      <c r="B1576" s="1"/>
      <c r="C1576" s="1" t="s">
        <v>153</v>
      </c>
      <c r="D1576">
        <v>10214</v>
      </c>
      <c r="E1576" s="1"/>
      <c r="F1576" s="1" t="s">
        <v>375</v>
      </c>
      <c r="G1576">
        <v>2015</v>
      </c>
      <c r="H1576">
        <v>9623.1</v>
      </c>
      <c r="I1576">
        <v>5</v>
      </c>
      <c r="J1576" s="1"/>
      <c r="K1576">
        <v>0</v>
      </c>
      <c r="L1576">
        <v>0</v>
      </c>
      <c r="M1576">
        <v>96231</v>
      </c>
      <c r="N1576">
        <v>2</v>
      </c>
      <c r="O1576" s="1" t="s">
        <v>569</v>
      </c>
      <c r="P1576">
        <v>9623.1</v>
      </c>
      <c r="Q1576">
        <v>2886.93</v>
      </c>
      <c r="R1576">
        <v>0</v>
      </c>
      <c r="S1576" s="1" t="s">
        <v>1007</v>
      </c>
      <c r="T1576" s="1" t="s">
        <v>1288</v>
      </c>
      <c r="U1576">
        <v>9623.0949999999993</v>
      </c>
      <c r="V1576">
        <v>0</v>
      </c>
      <c r="W1576">
        <v>90759</v>
      </c>
    </row>
    <row r="1577" spans="1:23" x14ac:dyDescent="0.25">
      <c r="A1577" s="1" t="s">
        <v>30</v>
      </c>
      <c r="B1577" s="1"/>
      <c r="C1577" s="1" t="s">
        <v>153</v>
      </c>
      <c r="D1577">
        <v>10214</v>
      </c>
      <c r="E1577" s="1"/>
      <c r="F1577" s="1" t="s">
        <v>375</v>
      </c>
      <c r="G1577">
        <v>2014</v>
      </c>
      <c r="H1577">
        <v>23362.55</v>
      </c>
      <c r="I1577">
        <v>12</v>
      </c>
      <c r="J1577" s="1"/>
      <c r="K1577">
        <v>0</v>
      </c>
      <c r="L1577">
        <v>0</v>
      </c>
      <c r="M1577">
        <v>233625.5</v>
      </c>
      <c r="N1577">
        <v>2</v>
      </c>
      <c r="O1577" s="1" t="s">
        <v>569</v>
      </c>
      <c r="P1577">
        <v>23362.55</v>
      </c>
      <c r="Q1577">
        <v>7008.75</v>
      </c>
      <c r="R1577">
        <v>0</v>
      </c>
      <c r="S1577" s="1" t="s">
        <v>1007</v>
      </c>
      <c r="T1577" s="1" t="s">
        <v>1288</v>
      </c>
      <c r="U1577">
        <v>23362.532999999999</v>
      </c>
      <c r="V1577">
        <v>0</v>
      </c>
      <c r="W1577">
        <v>90759</v>
      </c>
    </row>
    <row r="1578" spans="1:23" x14ac:dyDescent="0.25">
      <c r="A1578" s="1" t="s">
        <v>30</v>
      </c>
      <c r="B1578" s="1"/>
      <c r="C1578" s="1" t="s">
        <v>153</v>
      </c>
      <c r="D1578">
        <v>10214</v>
      </c>
      <c r="E1578" s="1"/>
      <c r="F1578" s="1" t="s">
        <v>375</v>
      </c>
      <c r="G1578">
        <v>2013</v>
      </c>
      <c r="H1578">
        <v>24782.42</v>
      </c>
      <c r="I1578">
        <v>12</v>
      </c>
      <c r="J1578" s="1"/>
      <c r="K1578">
        <v>0</v>
      </c>
      <c r="L1578">
        <v>0</v>
      </c>
      <c r="M1578">
        <v>247824.2</v>
      </c>
      <c r="N1578">
        <v>2</v>
      </c>
      <c r="O1578" s="1" t="s">
        <v>569</v>
      </c>
      <c r="P1578">
        <v>24782.42</v>
      </c>
      <c r="Q1578">
        <v>7434.71</v>
      </c>
      <c r="R1578">
        <v>0</v>
      </c>
      <c r="S1578" s="1" t="s">
        <v>1007</v>
      </c>
      <c r="T1578" s="1" t="s">
        <v>1288</v>
      </c>
      <c r="U1578">
        <v>24782.407999999999</v>
      </c>
      <c r="V1578">
        <v>0</v>
      </c>
      <c r="W1578">
        <v>90759</v>
      </c>
    </row>
    <row r="1579" spans="1:23" x14ac:dyDescent="0.25">
      <c r="A1579" s="1" t="s">
        <v>30</v>
      </c>
      <c r="B1579" s="1"/>
      <c r="C1579" s="1" t="s">
        <v>153</v>
      </c>
      <c r="D1579">
        <v>10214</v>
      </c>
      <c r="E1579" s="1"/>
      <c r="F1579" s="1" t="s">
        <v>375</v>
      </c>
      <c r="G1579">
        <v>2012</v>
      </c>
      <c r="H1579">
        <v>29664.19</v>
      </c>
      <c r="I1579">
        <v>12</v>
      </c>
      <c r="J1579" s="1"/>
      <c r="K1579">
        <v>0</v>
      </c>
      <c r="L1579">
        <v>0</v>
      </c>
      <c r="M1579">
        <v>296641.90000000002</v>
      </c>
      <c r="N1579">
        <v>2</v>
      </c>
      <c r="O1579" s="1" t="s">
        <v>569</v>
      </c>
      <c r="P1579">
        <v>29664.19</v>
      </c>
      <c r="Q1579">
        <v>11865.69</v>
      </c>
      <c r="R1579">
        <v>0</v>
      </c>
      <c r="S1579" s="1" t="s">
        <v>1007</v>
      </c>
      <c r="T1579" s="1" t="s">
        <v>1288</v>
      </c>
      <c r="U1579">
        <v>29664.188999999998</v>
      </c>
      <c r="V1579">
        <v>0</v>
      </c>
      <c r="W1579">
        <v>90759</v>
      </c>
    </row>
    <row r="1580" spans="1:23" x14ac:dyDescent="0.25">
      <c r="A1580" s="1" t="s">
        <v>30</v>
      </c>
      <c r="B1580" s="1"/>
      <c r="C1580" s="1" t="s">
        <v>153</v>
      </c>
      <c r="D1580">
        <v>10214</v>
      </c>
      <c r="E1580" s="1"/>
      <c r="F1580" s="1" t="s">
        <v>375</v>
      </c>
      <c r="G1580">
        <v>2011</v>
      </c>
      <c r="H1580">
        <v>23372.6</v>
      </c>
      <c r="I1580">
        <v>2</v>
      </c>
      <c r="J1580" s="1" t="s">
        <v>432</v>
      </c>
      <c r="K1580">
        <v>0</v>
      </c>
      <c r="L1580">
        <v>0</v>
      </c>
      <c r="M1580">
        <v>233726</v>
      </c>
      <c r="N1580">
        <v>2</v>
      </c>
      <c r="O1580" s="1" t="s">
        <v>569</v>
      </c>
      <c r="P1580">
        <v>23372.6</v>
      </c>
      <c r="Q1580">
        <v>10961.75</v>
      </c>
      <c r="R1580">
        <v>0</v>
      </c>
      <c r="S1580" s="1" t="s">
        <v>1008</v>
      </c>
      <c r="T1580" s="1" t="s">
        <v>1288</v>
      </c>
      <c r="U1580">
        <v>23372.608700000001</v>
      </c>
      <c r="V1580">
        <v>0</v>
      </c>
      <c r="W1580">
        <v>77442</v>
      </c>
    </row>
    <row r="1581" spans="1:23" x14ac:dyDescent="0.25">
      <c r="A1581" s="1" t="s">
        <v>30</v>
      </c>
      <c r="B1581" s="1"/>
      <c r="C1581" s="1" t="s">
        <v>153</v>
      </c>
      <c r="D1581">
        <v>10214</v>
      </c>
      <c r="E1581" s="1"/>
      <c r="F1581" s="1" t="s">
        <v>375</v>
      </c>
      <c r="G1581">
        <v>2011</v>
      </c>
      <c r="H1581">
        <v>5336.72</v>
      </c>
      <c r="I1581">
        <v>2</v>
      </c>
      <c r="J1581" s="1"/>
      <c r="K1581">
        <v>0</v>
      </c>
      <c r="L1581">
        <v>0</v>
      </c>
      <c r="M1581">
        <v>53367.199999999997</v>
      </c>
      <c r="N1581">
        <v>2</v>
      </c>
      <c r="O1581" s="1" t="s">
        <v>569</v>
      </c>
      <c r="P1581">
        <v>5336.72</v>
      </c>
      <c r="Q1581">
        <v>2502.92</v>
      </c>
      <c r="R1581">
        <v>0</v>
      </c>
      <c r="S1581" s="1" t="s">
        <v>1007</v>
      </c>
      <c r="T1581" s="1" t="s">
        <v>1288</v>
      </c>
      <c r="U1581">
        <v>5336.7190000000001</v>
      </c>
      <c r="V1581">
        <v>0</v>
      </c>
      <c r="W1581">
        <v>90759</v>
      </c>
    </row>
    <row r="1582" spans="1:23" x14ac:dyDescent="0.25">
      <c r="A1582" s="1" t="s">
        <v>30</v>
      </c>
      <c r="B1582" s="1"/>
      <c r="C1582" s="1" t="s">
        <v>153</v>
      </c>
      <c r="D1582">
        <v>10214</v>
      </c>
      <c r="E1582" s="1"/>
      <c r="F1582" s="1" t="s">
        <v>375</v>
      </c>
      <c r="G1582">
        <v>2010</v>
      </c>
      <c r="H1582">
        <v>28449.57</v>
      </c>
      <c r="I1582">
        <v>1</v>
      </c>
      <c r="J1582" s="1" t="s">
        <v>432</v>
      </c>
      <c r="K1582">
        <v>0</v>
      </c>
      <c r="L1582">
        <v>0</v>
      </c>
      <c r="M1582">
        <v>284495.7</v>
      </c>
      <c r="N1582">
        <v>2</v>
      </c>
      <c r="O1582" s="1" t="s">
        <v>569</v>
      </c>
      <c r="P1582">
        <v>28449.57</v>
      </c>
      <c r="Q1582">
        <v>13342.84</v>
      </c>
      <c r="R1582">
        <v>0</v>
      </c>
      <c r="S1582" s="1" t="s">
        <v>1008</v>
      </c>
      <c r="T1582" s="1" t="s">
        <v>1288</v>
      </c>
      <c r="U1582">
        <v>28449.550380000001</v>
      </c>
      <c r="V1582">
        <v>0</v>
      </c>
      <c r="W1582">
        <v>77442</v>
      </c>
    </row>
    <row r="1583" spans="1:23" x14ac:dyDescent="0.25">
      <c r="A1583" s="1" t="s">
        <v>30</v>
      </c>
      <c r="B1583" s="1"/>
      <c r="C1583" s="1" t="s">
        <v>153</v>
      </c>
      <c r="D1583">
        <v>10214</v>
      </c>
      <c r="E1583" s="1"/>
      <c r="F1583" s="1" t="s">
        <v>375</v>
      </c>
      <c r="G1583">
        <v>2009</v>
      </c>
      <c r="H1583">
        <v>31913.55</v>
      </c>
      <c r="I1583">
        <v>15</v>
      </c>
      <c r="J1583" s="1" t="s">
        <v>432</v>
      </c>
      <c r="K1583">
        <v>0</v>
      </c>
      <c r="L1583">
        <v>0</v>
      </c>
      <c r="M1583">
        <v>319135.5</v>
      </c>
      <c r="N1583">
        <v>2</v>
      </c>
      <c r="O1583" s="1" t="s">
        <v>569</v>
      </c>
      <c r="P1583">
        <v>31913.55</v>
      </c>
      <c r="Q1583">
        <v>14967.45</v>
      </c>
      <c r="R1583">
        <v>0</v>
      </c>
      <c r="S1583" s="1" t="s">
        <v>1008</v>
      </c>
      <c r="T1583" s="1" t="s">
        <v>1288</v>
      </c>
      <c r="U1583">
        <v>31913.555209999999</v>
      </c>
      <c r="V1583">
        <v>0</v>
      </c>
      <c r="W1583">
        <v>77442</v>
      </c>
    </row>
    <row r="1584" spans="1:23" x14ac:dyDescent="0.25">
      <c r="A1584" s="1" t="s">
        <v>30</v>
      </c>
      <c r="B1584" s="1"/>
      <c r="C1584" s="1" t="s">
        <v>153</v>
      </c>
      <c r="D1584">
        <v>10214</v>
      </c>
      <c r="E1584" s="1"/>
      <c r="F1584" s="1" t="s">
        <v>375</v>
      </c>
      <c r="G1584">
        <v>2008</v>
      </c>
      <c r="H1584">
        <v>28793.63</v>
      </c>
      <c r="I1584">
        <v>13</v>
      </c>
      <c r="J1584" s="1" t="s">
        <v>432</v>
      </c>
      <c r="K1584">
        <v>0</v>
      </c>
      <c r="L1584">
        <v>0</v>
      </c>
      <c r="M1584">
        <v>287936.3</v>
      </c>
      <c r="N1584">
        <v>2</v>
      </c>
      <c r="O1584" s="1" t="s">
        <v>569</v>
      </c>
      <c r="P1584">
        <v>28793.63</v>
      </c>
      <c r="Q1584">
        <v>13504.22</v>
      </c>
      <c r="R1584">
        <v>0</v>
      </c>
      <c r="S1584" s="1" t="s">
        <v>1008</v>
      </c>
      <c r="T1584" s="1" t="s">
        <v>1288</v>
      </c>
      <c r="U1584">
        <v>28793.64056</v>
      </c>
      <c r="V1584">
        <v>0</v>
      </c>
      <c r="W1584">
        <v>77442</v>
      </c>
    </row>
    <row r="1585" spans="1:23" x14ac:dyDescent="0.25">
      <c r="A1585" s="1" t="s">
        <v>30</v>
      </c>
      <c r="B1585" s="1"/>
      <c r="C1585" s="1" t="s">
        <v>153</v>
      </c>
      <c r="D1585">
        <v>10213</v>
      </c>
      <c r="E1585" s="1"/>
      <c r="F1585" s="1" t="s">
        <v>376</v>
      </c>
      <c r="G1585">
        <v>2015</v>
      </c>
      <c r="H1585">
        <v>1827.69</v>
      </c>
      <c r="I1585">
        <v>5</v>
      </c>
      <c r="J1585" s="1" t="s">
        <v>523</v>
      </c>
      <c r="K1585">
        <v>0</v>
      </c>
      <c r="L1585">
        <v>0</v>
      </c>
      <c r="M1585">
        <v>18276.900000000001</v>
      </c>
      <c r="N1585">
        <v>2</v>
      </c>
      <c r="O1585" s="1" t="s">
        <v>569</v>
      </c>
      <c r="P1585">
        <v>1827.69</v>
      </c>
      <c r="Q1585">
        <v>548.30999999999995</v>
      </c>
      <c r="R1585">
        <v>0</v>
      </c>
      <c r="S1585" s="1" t="s">
        <v>1009</v>
      </c>
      <c r="T1585" s="1" t="s">
        <v>1289</v>
      </c>
      <c r="U1585">
        <v>1827.69</v>
      </c>
      <c r="V1585">
        <v>0</v>
      </c>
      <c r="W1585">
        <v>77443</v>
      </c>
    </row>
    <row r="1586" spans="1:23" x14ac:dyDescent="0.25">
      <c r="A1586" s="1" t="s">
        <v>30</v>
      </c>
      <c r="B1586" s="1"/>
      <c r="C1586" s="1" t="s">
        <v>153</v>
      </c>
      <c r="D1586">
        <v>10213</v>
      </c>
      <c r="E1586" s="1"/>
      <c r="F1586" s="1" t="s">
        <v>376</v>
      </c>
      <c r="G1586">
        <v>2014</v>
      </c>
      <c r="H1586">
        <v>5870.99</v>
      </c>
      <c r="I1586">
        <v>12</v>
      </c>
      <c r="J1586" s="1" t="s">
        <v>523</v>
      </c>
      <c r="K1586">
        <v>0</v>
      </c>
      <c r="L1586">
        <v>0</v>
      </c>
      <c r="M1586">
        <v>58709.9</v>
      </c>
      <c r="N1586">
        <v>2</v>
      </c>
      <c r="O1586" s="1" t="s">
        <v>569</v>
      </c>
      <c r="P1586">
        <v>5870.99</v>
      </c>
      <c r="Q1586">
        <v>1761.3</v>
      </c>
      <c r="R1586">
        <v>0</v>
      </c>
      <c r="S1586" s="1" t="s">
        <v>1009</v>
      </c>
      <c r="T1586" s="1" t="s">
        <v>1289</v>
      </c>
      <c r="U1586">
        <v>5870.9939999999997</v>
      </c>
      <c r="V1586">
        <v>0</v>
      </c>
      <c r="W1586">
        <v>77443</v>
      </c>
    </row>
    <row r="1587" spans="1:23" x14ac:dyDescent="0.25">
      <c r="A1587" s="1" t="s">
        <v>30</v>
      </c>
      <c r="B1587" s="1"/>
      <c r="C1587" s="1" t="s">
        <v>153</v>
      </c>
      <c r="D1587">
        <v>10213</v>
      </c>
      <c r="E1587" s="1"/>
      <c r="F1587" s="1" t="s">
        <v>376</v>
      </c>
      <c r="G1587">
        <v>2013</v>
      </c>
      <c r="H1587">
        <v>7489.67</v>
      </c>
      <c r="I1587">
        <v>12</v>
      </c>
      <c r="J1587" s="1" t="s">
        <v>523</v>
      </c>
      <c r="K1587">
        <v>0</v>
      </c>
      <c r="L1587">
        <v>0</v>
      </c>
      <c r="M1587">
        <v>74896.7</v>
      </c>
      <c r="N1587">
        <v>2</v>
      </c>
      <c r="O1587" s="1" t="s">
        <v>569</v>
      </c>
      <c r="P1587">
        <v>7489.67</v>
      </c>
      <c r="Q1587">
        <v>2246.9</v>
      </c>
      <c r="R1587">
        <v>0</v>
      </c>
      <c r="S1587" s="1" t="s">
        <v>1009</v>
      </c>
      <c r="T1587" s="1" t="s">
        <v>1289</v>
      </c>
      <c r="U1587">
        <v>7489.6760000000004</v>
      </c>
      <c r="V1587">
        <v>0</v>
      </c>
      <c r="W1587">
        <v>77443</v>
      </c>
    </row>
    <row r="1588" spans="1:23" x14ac:dyDescent="0.25">
      <c r="A1588" s="1" t="s">
        <v>30</v>
      </c>
      <c r="B1588" s="1"/>
      <c r="C1588" s="1" t="s">
        <v>153</v>
      </c>
      <c r="D1588">
        <v>10213</v>
      </c>
      <c r="E1588" s="1"/>
      <c r="F1588" s="1" t="s">
        <v>376</v>
      </c>
      <c r="G1588">
        <v>2012</v>
      </c>
      <c r="H1588">
        <v>7731.72</v>
      </c>
      <c r="I1588">
        <v>12</v>
      </c>
      <c r="J1588" s="1" t="s">
        <v>523</v>
      </c>
      <c r="K1588">
        <v>0</v>
      </c>
      <c r="L1588">
        <v>0</v>
      </c>
      <c r="M1588">
        <v>77317.2</v>
      </c>
      <c r="N1588">
        <v>2</v>
      </c>
      <c r="O1588" s="1" t="s">
        <v>569</v>
      </c>
      <c r="P1588">
        <v>7731.72</v>
      </c>
      <c r="Q1588">
        <v>3092.69</v>
      </c>
      <c r="R1588">
        <v>0</v>
      </c>
      <c r="S1588" s="1" t="s">
        <v>1009</v>
      </c>
      <c r="T1588" s="1" t="s">
        <v>1289</v>
      </c>
      <c r="U1588">
        <v>7731.7179999999998</v>
      </c>
      <c r="V1588">
        <v>0</v>
      </c>
      <c r="W1588">
        <v>77443</v>
      </c>
    </row>
    <row r="1589" spans="1:23" x14ac:dyDescent="0.25">
      <c r="A1589" s="1" t="s">
        <v>30</v>
      </c>
      <c r="B1589" s="1"/>
      <c r="C1589" s="1" t="s">
        <v>153</v>
      </c>
      <c r="D1589">
        <v>10213</v>
      </c>
      <c r="E1589" s="1"/>
      <c r="F1589" s="1" t="s">
        <v>376</v>
      </c>
      <c r="G1589">
        <v>2011</v>
      </c>
      <c r="H1589">
        <v>14770.98</v>
      </c>
      <c r="I1589">
        <v>13</v>
      </c>
      <c r="J1589" s="1" t="s">
        <v>523</v>
      </c>
      <c r="K1589">
        <v>0</v>
      </c>
      <c r="L1589">
        <v>0</v>
      </c>
      <c r="M1589">
        <v>147709.79999999999</v>
      </c>
      <c r="N1589">
        <v>2</v>
      </c>
      <c r="O1589" s="1" t="s">
        <v>569</v>
      </c>
      <c r="P1589">
        <v>14770.98</v>
      </c>
      <c r="Q1589">
        <v>6927.61</v>
      </c>
      <c r="R1589">
        <v>0</v>
      </c>
      <c r="S1589" s="1" t="s">
        <v>1009</v>
      </c>
      <c r="T1589" s="1" t="s">
        <v>1289</v>
      </c>
      <c r="U1589">
        <v>14770.93871</v>
      </c>
      <c r="V1589">
        <v>0</v>
      </c>
      <c r="W1589">
        <v>77443</v>
      </c>
    </row>
    <row r="1590" spans="1:23" x14ac:dyDescent="0.25">
      <c r="A1590" s="1" t="s">
        <v>30</v>
      </c>
      <c r="B1590" s="1"/>
      <c r="C1590" s="1" t="s">
        <v>153</v>
      </c>
      <c r="D1590">
        <v>10213</v>
      </c>
      <c r="E1590" s="1"/>
      <c r="F1590" s="1" t="s">
        <v>376</v>
      </c>
      <c r="G1590">
        <v>2010</v>
      </c>
      <c r="H1590">
        <v>14417.23</v>
      </c>
      <c r="I1590">
        <v>12</v>
      </c>
      <c r="J1590" s="1" t="s">
        <v>523</v>
      </c>
      <c r="K1590">
        <v>0</v>
      </c>
      <c r="L1590">
        <v>0</v>
      </c>
      <c r="M1590">
        <v>144172.29999999999</v>
      </c>
      <c r="N1590">
        <v>2</v>
      </c>
      <c r="O1590" s="1" t="s">
        <v>569</v>
      </c>
      <c r="P1590">
        <v>14417.23</v>
      </c>
      <c r="Q1590">
        <v>6761.69</v>
      </c>
      <c r="R1590">
        <v>0</v>
      </c>
      <c r="S1590" s="1" t="s">
        <v>1009</v>
      </c>
      <c r="T1590" s="1" t="s">
        <v>1289</v>
      </c>
      <c r="U1590">
        <v>14417.19649</v>
      </c>
      <c r="V1590">
        <v>0</v>
      </c>
      <c r="W1590">
        <v>77443</v>
      </c>
    </row>
    <row r="1591" spans="1:23" x14ac:dyDescent="0.25">
      <c r="A1591" s="1" t="s">
        <v>30</v>
      </c>
      <c r="B1591" s="1"/>
      <c r="C1591" s="1" t="s">
        <v>153</v>
      </c>
      <c r="D1591">
        <v>10213</v>
      </c>
      <c r="E1591" s="1"/>
      <c r="F1591" s="1" t="s">
        <v>376</v>
      </c>
      <c r="G1591">
        <v>2009</v>
      </c>
      <c r="H1591">
        <v>8145.91</v>
      </c>
      <c r="I1591">
        <v>14</v>
      </c>
      <c r="J1591" s="1" t="s">
        <v>523</v>
      </c>
      <c r="K1591">
        <v>0</v>
      </c>
      <c r="L1591">
        <v>0</v>
      </c>
      <c r="M1591">
        <v>81459.100000000006</v>
      </c>
      <c r="N1591">
        <v>2</v>
      </c>
      <c r="O1591" s="1" t="s">
        <v>569</v>
      </c>
      <c r="P1591">
        <v>8145.91</v>
      </c>
      <c r="Q1591">
        <v>3820.44</v>
      </c>
      <c r="R1591">
        <v>0</v>
      </c>
      <c r="S1591" s="1" t="s">
        <v>1009</v>
      </c>
      <c r="T1591" s="1" t="s">
        <v>1289</v>
      </c>
      <c r="U1591">
        <v>8145.9174800000001</v>
      </c>
      <c r="V1591">
        <v>0</v>
      </c>
      <c r="W1591">
        <v>77443</v>
      </c>
    </row>
    <row r="1592" spans="1:23" x14ac:dyDescent="0.25">
      <c r="A1592" s="1" t="s">
        <v>30</v>
      </c>
      <c r="B1592" s="1"/>
      <c r="C1592" s="1" t="s">
        <v>153</v>
      </c>
      <c r="D1592">
        <v>10213</v>
      </c>
      <c r="E1592" s="1"/>
      <c r="F1592" s="1" t="s">
        <v>376</v>
      </c>
      <c r="G1592">
        <v>2008</v>
      </c>
      <c r="H1592">
        <v>9414.6</v>
      </c>
      <c r="I1592">
        <v>13</v>
      </c>
      <c r="J1592" s="1" t="s">
        <v>523</v>
      </c>
      <c r="K1592">
        <v>0</v>
      </c>
      <c r="L1592">
        <v>0</v>
      </c>
      <c r="M1592">
        <v>94146</v>
      </c>
      <c r="N1592">
        <v>2</v>
      </c>
      <c r="O1592" s="1" t="s">
        <v>569</v>
      </c>
      <c r="P1592">
        <v>9414.6</v>
      </c>
      <c r="Q1592">
        <v>4415.43</v>
      </c>
      <c r="R1592">
        <v>0</v>
      </c>
      <c r="S1592" s="1" t="s">
        <v>1009</v>
      </c>
      <c r="T1592" s="1" t="s">
        <v>1289</v>
      </c>
      <c r="U1592">
        <v>9414.6036899999999</v>
      </c>
      <c r="V1592">
        <v>0</v>
      </c>
      <c r="W1592">
        <v>77443</v>
      </c>
    </row>
    <row r="1593" spans="1:23" x14ac:dyDescent="0.25">
      <c r="A1593" s="1" t="s">
        <v>30</v>
      </c>
      <c r="B1593" s="1" t="s">
        <v>53</v>
      </c>
      <c r="C1593" s="1" t="s">
        <v>154</v>
      </c>
      <c r="D1593">
        <v>5250</v>
      </c>
      <c r="E1593" s="1"/>
      <c r="F1593" s="1" t="s">
        <v>286</v>
      </c>
      <c r="G1593">
        <v>2015</v>
      </c>
      <c r="H1593">
        <v>4468.49</v>
      </c>
      <c r="I1593">
        <v>5</v>
      </c>
      <c r="J1593" s="1" t="s">
        <v>402</v>
      </c>
      <c r="K1593">
        <v>0</v>
      </c>
      <c r="L1593">
        <v>417</v>
      </c>
      <c r="M1593">
        <v>10.713234</v>
      </c>
      <c r="N1593">
        <v>2</v>
      </c>
      <c r="O1593" s="1" t="s">
        <v>569</v>
      </c>
      <c r="P1593">
        <v>4468.49</v>
      </c>
      <c r="Q1593">
        <v>1787.4</v>
      </c>
      <c r="R1593">
        <v>0</v>
      </c>
      <c r="S1593" s="1" t="s">
        <v>1010</v>
      </c>
      <c r="T1593" s="1" t="s">
        <v>1290</v>
      </c>
      <c r="U1593">
        <v>4468.4895999999999</v>
      </c>
      <c r="V1593">
        <v>0</v>
      </c>
      <c r="W1593">
        <v>56671</v>
      </c>
    </row>
    <row r="1594" spans="1:23" x14ac:dyDescent="0.25">
      <c r="A1594" s="1" t="s">
        <v>30</v>
      </c>
      <c r="B1594" s="1" t="s">
        <v>53</v>
      </c>
      <c r="C1594" s="1" t="s">
        <v>154</v>
      </c>
      <c r="D1594">
        <v>5250</v>
      </c>
      <c r="E1594" s="1"/>
      <c r="F1594" s="1" t="s">
        <v>286</v>
      </c>
      <c r="G1594">
        <v>2014</v>
      </c>
      <c r="H1594">
        <v>11822.17</v>
      </c>
      <c r="I1594">
        <v>12</v>
      </c>
      <c r="J1594" s="1" t="s">
        <v>402</v>
      </c>
      <c r="K1594">
        <v>0</v>
      </c>
      <c r="L1594">
        <v>417</v>
      </c>
      <c r="M1594">
        <v>28.343730000000001</v>
      </c>
      <c r="N1594">
        <v>2</v>
      </c>
      <c r="O1594" s="1" t="s">
        <v>569</v>
      </c>
      <c r="P1594">
        <v>11822.17</v>
      </c>
      <c r="Q1594">
        <v>4728.87</v>
      </c>
      <c r="R1594">
        <v>0</v>
      </c>
      <c r="S1594" s="1" t="s">
        <v>1010</v>
      </c>
      <c r="T1594" s="1" t="s">
        <v>1290</v>
      </c>
      <c r="U1594">
        <v>11822.174800000001</v>
      </c>
      <c r="V1594">
        <v>0</v>
      </c>
      <c r="W1594">
        <v>56671</v>
      </c>
    </row>
    <row r="1595" spans="1:23" x14ac:dyDescent="0.25">
      <c r="A1595" s="1" t="s">
        <v>30</v>
      </c>
      <c r="B1595" s="1" t="s">
        <v>53</v>
      </c>
      <c r="C1595" s="1" t="s">
        <v>154</v>
      </c>
      <c r="D1595">
        <v>5250</v>
      </c>
      <c r="E1595" s="1"/>
      <c r="F1595" s="1" t="s">
        <v>286</v>
      </c>
      <c r="G1595">
        <v>2013</v>
      </c>
      <c r="H1595">
        <v>10657.89</v>
      </c>
      <c r="I1595">
        <v>12</v>
      </c>
      <c r="J1595" s="1" t="s">
        <v>402</v>
      </c>
      <c r="K1595">
        <v>0</v>
      </c>
      <c r="L1595">
        <v>417</v>
      </c>
      <c r="M1595">
        <v>25.552361000000001</v>
      </c>
      <c r="N1595">
        <v>2</v>
      </c>
      <c r="O1595" s="1" t="s">
        <v>569</v>
      </c>
      <c r="P1595">
        <v>10657.89</v>
      </c>
      <c r="Q1595">
        <v>4263.1499999999996</v>
      </c>
      <c r="R1595">
        <v>0</v>
      </c>
      <c r="S1595" s="1" t="s">
        <v>1010</v>
      </c>
      <c r="T1595" s="1" t="s">
        <v>1290</v>
      </c>
      <c r="U1595">
        <v>10657.8938</v>
      </c>
      <c r="V1595">
        <v>0</v>
      </c>
      <c r="W1595">
        <v>56671</v>
      </c>
    </row>
    <row r="1596" spans="1:23" x14ac:dyDescent="0.25">
      <c r="A1596" s="1" t="s">
        <v>30</v>
      </c>
      <c r="B1596" s="1" t="s">
        <v>53</v>
      </c>
      <c r="C1596" s="1" t="s">
        <v>154</v>
      </c>
      <c r="D1596">
        <v>5250</v>
      </c>
      <c r="E1596" s="1"/>
      <c r="F1596" s="1" t="s">
        <v>286</v>
      </c>
      <c r="G1596">
        <v>2012</v>
      </c>
      <c r="H1596">
        <v>15146</v>
      </c>
      <c r="I1596">
        <v>12</v>
      </c>
      <c r="J1596" s="1" t="s">
        <v>402</v>
      </c>
      <c r="K1596">
        <v>0</v>
      </c>
      <c r="L1596">
        <v>417</v>
      </c>
      <c r="M1596">
        <v>36.312634000000003</v>
      </c>
      <c r="N1596">
        <v>2</v>
      </c>
      <c r="O1596" s="1" t="s">
        <v>569</v>
      </c>
      <c r="P1596">
        <v>15146</v>
      </c>
      <c r="Q1596">
        <v>6058.38</v>
      </c>
      <c r="R1596">
        <v>0</v>
      </c>
      <c r="S1596" s="1" t="s">
        <v>1010</v>
      </c>
      <c r="T1596" s="1" t="s">
        <v>1290</v>
      </c>
      <c r="U1596">
        <v>15145.989799999999</v>
      </c>
      <c r="V1596">
        <v>0</v>
      </c>
      <c r="W1596">
        <v>56671</v>
      </c>
    </row>
    <row r="1597" spans="1:23" x14ac:dyDescent="0.25">
      <c r="A1597" s="1" t="s">
        <v>30</v>
      </c>
      <c r="B1597" s="1" t="s">
        <v>53</v>
      </c>
      <c r="C1597" s="1" t="s">
        <v>154</v>
      </c>
      <c r="D1597">
        <v>5250</v>
      </c>
      <c r="E1597" s="1"/>
      <c r="F1597" s="1" t="s">
        <v>286</v>
      </c>
      <c r="G1597">
        <v>2011</v>
      </c>
      <c r="H1597">
        <v>14241.54</v>
      </c>
      <c r="I1597">
        <v>12</v>
      </c>
      <c r="J1597" s="1" t="s">
        <v>402</v>
      </c>
      <c r="K1597">
        <v>0</v>
      </c>
      <c r="L1597">
        <v>417</v>
      </c>
      <c r="M1597">
        <v>34.144185999999998</v>
      </c>
      <c r="N1597">
        <v>2</v>
      </c>
      <c r="O1597" s="1" t="s">
        <v>569</v>
      </c>
      <c r="P1597">
        <v>14241.54</v>
      </c>
      <c r="Q1597">
        <v>6679.29</v>
      </c>
      <c r="R1597">
        <v>0</v>
      </c>
      <c r="S1597" s="1" t="s">
        <v>1010</v>
      </c>
      <c r="T1597" s="1" t="s">
        <v>1290</v>
      </c>
      <c r="U1597">
        <v>14241.542299999999</v>
      </c>
      <c r="V1597">
        <v>0</v>
      </c>
      <c r="W1597">
        <v>56671</v>
      </c>
    </row>
    <row r="1598" spans="1:23" x14ac:dyDescent="0.25">
      <c r="A1598" s="1" t="s">
        <v>30</v>
      </c>
      <c r="B1598" s="1" t="s">
        <v>53</v>
      </c>
      <c r="C1598" s="1" t="s">
        <v>154</v>
      </c>
      <c r="D1598">
        <v>5250</v>
      </c>
      <c r="E1598" s="1"/>
      <c r="F1598" s="1" t="s">
        <v>286</v>
      </c>
      <c r="G1598">
        <v>2010</v>
      </c>
      <c r="H1598">
        <v>16896.240000000002</v>
      </c>
      <c r="I1598">
        <v>12</v>
      </c>
      <c r="J1598" s="1" t="s">
        <v>402</v>
      </c>
      <c r="K1598">
        <v>0</v>
      </c>
      <c r="L1598">
        <v>417</v>
      </c>
      <c r="M1598">
        <v>40.508845999999998</v>
      </c>
      <c r="N1598">
        <v>2</v>
      </c>
      <c r="O1598" s="1" t="s">
        <v>569</v>
      </c>
      <c r="P1598">
        <v>16896.240000000002</v>
      </c>
      <c r="Q1598">
        <v>7924.35</v>
      </c>
      <c r="R1598">
        <v>0</v>
      </c>
      <c r="S1598" s="1" t="s">
        <v>1010</v>
      </c>
      <c r="T1598" s="1" t="s">
        <v>1290</v>
      </c>
      <c r="U1598">
        <v>16896.249199999998</v>
      </c>
      <c r="V1598">
        <v>0</v>
      </c>
      <c r="W1598">
        <v>56671</v>
      </c>
    </row>
    <row r="1599" spans="1:23" x14ac:dyDescent="0.25">
      <c r="A1599" s="1" t="s">
        <v>30</v>
      </c>
      <c r="B1599" s="1" t="s">
        <v>53</v>
      </c>
      <c r="C1599" s="1" t="s">
        <v>154</v>
      </c>
      <c r="D1599">
        <v>5250</v>
      </c>
      <c r="E1599" s="1"/>
      <c r="F1599" s="1" t="s">
        <v>286</v>
      </c>
      <c r="G1599">
        <v>2009</v>
      </c>
      <c r="H1599">
        <v>16171.33</v>
      </c>
      <c r="I1599">
        <v>12</v>
      </c>
      <c r="J1599" s="1" t="s">
        <v>402</v>
      </c>
      <c r="K1599">
        <v>0</v>
      </c>
      <c r="L1599">
        <v>417</v>
      </c>
      <c r="M1599">
        <v>38.770870000000002</v>
      </c>
      <c r="N1599">
        <v>2</v>
      </c>
      <c r="O1599" s="1" t="s">
        <v>569</v>
      </c>
      <c r="P1599">
        <v>16171.33</v>
      </c>
      <c r="Q1599">
        <v>7584.34</v>
      </c>
      <c r="R1599">
        <v>0</v>
      </c>
      <c r="S1599" s="1" t="s">
        <v>1010</v>
      </c>
      <c r="T1599" s="1" t="s">
        <v>1290</v>
      </c>
      <c r="U1599">
        <v>16171.308000000001</v>
      </c>
      <c r="V1599">
        <v>0</v>
      </c>
      <c r="W1599">
        <v>56671</v>
      </c>
    </row>
    <row r="1600" spans="1:23" x14ac:dyDescent="0.25">
      <c r="A1600" s="1" t="s">
        <v>30</v>
      </c>
      <c r="B1600" s="1" t="s">
        <v>53</v>
      </c>
      <c r="C1600" s="1" t="s">
        <v>154</v>
      </c>
      <c r="D1600">
        <v>5250</v>
      </c>
      <c r="E1600" s="1"/>
      <c r="F1600" s="1" t="s">
        <v>286</v>
      </c>
      <c r="G1600">
        <v>2008</v>
      </c>
      <c r="H1600">
        <v>16681.11</v>
      </c>
      <c r="I1600">
        <v>12</v>
      </c>
      <c r="J1600" s="1" t="s">
        <v>402</v>
      </c>
      <c r="K1600">
        <v>0</v>
      </c>
      <c r="L1600">
        <v>417</v>
      </c>
      <c r="M1600">
        <v>39.993071</v>
      </c>
      <c r="N1600">
        <v>2</v>
      </c>
      <c r="O1600" s="1" t="s">
        <v>569</v>
      </c>
      <c r="P1600">
        <v>16681.11</v>
      </c>
      <c r="Q1600">
        <v>7823.44</v>
      </c>
      <c r="R1600">
        <v>0</v>
      </c>
      <c r="S1600" s="1" t="s">
        <v>1010</v>
      </c>
      <c r="T1600" s="1" t="s">
        <v>1290</v>
      </c>
      <c r="U1600">
        <v>16681.108</v>
      </c>
      <c r="V1600">
        <v>0</v>
      </c>
      <c r="W1600">
        <v>56671</v>
      </c>
    </row>
    <row r="1601" spans="1:23" x14ac:dyDescent="0.25">
      <c r="A1601" s="1" t="s">
        <v>30</v>
      </c>
      <c r="B1601" s="1"/>
      <c r="C1601" s="1" t="s">
        <v>155</v>
      </c>
      <c r="D1601">
        <v>5941</v>
      </c>
      <c r="E1601" s="1"/>
      <c r="F1601" s="1" t="s">
        <v>155</v>
      </c>
      <c r="G1601">
        <v>2015</v>
      </c>
      <c r="H1601">
        <v>25538.1</v>
      </c>
      <c r="I1601">
        <v>5</v>
      </c>
      <c r="J1601" s="1" t="s">
        <v>399</v>
      </c>
      <c r="K1601">
        <v>0</v>
      </c>
      <c r="L1601">
        <v>550</v>
      </c>
      <c r="M1601">
        <v>46.424467999999997</v>
      </c>
      <c r="N1601">
        <v>2</v>
      </c>
      <c r="O1601" s="1" t="s">
        <v>569</v>
      </c>
      <c r="P1601">
        <v>25538.1</v>
      </c>
      <c r="Q1601">
        <v>10215.24</v>
      </c>
      <c r="R1601">
        <v>0</v>
      </c>
      <c r="S1601" s="1" t="s">
        <v>1011</v>
      </c>
      <c r="T1601" s="1"/>
      <c r="U1601">
        <v>25538.1</v>
      </c>
      <c r="V1601">
        <v>0</v>
      </c>
      <c r="W1601">
        <v>59939</v>
      </c>
    </row>
    <row r="1602" spans="1:23" x14ac:dyDescent="0.25">
      <c r="A1602" s="1" t="s">
        <v>30</v>
      </c>
      <c r="B1602" s="1"/>
      <c r="C1602" s="1" t="s">
        <v>155</v>
      </c>
      <c r="D1602">
        <v>5941</v>
      </c>
      <c r="E1602" s="1"/>
      <c r="F1602" s="1" t="s">
        <v>155</v>
      </c>
      <c r="G1602">
        <v>2014</v>
      </c>
      <c r="H1602">
        <v>40186</v>
      </c>
      <c r="I1602">
        <v>12</v>
      </c>
      <c r="J1602" s="1" t="s">
        <v>399</v>
      </c>
      <c r="K1602">
        <v>0</v>
      </c>
      <c r="L1602">
        <v>550</v>
      </c>
      <c r="M1602">
        <v>73.052171999999999</v>
      </c>
      <c r="N1602">
        <v>2</v>
      </c>
      <c r="O1602" s="1" t="s">
        <v>569</v>
      </c>
      <c r="P1602">
        <v>40186</v>
      </c>
      <c r="Q1602">
        <v>16074.4</v>
      </c>
      <c r="R1602">
        <v>0</v>
      </c>
      <c r="S1602" s="1" t="s">
        <v>1011</v>
      </c>
      <c r="T1602" s="1"/>
      <c r="U1602">
        <v>40186</v>
      </c>
      <c r="V1602">
        <v>0</v>
      </c>
      <c r="W1602">
        <v>59939</v>
      </c>
    </row>
    <row r="1603" spans="1:23" x14ac:dyDescent="0.25">
      <c r="A1603" s="1" t="s">
        <v>30</v>
      </c>
      <c r="B1603" s="1"/>
      <c r="C1603" s="1" t="s">
        <v>155</v>
      </c>
      <c r="D1603">
        <v>5941</v>
      </c>
      <c r="E1603" s="1"/>
      <c r="F1603" s="1" t="s">
        <v>155</v>
      </c>
      <c r="G1603">
        <v>2013</v>
      </c>
      <c r="H1603">
        <v>47313.2</v>
      </c>
      <c r="I1603">
        <v>12</v>
      </c>
      <c r="J1603" s="1" t="s">
        <v>399</v>
      </c>
      <c r="K1603">
        <v>0</v>
      </c>
      <c r="L1603">
        <v>550</v>
      </c>
      <c r="M1603">
        <v>86.008362000000005</v>
      </c>
      <c r="N1603">
        <v>2</v>
      </c>
      <c r="O1603" s="1" t="s">
        <v>569</v>
      </c>
      <c r="P1603">
        <v>47313.2</v>
      </c>
      <c r="Q1603">
        <v>18925.28</v>
      </c>
      <c r="R1603">
        <v>0</v>
      </c>
      <c r="S1603" s="1" t="s">
        <v>1011</v>
      </c>
      <c r="T1603" s="1"/>
      <c r="U1603">
        <v>47313.2</v>
      </c>
      <c r="V1603">
        <v>0</v>
      </c>
      <c r="W1603">
        <v>59939</v>
      </c>
    </row>
    <row r="1604" spans="1:23" x14ac:dyDescent="0.25">
      <c r="A1604" s="1" t="s">
        <v>30</v>
      </c>
      <c r="B1604" s="1"/>
      <c r="C1604" s="1" t="s">
        <v>155</v>
      </c>
      <c r="D1604">
        <v>5941</v>
      </c>
      <c r="E1604" s="1"/>
      <c r="F1604" s="1" t="s">
        <v>155</v>
      </c>
      <c r="G1604">
        <v>2012</v>
      </c>
      <c r="H1604">
        <v>49275</v>
      </c>
      <c r="I1604">
        <v>12</v>
      </c>
      <c r="J1604" s="1" t="s">
        <v>399</v>
      </c>
      <c r="K1604">
        <v>0</v>
      </c>
      <c r="L1604">
        <v>550</v>
      </c>
      <c r="M1604">
        <v>89.574622000000005</v>
      </c>
      <c r="N1604">
        <v>2</v>
      </c>
      <c r="O1604" s="1" t="s">
        <v>569</v>
      </c>
      <c r="P1604">
        <v>49275</v>
      </c>
      <c r="Q1604">
        <v>19710</v>
      </c>
      <c r="R1604">
        <v>0</v>
      </c>
      <c r="S1604" s="1" t="s">
        <v>1011</v>
      </c>
      <c r="T1604" s="1"/>
      <c r="U1604">
        <v>49275</v>
      </c>
      <c r="V1604">
        <v>0</v>
      </c>
      <c r="W1604">
        <v>59939</v>
      </c>
    </row>
    <row r="1605" spans="1:23" x14ac:dyDescent="0.25">
      <c r="A1605" s="1" t="s">
        <v>30</v>
      </c>
      <c r="B1605" s="1"/>
      <c r="C1605" s="1" t="s">
        <v>155</v>
      </c>
      <c r="D1605">
        <v>5941</v>
      </c>
      <c r="E1605" s="1"/>
      <c r="F1605" s="1" t="s">
        <v>155</v>
      </c>
      <c r="G1605">
        <v>2011</v>
      </c>
      <c r="H1605">
        <v>53783.32</v>
      </c>
      <c r="I1605">
        <v>7</v>
      </c>
      <c r="J1605" s="1" t="s">
        <v>399</v>
      </c>
      <c r="K1605">
        <v>0</v>
      </c>
      <c r="L1605">
        <v>550</v>
      </c>
      <c r="M1605">
        <v>97.770077999999998</v>
      </c>
      <c r="N1605">
        <v>2</v>
      </c>
      <c r="O1605" s="1" t="s">
        <v>569</v>
      </c>
      <c r="P1605">
        <v>53783.32</v>
      </c>
      <c r="Q1605">
        <v>25224.38</v>
      </c>
      <c r="R1605">
        <v>0</v>
      </c>
      <c r="S1605" s="1" t="s">
        <v>1011</v>
      </c>
      <c r="T1605" s="1"/>
      <c r="U1605">
        <v>53783.333330000001</v>
      </c>
      <c r="V1605">
        <v>0</v>
      </c>
      <c r="W1605">
        <v>59939</v>
      </c>
    </row>
    <row r="1606" spans="1:23" x14ac:dyDescent="0.25">
      <c r="A1606" s="1" t="s">
        <v>30</v>
      </c>
      <c r="B1606" s="1"/>
      <c r="C1606" s="1" t="s">
        <v>155</v>
      </c>
      <c r="D1606">
        <v>5941</v>
      </c>
      <c r="E1606" s="1"/>
      <c r="F1606" s="1" t="s">
        <v>155</v>
      </c>
      <c r="G1606">
        <v>2010</v>
      </c>
      <c r="H1606">
        <v>67173.23</v>
      </c>
      <c r="I1606">
        <v>4</v>
      </c>
      <c r="J1606" s="1" t="s">
        <v>399</v>
      </c>
      <c r="K1606">
        <v>0</v>
      </c>
      <c r="L1606">
        <v>550</v>
      </c>
      <c r="M1606">
        <v>122.11094300000001</v>
      </c>
      <c r="N1606">
        <v>2</v>
      </c>
      <c r="O1606" s="1" t="s">
        <v>569</v>
      </c>
      <c r="P1606">
        <v>67173.23</v>
      </c>
      <c r="Q1606">
        <v>31504.28</v>
      </c>
      <c r="R1606">
        <v>0</v>
      </c>
      <c r="S1606" s="1" t="s">
        <v>1011</v>
      </c>
      <c r="T1606" s="1"/>
      <c r="U1606">
        <v>67173.24037</v>
      </c>
      <c r="V1606">
        <v>0</v>
      </c>
      <c r="W1606">
        <v>59939</v>
      </c>
    </row>
    <row r="1607" spans="1:23" x14ac:dyDescent="0.25">
      <c r="A1607" s="1" t="s">
        <v>30</v>
      </c>
      <c r="B1607" s="1"/>
      <c r="C1607" s="1" t="s">
        <v>155</v>
      </c>
      <c r="D1607">
        <v>5941</v>
      </c>
      <c r="E1607" s="1"/>
      <c r="F1607" s="1" t="s">
        <v>155</v>
      </c>
      <c r="G1607">
        <v>2009</v>
      </c>
      <c r="H1607">
        <v>80884.58</v>
      </c>
      <c r="I1607">
        <v>1</v>
      </c>
      <c r="J1607" s="1" t="s">
        <v>399</v>
      </c>
      <c r="K1607">
        <v>0</v>
      </c>
      <c r="L1607">
        <v>550</v>
      </c>
      <c r="M1607">
        <v>147.03613799999999</v>
      </c>
      <c r="N1607">
        <v>2</v>
      </c>
      <c r="O1607" s="1" t="s">
        <v>569</v>
      </c>
      <c r="P1607">
        <v>80884.58</v>
      </c>
      <c r="Q1607">
        <v>37934.910000000003</v>
      </c>
      <c r="R1607">
        <v>0</v>
      </c>
      <c r="S1607" s="1" t="s">
        <v>1011</v>
      </c>
      <c r="T1607" s="1"/>
      <c r="U1607">
        <v>80884.602769999998</v>
      </c>
      <c r="V1607">
        <v>0</v>
      </c>
      <c r="W1607">
        <v>59939</v>
      </c>
    </row>
    <row r="1608" spans="1:23" x14ac:dyDescent="0.25">
      <c r="A1608" s="1" t="s">
        <v>30</v>
      </c>
      <c r="B1608" s="1"/>
      <c r="C1608" s="1" t="s">
        <v>155</v>
      </c>
      <c r="D1608">
        <v>5941</v>
      </c>
      <c r="E1608" s="1"/>
      <c r="F1608" s="1" t="s">
        <v>155</v>
      </c>
      <c r="G1608">
        <v>2008</v>
      </c>
      <c r="H1608">
        <v>54312.92</v>
      </c>
      <c r="I1608">
        <v>7</v>
      </c>
      <c r="J1608" s="1" t="s">
        <v>399</v>
      </c>
      <c r="K1608">
        <v>0</v>
      </c>
      <c r="L1608">
        <v>550</v>
      </c>
      <c r="M1608">
        <v>98.732811999999996</v>
      </c>
      <c r="N1608">
        <v>2</v>
      </c>
      <c r="O1608" s="1" t="s">
        <v>569</v>
      </c>
      <c r="P1608">
        <v>54312.92</v>
      </c>
      <c r="Q1608">
        <v>25472.75</v>
      </c>
      <c r="R1608">
        <v>0</v>
      </c>
      <c r="S1608" s="1" t="s">
        <v>1011</v>
      </c>
      <c r="T1608" s="1"/>
      <c r="U1608">
        <v>54312.905169999998</v>
      </c>
      <c r="V1608">
        <v>0</v>
      </c>
      <c r="W1608">
        <v>59939</v>
      </c>
    </row>
    <row r="1609" spans="1:23" x14ac:dyDescent="0.25">
      <c r="A1609" s="1" t="s">
        <v>31</v>
      </c>
      <c r="B1609" s="1" t="s">
        <v>66</v>
      </c>
      <c r="C1609" s="1" t="s">
        <v>156</v>
      </c>
      <c r="D1609">
        <v>5467</v>
      </c>
      <c r="E1609" s="1"/>
      <c r="F1609" s="1" t="s">
        <v>287</v>
      </c>
      <c r="G1609">
        <v>2015</v>
      </c>
      <c r="H1609">
        <v>804.84</v>
      </c>
      <c r="I1609">
        <v>5</v>
      </c>
      <c r="J1609" s="1" t="s">
        <v>429</v>
      </c>
      <c r="K1609">
        <v>0</v>
      </c>
      <c r="L1609">
        <v>6415</v>
      </c>
      <c r="M1609">
        <v>0.12545999999999999</v>
      </c>
      <c r="N1609">
        <v>3</v>
      </c>
      <c r="O1609" s="1" t="s">
        <v>560</v>
      </c>
      <c r="P1609">
        <v>804.84</v>
      </c>
      <c r="Q1609">
        <v>643.87</v>
      </c>
      <c r="R1609">
        <v>0</v>
      </c>
      <c r="S1609" s="1" t="s">
        <v>628</v>
      </c>
      <c r="T1609" s="1"/>
      <c r="U1609">
        <v>804.83600000000001</v>
      </c>
      <c r="V1609">
        <v>0</v>
      </c>
      <c r="W1609">
        <v>57800</v>
      </c>
    </row>
    <row r="1610" spans="1:23" x14ac:dyDescent="0.25">
      <c r="A1610" s="1" t="s">
        <v>31</v>
      </c>
      <c r="B1610" s="1" t="s">
        <v>66</v>
      </c>
      <c r="C1610" s="1" t="s">
        <v>156</v>
      </c>
      <c r="D1610">
        <v>5467</v>
      </c>
      <c r="E1610" s="1"/>
      <c r="F1610" s="1" t="s">
        <v>287</v>
      </c>
      <c r="G1610">
        <v>2015</v>
      </c>
      <c r="H1610">
        <v>51.78</v>
      </c>
      <c r="I1610">
        <v>5</v>
      </c>
      <c r="J1610" s="1" t="s">
        <v>429</v>
      </c>
      <c r="K1610">
        <v>0</v>
      </c>
      <c r="L1610">
        <v>6415</v>
      </c>
      <c r="M1610">
        <v>8.071E-3</v>
      </c>
      <c r="N1610">
        <v>3</v>
      </c>
      <c r="O1610" s="1" t="s">
        <v>560</v>
      </c>
      <c r="P1610">
        <v>51.78</v>
      </c>
      <c r="Q1610">
        <v>41.41</v>
      </c>
      <c r="R1610">
        <v>1</v>
      </c>
      <c r="S1610" s="1" t="s">
        <v>629</v>
      </c>
      <c r="T1610" s="1"/>
      <c r="U1610">
        <v>51.768999999999998</v>
      </c>
      <c r="V1610">
        <v>0</v>
      </c>
      <c r="W1610">
        <v>57802</v>
      </c>
    </row>
    <row r="1611" spans="1:23" x14ac:dyDescent="0.25">
      <c r="A1611" s="1" t="s">
        <v>31</v>
      </c>
      <c r="B1611" s="1" t="s">
        <v>66</v>
      </c>
      <c r="C1611" s="1" t="s">
        <v>156</v>
      </c>
      <c r="D1611">
        <v>5467</v>
      </c>
      <c r="E1611" s="1"/>
      <c r="F1611" s="1" t="s">
        <v>287</v>
      </c>
      <c r="G1611">
        <v>2014</v>
      </c>
      <c r="H1611">
        <v>1590.07</v>
      </c>
      <c r="I1611">
        <v>12</v>
      </c>
      <c r="J1611" s="1" t="s">
        <v>429</v>
      </c>
      <c r="K1611">
        <v>0</v>
      </c>
      <c r="L1611">
        <v>6415</v>
      </c>
      <c r="M1611">
        <v>0.247863</v>
      </c>
      <c r="N1611">
        <v>3</v>
      </c>
      <c r="O1611" s="1" t="s">
        <v>560</v>
      </c>
      <c r="P1611">
        <v>1590.07</v>
      </c>
      <c r="Q1611">
        <v>1272.04</v>
      </c>
      <c r="R1611">
        <v>0</v>
      </c>
      <c r="S1611" s="1" t="s">
        <v>628</v>
      </c>
      <c r="T1611" s="1"/>
      <c r="U1611">
        <v>1590.0650000000001</v>
      </c>
      <c r="V1611">
        <v>0</v>
      </c>
      <c r="W1611">
        <v>57800</v>
      </c>
    </row>
    <row r="1612" spans="1:23" x14ac:dyDescent="0.25">
      <c r="A1612" s="1" t="s">
        <v>31</v>
      </c>
      <c r="B1612" s="1" t="s">
        <v>66</v>
      </c>
      <c r="C1612" s="1" t="s">
        <v>156</v>
      </c>
      <c r="D1612">
        <v>5467</v>
      </c>
      <c r="E1612" s="1"/>
      <c r="F1612" s="1" t="s">
        <v>287</v>
      </c>
      <c r="G1612">
        <v>2014</v>
      </c>
      <c r="H1612">
        <v>168.52</v>
      </c>
      <c r="I1612">
        <v>12</v>
      </c>
      <c r="J1612" s="1" t="s">
        <v>429</v>
      </c>
      <c r="K1612">
        <v>0</v>
      </c>
      <c r="L1612">
        <v>6415</v>
      </c>
      <c r="M1612">
        <v>2.6269000000000001E-2</v>
      </c>
      <c r="N1612">
        <v>3</v>
      </c>
      <c r="O1612" s="1" t="s">
        <v>560</v>
      </c>
      <c r="P1612">
        <v>168.52</v>
      </c>
      <c r="Q1612">
        <v>134.82</v>
      </c>
      <c r="R1612">
        <v>1</v>
      </c>
      <c r="S1612" s="1" t="s">
        <v>629</v>
      </c>
      <c r="T1612" s="1"/>
      <c r="U1612">
        <v>168.52099999999999</v>
      </c>
      <c r="V1612">
        <v>0</v>
      </c>
      <c r="W1612">
        <v>57802</v>
      </c>
    </row>
    <row r="1613" spans="1:23" x14ac:dyDescent="0.25">
      <c r="A1613" s="1" t="s">
        <v>31</v>
      </c>
      <c r="B1613" s="1" t="s">
        <v>66</v>
      </c>
      <c r="C1613" s="1" t="s">
        <v>156</v>
      </c>
      <c r="D1613">
        <v>5467</v>
      </c>
      <c r="E1613" s="1"/>
      <c r="F1613" s="1" t="s">
        <v>287</v>
      </c>
      <c r="G1613">
        <v>2013</v>
      </c>
      <c r="H1613">
        <v>1468.25</v>
      </c>
      <c r="I1613">
        <v>12</v>
      </c>
      <c r="J1613" s="1" t="s">
        <v>429</v>
      </c>
      <c r="K1613">
        <v>0</v>
      </c>
      <c r="L1613">
        <v>6415</v>
      </c>
      <c r="M1613">
        <v>0.22887399999999999</v>
      </c>
      <c r="N1613">
        <v>3</v>
      </c>
      <c r="O1613" s="1" t="s">
        <v>560</v>
      </c>
      <c r="P1613">
        <v>1468.25</v>
      </c>
      <c r="Q1613">
        <v>1174.5899999999999</v>
      </c>
      <c r="R1613">
        <v>0</v>
      </c>
      <c r="S1613" s="1" t="s">
        <v>628</v>
      </c>
      <c r="T1613" s="1"/>
      <c r="U1613">
        <v>1468.2449999999999</v>
      </c>
      <c r="V1613">
        <v>0</v>
      </c>
      <c r="W1613">
        <v>57800</v>
      </c>
    </row>
    <row r="1614" spans="1:23" x14ac:dyDescent="0.25">
      <c r="A1614" s="1" t="s">
        <v>31</v>
      </c>
      <c r="B1614" s="1" t="s">
        <v>66</v>
      </c>
      <c r="C1614" s="1" t="s">
        <v>156</v>
      </c>
      <c r="D1614">
        <v>5467</v>
      </c>
      <c r="E1614" s="1"/>
      <c r="F1614" s="1" t="s">
        <v>287</v>
      </c>
      <c r="G1614">
        <v>2013</v>
      </c>
      <c r="H1614">
        <v>161.22999999999999</v>
      </c>
      <c r="I1614">
        <v>12</v>
      </c>
      <c r="J1614" s="1" t="s">
        <v>429</v>
      </c>
      <c r="K1614">
        <v>0</v>
      </c>
      <c r="L1614">
        <v>6415</v>
      </c>
      <c r="M1614">
        <v>2.5132000000000002E-2</v>
      </c>
      <c r="N1614">
        <v>3</v>
      </c>
      <c r="O1614" s="1" t="s">
        <v>560</v>
      </c>
      <c r="P1614">
        <v>161.22999999999999</v>
      </c>
      <c r="Q1614">
        <v>129.01</v>
      </c>
      <c r="R1614">
        <v>1</v>
      </c>
      <c r="S1614" s="1" t="s">
        <v>629</v>
      </c>
      <c r="T1614" s="1"/>
      <c r="U1614">
        <v>161.232</v>
      </c>
      <c r="V1614">
        <v>0</v>
      </c>
      <c r="W1614">
        <v>57802</v>
      </c>
    </row>
    <row r="1615" spans="1:23" x14ac:dyDescent="0.25">
      <c r="A1615" s="1" t="s">
        <v>31</v>
      </c>
      <c r="B1615" s="1" t="s">
        <v>66</v>
      </c>
      <c r="C1615" s="1" t="s">
        <v>156</v>
      </c>
      <c r="D1615">
        <v>5467</v>
      </c>
      <c r="E1615" s="1"/>
      <c r="F1615" s="1" t="s">
        <v>287</v>
      </c>
      <c r="G1615">
        <v>2012</v>
      </c>
      <c r="H1615">
        <v>1365.81</v>
      </c>
      <c r="I1615">
        <v>12</v>
      </c>
      <c r="J1615" s="1" t="s">
        <v>429</v>
      </c>
      <c r="K1615">
        <v>0</v>
      </c>
      <c r="L1615">
        <v>6415</v>
      </c>
      <c r="M1615">
        <v>0.21290500000000001</v>
      </c>
      <c r="N1615">
        <v>3</v>
      </c>
      <c r="O1615" s="1" t="s">
        <v>560</v>
      </c>
      <c r="P1615">
        <v>1365.81</v>
      </c>
      <c r="Q1615">
        <v>1092.6600000000001</v>
      </c>
      <c r="R1615">
        <v>0</v>
      </c>
      <c r="S1615" s="1" t="s">
        <v>628</v>
      </c>
      <c r="T1615" s="1"/>
      <c r="U1615">
        <v>1365.8040000000001</v>
      </c>
      <c r="V1615">
        <v>0</v>
      </c>
      <c r="W1615">
        <v>57800</v>
      </c>
    </row>
    <row r="1616" spans="1:23" x14ac:dyDescent="0.25">
      <c r="A1616" s="1" t="s">
        <v>31</v>
      </c>
      <c r="B1616" s="1" t="s">
        <v>66</v>
      </c>
      <c r="C1616" s="1" t="s">
        <v>156</v>
      </c>
      <c r="D1616">
        <v>5467</v>
      </c>
      <c r="E1616" s="1"/>
      <c r="F1616" s="1" t="s">
        <v>287</v>
      </c>
      <c r="G1616">
        <v>2012</v>
      </c>
      <c r="H1616">
        <v>55.9</v>
      </c>
      <c r="I1616">
        <v>12</v>
      </c>
      <c r="J1616" s="1" t="s">
        <v>429</v>
      </c>
      <c r="K1616">
        <v>0</v>
      </c>
      <c r="L1616">
        <v>6415</v>
      </c>
      <c r="M1616">
        <v>8.7130000000000003E-3</v>
      </c>
      <c r="N1616">
        <v>3</v>
      </c>
      <c r="O1616" s="1" t="s">
        <v>560</v>
      </c>
      <c r="P1616">
        <v>55.9</v>
      </c>
      <c r="Q1616">
        <v>44.73</v>
      </c>
      <c r="R1616">
        <v>1</v>
      </c>
      <c r="S1616" s="1" t="s">
        <v>629</v>
      </c>
      <c r="T1616" s="1"/>
      <c r="U1616">
        <v>55.908000000000001</v>
      </c>
      <c r="V1616">
        <v>0</v>
      </c>
      <c r="W1616">
        <v>57802</v>
      </c>
    </row>
    <row r="1617" spans="1:23" x14ac:dyDescent="0.25">
      <c r="A1617" s="1" t="s">
        <v>31</v>
      </c>
      <c r="B1617" s="1" t="s">
        <v>66</v>
      </c>
      <c r="C1617" s="1" t="s">
        <v>156</v>
      </c>
      <c r="D1617">
        <v>5467</v>
      </c>
      <c r="E1617" s="1"/>
      <c r="F1617" s="1" t="s">
        <v>287</v>
      </c>
      <c r="G1617">
        <v>2011</v>
      </c>
      <c r="H1617">
        <v>1284.1400000000001</v>
      </c>
      <c r="I1617">
        <v>12</v>
      </c>
      <c r="J1617" s="1" t="s">
        <v>429</v>
      </c>
      <c r="K1617">
        <v>0</v>
      </c>
      <c r="L1617">
        <v>6415</v>
      </c>
      <c r="M1617">
        <v>0.20017399999999999</v>
      </c>
      <c r="N1617">
        <v>3</v>
      </c>
      <c r="O1617" s="1" t="s">
        <v>560</v>
      </c>
      <c r="P1617">
        <v>1284.1400000000001</v>
      </c>
      <c r="Q1617">
        <v>1027.32</v>
      </c>
      <c r="R1617">
        <v>0</v>
      </c>
      <c r="S1617" s="1" t="s">
        <v>628</v>
      </c>
      <c r="T1617" s="1"/>
      <c r="U1617">
        <v>1284.1489999999999</v>
      </c>
      <c r="V1617">
        <v>0</v>
      </c>
      <c r="W1617">
        <v>57800</v>
      </c>
    </row>
    <row r="1618" spans="1:23" x14ac:dyDescent="0.25">
      <c r="A1618" s="1" t="s">
        <v>31</v>
      </c>
      <c r="B1618" s="1" t="s">
        <v>66</v>
      </c>
      <c r="C1618" s="1" t="s">
        <v>156</v>
      </c>
      <c r="D1618">
        <v>5467</v>
      </c>
      <c r="E1618" s="1"/>
      <c r="F1618" s="1" t="s">
        <v>287</v>
      </c>
      <c r="G1618">
        <v>2011</v>
      </c>
      <c r="H1618">
        <v>0</v>
      </c>
      <c r="I1618">
        <v>12</v>
      </c>
      <c r="J1618" s="1" t="s">
        <v>429</v>
      </c>
      <c r="K1618">
        <v>0</v>
      </c>
      <c r="L1618">
        <v>6415</v>
      </c>
      <c r="M1618">
        <v>0</v>
      </c>
      <c r="N1618">
        <v>3</v>
      </c>
      <c r="O1618" s="1" t="s">
        <v>560</v>
      </c>
      <c r="P1618">
        <v>0</v>
      </c>
      <c r="Q1618">
        <v>0</v>
      </c>
      <c r="R1618">
        <v>1</v>
      </c>
      <c r="S1618" s="1" t="s">
        <v>629</v>
      </c>
      <c r="T1618" s="1"/>
      <c r="U1618">
        <v>2E-3</v>
      </c>
      <c r="V1618">
        <v>0</v>
      </c>
      <c r="W1618">
        <v>57802</v>
      </c>
    </row>
    <row r="1619" spans="1:23" x14ac:dyDescent="0.25">
      <c r="A1619" s="1" t="s">
        <v>31</v>
      </c>
      <c r="B1619" s="1" t="s">
        <v>66</v>
      </c>
      <c r="C1619" s="1" t="s">
        <v>156</v>
      </c>
      <c r="D1619">
        <v>5467</v>
      </c>
      <c r="E1619" s="1"/>
      <c r="F1619" s="1" t="s">
        <v>287</v>
      </c>
      <c r="G1619">
        <v>2010</v>
      </c>
      <c r="H1619">
        <v>1120.3499999999999</v>
      </c>
      <c r="I1619">
        <v>12</v>
      </c>
      <c r="J1619" s="1" t="s">
        <v>429</v>
      </c>
      <c r="K1619">
        <v>0</v>
      </c>
      <c r="L1619">
        <v>6415</v>
      </c>
      <c r="M1619">
        <v>0.17464199999999999</v>
      </c>
      <c r="N1619">
        <v>3</v>
      </c>
      <c r="O1619" s="1" t="s">
        <v>560</v>
      </c>
      <c r="P1619">
        <v>1120.3499999999999</v>
      </c>
      <c r="Q1619">
        <v>896.26</v>
      </c>
      <c r="R1619">
        <v>0</v>
      </c>
      <c r="S1619" s="1" t="s">
        <v>628</v>
      </c>
      <c r="T1619" s="1"/>
      <c r="U1619">
        <v>1120.345</v>
      </c>
      <c r="V1619">
        <v>0</v>
      </c>
      <c r="W1619">
        <v>57800</v>
      </c>
    </row>
    <row r="1620" spans="1:23" x14ac:dyDescent="0.25">
      <c r="A1620" s="1" t="s">
        <v>31</v>
      </c>
      <c r="B1620" s="1" t="s">
        <v>66</v>
      </c>
      <c r="C1620" s="1" t="s">
        <v>156</v>
      </c>
      <c r="D1620">
        <v>5467</v>
      </c>
      <c r="E1620" s="1"/>
      <c r="F1620" s="1" t="s">
        <v>287</v>
      </c>
      <c r="G1620">
        <v>2010</v>
      </c>
      <c r="H1620">
        <v>0</v>
      </c>
      <c r="I1620">
        <v>12</v>
      </c>
      <c r="J1620" s="1" t="s">
        <v>429</v>
      </c>
      <c r="K1620">
        <v>0</v>
      </c>
      <c r="L1620">
        <v>6415</v>
      </c>
      <c r="M1620">
        <v>0</v>
      </c>
      <c r="N1620">
        <v>3</v>
      </c>
      <c r="O1620" s="1" t="s">
        <v>560</v>
      </c>
      <c r="P1620">
        <v>0</v>
      </c>
      <c r="Q1620">
        <v>0</v>
      </c>
      <c r="R1620">
        <v>1</v>
      </c>
      <c r="S1620" s="1" t="s">
        <v>629</v>
      </c>
      <c r="T1620" s="1"/>
      <c r="U1620">
        <v>1E-3</v>
      </c>
      <c r="V1620">
        <v>0</v>
      </c>
      <c r="W1620">
        <v>57802</v>
      </c>
    </row>
    <row r="1621" spans="1:23" x14ac:dyDescent="0.25">
      <c r="A1621" s="1" t="s">
        <v>31</v>
      </c>
      <c r="B1621" s="1" t="s">
        <v>66</v>
      </c>
      <c r="C1621" s="1" t="s">
        <v>156</v>
      </c>
      <c r="D1621">
        <v>5467</v>
      </c>
      <c r="E1621" s="1"/>
      <c r="F1621" s="1" t="s">
        <v>287</v>
      </c>
      <c r="G1621">
        <v>2009</v>
      </c>
      <c r="H1621">
        <v>1059.58</v>
      </c>
      <c r="I1621">
        <v>12</v>
      </c>
      <c r="J1621" s="1" t="s">
        <v>429</v>
      </c>
      <c r="K1621">
        <v>0</v>
      </c>
      <c r="L1621">
        <v>6415</v>
      </c>
      <c r="M1621">
        <v>0.16516900000000001</v>
      </c>
      <c r="N1621">
        <v>3</v>
      </c>
      <c r="O1621" s="1" t="s">
        <v>560</v>
      </c>
      <c r="P1621">
        <v>1059.58</v>
      </c>
      <c r="Q1621">
        <v>847.66</v>
      </c>
      <c r="R1621">
        <v>0</v>
      </c>
      <c r="S1621" s="1" t="s">
        <v>628</v>
      </c>
      <c r="T1621" s="1"/>
      <c r="U1621">
        <v>1059.5730000000001</v>
      </c>
      <c r="V1621">
        <v>0</v>
      </c>
      <c r="W1621">
        <v>57800</v>
      </c>
    </row>
    <row r="1622" spans="1:23" x14ac:dyDescent="0.25">
      <c r="A1622" s="1" t="s">
        <v>31</v>
      </c>
      <c r="B1622" s="1" t="s">
        <v>66</v>
      </c>
      <c r="C1622" s="1" t="s">
        <v>156</v>
      </c>
      <c r="D1622">
        <v>5467</v>
      </c>
      <c r="E1622" s="1"/>
      <c r="F1622" s="1" t="s">
        <v>287</v>
      </c>
      <c r="G1622">
        <v>2009</v>
      </c>
      <c r="H1622">
        <v>0</v>
      </c>
      <c r="I1622">
        <v>12</v>
      </c>
      <c r="J1622" s="1" t="s">
        <v>429</v>
      </c>
      <c r="K1622">
        <v>0</v>
      </c>
      <c r="L1622">
        <v>6415</v>
      </c>
      <c r="M1622">
        <v>0</v>
      </c>
      <c r="N1622">
        <v>3</v>
      </c>
      <c r="O1622" s="1" t="s">
        <v>560</v>
      </c>
      <c r="P1622">
        <v>0</v>
      </c>
      <c r="Q1622">
        <v>0</v>
      </c>
      <c r="R1622">
        <v>1</v>
      </c>
      <c r="S1622" s="1" t="s">
        <v>629</v>
      </c>
      <c r="T1622" s="1"/>
      <c r="U1622">
        <v>0</v>
      </c>
      <c r="V1622">
        <v>0</v>
      </c>
      <c r="W1622">
        <v>57802</v>
      </c>
    </row>
    <row r="1623" spans="1:23" x14ac:dyDescent="0.25">
      <c r="A1623" s="1" t="s">
        <v>31</v>
      </c>
      <c r="B1623" s="1" t="s">
        <v>66</v>
      </c>
      <c r="C1623" s="1" t="s">
        <v>156</v>
      </c>
      <c r="D1623">
        <v>5467</v>
      </c>
      <c r="E1623" s="1"/>
      <c r="F1623" s="1" t="s">
        <v>287</v>
      </c>
      <c r="G1623">
        <v>2008</v>
      </c>
      <c r="H1623">
        <v>1207.92</v>
      </c>
      <c r="I1623">
        <v>12</v>
      </c>
      <c r="J1623" s="1" t="s">
        <v>429</v>
      </c>
      <c r="K1623">
        <v>0</v>
      </c>
      <c r="L1623">
        <v>6415</v>
      </c>
      <c r="M1623">
        <v>0.18829299999999999</v>
      </c>
      <c r="N1623">
        <v>3</v>
      </c>
      <c r="O1623" s="1" t="s">
        <v>560</v>
      </c>
      <c r="P1623">
        <v>1207.92</v>
      </c>
      <c r="Q1623">
        <v>966.36</v>
      </c>
      <c r="R1623">
        <v>0</v>
      </c>
      <c r="S1623" s="1" t="s">
        <v>628</v>
      </c>
      <c r="T1623" s="1"/>
      <c r="U1623">
        <v>1207.921</v>
      </c>
      <c r="V1623">
        <v>0</v>
      </c>
      <c r="W1623">
        <v>57800</v>
      </c>
    </row>
    <row r="1624" spans="1:23" x14ac:dyDescent="0.25">
      <c r="A1624" s="1" t="s">
        <v>31</v>
      </c>
      <c r="B1624" s="1" t="s">
        <v>66</v>
      </c>
      <c r="C1624" s="1" t="s">
        <v>156</v>
      </c>
      <c r="D1624">
        <v>5467</v>
      </c>
      <c r="E1624" s="1"/>
      <c r="F1624" s="1" t="s">
        <v>287</v>
      </c>
      <c r="G1624">
        <v>2008</v>
      </c>
      <c r="H1624">
        <v>0</v>
      </c>
      <c r="I1624">
        <v>12</v>
      </c>
      <c r="J1624" s="1" t="s">
        <v>429</v>
      </c>
      <c r="K1624">
        <v>0</v>
      </c>
      <c r="L1624">
        <v>6415</v>
      </c>
      <c r="M1624">
        <v>0</v>
      </c>
      <c r="N1624">
        <v>3</v>
      </c>
      <c r="O1624" s="1" t="s">
        <v>560</v>
      </c>
      <c r="P1624">
        <v>0</v>
      </c>
      <c r="Q1624">
        <v>0</v>
      </c>
      <c r="R1624">
        <v>1</v>
      </c>
      <c r="S1624" s="1" t="s">
        <v>629</v>
      </c>
      <c r="T1624" s="1"/>
      <c r="U1624">
        <v>0</v>
      </c>
      <c r="V1624">
        <v>0</v>
      </c>
      <c r="W1624">
        <v>57802</v>
      </c>
    </row>
    <row r="1625" spans="1:23" x14ac:dyDescent="0.25">
      <c r="A1625" s="1" t="s">
        <v>31</v>
      </c>
      <c r="B1625" s="1" t="s">
        <v>66</v>
      </c>
      <c r="C1625" s="1" t="s">
        <v>156</v>
      </c>
      <c r="D1625">
        <v>14135</v>
      </c>
      <c r="E1625" s="1" t="s">
        <v>243</v>
      </c>
      <c r="F1625" s="1" t="s">
        <v>288</v>
      </c>
      <c r="G1625">
        <v>2015</v>
      </c>
      <c r="H1625">
        <v>74.8</v>
      </c>
      <c r="I1625">
        <v>5</v>
      </c>
      <c r="J1625" s="1" t="s">
        <v>429</v>
      </c>
      <c r="K1625">
        <v>0</v>
      </c>
      <c r="L1625">
        <v>3594</v>
      </c>
      <c r="M1625">
        <v>2.0811E-2</v>
      </c>
      <c r="N1625">
        <v>3</v>
      </c>
      <c r="O1625" s="1" t="s">
        <v>560</v>
      </c>
      <c r="P1625">
        <v>74.8</v>
      </c>
      <c r="Q1625">
        <v>0</v>
      </c>
      <c r="R1625">
        <v>1</v>
      </c>
      <c r="S1625" s="1" t="s">
        <v>630</v>
      </c>
      <c r="T1625" s="1"/>
      <c r="U1625">
        <v>74.795000000000002</v>
      </c>
      <c r="V1625">
        <v>0</v>
      </c>
      <c r="W1625">
        <v>57804</v>
      </c>
    </row>
    <row r="1626" spans="1:23" x14ac:dyDescent="0.25">
      <c r="A1626" s="1" t="s">
        <v>31</v>
      </c>
      <c r="B1626" s="1" t="s">
        <v>66</v>
      </c>
      <c r="C1626" s="1" t="s">
        <v>156</v>
      </c>
      <c r="D1626">
        <v>14135</v>
      </c>
      <c r="E1626" s="1" t="s">
        <v>243</v>
      </c>
      <c r="F1626" s="1" t="s">
        <v>288</v>
      </c>
      <c r="G1626">
        <v>2014</v>
      </c>
      <c r="H1626">
        <v>239.51</v>
      </c>
      <c r="I1626">
        <v>12</v>
      </c>
      <c r="J1626" s="1" t="s">
        <v>429</v>
      </c>
      <c r="K1626">
        <v>0</v>
      </c>
      <c r="L1626">
        <v>3594</v>
      </c>
      <c r="M1626">
        <v>6.6639000000000004E-2</v>
      </c>
      <c r="N1626">
        <v>3</v>
      </c>
      <c r="O1626" s="1" t="s">
        <v>560</v>
      </c>
      <c r="P1626">
        <v>239.51</v>
      </c>
      <c r="Q1626">
        <v>0</v>
      </c>
      <c r="R1626">
        <v>1</v>
      </c>
      <c r="S1626" s="1" t="s">
        <v>630</v>
      </c>
      <c r="T1626" s="1"/>
      <c r="U1626">
        <v>239.517</v>
      </c>
      <c r="V1626">
        <v>0</v>
      </c>
      <c r="W1626">
        <v>57804</v>
      </c>
    </row>
    <row r="1627" spans="1:23" x14ac:dyDescent="0.25">
      <c r="A1627" s="1" t="s">
        <v>31</v>
      </c>
      <c r="B1627" s="1" t="s">
        <v>66</v>
      </c>
      <c r="C1627" s="1" t="s">
        <v>156</v>
      </c>
      <c r="D1627">
        <v>14135</v>
      </c>
      <c r="E1627" s="1" t="s">
        <v>243</v>
      </c>
      <c r="F1627" s="1" t="s">
        <v>288</v>
      </c>
      <c r="G1627">
        <v>2013</v>
      </c>
      <c r="H1627">
        <v>51.16</v>
      </c>
      <c r="I1627">
        <v>12</v>
      </c>
      <c r="J1627" s="1" t="s">
        <v>429</v>
      </c>
      <c r="K1627">
        <v>0</v>
      </c>
      <c r="L1627">
        <v>3594</v>
      </c>
      <c r="M1627">
        <v>1.4234E-2</v>
      </c>
      <c r="N1627">
        <v>3</v>
      </c>
      <c r="O1627" s="1" t="s">
        <v>560</v>
      </c>
      <c r="P1627">
        <v>51.16</v>
      </c>
      <c r="Q1627">
        <v>0</v>
      </c>
      <c r="R1627">
        <v>1</v>
      </c>
      <c r="S1627" s="1" t="s">
        <v>630</v>
      </c>
      <c r="T1627" s="1"/>
      <c r="U1627">
        <v>51.158999999999999</v>
      </c>
      <c r="V1627">
        <v>0</v>
      </c>
      <c r="W1627">
        <v>57804</v>
      </c>
    </row>
    <row r="1628" spans="1:23" x14ac:dyDescent="0.25">
      <c r="A1628" s="1" t="s">
        <v>31</v>
      </c>
      <c r="B1628" s="1" t="s">
        <v>66</v>
      </c>
      <c r="C1628" s="1" t="s">
        <v>156</v>
      </c>
      <c r="D1628">
        <v>14135</v>
      </c>
      <c r="E1628" s="1" t="s">
        <v>243</v>
      </c>
      <c r="F1628" s="1" t="s">
        <v>288</v>
      </c>
      <c r="G1628">
        <v>2012</v>
      </c>
      <c r="H1628">
        <v>2.17</v>
      </c>
      <c r="I1628">
        <v>12</v>
      </c>
      <c r="J1628" s="1" t="s">
        <v>429</v>
      </c>
      <c r="K1628">
        <v>0</v>
      </c>
      <c r="L1628">
        <v>3594</v>
      </c>
      <c r="M1628">
        <v>6.0300000000000002E-4</v>
      </c>
      <c r="N1628">
        <v>3</v>
      </c>
      <c r="O1628" s="1" t="s">
        <v>560</v>
      </c>
      <c r="P1628">
        <v>2.17</v>
      </c>
      <c r="Q1628">
        <v>0</v>
      </c>
      <c r="R1628">
        <v>1</v>
      </c>
      <c r="S1628" s="1" t="s">
        <v>630</v>
      </c>
      <c r="T1628" s="1"/>
      <c r="U1628">
        <v>2.1779999999999999</v>
      </c>
      <c r="V1628">
        <v>0</v>
      </c>
      <c r="W1628">
        <v>57804</v>
      </c>
    </row>
    <row r="1629" spans="1:23" x14ac:dyDescent="0.25">
      <c r="A1629" s="1" t="s">
        <v>31</v>
      </c>
      <c r="B1629" s="1" t="s">
        <v>66</v>
      </c>
      <c r="C1629" s="1" t="s">
        <v>156</v>
      </c>
      <c r="D1629">
        <v>14135</v>
      </c>
      <c r="E1629" s="1" t="s">
        <v>243</v>
      </c>
      <c r="F1629" s="1" t="s">
        <v>288</v>
      </c>
      <c r="G1629">
        <v>2011</v>
      </c>
      <c r="H1629">
        <v>2.46</v>
      </c>
      <c r="I1629">
        <v>12</v>
      </c>
      <c r="J1629" s="1" t="s">
        <v>429</v>
      </c>
      <c r="K1629">
        <v>0</v>
      </c>
      <c r="L1629">
        <v>3594</v>
      </c>
      <c r="M1629">
        <v>6.8400000000000004E-4</v>
      </c>
      <c r="N1629">
        <v>3</v>
      </c>
      <c r="O1629" s="1" t="s">
        <v>560</v>
      </c>
      <c r="P1629">
        <v>2.46</v>
      </c>
      <c r="Q1629">
        <v>0</v>
      </c>
      <c r="R1629">
        <v>1</v>
      </c>
      <c r="S1629" s="1" t="s">
        <v>630</v>
      </c>
      <c r="T1629" s="1"/>
      <c r="U1629">
        <v>2.4569999999999999</v>
      </c>
      <c r="V1629">
        <v>0</v>
      </c>
      <c r="W1629">
        <v>57804</v>
      </c>
    </row>
    <row r="1630" spans="1:23" x14ac:dyDescent="0.25">
      <c r="A1630" s="1" t="s">
        <v>31</v>
      </c>
      <c r="B1630" s="1" t="s">
        <v>66</v>
      </c>
      <c r="C1630" s="1" t="s">
        <v>156</v>
      </c>
      <c r="D1630">
        <v>14135</v>
      </c>
      <c r="E1630" s="1" t="s">
        <v>243</v>
      </c>
      <c r="F1630" s="1" t="s">
        <v>288</v>
      </c>
      <c r="G1630">
        <v>2010</v>
      </c>
      <c r="H1630">
        <v>2.39</v>
      </c>
      <c r="I1630">
        <v>12</v>
      </c>
      <c r="J1630" s="1" t="s">
        <v>429</v>
      </c>
      <c r="K1630">
        <v>0</v>
      </c>
      <c r="L1630">
        <v>3594</v>
      </c>
      <c r="M1630">
        <v>6.6399999999999999E-4</v>
      </c>
      <c r="N1630">
        <v>3</v>
      </c>
      <c r="O1630" s="1" t="s">
        <v>560</v>
      </c>
      <c r="P1630">
        <v>2.39</v>
      </c>
      <c r="Q1630">
        <v>0</v>
      </c>
      <c r="R1630">
        <v>1</v>
      </c>
      <c r="S1630" s="1" t="s">
        <v>630</v>
      </c>
      <c r="T1630" s="1"/>
      <c r="U1630">
        <v>2.371</v>
      </c>
      <c r="V1630">
        <v>0</v>
      </c>
      <c r="W1630">
        <v>57804</v>
      </c>
    </row>
    <row r="1631" spans="1:23" x14ac:dyDescent="0.25">
      <c r="A1631" s="1" t="s">
        <v>31</v>
      </c>
      <c r="B1631" s="1" t="s">
        <v>66</v>
      </c>
      <c r="C1631" s="1" t="s">
        <v>156</v>
      </c>
      <c r="D1631">
        <v>14135</v>
      </c>
      <c r="E1631" s="1" t="s">
        <v>243</v>
      </c>
      <c r="F1631" s="1" t="s">
        <v>288</v>
      </c>
      <c r="G1631">
        <v>2009</v>
      </c>
      <c r="H1631">
        <v>2.12</v>
      </c>
      <c r="I1631">
        <v>12</v>
      </c>
      <c r="J1631" s="1" t="s">
        <v>429</v>
      </c>
      <c r="K1631">
        <v>0</v>
      </c>
      <c r="L1631">
        <v>3594</v>
      </c>
      <c r="M1631">
        <v>5.8900000000000001E-4</v>
      </c>
      <c r="N1631">
        <v>3</v>
      </c>
      <c r="O1631" s="1" t="s">
        <v>560</v>
      </c>
      <c r="P1631">
        <v>2.12</v>
      </c>
      <c r="Q1631">
        <v>0</v>
      </c>
      <c r="R1631">
        <v>1</v>
      </c>
      <c r="S1631" s="1" t="s">
        <v>630</v>
      </c>
      <c r="T1631" s="1"/>
      <c r="U1631">
        <v>2.1190000000000002</v>
      </c>
      <c r="V1631">
        <v>0</v>
      </c>
      <c r="W1631">
        <v>57804</v>
      </c>
    </row>
    <row r="1632" spans="1:23" x14ac:dyDescent="0.25">
      <c r="A1632" s="1" t="s">
        <v>31</v>
      </c>
      <c r="B1632" s="1" t="s">
        <v>66</v>
      </c>
      <c r="C1632" s="1" t="s">
        <v>156</v>
      </c>
      <c r="D1632">
        <v>14135</v>
      </c>
      <c r="E1632" s="1" t="s">
        <v>243</v>
      </c>
      <c r="F1632" s="1" t="s">
        <v>288</v>
      </c>
      <c r="G1632">
        <v>2008</v>
      </c>
      <c r="H1632">
        <v>2.0099999999999998</v>
      </c>
      <c r="I1632">
        <v>12</v>
      </c>
      <c r="J1632" s="1" t="s">
        <v>429</v>
      </c>
      <c r="K1632">
        <v>0</v>
      </c>
      <c r="L1632">
        <v>3594</v>
      </c>
      <c r="M1632">
        <v>5.5900000000000004E-4</v>
      </c>
      <c r="N1632">
        <v>3</v>
      </c>
      <c r="O1632" s="1" t="s">
        <v>560</v>
      </c>
      <c r="P1632">
        <v>2.0099999999999998</v>
      </c>
      <c r="Q1632">
        <v>0</v>
      </c>
      <c r="R1632">
        <v>1</v>
      </c>
      <c r="S1632" s="1" t="s">
        <v>630</v>
      </c>
      <c r="T1632" s="1"/>
      <c r="U1632">
        <v>1.998</v>
      </c>
      <c r="V1632">
        <v>0</v>
      </c>
      <c r="W1632">
        <v>57804</v>
      </c>
    </row>
    <row r="1633" spans="1:23" x14ac:dyDescent="0.25">
      <c r="A1633" s="1" t="s">
        <v>31</v>
      </c>
      <c r="B1633" s="1"/>
      <c r="C1633" s="1" t="s">
        <v>157</v>
      </c>
      <c r="D1633">
        <v>10324</v>
      </c>
      <c r="E1633" s="1"/>
      <c r="F1633" s="1" t="s">
        <v>289</v>
      </c>
      <c r="G1633">
        <v>2015</v>
      </c>
      <c r="H1633">
        <v>327.26</v>
      </c>
      <c r="I1633">
        <v>5</v>
      </c>
      <c r="J1633" s="1"/>
      <c r="K1633">
        <v>0</v>
      </c>
      <c r="L1633">
        <v>2027</v>
      </c>
      <c r="M1633">
        <v>0.161442</v>
      </c>
      <c r="N1633">
        <v>3</v>
      </c>
      <c r="O1633" s="1" t="s">
        <v>560</v>
      </c>
      <c r="P1633">
        <v>327.26</v>
      </c>
      <c r="Q1633">
        <v>261.82</v>
      </c>
      <c r="R1633">
        <v>0</v>
      </c>
      <c r="S1633" s="1"/>
      <c r="T1633" s="1"/>
      <c r="U1633">
        <v>327.26</v>
      </c>
      <c r="V1633">
        <v>0</v>
      </c>
      <c r="W1633">
        <v>77833</v>
      </c>
    </row>
    <row r="1634" spans="1:23" x14ac:dyDescent="0.25">
      <c r="A1634" s="1" t="s">
        <v>31</v>
      </c>
      <c r="B1634" s="1"/>
      <c r="C1634" s="1" t="s">
        <v>157</v>
      </c>
      <c r="D1634">
        <v>10324</v>
      </c>
      <c r="E1634" s="1"/>
      <c r="F1634" s="1" t="s">
        <v>289</v>
      </c>
      <c r="G1634">
        <v>2015</v>
      </c>
      <c r="H1634">
        <v>50.6</v>
      </c>
      <c r="I1634">
        <v>3</v>
      </c>
      <c r="J1634" s="1" t="s">
        <v>421</v>
      </c>
      <c r="K1634">
        <v>0</v>
      </c>
      <c r="L1634">
        <v>2027</v>
      </c>
      <c r="M1634">
        <v>2.4961000000000001E-2</v>
      </c>
      <c r="N1634">
        <v>3</v>
      </c>
      <c r="O1634" s="1" t="s">
        <v>560</v>
      </c>
      <c r="P1634">
        <v>50.6</v>
      </c>
      <c r="Q1634">
        <v>40.479999999999997</v>
      </c>
      <c r="R1634">
        <v>1</v>
      </c>
      <c r="S1634" s="1" t="s">
        <v>631</v>
      </c>
      <c r="T1634" s="1"/>
      <c r="U1634">
        <v>50.595739999999999</v>
      </c>
      <c r="V1634">
        <v>0</v>
      </c>
      <c r="W1634">
        <v>79476</v>
      </c>
    </row>
    <row r="1635" spans="1:23" x14ac:dyDescent="0.25">
      <c r="A1635" s="1" t="s">
        <v>31</v>
      </c>
      <c r="B1635" s="1"/>
      <c r="C1635" s="1" t="s">
        <v>157</v>
      </c>
      <c r="D1635">
        <v>10324</v>
      </c>
      <c r="E1635" s="1"/>
      <c r="F1635" s="1" t="s">
        <v>289</v>
      </c>
      <c r="G1635">
        <v>2014</v>
      </c>
      <c r="H1635">
        <v>856.95</v>
      </c>
      <c r="I1635">
        <v>12</v>
      </c>
      <c r="J1635" s="1"/>
      <c r="K1635">
        <v>0</v>
      </c>
      <c r="L1635">
        <v>2027</v>
      </c>
      <c r="M1635">
        <v>0.42274600000000001</v>
      </c>
      <c r="N1635">
        <v>3</v>
      </c>
      <c r="O1635" s="1" t="s">
        <v>560</v>
      </c>
      <c r="P1635">
        <v>856.95</v>
      </c>
      <c r="Q1635">
        <v>685.56</v>
      </c>
      <c r="R1635">
        <v>0</v>
      </c>
      <c r="S1635" s="1"/>
      <c r="T1635" s="1"/>
      <c r="U1635">
        <v>856.95</v>
      </c>
      <c r="V1635">
        <v>0</v>
      </c>
      <c r="W1635">
        <v>77833</v>
      </c>
    </row>
    <row r="1636" spans="1:23" x14ac:dyDescent="0.25">
      <c r="A1636" s="1" t="s">
        <v>31</v>
      </c>
      <c r="B1636" s="1"/>
      <c r="C1636" s="1" t="s">
        <v>157</v>
      </c>
      <c r="D1636">
        <v>10324</v>
      </c>
      <c r="E1636" s="1"/>
      <c r="F1636" s="1" t="s">
        <v>289</v>
      </c>
      <c r="G1636">
        <v>2014</v>
      </c>
      <c r="H1636">
        <v>180.29</v>
      </c>
      <c r="I1636">
        <v>10</v>
      </c>
      <c r="J1636" s="1" t="s">
        <v>421</v>
      </c>
      <c r="K1636">
        <v>0</v>
      </c>
      <c r="L1636">
        <v>2027</v>
      </c>
      <c r="M1636">
        <v>8.8939000000000004E-2</v>
      </c>
      <c r="N1636">
        <v>3</v>
      </c>
      <c r="O1636" s="1" t="s">
        <v>560</v>
      </c>
      <c r="P1636">
        <v>180.29</v>
      </c>
      <c r="Q1636">
        <v>144.22</v>
      </c>
      <c r="R1636">
        <v>1</v>
      </c>
      <c r="S1636" s="1" t="s">
        <v>631</v>
      </c>
      <c r="T1636" s="1"/>
      <c r="U1636">
        <v>180.28998000000001</v>
      </c>
      <c r="V1636">
        <v>0</v>
      </c>
      <c r="W1636">
        <v>79476</v>
      </c>
    </row>
    <row r="1637" spans="1:23" x14ac:dyDescent="0.25">
      <c r="A1637" s="1" t="s">
        <v>31</v>
      </c>
      <c r="B1637" s="1"/>
      <c r="C1637" s="1" t="s">
        <v>157</v>
      </c>
      <c r="D1637">
        <v>10324</v>
      </c>
      <c r="E1637" s="1"/>
      <c r="F1637" s="1" t="s">
        <v>289</v>
      </c>
      <c r="G1637">
        <v>2013</v>
      </c>
      <c r="H1637">
        <v>793.62</v>
      </c>
      <c r="I1637">
        <v>12</v>
      </c>
      <c r="J1637" s="1"/>
      <c r="K1637">
        <v>0</v>
      </c>
      <c r="L1637">
        <v>2027</v>
      </c>
      <c r="M1637">
        <v>0.39150499999999999</v>
      </c>
      <c r="N1637">
        <v>3</v>
      </c>
      <c r="O1637" s="1" t="s">
        <v>560</v>
      </c>
      <c r="P1637">
        <v>793.62</v>
      </c>
      <c r="Q1637">
        <v>634.9</v>
      </c>
      <c r="R1637">
        <v>0</v>
      </c>
      <c r="S1637" s="1"/>
      <c r="T1637" s="1"/>
      <c r="U1637">
        <v>793.61500000000001</v>
      </c>
      <c r="V1637">
        <v>0</v>
      </c>
      <c r="W1637">
        <v>77833</v>
      </c>
    </row>
    <row r="1638" spans="1:23" x14ac:dyDescent="0.25">
      <c r="A1638" s="1" t="s">
        <v>31</v>
      </c>
      <c r="B1638" s="1"/>
      <c r="C1638" s="1" t="s">
        <v>157</v>
      </c>
      <c r="D1638">
        <v>10324</v>
      </c>
      <c r="E1638" s="1"/>
      <c r="F1638" s="1" t="s">
        <v>289</v>
      </c>
      <c r="G1638">
        <v>2013</v>
      </c>
      <c r="H1638">
        <v>179.61</v>
      </c>
      <c r="I1638">
        <v>11</v>
      </c>
      <c r="J1638" s="1" t="s">
        <v>421</v>
      </c>
      <c r="K1638">
        <v>0</v>
      </c>
      <c r="L1638">
        <v>2027</v>
      </c>
      <c r="M1638">
        <v>8.8604000000000002E-2</v>
      </c>
      <c r="N1638">
        <v>3</v>
      </c>
      <c r="O1638" s="1" t="s">
        <v>560</v>
      </c>
      <c r="P1638">
        <v>179.61</v>
      </c>
      <c r="Q1638">
        <v>143.69999999999999</v>
      </c>
      <c r="R1638">
        <v>1</v>
      </c>
      <c r="S1638" s="1" t="s">
        <v>631</v>
      </c>
      <c r="T1638" s="1"/>
      <c r="U1638">
        <v>179.61428000000001</v>
      </c>
      <c r="V1638">
        <v>0</v>
      </c>
      <c r="W1638">
        <v>79476</v>
      </c>
    </row>
    <row r="1639" spans="1:23" x14ac:dyDescent="0.25">
      <c r="A1639" s="1" t="s">
        <v>31</v>
      </c>
      <c r="B1639" s="1"/>
      <c r="C1639" s="1" t="s">
        <v>157</v>
      </c>
      <c r="D1639">
        <v>10324</v>
      </c>
      <c r="E1639" s="1"/>
      <c r="F1639" s="1" t="s">
        <v>289</v>
      </c>
      <c r="G1639">
        <v>2012</v>
      </c>
      <c r="H1639">
        <v>1000.6</v>
      </c>
      <c r="I1639">
        <v>12</v>
      </c>
      <c r="J1639" s="1"/>
      <c r="K1639">
        <v>0</v>
      </c>
      <c r="L1639">
        <v>2027</v>
      </c>
      <c r="M1639">
        <v>0.49361100000000002</v>
      </c>
      <c r="N1639">
        <v>3</v>
      </c>
      <c r="O1639" s="1" t="s">
        <v>560</v>
      </c>
      <c r="P1639">
        <v>1000.6</v>
      </c>
      <c r="Q1639">
        <v>800.49</v>
      </c>
      <c r="R1639">
        <v>0</v>
      </c>
      <c r="S1639" s="1"/>
      <c r="T1639" s="1"/>
      <c r="U1639">
        <v>1000.616</v>
      </c>
      <c r="V1639">
        <v>0</v>
      </c>
      <c r="W1639">
        <v>77833</v>
      </c>
    </row>
    <row r="1640" spans="1:23" x14ac:dyDescent="0.25">
      <c r="A1640" s="1" t="s">
        <v>31</v>
      </c>
      <c r="B1640" s="1"/>
      <c r="C1640" s="1" t="s">
        <v>157</v>
      </c>
      <c r="D1640">
        <v>10324</v>
      </c>
      <c r="E1640" s="1"/>
      <c r="F1640" s="1" t="s">
        <v>289</v>
      </c>
      <c r="G1640">
        <v>2012</v>
      </c>
      <c r="H1640">
        <v>183.5</v>
      </c>
      <c r="I1640">
        <v>7</v>
      </c>
      <c r="J1640" s="1" t="s">
        <v>421</v>
      </c>
      <c r="K1640">
        <v>0</v>
      </c>
      <c r="L1640">
        <v>2027</v>
      </c>
      <c r="M1640">
        <v>9.0523000000000006E-2</v>
      </c>
      <c r="N1640">
        <v>3</v>
      </c>
      <c r="O1640" s="1" t="s">
        <v>560</v>
      </c>
      <c r="P1640">
        <v>183.5</v>
      </c>
      <c r="Q1640">
        <v>146.79</v>
      </c>
      <c r="R1640">
        <v>1</v>
      </c>
      <c r="S1640" s="1" t="s">
        <v>631</v>
      </c>
      <c r="T1640" s="1"/>
      <c r="U1640">
        <v>183.50001</v>
      </c>
      <c r="V1640">
        <v>0</v>
      </c>
      <c r="W1640">
        <v>79476</v>
      </c>
    </row>
    <row r="1641" spans="1:23" x14ac:dyDescent="0.25">
      <c r="A1641" s="1" t="s">
        <v>31</v>
      </c>
      <c r="B1641" s="1"/>
      <c r="C1641" s="1" t="s">
        <v>157</v>
      </c>
      <c r="D1641">
        <v>10324</v>
      </c>
      <c r="E1641" s="1"/>
      <c r="F1641" s="1" t="s">
        <v>289</v>
      </c>
      <c r="G1641">
        <v>2011</v>
      </c>
      <c r="H1641">
        <v>955.94</v>
      </c>
      <c r="I1641">
        <v>12</v>
      </c>
      <c r="J1641" s="1"/>
      <c r="K1641">
        <v>0</v>
      </c>
      <c r="L1641">
        <v>2027</v>
      </c>
      <c r="M1641">
        <v>0.47158</v>
      </c>
      <c r="N1641">
        <v>3</v>
      </c>
      <c r="O1641" s="1" t="s">
        <v>560</v>
      </c>
      <c r="P1641">
        <v>955.94</v>
      </c>
      <c r="Q1641">
        <v>764.74</v>
      </c>
      <c r="R1641">
        <v>0</v>
      </c>
      <c r="S1641" s="1"/>
      <c r="T1641" s="1"/>
      <c r="U1641">
        <v>955.93799999999999</v>
      </c>
      <c r="V1641">
        <v>0</v>
      </c>
      <c r="W1641">
        <v>77833</v>
      </c>
    </row>
    <row r="1642" spans="1:23" x14ac:dyDescent="0.25">
      <c r="A1642" s="1" t="s">
        <v>31</v>
      </c>
      <c r="B1642" s="1"/>
      <c r="C1642" s="1" t="s">
        <v>157</v>
      </c>
      <c r="D1642">
        <v>10324</v>
      </c>
      <c r="E1642" s="1"/>
      <c r="F1642" s="1" t="s">
        <v>289</v>
      </c>
      <c r="G1642">
        <v>2011</v>
      </c>
      <c r="H1642">
        <v>191.57</v>
      </c>
      <c r="I1642">
        <v>5</v>
      </c>
      <c r="J1642" s="1" t="s">
        <v>421</v>
      </c>
      <c r="K1642">
        <v>0</v>
      </c>
      <c r="L1642">
        <v>2027</v>
      </c>
      <c r="M1642">
        <v>9.4504000000000005E-2</v>
      </c>
      <c r="N1642">
        <v>3</v>
      </c>
      <c r="O1642" s="1" t="s">
        <v>560</v>
      </c>
      <c r="P1642">
        <v>191.57</v>
      </c>
      <c r="Q1642">
        <v>153.26</v>
      </c>
      <c r="R1642">
        <v>1</v>
      </c>
      <c r="S1642" s="1" t="s">
        <v>631</v>
      </c>
      <c r="T1642" s="1"/>
      <c r="U1642">
        <v>191.56818999999999</v>
      </c>
      <c r="V1642">
        <v>0</v>
      </c>
      <c r="W1642">
        <v>79476</v>
      </c>
    </row>
    <row r="1643" spans="1:23" x14ac:dyDescent="0.25">
      <c r="A1643" s="1" t="s">
        <v>31</v>
      </c>
      <c r="B1643" s="1"/>
      <c r="C1643" s="1" t="s">
        <v>157</v>
      </c>
      <c r="D1643">
        <v>10324</v>
      </c>
      <c r="E1643" s="1"/>
      <c r="F1643" s="1" t="s">
        <v>289</v>
      </c>
      <c r="G1643">
        <v>2010</v>
      </c>
      <c r="H1643">
        <v>1002.09</v>
      </c>
      <c r="I1643">
        <v>12</v>
      </c>
      <c r="J1643" s="1"/>
      <c r="K1643">
        <v>0</v>
      </c>
      <c r="L1643">
        <v>2027</v>
      </c>
      <c r="M1643">
        <v>0.49434600000000001</v>
      </c>
      <c r="N1643">
        <v>3</v>
      </c>
      <c r="O1643" s="1" t="s">
        <v>560</v>
      </c>
      <c r="P1643">
        <v>1002.09</v>
      </c>
      <c r="Q1643">
        <v>801.7</v>
      </c>
      <c r="R1643">
        <v>0</v>
      </c>
      <c r="S1643" s="1"/>
      <c r="T1643" s="1"/>
      <c r="U1643">
        <v>1002.097</v>
      </c>
      <c r="V1643">
        <v>0</v>
      </c>
      <c r="W1643">
        <v>77833</v>
      </c>
    </row>
    <row r="1644" spans="1:23" x14ac:dyDescent="0.25">
      <c r="A1644" s="1" t="s">
        <v>31</v>
      </c>
      <c r="B1644" s="1"/>
      <c r="C1644" s="1" t="s">
        <v>157</v>
      </c>
      <c r="D1644">
        <v>10324</v>
      </c>
      <c r="E1644" s="1"/>
      <c r="F1644" s="1" t="s">
        <v>289</v>
      </c>
      <c r="G1644">
        <v>2010</v>
      </c>
      <c r="H1644">
        <v>347.29</v>
      </c>
      <c r="I1644">
        <v>3</v>
      </c>
      <c r="J1644" s="1" t="s">
        <v>421</v>
      </c>
      <c r="K1644">
        <v>0</v>
      </c>
      <c r="L1644">
        <v>2027</v>
      </c>
      <c r="M1644">
        <v>0.171323</v>
      </c>
      <c r="N1644">
        <v>3</v>
      </c>
      <c r="O1644" s="1" t="s">
        <v>560</v>
      </c>
      <c r="P1644">
        <v>347.29</v>
      </c>
      <c r="Q1644">
        <v>277.81</v>
      </c>
      <c r="R1644">
        <v>1</v>
      </c>
      <c r="S1644" s="1" t="s">
        <v>631</v>
      </c>
      <c r="T1644" s="1"/>
      <c r="U1644">
        <v>347.28356000000002</v>
      </c>
      <c r="V1644">
        <v>0</v>
      </c>
      <c r="W1644">
        <v>79476</v>
      </c>
    </row>
    <row r="1645" spans="1:23" x14ac:dyDescent="0.25">
      <c r="A1645" s="1" t="s">
        <v>31</v>
      </c>
      <c r="B1645" s="1"/>
      <c r="C1645" s="1" t="s">
        <v>157</v>
      </c>
      <c r="D1645">
        <v>10324</v>
      </c>
      <c r="E1645" s="1"/>
      <c r="F1645" s="1" t="s">
        <v>289</v>
      </c>
      <c r="G1645">
        <v>2009</v>
      </c>
      <c r="H1645">
        <v>1249.68</v>
      </c>
      <c r="I1645">
        <v>12</v>
      </c>
      <c r="J1645" s="1"/>
      <c r="K1645">
        <v>0</v>
      </c>
      <c r="L1645">
        <v>2027</v>
      </c>
      <c r="M1645">
        <v>0.61648599999999998</v>
      </c>
      <c r="N1645">
        <v>3</v>
      </c>
      <c r="O1645" s="1" t="s">
        <v>560</v>
      </c>
      <c r="P1645">
        <v>1249.68</v>
      </c>
      <c r="Q1645">
        <v>999.75</v>
      </c>
      <c r="R1645">
        <v>0</v>
      </c>
      <c r="S1645" s="1"/>
      <c r="T1645" s="1"/>
      <c r="U1645">
        <v>1249.6790000000001</v>
      </c>
      <c r="V1645">
        <v>0</v>
      </c>
      <c r="W1645">
        <v>77833</v>
      </c>
    </row>
    <row r="1646" spans="1:23" x14ac:dyDescent="0.25">
      <c r="A1646" s="1" t="s">
        <v>31</v>
      </c>
      <c r="B1646" s="1"/>
      <c r="C1646" s="1" t="s">
        <v>157</v>
      </c>
      <c r="D1646">
        <v>10324</v>
      </c>
      <c r="E1646" s="1"/>
      <c r="F1646" s="1" t="s">
        <v>289</v>
      </c>
      <c r="G1646">
        <v>2009</v>
      </c>
      <c r="H1646">
        <v>347.6</v>
      </c>
      <c r="I1646">
        <v>2</v>
      </c>
      <c r="J1646" s="1" t="s">
        <v>421</v>
      </c>
      <c r="K1646">
        <v>0</v>
      </c>
      <c r="L1646">
        <v>2027</v>
      </c>
      <c r="M1646">
        <v>0.17147599999999999</v>
      </c>
      <c r="N1646">
        <v>3</v>
      </c>
      <c r="O1646" s="1" t="s">
        <v>560</v>
      </c>
      <c r="P1646">
        <v>347.6</v>
      </c>
      <c r="Q1646">
        <v>278.06</v>
      </c>
      <c r="R1646">
        <v>1</v>
      </c>
      <c r="S1646" s="1" t="s">
        <v>631</v>
      </c>
      <c r="T1646" s="1"/>
      <c r="U1646">
        <v>347.60160999999999</v>
      </c>
      <c r="V1646">
        <v>0</v>
      </c>
      <c r="W1646">
        <v>79476</v>
      </c>
    </row>
    <row r="1647" spans="1:23" x14ac:dyDescent="0.25">
      <c r="A1647" s="1" t="s">
        <v>31</v>
      </c>
      <c r="B1647" s="1"/>
      <c r="C1647" s="1" t="s">
        <v>157</v>
      </c>
      <c r="D1647">
        <v>10324</v>
      </c>
      <c r="E1647" s="1"/>
      <c r="F1647" s="1" t="s">
        <v>289</v>
      </c>
      <c r="G1647">
        <v>2008</v>
      </c>
      <c r="H1647">
        <v>885.12</v>
      </c>
      <c r="I1647">
        <v>12</v>
      </c>
      <c r="J1647" s="1"/>
      <c r="K1647">
        <v>0</v>
      </c>
      <c r="L1647">
        <v>2027</v>
      </c>
      <c r="M1647">
        <v>0.436643</v>
      </c>
      <c r="N1647">
        <v>3</v>
      </c>
      <c r="O1647" s="1" t="s">
        <v>560</v>
      </c>
      <c r="P1647">
        <v>885.12</v>
      </c>
      <c r="Q1647">
        <v>708.08</v>
      </c>
      <c r="R1647">
        <v>0</v>
      </c>
      <c r="S1647" s="1"/>
      <c r="T1647" s="1"/>
      <c r="U1647">
        <v>885.11</v>
      </c>
      <c r="V1647">
        <v>0</v>
      </c>
      <c r="W1647">
        <v>77833</v>
      </c>
    </row>
    <row r="1648" spans="1:23" x14ac:dyDescent="0.25">
      <c r="A1648" s="1" t="s">
        <v>31</v>
      </c>
      <c r="B1648" s="1"/>
      <c r="C1648" s="1" t="s">
        <v>157</v>
      </c>
      <c r="D1648">
        <v>10324</v>
      </c>
      <c r="E1648" s="1"/>
      <c r="F1648" s="1" t="s">
        <v>289</v>
      </c>
      <c r="G1648">
        <v>2008</v>
      </c>
      <c r="H1648">
        <v>191.35</v>
      </c>
      <c r="I1648">
        <v>2</v>
      </c>
      <c r="J1648" s="1" t="s">
        <v>430</v>
      </c>
      <c r="K1648">
        <v>0</v>
      </c>
      <c r="L1648">
        <v>2027</v>
      </c>
      <c r="M1648">
        <v>9.4395000000000007E-2</v>
      </c>
      <c r="N1648">
        <v>3</v>
      </c>
      <c r="O1648" s="1" t="s">
        <v>560</v>
      </c>
      <c r="P1648">
        <v>191.35</v>
      </c>
      <c r="Q1648">
        <v>153.08000000000001</v>
      </c>
      <c r="R1648">
        <v>0</v>
      </c>
      <c r="S1648" s="1" t="s">
        <v>632</v>
      </c>
      <c r="T1648" s="1"/>
      <c r="U1648">
        <v>191.35484</v>
      </c>
      <c r="V1648">
        <v>0</v>
      </c>
      <c r="W1648">
        <v>77897</v>
      </c>
    </row>
    <row r="1649" spans="1:23" x14ac:dyDescent="0.25">
      <c r="A1649" s="1" t="s">
        <v>31</v>
      </c>
      <c r="B1649" s="1"/>
      <c r="C1649" s="1" t="s">
        <v>157</v>
      </c>
      <c r="D1649">
        <v>10324</v>
      </c>
      <c r="E1649" s="1"/>
      <c r="F1649" s="1" t="s">
        <v>289</v>
      </c>
      <c r="G1649">
        <v>2008</v>
      </c>
      <c r="H1649">
        <v>242.81</v>
      </c>
      <c r="I1649">
        <v>7</v>
      </c>
      <c r="J1649" s="1" t="s">
        <v>421</v>
      </c>
      <c r="K1649">
        <v>0</v>
      </c>
      <c r="L1649">
        <v>2027</v>
      </c>
      <c r="M1649">
        <v>0.119781</v>
      </c>
      <c r="N1649">
        <v>3</v>
      </c>
      <c r="O1649" s="1" t="s">
        <v>560</v>
      </c>
      <c r="P1649">
        <v>242.81</v>
      </c>
      <c r="Q1649">
        <v>194.25</v>
      </c>
      <c r="R1649">
        <v>1</v>
      </c>
      <c r="S1649" s="1" t="s">
        <v>631</v>
      </c>
      <c r="T1649" s="1"/>
      <c r="U1649">
        <v>242.80473000000001</v>
      </c>
      <c r="V1649">
        <v>0</v>
      </c>
      <c r="W1649">
        <v>79476</v>
      </c>
    </row>
    <row r="1650" spans="1:23" x14ac:dyDescent="0.25">
      <c r="A1650" s="1" t="s">
        <v>31</v>
      </c>
      <c r="B1650" s="1"/>
      <c r="C1650" s="1" t="s">
        <v>158</v>
      </c>
      <c r="D1650">
        <v>9521</v>
      </c>
      <c r="E1650" s="1"/>
      <c r="F1650" s="1" t="s">
        <v>290</v>
      </c>
      <c r="G1650">
        <v>2015</v>
      </c>
      <c r="H1650">
        <v>255.69</v>
      </c>
      <c r="I1650">
        <v>5</v>
      </c>
      <c r="J1650" s="1"/>
      <c r="K1650">
        <v>0</v>
      </c>
      <c r="L1650">
        <v>2433</v>
      </c>
      <c r="M1650">
        <v>0.105088</v>
      </c>
      <c r="N1650">
        <v>3</v>
      </c>
      <c r="O1650" s="1" t="s">
        <v>560</v>
      </c>
      <c r="P1650">
        <v>255.69</v>
      </c>
      <c r="Q1650">
        <v>204.56</v>
      </c>
      <c r="R1650">
        <v>0</v>
      </c>
      <c r="S1650" s="1" t="s">
        <v>633</v>
      </c>
      <c r="T1650" s="1"/>
      <c r="U1650">
        <v>255.69499999999999</v>
      </c>
      <c r="V1650">
        <v>0</v>
      </c>
      <c r="W1650">
        <v>74442</v>
      </c>
    </row>
    <row r="1651" spans="1:23" x14ac:dyDescent="0.25">
      <c r="A1651" s="1" t="s">
        <v>31</v>
      </c>
      <c r="B1651" s="1"/>
      <c r="C1651" s="1" t="s">
        <v>158</v>
      </c>
      <c r="D1651">
        <v>9521</v>
      </c>
      <c r="E1651" s="1"/>
      <c r="F1651" s="1" t="s">
        <v>290</v>
      </c>
      <c r="G1651">
        <v>2015</v>
      </c>
      <c r="H1651">
        <v>96.4</v>
      </c>
      <c r="I1651">
        <v>5</v>
      </c>
      <c r="J1651" s="1"/>
      <c r="K1651">
        <v>0</v>
      </c>
      <c r="L1651">
        <v>2433</v>
      </c>
      <c r="M1651">
        <v>3.9620000000000002E-2</v>
      </c>
      <c r="N1651">
        <v>3</v>
      </c>
      <c r="O1651" s="1" t="s">
        <v>560</v>
      </c>
      <c r="P1651">
        <v>96.4</v>
      </c>
      <c r="Q1651">
        <v>0</v>
      </c>
      <c r="R1651">
        <v>1</v>
      </c>
      <c r="S1651" s="1" t="s">
        <v>634</v>
      </c>
      <c r="T1651" s="1"/>
      <c r="U1651">
        <v>96.397999999999996</v>
      </c>
      <c r="V1651">
        <v>0</v>
      </c>
      <c r="W1651">
        <v>74444</v>
      </c>
    </row>
    <row r="1652" spans="1:23" x14ac:dyDescent="0.25">
      <c r="A1652" s="1" t="s">
        <v>31</v>
      </c>
      <c r="B1652" s="1"/>
      <c r="C1652" s="1" t="s">
        <v>158</v>
      </c>
      <c r="D1652">
        <v>9521</v>
      </c>
      <c r="E1652" s="1"/>
      <c r="F1652" s="1" t="s">
        <v>290</v>
      </c>
      <c r="G1652">
        <v>2014</v>
      </c>
      <c r="H1652">
        <v>554.64</v>
      </c>
      <c r="I1652">
        <v>12</v>
      </c>
      <c r="J1652" s="1"/>
      <c r="K1652">
        <v>0</v>
      </c>
      <c r="L1652">
        <v>2433</v>
      </c>
      <c r="M1652">
        <v>0.22795599999999999</v>
      </c>
      <c r="N1652">
        <v>3</v>
      </c>
      <c r="O1652" s="1" t="s">
        <v>560</v>
      </c>
      <c r="P1652">
        <v>554.64</v>
      </c>
      <c r="Q1652">
        <v>443.7</v>
      </c>
      <c r="R1652">
        <v>0</v>
      </c>
      <c r="S1652" s="1" t="s">
        <v>633</v>
      </c>
      <c r="T1652" s="1"/>
      <c r="U1652">
        <v>554.62400000000002</v>
      </c>
      <c r="V1652">
        <v>0</v>
      </c>
      <c r="W1652">
        <v>74442</v>
      </c>
    </row>
    <row r="1653" spans="1:23" x14ac:dyDescent="0.25">
      <c r="A1653" s="1" t="s">
        <v>31</v>
      </c>
      <c r="B1653" s="1"/>
      <c r="C1653" s="1" t="s">
        <v>158</v>
      </c>
      <c r="D1653">
        <v>9521</v>
      </c>
      <c r="E1653" s="1"/>
      <c r="F1653" s="1" t="s">
        <v>290</v>
      </c>
      <c r="G1653">
        <v>2014</v>
      </c>
      <c r="H1653">
        <v>184.52</v>
      </c>
      <c r="I1653">
        <v>12</v>
      </c>
      <c r="J1653" s="1"/>
      <c r="K1653">
        <v>0</v>
      </c>
      <c r="L1653">
        <v>2433</v>
      </c>
      <c r="M1653">
        <v>7.5837000000000002E-2</v>
      </c>
      <c r="N1653">
        <v>3</v>
      </c>
      <c r="O1653" s="1" t="s">
        <v>560</v>
      </c>
      <c r="P1653">
        <v>184.52</v>
      </c>
      <c r="Q1653">
        <v>0</v>
      </c>
      <c r="R1653">
        <v>1</v>
      </c>
      <c r="S1653" s="1" t="s">
        <v>634</v>
      </c>
      <c r="T1653" s="1"/>
      <c r="U1653">
        <v>184.52</v>
      </c>
      <c r="V1653">
        <v>0</v>
      </c>
      <c r="W1653">
        <v>74444</v>
      </c>
    </row>
    <row r="1654" spans="1:23" x14ac:dyDescent="0.25">
      <c r="A1654" s="1" t="s">
        <v>31</v>
      </c>
      <c r="B1654" s="1"/>
      <c r="C1654" s="1" t="s">
        <v>158</v>
      </c>
      <c r="D1654">
        <v>9521</v>
      </c>
      <c r="E1654" s="1"/>
      <c r="F1654" s="1" t="s">
        <v>290</v>
      </c>
      <c r="G1654">
        <v>2013</v>
      </c>
      <c r="H1654">
        <v>692.92</v>
      </c>
      <c r="I1654">
        <v>12</v>
      </c>
      <c r="J1654" s="1"/>
      <c r="K1654">
        <v>0</v>
      </c>
      <c r="L1654">
        <v>2433</v>
      </c>
      <c r="M1654">
        <v>0.28478799999999999</v>
      </c>
      <c r="N1654">
        <v>3</v>
      </c>
      <c r="O1654" s="1" t="s">
        <v>560</v>
      </c>
      <c r="P1654">
        <v>692.92</v>
      </c>
      <c r="Q1654">
        <v>554.35</v>
      </c>
      <c r="R1654">
        <v>0</v>
      </c>
      <c r="S1654" s="1" t="s">
        <v>633</v>
      </c>
      <c r="T1654" s="1"/>
      <c r="U1654">
        <v>692.93</v>
      </c>
      <c r="V1654">
        <v>0</v>
      </c>
      <c r="W1654">
        <v>74442</v>
      </c>
    </row>
    <row r="1655" spans="1:23" x14ac:dyDescent="0.25">
      <c r="A1655" s="1" t="s">
        <v>31</v>
      </c>
      <c r="B1655" s="1"/>
      <c r="C1655" s="1" t="s">
        <v>158</v>
      </c>
      <c r="D1655">
        <v>9521</v>
      </c>
      <c r="E1655" s="1"/>
      <c r="F1655" s="1" t="s">
        <v>290</v>
      </c>
      <c r="G1655">
        <v>2013</v>
      </c>
      <c r="H1655">
        <v>218.05</v>
      </c>
      <c r="I1655">
        <v>12</v>
      </c>
      <c r="J1655" s="1"/>
      <c r="K1655">
        <v>0</v>
      </c>
      <c r="L1655">
        <v>2433</v>
      </c>
      <c r="M1655">
        <v>8.9618000000000003E-2</v>
      </c>
      <c r="N1655">
        <v>3</v>
      </c>
      <c r="O1655" s="1" t="s">
        <v>560</v>
      </c>
      <c r="P1655">
        <v>218.05</v>
      </c>
      <c r="Q1655">
        <v>0</v>
      </c>
      <c r="R1655">
        <v>1</v>
      </c>
      <c r="S1655" s="1" t="s">
        <v>634</v>
      </c>
      <c r="T1655" s="1"/>
      <c r="U1655">
        <v>218.05099999999999</v>
      </c>
      <c r="V1655">
        <v>0</v>
      </c>
      <c r="W1655">
        <v>74444</v>
      </c>
    </row>
    <row r="1656" spans="1:23" x14ac:dyDescent="0.25">
      <c r="A1656" s="1" t="s">
        <v>31</v>
      </c>
      <c r="B1656" s="1"/>
      <c r="C1656" s="1" t="s">
        <v>158</v>
      </c>
      <c r="D1656">
        <v>9521</v>
      </c>
      <c r="E1656" s="1"/>
      <c r="F1656" s="1" t="s">
        <v>290</v>
      </c>
      <c r="G1656">
        <v>2012</v>
      </c>
      <c r="H1656">
        <v>599.14</v>
      </c>
      <c r="I1656">
        <v>12</v>
      </c>
      <c r="J1656" s="1"/>
      <c r="K1656">
        <v>0</v>
      </c>
      <c r="L1656">
        <v>2433</v>
      </c>
      <c r="M1656">
        <v>0.24624499999999999</v>
      </c>
      <c r="N1656">
        <v>3</v>
      </c>
      <c r="O1656" s="1" t="s">
        <v>560</v>
      </c>
      <c r="P1656">
        <v>599.14</v>
      </c>
      <c r="Q1656">
        <v>479.31</v>
      </c>
      <c r="R1656">
        <v>0</v>
      </c>
      <c r="S1656" s="1" t="s">
        <v>633</v>
      </c>
      <c r="T1656" s="1"/>
      <c r="U1656">
        <v>599.14499999999998</v>
      </c>
      <c r="V1656">
        <v>0</v>
      </c>
      <c r="W1656">
        <v>74442</v>
      </c>
    </row>
    <row r="1657" spans="1:23" x14ac:dyDescent="0.25">
      <c r="A1657" s="1" t="s">
        <v>31</v>
      </c>
      <c r="B1657" s="1"/>
      <c r="C1657" s="1" t="s">
        <v>158</v>
      </c>
      <c r="D1657">
        <v>9521</v>
      </c>
      <c r="E1657" s="1"/>
      <c r="F1657" s="1" t="s">
        <v>290</v>
      </c>
      <c r="G1657">
        <v>2012</v>
      </c>
      <c r="H1657">
        <v>164.39</v>
      </c>
      <c r="I1657">
        <v>12</v>
      </c>
      <c r="J1657" s="1"/>
      <c r="K1657">
        <v>0</v>
      </c>
      <c r="L1657">
        <v>2433</v>
      </c>
      <c r="M1657">
        <v>6.7563999999999999E-2</v>
      </c>
      <c r="N1657">
        <v>3</v>
      </c>
      <c r="O1657" s="1" t="s">
        <v>560</v>
      </c>
      <c r="P1657">
        <v>164.39</v>
      </c>
      <c r="Q1657">
        <v>0</v>
      </c>
      <c r="R1657">
        <v>1</v>
      </c>
      <c r="S1657" s="1" t="s">
        <v>634</v>
      </c>
      <c r="T1657" s="1"/>
      <c r="U1657">
        <v>164.39500000000001</v>
      </c>
      <c r="V1657">
        <v>0</v>
      </c>
      <c r="W1657">
        <v>74444</v>
      </c>
    </row>
    <row r="1658" spans="1:23" x14ac:dyDescent="0.25">
      <c r="A1658" s="1" t="s">
        <v>31</v>
      </c>
      <c r="B1658" s="1"/>
      <c r="C1658" s="1" t="s">
        <v>158</v>
      </c>
      <c r="D1658">
        <v>9521</v>
      </c>
      <c r="E1658" s="1"/>
      <c r="F1658" s="1" t="s">
        <v>290</v>
      </c>
      <c r="G1658">
        <v>2011</v>
      </c>
      <c r="H1658">
        <v>478.62</v>
      </c>
      <c r="I1658">
        <v>12</v>
      </c>
      <c r="J1658" s="1"/>
      <c r="K1658">
        <v>0</v>
      </c>
      <c r="L1658">
        <v>2433</v>
      </c>
      <c r="M1658">
        <v>0.196712</v>
      </c>
      <c r="N1658">
        <v>3</v>
      </c>
      <c r="O1658" s="1" t="s">
        <v>560</v>
      </c>
      <c r="P1658">
        <v>478.62</v>
      </c>
      <c r="Q1658">
        <v>382.89</v>
      </c>
      <c r="R1658">
        <v>0</v>
      </c>
      <c r="S1658" s="1" t="s">
        <v>633</v>
      </c>
      <c r="T1658" s="1"/>
      <c r="U1658">
        <v>478.61399999999998</v>
      </c>
      <c r="V1658">
        <v>0</v>
      </c>
      <c r="W1658">
        <v>74442</v>
      </c>
    </row>
    <row r="1659" spans="1:23" x14ac:dyDescent="0.25">
      <c r="A1659" s="1" t="s">
        <v>31</v>
      </c>
      <c r="B1659" s="1"/>
      <c r="C1659" s="1" t="s">
        <v>158</v>
      </c>
      <c r="D1659">
        <v>9521</v>
      </c>
      <c r="E1659" s="1"/>
      <c r="F1659" s="1" t="s">
        <v>290</v>
      </c>
      <c r="G1659">
        <v>2011</v>
      </c>
      <c r="H1659">
        <v>167.78</v>
      </c>
      <c r="I1659">
        <v>12</v>
      </c>
      <c r="J1659" s="1"/>
      <c r="K1659">
        <v>0</v>
      </c>
      <c r="L1659">
        <v>2433</v>
      </c>
      <c r="M1659">
        <v>6.8957000000000004E-2</v>
      </c>
      <c r="N1659">
        <v>3</v>
      </c>
      <c r="O1659" s="1" t="s">
        <v>560</v>
      </c>
      <c r="P1659">
        <v>167.78</v>
      </c>
      <c r="Q1659">
        <v>0</v>
      </c>
      <c r="R1659">
        <v>1</v>
      </c>
      <c r="S1659" s="1" t="s">
        <v>634</v>
      </c>
      <c r="T1659" s="1"/>
      <c r="U1659">
        <v>167.78700000000001</v>
      </c>
      <c r="V1659">
        <v>0</v>
      </c>
      <c r="W1659">
        <v>74444</v>
      </c>
    </row>
    <row r="1660" spans="1:23" x14ac:dyDescent="0.25">
      <c r="A1660" s="1" t="s">
        <v>31</v>
      </c>
      <c r="B1660" s="1"/>
      <c r="C1660" s="1" t="s">
        <v>158</v>
      </c>
      <c r="D1660">
        <v>9521</v>
      </c>
      <c r="E1660" s="1"/>
      <c r="F1660" s="1" t="s">
        <v>290</v>
      </c>
      <c r="G1660">
        <v>2010</v>
      </c>
      <c r="H1660">
        <v>794.35</v>
      </c>
      <c r="I1660">
        <v>12</v>
      </c>
      <c r="J1660" s="1"/>
      <c r="K1660">
        <v>0</v>
      </c>
      <c r="L1660">
        <v>2433</v>
      </c>
      <c r="M1660">
        <v>0.32647599999999999</v>
      </c>
      <c r="N1660">
        <v>3</v>
      </c>
      <c r="O1660" s="1" t="s">
        <v>560</v>
      </c>
      <c r="P1660">
        <v>794.35</v>
      </c>
      <c r="Q1660">
        <v>635.48</v>
      </c>
      <c r="R1660">
        <v>0</v>
      </c>
      <c r="S1660" s="1" t="s">
        <v>633</v>
      </c>
      <c r="T1660" s="1"/>
      <c r="U1660">
        <v>794.34900000000005</v>
      </c>
      <c r="V1660">
        <v>0</v>
      </c>
      <c r="W1660">
        <v>74442</v>
      </c>
    </row>
    <row r="1661" spans="1:23" x14ac:dyDescent="0.25">
      <c r="A1661" s="1" t="s">
        <v>31</v>
      </c>
      <c r="B1661" s="1"/>
      <c r="C1661" s="1" t="s">
        <v>158</v>
      </c>
      <c r="D1661">
        <v>9521</v>
      </c>
      <c r="E1661" s="1"/>
      <c r="F1661" s="1" t="s">
        <v>290</v>
      </c>
      <c r="G1661">
        <v>2010</v>
      </c>
      <c r="H1661">
        <v>240.54</v>
      </c>
      <c r="I1661">
        <v>12</v>
      </c>
      <c r="J1661" s="1"/>
      <c r="K1661">
        <v>0</v>
      </c>
      <c r="L1661">
        <v>2433</v>
      </c>
      <c r="M1661">
        <v>9.8861000000000004E-2</v>
      </c>
      <c r="N1661">
        <v>3</v>
      </c>
      <c r="O1661" s="1" t="s">
        <v>560</v>
      </c>
      <c r="P1661">
        <v>240.54</v>
      </c>
      <c r="Q1661">
        <v>0</v>
      </c>
      <c r="R1661">
        <v>1</v>
      </c>
      <c r="S1661" s="1" t="s">
        <v>634</v>
      </c>
      <c r="T1661" s="1"/>
      <c r="U1661">
        <v>240.54</v>
      </c>
      <c r="V1661">
        <v>0</v>
      </c>
      <c r="W1661">
        <v>74444</v>
      </c>
    </row>
    <row r="1662" spans="1:23" x14ac:dyDescent="0.25">
      <c r="A1662" s="1" t="s">
        <v>31</v>
      </c>
      <c r="B1662" s="1"/>
      <c r="C1662" s="1" t="s">
        <v>158</v>
      </c>
      <c r="D1662">
        <v>9521</v>
      </c>
      <c r="E1662" s="1"/>
      <c r="F1662" s="1" t="s">
        <v>290</v>
      </c>
      <c r="G1662">
        <v>2009</v>
      </c>
      <c r="H1662">
        <v>843.44</v>
      </c>
      <c r="I1662">
        <v>12</v>
      </c>
      <c r="J1662" s="1"/>
      <c r="K1662">
        <v>0</v>
      </c>
      <c r="L1662">
        <v>2433</v>
      </c>
      <c r="M1662">
        <v>0.34665200000000002</v>
      </c>
      <c r="N1662">
        <v>3</v>
      </c>
      <c r="O1662" s="1" t="s">
        <v>560</v>
      </c>
      <c r="P1662">
        <v>843.44</v>
      </c>
      <c r="Q1662">
        <v>674.74</v>
      </c>
      <c r="R1662">
        <v>0</v>
      </c>
      <c r="S1662" s="1" t="s">
        <v>633</v>
      </c>
      <c r="T1662" s="1"/>
      <c r="U1662">
        <v>843.42200000000003</v>
      </c>
      <c r="V1662">
        <v>0</v>
      </c>
      <c r="W1662">
        <v>74442</v>
      </c>
    </row>
    <row r="1663" spans="1:23" x14ac:dyDescent="0.25">
      <c r="A1663" s="1" t="s">
        <v>31</v>
      </c>
      <c r="B1663" s="1"/>
      <c r="C1663" s="1" t="s">
        <v>158</v>
      </c>
      <c r="D1663">
        <v>9521</v>
      </c>
      <c r="E1663" s="1"/>
      <c r="F1663" s="1" t="s">
        <v>290</v>
      </c>
      <c r="G1663">
        <v>2009</v>
      </c>
      <c r="H1663">
        <v>289.83999999999997</v>
      </c>
      <c r="I1663">
        <v>12</v>
      </c>
      <c r="J1663" s="1"/>
      <c r="K1663">
        <v>0</v>
      </c>
      <c r="L1663">
        <v>2433</v>
      </c>
      <c r="M1663">
        <v>0.11912300000000001</v>
      </c>
      <c r="N1663">
        <v>3</v>
      </c>
      <c r="O1663" s="1" t="s">
        <v>560</v>
      </c>
      <c r="P1663">
        <v>289.83999999999997</v>
      </c>
      <c r="Q1663">
        <v>0</v>
      </c>
      <c r="R1663">
        <v>1</v>
      </c>
      <c r="S1663" s="1" t="s">
        <v>634</v>
      </c>
      <c r="T1663" s="1"/>
      <c r="U1663">
        <v>289.83699999999999</v>
      </c>
      <c r="V1663">
        <v>0</v>
      </c>
      <c r="W1663">
        <v>74444</v>
      </c>
    </row>
    <row r="1664" spans="1:23" x14ac:dyDescent="0.25">
      <c r="A1664" s="1" t="s">
        <v>31</v>
      </c>
      <c r="B1664" s="1"/>
      <c r="C1664" s="1" t="s">
        <v>158</v>
      </c>
      <c r="D1664">
        <v>9521</v>
      </c>
      <c r="E1664" s="1"/>
      <c r="F1664" s="1" t="s">
        <v>290</v>
      </c>
      <c r="G1664">
        <v>2008</v>
      </c>
      <c r="H1664">
        <v>737.98</v>
      </c>
      <c r="I1664">
        <v>12</v>
      </c>
      <c r="J1664" s="1"/>
      <c r="K1664">
        <v>0</v>
      </c>
      <c r="L1664">
        <v>2433</v>
      </c>
      <c r="M1664">
        <v>0.30330800000000002</v>
      </c>
      <c r="N1664">
        <v>3</v>
      </c>
      <c r="O1664" s="1" t="s">
        <v>560</v>
      </c>
      <c r="P1664">
        <v>737.98</v>
      </c>
      <c r="Q1664">
        <v>590.37</v>
      </c>
      <c r="R1664">
        <v>0</v>
      </c>
      <c r="S1664" s="1" t="s">
        <v>633</v>
      </c>
      <c r="T1664" s="1"/>
      <c r="U1664">
        <v>737.97699999999998</v>
      </c>
      <c r="V1664">
        <v>0</v>
      </c>
      <c r="W1664">
        <v>74442</v>
      </c>
    </row>
    <row r="1665" spans="1:23" x14ac:dyDescent="0.25">
      <c r="A1665" s="1" t="s">
        <v>31</v>
      </c>
      <c r="B1665" s="1"/>
      <c r="C1665" s="1" t="s">
        <v>158</v>
      </c>
      <c r="D1665">
        <v>9521</v>
      </c>
      <c r="E1665" s="1"/>
      <c r="F1665" s="1" t="s">
        <v>290</v>
      </c>
      <c r="G1665">
        <v>2008</v>
      </c>
      <c r="H1665">
        <v>227.88</v>
      </c>
      <c r="I1665">
        <v>12</v>
      </c>
      <c r="J1665" s="1"/>
      <c r="K1665">
        <v>0</v>
      </c>
      <c r="L1665">
        <v>2433</v>
      </c>
      <c r="M1665">
        <v>9.3658000000000005E-2</v>
      </c>
      <c r="N1665">
        <v>3</v>
      </c>
      <c r="O1665" s="1" t="s">
        <v>560</v>
      </c>
      <c r="P1665">
        <v>227.88</v>
      </c>
      <c r="Q1665">
        <v>0</v>
      </c>
      <c r="R1665">
        <v>1</v>
      </c>
      <c r="S1665" s="1" t="s">
        <v>634</v>
      </c>
      <c r="T1665" s="1"/>
      <c r="U1665">
        <v>227.89500000000001</v>
      </c>
      <c r="V1665">
        <v>0</v>
      </c>
      <c r="W1665">
        <v>74444</v>
      </c>
    </row>
    <row r="1666" spans="1:23" x14ac:dyDescent="0.25">
      <c r="A1666" s="1" t="s">
        <v>31</v>
      </c>
      <c r="B1666" s="1"/>
      <c r="C1666" s="1" t="s">
        <v>159</v>
      </c>
      <c r="D1666">
        <v>9523</v>
      </c>
      <c r="E1666" s="1"/>
      <c r="F1666" s="1" t="s">
        <v>291</v>
      </c>
      <c r="G1666">
        <v>2015</v>
      </c>
      <c r="H1666">
        <v>173.06</v>
      </c>
      <c r="I1666">
        <v>5</v>
      </c>
      <c r="J1666" s="1"/>
      <c r="K1666">
        <v>0</v>
      </c>
      <c r="L1666">
        <v>2103</v>
      </c>
      <c r="M1666">
        <v>8.2288E-2</v>
      </c>
      <c r="N1666">
        <v>3</v>
      </c>
      <c r="O1666" s="1" t="s">
        <v>560</v>
      </c>
      <c r="P1666">
        <v>173.06</v>
      </c>
      <c r="Q1666">
        <v>138.44999999999999</v>
      </c>
      <c r="R1666">
        <v>0</v>
      </c>
      <c r="S1666" s="1"/>
      <c r="T1666" s="1"/>
      <c r="U1666">
        <v>173.06</v>
      </c>
      <c r="V1666">
        <v>0</v>
      </c>
      <c r="W1666">
        <v>74452</v>
      </c>
    </row>
    <row r="1667" spans="1:23" x14ac:dyDescent="0.25">
      <c r="A1667" s="1" t="s">
        <v>31</v>
      </c>
      <c r="B1667" s="1"/>
      <c r="C1667" s="1" t="s">
        <v>159</v>
      </c>
      <c r="D1667">
        <v>9523</v>
      </c>
      <c r="E1667" s="1"/>
      <c r="F1667" s="1" t="s">
        <v>291</v>
      </c>
      <c r="G1667">
        <v>2014</v>
      </c>
      <c r="H1667">
        <v>378.95</v>
      </c>
      <c r="I1667">
        <v>12</v>
      </c>
      <c r="J1667" s="1"/>
      <c r="K1667">
        <v>0</v>
      </c>
      <c r="L1667">
        <v>2103</v>
      </c>
      <c r="M1667">
        <v>0.18018600000000001</v>
      </c>
      <c r="N1667">
        <v>3</v>
      </c>
      <c r="O1667" s="1" t="s">
        <v>560</v>
      </c>
      <c r="P1667">
        <v>378.95</v>
      </c>
      <c r="Q1667">
        <v>303.16000000000003</v>
      </c>
      <c r="R1667">
        <v>0</v>
      </c>
      <c r="S1667" s="1"/>
      <c r="T1667" s="1"/>
      <c r="U1667">
        <v>378.94200000000001</v>
      </c>
      <c r="V1667">
        <v>0</v>
      </c>
      <c r="W1667">
        <v>74452</v>
      </c>
    </row>
    <row r="1668" spans="1:23" x14ac:dyDescent="0.25">
      <c r="A1668" s="1" t="s">
        <v>31</v>
      </c>
      <c r="B1668" s="1"/>
      <c r="C1668" s="1" t="s">
        <v>159</v>
      </c>
      <c r="D1668">
        <v>9523</v>
      </c>
      <c r="E1668" s="1"/>
      <c r="F1668" s="1" t="s">
        <v>291</v>
      </c>
      <c r="G1668">
        <v>2013</v>
      </c>
      <c r="H1668">
        <v>420.27</v>
      </c>
      <c r="I1668">
        <v>12</v>
      </c>
      <c r="J1668" s="1"/>
      <c r="K1668">
        <v>0</v>
      </c>
      <c r="L1668">
        <v>2103</v>
      </c>
      <c r="M1668">
        <v>0.19983300000000001</v>
      </c>
      <c r="N1668">
        <v>3</v>
      </c>
      <c r="O1668" s="1" t="s">
        <v>560</v>
      </c>
      <c r="P1668">
        <v>420.27</v>
      </c>
      <c r="Q1668">
        <v>336.21</v>
      </c>
      <c r="R1668">
        <v>0</v>
      </c>
      <c r="S1668" s="1"/>
      <c r="T1668" s="1"/>
      <c r="U1668">
        <v>420.26</v>
      </c>
      <c r="V1668">
        <v>0</v>
      </c>
      <c r="W1668">
        <v>74452</v>
      </c>
    </row>
    <row r="1669" spans="1:23" x14ac:dyDescent="0.25">
      <c r="A1669" s="1" t="s">
        <v>31</v>
      </c>
      <c r="B1669" s="1"/>
      <c r="C1669" s="1" t="s">
        <v>159</v>
      </c>
      <c r="D1669">
        <v>9523</v>
      </c>
      <c r="E1669" s="1"/>
      <c r="F1669" s="1" t="s">
        <v>291</v>
      </c>
      <c r="G1669">
        <v>2012</v>
      </c>
      <c r="H1669">
        <v>512.95000000000005</v>
      </c>
      <c r="I1669">
        <v>12</v>
      </c>
      <c r="J1669" s="1"/>
      <c r="K1669">
        <v>0</v>
      </c>
      <c r="L1669">
        <v>2103</v>
      </c>
      <c r="M1669">
        <v>0.24390100000000001</v>
      </c>
      <c r="N1669">
        <v>3</v>
      </c>
      <c r="O1669" s="1" t="s">
        <v>560</v>
      </c>
      <c r="P1669">
        <v>512.95000000000005</v>
      </c>
      <c r="Q1669">
        <v>410.38</v>
      </c>
      <c r="R1669">
        <v>0</v>
      </c>
      <c r="S1669" s="1"/>
      <c r="T1669" s="1"/>
      <c r="U1669">
        <v>512.94799999999998</v>
      </c>
      <c r="V1669">
        <v>0</v>
      </c>
      <c r="W1669">
        <v>74452</v>
      </c>
    </row>
    <row r="1670" spans="1:23" x14ac:dyDescent="0.25">
      <c r="A1670" s="1" t="s">
        <v>31</v>
      </c>
      <c r="B1670" s="1"/>
      <c r="C1670" s="1" t="s">
        <v>159</v>
      </c>
      <c r="D1670">
        <v>9523</v>
      </c>
      <c r="E1670" s="1"/>
      <c r="F1670" s="1" t="s">
        <v>291</v>
      </c>
      <c r="G1670">
        <v>2011</v>
      </c>
      <c r="H1670">
        <v>441.41</v>
      </c>
      <c r="I1670">
        <v>12</v>
      </c>
      <c r="J1670" s="1"/>
      <c r="K1670">
        <v>0</v>
      </c>
      <c r="L1670">
        <v>2103</v>
      </c>
      <c r="M1670">
        <v>0.20988499999999999</v>
      </c>
      <c r="N1670">
        <v>3</v>
      </c>
      <c r="O1670" s="1" t="s">
        <v>560</v>
      </c>
      <c r="P1670">
        <v>441.41</v>
      </c>
      <c r="Q1670">
        <v>353.13</v>
      </c>
      <c r="R1670">
        <v>0</v>
      </c>
      <c r="S1670" s="1"/>
      <c r="T1670" s="1"/>
      <c r="U1670">
        <v>441.40199999999999</v>
      </c>
      <c r="V1670">
        <v>0</v>
      </c>
      <c r="W1670">
        <v>74452</v>
      </c>
    </row>
    <row r="1671" spans="1:23" x14ac:dyDescent="0.25">
      <c r="A1671" s="1" t="s">
        <v>31</v>
      </c>
      <c r="B1671" s="1"/>
      <c r="C1671" s="1" t="s">
        <v>159</v>
      </c>
      <c r="D1671">
        <v>9523</v>
      </c>
      <c r="E1671" s="1"/>
      <c r="F1671" s="1" t="s">
        <v>291</v>
      </c>
      <c r="G1671">
        <v>2010</v>
      </c>
      <c r="H1671">
        <v>506.84</v>
      </c>
      <c r="I1671">
        <v>12</v>
      </c>
      <c r="J1671" s="1"/>
      <c r="K1671">
        <v>0</v>
      </c>
      <c r="L1671">
        <v>2103</v>
      </c>
      <c r="M1671">
        <v>0.24099599999999999</v>
      </c>
      <c r="N1671">
        <v>3</v>
      </c>
      <c r="O1671" s="1" t="s">
        <v>560</v>
      </c>
      <c r="P1671">
        <v>506.84</v>
      </c>
      <c r="Q1671">
        <v>405.46</v>
      </c>
      <c r="R1671">
        <v>0</v>
      </c>
      <c r="S1671" s="1"/>
      <c r="T1671" s="1"/>
      <c r="U1671">
        <v>506.834</v>
      </c>
      <c r="V1671">
        <v>0</v>
      </c>
      <c r="W1671">
        <v>74452</v>
      </c>
    </row>
    <row r="1672" spans="1:23" x14ac:dyDescent="0.25">
      <c r="A1672" s="1" t="s">
        <v>31</v>
      </c>
      <c r="B1672" s="1"/>
      <c r="C1672" s="1" t="s">
        <v>159</v>
      </c>
      <c r="D1672">
        <v>9523</v>
      </c>
      <c r="E1672" s="1"/>
      <c r="F1672" s="1" t="s">
        <v>291</v>
      </c>
      <c r="G1672">
        <v>2009</v>
      </c>
      <c r="H1672">
        <v>476.32</v>
      </c>
      <c r="I1672">
        <v>12</v>
      </c>
      <c r="J1672" s="1"/>
      <c r="K1672">
        <v>0</v>
      </c>
      <c r="L1672">
        <v>2103</v>
      </c>
      <c r="M1672">
        <v>0.22648399999999999</v>
      </c>
      <c r="N1672">
        <v>3</v>
      </c>
      <c r="O1672" s="1" t="s">
        <v>560</v>
      </c>
      <c r="P1672">
        <v>476.32</v>
      </c>
      <c r="Q1672">
        <v>381.05</v>
      </c>
      <c r="R1672">
        <v>0</v>
      </c>
      <c r="S1672" s="1"/>
      <c r="T1672" s="1"/>
      <c r="U1672">
        <v>476.33199999999999</v>
      </c>
      <c r="V1672">
        <v>0</v>
      </c>
      <c r="W1672">
        <v>74452</v>
      </c>
    </row>
    <row r="1673" spans="1:23" x14ac:dyDescent="0.25">
      <c r="A1673" s="1" t="s">
        <v>31</v>
      </c>
      <c r="B1673" s="1"/>
      <c r="C1673" s="1" t="s">
        <v>159</v>
      </c>
      <c r="D1673">
        <v>9523</v>
      </c>
      <c r="E1673" s="1"/>
      <c r="F1673" s="1" t="s">
        <v>291</v>
      </c>
      <c r="G1673">
        <v>2008</v>
      </c>
      <c r="H1673">
        <v>521.22</v>
      </c>
      <c r="I1673">
        <v>12</v>
      </c>
      <c r="J1673" s="1"/>
      <c r="K1673">
        <v>0</v>
      </c>
      <c r="L1673">
        <v>2103</v>
      </c>
      <c r="M1673">
        <v>0.247834</v>
      </c>
      <c r="N1673">
        <v>3</v>
      </c>
      <c r="O1673" s="1" t="s">
        <v>560</v>
      </c>
      <c r="P1673">
        <v>521.22</v>
      </c>
      <c r="Q1673">
        <v>416.97</v>
      </c>
      <c r="R1673">
        <v>0</v>
      </c>
      <c r="S1673" s="1"/>
      <c r="T1673" s="1"/>
      <c r="U1673">
        <v>521.22199999999998</v>
      </c>
      <c r="V1673">
        <v>0</v>
      </c>
      <c r="W1673">
        <v>74452</v>
      </c>
    </row>
    <row r="1674" spans="1:23" x14ac:dyDescent="0.25">
      <c r="A1674" s="1" t="s">
        <v>31</v>
      </c>
      <c r="B1674" s="1"/>
      <c r="C1674" s="1" t="s">
        <v>159</v>
      </c>
      <c r="D1674">
        <v>9522</v>
      </c>
      <c r="E1674" s="1"/>
      <c r="F1674" s="1" t="s">
        <v>292</v>
      </c>
      <c r="G1674">
        <v>2015</v>
      </c>
      <c r="H1674">
        <v>646.20000000000005</v>
      </c>
      <c r="I1674">
        <v>5</v>
      </c>
      <c r="J1674" s="1"/>
      <c r="K1674">
        <v>0</v>
      </c>
      <c r="L1674">
        <v>5224</v>
      </c>
      <c r="M1674">
        <v>0.123695</v>
      </c>
      <c r="N1674">
        <v>3</v>
      </c>
      <c r="O1674" s="1" t="s">
        <v>560</v>
      </c>
      <c r="P1674">
        <v>646.20000000000005</v>
      </c>
      <c r="Q1674">
        <v>516.95000000000005</v>
      </c>
      <c r="R1674">
        <v>0</v>
      </c>
      <c r="S1674" s="1"/>
      <c r="T1674" s="1"/>
      <c r="U1674">
        <v>646.20000000000005</v>
      </c>
      <c r="V1674">
        <v>0</v>
      </c>
      <c r="W1674">
        <v>74448</v>
      </c>
    </row>
    <row r="1675" spans="1:23" x14ac:dyDescent="0.25">
      <c r="A1675" s="1" t="s">
        <v>31</v>
      </c>
      <c r="B1675" s="1"/>
      <c r="C1675" s="1" t="s">
        <v>159</v>
      </c>
      <c r="D1675">
        <v>9522</v>
      </c>
      <c r="E1675" s="1"/>
      <c r="F1675" s="1" t="s">
        <v>292</v>
      </c>
      <c r="G1675">
        <v>2015</v>
      </c>
      <c r="H1675">
        <v>326.27</v>
      </c>
      <c r="I1675">
        <v>5</v>
      </c>
      <c r="J1675" s="1"/>
      <c r="K1675">
        <v>0</v>
      </c>
      <c r="L1675">
        <v>5224</v>
      </c>
      <c r="M1675">
        <v>6.2454000000000003E-2</v>
      </c>
      <c r="N1675">
        <v>3</v>
      </c>
      <c r="O1675" s="1" t="s">
        <v>560</v>
      </c>
      <c r="P1675">
        <v>326.27</v>
      </c>
      <c r="Q1675">
        <v>0</v>
      </c>
      <c r="R1675">
        <v>1</v>
      </c>
      <c r="S1675" s="1" t="s">
        <v>634</v>
      </c>
      <c r="T1675" s="1"/>
      <c r="U1675">
        <v>326.279</v>
      </c>
      <c r="V1675">
        <v>0</v>
      </c>
      <c r="W1675">
        <v>74455</v>
      </c>
    </row>
    <row r="1676" spans="1:23" x14ac:dyDescent="0.25">
      <c r="A1676" s="1" t="s">
        <v>31</v>
      </c>
      <c r="B1676" s="1"/>
      <c r="C1676" s="1" t="s">
        <v>159</v>
      </c>
      <c r="D1676">
        <v>9522</v>
      </c>
      <c r="E1676" s="1"/>
      <c r="F1676" s="1" t="s">
        <v>292</v>
      </c>
      <c r="G1676">
        <v>2014</v>
      </c>
      <c r="H1676">
        <v>1377.06</v>
      </c>
      <c r="I1676">
        <v>12</v>
      </c>
      <c r="J1676" s="1"/>
      <c r="K1676">
        <v>0</v>
      </c>
      <c r="L1676">
        <v>5224</v>
      </c>
      <c r="M1676">
        <v>0.26359700000000003</v>
      </c>
      <c r="N1676">
        <v>3</v>
      </c>
      <c r="O1676" s="1" t="s">
        <v>560</v>
      </c>
      <c r="P1676">
        <v>1377.06</v>
      </c>
      <c r="Q1676">
        <v>1101.6500000000001</v>
      </c>
      <c r="R1676">
        <v>0</v>
      </c>
      <c r="S1676" s="1"/>
      <c r="T1676" s="1"/>
      <c r="U1676">
        <v>1377.0609999999999</v>
      </c>
      <c r="V1676">
        <v>0</v>
      </c>
      <c r="W1676">
        <v>74448</v>
      </c>
    </row>
    <row r="1677" spans="1:23" x14ac:dyDescent="0.25">
      <c r="A1677" s="1" t="s">
        <v>31</v>
      </c>
      <c r="B1677" s="1"/>
      <c r="C1677" s="1" t="s">
        <v>159</v>
      </c>
      <c r="D1677">
        <v>9522</v>
      </c>
      <c r="E1677" s="1"/>
      <c r="F1677" s="1" t="s">
        <v>292</v>
      </c>
      <c r="G1677">
        <v>2014</v>
      </c>
      <c r="H1677">
        <v>712.56</v>
      </c>
      <c r="I1677">
        <v>12</v>
      </c>
      <c r="J1677" s="1"/>
      <c r="K1677">
        <v>0</v>
      </c>
      <c r="L1677">
        <v>5224</v>
      </c>
      <c r="M1677">
        <v>0.13639799999999999</v>
      </c>
      <c r="N1677">
        <v>3</v>
      </c>
      <c r="O1677" s="1" t="s">
        <v>560</v>
      </c>
      <c r="P1677">
        <v>712.56</v>
      </c>
      <c r="Q1677">
        <v>0</v>
      </c>
      <c r="R1677">
        <v>1</v>
      </c>
      <c r="S1677" s="1" t="s">
        <v>634</v>
      </c>
      <c r="T1677" s="1"/>
      <c r="U1677">
        <v>712.55399999999997</v>
      </c>
      <c r="V1677">
        <v>0</v>
      </c>
      <c r="W1677">
        <v>74455</v>
      </c>
    </row>
    <row r="1678" spans="1:23" x14ac:dyDescent="0.25">
      <c r="A1678" s="1" t="s">
        <v>31</v>
      </c>
      <c r="B1678" s="1"/>
      <c r="C1678" s="1" t="s">
        <v>159</v>
      </c>
      <c r="D1678">
        <v>9522</v>
      </c>
      <c r="E1678" s="1"/>
      <c r="F1678" s="1" t="s">
        <v>292</v>
      </c>
      <c r="G1678">
        <v>2013</v>
      </c>
      <c r="H1678">
        <v>1456.76</v>
      </c>
      <c r="I1678">
        <v>12</v>
      </c>
      <c r="J1678" s="1"/>
      <c r="K1678">
        <v>0</v>
      </c>
      <c r="L1678">
        <v>5224</v>
      </c>
      <c r="M1678">
        <v>0.27885300000000002</v>
      </c>
      <c r="N1678">
        <v>3</v>
      </c>
      <c r="O1678" s="1" t="s">
        <v>560</v>
      </c>
      <c r="P1678">
        <v>1456.76</v>
      </c>
      <c r="Q1678">
        <v>1165.42</v>
      </c>
      <c r="R1678">
        <v>0</v>
      </c>
      <c r="S1678" s="1"/>
      <c r="T1678" s="1"/>
      <c r="U1678">
        <v>1456.7729999999999</v>
      </c>
      <c r="V1678">
        <v>0</v>
      </c>
      <c r="W1678">
        <v>74448</v>
      </c>
    </row>
    <row r="1679" spans="1:23" x14ac:dyDescent="0.25">
      <c r="A1679" s="1" t="s">
        <v>31</v>
      </c>
      <c r="B1679" s="1"/>
      <c r="C1679" s="1" t="s">
        <v>159</v>
      </c>
      <c r="D1679">
        <v>9522</v>
      </c>
      <c r="E1679" s="1"/>
      <c r="F1679" s="1" t="s">
        <v>292</v>
      </c>
      <c r="G1679">
        <v>2013</v>
      </c>
      <c r="H1679">
        <v>734.41</v>
      </c>
      <c r="I1679">
        <v>12</v>
      </c>
      <c r="J1679" s="1"/>
      <c r="K1679">
        <v>0</v>
      </c>
      <c r="L1679">
        <v>5224</v>
      </c>
      <c r="M1679">
        <v>0.14058100000000001</v>
      </c>
      <c r="N1679">
        <v>3</v>
      </c>
      <c r="O1679" s="1" t="s">
        <v>560</v>
      </c>
      <c r="P1679">
        <v>734.41</v>
      </c>
      <c r="Q1679">
        <v>0</v>
      </c>
      <c r="R1679">
        <v>1</v>
      </c>
      <c r="S1679" s="1" t="s">
        <v>634</v>
      </c>
      <c r="T1679" s="1"/>
      <c r="U1679">
        <v>734.42399999999998</v>
      </c>
      <c r="V1679">
        <v>0</v>
      </c>
      <c r="W1679">
        <v>74455</v>
      </c>
    </row>
    <row r="1680" spans="1:23" x14ac:dyDescent="0.25">
      <c r="A1680" s="1" t="s">
        <v>31</v>
      </c>
      <c r="B1680" s="1"/>
      <c r="C1680" s="1" t="s">
        <v>159</v>
      </c>
      <c r="D1680">
        <v>9522</v>
      </c>
      <c r="E1680" s="1"/>
      <c r="F1680" s="1" t="s">
        <v>292</v>
      </c>
      <c r="G1680">
        <v>2012</v>
      </c>
      <c r="H1680">
        <v>1392.62</v>
      </c>
      <c r="I1680">
        <v>12</v>
      </c>
      <c r="J1680" s="1"/>
      <c r="K1680">
        <v>0</v>
      </c>
      <c r="L1680">
        <v>5224</v>
      </c>
      <c r="M1680">
        <v>0.26657599999999998</v>
      </c>
      <c r="N1680">
        <v>3</v>
      </c>
      <c r="O1680" s="1" t="s">
        <v>560</v>
      </c>
      <c r="P1680">
        <v>1392.62</v>
      </c>
      <c r="Q1680">
        <v>1114.0899999999999</v>
      </c>
      <c r="R1680">
        <v>0</v>
      </c>
      <c r="S1680" s="1"/>
      <c r="T1680" s="1"/>
      <c r="U1680">
        <v>1392.6189999999999</v>
      </c>
      <c r="V1680">
        <v>0</v>
      </c>
      <c r="W1680">
        <v>74448</v>
      </c>
    </row>
    <row r="1681" spans="1:23" x14ac:dyDescent="0.25">
      <c r="A1681" s="1" t="s">
        <v>31</v>
      </c>
      <c r="B1681" s="1"/>
      <c r="C1681" s="1" t="s">
        <v>159</v>
      </c>
      <c r="D1681">
        <v>9522</v>
      </c>
      <c r="E1681" s="1"/>
      <c r="F1681" s="1" t="s">
        <v>292</v>
      </c>
      <c r="G1681">
        <v>2012</v>
      </c>
      <c r="H1681">
        <v>670.79</v>
      </c>
      <c r="I1681">
        <v>12</v>
      </c>
      <c r="J1681" s="1"/>
      <c r="K1681">
        <v>0</v>
      </c>
      <c r="L1681">
        <v>5224</v>
      </c>
      <c r="M1681">
        <v>0.12840199999999999</v>
      </c>
      <c r="N1681">
        <v>3</v>
      </c>
      <c r="O1681" s="1" t="s">
        <v>560</v>
      </c>
      <c r="P1681">
        <v>670.79</v>
      </c>
      <c r="Q1681">
        <v>0</v>
      </c>
      <c r="R1681">
        <v>1</v>
      </c>
      <c r="S1681" s="1" t="s">
        <v>634</v>
      </c>
      <c r="T1681" s="1"/>
      <c r="U1681">
        <v>670.78700000000003</v>
      </c>
      <c r="V1681">
        <v>0</v>
      </c>
      <c r="W1681">
        <v>74455</v>
      </c>
    </row>
    <row r="1682" spans="1:23" x14ac:dyDescent="0.25">
      <c r="A1682" s="1" t="s">
        <v>31</v>
      </c>
      <c r="B1682" s="1"/>
      <c r="C1682" s="1" t="s">
        <v>159</v>
      </c>
      <c r="D1682">
        <v>9522</v>
      </c>
      <c r="E1682" s="1"/>
      <c r="F1682" s="1" t="s">
        <v>292</v>
      </c>
      <c r="G1682">
        <v>2011</v>
      </c>
      <c r="H1682">
        <v>1390.64</v>
      </c>
      <c r="I1682">
        <v>12</v>
      </c>
      <c r="J1682" s="1"/>
      <c r="K1682">
        <v>0</v>
      </c>
      <c r="L1682">
        <v>5224</v>
      </c>
      <c r="M1682">
        <v>0.26619700000000002</v>
      </c>
      <c r="N1682">
        <v>3</v>
      </c>
      <c r="O1682" s="1" t="s">
        <v>560</v>
      </c>
      <c r="P1682">
        <v>1390.64</v>
      </c>
      <c r="Q1682">
        <v>1112.51</v>
      </c>
      <c r="R1682">
        <v>0</v>
      </c>
      <c r="S1682" s="1"/>
      <c r="T1682" s="1"/>
      <c r="U1682">
        <v>1390.652</v>
      </c>
      <c r="V1682">
        <v>0</v>
      </c>
      <c r="W1682">
        <v>74448</v>
      </c>
    </row>
    <row r="1683" spans="1:23" x14ac:dyDescent="0.25">
      <c r="A1683" s="1" t="s">
        <v>31</v>
      </c>
      <c r="B1683" s="1"/>
      <c r="C1683" s="1" t="s">
        <v>159</v>
      </c>
      <c r="D1683">
        <v>9522</v>
      </c>
      <c r="E1683" s="1"/>
      <c r="F1683" s="1" t="s">
        <v>292</v>
      </c>
      <c r="G1683">
        <v>2011</v>
      </c>
      <c r="H1683">
        <v>435.27</v>
      </c>
      <c r="I1683">
        <v>12</v>
      </c>
      <c r="J1683" s="1"/>
      <c r="K1683">
        <v>0</v>
      </c>
      <c r="L1683">
        <v>5224</v>
      </c>
      <c r="M1683">
        <v>8.3319000000000004E-2</v>
      </c>
      <c r="N1683">
        <v>3</v>
      </c>
      <c r="O1683" s="1" t="s">
        <v>560</v>
      </c>
      <c r="P1683">
        <v>435.27</v>
      </c>
      <c r="Q1683">
        <v>0</v>
      </c>
      <c r="R1683">
        <v>1</v>
      </c>
      <c r="S1683" s="1" t="s">
        <v>634</v>
      </c>
      <c r="T1683" s="1"/>
      <c r="U1683">
        <v>435.267</v>
      </c>
      <c r="V1683">
        <v>0</v>
      </c>
      <c r="W1683">
        <v>74455</v>
      </c>
    </row>
    <row r="1684" spans="1:23" x14ac:dyDescent="0.25">
      <c r="A1684" s="1" t="s">
        <v>31</v>
      </c>
      <c r="B1684" s="1"/>
      <c r="C1684" s="1" t="s">
        <v>159</v>
      </c>
      <c r="D1684">
        <v>9522</v>
      </c>
      <c r="E1684" s="1"/>
      <c r="F1684" s="1" t="s">
        <v>292</v>
      </c>
      <c r="G1684">
        <v>2010</v>
      </c>
      <c r="H1684">
        <v>1423.94</v>
      </c>
      <c r="I1684">
        <v>12</v>
      </c>
      <c r="J1684" s="1"/>
      <c r="K1684">
        <v>0</v>
      </c>
      <c r="L1684">
        <v>5224</v>
      </c>
      <c r="M1684">
        <v>0.27257100000000001</v>
      </c>
      <c r="N1684">
        <v>3</v>
      </c>
      <c r="O1684" s="1" t="s">
        <v>560</v>
      </c>
      <c r="P1684">
        <v>1423.94</v>
      </c>
      <c r="Q1684">
        <v>1139.1500000000001</v>
      </c>
      <c r="R1684">
        <v>0</v>
      </c>
      <c r="S1684" s="1"/>
      <c r="T1684" s="1"/>
      <c r="U1684">
        <v>1423.9480000000001</v>
      </c>
      <c r="V1684">
        <v>0</v>
      </c>
      <c r="W1684">
        <v>74448</v>
      </c>
    </row>
    <row r="1685" spans="1:23" x14ac:dyDescent="0.25">
      <c r="A1685" s="1" t="s">
        <v>31</v>
      </c>
      <c r="B1685" s="1"/>
      <c r="C1685" s="1" t="s">
        <v>159</v>
      </c>
      <c r="D1685">
        <v>9522</v>
      </c>
      <c r="E1685" s="1"/>
      <c r="F1685" s="1" t="s">
        <v>292</v>
      </c>
      <c r="G1685">
        <v>2010</v>
      </c>
      <c r="H1685">
        <v>856.92</v>
      </c>
      <c r="I1685">
        <v>12</v>
      </c>
      <c r="J1685" s="1"/>
      <c r="K1685">
        <v>0</v>
      </c>
      <c r="L1685">
        <v>5224</v>
      </c>
      <c r="M1685">
        <v>0.16403200000000001</v>
      </c>
      <c r="N1685">
        <v>3</v>
      </c>
      <c r="O1685" s="1" t="s">
        <v>560</v>
      </c>
      <c r="P1685">
        <v>856.92</v>
      </c>
      <c r="Q1685">
        <v>0</v>
      </c>
      <c r="R1685">
        <v>1</v>
      </c>
      <c r="S1685" s="1" t="s">
        <v>634</v>
      </c>
      <c r="T1685" s="1"/>
      <c r="U1685">
        <v>856.91200000000003</v>
      </c>
      <c r="V1685">
        <v>0</v>
      </c>
      <c r="W1685">
        <v>74455</v>
      </c>
    </row>
    <row r="1686" spans="1:23" x14ac:dyDescent="0.25">
      <c r="A1686" s="1" t="s">
        <v>31</v>
      </c>
      <c r="B1686" s="1"/>
      <c r="C1686" s="1" t="s">
        <v>159</v>
      </c>
      <c r="D1686">
        <v>9522</v>
      </c>
      <c r="E1686" s="1"/>
      <c r="F1686" s="1" t="s">
        <v>292</v>
      </c>
      <c r="G1686">
        <v>2009</v>
      </c>
      <c r="H1686">
        <v>1577.89</v>
      </c>
      <c r="I1686">
        <v>12</v>
      </c>
      <c r="J1686" s="1"/>
      <c r="K1686">
        <v>0</v>
      </c>
      <c r="L1686">
        <v>5224</v>
      </c>
      <c r="M1686">
        <v>0.30203999999999998</v>
      </c>
      <c r="N1686">
        <v>3</v>
      </c>
      <c r="O1686" s="1" t="s">
        <v>560</v>
      </c>
      <c r="P1686">
        <v>1577.89</v>
      </c>
      <c r="Q1686">
        <v>1262.33</v>
      </c>
      <c r="R1686">
        <v>0</v>
      </c>
      <c r="S1686" s="1"/>
      <c r="T1686" s="1"/>
      <c r="U1686">
        <v>1577.8989999999999</v>
      </c>
      <c r="V1686">
        <v>0</v>
      </c>
      <c r="W1686">
        <v>74448</v>
      </c>
    </row>
    <row r="1687" spans="1:23" x14ac:dyDescent="0.25">
      <c r="A1687" s="1" t="s">
        <v>31</v>
      </c>
      <c r="B1687" s="1"/>
      <c r="C1687" s="1" t="s">
        <v>159</v>
      </c>
      <c r="D1687">
        <v>9522</v>
      </c>
      <c r="E1687" s="1"/>
      <c r="F1687" s="1" t="s">
        <v>292</v>
      </c>
      <c r="G1687">
        <v>2009</v>
      </c>
      <c r="H1687">
        <v>927.5</v>
      </c>
      <c r="I1687">
        <v>12</v>
      </c>
      <c r="J1687" s="1"/>
      <c r="K1687">
        <v>0</v>
      </c>
      <c r="L1687">
        <v>5224</v>
      </c>
      <c r="M1687">
        <v>0.17754200000000001</v>
      </c>
      <c r="N1687">
        <v>3</v>
      </c>
      <c r="O1687" s="1" t="s">
        <v>560</v>
      </c>
      <c r="P1687">
        <v>927.5</v>
      </c>
      <c r="Q1687">
        <v>0</v>
      </c>
      <c r="R1687">
        <v>1</v>
      </c>
      <c r="S1687" s="1" t="s">
        <v>634</v>
      </c>
      <c r="T1687" s="1"/>
      <c r="U1687">
        <v>927.51300000000003</v>
      </c>
      <c r="V1687">
        <v>0</v>
      </c>
      <c r="W1687">
        <v>74455</v>
      </c>
    </row>
    <row r="1688" spans="1:23" x14ac:dyDescent="0.25">
      <c r="A1688" s="1" t="s">
        <v>31</v>
      </c>
      <c r="B1688" s="1"/>
      <c r="C1688" s="1" t="s">
        <v>159</v>
      </c>
      <c r="D1688">
        <v>9522</v>
      </c>
      <c r="E1688" s="1"/>
      <c r="F1688" s="1" t="s">
        <v>292</v>
      </c>
      <c r="G1688">
        <v>2008</v>
      </c>
      <c r="H1688">
        <v>1646.46</v>
      </c>
      <c r="I1688">
        <v>12</v>
      </c>
      <c r="J1688" s="1"/>
      <c r="K1688">
        <v>0</v>
      </c>
      <c r="L1688">
        <v>5224</v>
      </c>
      <c r="M1688">
        <v>0.315166</v>
      </c>
      <c r="N1688">
        <v>3</v>
      </c>
      <c r="O1688" s="1" t="s">
        <v>560</v>
      </c>
      <c r="P1688">
        <v>1646.46</v>
      </c>
      <c r="Q1688">
        <v>1317.16</v>
      </c>
      <c r="R1688">
        <v>0</v>
      </c>
      <c r="S1688" s="1"/>
      <c r="T1688" s="1"/>
      <c r="U1688">
        <v>1646.4690000000001</v>
      </c>
      <c r="V1688">
        <v>0</v>
      </c>
      <c r="W1688">
        <v>74448</v>
      </c>
    </row>
    <row r="1689" spans="1:23" x14ac:dyDescent="0.25">
      <c r="A1689" s="1" t="s">
        <v>31</v>
      </c>
      <c r="B1689" s="1"/>
      <c r="C1689" s="1" t="s">
        <v>159</v>
      </c>
      <c r="D1689">
        <v>9522</v>
      </c>
      <c r="E1689" s="1"/>
      <c r="F1689" s="1" t="s">
        <v>292</v>
      </c>
      <c r="G1689">
        <v>2008</v>
      </c>
      <c r="H1689">
        <v>922.37</v>
      </c>
      <c r="I1689">
        <v>12</v>
      </c>
      <c r="J1689" s="1"/>
      <c r="K1689">
        <v>0</v>
      </c>
      <c r="L1689">
        <v>5224</v>
      </c>
      <c r="M1689">
        <v>0.17655999999999999</v>
      </c>
      <c r="N1689">
        <v>3</v>
      </c>
      <c r="O1689" s="1" t="s">
        <v>560</v>
      </c>
      <c r="P1689">
        <v>922.37</v>
      </c>
      <c r="Q1689">
        <v>0</v>
      </c>
      <c r="R1689">
        <v>1</v>
      </c>
      <c r="S1689" s="1" t="s">
        <v>634</v>
      </c>
      <c r="T1689" s="1"/>
      <c r="U1689">
        <v>922.36099999999999</v>
      </c>
      <c r="V1689">
        <v>0</v>
      </c>
      <c r="W1689">
        <v>74455</v>
      </c>
    </row>
    <row r="1690" spans="1:23" x14ac:dyDescent="0.25">
      <c r="A1690" s="1" t="s">
        <v>31</v>
      </c>
      <c r="B1690" s="1" t="s">
        <v>66</v>
      </c>
      <c r="C1690" s="1" t="s">
        <v>156</v>
      </c>
      <c r="D1690">
        <v>5467</v>
      </c>
      <c r="E1690" s="1"/>
      <c r="F1690" s="1" t="s">
        <v>287</v>
      </c>
      <c r="G1690">
        <v>2015</v>
      </c>
      <c r="H1690">
        <v>148920</v>
      </c>
      <c r="I1690">
        <v>5</v>
      </c>
      <c r="J1690" s="1" t="s">
        <v>484</v>
      </c>
      <c r="K1690">
        <v>0</v>
      </c>
      <c r="L1690">
        <v>6415</v>
      </c>
      <c r="M1690">
        <v>23.213978999999998</v>
      </c>
      <c r="N1690">
        <v>1</v>
      </c>
      <c r="O1690" s="1" t="s">
        <v>562</v>
      </c>
      <c r="P1690">
        <v>168822.18</v>
      </c>
      <c r="Q1690">
        <v>31232103.300000001</v>
      </c>
      <c r="R1690">
        <v>0</v>
      </c>
      <c r="S1690" s="1" t="s">
        <v>805</v>
      </c>
      <c r="T1690" s="1"/>
      <c r="U1690">
        <v>148920</v>
      </c>
      <c r="V1690">
        <v>0</v>
      </c>
      <c r="W1690">
        <v>61229</v>
      </c>
    </row>
    <row r="1691" spans="1:23" x14ac:dyDescent="0.25">
      <c r="A1691" s="1" t="s">
        <v>31</v>
      </c>
      <c r="B1691" s="1" t="s">
        <v>66</v>
      </c>
      <c r="C1691" s="1" t="s">
        <v>156</v>
      </c>
      <c r="D1691">
        <v>5467</v>
      </c>
      <c r="E1691" s="1"/>
      <c r="F1691" s="1" t="s">
        <v>287</v>
      </c>
      <c r="G1691">
        <v>2015</v>
      </c>
      <c r="H1691">
        <v>90658.17</v>
      </c>
      <c r="I1691">
        <v>5</v>
      </c>
      <c r="J1691" s="1" t="s">
        <v>484</v>
      </c>
      <c r="K1691">
        <v>0</v>
      </c>
      <c r="L1691">
        <v>6415</v>
      </c>
      <c r="M1691">
        <v>14.131995999999999</v>
      </c>
      <c r="N1691">
        <v>1</v>
      </c>
      <c r="O1691" s="1" t="s">
        <v>563</v>
      </c>
      <c r="P1691">
        <v>102063.32</v>
      </c>
      <c r="Q1691">
        <v>541178.39</v>
      </c>
      <c r="R1691">
        <v>1</v>
      </c>
      <c r="S1691" s="1" t="s">
        <v>806</v>
      </c>
      <c r="T1691" s="1"/>
      <c r="U1691">
        <v>2598.4</v>
      </c>
      <c r="V1691">
        <v>61229</v>
      </c>
      <c r="W1691">
        <v>61230</v>
      </c>
    </row>
    <row r="1692" spans="1:23" x14ac:dyDescent="0.25">
      <c r="A1692" s="1" t="s">
        <v>31</v>
      </c>
      <c r="B1692" s="1" t="s">
        <v>66</v>
      </c>
      <c r="C1692" s="1" t="s">
        <v>156</v>
      </c>
      <c r="D1692">
        <v>5467</v>
      </c>
      <c r="E1692" s="1"/>
      <c r="F1692" s="1" t="s">
        <v>287</v>
      </c>
      <c r="G1692">
        <v>2014</v>
      </c>
      <c r="H1692">
        <v>213280</v>
      </c>
      <c r="I1692">
        <v>12</v>
      </c>
      <c r="J1692" s="1" t="s">
        <v>484</v>
      </c>
      <c r="K1692">
        <v>0</v>
      </c>
      <c r="L1692">
        <v>6415</v>
      </c>
      <c r="M1692">
        <v>33.246558</v>
      </c>
      <c r="N1692">
        <v>1</v>
      </c>
      <c r="O1692" s="1" t="s">
        <v>562</v>
      </c>
      <c r="P1692">
        <v>245942.11</v>
      </c>
      <c r="Q1692">
        <v>17196773</v>
      </c>
      <c r="R1692">
        <v>0</v>
      </c>
      <c r="S1692" s="1" t="s">
        <v>805</v>
      </c>
      <c r="T1692" s="1"/>
      <c r="U1692">
        <v>213280</v>
      </c>
      <c r="V1692">
        <v>0</v>
      </c>
      <c r="W1692">
        <v>61229</v>
      </c>
    </row>
    <row r="1693" spans="1:23" x14ac:dyDescent="0.25">
      <c r="A1693" s="1" t="s">
        <v>31</v>
      </c>
      <c r="B1693" s="1" t="s">
        <v>66</v>
      </c>
      <c r="C1693" s="1" t="s">
        <v>156</v>
      </c>
      <c r="D1693">
        <v>5467</v>
      </c>
      <c r="E1693" s="1"/>
      <c r="F1693" s="1" t="s">
        <v>287</v>
      </c>
      <c r="G1693">
        <v>2014</v>
      </c>
      <c r="H1693">
        <v>150724.79999999999</v>
      </c>
      <c r="I1693">
        <v>12</v>
      </c>
      <c r="J1693" s="1" t="s">
        <v>484</v>
      </c>
      <c r="K1693">
        <v>0</v>
      </c>
      <c r="L1693">
        <v>6415</v>
      </c>
      <c r="M1693">
        <v>23.495315000000002</v>
      </c>
      <c r="N1693">
        <v>1</v>
      </c>
      <c r="O1693" s="1" t="s">
        <v>563</v>
      </c>
      <c r="P1693">
        <v>172121.18</v>
      </c>
      <c r="Q1693">
        <v>358754.23</v>
      </c>
      <c r="R1693">
        <v>1</v>
      </c>
      <c r="S1693" s="1" t="s">
        <v>806</v>
      </c>
      <c r="T1693" s="1"/>
      <c r="U1693">
        <v>4320</v>
      </c>
      <c r="V1693">
        <v>61229</v>
      </c>
      <c r="W1693">
        <v>61230</v>
      </c>
    </row>
    <row r="1694" spans="1:23" x14ac:dyDescent="0.25">
      <c r="A1694" s="1" t="s">
        <v>31</v>
      </c>
      <c r="B1694" s="1" t="s">
        <v>66</v>
      </c>
      <c r="C1694" s="1" t="s">
        <v>156</v>
      </c>
      <c r="D1694">
        <v>5467</v>
      </c>
      <c r="E1694" s="1"/>
      <c r="F1694" s="1" t="s">
        <v>287</v>
      </c>
      <c r="G1694">
        <v>2013</v>
      </c>
      <c r="H1694">
        <v>177464.5</v>
      </c>
      <c r="I1694">
        <v>12</v>
      </c>
      <c r="J1694" s="1" t="s">
        <v>484</v>
      </c>
      <c r="K1694">
        <v>0</v>
      </c>
      <c r="L1694">
        <v>6415</v>
      </c>
      <c r="M1694">
        <v>27.663558999999999</v>
      </c>
      <c r="N1694">
        <v>1</v>
      </c>
      <c r="O1694" s="1" t="s">
        <v>563</v>
      </c>
      <c r="P1694">
        <v>182169.75</v>
      </c>
      <c r="Q1694">
        <v>965.95</v>
      </c>
      <c r="R1694">
        <v>1</v>
      </c>
      <c r="S1694" s="1" t="s">
        <v>806</v>
      </c>
      <c r="T1694" s="1"/>
      <c r="U1694">
        <v>5086.3999999999996</v>
      </c>
      <c r="V1694">
        <v>61229</v>
      </c>
      <c r="W1694">
        <v>61230</v>
      </c>
    </row>
    <row r="1695" spans="1:23" x14ac:dyDescent="0.25">
      <c r="A1695" s="1" t="s">
        <v>31</v>
      </c>
      <c r="B1695" s="1" t="s">
        <v>66</v>
      </c>
      <c r="C1695" s="1" t="s">
        <v>156</v>
      </c>
      <c r="D1695">
        <v>5467</v>
      </c>
      <c r="E1695" s="1"/>
      <c r="F1695" s="1" t="s">
        <v>287</v>
      </c>
      <c r="G1695">
        <v>2013</v>
      </c>
      <c r="H1695">
        <v>267550</v>
      </c>
      <c r="I1695">
        <v>12</v>
      </c>
      <c r="J1695" s="1" t="s">
        <v>484</v>
      </c>
      <c r="K1695">
        <v>0</v>
      </c>
      <c r="L1695">
        <v>6415</v>
      </c>
      <c r="M1695">
        <v>41.706285999999999</v>
      </c>
      <c r="N1695">
        <v>1</v>
      </c>
      <c r="O1695" s="1" t="s">
        <v>562</v>
      </c>
      <c r="P1695">
        <v>274360.27</v>
      </c>
      <c r="Q1695">
        <v>50756.66</v>
      </c>
      <c r="R1695">
        <v>0</v>
      </c>
      <c r="S1695" s="1" t="s">
        <v>805</v>
      </c>
      <c r="T1695" s="1"/>
      <c r="U1695">
        <v>267550</v>
      </c>
      <c r="V1695">
        <v>0</v>
      </c>
      <c r="W1695">
        <v>61229</v>
      </c>
    </row>
    <row r="1696" spans="1:23" x14ac:dyDescent="0.25">
      <c r="A1696" s="1" t="s">
        <v>31</v>
      </c>
      <c r="B1696" s="1" t="s">
        <v>66</v>
      </c>
      <c r="C1696" s="1" t="s">
        <v>156</v>
      </c>
      <c r="D1696">
        <v>5467</v>
      </c>
      <c r="E1696" s="1"/>
      <c r="F1696" s="1" t="s">
        <v>287</v>
      </c>
      <c r="G1696">
        <v>2012</v>
      </c>
      <c r="H1696">
        <v>198688.08</v>
      </c>
      <c r="I1696">
        <v>12</v>
      </c>
      <c r="J1696" s="1" t="s">
        <v>484</v>
      </c>
      <c r="K1696">
        <v>0</v>
      </c>
      <c r="L1696">
        <v>6415</v>
      </c>
      <c r="M1696">
        <v>30.971938000000002</v>
      </c>
      <c r="N1696">
        <v>1</v>
      </c>
      <c r="O1696" s="1" t="s">
        <v>563</v>
      </c>
      <c r="P1696">
        <v>208202.43</v>
      </c>
      <c r="Q1696">
        <v>1103.95</v>
      </c>
      <c r="R1696">
        <v>1</v>
      </c>
      <c r="S1696" s="1" t="s">
        <v>806</v>
      </c>
      <c r="T1696" s="1"/>
      <c r="U1696">
        <v>5694.7</v>
      </c>
      <c r="V1696">
        <v>61229</v>
      </c>
      <c r="W1696">
        <v>61230</v>
      </c>
    </row>
    <row r="1697" spans="1:23" x14ac:dyDescent="0.25">
      <c r="A1697" s="1" t="s">
        <v>31</v>
      </c>
      <c r="B1697" s="1" t="s">
        <v>66</v>
      </c>
      <c r="C1697" s="1" t="s">
        <v>156</v>
      </c>
      <c r="D1697">
        <v>5467</v>
      </c>
      <c r="E1697" s="1"/>
      <c r="F1697" s="1" t="s">
        <v>287</v>
      </c>
      <c r="G1697">
        <v>2012</v>
      </c>
      <c r="H1697">
        <v>289070</v>
      </c>
      <c r="I1697">
        <v>12</v>
      </c>
      <c r="J1697" s="1" t="s">
        <v>484</v>
      </c>
      <c r="K1697">
        <v>0</v>
      </c>
      <c r="L1697">
        <v>6415</v>
      </c>
      <c r="M1697">
        <v>45.060872000000003</v>
      </c>
      <c r="N1697">
        <v>1</v>
      </c>
      <c r="O1697" s="1" t="s">
        <v>562</v>
      </c>
      <c r="P1697">
        <v>303640.21999999997</v>
      </c>
      <c r="Q1697">
        <v>56173.440000000002</v>
      </c>
      <c r="R1697">
        <v>0</v>
      </c>
      <c r="S1697" s="1" t="s">
        <v>805</v>
      </c>
      <c r="T1697" s="1"/>
      <c r="U1697">
        <v>289070</v>
      </c>
      <c r="V1697">
        <v>0</v>
      </c>
      <c r="W1697">
        <v>61229</v>
      </c>
    </row>
    <row r="1698" spans="1:23" x14ac:dyDescent="0.25">
      <c r="A1698" s="1" t="s">
        <v>31</v>
      </c>
      <c r="B1698" s="1" t="s">
        <v>66</v>
      </c>
      <c r="C1698" s="1" t="s">
        <v>156</v>
      </c>
      <c r="D1698">
        <v>5467</v>
      </c>
      <c r="E1698" s="1"/>
      <c r="F1698" s="1" t="s">
        <v>287</v>
      </c>
      <c r="G1698">
        <v>2011</v>
      </c>
      <c r="H1698">
        <v>304360</v>
      </c>
      <c r="I1698">
        <v>12</v>
      </c>
      <c r="J1698" s="1" t="s">
        <v>484</v>
      </c>
      <c r="K1698">
        <v>0</v>
      </c>
      <c r="L1698">
        <v>6415</v>
      </c>
      <c r="M1698">
        <v>47.444310999999999</v>
      </c>
      <c r="N1698">
        <v>1</v>
      </c>
      <c r="O1698" s="1" t="s">
        <v>562</v>
      </c>
      <c r="P1698">
        <v>325906.74</v>
      </c>
      <c r="Q1698">
        <v>60292.74</v>
      </c>
      <c r="R1698">
        <v>0</v>
      </c>
      <c r="S1698" s="1" t="s">
        <v>805</v>
      </c>
      <c r="T1698" s="1"/>
      <c r="U1698">
        <v>304360</v>
      </c>
      <c r="V1698">
        <v>0</v>
      </c>
      <c r="W1698">
        <v>61229</v>
      </c>
    </row>
    <row r="1699" spans="1:23" x14ac:dyDescent="0.25">
      <c r="A1699" s="1" t="s">
        <v>31</v>
      </c>
      <c r="B1699" s="1" t="s">
        <v>66</v>
      </c>
      <c r="C1699" s="1" t="s">
        <v>156</v>
      </c>
      <c r="D1699">
        <v>5467</v>
      </c>
      <c r="E1699" s="1"/>
      <c r="F1699" s="1" t="s">
        <v>287</v>
      </c>
      <c r="G1699">
        <v>2011</v>
      </c>
      <c r="H1699">
        <v>209587.71</v>
      </c>
      <c r="I1699">
        <v>12</v>
      </c>
      <c r="J1699" s="1" t="s">
        <v>484</v>
      </c>
      <c r="K1699">
        <v>0</v>
      </c>
      <c r="L1699">
        <v>6415</v>
      </c>
      <c r="M1699">
        <v>32.670996000000002</v>
      </c>
      <c r="N1699">
        <v>1</v>
      </c>
      <c r="O1699" s="1" t="s">
        <v>563</v>
      </c>
      <c r="P1699">
        <v>223690.98</v>
      </c>
      <c r="Q1699">
        <v>1186.0999999999999</v>
      </c>
      <c r="R1699">
        <v>1</v>
      </c>
      <c r="S1699" s="1" t="s">
        <v>806</v>
      </c>
      <c r="T1699" s="1"/>
      <c r="U1699">
        <v>6007.1</v>
      </c>
      <c r="V1699">
        <v>61229</v>
      </c>
      <c r="W1699">
        <v>61230</v>
      </c>
    </row>
    <row r="1700" spans="1:23" x14ac:dyDescent="0.25">
      <c r="A1700" s="1" t="s">
        <v>31</v>
      </c>
      <c r="B1700" s="1" t="s">
        <v>66</v>
      </c>
      <c r="C1700" s="1" t="s">
        <v>156</v>
      </c>
      <c r="D1700">
        <v>5467</v>
      </c>
      <c r="E1700" s="1"/>
      <c r="F1700" s="1" t="s">
        <v>287</v>
      </c>
      <c r="G1700">
        <v>2010</v>
      </c>
      <c r="H1700">
        <v>381860</v>
      </c>
      <c r="I1700">
        <v>12</v>
      </c>
      <c r="J1700" s="1" t="s">
        <v>484</v>
      </c>
      <c r="K1700">
        <v>0</v>
      </c>
      <c r="L1700">
        <v>6415</v>
      </c>
      <c r="M1700">
        <v>59.525182000000001</v>
      </c>
      <c r="N1700">
        <v>1</v>
      </c>
      <c r="O1700" s="1" t="s">
        <v>562</v>
      </c>
      <c r="P1700">
        <v>348750.98</v>
      </c>
      <c r="Q1700">
        <v>64518.94</v>
      </c>
      <c r="R1700">
        <v>0</v>
      </c>
      <c r="S1700" s="1" t="s">
        <v>805</v>
      </c>
      <c r="T1700" s="1"/>
      <c r="U1700">
        <v>381859.99699999997</v>
      </c>
      <c r="V1700">
        <v>0</v>
      </c>
      <c r="W1700">
        <v>61229</v>
      </c>
    </row>
    <row r="1701" spans="1:23" x14ac:dyDescent="0.25">
      <c r="A1701" s="1" t="s">
        <v>31</v>
      </c>
      <c r="B1701" s="1" t="s">
        <v>66</v>
      </c>
      <c r="C1701" s="1" t="s">
        <v>156</v>
      </c>
      <c r="D1701">
        <v>5467</v>
      </c>
      <c r="E1701" s="1"/>
      <c r="F1701" s="1" t="s">
        <v>287</v>
      </c>
      <c r="G1701">
        <v>2010</v>
      </c>
      <c r="H1701">
        <v>264769.75</v>
      </c>
      <c r="I1701">
        <v>12</v>
      </c>
      <c r="J1701" s="1" t="s">
        <v>484</v>
      </c>
      <c r="K1701">
        <v>0</v>
      </c>
      <c r="L1701">
        <v>6415</v>
      </c>
      <c r="M1701">
        <v>41.272894999999998</v>
      </c>
      <c r="N1701">
        <v>1</v>
      </c>
      <c r="O1701" s="1" t="s">
        <v>563</v>
      </c>
      <c r="P1701">
        <v>242388.17</v>
      </c>
      <c r="Q1701">
        <v>1285.22</v>
      </c>
      <c r="R1701">
        <v>1</v>
      </c>
      <c r="S1701" s="1" t="s">
        <v>806</v>
      </c>
      <c r="T1701" s="1"/>
      <c r="U1701">
        <v>7588.7</v>
      </c>
      <c r="V1701">
        <v>61229</v>
      </c>
      <c r="W1701">
        <v>61230</v>
      </c>
    </row>
    <row r="1702" spans="1:23" x14ac:dyDescent="0.25">
      <c r="A1702" s="1" t="s">
        <v>31</v>
      </c>
      <c r="B1702" s="1" t="s">
        <v>66</v>
      </c>
      <c r="C1702" s="1" t="s">
        <v>156</v>
      </c>
      <c r="D1702">
        <v>5467</v>
      </c>
      <c r="E1702" s="1"/>
      <c r="F1702" s="1" t="s">
        <v>287</v>
      </c>
      <c r="G1702">
        <v>2009</v>
      </c>
      <c r="H1702">
        <v>244711.49</v>
      </c>
      <c r="I1702">
        <v>12</v>
      </c>
      <c r="J1702" s="1" t="s">
        <v>484</v>
      </c>
      <c r="K1702">
        <v>0</v>
      </c>
      <c r="L1702">
        <v>6415</v>
      </c>
      <c r="M1702">
        <v>38.146169</v>
      </c>
      <c r="N1702">
        <v>1</v>
      </c>
      <c r="O1702" s="1" t="s">
        <v>563</v>
      </c>
      <c r="P1702">
        <v>251043.73</v>
      </c>
      <c r="Q1702">
        <v>1331.12</v>
      </c>
      <c r="R1702">
        <v>1</v>
      </c>
      <c r="S1702" s="1" t="s">
        <v>806</v>
      </c>
      <c r="T1702" s="1"/>
      <c r="U1702">
        <v>7013.8</v>
      </c>
      <c r="V1702">
        <v>61229</v>
      </c>
      <c r="W1702">
        <v>61230</v>
      </c>
    </row>
    <row r="1703" spans="1:23" x14ac:dyDescent="0.25">
      <c r="A1703" s="1" t="s">
        <v>31</v>
      </c>
      <c r="B1703" s="1" t="s">
        <v>66</v>
      </c>
      <c r="C1703" s="1" t="s">
        <v>156</v>
      </c>
      <c r="D1703">
        <v>5467</v>
      </c>
      <c r="E1703" s="1"/>
      <c r="F1703" s="1" t="s">
        <v>287</v>
      </c>
      <c r="G1703">
        <v>2009</v>
      </c>
      <c r="H1703">
        <v>312920</v>
      </c>
      <c r="I1703">
        <v>12</v>
      </c>
      <c r="J1703" s="1" t="s">
        <v>484</v>
      </c>
      <c r="K1703">
        <v>0</v>
      </c>
      <c r="L1703">
        <v>6415</v>
      </c>
      <c r="M1703">
        <v>48.778661999999997</v>
      </c>
      <c r="N1703">
        <v>1</v>
      </c>
      <c r="O1703" s="1" t="s">
        <v>562</v>
      </c>
      <c r="P1703">
        <v>328581.88</v>
      </c>
      <c r="Q1703">
        <v>60787.64</v>
      </c>
      <c r="R1703">
        <v>0</v>
      </c>
      <c r="S1703" s="1" t="s">
        <v>805</v>
      </c>
      <c r="T1703" s="1"/>
      <c r="U1703">
        <v>312920</v>
      </c>
      <c r="V1703">
        <v>0</v>
      </c>
      <c r="W1703">
        <v>61229</v>
      </c>
    </row>
    <row r="1704" spans="1:23" x14ac:dyDescent="0.25">
      <c r="A1704" s="1" t="s">
        <v>31</v>
      </c>
      <c r="B1704" s="1" t="s">
        <v>66</v>
      </c>
      <c r="C1704" s="1" t="s">
        <v>156</v>
      </c>
      <c r="D1704">
        <v>5467</v>
      </c>
      <c r="E1704" s="1"/>
      <c r="F1704" s="1" t="s">
        <v>287</v>
      </c>
      <c r="G1704">
        <v>2008</v>
      </c>
      <c r="H1704">
        <v>220818.82</v>
      </c>
      <c r="I1704">
        <v>12</v>
      </c>
      <c r="J1704" s="1" t="s">
        <v>484</v>
      </c>
      <c r="K1704">
        <v>0</v>
      </c>
      <c r="L1704">
        <v>6415</v>
      </c>
      <c r="M1704">
        <v>34.421726</v>
      </c>
      <c r="N1704">
        <v>1</v>
      </c>
      <c r="O1704" s="1" t="s">
        <v>563</v>
      </c>
      <c r="P1704">
        <v>251965.78</v>
      </c>
      <c r="Q1704">
        <v>1336.03</v>
      </c>
      <c r="R1704">
        <v>1</v>
      </c>
      <c r="S1704" s="1" t="s">
        <v>806</v>
      </c>
      <c r="T1704" s="1"/>
      <c r="U1704">
        <v>6329</v>
      </c>
      <c r="V1704">
        <v>61229</v>
      </c>
      <c r="W1704">
        <v>61230</v>
      </c>
    </row>
    <row r="1705" spans="1:23" x14ac:dyDescent="0.25">
      <c r="A1705" s="1" t="s">
        <v>31</v>
      </c>
      <c r="B1705" s="1" t="s">
        <v>66</v>
      </c>
      <c r="C1705" s="1" t="s">
        <v>156</v>
      </c>
      <c r="D1705">
        <v>5467</v>
      </c>
      <c r="E1705" s="1"/>
      <c r="F1705" s="1" t="s">
        <v>287</v>
      </c>
      <c r="G1705">
        <v>2008</v>
      </c>
      <c r="H1705">
        <v>316790</v>
      </c>
      <c r="I1705">
        <v>12</v>
      </c>
      <c r="J1705" s="1" t="s">
        <v>484</v>
      </c>
      <c r="K1705">
        <v>0</v>
      </c>
      <c r="L1705">
        <v>6415</v>
      </c>
      <c r="M1705">
        <v>49.381926999999997</v>
      </c>
      <c r="N1705">
        <v>1</v>
      </c>
      <c r="O1705" s="1" t="s">
        <v>562</v>
      </c>
      <c r="P1705">
        <v>366634.56</v>
      </c>
      <c r="Q1705">
        <v>67827.39</v>
      </c>
      <c r="R1705">
        <v>0</v>
      </c>
      <c r="S1705" s="1" t="s">
        <v>805</v>
      </c>
      <c r="T1705" s="1"/>
      <c r="U1705">
        <v>316790</v>
      </c>
      <c r="V1705">
        <v>0</v>
      </c>
      <c r="W1705">
        <v>61229</v>
      </c>
    </row>
    <row r="1706" spans="1:23" x14ac:dyDescent="0.25">
      <c r="A1706" s="1" t="s">
        <v>31</v>
      </c>
      <c r="B1706" s="1" t="s">
        <v>66</v>
      </c>
      <c r="C1706" s="1" t="s">
        <v>156</v>
      </c>
      <c r="D1706">
        <v>14135</v>
      </c>
      <c r="E1706" s="1" t="s">
        <v>243</v>
      </c>
      <c r="F1706" s="1" t="s">
        <v>288</v>
      </c>
      <c r="G1706">
        <v>2015</v>
      </c>
      <c r="H1706">
        <v>88873.89</v>
      </c>
      <c r="I1706">
        <v>5</v>
      </c>
      <c r="J1706" s="1" t="s">
        <v>484</v>
      </c>
      <c r="K1706">
        <v>0</v>
      </c>
      <c r="L1706">
        <v>3594</v>
      </c>
      <c r="M1706">
        <v>24.727716999999998</v>
      </c>
      <c r="N1706">
        <v>1</v>
      </c>
      <c r="O1706" s="1" t="s">
        <v>563</v>
      </c>
      <c r="P1706">
        <v>96327.3</v>
      </c>
      <c r="Q1706">
        <v>510763.85</v>
      </c>
      <c r="R1706">
        <v>1</v>
      </c>
      <c r="S1706" s="1" t="s">
        <v>807</v>
      </c>
      <c r="T1706" s="1"/>
      <c r="U1706">
        <v>2547.2600000000002</v>
      </c>
      <c r="V1706">
        <v>57807</v>
      </c>
      <c r="W1706">
        <v>57809</v>
      </c>
    </row>
    <row r="1707" spans="1:23" x14ac:dyDescent="0.25">
      <c r="A1707" s="1" t="s">
        <v>31</v>
      </c>
      <c r="B1707" s="1" t="s">
        <v>66</v>
      </c>
      <c r="C1707" s="1" t="s">
        <v>156</v>
      </c>
      <c r="D1707">
        <v>14135</v>
      </c>
      <c r="E1707" s="1" t="s">
        <v>243</v>
      </c>
      <c r="F1707" s="1" t="s">
        <v>288</v>
      </c>
      <c r="G1707">
        <v>2015</v>
      </c>
      <c r="H1707">
        <v>90850</v>
      </c>
      <c r="I1707">
        <v>5</v>
      </c>
      <c r="J1707" s="1" t="s">
        <v>484</v>
      </c>
      <c r="K1707">
        <v>0</v>
      </c>
      <c r="L1707">
        <v>3594</v>
      </c>
      <c r="M1707">
        <v>25.277538</v>
      </c>
      <c r="N1707">
        <v>1</v>
      </c>
      <c r="O1707" s="1" t="s">
        <v>562</v>
      </c>
      <c r="P1707">
        <v>101197.87</v>
      </c>
      <c r="Q1707">
        <v>18721605.949999999</v>
      </c>
      <c r="R1707">
        <v>0</v>
      </c>
      <c r="S1707" s="1" t="s">
        <v>808</v>
      </c>
      <c r="T1707" s="1"/>
      <c r="U1707">
        <v>90850</v>
      </c>
      <c r="V1707">
        <v>0</v>
      </c>
      <c r="W1707">
        <v>57807</v>
      </c>
    </row>
    <row r="1708" spans="1:23" x14ac:dyDescent="0.25">
      <c r="A1708" s="1" t="s">
        <v>31</v>
      </c>
      <c r="B1708" s="1" t="s">
        <v>66</v>
      </c>
      <c r="C1708" s="1" t="s">
        <v>156</v>
      </c>
      <c r="D1708">
        <v>14135</v>
      </c>
      <c r="E1708" s="1" t="s">
        <v>243</v>
      </c>
      <c r="F1708" s="1" t="s">
        <v>288</v>
      </c>
      <c r="G1708">
        <v>2014</v>
      </c>
      <c r="H1708">
        <v>160769.98000000001</v>
      </c>
      <c r="I1708">
        <v>12</v>
      </c>
      <c r="J1708" s="1" t="s">
        <v>484</v>
      </c>
      <c r="K1708">
        <v>0</v>
      </c>
      <c r="L1708">
        <v>3594</v>
      </c>
      <c r="M1708">
        <v>44.731636999999999</v>
      </c>
      <c r="N1708">
        <v>1</v>
      </c>
      <c r="O1708" s="1" t="s">
        <v>563</v>
      </c>
      <c r="P1708">
        <v>187382.39</v>
      </c>
      <c r="Q1708">
        <v>357956.08</v>
      </c>
      <c r="R1708">
        <v>1</v>
      </c>
      <c r="S1708" s="1" t="s">
        <v>807</v>
      </c>
      <c r="T1708" s="1"/>
      <c r="U1708">
        <v>4607.91</v>
      </c>
      <c r="V1708">
        <v>57807</v>
      </c>
      <c r="W1708">
        <v>57809</v>
      </c>
    </row>
    <row r="1709" spans="1:23" x14ac:dyDescent="0.25">
      <c r="A1709" s="1" t="s">
        <v>31</v>
      </c>
      <c r="B1709" s="1" t="s">
        <v>66</v>
      </c>
      <c r="C1709" s="1" t="s">
        <v>156</v>
      </c>
      <c r="D1709">
        <v>14135</v>
      </c>
      <c r="E1709" s="1" t="s">
        <v>243</v>
      </c>
      <c r="F1709" s="1" t="s">
        <v>288</v>
      </c>
      <c r="G1709">
        <v>2014</v>
      </c>
      <c r="H1709">
        <v>184163</v>
      </c>
      <c r="I1709">
        <v>12</v>
      </c>
      <c r="J1709" s="1" t="s">
        <v>484</v>
      </c>
      <c r="K1709">
        <v>0</v>
      </c>
      <c r="L1709">
        <v>3594</v>
      </c>
      <c r="M1709">
        <v>51.240366000000002</v>
      </c>
      <c r="N1709">
        <v>1</v>
      </c>
      <c r="O1709" s="1" t="s">
        <v>562</v>
      </c>
      <c r="P1709">
        <v>215632.05</v>
      </c>
      <c r="Q1709">
        <v>14999211.68</v>
      </c>
      <c r="R1709">
        <v>0</v>
      </c>
      <c r="S1709" s="1" t="s">
        <v>808</v>
      </c>
      <c r="T1709" s="1"/>
      <c r="U1709">
        <v>184163.003</v>
      </c>
      <c r="V1709">
        <v>0</v>
      </c>
      <c r="W1709">
        <v>57807</v>
      </c>
    </row>
    <row r="1710" spans="1:23" x14ac:dyDescent="0.25">
      <c r="A1710" s="1" t="s">
        <v>31</v>
      </c>
      <c r="B1710" s="1" t="s">
        <v>66</v>
      </c>
      <c r="C1710" s="1" t="s">
        <v>156</v>
      </c>
      <c r="D1710">
        <v>14135</v>
      </c>
      <c r="E1710" s="1" t="s">
        <v>243</v>
      </c>
      <c r="F1710" s="1" t="s">
        <v>288</v>
      </c>
      <c r="G1710">
        <v>2013</v>
      </c>
      <c r="H1710">
        <v>195495.31</v>
      </c>
      <c r="I1710">
        <v>12</v>
      </c>
      <c r="J1710" s="1" t="s">
        <v>484</v>
      </c>
      <c r="K1710">
        <v>0</v>
      </c>
      <c r="L1710">
        <v>3594</v>
      </c>
      <c r="M1710">
        <v>54.393397</v>
      </c>
      <c r="N1710">
        <v>1</v>
      </c>
      <c r="O1710" s="1" t="s">
        <v>563</v>
      </c>
      <c r="P1710">
        <v>212472.2</v>
      </c>
      <c r="Q1710">
        <v>1126.5999999999999</v>
      </c>
      <c r="R1710">
        <v>1</v>
      </c>
      <c r="S1710" s="1" t="s">
        <v>807</v>
      </c>
      <c r="T1710" s="1"/>
      <c r="U1710">
        <v>5603.19</v>
      </c>
      <c r="V1710">
        <v>57807</v>
      </c>
      <c r="W1710">
        <v>57809</v>
      </c>
    </row>
    <row r="1711" spans="1:23" x14ac:dyDescent="0.25">
      <c r="A1711" s="1" t="s">
        <v>31</v>
      </c>
      <c r="B1711" s="1" t="s">
        <v>66</v>
      </c>
      <c r="C1711" s="1" t="s">
        <v>156</v>
      </c>
      <c r="D1711">
        <v>14135</v>
      </c>
      <c r="E1711" s="1" t="s">
        <v>243</v>
      </c>
      <c r="F1711" s="1" t="s">
        <v>288</v>
      </c>
      <c r="G1711">
        <v>2013</v>
      </c>
      <c r="H1711">
        <v>200771</v>
      </c>
      <c r="I1711">
        <v>12</v>
      </c>
      <c r="J1711" s="1" t="s">
        <v>484</v>
      </c>
      <c r="K1711">
        <v>0</v>
      </c>
      <c r="L1711">
        <v>3594</v>
      </c>
      <c r="M1711">
        <v>55.861272</v>
      </c>
      <c r="N1711">
        <v>1</v>
      </c>
      <c r="O1711" s="1" t="s">
        <v>562</v>
      </c>
      <c r="P1711">
        <v>208483.73</v>
      </c>
      <c r="Q1711">
        <v>38569.5</v>
      </c>
      <c r="R1711">
        <v>0</v>
      </c>
      <c r="S1711" s="1" t="s">
        <v>808</v>
      </c>
      <c r="T1711" s="1"/>
      <c r="U1711">
        <v>200771</v>
      </c>
      <c r="V1711">
        <v>0</v>
      </c>
      <c r="W1711">
        <v>57807</v>
      </c>
    </row>
    <row r="1712" spans="1:23" x14ac:dyDescent="0.25">
      <c r="A1712" s="1" t="s">
        <v>31</v>
      </c>
      <c r="B1712" s="1" t="s">
        <v>66</v>
      </c>
      <c r="C1712" s="1" t="s">
        <v>156</v>
      </c>
      <c r="D1712">
        <v>14135</v>
      </c>
      <c r="E1712" s="1" t="s">
        <v>243</v>
      </c>
      <c r="F1712" s="1" t="s">
        <v>288</v>
      </c>
      <c r="G1712">
        <v>2012</v>
      </c>
      <c r="H1712">
        <v>195251</v>
      </c>
      <c r="I1712">
        <v>12</v>
      </c>
      <c r="J1712" s="1" t="s">
        <v>484</v>
      </c>
      <c r="K1712">
        <v>0</v>
      </c>
      <c r="L1712">
        <v>3594</v>
      </c>
      <c r="M1712">
        <v>54.325422000000003</v>
      </c>
      <c r="N1712">
        <v>1</v>
      </c>
      <c r="O1712" s="1" t="s">
        <v>562</v>
      </c>
      <c r="P1712">
        <v>204110.52</v>
      </c>
      <c r="Q1712">
        <v>37760.43</v>
      </c>
      <c r="R1712">
        <v>0</v>
      </c>
      <c r="S1712" s="1" t="s">
        <v>808</v>
      </c>
      <c r="T1712" s="1"/>
      <c r="U1712">
        <v>195251</v>
      </c>
      <c r="V1712">
        <v>0</v>
      </c>
      <c r="W1712">
        <v>57807</v>
      </c>
    </row>
    <row r="1713" spans="1:23" x14ac:dyDescent="0.25">
      <c r="A1713" s="1" t="s">
        <v>31</v>
      </c>
      <c r="B1713" s="1" t="s">
        <v>66</v>
      </c>
      <c r="C1713" s="1" t="s">
        <v>156</v>
      </c>
      <c r="D1713">
        <v>14135</v>
      </c>
      <c r="E1713" s="1" t="s">
        <v>243</v>
      </c>
      <c r="F1713" s="1" t="s">
        <v>288</v>
      </c>
      <c r="G1713">
        <v>2012</v>
      </c>
      <c r="H1713">
        <v>186706.85</v>
      </c>
      <c r="I1713">
        <v>12</v>
      </c>
      <c r="J1713" s="1" t="s">
        <v>484</v>
      </c>
      <c r="K1713">
        <v>0</v>
      </c>
      <c r="L1713">
        <v>3594</v>
      </c>
      <c r="M1713">
        <v>51.948151000000003</v>
      </c>
      <c r="N1713">
        <v>1</v>
      </c>
      <c r="O1713" s="1" t="s">
        <v>563</v>
      </c>
      <c r="P1713">
        <v>196737.53</v>
      </c>
      <c r="Q1713">
        <v>1043.17</v>
      </c>
      <c r="R1713">
        <v>1</v>
      </c>
      <c r="S1713" s="1" t="s">
        <v>807</v>
      </c>
      <c r="T1713" s="1"/>
      <c r="U1713">
        <v>5351.3</v>
      </c>
      <c r="V1713">
        <v>57807</v>
      </c>
      <c r="W1713">
        <v>57809</v>
      </c>
    </row>
    <row r="1714" spans="1:23" x14ac:dyDescent="0.25">
      <c r="A1714" s="1" t="s">
        <v>31</v>
      </c>
      <c r="B1714" s="1" t="s">
        <v>66</v>
      </c>
      <c r="C1714" s="1" t="s">
        <v>156</v>
      </c>
      <c r="D1714">
        <v>14135</v>
      </c>
      <c r="E1714" s="1" t="s">
        <v>243</v>
      </c>
      <c r="F1714" s="1" t="s">
        <v>288</v>
      </c>
      <c r="G1714">
        <v>2011</v>
      </c>
      <c r="H1714">
        <v>192126</v>
      </c>
      <c r="I1714">
        <v>12</v>
      </c>
      <c r="J1714" s="1" t="s">
        <v>484</v>
      </c>
      <c r="K1714">
        <v>0</v>
      </c>
      <c r="L1714">
        <v>3594</v>
      </c>
      <c r="M1714">
        <v>53.455941000000003</v>
      </c>
      <c r="N1714">
        <v>1</v>
      </c>
      <c r="O1714" s="1" t="s">
        <v>562</v>
      </c>
      <c r="P1714">
        <v>205669.67</v>
      </c>
      <c r="Q1714">
        <v>38048.89</v>
      </c>
      <c r="R1714">
        <v>0</v>
      </c>
      <c r="S1714" s="1" t="s">
        <v>808</v>
      </c>
      <c r="T1714" s="1"/>
      <c r="U1714">
        <v>192126</v>
      </c>
      <c r="V1714">
        <v>0</v>
      </c>
      <c r="W1714">
        <v>57807</v>
      </c>
    </row>
    <row r="1715" spans="1:23" x14ac:dyDescent="0.25">
      <c r="A1715" s="1" t="s">
        <v>31</v>
      </c>
      <c r="B1715" s="1" t="s">
        <v>66</v>
      </c>
      <c r="C1715" s="1" t="s">
        <v>156</v>
      </c>
      <c r="D1715">
        <v>14135</v>
      </c>
      <c r="E1715" s="1" t="s">
        <v>243</v>
      </c>
      <c r="F1715" s="1" t="s">
        <v>288</v>
      </c>
      <c r="G1715">
        <v>2011</v>
      </c>
      <c r="H1715">
        <v>196937.65</v>
      </c>
      <c r="I1715">
        <v>12</v>
      </c>
      <c r="J1715" s="1" t="s">
        <v>484</v>
      </c>
      <c r="K1715">
        <v>0</v>
      </c>
      <c r="L1715">
        <v>3594</v>
      </c>
      <c r="M1715">
        <v>54.794705</v>
      </c>
      <c r="N1715">
        <v>1</v>
      </c>
      <c r="O1715" s="1" t="s">
        <v>563</v>
      </c>
      <c r="P1715">
        <v>211115.95</v>
      </c>
      <c r="Q1715">
        <v>1119.43</v>
      </c>
      <c r="R1715">
        <v>1</v>
      </c>
      <c r="S1715" s="1" t="s">
        <v>807</v>
      </c>
      <c r="T1715" s="1"/>
      <c r="U1715">
        <v>5644.53</v>
      </c>
      <c r="V1715">
        <v>57807</v>
      </c>
      <c r="W1715">
        <v>57809</v>
      </c>
    </row>
    <row r="1716" spans="1:23" x14ac:dyDescent="0.25">
      <c r="A1716" s="1" t="s">
        <v>31</v>
      </c>
      <c r="B1716" s="1" t="s">
        <v>66</v>
      </c>
      <c r="C1716" s="1" t="s">
        <v>156</v>
      </c>
      <c r="D1716">
        <v>14135</v>
      </c>
      <c r="E1716" s="1" t="s">
        <v>243</v>
      </c>
      <c r="F1716" s="1" t="s">
        <v>288</v>
      </c>
      <c r="G1716">
        <v>2010</v>
      </c>
      <c r="H1716">
        <v>226226.5</v>
      </c>
      <c r="I1716">
        <v>12</v>
      </c>
      <c r="J1716" s="1" t="s">
        <v>484</v>
      </c>
      <c r="K1716">
        <v>0</v>
      </c>
      <c r="L1716">
        <v>3594</v>
      </c>
      <c r="M1716">
        <v>62.943852</v>
      </c>
      <c r="N1716">
        <v>1</v>
      </c>
      <c r="O1716" s="1" t="s">
        <v>562</v>
      </c>
      <c r="P1716">
        <v>208205.91</v>
      </c>
      <c r="Q1716">
        <v>38518.089999999997</v>
      </c>
      <c r="R1716">
        <v>0</v>
      </c>
      <c r="S1716" s="1" t="s">
        <v>808</v>
      </c>
      <c r="T1716" s="1"/>
      <c r="U1716">
        <v>226226.5</v>
      </c>
      <c r="V1716">
        <v>0</v>
      </c>
      <c r="W1716">
        <v>57807</v>
      </c>
    </row>
    <row r="1717" spans="1:23" x14ac:dyDescent="0.25">
      <c r="A1717" s="1" t="s">
        <v>31</v>
      </c>
      <c r="B1717" s="1" t="s">
        <v>66</v>
      </c>
      <c r="C1717" s="1" t="s">
        <v>156</v>
      </c>
      <c r="D1717">
        <v>14135</v>
      </c>
      <c r="E1717" s="1" t="s">
        <v>243</v>
      </c>
      <c r="F1717" s="1" t="s">
        <v>288</v>
      </c>
      <c r="G1717">
        <v>2010</v>
      </c>
      <c r="H1717">
        <v>228758.71</v>
      </c>
      <c r="I1717">
        <v>12</v>
      </c>
      <c r="J1717" s="1" t="s">
        <v>484</v>
      </c>
      <c r="K1717">
        <v>0</v>
      </c>
      <c r="L1717">
        <v>3594</v>
      </c>
      <c r="M1717">
        <v>63.648398</v>
      </c>
      <c r="N1717">
        <v>1</v>
      </c>
      <c r="O1717" s="1" t="s">
        <v>563</v>
      </c>
      <c r="P1717">
        <v>210093.24</v>
      </c>
      <c r="Q1717">
        <v>1114</v>
      </c>
      <c r="R1717">
        <v>1</v>
      </c>
      <c r="S1717" s="1" t="s">
        <v>807</v>
      </c>
      <c r="T1717" s="1"/>
      <c r="U1717">
        <v>6556.57</v>
      </c>
      <c r="V1717">
        <v>57807</v>
      </c>
      <c r="W1717">
        <v>57809</v>
      </c>
    </row>
    <row r="1718" spans="1:23" x14ac:dyDescent="0.25">
      <c r="A1718" s="1" t="s">
        <v>31</v>
      </c>
      <c r="B1718" s="1" t="s">
        <v>66</v>
      </c>
      <c r="C1718" s="1" t="s">
        <v>156</v>
      </c>
      <c r="D1718">
        <v>14135</v>
      </c>
      <c r="E1718" s="1" t="s">
        <v>243</v>
      </c>
      <c r="F1718" s="1" t="s">
        <v>288</v>
      </c>
      <c r="G1718">
        <v>2009</v>
      </c>
      <c r="H1718">
        <v>184349.5</v>
      </c>
      <c r="I1718">
        <v>12</v>
      </c>
      <c r="J1718" s="1" t="s">
        <v>484</v>
      </c>
      <c r="K1718">
        <v>0</v>
      </c>
      <c r="L1718">
        <v>3594</v>
      </c>
      <c r="M1718">
        <v>51.292256000000002</v>
      </c>
      <c r="N1718">
        <v>1</v>
      </c>
      <c r="O1718" s="1" t="s">
        <v>562</v>
      </c>
      <c r="P1718">
        <v>193921.2</v>
      </c>
      <c r="Q1718">
        <v>35875.43</v>
      </c>
      <c r="R1718">
        <v>0</v>
      </c>
      <c r="S1718" s="1" t="s">
        <v>808</v>
      </c>
      <c r="T1718" s="1"/>
      <c r="U1718">
        <v>184349.5</v>
      </c>
      <c r="V1718">
        <v>0</v>
      </c>
      <c r="W1718">
        <v>57807</v>
      </c>
    </row>
    <row r="1719" spans="1:23" x14ac:dyDescent="0.25">
      <c r="A1719" s="1" t="s">
        <v>31</v>
      </c>
      <c r="B1719" s="1" t="s">
        <v>66</v>
      </c>
      <c r="C1719" s="1" t="s">
        <v>156</v>
      </c>
      <c r="D1719">
        <v>14135</v>
      </c>
      <c r="E1719" s="1" t="s">
        <v>243</v>
      </c>
      <c r="F1719" s="1" t="s">
        <v>288</v>
      </c>
      <c r="G1719">
        <v>2009</v>
      </c>
      <c r="H1719">
        <v>169966.28</v>
      </c>
      <c r="I1719">
        <v>12</v>
      </c>
      <c r="J1719" s="1" t="s">
        <v>484</v>
      </c>
      <c r="K1719">
        <v>0</v>
      </c>
      <c r="L1719">
        <v>3594</v>
      </c>
      <c r="M1719">
        <v>47.290359000000002</v>
      </c>
      <c r="N1719">
        <v>1</v>
      </c>
      <c r="O1719" s="1" t="s">
        <v>563</v>
      </c>
      <c r="P1719">
        <v>177969.95</v>
      </c>
      <c r="Q1719">
        <v>943.66</v>
      </c>
      <c r="R1719">
        <v>1</v>
      </c>
      <c r="S1719" s="1" t="s">
        <v>807</v>
      </c>
      <c r="T1719" s="1"/>
      <c r="U1719">
        <v>4871.49</v>
      </c>
      <c r="V1719">
        <v>57807</v>
      </c>
      <c r="W1719">
        <v>57809</v>
      </c>
    </row>
    <row r="1720" spans="1:23" x14ac:dyDescent="0.25">
      <c r="A1720" s="1" t="s">
        <v>31</v>
      </c>
      <c r="B1720" s="1" t="s">
        <v>66</v>
      </c>
      <c r="C1720" s="1" t="s">
        <v>156</v>
      </c>
      <c r="D1720">
        <v>14135</v>
      </c>
      <c r="E1720" s="1" t="s">
        <v>243</v>
      </c>
      <c r="F1720" s="1" t="s">
        <v>288</v>
      </c>
      <c r="G1720">
        <v>2008</v>
      </c>
      <c r="H1720">
        <v>171816</v>
      </c>
      <c r="I1720">
        <v>12</v>
      </c>
      <c r="J1720" s="1" t="s">
        <v>484</v>
      </c>
      <c r="K1720">
        <v>0</v>
      </c>
      <c r="L1720">
        <v>3594</v>
      </c>
      <c r="M1720">
        <v>47.805013000000002</v>
      </c>
      <c r="N1720">
        <v>1</v>
      </c>
      <c r="O1720" s="1" t="s">
        <v>562</v>
      </c>
      <c r="P1720">
        <v>195213.17</v>
      </c>
      <c r="Q1720">
        <v>36114.449999999997</v>
      </c>
      <c r="R1720">
        <v>0</v>
      </c>
      <c r="S1720" s="1" t="s">
        <v>808</v>
      </c>
      <c r="T1720" s="1"/>
      <c r="U1720">
        <v>171816</v>
      </c>
      <c r="V1720">
        <v>0</v>
      </c>
      <c r="W1720">
        <v>57807</v>
      </c>
    </row>
    <row r="1721" spans="1:23" x14ac:dyDescent="0.25">
      <c r="A1721" s="1" t="s">
        <v>31</v>
      </c>
      <c r="B1721" s="1" t="s">
        <v>66</v>
      </c>
      <c r="C1721" s="1" t="s">
        <v>156</v>
      </c>
      <c r="D1721">
        <v>14135</v>
      </c>
      <c r="E1721" s="1" t="s">
        <v>243</v>
      </c>
      <c r="F1721" s="1" t="s">
        <v>288</v>
      </c>
      <c r="G1721">
        <v>2008</v>
      </c>
      <c r="H1721">
        <v>150615.93</v>
      </c>
      <c r="I1721">
        <v>12</v>
      </c>
      <c r="J1721" s="1" t="s">
        <v>484</v>
      </c>
      <c r="K1721">
        <v>0</v>
      </c>
      <c r="L1721">
        <v>3594</v>
      </c>
      <c r="M1721">
        <v>41.906438000000001</v>
      </c>
      <c r="N1721">
        <v>1</v>
      </c>
      <c r="O1721" s="1" t="s">
        <v>563</v>
      </c>
      <c r="P1721">
        <v>168879.73</v>
      </c>
      <c r="Q1721">
        <v>895.46</v>
      </c>
      <c r="R1721">
        <v>1</v>
      </c>
      <c r="S1721" s="1" t="s">
        <v>807</v>
      </c>
      <c r="T1721" s="1"/>
      <c r="U1721">
        <v>4316.88</v>
      </c>
      <c r="V1721">
        <v>57807</v>
      </c>
      <c r="W1721">
        <v>57809</v>
      </c>
    </row>
    <row r="1722" spans="1:23" x14ac:dyDescent="0.25">
      <c r="A1722" s="1" t="s">
        <v>31</v>
      </c>
      <c r="B1722" s="1"/>
      <c r="C1722" s="1" t="s">
        <v>157</v>
      </c>
      <c r="D1722">
        <v>10324</v>
      </c>
      <c r="E1722" s="1"/>
      <c r="F1722" s="1" t="s">
        <v>289</v>
      </c>
      <c r="G1722">
        <v>2015</v>
      </c>
      <c r="H1722">
        <v>63377.33</v>
      </c>
      <c r="I1722">
        <v>5</v>
      </c>
      <c r="J1722" s="1"/>
      <c r="K1722">
        <v>0</v>
      </c>
      <c r="L1722">
        <v>2027</v>
      </c>
      <c r="M1722">
        <v>31.265022999999999</v>
      </c>
      <c r="N1722">
        <v>1</v>
      </c>
      <c r="O1722" s="1" t="s">
        <v>563</v>
      </c>
      <c r="P1722">
        <v>70072.710000000006</v>
      </c>
      <c r="Q1722">
        <v>128.53</v>
      </c>
      <c r="R1722">
        <v>1</v>
      </c>
      <c r="S1722" s="1"/>
      <c r="T1722" s="1"/>
      <c r="U1722">
        <v>1816.49</v>
      </c>
      <c r="V1722">
        <v>77834</v>
      </c>
      <c r="W1722">
        <v>77835</v>
      </c>
    </row>
    <row r="1723" spans="1:23" x14ac:dyDescent="0.25">
      <c r="A1723" s="1" t="s">
        <v>31</v>
      </c>
      <c r="B1723" s="1"/>
      <c r="C1723" s="1" t="s">
        <v>157</v>
      </c>
      <c r="D1723">
        <v>10324</v>
      </c>
      <c r="E1723" s="1"/>
      <c r="F1723" s="1" t="s">
        <v>289</v>
      </c>
      <c r="G1723">
        <v>2015</v>
      </c>
      <c r="H1723">
        <v>88922</v>
      </c>
      <c r="I1723">
        <v>5</v>
      </c>
      <c r="J1723" s="1"/>
      <c r="K1723">
        <v>0</v>
      </c>
      <c r="L1723">
        <v>2027</v>
      </c>
      <c r="M1723">
        <v>43.866607000000002</v>
      </c>
      <c r="N1723">
        <v>1</v>
      </c>
      <c r="O1723" s="1" t="s">
        <v>565</v>
      </c>
      <c r="P1723">
        <v>99224.45</v>
      </c>
      <c r="Q1723">
        <v>18356.52</v>
      </c>
      <c r="R1723">
        <v>0</v>
      </c>
      <c r="S1723" s="1"/>
      <c r="T1723" s="1"/>
      <c r="U1723">
        <v>88.921999999999997</v>
      </c>
      <c r="V1723">
        <v>0</v>
      </c>
      <c r="W1723">
        <v>77834</v>
      </c>
    </row>
    <row r="1724" spans="1:23" x14ac:dyDescent="0.25">
      <c r="A1724" s="1" t="s">
        <v>31</v>
      </c>
      <c r="B1724" s="1"/>
      <c r="C1724" s="1" t="s">
        <v>157</v>
      </c>
      <c r="D1724">
        <v>10324</v>
      </c>
      <c r="E1724" s="1"/>
      <c r="F1724" s="1" t="s">
        <v>289</v>
      </c>
      <c r="G1724">
        <v>2014</v>
      </c>
      <c r="H1724">
        <v>117208.77</v>
      </c>
      <c r="I1724">
        <v>12</v>
      </c>
      <c r="J1724" s="1"/>
      <c r="K1724">
        <v>0</v>
      </c>
      <c r="L1724">
        <v>2027</v>
      </c>
      <c r="M1724">
        <v>57.820911000000002</v>
      </c>
      <c r="N1724">
        <v>1</v>
      </c>
      <c r="O1724" s="1" t="s">
        <v>563</v>
      </c>
      <c r="P1724">
        <v>137547.22</v>
      </c>
      <c r="Q1724">
        <v>252.3</v>
      </c>
      <c r="R1724">
        <v>1</v>
      </c>
      <c r="S1724" s="1"/>
      <c r="T1724" s="1"/>
      <c r="U1724">
        <v>3359.38</v>
      </c>
      <c r="V1724">
        <v>77834</v>
      </c>
      <c r="W1724">
        <v>77835</v>
      </c>
    </row>
    <row r="1725" spans="1:23" x14ac:dyDescent="0.25">
      <c r="A1725" s="1" t="s">
        <v>31</v>
      </c>
      <c r="B1725" s="1"/>
      <c r="C1725" s="1" t="s">
        <v>157</v>
      </c>
      <c r="D1725">
        <v>10324</v>
      </c>
      <c r="E1725" s="1"/>
      <c r="F1725" s="1" t="s">
        <v>289</v>
      </c>
      <c r="G1725">
        <v>2014</v>
      </c>
      <c r="H1725">
        <v>129363</v>
      </c>
      <c r="I1725">
        <v>12</v>
      </c>
      <c r="J1725" s="1"/>
      <c r="K1725">
        <v>0</v>
      </c>
      <c r="L1725">
        <v>2027</v>
      </c>
      <c r="M1725">
        <v>63.816782000000003</v>
      </c>
      <c r="N1725">
        <v>1</v>
      </c>
      <c r="O1725" s="1" t="s">
        <v>565</v>
      </c>
      <c r="P1725">
        <v>151151.85999999999</v>
      </c>
      <c r="Q1725">
        <v>27963.07</v>
      </c>
      <c r="R1725">
        <v>0</v>
      </c>
      <c r="S1725" s="1"/>
      <c r="T1725" s="1"/>
      <c r="U1725">
        <v>129.363</v>
      </c>
      <c r="V1725">
        <v>0</v>
      </c>
      <c r="W1725">
        <v>77834</v>
      </c>
    </row>
    <row r="1726" spans="1:23" x14ac:dyDescent="0.25">
      <c r="A1726" s="1" t="s">
        <v>31</v>
      </c>
      <c r="B1726" s="1"/>
      <c r="C1726" s="1" t="s">
        <v>157</v>
      </c>
      <c r="D1726">
        <v>10324</v>
      </c>
      <c r="E1726" s="1"/>
      <c r="F1726" s="1" t="s">
        <v>289</v>
      </c>
      <c r="G1726">
        <v>2013</v>
      </c>
      <c r="H1726">
        <v>131475.63</v>
      </c>
      <c r="I1726">
        <v>12</v>
      </c>
      <c r="J1726" s="1"/>
      <c r="K1726">
        <v>0</v>
      </c>
      <c r="L1726">
        <v>2027</v>
      </c>
      <c r="M1726">
        <v>64.858975000000001</v>
      </c>
      <c r="N1726">
        <v>1</v>
      </c>
      <c r="O1726" s="1" t="s">
        <v>563</v>
      </c>
      <c r="P1726">
        <v>136754.38</v>
      </c>
      <c r="Q1726">
        <v>250.84</v>
      </c>
      <c r="R1726">
        <v>1</v>
      </c>
      <c r="S1726" s="1"/>
      <c r="T1726" s="1"/>
      <c r="U1726">
        <v>3768.29</v>
      </c>
      <c r="V1726">
        <v>77834</v>
      </c>
      <c r="W1726">
        <v>77835</v>
      </c>
    </row>
    <row r="1727" spans="1:23" x14ac:dyDescent="0.25">
      <c r="A1727" s="1" t="s">
        <v>31</v>
      </c>
      <c r="B1727" s="1"/>
      <c r="C1727" s="1" t="s">
        <v>157</v>
      </c>
      <c r="D1727">
        <v>10324</v>
      </c>
      <c r="E1727" s="1"/>
      <c r="F1727" s="1" t="s">
        <v>289</v>
      </c>
      <c r="G1727">
        <v>2013</v>
      </c>
      <c r="H1727">
        <v>152300</v>
      </c>
      <c r="I1727">
        <v>12</v>
      </c>
      <c r="J1727" s="1"/>
      <c r="K1727">
        <v>0</v>
      </c>
      <c r="L1727">
        <v>2027</v>
      </c>
      <c r="M1727">
        <v>75.131961000000004</v>
      </c>
      <c r="N1727">
        <v>1</v>
      </c>
      <c r="O1727" s="1" t="s">
        <v>565</v>
      </c>
      <c r="P1727">
        <v>157887.53</v>
      </c>
      <c r="Q1727">
        <v>29209.19</v>
      </c>
      <c r="R1727">
        <v>0</v>
      </c>
      <c r="S1727" s="1"/>
      <c r="T1727" s="1"/>
      <c r="U1727">
        <v>152.30000000000001</v>
      </c>
      <c r="V1727">
        <v>0</v>
      </c>
      <c r="W1727">
        <v>77834</v>
      </c>
    </row>
    <row r="1728" spans="1:23" x14ac:dyDescent="0.25">
      <c r="A1728" s="1" t="s">
        <v>31</v>
      </c>
      <c r="B1728" s="1"/>
      <c r="C1728" s="1" t="s">
        <v>157</v>
      </c>
      <c r="D1728">
        <v>10324</v>
      </c>
      <c r="E1728" s="1"/>
      <c r="F1728" s="1" t="s">
        <v>289</v>
      </c>
      <c r="G1728">
        <v>2012</v>
      </c>
      <c r="H1728">
        <v>173122</v>
      </c>
      <c r="I1728">
        <v>12</v>
      </c>
      <c r="J1728" s="1"/>
      <c r="K1728">
        <v>0</v>
      </c>
      <c r="L1728">
        <v>2027</v>
      </c>
      <c r="M1728">
        <v>85.403778000000003</v>
      </c>
      <c r="N1728">
        <v>1</v>
      </c>
      <c r="O1728" s="1" t="s">
        <v>565</v>
      </c>
      <c r="P1728">
        <v>181970.39</v>
      </c>
      <c r="Q1728">
        <v>33664.519999999997</v>
      </c>
      <c r="R1728">
        <v>0</v>
      </c>
      <c r="S1728" s="1"/>
      <c r="T1728" s="1"/>
      <c r="U1728">
        <v>173.12200000000001</v>
      </c>
      <c r="V1728">
        <v>0</v>
      </c>
      <c r="W1728">
        <v>77834</v>
      </c>
    </row>
    <row r="1729" spans="1:23" x14ac:dyDescent="0.25">
      <c r="A1729" s="1" t="s">
        <v>31</v>
      </c>
      <c r="B1729" s="1"/>
      <c r="C1729" s="1" t="s">
        <v>157</v>
      </c>
      <c r="D1729">
        <v>10324</v>
      </c>
      <c r="E1729" s="1"/>
      <c r="F1729" s="1" t="s">
        <v>289</v>
      </c>
      <c r="G1729">
        <v>2012</v>
      </c>
      <c r="H1729">
        <v>179033.85</v>
      </c>
      <c r="I1729">
        <v>12</v>
      </c>
      <c r="J1729" s="1"/>
      <c r="K1729">
        <v>0</v>
      </c>
      <c r="L1729">
        <v>2027</v>
      </c>
      <c r="M1729">
        <v>88.320186000000007</v>
      </c>
      <c r="N1729">
        <v>1</v>
      </c>
      <c r="O1729" s="1" t="s">
        <v>563</v>
      </c>
      <c r="P1729">
        <v>194813.97</v>
      </c>
      <c r="Q1729">
        <v>1032.97</v>
      </c>
      <c r="R1729">
        <v>1</v>
      </c>
      <c r="S1729" s="1"/>
      <c r="T1729" s="1"/>
      <c r="U1729">
        <v>5131.38</v>
      </c>
      <c r="V1729">
        <v>77834</v>
      </c>
      <c r="W1729">
        <v>77835</v>
      </c>
    </row>
    <row r="1730" spans="1:23" x14ac:dyDescent="0.25">
      <c r="A1730" s="1" t="s">
        <v>31</v>
      </c>
      <c r="B1730" s="1"/>
      <c r="C1730" s="1" t="s">
        <v>157</v>
      </c>
      <c r="D1730">
        <v>10324</v>
      </c>
      <c r="E1730" s="1"/>
      <c r="F1730" s="1" t="s">
        <v>289</v>
      </c>
      <c r="G1730">
        <v>2011</v>
      </c>
      <c r="H1730">
        <v>168614</v>
      </c>
      <c r="I1730">
        <v>12</v>
      </c>
      <c r="J1730" s="1"/>
      <c r="K1730">
        <v>0</v>
      </c>
      <c r="L1730">
        <v>2027</v>
      </c>
      <c r="M1730">
        <v>83.179912000000002</v>
      </c>
      <c r="N1730">
        <v>1</v>
      </c>
      <c r="O1730" s="1" t="s">
        <v>565</v>
      </c>
      <c r="P1730">
        <v>187586.93</v>
      </c>
      <c r="Q1730">
        <v>34703.58</v>
      </c>
      <c r="R1730">
        <v>0</v>
      </c>
      <c r="S1730" s="1"/>
      <c r="T1730" s="1"/>
      <c r="U1730">
        <v>168.614</v>
      </c>
      <c r="V1730">
        <v>0</v>
      </c>
      <c r="W1730">
        <v>77834</v>
      </c>
    </row>
    <row r="1731" spans="1:23" x14ac:dyDescent="0.25">
      <c r="A1731" s="1" t="s">
        <v>31</v>
      </c>
      <c r="B1731" s="1"/>
      <c r="C1731" s="1" t="s">
        <v>157</v>
      </c>
      <c r="D1731">
        <v>10324</v>
      </c>
      <c r="E1731" s="1"/>
      <c r="F1731" s="1" t="s">
        <v>289</v>
      </c>
      <c r="G1731">
        <v>2011</v>
      </c>
      <c r="H1731">
        <v>370032.54</v>
      </c>
      <c r="I1731">
        <v>12</v>
      </c>
      <c r="J1731" s="1"/>
      <c r="K1731">
        <v>0</v>
      </c>
      <c r="L1731">
        <v>2027</v>
      </c>
      <c r="M1731">
        <v>182.54281399999999</v>
      </c>
      <c r="N1731">
        <v>1</v>
      </c>
      <c r="O1731" s="1" t="s">
        <v>563</v>
      </c>
      <c r="P1731">
        <v>441751.16</v>
      </c>
      <c r="Q1731">
        <v>2342.34</v>
      </c>
      <c r="R1731">
        <v>1</v>
      </c>
      <c r="S1731" s="1"/>
      <c r="T1731" s="1"/>
      <c r="U1731">
        <v>10605.69</v>
      </c>
      <c r="V1731">
        <v>77834</v>
      </c>
      <c r="W1731">
        <v>77835</v>
      </c>
    </row>
    <row r="1732" spans="1:23" x14ac:dyDescent="0.25">
      <c r="A1732" s="1" t="s">
        <v>31</v>
      </c>
      <c r="B1732" s="1"/>
      <c r="C1732" s="1" t="s">
        <v>157</v>
      </c>
      <c r="D1732">
        <v>10324</v>
      </c>
      <c r="E1732" s="1"/>
      <c r="F1732" s="1" t="s">
        <v>289</v>
      </c>
      <c r="G1732">
        <v>2010</v>
      </c>
      <c r="H1732">
        <v>202193</v>
      </c>
      <c r="I1732">
        <v>12</v>
      </c>
      <c r="J1732" s="1"/>
      <c r="K1732">
        <v>0</v>
      </c>
      <c r="L1732">
        <v>2027</v>
      </c>
      <c r="M1732">
        <v>99.744955000000004</v>
      </c>
      <c r="N1732">
        <v>1</v>
      </c>
      <c r="O1732" s="1" t="s">
        <v>565</v>
      </c>
      <c r="P1732">
        <v>186705.07</v>
      </c>
      <c r="Q1732">
        <v>34540.449999999997</v>
      </c>
      <c r="R1732">
        <v>0</v>
      </c>
      <c r="S1732" s="1"/>
      <c r="T1732" s="1"/>
      <c r="U1732">
        <v>202.19300000000001</v>
      </c>
      <c r="V1732">
        <v>0</v>
      </c>
      <c r="W1732">
        <v>77834</v>
      </c>
    </row>
    <row r="1733" spans="1:23" x14ac:dyDescent="0.25">
      <c r="A1733" s="1" t="s">
        <v>31</v>
      </c>
      <c r="B1733" s="1"/>
      <c r="C1733" s="1" t="s">
        <v>157</v>
      </c>
      <c r="D1733">
        <v>10324</v>
      </c>
      <c r="E1733" s="1"/>
      <c r="F1733" s="1" t="s">
        <v>289</v>
      </c>
      <c r="G1733">
        <v>2010</v>
      </c>
      <c r="H1733">
        <v>170616.3</v>
      </c>
      <c r="I1733">
        <v>12</v>
      </c>
      <c r="J1733" s="1"/>
      <c r="K1733">
        <v>0</v>
      </c>
      <c r="L1733">
        <v>2027</v>
      </c>
      <c r="M1733">
        <v>84.167676999999998</v>
      </c>
      <c r="N1733">
        <v>1</v>
      </c>
      <c r="O1733" s="1" t="s">
        <v>563</v>
      </c>
      <c r="P1733">
        <v>158079.66</v>
      </c>
      <c r="Q1733">
        <v>838.21</v>
      </c>
      <c r="R1733">
        <v>1</v>
      </c>
      <c r="S1733" s="1"/>
      <c r="T1733" s="1"/>
      <c r="U1733">
        <v>4890.12</v>
      </c>
      <c r="V1733">
        <v>77834</v>
      </c>
      <c r="W1733">
        <v>77835</v>
      </c>
    </row>
    <row r="1734" spans="1:23" x14ac:dyDescent="0.25">
      <c r="A1734" s="1" t="s">
        <v>31</v>
      </c>
      <c r="B1734" s="1"/>
      <c r="C1734" s="1" t="s">
        <v>157</v>
      </c>
      <c r="D1734">
        <v>10324</v>
      </c>
      <c r="E1734" s="1"/>
      <c r="F1734" s="1" t="s">
        <v>289</v>
      </c>
      <c r="G1734">
        <v>2009</v>
      </c>
      <c r="H1734">
        <v>192738</v>
      </c>
      <c r="I1734">
        <v>12</v>
      </c>
      <c r="J1734" s="1"/>
      <c r="K1734">
        <v>0</v>
      </c>
      <c r="L1734">
        <v>2027</v>
      </c>
      <c r="M1734">
        <v>95.080657000000002</v>
      </c>
      <c r="N1734">
        <v>1</v>
      </c>
      <c r="O1734" s="1" t="s">
        <v>565</v>
      </c>
      <c r="P1734">
        <v>202923.28</v>
      </c>
      <c r="Q1734">
        <v>37540.82</v>
      </c>
      <c r="R1734">
        <v>0</v>
      </c>
      <c r="S1734" s="1"/>
      <c r="T1734" s="1"/>
      <c r="U1734">
        <v>192.738</v>
      </c>
      <c r="V1734">
        <v>0</v>
      </c>
      <c r="W1734">
        <v>77834</v>
      </c>
    </row>
    <row r="1735" spans="1:23" x14ac:dyDescent="0.25">
      <c r="A1735" s="1" t="s">
        <v>31</v>
      </c>
      <c r="B1735" s="1"/>
      <c r="C1735" s="1" t="s">
        <v>157</v>
      </c>
      <c r="D1735">
        <v>10324</v>
      </c>
      <c r="E1735" s="1"/>
      <c r="F1735" s="1" t="s">
        <v>289</v>
      </c>
      <c r="G1735">
        <v>2009</v>
      </c>
      <c r="H1735">
        <v>330638.92</v>
      </c>
      <c r="I1735">
        <v>12</v>
      </c>
      <c r="J1735" s="1"/>
      <c r="K1735">
        <v>0</v>
      </c>
      <c r="L1735">
        <v>2027</v>
      </c>
      <c r="M1735">
        <v>163.109328</v>
      </c>
      <c r="N1735">
        <v>1</v>
      </c>
      <c r="O1735" s="1" t="s">
        <v>563</v>
      </c>
      <c r="P1735">
        <v>673061.24</v>
      </c>
      <c r="Q1735">
        <v>3568.81</v>
      </c>
      <c r="R1735">
        <v>1</v>
      </c>
      <c r="S1735" s="1"/>
      <c r="T1735" s="1"/>
      <c r="U1735">
        <v>9476.61</v>
      </c>
      <c r="V1735">
        <v>77834</v>
      </c>
      <c r="W1735">
        <v>77835</v>
      </c>
    </row>
    <row r="1736" spans="1:23" x14ac:dyDescent="0.25">
      <c r="A1736" s="1" t="s">
        <v>31</v>
      </c>
      <c r="B1736" s="1"/>
      <c r="C1736" s="1" t="s">
        <v>157</v>
      </c>
      <c r="D1736">
        <v>10324</v>
      </c>
      <c r="E1736" s="1"/>
      <c r="F1736" s="1" t="s">
        <v>289</v>
      </c>
      <c r="G1736">
        <v>2008</v>
      </c>
      <c r="H1736">
        <v>128545.58</v>
      </c>
      <c r="I1736">
        <v>12</v>
      </c>
      <c r="J1736" s="1"/>
      <c r="K1736">
        <v>0</v>
      </c>
      <c r="L1736">
        <v>2027</v>
      </c>
      <c r="M1736">
        <v>63.413536000000001</v>
      </c>
      <c r="N1736">
        <v>1</v>
      </c>
      <c r="O1736" s="1" t="s">
        <v>563</v>
      </c>
      <c r="P1736">
        <v>149985.81</v>
      </c>
      <c r="Q1736">
        <v>795.27</v>
      </c>
      <c r="R1736">
        <v>1</v>
      </c>
      <c r="S1736" s="1"/>
      <c r="T1736" s="1"/>
      <c r="U1736">
        <v>3684.31</v>
      </c>
      <c r="V1736">
        <v>77834</v>
      </c>
      <c r="W1736">
        <v>77835</v>
      </c>
    </row>
    <row r="1737" spans="1:23" x14ac:dyDescent="0.25">
      <c r="A1737" s="1" t="s">
        <v>31</v>
      </c>
      <c r="B1737" s="1"/>
      <c r="C1737" s="1" t="s">
        <v>157</v>
      </c>
      <c r="D1737">
        <v>10324</v>
      </c>
      <c r="E1737" s="1"/>
      <c r="F1737" s="1" t="s">
        <v>289</v>
      </c>
      <c r="G1737">
        <v>2008</v>
      </c>
      <c r="H1737">
        <v>51515.93</v>
      </c>
      <c r="I1737">
        <v>2</v>
      </c>
      <c r="J1737" s="1" t="s">
        <v>430</v>
      </c>
      <c r="K1737">
        <v>0</v>
      </c>
      <c r="L1737">
        <v>2027</v>
      </c>
      <c r="M1737">
        <v>25.413609999999998</v>
      </c>
      <c r="N1737">
        <v>1</v>
      </c>
      <c r="O1737" s="1" t="s">
        <v>565</v>
      </c>
      <c r="P1737">
        <v>67158.039999999994</v>
      </c>
      <c r="Q1737">
        <v>12.42</v>
      </c>
      <c r="R1737">
        <v>0</v>
      </c>
      <c r="S1737" s="1"/>
      <c r="T1737" s="1"/>
      <c r="U1737">
        <v>51.515929999999997</v>
      </c>
      <c r="V1737">
        <v>0</v>
      </c>
      <c r="W1737">
        <v>77899</v>
      </c>
    </row>
    <row r="1738" spans="1:23" x14ac:dyDescent="0.25">
      <c r="A1738" s="1" t="s">
        <v>31</v>
      </c>
      <c r="B1738" s="1"/>
      <c r="C1738" s="1" t="s">
        <v>157</v>
      </c>
      <c r="D1738">
        <v>10324</v>
      </c>
      <c r="E1738" s="1"/>
      <c r="F1738" s="1" t="s">
        <v>289</v>
      </c>
      <c r="G1738">
        <v>2008</v>
      </c>
      <c r="H1738">
        <v>121039</v>
      </c>
      <c r="I1738">
        <v>12</v>
      </c>
      <c r="J1738" s="1"/>
      <c r="K1738">
        <v>0</v>
      </c>
      <c r="L1738">
        <v>2027</v>
      </c>
      <c r="M1738">
        <v>59.710422999999999</v>
      </c>
      <c r="N1738">
        <v>1</v>
      </c>
      <c r="O1738" s="1" t="s">
        <v>565</v>
      </c>
      <c r="P1738">
        <v>130166.32</v>
      </c>
      <c r="Q1738">
        <v>24080.76</v>
      </c>
      <c r="R1738">
        <v>0</v>
      </c>
      <c r="S1738" s="1"/>
      <c r="T1738" s="1"/>
      <c r="U1738">
        <v>121.039</v>
      </c>
      <c r="V1738">
        <v>0</v>
      </c>
      <c r="W1738">
        <v>77834</v>
      </c>
    </row>
    <row r="1739" spans="1:23" x14ac:dyDescent="0.25">
      <c r="A1739" s="1" t="s">
        <v>31</v>
      </c>
      <c r="B1739" s="1"/>
      <c r="C1739" s="1" t="s">
        <v>157</v>
      </c>
      <c r="D1739">
        <v>10946</v>
      </c>
      <c r="E1739" s="1" t="s">
        <v>243</v>
      </c>
      <c r="F1739" s="1" t="s">
        <v>362</v>
      </c>
      <c r="G1739">
        <v>2015</v>
      </c>
      <c r="H1739">
        <v>926100</v>
      </c>
      <c r="I1739">
        <v>5</v>
      </c>
      <c r="J1739" s="1"/>
      <c r="K1739">
        <v>0</v>
      </c>
      <c r="L1739">
        <v>0</v>
      </c>
      <c r="M1739">
        <v>9261000</v>
      </c>
      <c r="N1739">
        <v>1</v>
      </c>
      <c r="O1739" s="1" t="s">
        <v>562</v>
      </c>
      <c r="P1739">
        <v>1034832.41</v>
      </c>
      <c r="Q1739">
        <v>191443995.84999999</v>
      </c>
      <c r="R1739">
        <v>1</v>
      </c>
      <c r="S1739" s="1" t="s">
        <v>809</v>
      </c>
      <c r="T1739" s="1"/>
      <c r="U1739">
        <v>926100</v>
      </c>
      <c r="V1739">
        <v>0</v>
      </c>
      <c r="W1739">
        <v>86629</v>
      </c>
    </row>
    <row r="1740" spans="1:23" x14ac:dyDescent="0.25">
      <c r="A1740" s="1" t="s">
        <v>31</v>
      </c>
      <c r="B1740" s="1"/>
      <c r="C1740" s="1" t="s">
        <v>157</v>
      </c>
      <c r="D1740">
        <v>10946</v>
      </c>
      <c r="E1740" s="1" t="s">
        <v>243</v>
      </c>
      <c r="F1740" s="1" t="s">
        <v>362</v>
      </c>
      <c r="G1740">
        <v>2014</v>
      </c>
      <c r="H1740">
        <v>1575220</v>
      </c>
      <c r="I1740">
        <v>12</v>
      </c>
      <c r="J1740" s="1"/>
      <c r="K1740">
        <v>0</v>
      </c>
      <c r="L1740">
        <v>0</v>
      </c>
      <c r="M1740">
        <v>15752200</v>
      </c>
      <c r="N1740">
        <v>1</v>
      </c>
      <c r="O1740" s="1" t="s">
        <v>562</v>
      </c>
      <c r="P1740">
        <v>1834473.02</v>
      </c>
      <c r="Q1740">
        <v>339377508.69999999</v>
      </c>
      <c r="R1740">
        <v>1</v>
      </c>
      <c r="S1740" s="1" t="s">
        <v>809</v>
      </c>
      <c r="T1740" s="1"/>
      <c r="U1740">
        <v>1575220</v>
      </c>
      <c r="V1740">
        <v>0</v>
      </c>
      <c r="W1740">
        <v>86629</v>
      </c>
    </row>
    <row r="1741" spans="1:23" x14ac:dyDescent="0.25">
      <c r="A1741" s="1" t="s">
        <v>31</v>
      </c>
      <c r="B1741" s="1"/>
      <c r="C1741" s="1" t="s">
        <v>157</v>
      </c>
      <c r="D1741">
        <v>10946</v>
      </c>
      <c r="E1741" s="1" t="s">
        <v>243</v>
      </c>
      <c r="F1741" s="1" t="s">
        <v>362</v>
      </c>
      <c r="G1741">
        <v>2013</v>
      </c>
      <c r="H1741">
        <v>1792570</v>
      </c>
      <c r="I1741">
        <v>12</v>
      </c>
      <c r="J1741" s="1"/>
      <c r="K1741">
        <v>0</v>
      </c>
      <c r="L1741">
        <v>0</v>
      </c>
      <c r="M1741">
        <v>17925700</v>
      </c>
      <c r="N1741">
        <v>1</v>
      </c>
      <c r="O1741" s="1" t="s">
        <v>562</v>
      </c>
      <c r="P1741">
        <v>1861056.61</v>
      </c>
      <c r="Q1741">
        <v>344295472.85000002</v>
      </c>
      <c r="R1741">
        <v>1</v>
      </c>
      <c r="S1741" s="1" t="s">
        <v>809</v>
      </c>
      <c r="T1741" s="1"/>
      <c r="U1741">
        <v>1792570</v>
      </c>
      <c r="V1741">
        <v>0</v>
      </c>
      <c r="W1741">
        <v>86629</v>
      </c>
    </row>
    <row r="1742" spans="1:23" x14ac:dyDescent="0.25">
      <c r="A1742" s="1" t="s">
        <v>31</v>
      </c>
      <c r="B1742" s="1"/>
      <c r="C1742" s="1" t="s">
        <v>157</v>
      </c>
      <c r="D1742">
        <v>10946</v>
      </c>
      <c r="E1742" s="1" t="s">
        <v>243</v>
      </c>
      <c r="F1742" s="1" t="s">
        <v>362</v>
      </c>
      <c r="G1742">
        <v>2012</v>
      </c>
      <c r="H1742">
        <v>1823000</v>
      </c>
      <c r="I1742">
        <v>12</v>
      </c>
      <c r="J1742" s="1"/>
      <c r="K1742">
        <v>0</v>
      </c>
      <c r="L1742">
        <v>0</v>
      </c>
      <c r="M1742">
        <v>18230000</v>
      </c>
      <c r="N1742">
        <v>1</v>
      </c>
      <c r="O1742" s="1" t="s">
        <v>562</v>
      </c>
      <c r="P1742">
        <v>1904744.47</v>
      </c>
      <c r="Q1742">
        <v>352377726.94999999</v>
      </c>
      <c r="R1742">
        <v>1</v>
      </c>
      <c r="S1742" s="1" t="s">
        <v>809</v>
      </c>
      <c r="T1742" s="1"/>
      <c r="U1742">
        <v>1823000</v>
      </c>
      <c r="V1742">
        <v>0</v>
      </c>
      <c r="W1742">
        <v>86629</v>
      </c>
    </row>
    <row r="1743" spans="1:23" x14ac:dyDescent="0.25">
      <c r="A1743" s="1" t="s">
        <v>31</v>
      </c>
      <c r="B1743" s="1"/>
      <c r="C1743" s="1" t="s">
        <v>157</v>
      </c>
      <c r="D1743">
        <v>10946</v>
      </c>
      <c r="E1743" s="1" t="s">
        <v>243</v>
      </c>
      <c r="F1743" s="1" t="s">
        <v>362</v>
      </c>
      <c r="G1743">
        <v>2011</v>
      </c>
      <c r="H1743">
        <v>1966990</v>
      </c>
      <c r="I1743">
        <v>12</v>
      </c>
      <c r="J1743" s="1"/>
      <c r="K1743">
        <v>0</v>
      </c>
      <c r="L1743">
        <v>0</v>
      </c>
      <c r="M1743">
        <v>19669900</v>
      </c>
      <c r="N1743">
        <v>1</v>
      </c>
      <c r="O1743" s="1" t="s">
        <v>562</v>
      </c>
      <c r="P1743">
        <v>2190382.91</v>
      </c>
      <c r="Q1743">
        <v>405220838.35000002</v>
      </c>
      <c r="R1743">
        <v>1</v>
      </c>
      <c r="S1743" s="1" t="s">
        <v>809</v>
      </c>
      <c r="T1743" s="1"/>
      <c r="U1743">
        <v>1966990</v>
      </c>
      <c r="V1743">
        <v>0</v>
      </c>
      <c r="W1743">
        <v>86629</v>
      </c>
    </row>
    <row r="1744" spans="1:23" x14ac:dyDescent="0.25">
      <c r="A1744" s="1" t="s">
        <v>31</v>
      </c>
      <c r="B1744" s="1"/>
      <c r="C1744" s="1" t="s">
        <v>157</v>
      </c>
      <c r="D1744">
        <v>10946</v>
      </c>
      <c r="E1744" s="1" t="s">
        <v>243</v>
      </c>
      <c r="F1744" s="1" t="s">
        <v>362</v>
      </c>
      <c r="G1744">
        <v>2010</v>
      </c>
      <c r="H1744">
        <v>1380070.66</v>
      </c>
      <c r="I1744">
        <v>3</v>
      </c>
      <c r="J1744" s="1" t="s">
        <v>416</v>
      </c>
      <c r="K1744">
        <v>0</v>
      </c>
      <c r="L1744">
        <v>0</v>
      </c>
      <c r="M1744">
        <v>13800706.6</v>
      </c>
      <c r="N1744">
        <v>1</v>
      </c>
      <c r="O1744" s="1" t="s">
        <v>565</v>
      </c>
      <c r="P1744">
        <v>1316645.1100000001</v>
      </c>
      <c r="Q1744">
        <v>243579.34</v>
      </c>
      <c r="R1744">
        <v>1</v>
      </c>
      <c r="S1744" s="1" t="s">
        <v>809</v>
      </c>
      <c r="T1744" s="1"/>
      <c r="U1744">
        <v>1380.0706600000001</v>
      </c>
      <c r="V1744">
        <v>0</v>
      </c>
      <c r="W1744">
        <v>79519</v>
      </c>
    </row>
    <row r="1745" spans="1:23" x14ac:dyDescent="0.25">
      <c r="A1745" s="1" t="s">
        <v>31</v>
      </c>
      <c r="B1745" s="1"/>
      <c r="C1745" s="1" t="s">
        <v>157</v>
      </c>
      <c r="D1745">
        <v>10946</v>
      </c>
      <c r="E1745" s="1" t="s">
        <v>243</v>
      </c>
      <c r="F1745" s="1" t="s">
        <v>362</v>
      </c>
      <c r="G1745">
        <v>2010</v>
      </c>
      <c r="H1745">
        <v>886940</v>
      </c>
      <c r="I1745">
        <v>5</v>
      </c>
      <c r="J1745" s="1"/>
      <c r="K1745">
        <v>0</v>
      </c>
      <c r="L1745">
        <v>0</v>
      </c>
      <c r="M1745">
        <v>8869400</v>
      </c>
      <c r="N1745">
        <v>1</v>
      </c>
      <c r="O1745" s="1" t="s">
        <v>562</v>
      </c>
      <c r="P1745">
        <v>773232.5</v>
      </c>
      <c r="Q1745">
        <v>143048012.5</v>
      </c>
      <c r="R1745">
        <v>1</v>
      </c>
      <c r="S1745" s="1" t="s">
        <v>809</v>
      </c>
      <c r="T1745" s="1"/>
      <c r="U1745">
        <v>886940</v>
      </c>
      <c r="V1745">
        <v>0</v>
      </c>
      <c r="W1745">
        <v>86629</v>
      </c>
    </row>
    <row r="1746" spans="1:23" x14ac:dyDescent="0.25">
      <c r="A1746" s="1" t="s">
        <v>31</v>
      </c>
      <c r="B1746" s="1"/>
      <c r="C1746" s="1" t="s">
        <v>157</v>
      </c>
      <c r="D1746">
        <v>10946</v>
      </c>
      <c r="E1746" s="1" t="s">
        <v>243</v>
      </c>
      <c r="F1746" s="1" t="s">
        <v>362</v>
      </c>
      <c r="G1746">
        <v>2009</v>
      </c>
      <c r="H1746">
        <v>1332809.6599999999</v>
      </c>
      <c r="I1746">
        <v>4</v>
      </c>
      <c r="J1746" s="1" t="s">
        <v>416</v>
      </c>
      <c r="K1746">
        <v>0</v>
      </c>
      <c r="L1746">
        <v>0</v>
      </c>
      <c r="M1746">
        <v>13328096.6</v>
      </c>
      <c r="N1746">
        <v>1</v>
      </c>
      <c r="O1746" s="1" t="s">
        <v>565</v>
      </c>
      <c r="P1746">
        <v>1618260.37</v>
      </c>
      <c r="Q1746">
        <v>299378.17</v>
      </c>
      <c r="R1746">
        <v>1</v>
      </c>
      <c r="S1746" s="1" t="s">
        <v>809</v>
      </c>
      <c r="T1746" s="1"/>
      <c r="U1746">
        <v>1332.8096599999999</v>
      </c>
      <c r="V1746">
        <v>0</v>
      </c>
      <c r="W1746">
        <v>79519</v>
      </c>
    </row>
    <row r="1747" spans="1:23" x14ac:dyDescent="0.25">
      <c r="A1747" s="1" t="s">
        <v>31</v>
      </c>
      <c r="B1747" s="1"/>
      <c r="C1747" s="1" t="s">
        <v>157</v>
      </c>
      <c r="D1747">
        <v>10946</v>
      </c>
      <c r="E1747" s="1" t="s">
        <v>243</v>
      </c>
      <c r="F1747" s="1" t="s">
        <v>362</v>
      </c>
      <c r="G1747">
        <v>2008</v>
      </c>
      <c r="H1747">
        <v>2043201.29</v>
      </c>
      <c r="I1747">
        <v>3</v>
      </c>
      <c r="J1747" s="1" t="s">
        <v>416</v>
      </c>
      <c r="K1747">
        <v>0</v>
      </c>
      <c r="L1747">
        <v>0</v>
      </c>
      <c r="M1747">
        <v>20432012.899999999</v>
      </c>
      <c r="N1747">
        <v>1</v>
      </c>
      <c r="O1747" s="1" t="s">
        <v>565</v>
      </c>
      <c r="P1747">
        <v>2523128.27</v>
      </c>
      <c r="Q1747">
        <v>466778.73</v>
      </c>
      <c r="R1747">
        <v>1</v>
      </c>
      <c r="S1747" s="1" t="s">
        <v>809</v>
      </c>
      <c r="T1747" s="1"/>
      <c r="U1747">
        <v>2043.20129</v>
      </c>
      <c r="V1747">
        <v>0</v>
      </c>
      <c r="W1747">
        <v>79519</v>
      </c>
    </row>
    <row r="1748" spans="1:23" x14ac:dyDescent="0.25">
      <c r="A1748" s="1" t="s">
        <v>31</v>
      </c>
      <c r="B1748" s="1"/>
      <c r="C1748" s="1" t="s">
        <v>158</v>
      </c>
      <c r="D1748">
        <v>9521</v>
      </c>
      <c r="E1748" s="1"/>
      <c r="F1748" s="1" t="s">
        <v>290</v>
      </c>
      <c r="G1748">
        <v>2015</v>
      </c>
      <c r="H1748">
        <v>120800</v>
      </c>
      <c r="I1748">
        <v>5</v>
      </c>
      <c r="J1748" s="1"/>
      <c r="K1748">
        <v>0</v>
      </c>
      <c r="L1748">
        <v>2433</v>
      </c>
      <c r="M1748">
        <v>49.648595999999998</v>
      </c>
      <c r="N1748">
        <v>1</v>
      </c>
      <c r="O1748" s="1" t="s">
        <v>562</v>
      </c>
      <c r="P1748">
        <v>138362.04</v>
      </c>
      <c r="Q1748">
        <v>8855.18</v>
      </c>
      <c r="R1748">
        <v>0</v>
      </c>
      <c r="S1748" s="1"/>
      <c r="T1748" s="1"/>
      <c r="U1748">
        <v>120800</v>
      </c>
      <c r="V1748">
        <v>0</v>
      </c>
      <c r="W1748">
        <v>74445</v>
      </c>
    </row>
    <row r="1749" spans="1:23" x14ac:dyDescent="0.25">
      <c r="A1749" s="1" t="s">
        <v>31</v>
      </c>
      <c r="B1749" s="1"/>
      <c r="C1749" s="1" t="s">
        <v>158</v>
      </c>
      <c r="D1749">
        <v>9521</v>
      </c>
      <c r="E1749" s="1"/>
      <c r="F1749" s="1" t="s">
        <v>290</v>
      </c>
      <c r="G1749">
        <v>2015</v>
      </c>
      <c r="H1749">
        <v>143090.87</v>
      </c>
      <c r="I1749">
        <v>5</v>
      </c>
      <c r="J1749" s="1"/>
      <c r="K1749">
        <v>0</v>
      </c>
      <c r="L1749">
        <v>2433</v>
      </c>
      <c r="M1749">
        <v>58.810105999999998</v>
      </c>
      <c r="N1749">
        <v>1</v>
      </c>
      <c r="O1749" s="1" t="s">
        <v>563</v>
      </c>
      <c r="P1749">
        <v>143090.87</v>
      </c>
      <c r="Q1749">
        <v>262.48</v>
      </c>
      <c r="R1749">
        <v>1</v>
      </c>
      <c r="S1749" s="1"/>
      <c r="T1749" s="1"/>
      <c r="U1749">
        <v>4101.2</v>
      </c>
      <c r="V1749">
        <v>74445</v>
      </c>
      <c r="W1749">
        <v>74446</v>
      </c>
    </row>
    <row r="1750" spans="1:23" x14ac:dyDescent="0.25">
      <c r="A1750" s="1" t="s">
        <v>31</v>
      </c>
      <c r="B1750" s="1"/>
      <c r="C1750" s="1" t="s">
        <v>158</v>
      </c>
      <c r="D1750">
        <v>9521</v>
      </c>
      <c r="E1750" s="1"/>
      <c r="F1750" s="1" t="s">
        <v>290</v>
      </c>
      <c r="G1750">
        <v>2014</v>
      </c>
      <c r="H1750">
        <v>193940</v>
      </c>
      <c r="I1750">
        <v>12</v>
      </c>
      <c r="J1750" s="1"/>
      <c r="K1750">
        <v>0</v>
      </c>
      <c r="L1750">
        <v>2433</v>
      </c>
      <c r="M1750">
        <v>79.709012999999999</v>
      </c>
      <c r="N1750">
        <v>1</v>
      </c>
      <c r="O1750" s="1" t="s">
        <v>562</v>
      </c>
      <c r="P1750">
        <v>228247.22</v>
      </c>
      <c r="Q1750">
        <v>14607.8</v>
      </c>
      <c r="R1750">
        <v>0</v>
      </c>
      <c r="S1750" s="1"/>
      <c r="T1750" s="1"/>
      <c r="U1750">
        <v>193940</v>
      </c>
      <c r="V1750">
        <v>0</v>
      </c>
      <c r="W1750">
        <v>74445</v>
      </c>
    </row>
    <row r="1751" spans="1:23" x14ac:dyDescent="0.25">
      <c r="A1751" s="1" t="s">
        <v>31</v>
      </c>
      <c r="B1751" s="1"/>
      <c r="C1751" s="1" t="s">
        <v>158</v>
      </c>
      <c r="D1751">
        <v>9521</v>
      </c>
      <c r="E1751" s="1"/>
      <c r="F1751" s="1" t="s">
        <v>290</v>
      </c>
      <c r="G1751">
        <v>2014</v>
      </c>
      <c r="H1751">
        <v>218564.91</v>
      </c>
      <c r="I1751">
        <v>12</v>
      </c>
      <c r="J1751" s="1"/>
      <c r="K1751">
        <v>0</v>
      </c>
      <c r="L1751">
        <v>2433</v>
      </c>
      <c r="M1751">
        <v>89.829808999999997</v>
      </c>
      <c r="N1751">
        <v>1</v>
      </c>
      <c r="O1751" s="1" t="s">
        <v>563</v>
      </c>
      <c r="P1751">
        <v>218564.91</v>
      </c>
      <c r="Q1751">
        <v>400.92</v>
      </c>
      <c r="R1751">
        <v>1</v>
      </c>
      <c r="S1751" s="1"/>
      <c r="T1751" s="1"/>
      <c r="U1751">
        <v>6264.3995999999997</v>
      </c>
      <c r="V1751">
        <v>74445</v>
      </c>
      <c r="W1751">
        <v>74446</v>
      </c>
    </row>
    <row r="1752" spans="1:23" x14ac:dyDescent="0.25">
      <c r="A1752" s="1" t="s">
        <v>31</v>
      </c>
      <c r="B1752" s="1"/>
      <c r="C1752" s="1" t="s">
        <v>158</v>
      </c>
      <c r="D1752">
        <v>9521</v>
      </c>
      <c r="E1752" s="1"/>
      <c r="F1752" s="1" t="s">
        <v>290</v>
      </c>
      <c r="G1752">
        <v>2013</v>
      </c>
      <c r="H1752">
        <v>277250</v>
      </c>
      <c r="I1752">
        <v>12</v>
      </c>
      <c r="J1752" s="1"/>
      <c r="K1752">
        <v>0</v>
      </c>
      <c r="L1752">
        <v>2433</v>
      </c>
      <c r="M1752">
        <v>113.949282</v>
      </c>
      <c r="N1752">
        <v>1</v>
      </c>
      <c r="O1752" s="1" t="s">
        <v>562</v>
      </c>
      <c r="P1752">
        <v>284953.06</v>
      </c>
      <c r="Q1752">
        <v>18237</v>
      </c>
      <c r="R1752">
        <v>0</v>
      </c>
      <c r="S1752" s="1"/>
      <c r="T1752" s="1"/>
      <c r="U1752">
        <v>277250</v>
      </c>
      <c r="V1752">
        <v>0</v>
      </c>
      <c r="W1752">
        <v>74445</v>
      </c>
    </row>
    <row r="1753" spans="1:23" x14ac:dyDescent="0.25">
      <c r="A1753" s="1" t="s">
        <v>31</v>
      </c>
      <c r="B1753" s="1"/>
      <c r="C1753" s="1" t="s">
        <v>158</v>
      </c>
      <c r="D1753">
        <v>9521</v>
      </c>
      <c r="E1753" s="1"/>
      <c r="F1753" s="1" t="s">
        <v>290</v>
      </c>
      <c r="G1753">
        <v>2013</v>
      </c>
      <c r="H1753">
        <v>311445.59000000003</v>
      </c>
      <c r="I1753">
        <v>12</v>
      </c>
      <c r="J1753" s="1"/>
      <c r="K1753">
        <v>0</v>
      </c>
      <c r="L1753">
        <v>2433</v>
      </c>
      <c r="M1753">
        <v>128.003612</v>
      </c>
      <c r="N1753">
        <v>1</v>
      </c>
      <c r="O1753" s="1" t="s">
        <v>563</v>
      </c>
      <c r="P1753">
        <v>311445.59000000003</v>
      </c>
      <c r="Q1753">
        <v>571.28</v>
      </c>
      <c r="R1753">
        <v>1</v>
      </c>
      <c r="S1753" s="1"/>
      <c r="T1753" s="1"/>
      <c r="U1753">
        <v>8926.5</v>
      </c>
      <c r="V1753">
        <v>74445</v>
      </c>
      <c r="W1753">
        <v>74446</v>
      </c>
    </row>
    <row r="1754" spans="1:23" x14ac:dyDescent="0.25">
      <c r="A1754" s="1" t="s">
        <v>31</v>
      </c>
      <c r="B1754" s="1"/>
      <c r="C1754" s="1" t="s">
        <v>158</v>
      </c>
      <c r="D1754">
        <v>9521</v>
      </c>
      <c r="E1754" s="1"/>
      <c r="F1754" s="1" t="s">
        <v>290</v>
      </c>
      <c r="G1754">
        <v>2012</v>
      </c>
      <c r="H1754">
        <v>297460</v>
      </c>
      <c r="I1754">
        <v>12</v>
      </c>
      <c r="J1754" s="1"/>
      <c r="K1754">
        <v>0</v>
      </c>
      <c r="L1754">
        <v>2433</v>
      </c>
      <c r="M1754">
        <v>122.25555799999999</v>
      </c>
      <c r="N1754">
        <v>1</v>
      </c>
      <c r="O1754" s="1" t="s">
        <v>562</v>
      </c>
      <c r="P1754">
        <v>313631.55</v>
      </c>
      <c r="Q1754">
        <v>58021.85</v>
      </c>
      <c r="R1754">
        <v>0</v>
      </c>
      <c r="S1754" s="1"/>
      <c r="T1754" s="1"/>
      <c r="U1754">
        <v>297460</v>
      </c>
      <c r="V1754">
        <v>0</v>
      </c>
      <c r="W1754">
        <v>74445</v>
      </c>
    </row>
    <row r="1755" spans="1:23" x14ac:dyDescent="0.25">
      <c r="A1755" s="1" t="s">
        <v>31</v>
      </c>
      <c r="B1755" s="1"/>
      <c r="C1755" s="1" t="s">
        <v>158</v>
      </c>
      <c r="D1755">
        <v>9521</v>
      </c>
      <c r="E1755" s="1"/>
      <c r="F1755" s="1" t="s">
        <v>290</v>
      </c>
      <c r="G1755">
        <v>2012</v>
      </c>
      <c r="H1755">
        <v>306787.76</v>
      </c>
      <c r="I1755">
        <v>12</v>
      </c>
      <c r="J1755" s="1"/>
      <c r="K1755">
        <v>0</v>
      </c>
      <c r="L1755">
        <v>2433</v>
      </c>
      <c r="M1755">
        <v>126.089252</v>
      </c>
      <c r="N1755">
        <v>1</v>
      </c>
      <c r="O1755" s="1" t="s">
        <v>563</v>
      </c>
      <c r="P1755">
        <v>306787.76</v>
      </c>
      <c r="Q1755">
        <v>1626.7</v>
      </c>
      <c r="R1755">
        <v>1</v>
      </c>
      <c r="S1755" s="1"/>
      <c r="T1755" s="1"/>
      <c r="U1755">
        <v>8793</v>
      </c>
      <c r="V1755">
        <v>74445</v>
      </c>
      <c r="W1755">
        <v>74446</v>
      </c>
    </row>
    <row r="1756" spans="1:23" x14ac:dyDescent="0.25">
      <c r="A1756" s="1" t="s">
        <v>31</v>
      </c>
      <c r="B1756" s="1"/>
      <c r="C1756" s="1" t="s">
        <v>158</v>
      </c>
      <c r="D1756">
        <v>9521</v>
      </c>
      <c r="E1756" s="1"/>
      <c r="F1756" s="1" t="s">
        <v>290</v>
      </c>
      <c r="G1756">
        <v>2011</v>
      </c>
      <c r="H1756">
        <v>119072.6</v>
      </c>
      <c r="I1756">
        <v>12</v>
      </c>
      <c r="J1756" s="1"/>
      <c r="K1756">
        <v>0</v>
      </c>
      <c r="L1756">
        <v>2433</v>
      </c>
      <c r="M1756">
        <v>48.938637</v>
      </c>
      <c r="N1756">
        <v>1</v>
      </c>
      <c r="O1756" s="1" t="s">
        <v>563</v>
      </c>
      <c r="P1756">
        <v>119072.6</v>
      </c>
      <c r="Q1756">
        <v>631.38</v>
      </c>
      <c r="R1756">
        <v>1</v>
      </c>
      <c r="S1756" s="1"/>
      <c r="T1756" s="1"/>
      <c r="U1756">
        <v>3412.8</v>
      </c>
      <c r="V1756">
        <v>74445</v>
      </c>
      <c r="W1756">
        <v>74446</v>
      </c>
    </row>
    <row r="1757" spans="1:23" x14ac:dyDescent="0.25">
      <c r="A1757" s="1" t="s">
        <v>31</v>
      </c>
      <c r="B1757" s="1"/>
      <c r="C1757" s="1" t="s">
        <v>158</v>
      </c>
      <c r="D1757">
        <v>9521</v>
      </c>
      <c r="E1757" s="1"/>
      <c r="F1757" s="1" t="s">
        <v>290</v>
      </c>
      <c r="G1757">
        <v>2011</v>
      </c>
      <c r="H1757">
        <v>112290</v>
      </c>
      <c r="I1757">
        <v>12</v>
      </c>
      <c r="J1757" s="1"/>
      <c r="K1757">
        <v>0</v>
      </c>
      <c r="L1757">
        <v>2433</v>
      </c>
      <c r="M1757">
        <v>46.151000000000003</v>
      </c>
      <c r="N1757">
        <v>1</v>
      </c>
      <c r="O1757" s="1" t="s">
        <v>562</v>
      </c>
      <c r="P1757">
        <v>129772.1</v>
      </c>
      <c r="Q1757">
        <v>24007.84</v>
      </c>
      <c r="R1757">
        <v>0</v>
      </c>
      <c r="S1757" s="1"/>
      <c r="T1757" s="1"/>
      <c r="U1757">
        <v>112290</v>
      </c>
      <c r="V1757">
        <v>0</v>
      </c>
      <c r="W1757">
        <v>74445</v>
      </c>
    </row>
    <row r="1758" spans="1:23" x14ac:dyDescent="0.25">
      <c r="A1758" s="1" t="s">
        <v>31</v>
      </c>
      <c r="B1758" s="1"/>
      <c r="C1758" s="1" t="s">
        <v>158</v>
      </c>
      <c r="D1758">
        <v>9521</v>
      </c>
      <c r="E1758" s="1"/>
      <c r="F1758" s="1" t="s">
        <v>290</v>
      </c>
      <c r="G1758">
        <v>2011</v>
      </c>
      <c r="H1758">
        <v>222728.48</v>
      </c>
      <c r="I1758">
        <v>3</v>
      </c>
      <c r="J1758" s="1" t="s">
        <v>485</v>
      </c>
      <c r="K1758">
        <v>0</v>
      </c>
      <c r="L1758">
        <v>2433</v>
      </c>
      <c r="M1758">
        <v>91.541028999999995</v>
      </c>
      <c r="N1758">
        <v>1</v>
      </c>
      <c r="O1758" s="1" t="s">
        <v>565</v>
      </c>
      <c r="P1758">
        <v>222728.48</v>
      </c>
      <c r="Q1758">
        <v>41204.769999999997</v>
      </c>
      <c r="R1758">
        <v>0</v>
      </c>
      <c r="S1758" s="1" t="s">
        <v>810</v>
      </c>
      <c r="T1758" s="1"/>
      <c r="U1758">
        <v>222.72847999999999</v>
      </c>
      <c r="V1758">
        <v>0</v>
      </c>
      <c r="W1758">
        <v>77120</v>
      </c>
    </row>
    <row r="1759" spans="1:23" x14ac:dyDescent="0.25">
      <c r="A1759" s="1" t="s">
        <v>31</v>
      </c>
      <c r="B1759" s="1"/>
      <c r="C1759" s="1" t="s">
        <v>158</v>
      </c>
      <c r="D1759">
        <v>9521</v>
      </c>
      <c r="E1759" s="1"/>
      <c r="F1759" s="1" t="s">
        <v>290</v>
      </c>
      <c r="G1759">
        <v>2010</v>
      </c>
      <c r="H1759">
        <v>0</v>
      </c>
      <c r="I1759">
        <v>12</v>
      </c>
      <c r="J1759" s="1"/>
      <c r="K1759">
        <v>0</v>
      </c>
      <c r="L1759">
        <v>2433</v>
      </c>
      <c r="M1759">
        <v>0</v>
      </c>
      <c r="N1759">
        <v>1</v>
      </c>
      <c r="O1759" s="1" t="s">
        <v>563</v>
      </c>
      <c r="P1759">
        <v>0</v>
      </c>
      <c r="Q1759">
        <v>0</v>
      </c>
      <c r="R1759">
        <v>1</v>
      </c>
      <c r="S1759" s="1"/>
      <c r="T1759" s="1"/>
      <c r="U1759">
        <v>0</v>
      </c>
      <c r="V1759">
        <v>74445</v>
      </c>
      <c r="W1759">
        <v>74446</v>
      </c>
    </row>
    <row r="1760" spans="1:23" x14ac:dyDescent="0.25">
      <c r="A1760" s="1" t="s">
        <v>31</v>
      </c>
      <c r="B1760" s="1"/>
      <c r="C1760" s="1" t="s">
        <v>158</v>
      </c>
      <c r="D1760">
        <v>9521</v>
      </c>
      <c r="E1760" s="1"/>
      <c r="F1760" s="1" t="s">
        <v>290</v>
      </c>
      <c r="G1760">
        <v>2010</v>
      </c>
      <c r="H1760">
        <v>0</v>
      </c>
      <c r="I1760">
        <v>12</v>
      </c>
      <c r="J1760" s="1"/>
      <c r="K1760">
        <v>0</v>
      </c>
      <c r="L1760">
        <v>2433</v>
      </c>
      <c r="M1760">
        <v>0</v>
      </c>
      <c r="N1760">
        <v>1</v>
      </c>
      <c r="O1760" s="1" t="s">
        <v>562</v>
      </c>
      <c r="P1760">
        <v>0</v>
      </c>
      <c r="Q1760">
        <v>0</v>
      </c>
      <c r="R1760">
        <v>0</v>
      </c>
      <c r="S1760" s="1"/>
      <c r="T1760" s="1"/>
      <c r="U1760">
        <v>0</v>
      </c>
      <c r="V1760">
        <v>0</v>
      </c>
      <c r="W1760">
        <v>74445</v>
      </c>
    </row>
    <row r="1761" spans="1:23" x14ac:dyDescent="0.25">
      <c r="A1761" s="1" t="s">
        <v>31</v>
      </c>
      <c r="B1761" s="1"/>
      <c r="C1761" s="1" t="s">
        <v>158</v>
      </c>
      <c r="D1761">
        <v>9521</v>
      </c>
      <c r="E1761" s="1"/>
      <c r="F1761" s="1" t="s">
        <v>290</v>
      </c>
      <c r="G1761">
        <v>2010</v>
      </c>
      <c r="H1761">
        <v>343913.7</v>
      </c>
      <c r="I1761">
        <v>3</v>
      </c>
      <c r="J1761" s="1" t="s">
        <v>485</v>
      </c>
      <c r="K1761">
        <v>0</v>
      </c>
      <c r="L1761">
        <v>2433</v>
      </c>
      <c r="M1761">
        <v>141.34795099999999</v>
      </c>
      <c r="N1761">
        <v>1</v>
      </c>
      <c r="O1761" s="1" t="s">
        <v>565</v>
      </c>
      <c r="P1761">
        <v>343913.7</v>
      </c>
      <c r="Q1761">
        <v>63624.02</v>
      </c>
      <c r="R1761">
        <v>0</v>
      </c>
      <c r="S1761" s="1" t="s">
        <v>810</v>
      </c>
      <c r="T1761" s="1"/>
      <c r="U1761">
        <v>343.91370000000001</v>
      </c>
      <c r="V1761">
        <v>0</v>
      </c>
      <c r="W1761">
        <v>77120</v>
      </c>
    </row>
    <row r="1762" spans="1:23" x14ac:dyDescent="0.25">
      <c r="A1762" s="1" t="s">
        <v>31</v>
      </c>
      <c r="B1762" s="1"/>
      <c r="C1762" s="1" t="s">
        <v>158</v>
      </c>
      <c r="D1762">
        <v>9521</v>
      </c>
      <c r="E1762" s="1"/>
      <c r="F1762" s="1" t="s">
        <v>290</v>
      </c>
      <c r="G1762">
        <v>2009</v>
      </c>
      <c r="H1762">
        <v>0</v>
      </c>
      <c r="I1762">
        <v>12</v>
      </c>
      <c r="J1762" s="1"/>
      <c r="K1762">
        <v>0</v>
      </c>
      <c r="L1762">
        <v>2433</v>
      </c>
      <c r="M1762">
        <v>0</v>
      </c>
      <c r="N1762">
        <v>1</v>
      </c>
      <c r="O1762" s="1" t="s">
        <v>562</v>
      </c>
      <c r="P1762">
        <v>0</v>
      </c>
      <c r="Q1762">
        <v>0</v>
      </c>
      <c r="R1762">
        <v>0</v>
      </c>
      <c r="S1762" s="1"/>
      <c r="T1762" s="1"/>
      <c r="U1762">
        <v>0</v>
      </c>
      <c r="V1762">
        <v>0</v>
      </c>
      <c r="W1762">
        <v>74445</v>
      </c>
    </row>
    <row r="1763" spans="1:23" x14ac:dyDescent="0.25">
      <c r="A1763" s="1" t="s">
        <v>31</v>
      </c>
      <c r="B1763" s="1"/>
      <c r="C1763" s="1" t="s">
        <v>158</v>
      </c>
      <c r="D1763">
        <v>9521</v>
      </c>
      <c r="E1763" s="1"/>
      <c r="F1763" s="1" t="s">
        <v>290</v>
      </c>
      <c r="G1763">
        <v>2009</v>
      </c>
      <c r="H1763">
        <v>0</v>
      </c>
      <c r="I1763">
        <v>12</v>
      </c>
      <c r="J1763" s="1"/>
      <c r="K1763">
        <v>0</v>
      </c>
      <c r="L1763">
        <v>2433</v>
      </c>
      <c r="M1763">
        <v>0</v>
      </c>
      <c r="N1763">
        <v>1</v>
      </c>
      <c r="O1763" s="1" t="s">
        <v>563</v>
      </c>
      <c r="P1763">
        <v>0</v>
      </c>
      <c r="Q1763">
        <v>0</v>
      </c>
      <c r="R1763">
        <v>1</v>
      </c>
      <c r="S1763" s="1"/>
      <c r="T1763" s="1"/>
      <c r="U1763">
        <v>0</v>
      </c>
      <c r="V1763">
        <v>74445</v>
      </c>
      <c r="W1763">
        <v>74446</v>
      </c>
    </row>
    <row r="1764" spans="1:23" x14ac:dyDescent="0.25">
      <c r="A1764" s="1" t="s">
        <v>31</v>
      </c>
      <c r="B1764" s="1"/>
      <c r="C1764" s="1" t="s">
        <v>158</v>
      </c>
      <c r="D1764">
        <v>9521</v>
      </c>
      <c r="E1764" s="1"/>
      <c r="F1764" s="1" t="s">
        <v>290</v>
      </c>
      <c r="G1764">
        <v>2009</v>
      </c>
      <c r="H1764">
        <v>401794.75</v>
      </c>
      <c r="I1764">
        <v>4</v>
      </c>
      <c r="J1764" s="1" t="s">
        <v>485</v>
      </c>
      <c r="K1764">
        <v>0</v>
      </c>
      <c r="L1764">
        <v>2433</v>
      </c>
      <c r="M1764">
        <v>165.136965</v>
      </c>
      <c r="N1764">
        <v>1</v>
      </c>
      <c r="O1764" s="1" t="s">
        <v>565</v>
      </c>
      <c r="P1764">
        <v>401794.75</v>
      </c>
      <c r="Q1764">
        <v>74332.03</v>
      </c>
      <c r="R1764">
        <v>0</v>
      </c>
      <c r="S1764" s="1" t="s">
        <v>810</v>
      </c>
      <c r="T1764" s="1"/>
      <c r="U1764">
        <v>401.79475000000002</v>
      </c>
      <c r="V1764">
        <v>0</v>
      </c>
      <c r="W1764">
        <v>77120</v>
      </c>
    </row>
    <row r="1765" spans="1:23" x14ac:dyDescent="0.25">
      <c r="A1765" s="1" t="s">
        <v>31</v>
      </c>
      <c r="B1765" s="1"/>
      <c r="C1765" s="1" t="s">
        <v>158</v>
      </c>
      <c r="D1765">
        <v>9521</v>
      </c>
      <c r="E1765" s="1"/>
      <c r="F1765" s="1" t="s">
        <v>290</v>
      </c>
      <c r="G1765">
        <v>2008</v>
      </c>
      <c r="H1765">
        <v>0</v>
      </c>
      <c r="I1765">
        <v>12</v>
      </c>
      <c r="J1765" s="1"/>
      <c r="K1765">
        <v>0</v>
      </c>
      <c r="L1765">
        <v>2433</v>
      </c>
      <c r="M1765">
        <v>0</v>
      </c>
      <c r="N1765">
        <v>1</v>
      </c>
      <c r="O1765" s="1" t="s">
        <v>562</v>
      </c>
      <c r="P1765">
        <v>0</v>
      </c>
      <c r="Q1765">
        <v>0</v>
      </c>
      <c r="R1765">
        <v>0</v>
      </c>
      <c r="S1765" s="1"/>
      <c r="T1765" s="1"/>
      <c r="U1765">
        <v>0</v>
      </c>
      <c r="V1765">
        <v>0</v>
      </c>
      <c r="W1765">
        <v>74445</v>
      </c>
    </row>
    <row r="1766" spans="1:23" x14ac:dyDescent="0.25">
      <c r="A1766" s="1" t="s">
        <v>31</v>
      </c>
      <c r="B1766" s="1"/>
      <c r="C1766" s="1" t="s">
        <v>158</v>
      </c>
      <c r="D1766">
        <v>9521</v>
      </c>
      <c r="E1766" s="1"/>
      <c r="F1766" s="1" t="s">
        <v>290</v>
      </c>
      <c r="G1766">
        <v>2008</v>
      </c>
      <c r="H1766">
        <v>2.79</v>
      </c>
      <c r="I1766">
        <v>12</v>
      </c>
      <c r="J1766" s="1"/>
      <c r="K1766">
        <v>0</v>
      </c>
      <c r="L1766">
        <v>2433</v>
      </c>
      <c r="M1766">
        <v>1.1460000000000001E-3</v>
      </c>
      <c r="N1766">
        <v>1</v>
      </c>
      <c r="O1766" s="1" t="s">
        <v>563</v>
      </c>
      <c r="P1766">
        <v>2.79</v>
      </c>
      <c r="Q1766">
        <v>0.01</v>
      </c>
      <c r="R1766">
        <v>1</v>
      </c>
      <c r="S1766" s="1"/>
      <c r="T1766" s="1"/>
      <c r="U1766">
        <v>0.08</v>
      </c>
      <c r="V1766">
        <v>74445</v>
      </c>
      <c r="W1766">
        <v>74446</v>
      </c>
    </row>
    <row r="1767" spans="1:23" x14ac:dyDescent="0.25">
      <c r="A1767" s="1" t="s">
        <v>31</v>
      </c>
      <c r="B1767" s="1"/>
      <c r="C1767" s="1" t="s">
        <v>158</v>
      </c>
      <c r="D1767">
        <v>9521</v>
      </c>
      <c r="E1767" s="1"/>
      <c r="F1767" s="1" t="s">
        <v>290</v>
      </c>
      <c r="G1767">
        <v>2008</v>
      </c>
      <c r="H1767">
        <v>319737.28000000003</v>
      </c>
      <c r="I1767">
        <v>13</v>
      </c>
      <c r="J1767" s="1" t="s">
        <v>485</v>
      </c>
      <c r="K1767">
        <v>0</v>
      </c>
      <c r="L1767">
        <v>2433</v>
      </c>
      <c r="M1767">
        <v>131.411483</v>
      </c>
      <c r="N1767">
        <v>1</v>
      </c>
      <c r="O1767" s="1" t="s">
        <v>565</v>
      </c>
      <c r="P1767">
        <v>319737.28000000003</v>
      </c>
      <c r="Q1767">
        <v>59151.39</v>
      </c>
      <c r="R1767">
        <v>0</v>
      </c>
      <c r="S1767" s="1" t="s">
        <v>810</v>
      </c>
      <c r="T1767" s="1"/>
      <c r="U1767">
        <v>319.73728</v>
      </c>
      <c r="V1767">
        <v>0</v>
      </c>
      <c r="W1767">
        <v>77120</v>
      </c>
    </row>
    <row r="1768" spans="1:23" x14ac:dyDescent="0.25">
      <c r="A1768" s="1" t="s">
        <v>31</v>
      </c>
      <c r="B1768" s="1"/>
      <c r="C1768" s="1" t="s">
        <v>159</v>
      </c>
      <c r="D1768">
        <v>9523</v>
      </c>
      <c r="E1768" s="1"/>
      <c r="F1768" s="1" t="s">
        <v>291</v>
      </c>
      <c r="G1768">
        <v>2015</v>
      </c>
      <c r="H1768">
        <v>40220</v>
      </c>
      <c r="I1768">
        <v>5</v>
      </c>
      <c r="J1768" s="1"/>
      <c r="K1768">
        <v>0</v>
      </c>
      <c r="L1768">
        <v>2103</v>
      </c>
      <c r="M1768">
        <v>19.12415</v>
      </c>
      <c r="N1768">
        <v>1</v>
      </c>
      <c r="O1768" s="1" t="s">
        <v>562</v>
      </c>
      <c r="P1768">
        <v>46046.51</v>
      </c>
      <c r="Q1768">
        <v>2946.98</v>
      </c>
      <c r="R1768">
        <v>0</v>
      </c>
      <c r="S1768" s="1" t="s">
        <v>811</v>
      </c>
      <c r="T1768" s="1"/>
      <c r="U1768">
        <v>40220</v>
      </c>
      <c r="V1768">
        <v>0</v>
      </c>
      <c r="W1768">
        <v>74453</v>
      </c>
    </row>
    <row r="1769" spans="1:23" x14ac:dyDescent="0.25">
      <c r="A1769" s="1" t="s">
        <v>31</v>
      </c>
      <c r="B1769" s="1"/>
      <c r="C1769" s="1" t="s">
        <v>159</v>
      </c>
      <c r="D1769">
        <v>9523</v>
      </c>
      <c r="E1769" s="1"/>
      <c r="F1769" s="1" t="s">
        <v>291</v>
      </c>
      <c r="G1769">
        <v>2015</v>
      </c>
      <c r="H1769">
        <v>44777.83</v>
      </c>
      <c r="I1769">
        <v>5</v>
      </c>
      <c r="J1769" s="1"/>
      <c r="K1769">
        <v>0</v>
      </c>
      <c r="L1769">
        <v>2103</v>
      </c>
      <c r="M1769">
        <v>21.291346000000001</v>
      </c>
      <c r="N1769">
        <v>1</v>
      </c>
      <c r="O1769" s="1" t="s">
        <v>563</v>
      </c>
      <c r="P1769">
        <v>51497.33</v>
      </c>
      <c r="Q1769">
        <v>94.47</v>
      </c>
      <c r="R1769">
        <v>1</v>
      </c>
      <c r="S1769" s="1"/>
      <c r="T1769" s="1"/>
      <c r="U1769">
        <v>1283.4000000000001</v>
      </c>
      <c r="V1769">
        <v>74453</v>
      </c>
      <c r="W1769">
        <v>74454</v>
      </c>
    </row>
    <row r="1770" spans="1:23" x14ac:dyDescent="0.25">
      <c r="A1770" s="1" t="s">
        <v>31</v>
      </c>
      <c r="B1770" s="1"/>
      <c r="C1770" s="1" t="s">
        <v>159</v>
      </c>
      <c r="D1770">
        <v>9523</v>
      </c>
      <c r="E1770" s="1"/>
      <c r="F1770" s="1" t="s">
        <v>291</v>
      </c>
      <c r="G1770">
        <v>2014</v>
      </c>
      <c r="H1770">
        <v>67260.929999999993</v>
      </c>
      <c r="I1770">
        <v>12</v>
      </c>
      <c r="J1770" s="1"/>
      <c r="K1770">
        <v>0</v>
      </c>
      <c r="L1770">
        <v>2103</v>
      </c>
      <c r="M1770">
        <v>31.981802999999999</v>
      </c>
      <c r="N1770">
        <v>1</v>
      </c>
      <c r="O1770" s="1" t="s">
        <v>563</v>
      </c>
      <c r="P1770">
        <v>79476.509999999995</v>
      </c>
      <c r="Q1770">
        <v>145.80000000000001</v>
      </c>
      <c r="R1770">
        <v>1</v>
      </c>
      <c r="S1770" s="1"/>
      <c r="T1770" s="1"/>
      <c r="U1770">
        <v>1927.8</v>
      </c>
      <c r="V1770">
        <v>74453</v>
      </c>
      <c r="W1770">
        <v>74454</v>
      </c>
    </row>
    <row r="1771" spans="1:23" x14ac:dyDescent="0.25">
      <c r="A1771" s="1" t="s">
        <v>31</v>
      </c>
      <c r="B1771" s="1"/>
      <c r="C1771" s="1" t="s">
        <v>159</v>
      </c>
      <c r="D1771">
        <v>9523</v>
      </c>
      <c r="E1771" s="1"/>
      <c r="F1771" s="1" t="s">
        <v>291</v>
      </c>
      <c r="G1771">
        <v>2014</v>
      </c>
      <c r="H1771">
        <v>58620</v>
      </c>
      <c r="I1771">
        <v>12</v>
      </c>
      <c r="J1771" s="1"/>
      <c r="K1771">
        <v>0</v>
      </c>
      <c r="L1771">
        <v>2103</v>
      </c>
      <c r="M1771">
        <v>27.873138999999998</v>
      </c>
      <c r="N1771">
        <v>1</v>
      </c>
      <c r="O1771" s="1" t="s">
        <v>562</v>
      </c>
      <c r="P1771">
        <v>69739.88</v>
      </c>
      <c r="Q1771">
        <v>4463.3500000000004</v>
      </c>
      <c r="R1771">
        <v>0</v>
      </c>
      <c r="S1771" s="1" t="s">
        <v>811</v>
      </c>
      <c r="T1771" s="1"/>
      <c r="U1771">
        <v>58620</v>
      </c>
      <c r="V1771">
        <v>0</v>
      </c>
      <c r="W1771">
        <v>74453</v>
      </c>
    </row>
    <row r="1772" spans="1:23" x14ac:dyDescent="0.25">
      <c r="A1772" s="1" t="s">
        <v>31</v>
      </c>
      <c r="B1772" s="1"/>
      <c r="C1772" s="1" t="s">
        <v>159</v>
      </c>
      <c r="D1772">
        <v>9523</v>
      </c>
      <c r="E1772" s="1"/>
      <c r="F1772" s="1" t="s">
        <v>291</v>
      </c>
      <c r="G1772">
        <v>2013</v>
      </c>
      <c r="H1772">
        <v>165239.04999999999</v>
      </c>
      <c r="I1772">
        <v>12</v>
      </c>
      <c r="J1772" s="1"/>
      <c r="K1772">
        <v>0</v>
      </c>
      <c r="L1772">
        <v>2103</v>
      </c>
      <c r="M1772">
        <v>78.569277999999997</v>
      </c>
      <c r="N1772">
        <v>1</v>
      </c>
      <c r="O1772" s="1" t="s">
        <v>563</v>
      </c>
      <c r="P1772">
        <v>168575.4</v>
      </c>
      <c r="Q1772">
        <v>309.20999999999998</v>
      </c>
      <c r="R1772">
        <v>1</v>
      </c>
      <c r="S1772" s="1"/>
      <c r="T1772" s="1"/>
      <c r="U1772">
        <v>4736</v>
      </c>
      <c r="V1772">
        <v>74453</v>
      </c>
      <c r="W1772">
        <v>74454</v>
      </c>
    </row>
    <row r="1773" spans="1:23" x14ac:dyDescent="0.25">
      <c r="A1773" s="1" t="s">
        <v>31</v>
      </c>
      <c r="B1773" s="1"/>
      <c r="C1773" s="1" t="s">
        <v>159</v>
      </c>
      <c r="D1773">
        <v>9523</v>
      </c>
      <c r="E1773" s="1"/>
      <c r="F1773" s="1" t="s">
        <v>291</v>
      </c>
      <c r="G1773">
        <v>2013</v>
      </c>
      <c r="H1773">
        <v>93670</v>
      </c>
      <c r="I1773">
        <v>12</v>
      </c>
      <c r="J1773" s="1"/>
      <c r="K1773">
        <v>0</v>
      </c>
      <c r="L1773">
        <v>2103</v>
      </c>
      <c r="M1773">
        <v>44.539012999999997</v>
      </c>
      <c r="N1773">
        <v>1</v>
      </c>
      <c r="O1773" s="1" t="s">
        <v>562</v>
      </c>
      <c r="P1773">
        <v>95605.89</v>
      </c>
      <c r="Q1773">
        <v>6118.78</v>
      </c>
      <c r="R1773">
        <v>0</v>
      </c>
      <c r="S1773" s="1" t="s">
        <v>811</v>
      </c>
      <c r="T1773" s="1"/>
      <c r="U1773">
        <v>93670</v>
      </c>
      <c r="V1773">
        <v>0</v>
      </c>
      <c r="W1773">
        <v>74453</v>
      </c>
    </row>
    <row r="1774" spans="1:23" x14ac:dyDescent="0.25">
      <c r="A1774" s="1" t="s">
        <v>31</v>
      </c>
      <c r="B1774" s="1"/>
      <c r="C1774" s="1" t="s">
        <v>159</v>
      </c>
      <c r="D1774">
        <v>9523</v>
      </c>
      <c r="E1774" s="1"/>
      <c r="F1774" s="1" t="s">
        <v>291</v>
      </c>
      <c r="G1774">
        <v>2012</v>
      </c>
      <c r="H1774">
        <v>93490</v>
      </c>
      <c r="I1774">
        <v>12</v>
      </c>
      <c r="J1774" s="1"/>
      <c r="K1774">
        <v>0</v>
      </c>
      <c r="L1774">
        <v>2103</v>
      </c>
      <c r="M1774">
        <v>44.453425000000003</v>
      </c>
      <c r="N1774">
        <v>1</v>
      </c>
      <c r="O1774" s="1" t="s">
        <v>562</v>
      </c>
      <c r="P1774">
        <v>98207.4</v>
      </c>
      <c r="Q1774">
        <v>18168.349999999999</v>
      </c>
      <c r="R1774">
        <v>0</v>
      </c>
      <c r="S1774" s="1" t="s">
        <v>811</v>
      </c>
      <c r="T1774" s="1"/>
      <c r="U1774">
        <v>93490</v>
      </c>
      <c r="V1774">
        <v>0</v>
      </c>
      <c r="W1774">
        <v>74453</v>
      </c>
    </row>
    <row r="1775" spans="1:23" x14ac:dyDescent="0.25">
      <c r="A1775" s="1" t="s">
        <v>31</v>
      </c>
      <c r="B1775" s="1"/>
      <c r="C1775" s="1" t="s">
        <v>159</v>
      </c>
      <c r="D1775">
        <v>9523</v>
      </c>
      <c r="E1775" s="1"/>
      <c r="F1775" s="1" t="s">
        <v>291</v>
      </c>
      <c r="G1775">
        <v>2012</v>
      </c>
      <c r="H1775">
        <v>282225.21000000002</v>
      </c>
      <c r="I1775">
        <v>12</v>
      </c>
      <c r="J1775" s="1"/>
      <c r="K1775">
        <v>0</v>
      </c>
      <c r="L1775">
        <v>2103</v>
      </c>
      <c r="M1775">
        <v>134.19485900000001</v>
      </c>
      <c r="N1775">
        <v>1</v>
      </c>
      <c r="O1775" s="1" t="s">
        <v>563</v>
      </c>
      <c r="P1775">
        <v>296997.57</v>
      </c>
      <c r="Q1775">
        <v>1574.78</v>
      </c>
      <c r="R1775">
        <v>1</v>
      </c>
      <c r="S1775" s="1"/>
      <c r="T1775" s="1"/>
      <c r="U1775">
        <v>8089</v>
      </c>
      <c r="V1775">
        <v>74453</v>
      </c>
      <c r="W1775">
        <v>74454</v>
      </c>
    </row>
    <row r="1776" spans="1:23" x14ac:dyDescent="0.25">
      <c r="A1776" s="1" t="s">
        <v>31</v>
      </c>
      <c r="B1776" s="1"/>
      <c r="C1776" s="1" t="s">
        <v>159</v>
      </c>
      <c r="D1776">
        <v>9523</v>
      </c>
      <c r="E1776" s="1"/>
      <c r="F1776" s="1" t="s">
        <v>291</v>
      </c>
      <c r="G1776">
        <v>2011</v>
      </c>
      <c r="H1776">
        <v>96090</v>
      </c>
      <c r="I1776">
        <v>12</v>
      </c>
      <c r="J1776" s="1"/>
      <c r="K1776">
        <v>0</v>
      </c>
      <c r="L1776">
        <v>2103</v>
      </c>
      <c r="M1776">
        <v>45.689695999999998</v>
      </c>
      <c r="N1776">
        <v>1</v>
      </c>
      <c r="O1776" s="1" t="s">
        <v>562</v>
      </c>
      <c r="P1776">
        <v>102556.29</v>
      </c>
      <c r="Q1776">
        <v>18972.919999999998</v>
      </c>
      <c r="R1776">
        <v>0</v>
      </c>
      <c r="S1776" s="1" t="s">
        <v>811</v>
      </c>
      <c r="T1776" s="1"/>
      <c r="U1776">
        <v>96090</v>
      </c>
      <c r="V1776">
        <v>0</v>
      </c>
      <c r="W1776">
        <v>74453</v>
      </c>
    </row>
    <row r="1777" spans="1:23" x14ac:dyDescent="0.25">
      <c r="A1777" s="1" t="s">
        <v>31</v>
      </c>
      <c r="B1777" s="1"/>
      <c r="C1777" s="1" t="s">
        <v>159</v>
      </c>
      <c r="D1777">
        <v>9523</v>
      </c>
      <c r="E1777" s="1"/>
      <c r="F1777" s="1" t="s">
        <v>291</v>
      </c>
      <c r="G1777">
        <v>2011</v>
      </c>
      <c r="H1777">
        <v>191560.06</v>
      </c>
      <c r="I1777">
        <v>12</v>
      </c>
      <c r="J1777" s="1"/>
      <c r="K1777">
        <v>0</v>
      </c>
      <c r="L1777">
        <v>2103</v>
      </c>
      <c r="M1777">
        <v>91.084616999999994</v>
      </c>
      <c r="N1777">
        <v>1</v>
      </c>
      <c r="O1777" s="1" t="s">
        <v>563</v>
      </c>
      <c r="P1777">
        <v>202805.83</v>
      </c>
      <c r="Q1777">
        <v>1075.3499999999999</v>
      </c>
      <c r="R1777">
        <v>1</v>
      </c>
      <c r="S1777" s="1"/>
      <c r="T1777" s="1"/>
      <c r="U1777">
        <v>5490.4</v>
      </c>
      <c r="V1777">
        <v>74453</v>
      </c>
      <c r="W1777">
        <v>74454</v>
      </c>
    </row>
    <row r="1778" spans="1:23" x14ac:dyDescent="0.25">
      <c r="A1778" s="1" t="s">
        <v>31</v>
      </c>
      <c r="B1778" s="1"/>
      <c r="C1778" s="1" t="s">
        <v>159</v>
      </c>
      <c r="D1778">
        <v>9523</v>
      </c>
      <c r="E1778" s="1"/>
      <c r="F1778" s="1" t="s">
        <v>291</v>
      </c>
      <c r="G1778">
        <v>2010</v>
      </c>
      <c r="H1778">
        <v>229122.63</v>
      </c>
      <c r="I1778">
        <v>12</v>
      </c>
      <c r="J1778" s="1"/>
      <c r="K1778">
        <v>0</v>
      </c>
      <c r="L1778">
        <v>2103</v>
      </c>
      <c r="M1778">
        <v>108.94519</v>
      </c>
      <c r="N1778">
        <v>1</v>
      </c>
      <c r="O1778" s="1" t="s">
        <v>563</v>
      </c>
      <c r="P1778">
        <v>203329.13</v>
      </c>
      <c r="Q1778">
        <v>1078.1099999999999</v>
      </c>
      <c r="R1778">
        <v>1</v>
      </c>
      <c r="S1778" s="1"/>
      <c r="T1778" s="1"/>
      <c r="U1778">
        <v>6567</v>
      </c>
      <c r="V1778">
        <v>74453</v>
      </c>
      <c r="W1778">
        <v>74454</v>
      </c>
    </row>
    <row r="1779" spans="1:23" x14ac:dyDescent="0.25">
      <c r="A1779" s="1" t="s">
        <v>31</v>
      </c>
      <c r="B1779" s="1"/>
      <c r="C1779" s="1" t="s">
        <v>159</v>
      </c>
      <c r="D1779">
        <v>9523</v>
      </c>
      <c r="E1779" s="1"/>
      <c r="F1779" s="1" t="s">
        <v>291</v>
      </c>
      <c r="G1779">
        <v>2010</v>
      </c>
      <c r="H1779">
        <v>114960</v>
      </c>
      <c r="I1779">
        <v>12</v>
      </c>
      <c r="J1779" s="1"/>
      <c r="K1779">
        <v>0</v>
      </c>
      <c r="L1779">
        <v>2103</v>
      </c>
      <c r="M1779">
        <v>54.662165000000002</v>
      </c>
      <c r="N1779">
        <v>1</v>
      </c>
      <c r="O1779" s="1" t="s">
        <v>562</v>
      </c>
      <c r="P1779">
        <v>102876.83</v>
      </c>
      <c r="Q1779">
        <v>19032.21</v>
      </c>
      <c r="R1779">
        <v>0</v>
      </c>
      <c r="S1779" s="1" t="s">
        <v>811</v>
      </c>
      <c r="T1779" s="1"/>
      <c r="U1779">
        <v>114960</v>
      </c>
      <c r="V1779">
        <v>0</v>
      </c>
      <c r="W1779">
        <v>74453</v>
      </c>
    </row>
    <row r="1780" spans="1:23" x14ac:dyDescent="0.25">
      <c r="A1780" s="1" t="s">
        <v>31</v>
      </c>
      <c r="B1780" s="1"/>
      <c r="C1780" s="1" t="s">
        <v>159</v>
      </c>
      <c r="D1780">
        <v>9523</v>
      </c>
      <c r="E1780" s="1"/>
      <c r="F1780" s="1" t="s">
        <v>291</v>
      </c>
      <c r="G1780">
        <v>2009</v>
      </c>
      <c r="H1780">
        <v>112530.71</v>
      </c>
      <c r="I1780">
        <v>12</v>
      </c>
      <c r="J1780" s="1"/>
      <c r="K1780">
        <v>0</v>
      </c>
      <c r="L1780">
        <v>2103</v>
      </c>
      <c r="M1780">
        <v>53.507064999999997</v>
      </c>
      <c r="N1780">
        <v>1</v>
      </c>
      <c r="O1780" s="1" t="s">
        <v>563</v>
      </c>
      <c r="P1780">
        <v>116492.47</v>
      </c>
      <c r="Q1780">
        <v>617.69000000000005</v>
      </c>
      <c r="R1780">
        <v>1</v>
      </c>
      <c r="S1780" s="1"/>
      <c r="T1780" s="1"/>
      <c r="U1780">
        <v>3225.3</v>
      </c>
      <c r="V1780">
        <v>74453</v>
      </c>
      <c r="W1780">
        <v>74454</v>
      </c>
    </row>
    <row r="1781" spans="1:23" x14ac:dyDescent="0.25">
      <c r="A1781" s="1" t="s">
        <v>31</v>
      </c>
      <c r="B1781" s="1"/>
      <c r="C1781" s="1" t="s">
        <v>159</v>
      </c>
      <c r="D1781">
        <v>9523</v>
      </c>
      <c r="E1781" s="1"/>
      <c r="F1781" s="1" t="s">
        <v>291</v>
      </c>
      <c r="G1781">
        <v>2009</v>
      </c>
      <c r="H1781">
        <v>86460</v>
      </c>
      <c r="I1781">
        <v>12</v>
      </c>
      <c r="J1781" s="1"/>
      <c r="K1781">
        <v>0</v>
      </c>
      <c r="L1781">
        <v>2103</v>
      </c>
      <c r="M1781">
        <v>41.110740999999997</v>
      </c>
      <c r="N1781">
        <v>1</v>
      </c>
      <c r="O1781" s="1" t="s">
        <v>562</v>
      </c>
      <c r="P1781">
        <v>90489.05</v>
      </c>
      <c r="Q1781">
        <v>16740.47</v>
      </c>
      <c r="R1781">
        <v>0</v>
      </c>
      <c r="S1781" s="1" t="s">
        <v>811</v>
      </c>
      <c r="T1781" s="1"/>
      <c r="U1781">
        <v>86460</v>
      </c>
      <c r="V1781">
        <v>0</v>
      </c>
      <c r="W1781">
        <v>74453</v>
      </c>
    </row>
    <row r="1782" spans="1:23" x14ac:dyDescent="0.25">
      <c r="A1782" s="1" t="s">
        <v>31</v>
      </c>
      <c r="B1782" s="1"/>
      <c r="C1782" s="1" t="s">
        <v>159</v>
      </c>
      <c r="D1782">
        <v>9523</v>
      </c>
      <c r="E1782" s="1"/>
      <c r="F1782" s="1" t="s">
        <v>291</v>
      </c>
      <c r="G1782">
        <v>2008</v>
      </c>
      <c r="H1782">
        <v>78370</v>
      </c>
      <c r="I1782">
        <v>12</v>
      </c>
      <c r="J1782" s="1"/>
      <c r="K1782">
        <v>0</v>
      </c>
      <c r="L1782">
        <v>2103</v>
      </c>
      <c r="M1782">
        <v>37.264037999999999</v>
      </c>
      <c r="N1782">
        <v>1</v>
      </c>
      <c r="O1782" s="1" t="s">
        <v>562</v>
      </c>
      <c r="P1782">
        <v>90694.84</v>
      </c>
      <c r="Q1782">
        <v>16778.55</v>
      </c>
      <c r="R1782">
        <v>0</v>
      </c>
      <c r="S1782" s="1" t="s">
        <v>811</v>
      </c>
      <c r="T1782" s="1"/>
      <c r="U1782">
        <v>78370</v>
      </c>
      <c r="V1782">
        <v>0</v>
      </c>
      <c r="W1782">
        <v>74453</v>
      </c>
    </row>
    <row r="1783" spans="1:23" x14ac:dyDescent="0.25">
      <c r="A1783" s="1" t="s">
        <v>31</v>
      </c>
      <c r="B1783" s="1"/>
      <c r="C1783" s="1" t="s">
        <v>159</v>
      </c>
      <c r="D1783">
        <v>9523</v>
      </c>
      <c r="E1783" s="1"/>
      <c r="F1783" s="1" t="s">
        <v>291</v>
      </c>
      <c r="G1783">
        <v>2008</v>
      </c>
      <c r="H1783">
        <v>71503.58</v>
      </c>
      <c r="I1783">
        <v>12</v>
      </c>
      <c r="J1783" s="1"/>
      <c r="K1783">
        <v>0</v>
      </c>
      <c r="L1783">
        <v>2103</v>
      </c>
      <c r="M1783">
        <v>33.999133999999998</v>
      </c>
      <c r="N1783">
        <v>1</v>
      </c>
      <c r="O1783" s="1" t="s">
        <v>563</v>
      </c>
      <c r="P1783">
        <v>82921.52</v>
      </c>
      <c r="Q1783">
        <v>439.68</v>
      </c>
      <c r="R1783">
        <v>1</v>
      </c>
      <c r="S1783" s="1"/>
      <c r="T1783" s="1"/>
      <c r="U1783">
        <v>2049.4</v>
      </c>
      <c r="V1783">
        <v>74453</v>
      </c>
      <c r="W1783">
        <v>74454</v>
      </c>
    </row>
    <row r="1784" spans="1:23" x14ac:dyDescent="0.25">
      <c r="A1784" s="1" t="s">
        <v>31</v>
      </c>
      <c r="B1784" s="1"/>
      <c r="C1784" s="1" t="s">
        <v>159</v>
      </c>
      <c r="D1784">
        <v>9522</v>
      </c>
      <c r="E1784" s="1"/>
      <c r="F1784" s="1" t="s">
        <v>292</v>
      </c>
      <c r="G1784">
        <v>2015</v>
      </c>
      <c r="H1784">
        <v>344632.95</v>
      </c>
      <c r="I1784">
        <v>5</v>
      </c>
      <c r="J1784" s="1"/>
      <c r="K1784">
        <v>0</v>
      </c>
      <c r="L1784">
        <v>5224</v>
      </c>
      <c r="M1784">
        <v>65.969821999999994</v>
      </c>
      <c r="N1784">
        <v>1</v>
      </c>
      <c r="O1784" s="1" t="s">
        <v>563</v>
      </c>
      <c r="P1784">
        <v>379712.55</v>
      </c>
      <c r="Q1784">
        <v>696.52</v>
      </c>
      <c r="R1784">
        <v>1</v>
      </c>
      <c r="S1784" s="1"/>
      <c r="T1784" s="1"/>
      <c r="U1784">
        <v>9877.7000000000007</v>
      </c>
      <c r="V1784">
        <v>74449</v>
      </c>
      <c r="W1784">
        <v>74450</v>
      </c>
    </row>
    <row r="1785" spans="1:23" x14ac:dyDescent="0.25">
      <c r="A1785" s="1" t="s">
        <v>31</v>
      </c>
      <c r="B1785" s="1"/>
      <c r="C1785" s="1" t="s">
        <v>159</v>
      </c>
      <c r="D1785">
        <v>9522</v>
      </c>
      <c r="E1785" s="1"/>
      <c r="F1785" s="1" t="s">
        <v>292</v>
      </c>
      <c r="G1785">
        <v>2015</v>
      </c>
      <c r="H1785">
        <v>155580</v>
      </c>
      <c r="I1785">
        <v>5</v>
      </c>
      <c r="J1785" s="1"/>
      <c r="K1785">
        <v>0</v>
      </c>
      <c r="L1785">
        <v>5224</v>
      </c>
      <c r="M1785">
        <v>29.781206000000001</v>
      </c>
      <c r="N1785">
        <v>1</v>
      </c>
      <c r="O1785" s="1" t="s">
        <v>562</v>
      </c>
      <c r="P1785">
        <v>178293.47</v>
      </c>
      <c r="Q1785">
        <v>11410.78</v>
      </c>
      <c r="R1785">
        <v>0</v>
      </c>
      <c r="S1785" s="1"/>
      <c r="T1785" s="1"/>
      <c r="U1785">
        <v>155580</v>
      </c>
      <c r="V1785">
        <v>0</v>
      </c>
      <c r="W1785">
        <v>74449</v>
      </c>
    </row>
    <row r="1786" spans="1:23" x14ac:dyDescent="0.25">
      <c r="A1786" s="1" t="s">
        <v>31</v>
      </c>
      <c r="B1786" s="1"/>
      <c r="C1786" s="1" t="s">
        <v>159</v>
      </c>
      <c r="D1786">
        <v>9522</v>
      </c>
      <c r="E1786" s="1"/>
      <c r="F1786" s="1" t="s">
        <v>292</v>
      </c>
      <c r="G1786">
        <v>2014</v>
      </c>
      <c r="H1786">
        <v>271744.24</v>
      </c>
      <c r="I1786">
        <v>12</v>
      </c>
      <c r="J1786" s="1"/>
      <c r="K1786">
        <v>0</v>
      </c>
      <c r="L1786">
        <v>5224</v>
      </c>
      <c r="M1786">
        <v>52.017426</v>
      </c>
      <c r="N1786">
        <v>1</v>
      </c>
      <c r="O1786" s="1" t="s">
        <v>563</v>
      </c>
      <c r="P1786">
        <v>317076.78000000003</v>
      </c>
      <c r="Q1786">
        <v>581.63</v>
      </c>
      <c r="R1786">
        <v>1</v>
      </c>
      <c r="S1786" s="1"/>
      <c r="T1786" s="1"/>
      <c r="U1786">
        <v>7788.6</v>
      </c>
      <c r="V1786">
        <v>74449</v>
      </c>
      <c r="W1786">
        <v>74450</v>
      </c>
    </row>
    <row r="1787" spans="1:23" x14ac:dyDescent="0.25">
      <c r="A1787" s="1" t="s">
        <v>31</v>
      </c>
      <c r="B1787" s="1"/>
      <c r="C1787" s="1" t="s">
        <v>159</v>
      </c>
      <c r="D1787">
        <v>9522</v>
      </c>
      <c r="E1787" s="1"/>
      <c r="F1787" s="1" t="s">
        <v>292</v>
      </c>
      <c r="G1787">
        <v>2014</v>
      </c>
      <c r="H1787">
        <v>238560</v>
      </c>
      <c r="I1787">
        <v>12</v>
      </c>
      <c r="J1787" s="1"/>
      <c r="K1787">
        <v>0</v>
      </c>
      <c r="L1787">
        <v>5224</v>
      </c>
      <c r="M1787">
        <v>45.665281999999998</v>
      </c>
      <c r="N1787">
        <v>1</v>
      </c>
      <c r="O1787" s="1" t="s">
        <v>562</v>
      </c>
      <c r="P1787">
        <v>282000.46999999997</v>
      </c>
      <c r="Q1787">
        <v>18048.02</v>
      </c>
      <c r="R1787">
        <v>0</v>
      </c>
      <c r="S1787" s="1"/>
      <c r="T1787" s="1"/>
      <c r="U1787">
        <v>238560</v>
      </c>
      <c r="V1787">
        <v>0</v>
      </c>
      <c r="W1787">
        <v>74449</v>
      </c>
    </row>
    <row r="1788" spans="1:23" x14ac:dyDescent="0.25">
      <c r="A1788" s="1" t="s">
        <v>31</v>
      </c>
      <c r="B1788" s="1"/>
      <c r="C1788" s="1" t="s">
        <v>159</v>
      </c>
      <c r="D1788">
        <v>9522</v>
      </c>
      <c r="E1788" s="1"/>
      <c r="F1788" s="1" t="s">
        <v>292</v>
      </c>
      <c r="G1788">
        <v>2013</v>
      </c>
      <c r="H1788">
        <v>296570</v>
      </c>
      <c r="I1788">
        <v>12</v>
      </c>
      <c r="J1788" s="1"/>
      <c r="K1788">
        <v>0</v>
      </c>
      <c r="L1788">
        <v>5224</v>
      </c>
      <c r="M1788">
        <v>56.769587000000001</v>
      </c>
      <c r="N1788">
        <v>1</v>
      </c>
      <c r="O1788" s="1" t="s">
        <v>562</v>
      </c>
      <c r="P1788">
        <v>303919.93</v>
      </c>
      <c r="Q1788">
        <v>19450.88</v>
      </c>
      <c r="R1788">
        <v>0</v>
      </c>
      <c r="S1788" s="1"/>
      <c r="T1788" s="1"/>
      <c r="U1788">
        <v>296570</v>
      </c>
      <c r="V1788">
        <v>0</v>
      </c>
      <c r="W1788">
        <v>74449</v>
      </c>
    </row>
    <row r="1789" spans="1:23" x14ac:dyDescent="0.25">
      <c r="A1789" s="1" t="s">
        <v>31</v>
      </c>
      <c r="B1789" s="1"/>
      <c r="C1789" s="1" t="s">
        <v>159</v>
      </c>
      <c r="D1789">
        <v>9522</v>
      </c>
      <c r="E1789" s="1"/>
      <c r="F1789" s="1" t="s">
        <v>292</v>
      </c>
      <c r="G1789">
        <v>2013</v>
      </c>
      <c r="H1789">
        <v>331179.37</v>
      </c>
      <c r="I1789">
        <v>12</v>
      </c>
      <c r="J1789" s="1"/>
      <c r="K1789">
        <v>0</v>
      </c>
      <c r="L1789">
        <v>5224</v>
      </c>
      <c r="M1789">
        <v>63.394531000000001</v>
      </c>
      <c r="N1789">
        <v>1</v>
      </c>
      <c r="O1789" s="1" t="s">
        <v>563</v>
      </c>
      <c r="P1789">
        <v>338506.57</v>
      </c>
      <c r="Q1789">
        <v>620.92999999999995</v>
      </c>
      <c r="R1789">
        <v>1</v>
      </c>
      <c r="S1789" s="1"/>
      <c r="T1789" s="1"/>
      <c r="U1789">
        <v>9492.1</v>
      </c>
      <c r="V1789">
        <v>74449</v>
      </c>
      <c r="W1789">
        <v>74450</v>
      </c>
    </row>
    <row r="1790" spans="1:23" x14ac:dyDescent="0.25">
      <c r="A1790" s="1" t="s">
        <v>31</v>
      </c>
      <c r="B1790" s="1"/>
      <c r="C1790" s="1" t="s">
        <v>159</v>
      </c>
      <c r="D1790">
        <v>9522</v>
      </c>
      <c r="E1790" s="1"/>
      <c r="F1790" s="1" t="s">
        <v>292</v>
      </c>
      <c r="G1790">
        <v>2012</v>
      </c>
      <c r="H1790">
        <v>302740</v>
      </c>
      <c r="I1790">
        <v>12</v>
      </c>
      <c r="J1790" s="1"/>
      <c r="K1790">
        <v>0</v>
      </c>
      <c r="L1790">
        <v>5224</v>
      </c>
      <c r="M1790">
        <v>57.950651000000001</v>
      </c>
      <c r="N1790">
        <v>1</v>
      </c>
      <c r="O1790" s="1" t="s">
        <v>562</v>
      </c>
      <c r="P1790">
        <v>316500.11</v>
      </c>
      <c r="Q1790">
        <v>58552.53</v>
      </c>
      <c r="R1790">
        <v>0</v>
      </c>
      <c r="S1790" s="1"/>
      <c r="T1790" s="1"/>
      <c r="U1790">
        <v>302740</v>
      </c>
      <c r="V1790">
        <v>0</v>
      </c>
      <c r="W1790">
        <v>74449</v>
      </c>
    </row>
    <row r="1791" spans="1:23" x14ac:dyDescent="0.25">
      <c r="A1791" s="1" t="s">
        <v>31</v>
      </c>
      <c r="B1791" s="1"/>
      <c r="C1791" s="1" t="s">
        <v>159</v>
      </c>
      <c r="D1791">
        <v>9522</v>
      </c>
      <c r="E1791" s="1"/>
      <c r="F1791" s="1" t="s">
        <v>292</v>
      </c>
      <c r="G1791">
        <v>2012</v>
      </c>
      <c r="H1791">
        <v>359419.33</v>
      </c>
      <c r="I1791">
        <v>12</v>
      </c>
      <c r="J1791" s="1"/>
      <c r="K1791">
        <v>0</v>
      </c>
      <c r="L1791">
        <v>5224</v>
      </c>
      <c r="M1791">
        <v>68.800239000000005</v>
      </c>
      <c r="N1791">
        <v>1</v>
      </c>
      <c r="O1791" s="1" t="s">
        <v>563</v>
      </c>
      <c r="P1791">
        <v>378497.1</v>
      </c>
      <c r="Q1791">
        <v>2006.92</v>
      </c>
      <c r="R1791">
        <v>1</v>
      </c>
      <c r="S1791" s="1"/>
      <c r="T1791" s="1"/>
      <c r="U1791">
        <v>10301.5</v>
      </c>
      <c r="V1791">
        <v>74449</v>
      </c>
      <c r="W1791">
        <v>74450</v>
      </c>
    </row>
    <row r="1792" spans="1:23" x14ac:dyDescent="0.25">
      <c r="A1792" s="1" t="s">
        <v>31</v>
      </c>
      <c r="B1792" s="1"/>
      <c r="C1792" s="1" t="s">
        <v>159</v>
      </c>
      <c r="D1792">
        <v>9522</v>
      </c>
      <c r="E1792" s="1"/>
      <c r="F1792" s="1" t="s">
        <v>292</v>
      </c>
      <c r="G1792">
        <v>2011</v>
      </c>
      <c r="H1792">
        <v>485860.71</v>
      </c>
      <c r="I1792">
        <v>12</v>
      </c>
      <c r="J1792" s="1"/>
      <c r="K1792">
        <v>0</v>
      </c>
      <c r="L1792">
        <v>5224</v>
      </c>
      <c r="M1792">
        <v>93.003715</v>
      </c>
      <c r="N1792">
        <v>1</v>
      </c>
      <c r="O1792" s="1" t="s">
        <v>563</v>
      </c>
      <c r="P1792">
        <v>526615.93000000005</v>
      </c>
      <c r="Q1792">
        <v>2792.34</v>
      </c>
      <c r="R1792">
        <v>1</v>
      </c>
      <c r="S1792" s="1"/>
      <c r="T1792" s="1"/>
      <c r="U1792">
        <v>13925.5</v>
      </c>
      <c r="V1792">
        <v>74449</v>
      </c>
      <c r="W1792">
        <v>74450</v>
      </c>
    </row>
    <row r="1793" spans="1:23" x14ac:dyDescent="0.25">
      <c r="A1793" s="1" t="s">
        <v>31</v>
      </c>
      <c r="B1793" s="1"/>
      <c r="C1793" s="1" t="s">
        <v>159</v>
      </c>
      <c r="D1793">
        <v>9522</v>
      </c>
      <c r="E1793" s="1"/>
      <c r="F1793" s="1" t="s">
        <v>292</v>
      </c>
      <c r="G1793">
        <v>2011</v>
      </c>
      <c r="H1793">
        <v>320460</v>
      </c>
      <c r="I1793">
        <v>12</v>
      </c>
      <c r="J1793" s="1"/>
      <c r="K1793">
        <v>0</v>
      </c>
      <c r="L1793">
        <v>5224</v>
      </c>
      <c r="M1793">
        <v>61.342623000000003</v>
      </c>
      <c r="N1793">
        <v>1</v>
      </c>
      <c r="O1793" s="1" t="s">
        <v>562</v>
      </c>
      <c r="P1793">
        <v>345788.76</v>
      </c>
      <c r="Q1793">
        <v>63970.93</v>
      </c>
      <c r="R1793">
        <v>0</v>
      </c>
      <c r="S1793" s="1"/>
      <c r="T1793" s="1"/>
      <c r="U1793">
        <v>320460</v>
      </c>
      <c r="V1793">
        <v>0</v>
      </c>
      <c r="W1793">
        <v>74449</v>
      </c>
    </row>
    <row r="1794" spans="1:23" x14ac:dyDescent="0.25">
      <c r="A1794" s="1" t="s">
        <v>31</v>
      </c>
      <c r="B1794" s="1"/>
      <c r="C1794" s="1" t="s">
        <v>159</v>
      </c>
      <c r="D1794">
        <v>9522</v>
      </c>
      <c r="E1794" s="1"/>
      <c r="F1794" s="1" t="s">
        <v>292</v>
      </c>
      <c r="G1794">
        <v>2010</v>
      </c>
      <c r="H1794">
        <v>660931.75</v>
      </c>
      <c r="I1794">
        <v>12</v>
      </c>
      <c r="J1794" s="1"/>
      <c r="K1794">
        <v>0</v>
      </c>
      <c r="L1794">
        <v>5224</v>
      </c>
      <c r="M1794">
        <v>126.515907</v>
      </c>
      <c r="N1794">
        <v>1</v>
      </c>
      <c r="O1794" s="1" t="s">
        <v>563</v>
      </c>
      <c r="P1794">
        <v>620484.06999999995</v>
      </c>
      <c r="Q1794">
        <v>3290.04</v>
      </c>
      <c r="R1794">
        <v>1</v>
      </c>
      <c r="S1794" s="1"/>
      <c r="T1794" s="1"/>
      <c r="U1794">
        <v>18943.3</v>
      </c>
      <c r="V1794">
        <v>74449</v>
      </c>
      <c r="W1794">
        <v>74450</v>
      </c>
    </row>
    <row r="1795" spans="1:23" x14ac:dyDescent="0.25">
      <c r="A1795" s="1" t="s">
        <v>31</v>
      </c>
      <c r="B1795" s="1"/>
      <c r="C1795" s="1" t="s">
        <v>159</v>
      </c>
      <c r="D1795">
        <v>9522</v>
      </c>
      <c r="E1795" s="1"/>
      <c r="F1795" s="1" t="s">
        <v>292</v>
      </c>
      <c r="G1795">
        <v>2010</v>
      </c>
      <c r="H1795">
        <v>490530</v>
      </c>
      <c r="I1795">
        <v>12</v>
      </c>
      <c r="J1795" s="1"/>
      <c r="K1795">
        <v>0</v>
      </c>
      <c r="L1795">
        <v>5224</v>
      </c>
      <c r="M1795">
        <v>93.897513000000004</v>
      </c>
      <c r="N1795">
        <v>1</v>
      </c>
      <c r="O1795" s="1" t="s">
        <v>562</v>
      </c>
      <c r="P1795">
        <v>447617.94</v>
      </c>
      <c r="Q1795">
        <v>82809.31</v>
      </c>
      <c r="R1795">
        <v>0</v>
      </c>
      <c r="S1795" s="1"/>
      <c r="T1795" s="1"/>
      <c r="U1795">
        <v>490530</v>
      </c>
      <c r="V1795">
        <v>0</v>
      </c>
      <c r="W1795">
        <v>74449</v>
      </c>
    </row>
    <row r="1796" spans="1:23" x14ac:dyDescent="0.25">
      <c r="A1796" s="1" t="s">
        <v>31</v>
      </c>
      <c r="B1796" s="1"/>
      <c r="C1796" s="1" t="s">
        <v>159</v>
      </c>
      <c r="D1796">
        <v>9522</v>
      </c>
      <c r="E1796" s="1"/>
      <c r="F1796" s="1" t="s">
        <v>292</v>
      </c>
      <c r="G1796">
        <v>2009</v>
      </c>
      <c r="H1796">
        <v>408920</v>
      </c>
      <c r="I1796">
        <v>12</v>
      </c>
      <c r="J1796" s="1"/>
      <c r="K1796">
        <v>0</v>
      </c>
      <c r="L1796">
        <v>5224</v>
      </c>
      <c r="M1796">
        <v>78.275683000000001</v>
      </c>
      <c r="N1796">
        <v>1</v>
      </c>
      <c r="O1796" s="1" t="s">
        <v>562</v>
      </c>
      <c r="P1796">
        <v>439952.57</v>
      </c>
      <c r="Q1796">
        <v>81391.22</v>
      </c>
      <c r="R1796">
        <v>0</v>
      </c>
      <c r="S1796" s="1"/>
      <c r="T1796" s="1"/>
      <c r="U1796">
        <v>408920</v>
      </c>
      <c r="V1796">
        <v>0</v>
      </c>
      <c r="W1796">
        <v>74449</v>
      </c>
    </row>
    <row r="1797" spans="1:23" x14ac:dyDescent="0.25">
      <c r="A1797" s="1" t="s">
        <v>31</v>
      </c>
      <c r="B1797" s="1"/>
      <c r="C1797" s="1" t="s">
        <v>159</v>
      </c>
      <c r="D1797">
        <v>9522</v>
      </c>
      <c r="E1797" s="1"/>
      <c r="F1797" s="1" t="s">
        <v>292</v>
      </c>
      <c r="G1797">
        <v>2009</v>
      </c>
      <c r="H1797">
        <v>562807.11</v>
      </c>
      <c r="I1797">
        <v>12</v>
      </c>
      <c r="J1797" s="1"/>
      <c r="K1797">
        <v>0</v>
      </c>
      <c r="L1797">
        <v>5224</v>
      </c>
      <c r="M1797">
        <v>107.73283600000001</v>
      </c>
      <c r="N1797">
        <v>1</v>
      </c>
      <c r="O1797" s="1" t="s">
        <v>563</v>
      </c>
      <c r="P1797">
        <v>608717.06000000006</v>
      </c>
      <c r="Q1797">
        <v>3227.65</v>
      </c>
      <c r="R1797">
        <v>1</v>
      </c>
      <c r="S1797" s="1"/>
      <c r="T1797" s="1"/>
      <c r="U1797">
        <v>16130.9</v>
      </c>
      <c r="V1797">
        <v>74449</v>
      </c>
      <c r="W1797">
        <v>74450</v>
      </c>
    </row>
    <row r="1798" spans="1:23" x14ac:dyDescent="0.25">
      <c r="A1798" s="1" t="s">
        <v>31</v>
      </c>
      <c r="B1798" s="1"/>
      <c r="C1798" s="1" t="s">
        <v>159</v>
      </c>
      <c r="D1798">
        <v>9522</v>
      </c>
      <c r="E1798" s="1"/>
      <c r="F1798" s="1" t="s">
        <v>292</v>
      </c>
      <c r="G1798">
        <v>2008</v>
      </c>
      <c r="H1798">
        <v>374700</v>
      </c>
      <c r="I1798">
        <v>12</v>
      </c>
      <c r="J1798" s="1"/>
      <c r="K1798">
        <v>0</v>
      </c>
      <c r="L1798">
        <v>5224</v>
      </c>
      <c r="M1798">
        <v>71.725273000000001</v>
      </c>
      <c r="N1798">
        <v>1</v>
      </c>
      <c r="O1798" s="1" t="s">
        <v>562</v>
      </c>
      <c r="P1798">
        <v>431610.97</v>
      </c>
      <c r="Q1798">
        <v>79848.039999999994</v>
      </c>
      <c r="R1798">
        <v>0</v>
      </c>
      <c r="S1798" s="1"/>
      <c r="T1798" s="1"/>
      <c r="U1798">
        <v>374700</v>
      </c>
      <c r="V1798">
        <v>0</v>
      </c>
      <c r="W1798">
        <v>74449</v>
      </c>
    </row>
    <row r="1799" spans="1:23" x14ac:dyDescent="0.25">
      <c r="A1799" s="1" t="s">
        <v>31</v>
      </c>
      <c r="B1799" s="1"/>
      <c r="C1799" s="1" t="s">
        <v>159</v>
      </c>
      <c r="D1799">
        <v>9522</v>
      </c>
      <c r="E1799" s="1"/>
      <c r="F1799" s="1" t="s">
        <v>292</v>
      </c>
      <c r="G1799">
        <v>2008</v>
      </c>
      <c r="H1799">
        <v>537047.81999999995</v>
      </c>
      <c r="I1799">
        <v>12</v>
      </c>
      <c r="J1799" s="1"/>
      <c r="K1799">
        <v>0</v>
      </c>
      <c r="L1799">
        <v>5224</v>
      </c>
      <c r="M1799">
        <v>102.801979</v>
      </c>
      <c r="N1799">
        <v>1</v>
      </c>
      <c r="O1799" s="1" t="s">
        <v>563</v>
      </c>
      <c r="P1799">
        <v>617911.16</v>
      </c>
      <c r="Q1799">
        <v>3276.43</v>
      </c>
      <c r="R1799">
        <v>1</v>
      </c>
      <c r="S1799" s="1"/>
      <c r="T1799" s="1"/>
      <c r="U1799">
        <v>15392.6</v>
      </c>
      <c r="V1799">
        <v>74449</v>
      </c>
      <c r="W1799">
        <v>74450</v>
      </c>
    </row>
    <row r="1800" spans="1:23" x14ac:dyDescent="0.25">
      <c r="A1800" s="1" t="s">
        <v>31</v>
      </c>
      <c r="B1800" s="1" t="s">
        <v>66</v>
      </c>
      <c r="C1800" s="1" t="s">
        <v>156</v>
      </c>
      <c r="D1800">
        <v>5467</v>
      </c>
      <c r="E1800" s="1"/>
      <c r="F1800" s="1" t="s">
        <v>287</v>
      </c>
      <c r="G1800">
        <v>2015</v>
      </c>
      <c r="H1800">
        <v>115724.8</v>
      </c>
      <c r="I1800">
        <v>5</v>
      </c>
      <c r="J1800" s="1" t="s">
        <v>429</v>
      </c>
      <c r="K1800">
        <v>0</v>
      </c>
      <c r="L1800">
        <v>6415</v>
      </c>
      <c r="M1800">
        <v>18.039438000000001</v>
      </c>
      <c r="N1800">
        <v>2</v>
      </c>
      <c r="O1800" s="1" t="s">
        <v>569</v>
      </c>
      <c r="P1800">
        <v>115724.8</v>
      </c>
      <c r="Q1800">
        <v>46289.919999999998</v>
      </c>
      <c r="R1800">
        <v>0</v>
      </c>
      <c r="S1800" s="1" t="s">
        <v>1012</v>
      </c>
      <c r="T1800" s="1" t="s">
        <v>1291</v>
      </c>
      <c r="U1800">
        <v>115724.8</v>
      </c>
      <c r="V1800">
        <v>0</v>
      </c>
      <c r="W1800">
        <v>57798</v>
      </c>
    </row>
    <row r="1801" spans="1:23" x14ac:dyDescent="0.25">
      <c r="A1801" s="1" t="s">
        <v>31</v>
      </c>
      <c r="B1801" s="1" t="s">
        <v>66</v>
      </c>
      <c r="C1801" s="1" t="s">
        <v>156</v>
      </c>
      <c r="D1801">
        <v>5467</v>
      </c>
      <c r="E1801" s="1"/>
      <c r="F1801" s="1" t="s">
        <v>287</v>
      </c>
      <c r="G1801">
        <v>2014</v>
      </c>
      <c r="H1801">
        <v>241046.39999999999</v>
      </c>
      <c r="I1801">
        <v>12</v>
      </c>
      <c r="J1801" s="1" t="s">
        <v>429</v>
      </c>
      <c r="K1801">
        <v>0</v>
      </c>
      <c r="L1801">
        <v>6415</v>
      </c>
      <c r="M1801">
        <v>37.574846000000001</v>
      </c>
      <c r="N1801">
        <v>2</v>
      </c>
      <c r="O1801" s="1" t="s">
        <v>569</v>
      </c>
      <c r="P1801">
        <v>241046.39999999999</v>
      </c>
      <c r="Q1801">
        <v>96418.559999999998</v>
      </c>
      <c r="R1801">
        <v>0</v>
      </c>
      <c r="S1801" s="1" t="s">
        <v>1012</v>
      </c>
      <c r="T1801" s="1" t="s">
        <v>1291</v>
      </c>
      <c r="U1801">
        <v>241046.39999999999</v>
      </c>
      <c r="V1801">
        <v>0</v>
      </c>
      <c r="W1801">
        <v>57798</v>
      </c>
    </row>
    <row r="1802" spans="1:23" x14ac:dyDescent="0.25">
      <c r="A1802" s="1" t="s">
        <v>31</v>
      </c>
      <c r="B1802" s="1" t="s">
        <v>66</v>
      </c>
      <c r="C1802" s="1" t="s">
        <v>156</v>
      </c>
      <c r="D1802">
        <v>5467</v>
      </c>
      <c r="E1802" s="1"/>
      <c r="F1802" s="1" t="s">
        <v>287</v>
      </c>
      <c r="G1802">
        <v>2013</v>
      </c>
      <c r="H1802">
        <v>223258.65</v>
      </c>
      <c r="I1802">
        <v>12</v>
      </c>
      <c r="J1802" s="1" t="s">
        <v>429</v>
      </c>
      <c r="K1802">
        <v>0</v>
      </c>
      <c r="L1802">
        <v>6415</v>
      </c>
      <c r="M1802">
        <v>34.802052000000003</v>
      </c>
      <c r="N1802">
        <v>2</v>
      </c>
      <c r="O1802" s="1" t="s">
        <v>569</v>
      </c>
      <c r="P1802">
        <v>223258.65</v>
      </c>
      <c r="Q1802">
        <v>89303.46</v>
      </c>
      <c r="R1802">
        <v>0</v>
      </c>
      <c r="S1802" s="1" t="s">
        <v>1012</v>
      </c>
      <c r="T1802" s="1" t="s">
        <v>1291</v>
      </c>
      <c r="U1802">
        <v>223258.65</v>
      </c>
      <c r="V1802">
        <v>0</v>
      </c>
      <c r="W1802">
        <v>57798</v>
      </c>
    </row>
    <row r="1803" spans="1:23" x14ac:dyDescent="0.25">
      <c r="A1803" s="1" t="s">
        <v>31</v>
      </c>
      <c r="B1803" s="1" t="s">
        <v>66</v>
      </c>
      <c r="C1803" s="1" t="s">
        <v>156</v>
      </c>
      <c r="D1803">
        <v>5467</v>
      </c>
      <c r="E1803" s="1"/>
      <c r="F1803" s="1" t="s">
        <v>287</v>
      </c>
      <c r="G1803">
        <v>2012</v>
      </c>
      <c r="H1803">
        <v>263158.5</v>
      </c>
      <c r="I1803">
        <v>12</v>
      </c>
      <c r="J1803" s="1" t="s">
        <v>429</v>
      </c>
      <c r="K1803">
        <v>0</v>
      </c>
      <c r="L1803">
        <v>6415</v>
      </c>
      <c r="M1803">
        <v>41.021729000000001</v>
      </c>
      <c r="N1803">
        <v>2</v>
      </c>
      <c r="O1803" s="1" t="s">
        <v>569</v>
      </c>
      <c r="P1803">
        <v>263158.5</v>
      </c>
      <c r="Q1803">
        <v>105263.4</v>
      </c>
      <c r="R1803">
        <v>0</v>
      </c>
      <c r="S1803" s="1" t="s">
        <v>1012</v>
      </c>
      <c r="T1803" s="1" t="s">
        <v>1291</v>
      </c>
      <c r="U1803">
        <v>263158.5</v>
      </c>
      <c r="V1803">
        <v>0</v>
      </c>
      <c r="W1803">
        <v>57798</v>
      </c>
    </row>
    <row r="1804" spans="1:23" x14ac:dyDescent="0.25">
      <c r="A1804" s="1" t="s">
        <v>31</v>
      </c>
      <c r="B1804" s="1" t="s">
        <v>66</v>
      </c>
      <c r="C1804" s="1" t="s">
        <v>156</v>
      </c>
      <c r="D1804">
        <v>5467</v>
      </c>
      <c r="E1804" s="1"/>
      <c r="F1804" s="1" t="s">
        <v>287</v>
      </c>
      <c r="G1804">
        <v>2011</v>
      </c>
      <c r="H1804">
        <v>252452.75</v>
      </c>
      <c r="I1804">
        <v>12</v>
      </c>
      <c r="J1804" s="1" t="s">
        <v>429</v>
      </c>
      <c r="K1804">
        <v>0</v>
      </c>
      <c r="L1804">
        <v>6415</v>
      </c>
      <c r="M1804">
        <v>39.352893000000002</v>
      </c>
      <c r="N1804">
        <v>2</v>
      </c>
      <c r="O1804" s="1" t="s">
        <v>569</v>
      </c>
      <c r="P1804">
        <v>252452.75</v>
      </c>
      <c r="Q1804">
        <v>118400.34</v>
      </c>
      <c r="R1804">
        <v>0</v>
      </c>
      <c r="S1804" s="1" t="s">
        <v>1012</v>
      </c>
      <c r="T1804" s="1" t="s">
        <v>1291</v>
      </c>
      <c r="U1804">
        <v>252452.75</v>
      </c>
      <c r="V1804">
        <v>0</v>
      </c>
      <c r="W1804">
        <v>57798</v>
      </c>
    </row>
    <row r="1805" spans="1:23" x14ac:dyDescent="0.25">
      <c r="A1805" s="1" t="s">
        <v>31</v>
      </c>
      <c r="B1805" s="1" t="s">
        <v>66</v>
      </c>
      <c r="C1805" s="1" t="s">
        <v>156</v>
      </c>
      <c r="D1805">
        <v>5467</v>
      </c>
      <c r="E1805" s="1"/>
      <c r="F1805" s="1" t="s">
        <v>287</v>
      </c>
      <c r="G1805">
        <v>2010</v>
      </c>
      <c r="H1805">
        <v>229091.4</v>
      </c>
      <c r="I1805">
        <v>12</v>
      </c>
      <c r="J1805" s="1" t="s">
        <v>429</v>
      </c>
      <c r="K1805">
        <v>0</v>
      </c>
      <c r="L1805">
        <v>6415</v>
      </c>
      <c r="M1805">
        <v>35.711274000000003</v>
      </c>
      <c r="N1805">
        <v>2</v>
      </c>
      <c r="O1805" s="1" t="s">
        <v>569</v>
      </c>
      <c r="P1805">
        <v>229091.4</v>
      </c>
      <c r="Q1805">
        <v>107443.87</v>
      </c>
      <c r="R1805">
        <v>0</v>
      </c>
      <c r="S1805" s="1" t="s">
        <v>1012</v>
      </c>
      <c r="T1805" s="1" t="s">
        <v>1291</v>
      </c>
      <c r="U1805">
        <v>229091.4</v>
      </c>
      <c r="V1805">
        <v>0</v>
      </c>
      <c r="W1805">
        <v>57798</v>
      </c>
    </row>
    <row r="1806" spans="1:23" x14ac:dyDescent="0.25">
      <c r="A1806" s="1" t="s">
        <v>31</v>
      </c>
      <c r="B1806" s="1" t="s">
        <v>66</v>
      </c>
      <c r="C1806" s="1" t="s">
        <v>156</v>
      </c>
      <c r="D1806">
        <v>5467</v>
      </c>
      <c r="E1806" s="1"/>
      <c r="F1806" s="1" t="s">
        <v>287</v>
      </c>
      <c r="G1806">
        <v>2009</v>
      </c>
      <c r="H1806">
        <v>188340</v>
      </c>
      <c r="I1806">
        <v>12</v>
      </c>
      <c r="J1806" s="1" t="s">
        <v>429</v>
      </c>
      <c r="K1806">
        <v>0</v>
      </c>
      <c r="L1806">
        <v>6415</v>
      </c>
      <c r="M1806">
        <v>29.358855999999999</v>
      </c>
      <c r="N1806">
        <v>2</v>
      </c>
      <c r="O1806" s="1" t="s">
        <v>569</v>
      </c>
      <c r="P1806">
        <v>188340</v>
      </c>
      <c r="Q1806">
        <v>88331.47</v>
      </c>
      <c r="R1806">
        <v>0</v>
      </c>
      <c r="S1806" s="1" t="s">
        <v>1012</v>
      </c>
      <c r="T1806" s="1" t="s">
        <v>1291</v>
      </c>
      <c r="U1806">
        <v>188340</v>
      </c>
      <c r="V1806">
        <v>0</v>
      </c>
      <c r="W1806">
        <v>57798</v>
      </c>
    </row>
    <row r="1807" spans="1:23" x14ac:dyDescent="0.25">
      <c r="A1807" s="1" t="s">
        <v>31</v>
      </c>
      <c r="B1807" s="1" t="s">
        <v>66</v>
      </c>
      <c r="C1807" s="1" t="s">
        <v>156</v>
      </c>
      <c r="D1807">
        <v>5467</v>
      </c>
      <c r="E1807" s="1"/>
      <c r="F1807" s="1" t="s">
        <v>287</v>
      </c>
      <c r="G1807">
        <v>2008</v>
      </c>
      <c r="H1807">
        <v>199339.65</v>
      </c>
      <c r="I1807">
        <v>12</v>
      </c>
      <c r="J1807" s="1" t="s">
        <v>429</v>
      </c>
      <c r="K1807">
        <v>0</v>
      </c>
      <c r="L1807">
        <v>6415</v>
      </c>
      <c r="M1807">
        <v>31.073505999999998</v>
      </c>
      <c r="N1807">
        <v>2</v>
      </c>
      <c r="O1807" s="1" t="s">
        <v>569</v>
      </c>
      <c r="P1807">
        <v>199339.65</v>
      </c>
      <c r="Q1807">
        <v>93490.31</v>
      </c>
      <c r="R1807">
        <v>0</v>
      </c>
      <c r="S1807" s="1" t="s">
        <v>1012</v>
      </c>
      <c r="T1807" s="1" t="s">
        <v>1291</v>
      </c>
      <c r="U1807">
        <v>199339.65</v>
      </c>
      <c r="V1807">
        <v>0</v>
      </c>
      <c r="W1807">
        <v>57798</v>
      </c>
    </row>
    <row r="1808" spans="1:23" x14ac:dyDescent="0.25">
      <c r="A1808" s="1" t="s">
        <v>31</v>
      </c>
      <c r="B1808" s="1" t="s">
        <v>66</v>
      </c>
      <c r="C1808" s="1" t="s">
        <v>156</v>
      </c>
      <c r="D1808">
        <v>14135</v>
      </c>
      <c r="E1808" s="1" t="s">
        <v>243</v>
      </c>
      <c r="F1808" s="1" t="s">
        <v>288</v>
      </c>
      <c r="G1808">
        <v>2015</v>
      </c>
      <c r="H1808">
        <v>47094.04</v>
      </c>
      <c r="I1808">
        <v>5</v>
      </c>
      <c r="J1808" s="1" t="s">
        <v>429</v>
      </c>
      <c r="K1808">
        <v>0</v>
      </c>
      <c r="L1808">
        <v>3594</v>
      </c>
      <c r="M1808">
        <v>13.103152</v>
      </c>
      <c r="N1808">
        <v>2</v>
      </c>
      <c r="O1808" s="1" t="s">
        <v>569</v>
      </c>
      <c r="P1808">
        <v>47094.04</v>
      </c>
      <c r="Q1808">
        <v>18837.62</v>
      </c>
      <c r="R1808">
        <v>0</v>
      </c>
      <c r="S1808" s="1" t="s">
        <v>1013</v>
      </c>
      <c r="T1808" s="1" t="s">
        <v>1292</v>
      </c>
      <c r="U1808">
        <v>47094.044999999998</v>
      </c>
      <c r="V1808">
        <v>0</v>
      </c>
      <c r="W1808">
        <v>57799</v>
      </c>
    </row>
    <row r="1809" spans="1:23" x14ac:dyDescent="0.25">
      <c r="A1809" s="1" t="s">
        <v>31</v>
      </c>
      <c r="B1809" s="1" t="s">
        <v>66</v>
      </c>
      <c r="C1809" s="1" t="s">
        <v>156</v>
      </c>
      <c r="D1809">
        <v>14135</v>
      </c>
      <c r="E1809" s="1" t="s">
        <v>243</v>
      </c>
      <c r="F1809" s="1" t="s">
        <v>288</v>
      </c>
      <c r="G1809">
        <v>2014</v>
      </c>
      <c r="H1809">
        <v>117833.34</v>
      </c>
      <c r="I1809">
        <v>12</v>
      </c>
      <c r="J1809" s="1" t="s">
        <v>429</v>
      </c>
      <c r="K1809">
        <v>0</v>
      </c>
      <c r="L1809">
        <v>3594</v>
      </c>
      <c r="M1809">
        <v>32.785214000000003</v>
      </c>
      <c r="N1809">
        <v>2</v>
      </c>
      <c r="O1809" s="1" t="s">
        <v>569</v>
      </c>
      <c r="P1809">
        <v>117833.34</v>
      </c>
      <c r="Q1809">
        <v>47133.33</v>
      </c>
      <c r="R1809">
        <v>0</v>
      </c>
      <c r="S1809" s="1" t="s">
        <v>1013</v>
      </c>
      <c r="T1809" s="1" t="s">
        <v>1292</v>
      </c>
      <c r="U1809">
        <v>117833.353</v>
      </c>
      <c r="V1809">
        <v>0</v>
      </c>
      <c r="W1809">
        <v>57799</v>
      </c>
    </row>
    <row r="1810" spans="1:23" x14ac:dyDescent="0.25">
      <c r="A1810" s="1" t="s">
        <v>31</v>
      </c>
      <c r="B1810" s="1" t="s">
        <v>66</v>
      </c>
      <c r="C1810" s="1" t="s">
        <v>156</v>
      </c>
      <c r="D1810">
        <v>14135</v>
      </c>
      <c r="E1810" s="1" t="s">
        <v>243</v>
      </c>
      <c r="F1810" s="1" t="s">
        <v>288</v>
      </c>
      <c r="G1810">
        <v>2013</v>
      </c>
      <c r="H1810">
        <v>125241.32</v>
      </c>
      <c r="I1810">
        <v>12</v>
      </c>
      <c r="J1810" s="1" t="s">
        <v>429</v>
      </c>
      <c r="K1810">
        <v>0</v>
      </c>
      <c r="L1810">
        <v>3594</v>
      </c>
      <c r="M1810">
        <v>34.846364000000001</v>
      </c>
      <c r="N1810">
        <v>2</v>
      </c>
      <c r="O1810" s="1" t="s">
        <v>569</v>
      </c>
      <c r="P1810">
        <v>125241.32</v>
      </c>
      <c r="Q1810">
        <v>50096.53</v>
      </c>
      <c r="R1810">
        <v>0</v>
      </c>
      <c r="S1810" s="1" t="s">
        <v>1013</v>
      </c>
      <c r="T1810" s="1" t="s">
        <v>1292</v>
      </c>
      <c r="U1810">
        <v>125241.321</v>
      </c>
      <c r="V1810">
        <v>0</v>
      </c>
      <c r="W1810">
        <v>57799</v>
      </c>
    </row>
    <row r="1811" spans="1:23" x14ac:dyDescent="0.25">
      <c r="A1811" s="1" t="s">
        <v>31</v>
      </c>
      <c r="B1811" s="1" t="s">
        <v>66</v>
      </c>
      <c r="C1811" s="1" t="s">
        <v>156</v>
      </c>
      <c r="D1811">
        <v>14135</v>
      </c>
      <c r="E1811" s="1" t="s">
        <v>243</v>
      </c>
      <c r="F1811" s="1" t="s">
        <v>288</v>
      </c>
      <c r="G1811">
        <v>2012</v>
      </c>
      <c r="H1811">
        <v>138866.85</v>
      </c>
      <c r="I1811">
        <v>12</v>
      </c>
      <c r="J1811" s="1" t="s">
        <v>429</v>
      </c>
      <c r="K1811">
        <v>0</v>
      </c>
      <c r="L1811">
        <v>3594</v>
      </c>
      <c r="M1811">
        <v>38.637447000000002</v>
      </c>
      <c r="N1811">
        <v>2</v>
      </c>
      <c r="O1811" s="1" t="s">
        <v>569</v>
      </c>
      <c r="P1811">
        <v>138866.85</v>
      </c>
      <c r="Q1811">
        <v>55546.74</v>
      </c>
      <c r="R1811">
        <v>0</v>
      </c>
      <c r="S1811" s="1" t="s">
        <v>1013</v>
      </c>
      <c r="T1811" s="1" t="s">
        <v>1292</v>
      </c>
      <c r="U1811">
        <v>138866.85</v>
      </c>
      <c r="V1811">
        <v>0</v>
      </c>
      <c r="W1811">
        <v>57799</v>
      </c>
    </row>
    <row r="1812" spans="1:23" x14ac:dyDescent="0.25">
      <c r="A1812" s="1" t="s">
        <v>31</v>
      </c>
      <c r="B1812" s="1" t="s">
        <v>66</v>
      </c>
      <c r="C1812" s="1" t="s">
        <v>156</v>
      </c>
      <c r="D1812">
        <v>14135</v>
      </c>
      <c r="E1812" s="1" t="s">
        <v>243</v>
      </c>
      <c r="F1812" s="1" t="s">
        <v>288</v>
      </c>
      <c r="G1812">
        <v>2011</v>
      </c>
      <c r="H1812">
        <v>122987.65</v>
      </c>
      <c r="I1812">
        <v>12</v>
      </c>
      <c r="J1812" s="1" t="s">
        <v>429</v>
      </c>
      <c r="K1812">
        <v>0</v>
      </c>
      <c r="L1812">
        <v>3594</v>
      </c>
      <c r="M1812">
        <v>34.219316999999997</v>
      </c>
      <c r="N1812">
        <v>2</v>
      </c>
      <c r="O1812" s="1" t="s">
        <v>569</v>
      </c>
      <c r="P1812">
        <v>122987.65</v>
      </c>
      <c r="Q1812">
        <v>57681.22</v>
      </c>
      <c r="R1812">
        <v>0</v>
      </c>
      <c r="S1812" s="1" t="s">
        <v>1013</v>
      </c>
      <c r="T1812" s="1" t="s">
        <v>1292</v>
      </c>
      <c r="U1812">
        <v>122987.64982000001</v>
      </c>
      <c r="V1812">
        <v>0</v>
      </c>
      <c r="W1812">
        <v>57799</v>
      </c>
    </row>
    <row r="1813" spans="1:23" x14ac:dyDescent="0.25">
      <c r="A1813" s="1" t="s">
        <v>31</v>
      </c>
      <c r="B1813" s="1" t="s">
        <v>66</v>
      </c>
      <c r="C1813" s="1" t="s">
        <v>156</v>
      </c>
      <c r="D1813">
        <v>14135</v>
      </c>
      <c r="E1813" s="1" t="s">
        <v>243</v>
      </c>
      <c r="F1813" s="1" t="s">
        <v>288</v>
      </c>
      <c r="G1813">
        <v>2010</v>
      </c>
      <c r="H1813">
        <v>131770.29999999999</v>
      </c>
      <c r="I1813">
        <v>12</v>
      </c>
      <c r="J1813" s="1" t="s">
        <v>429</v>
      </c>
      <c r="K1813">
        <v>0</v>
      </c>
      <c r="L1813">
        <v>3594</v>
      </c>
      <c r="M1813">
        <v>36.662947000000003</v>
      </c>
      <c r="N1813">
        <v>2</v>
      </c>
      <c r="O1813" s="1" t="s">
        <v>569</v>
      </c>
      <c r="P1813">
        <v>131770.29999999999</v>
      </c>
      <c r="Q1813">
        <v>61800.27</v>
      </c>
      <c r="R1813">
        <v>0</v>
      </c>
      <c r="S1813" s="1" t="s">
        <v>1013</v>
      </c>
      <c r="T1813" s="1" t="s">
        <v>1292</v>
      </c>
      <c r="U1813">
        <v>131770.29999999999</v>
      </c>
      <c r="V1813">
        <v>0</v>
      </c>
      <c r="W1813">
        <v>57799</v>
      </c>
    </row>
    <row r="1814" spans="1:23" x14ac:dyDescent="0.25">
      <c r="A1814" s="1" t="s">
        <v>31</v>
      </c>
      <c r="B1814" s="1" t="s">
        <v>66</v>
      </c>
      <c r="C1814" s="1" t="s">
        <v>156</v>
      </c>
      <c r="D1814">
        <v>14135</v>
      </c>
      <c r="E1814" s="1" t="s">
        <v>243</v>
      </c>
      <c r="F1814" s="1" t="s">
        <v>288</v>
      </c>
      <c r="G1814">
        <v>2009</v>
      </c>
      <c r="H1814">
        <v>127228.05</v>
      </c>
      <c r="I1814">
        <v>12</v>
      </c>
      <c r="J1814" s="1" t="s">
        <v>429</v>
      </c>
      <c r="K1814">
        <v>0</v>
      </c>
      <c r="L1814">
        <v>3594</v>
      </c>
      <c r="M1814">
        <v>35.399140000000003</v>
      </c>
      <c r="N1814">
        <v>2</v>
      </c>
      <c r="O1814" s="1" t="s">
        <v>569</v>
      </c>
      <c r="P1814">
        <v>127228.05</v>
      </c>
      <c r="Q1814">
        <v>59669.96</v>
      </c>
      <c r="R1814">
        <v>0</v>
      </c>
      <c r="S1814" s="1" t="s">
        <v>1013</v>
      </c>
      <c r="T1814" s="1" t="s">
        <v>1292</v>
      </c>
      <c r="U1814">
        <v>127228.05</v>
      </c>
      <c r="V1814">
        <v>0</v>
      </c>
      <c r="W1814">
        <v>57799</v>
      </c>
    </row>
    <row r="1815" spans="1:23" x14ac:dyDescent="0.25">
      <c r="A1815" s="1" t="s">
        <v>31</v>
      </c>
      <c r="B1815" s="1" t="s">
        <v>66</v>
      </c>
      <c r="C1815" s="1" t="s">
        <v>156</v>
      </c>
      <c r="D1815">
        <v>14135</v>
      </c>
      <c r="E1815" s="1" t="s">
        <v>243</v>
      </c>
      <c r="F1815" s="1" t="s">
        <v>288</v>
      </c>
      <c r="G1815">
        <v>2008</v>
      </c>
      <c r="H1815">
        <v>128382.35</v>
      </c>
      <c r="I1815">
        <v>12</v>
      </c>
      <c r="J1815" s="1" t="s">
        <v>429</v>
      </c>
      <c r="K1815">
        <v>0</v>
      </c>
      <c r="L1815">
        <v>3594</v>
      </c>
      <c r="M1815">
        <v>35.720305000000003</v>
      </c>
      <c r="N1815">
        <v>2</v>
      </c>
      <c r="O1815" s="1" t="s">
        <v>569</v>
      </c>
      <c r="P1815">
        <v>128382.35</v>
      </c>
      <c r="Q1815">
        <v>60211.34</v>
      </c>
      <c r="R1815">
        <v>0</v>
      </c>
      <c r="S1815" s="1" t="s">
        <v>1013</v>
      </c>
      <c r="T1815" s="1" t="s">
        <v>1292</v>
      </c>
      <c r="U1815">
        <v>128382.35</v>
      </c>
      <c r="V1815">
        <v>0</v>
      </c>
      <c r="W1815">
        <v>57799</v>
      </c>
    </row>
    <row r="1816" spans="1:23" x14ac:dyDescent="0.25">
      <c r="A1816" s="1" t="s">
        <v>31</v>
      </c>
      <c r="B1816" s="1"/>
      <c r="C1816" s="1" t="s">
        <v>157</v>
      </c>
      <c r="D1816">
        <v>10324</v>
      </c>
      <c r="E1816" s="1"/>
      <c r="F1816" s="1" t="s">
        <v>289</v>
      </c>
      <c r="G1816">
        <v>2015</v>
      </c>
      <c r="H1816">
        <v>21083.94</v>
      </c>
      <c r="I1816">
        <v>5</v>
      </c>
      <c r="J1816" s="1"/>
      <c r="K1816">
        <v>0</v>
      </c>
      <c r="L1816">
        <v>2027</v>
      </c>
      <c r="M1816">
        <v>10.401035</v>
      </c>
      <c r="N1816">
        <v>2</v>
      </c>
      <c r="O1816" s="1" t="s">
        <v>569</v>
      </c>
      <c r="P1816">
        <v>21083.94</v>
      </c>
      <c r="Q1816">
        <v>6325.18</v>
      </c>
      <c r="R1816">
        <v>0</v>
      </c>
      <c r="S1816" s="1"/>
      <c r="T1816" s="1" t="s">
        <v>1293</v>
      </c>
      <c r="U1816">
        <v>21083.938999999998</v>
      </c>
      <c r="V1816">
        <v>0</v>
      </c>
      <c r="W1816">
        <v>77832</v>
      </c>
    </row>
    <row r="1817" spans="1:23" x14ac:dyDescent="0.25">
      <c r="A1817" s="1" t="s">
        <v>31</v>
      </c>
      <c r="B1817" s="1"/>
      <c r="C1817" s="1" t="s">
        <v>157</v>
      </c>
      <c r="D1817">
        <v>10324</v>
      </c>
      <c r="E1817" s="1"/>
      <c r="F1817" s="1" t="s">
        <v>289</v>
      </c>
      <c r="G1817">
        <v>2014</v>
      </c>
      <c r="H1817">
        <v>52700.03</v>
      </c>
      <c r="I1817">
        <v>12</v>
      </c>
      <c r="J1817" s="1"/>
      <c r="K1817">
        <v>0</v>
      </c>
      <c r="L1817">
        <v>2027</v>
      </c>
      <c r="M1817">
        <v>25.997744999999998</v>
      </c>
      <c r="N1817">
        <v>2</v>
      </c>
      <c r="O1817" s="1" t="s">
        <v>569</v>
      </c>
      <c r="P1817">
        <v>52700.03</v>
      </c>
      <c r="Q1817">
        <v>15810.01</v>
      </c>
      <c r="R1817">
        <v>0</v>
      </c>
      <c r="S1817" s="1"/>
      <c r="T1817" s="1" t="s">
        <v>1293</v>
      </c>
      <c r="U1817">
        <v>52700.031999999999</v>
      </c>
      <c r="V1817">
        <v>0</v>
      </c>
      <c r="W1817">
        <v>77832</v>
      </c>
    </row>
    <row r="1818" spans="1:23" x14ac:dyDescent="0.25">
      <c r="A1818" s="1" t="s">
        <v>31</v>
      </c>
      <c r="B1818" s="1"/>
      <c r="C1818" s="1" t="s">
        <v>157</v>
      </c>
      <c r="D1818">
        <v>10324</v>
      </c>
      <c r="E1818" s="1"/>
      <c r="F1818" s="1" t="s">
        <v>289</v>
      </c>
      <c r="G1818">
        <v>2013</v>
      </c>
      <c r="H1818">
        <v>48473.599999999999</v>
      </c>
      <c r="I1818">
        <v>12</v>
      </c>
      <c r="J1818" s="1"/>
      <c r="K1818">
        <v>0</v>
      </c>
      <c r="L1818">
        <v>2027</v>
      </c>
      <c r="M1818">
        <v>23.912780999999999</v>
      </c>
      <c r="N1818">
        <v>2</v>
      </c>
      <c r="O1818" s="1" t="s">
        <v>569</v>
      </c>
      <c r="P1818">
        <v>48473.599999999999</v>
      </c>
      <c r="Q1818">
        <v>14542.09</v>
      </c>
      <c r="R1818">
        <v>0</v>
      </c>
      <c r="S1818" s="1"/>
      <c r="T1818" s="1" t="s">
        <v>1293</v>
      </c>
      <c r="U1818">
        <v>48473.595000000001</v>
      </c>
      <c r="V1818">
        <v>0</v>
      </c>
      <c r="W1818">
        <v>77832</v>
      </c>
    </row>
    <row r="1819" spans="1:23" x14ac:dyDescent="0.25">
      <c r="A1819" s="1" t="s">
        <v>31</v>
      </c>
      <c r="B1819" s="1"/>
      <c r="C1819" s="1" t="s">
        <v>157</v>
      </c>
      <c r="D1819">
        <v>10324</v>
      </c>
      <c r="E1819" s="1"/>
      <c r="F1819" s="1" t="s">
        <v>289</v>
      </c>
      <c r="G1819">
        <v>2012</v>
      </c>
      <c r="H1819">
        <v>57626.19</v>
      </c>
      <c r="I1819">
        <v>12</v>
      </c>
      <c r="J1819" s="1"/>
      <c r="K1819">
        <v>0</v>
      </c>
      <c r="L1819">
        <v>2027</v>
      </c>
      <c r="M1819">
        <v>28.427896</v>
      </c>
      <c r="N1819">
        <v>2</v>
      </c>
      <c r="O1819" s="1" t="s">
        <v>569</v>
      </c>
      <c r="P1819">
        <v>57626.19</v>
      </c>
      <c r="Q1819">
        <v>23050.49</v>
      </c>
      <c r="R1819">
        <v>0</v>
      </c>
      <c r="S1819" s="1"/>
      <c r="T1819" s="1" t="s">
        <v>1293</v>
      </c>
      <c r="U1819">
        <v>57626.188999999998</v>
      </c>
      <c r="V1819">
        <v>0</v>
      </c>
      <c r="W1819">
        <v>77832</v>
      </c>
    </row>
    <row r="1820" spans="1:23" x14ac:dyDescent="0.25">
      <c r="A1820" s="1" t="s">
        <v>31</v>
      </c>
      <c r="B1820" s="1"/>
      <c r="C1820" s="1" t="s">
        <v>157</v>
      </c>
      <c r="D1820">
        <v>10324</v>
      </c>
      <c r="E1820" s="1"/>
      <c r="F1820" s="1" t="s">
        <v>289</v>
      </c>
      <c r="G1820">
        <v>2011</v>
      </c>
      <c r="H1820">
        <v>58042.13</v>
      </c>
      <c r="I1820">
        <v>12</v>
      </c>
      <c r="J1820" s="1"/>
      <c r="K1820">
        <v>0</v>
      </c>
      <c r="L1820">
        <v>2027</v>
      </c>
      <c r="M1820">
        <v>28.633085999999999</v>
      </c>
      <c r="N1820">
        <v>2</v>
      </c>
      <c r="O1820" s="1" t="s">
        <v>569</v>
      </c>
      <c r="P1820">
        <v>58042.13</v>
      </c>
      <c r="Q1820">
        <v>27221.75</v>
      </c>
      <c r="R1820">
        <v>0</v>
      </c>
      <c r="S1820" s="1"/>
      <c r="T1820" s="1" t="s">
        <v>1293</v>
      </c>
      <c r="U1820">
        <v>58042.125</v>
      </c>
      <c r="V1820">
        <v>0</v>
      </c>
      <c r="W1820">
        <v>77832</v>
      </c>
    </row>
    <row r="1821" spans="1:23" x14ac:dyDescent="0.25">
      <c r="A1821" s="1" t="s">
        <v>31</v>
      </c>
      <c r="B1821" s="1"/>
      <c r="C1821" s="1" t="s">
        <v>157</v>
      </c>
      <c r="D1821">
        <v>10324</v>
      </c>
      <c r="E1821" s="1"/>
      <c r="F1821" s="1" t="s">
        <v>289</v>
      </c>
      <c r="G1821">
        <v>2010</v>
      </c>
      <c r="H1821">
        <v>83685.899999999994</v>
      </c>
      <c r="I1821">
        <v>12</v>
      </c>
      <c r="J1821" s="1"/>
      <c r="K1821">
        <v>0</v>
      </c>
      <c r="L1821">
        <v>2027</v>
      </c>
      <c r="M1821">
        <v>41.283557000000002</v>
      </c>
      <c r="N1821">
        <v>2</v>
      </c>
      <c r="O1821" s="1" t="s">
        <v>569</v>
      </c>
      <c r="P1821">
        <v>83685.899999999994</v>
      </c>
      <c r="Q1821">
        <v>39248.69</v>
      </c>
      <c r="R1821">
        <v>0</v>
      </c>
      <c r="S1821" s="1"/>
      <c r="T1821" s="1" t="s">
        <v>1293</v>
      </c>
      <c r="U1821">
        <v>83685.907999999996</v>
      </c>
      <c r="V1821">
        <v>0</v>
      </c>
      <c r="W1821">
        <v>77832</v>
      </c>
    </row>
    <row r="1822" spans="1:23" x14ac:dyDescent="0.25">
      <c r="A1822" s="1" t="s">
        <v>31</v>
      </c>
      <c r="B1822" s="1"/>
      <c r="C1822" s="1" t="s">
        <v>157</v>
      </c>
      <c r="D1822">
        <v>10324</v>
      </c>
      <c r="E1822" s="1"/>
      <c r="F1822" s="1" t="s">
        <v>289</v>
      </c>
      <c r="G1822">
        <v>2009</v>
      </c>
      <c r="H1822">
        <v>84893.1</v>
      </c>
      <c r="I1822">
        <v>12</v>
      </c>
      <c r="J1822" s="1"/>
      <c r="K1822">
        <v>0</v>
      </c>
      <c r="L1822">
        <v>2027</v>
      </c>
      <c r="M1822">
        <v>41.879088000000003</v>
      </c>
      <c r="N1822">
        <v>2</v>
      </c>
      <c r="O1822" s="1" t="s">
        <v>569</v>
      </c>
      <c r="P1822">
        <v>84893.1</v>
      </c>
      <c r="Q1822">
        <v>39814.870000000003</v>
      </c>
      <c r="R1822">
        <v>0</v>
      </c>
      <c r="S1822" s="1"/>
      <c r="T1822" s="1" t="s">
        <v>1293</v>
      </c>
      <c r="U1822">
        <v>84893.099000000002</v>
      </c>
      <c r="V1822">
        <v>0</v>
      </c>
      <c r="W1822">
        <v>77832</v>
      </c>
    </row>
    <row r="1823" spans="1:23" x14ac:dyDescent="0.25">
      <c r="A1823" s="1" t="s">
        <v>31</v>
      </c>
      <c r="B1823" s="1"/>
      <c r="C1823" s="1" t="s">
        <v>157</v>
      </c>
      <c r="D1823">
        <v>10324</v>
      </c>
      <c r="E1823" s="1"/>
      <c r="F1823" s="1" t="s">
        <v>289</v>
      </c>
      <c r="G1823">
        <v>2008</v>
      </c>
      <c r="H1823">
        <v>27368.25</v>
      </c>
      <c r="I1823">
        <v>4</v>
      </c>
      <c r="J1823" s="1" t="s">
        <v>513</v>
      </c>
      <c r="K1823">
        <v>0</v>
      </c>
      <c r="L1823">
        <v>2027</v>
      </c>
      <c r="M1823">
        <v>13.501182999999999</v>
      </c>
      <c r="N1823">
        <v>2</v>
      </c>
      <c r="O1823" s="1" t="s">
        <v>569</v>
      </c>
      <c r="P1823">
        <v>27368.25</v>
      </c>
      <c r="Q1823">
        <v>12835.7</v>
      </c>
      <c r="R1823">
        <v>0</v>
      </c>
      <c r="S1823" s="1" t="s">
        <v>1014</v>
      </c>
      <c r="T1823" s="1"/>
      <c r="U1823">
        <v>27368.25806</v>
      </c>
      <c r="V1823">
        <v>0</v>
      </c>
      <c r="W1823">
        <v>77896</v>
      </c>
    </row>
    <row r="1824" spans="1:23" x14ac:dyDescent="0.25">
      <c r="A1824" s="1" t="s">
        <v>31</v>
      </c>
      <c r="B1824" s="1"/>
      <c r="C1824" s="1" t="s">
        <v>157</v>
      </c>
      <c r="D1824">
        <v>10324</v>
      </c>
      <c r="E1824" s="1"/>
      <c r="F1824" s="1" t="s">
        <v>289</v>
      </c>
      <c r="G1824">
        <v>2008</v>
      </c>
      <c r="H1824">
        <v>54714.400000000001</v>
      </c>
      <c r="I1824">
        <v>12</v>
      </c>
      <c r="J1824" s="1"/>
      <c r="K1824">
        <v>0</v>
      </c>
      <c r="L1824">
        <v>2027</v>
      </c>
      <c r="M1824">
        <v>26.991465000000002</v>
      </c>
      <c r="N1824">
        <v>2</v>
      </c>
      <c r="O1824" s="1" t="s">
        <v>569</v>
      </c>
      <c r="P1824">
        <v>54714.400000000001</v>
      </c>
      <c r="Q1824">
        <v>25661.05</v>
      </c>
      <c r="R1824">
        <v>0</v>
      </c>
      <c r="S1824" s="1"/>
      <c r="T1824" s="1" t="s">
        <v>1293</v>
      </c>
      <c r="U1824">
        <v>54714.377999999997</v>
      </c>
      <c r="V1824">
        <v>0</v>
      </c>
      <c r="W1824">
        <v>77832</v>
      </c>
    </row>
    <row r="1825" spans="1:23" x14ac:dyDescent="0.25">
      <c r="A1825" s="1" t="s">
        <v>31</v>
      </c>
      <c r="B1825" s="1"/>
      <c r="C1825" s="1" t="s">
        <v>158</v>
      </c>
      <c r="D1825">
        <v>9521</v>
      </c>
      <c r="E1825" s="1"/>
      <c r="F1825" s="1" t="s">
        <v>290</v>
      </c>
      <c r="G1825">
        <v>2015</v>
      </c>
      <c r="H1825">
        <v>30750.26</v>
      </c>
      <c r="I1825">
        <v>4</v>
      </c>
      <c r="J1825" s="1"/>
      <c r="K1825">
        <v>0</v>
      </c>
      <c r="L1825">
        <v>2433</v>
      </c>
      <c r="M1825">
        <v>12.638305000000001</v>
      </c>
      <c r="N1825">
        <v>2</v>
      </c>
      <c r="O1825" s="1" t="s">
        <v>569</v>
      </c>
      <c r="P1825">
        <v>30750.26</v>
      </c>
      <c r="Q1825">
        <v>9225.08</v>
      </c>
      <c r="R1825">
        <v>0</v>
      </c>
      <c r="S1825" s="1" t="s">
        <v>1015</v>
      </c>
      <c r="T1825" s="1" t="s">
        <v>329</v>
      </c>
      <c r="U1825">
        <v>30750.26</v>
      </c>
      <c r="V1825">
        <v>0</v>
      </c>
      <c r="W1825">
        <v>74443</v>
      </c>
    </row>
    <row r="1826" spans="1:23" x14ac:dyDescent="0.25">
      <c r="A1826" s="1" t="s">
        <v>31</v>
      </c>
      <c r="B1826" s="1"/>
      <c r="C1826" s="1" t="s">
        <v>158</v>
      </c>
      <c r="D1826">
        <v>9521</v>
      </c>
      <c r="E1826" s="1"/>
      <c r="F1826" s="1" t="s">
        <v>290</v>
      </c>
      <c r="G1826">
        <v>2014</v>
      </c>
      <c r="H1826">
        <v>94992.66</v>
      </c>
      <c r="I1826">
        <v>12</v>
      </c>
      <c r="J1826" s="1"/>
      <c r="K1826">
        <v>0</v>
      </c>
      <c r="L1826">
        <v>2433</v>
      </c>
      <c r="M1826">
        <v>39.041823000000001</v>
      </c>
      <c r="N1826">
        <v>2</v>
      </c>
      <c r="O1826" s="1" t="s">
        <v>569</v>
      </c>
      <c r="P1826">
        <v>94992.66</v>
      </c>
      <c r="Q1826">
        <v>28497.79</v>
      </c>
      <c r="R1826">
        <v>0</v>
      </c>
      <c r="S1826" s="1" t="s">
        <v>1015</v>
      </c>
      <c r="T1826" s="1" t="s">
        <v>329</v>
      </c>
      <c r="U1826">
        <v>94992.683000000005</v>
      </c>
      <c r="V1826">
        <v>0</v>
      </c>
      <c r="W1826">
        <v>74443</v>
      </c>
    </row>
    <row r="1827" spans="1:23" x14ac:dyDescent="0.25">
      <c r="A1827" s="1" t="s">
        <v>31</v>
      </c>
      <c r="B1827" s="1"/>
      <c r="C1827" s="1" t="s">
        <v>158</v>
      </c>
      <c r="D1827">
        <v>9521</v>
      </c>
      <c r="E1827" s="1"/>
      <c r="F1827" s="1" t="s">
        <v>290</v>
      </c>
      <c r="G1827">
        <v>2013</v>
      </c>
      <c r="H1827">
        <v>92671.87</v>
      </c>
      <c r="I1827">
        <v>12</v>
      </c>
      <c r="J1827" s="1"/>
      <c r="K1827">
        <v>0</v>
      </c>
      <c r="L1827">
        <v>2433</v>
      </c>
      <c r="M1827">
        <v>38.087981999999997</v>
      </c>
      <c r="N1827">
        <v>2</v>
      </c>
      <c r="O1827" s="1" t="s">
        <v>569</v>
      </c>
      <c r="P1827">
        <v>92671.87</v>
      </c>
      <c r="Q1827">
        <v>27801.57</v>
      </c>
      <c r="R1827">
        <v>0</v>
      </c>
      <c r="S1827" s="1" t="s">
        <v>1015</v>
      </c>
      <c r="T1827" s="1" t="s">
        <v>329</v>
      </c>
      <c r="U1827">
        <v>92671.884999999995</v>
      </c>
      <c r="V1827">
        <v>0</v>
      </c>
      <c r="W1827">
        <v>74443</v>
      </c>
    </row>
    <row r="1828" spans="1:23" x14ac:dyDescent="0.25">
      <c r="A1828" s="1" t="s">
        <v>31</v>
      </c>
      <c r="B1828" s="1"/>
      <c r="C1828" s="1" t="s">
        <v>158</v>
      </c>
      <c r="D1828">
        <v>9521</v>
      </c>
      <c r="E1828" s="1"/>
      <c r="F1828" s="1" t="s">
        <v>290</v>
      </c>
      <c r="G1828">
        <v>2012</v>
      </c>
      <c r="H1828">
        <v>91579.44</v>
      </c>
      <c r="I1828">
        <v>12</v>
      </c>
      <c r="J1828" s="1"/>
      <c r="K1828">
        <v>0</v>
      </c>
      <c r="L1828">
        <v>2433</v>
      </c>
      <c r="M1828">
        <v>37.638995000000001</v>
      </c>
      <c r="N1828">
        <v>2</v>
      </c>
      <c r="O1828" s="1" t="s">
        <v>569</v>
      </c>
      <c r="P1828">
        <v>91579.44</v>
      </c>
      <c r="Q1828">
        <v>36631.79</v>
      </c>
      <c r="R1828">
        <v>0</v>
      </c>
      <c r="S1828" s="1" t="s">
        <v>1015</v>
      </c>
      <c r="T1828" s="1" t="s">
        <v>329</v>
      </c>
      <c r="U1828">
        <v>91579.432000000001</v>
      </c>
      <c r="V1828">
        <v>0</v>
      </c>
      <c r="W1828">
        <v>74443</v>
      </c>
    </row>
    <row r="1829" spans="1:23" x14ac:dyDescent="0.25">
      <c r="A1829" s="1" t="s">
        <v>31</v>
      </c>
      <c r="B1829" s="1"/>
      <c r="C1829" s="1" t="s">
        <v>158</v>
      </c>
      <c r="D1829">
        <v>9521</v>
      </c>
      <c r="E1829" s="1"/>
      <c r="F1829" s="1" t="s">
        <v>290</v>
      </c>
      <c r="G1829">
        <v>2011</v>
      </c>
      <c r="H1829">
        <v>99991.62</v>
      </c>
      <c r="I1829">
        <v>12</v>
      </c>
      <c r="J1829" s="1"/>
      <c r="K1829">
        <v>0</v>
      </c>
      <c r="L1829">
        <v>2433</v>
      </c>
      <c r="M1829">
        <v>41.096387</v>
      </c>
      <c r="N1829">
        <v>2</v>
      </c>
      <c r="O1829" s="1" t="s">
        <v>569</v>
      </c>
      <c r="P1829">
        <v>99991.62</v>
      </c>
      <c r="Q1829">
        <v>46896.08</v>
      </c>
      <c r="R1829">
        <v>0</v>
      </c>
      <c r="S1829" s="1" t="s">
        <v>1015</v>
      </c>
      <c r="T1829" s="1" t="s">
        <v>329</v>
      </c>
      <c r="U1829">
        <v>99991.626999999993</v>
      </c>
      <c r="V1829">
        <v>0</v>
      </c>
      <c r="W1829">
        <v>74443</v>
      </c>
    </row>
    <row r="1830" spans="1:23" x14ac:dyDescent="0.25">
      <c r="A1830" s="1" t="s">
        <v>31</v>
      </c>
      <c r="B1830" s="1"/>
      <c r="C1830" s="1" t="s">
        <v>158</v>
      </c>
      <c r="D1830">
        <v>9521</v>
      </c>
      <c r="E1830" s="1"/>
      <c r="F1830" s="1" t="s">
        <v>290</v>
      </c>
      <c r="G1830">
        <v>2010</v>
      </c>
      <c r="H1830">
        <v>96310.02</v>
      </c>
      <c r="I1830">
        <v>12</v>
      </c>
      <c r="J1830" s="1"/>
      <c r="K1830">
        <v>0</v>
      </c>
      <c r="L1830">
        <v>2433</v>
      </c>
      <c r="M1830">
        <v>39.583255000000001</v>
      </c>
      <c r="N1830">
        <v>2</v>
      </c>
      <c r="O1830" s="1" t="s">
        <v>569</v>
      </c>
      <c r="P1830">
        <v>96310.02</v>
      </c>
      <c r="Q1830">
        <v>45169.4</v>
      </c>
      <c r="R1830">
        <v>0</v>
      </c>
      <c r="S1830" s="1" t="s">
        <v>1015</v>
      </c>
      <c r="T1830" s="1" t="s">
        <v>329</v>
      </c>
      <c r="U1830">
        <v>96310.028999999995</v>
      </c>
      <c r="V1830">
        <v>0</v>
      </c>
      <c r="W1830">
        <v>74443</v>
      </c>
    </row>
    <row r="1831" spans="1:23" x14ac:dyDescent="0.25">
      <c r="A1831" s="1" t="s">
        <v>31</v>
      </c>
      <c r="B1831" s="1"/>
      <c r="C1831" s="1" t="s">
        <v>158</v>
      </c>
      <c r="D1831">
        <v>9521</v>
      </c>
      <c r="E1831" s="1"/>
      <c r="F1831" s="1" t="s">
        <v>290</v>
      </c>
      <c r="G1831">
        <v>2009</v>
      </c>
      <c r="H1831">
        <v>97723.77</v>
      </c>
      <c r="I1831">
        <v>12</v>
      </c>
      <c r="J1831" s="1"/>
      <c r="K1831">
        <v>0</v>
      </c>
      <c r="L1831">
        <v>2433</v>
      </c>
      <c r="M1831">
        <v>40.164304000000001</v>
      </c>
      <c r="N1831">
        <v>2</v>
      </c>
      <c r="O1831" s="1" t="s">
        <v>569</v>
      </c>
      <c r="P1831">
        <v>97723.77</v>
      </c>
      <c r="Q1831">
        <v>45832.45</v>
      </c>
      <c r="R1831">
        <v>0</v>
      </c>
      <c r="S1831" s="1" t="s">
        <v>1015</v>
      </c>
      <c r="T1831" s="1" t="s">
        <v>329</v>
      </c>
      <c r="U1831">
        <v>97723.778000000006</v>
      </c>
      <c r="V1831">
        <v>0</v>
      </c>
      <c r="W1831">
        <v>74443</v>
      </c>
    </row>
    <row r="1832" spans="1:23" x14ac:dyDescent="0.25">
      <c r="A1832" s="1" t="s">
        <v>31</v>
      </c>
      <c r="B1832" s="1"/>
      <c r="C1832" s="1" t="s">
        <v>158</v>
      </c>
      <c r="D1832">
        <v>9521</v>
      </c>
      <c r="E1832" s="1"/>
      <c r="F1832" s="1" t="s">
        <v>290</v>
      </c>
      <c r="G1832">
        <v>2008</v>
      </c>
      <c r="H1832">
        <v>85182.67</v>
      </c>
      <c r="I1832">
        <v>12</v>
      </c>
      <c r="J1832" s="1"/>
      <c r="K1832">
        <v>0</v>
      </c>
      <c r="L1832">
        <v>2433</v>
      </c>
      <c r="M1832">
        <v>35.009932999999997</v>
      </c>
      <c r="N1832">
        <v>2</v>
      </c>
      <c r="O1832" s="1" t="s">
        <v>569</v>
      </c>
      <c r="P1832">
        <v>85182.67</v>
      </c>
      <c r="Q1832">
        <v>39950.65</v>
      </c>
      <c r="R1832">
        <v>0</v>
      </c>
      <c r="S1832" s="1" t="s">
        <v>1015</v>
      </c>
      <c r="T1832" s="1" t="s">
        <v>329</v>
      </c>
      <c r="U1832">
        <v>85182.642000000007</v>
      </c>
      <c r="V1832">
        <v>0</v>
      </c>
      <c r="W1832">
        <v>74443</v>
      </c>
    </row>
    <row r="1833" spans="1:23" x14ac:dyDescent="0.25">
      <c r="A1833" s="1" t="s">
        <v>31</v>
      </c>
      <c r="B1833" s="1"/>
      <c r="C1833" s="1" t="s">
        <v>159</v>
      </c>
      <c r="D1833">
        <v>10229</v>
      </c>
      <c r="E1833" s="1"/>
      <c r="F1833" s="1" t="s">
        <v>377</v>
      </c>
      <c r="G1833">
        <v>2015</v>
      </c>
      <c r="H1833">
        <v>9052.94</v>
      </c>
      <c r="I1833">
        <v>4</v>
      </c>
      <c r="J1833" s="1" t="s">
        <v>524</v>
      </c>
      <c r="K1833">
        <v>0</v>
      </c>
      <c r="L1833">
        <v>0</v>
      </c>
      <c r="M1833">
        <v>90529.4</v>
      </c>
      <c r="N1833">
        <v>2</v>
      </c>
      <c r="O1833" s="1" t="s">
        <v>569</v>
      </c>
      <c r="P1833">
        <v>9052.94</v>
      </c>
      <c r="Q1833">
        <v>4245.83</v>
      </c>
      <c r="R1833">
        <v>1</v>
      </c>
      <c r="S1833" s="1"/>
      <c r="T1833" s="1"/>
      <c r="U1833">
        <v>9052.9411700000001</v>
      </c>
      <c r="V1833">
        <v>0</v>
      </c>
      <c r="W1833">
        <v>77492</v>
      </c>
    </row>
    <row r="1834" spans="1:23" x14ac:dyDescent="0.25">
      <c r="A1834" s="1" t="s">
        <v>31</v>
      </c>
      <c r="B1834" s="1"/>
      <c r="C1834" s="1" t="s">
        <v>159</v>
      </c>
      <c r="D1834">
        <v>10229</v>
      </c>
      <c r="E1834" s="1"/>
      <c r="F1834" s="1" t="s">
        <v>377</v>
      </c>
      <c r="G1834">
        <v>2014</v>
      </c>
      <c r="H1834">
        <v>25884.57</v>
      </c>
      <c r="I1834">
        <v>12</v>
      </c>
      <c r="J1834" s="1" t="s">
        <v>524</v>
      </c>
      <c r="K1834">
        <v>0</v>
      </c>
      <c r="L1834">
        <v>0</v>
      </c>
      <c r="M1834">
        <v>258845.7</v>
      </c>
      <c r="N1834">
        <v>2</v>
      </c>
      <c r="O1834" s="1" t="s">
        <v>569</v>
      </c>
      <c r="P1834">
        <v>25884.57</v>
      </c>
      <c r="Q1834">
        <v>12139.86</v>
      </c>
      <c r="R1834">
        <v>1</v>
      </c>
      <c r="S1834" s="1"/>
      <c r="T1834" s="1"/>
      <c r="U1834">
        <v>25884.558799999999</v>
      </c>
      <c r="V1834">
        <v>0</v>
      </c>
      <c r="W1834">
        <v>77492</v>
      </c>
    </row>
    <row r="1835" spans="1:23" x14ac:dyDescent="0.25">
      <c r="A1835" s="1" t="s">
        <v>31</v>
      </c>
      <c r="B1835" s="1"/>
      <c r="C1835" s="1" t="s">
        <v>159</v>
      </c>
      <c r="D1835">
        <v>10229</v>
      </c>
      <c r="E1835" s="1"/>
      <c r="F1835" s="1" t="s">
        <v>377</v>
      </c>
      <c r="G1835">
        <v>2013</v>
      </c>
      <c r="H1835">
        <v>25656.45</v>
      </c>
      <c r="I1835">
        <v>13</v>
      </c>
      <c r="J1835" s="1" t="s">
        <v>524</v>
      </c>
      <c r="K1835">
        <v>0</v>
      </c>
      <c r="L1835">
        <v>0</v>
      </c>
      <c r="M1835">
        <v>256564.5</v>
      </c>
      <c r="N1835">
        <v>2</v>
      </c>
      <c r="O1835" s="1" t="s">
        <v>569</v>
      </c>
      <c r="P1835">
        <v>25656.45</v>
      </c>
      <c r="Q1835">
        <v>12032.88</v>
      </c>
      <c r="R1835">
        <v>1</v>
      </c>
      <c r="S1835" s="1"/>
      <c r="T1835" s="1"/>
      <c r="U1835">
        <v>25656.439409999999</v>
      </c>
      <c r="V1835">
        <v>0</v>
      </c>
      <c r="W1835">
        <v>77492</v>
      </c>
    </row>
    <row r="1836" spans="1:23" x14ac:dyDescent="0.25">
      <c r="A1836" s="1" t="s">
        <v>31</v>
      </c>
      <c r="B1836" s="1"/>
      <c r="C1836" s="1" t="s">
        <v>159</v>
      </c>
      <c r="D1836">
        <v>10229</v>
      </c>
      <c r="E1836" s="1"/>
      <c r="F1836" s="1" t="s">
        <v>377</v>
      </c>
      <c r="G1836">
        <v>2012</v>
      </c>
      <c r="H1836">
        <v>25936.36</v>
      </c>
      <c r="I1836">
        <v>10</v>
      </c>
      <c r="J1836" s="1" t="s">
        <v>524</v>
      </c>
      <c r="K1836">
        <v>0</v>
      </c>
      <c r="L1836">
        <v>0</v>
      </c>
      <c r="M1836">
        <v>259363.6</v>
      </c>
      <c r="N1836">
        <v>2</v>
      </c>
      <c r="O1836" s="1" t="s">
        <v>569</v>
      </c>
      <c r="P1836">
        <v>25936.36</v>
      </c>
      <c r="Q1836">
        <v>12164.15</v>
      </c>
      <c r="R1836">
        <v>1</v>
      </c>
      <c r="S1836" s="1"/>
      <c r="T1836" s="1"/>
      <c r="U1836">
        <v>25936.36363</v>
      </c>
      <c r="V1836">
        <v>0</v>
      </c>
      <c r="W1836">
        <v>77492</v>
      </c>
    </row>
    <row r="1837" spans="1:23" x14ac:dyDescent="0.25">
      <c r="A1837" s="1" t="s">
        <v>31</v>
      </c>
      <c r="B1837" s="1"/>
      <c r="C1837" s="1" t="s">
        <v>159</v>
      </c>
      <c r="D1837">
        <v>10229</v>
      </c>
      <c r="E1837" s="1"/>
      <c r="F1837" s="1" t="s">
        <v>377</v>
      </c>
      <c r="G1837">
        <v>2011</v>
      </c>
      <c r="H1837">
        <v>33541.129999999997</v>
      </c>
      <c r="I1837">
        <v>11</v>
      </c>
      <c r="J1837" s="1" t="s">
        <v>524</v>
      </c>
      <c r="K1837">
        <v>0</v>
      </c>
      <c r="L1837">
        <v>0</v>
      </c>
      <c r="M1837">
        <v>335411.3</v>
      </c>
      <c r="N1837">
        <v>2</v>
      </c>
      <c r="O1837" s="1" t="s">
        <v>569</v>
      </c>
      <c r="P1837">
        <v>33541.129999999997</v>
      </c>
      <c r="Q1837">
        <v>15730.79</v>
      </c>
      <c r="R1837">
        <v>1</v>
      </c>
      <c r="S1837" s="1"/>
      <c r="T1837" s="1"/>
      <c r="U1837">
        <v>33541.125540000001</v>
      </c>
      <c r="V1837">
        <v>0</v>
      </c>
      <c r="W1837">
        <v>77492</v>
      </c>
    </row>
    <row r="1838" spans="1:23" x14ac:dyDescent="0.25">
      <c r="A1838" s="1" t="s">
        <v>31</v>
      </c>
      <c r="B1838" s="1"/>
      <c r="C1838" s="1" t="s">
        <v>159</v>
      </c>
      <c r="D1838">
        <v>10229</v>
      </c>
      <c r="E1838" s="1"/>
      <c r="F1838" s="1" t="s">
        <v>377</v>
      </c>
      <c r="G1838">
        <v>2010</v>
      </c>
      <c r="H1838">
        <v>27395.68</v>
      </c>
      <c r="I1838">
        <v>12</v>
      </c>
      <c r="J1838" s="1" t="s">
        <v>524</v>
      </c>
      <c r="K1838">
        <v>0</v>
      </c>
      <c r="L1838">
        <v>0</v>
      </c>
      <c r="M1838">
        <v>273956.8</v>
      </c>
      <c r="N1838">
        <v>2</v>
      </c>
      <c r="O1838" s="1" t="s">
        <v>569</v>
      </c>
      <c r="P1838">
        <v>27395.68</v>
      </c>
      <c r="Q1838">
        <v>12848.57</v>
      </c>
      <c r="R1838">
        <v>1</v>
      </c>
      <c r="S1838" s="1"/>
      <c r="T1838" s="1"/>
      <c r="U1838">
        <v>27395.66819</v>
      </c>
      <c r="V1838">
        <v>0</v>
      </c>
      <c r="W1838">
        <v>77492</v>
      </c>
    </row>
    <row r="1839" spans="1:23" x14ac:dyDescent="0.25">
      <c r="A1839" s="1" t="s">
        <v>31</v>
      </c>
      <c r="B1839" s="1"/>
      <c r="C1839" s="1" t="s">
        <v>159</v>
      </c>
      <c r="D1839">
        <v>10229</v>
      </c>
      <c r="E1839" s="1"/>
      <c r="F1839" s="1" t="s">
        <v>377</v>
      </c>
      <c r="G1839">
        <v>2009</v>
      </c>
      <c r="H1839">
        <v>30540.720000000001</v>
      </c>
      <c r="I1839">
        <v>11</v>
      </c>
      <c r="J1839" s="1" t="s">
        <v>524</v>
      </c>
      <c r="K1839">
        <v>0</v>
      </c>
      <c r="L1839">
        <v>0</v>
      </c>
      <c r="M1839">
        <v>305407.2</v>
      </c>
      <c r="N1839">
        <v>2</v>
      </c>
      <c r="O1839" s="1" t="s">
        <v>569</v>
      </c>
      <c r="P1839">
        <v>30540.720000000001</v>
      </c>
      <c r="Q1839">
        <v>14323.6</v>
      </c>
      <c r="R1839">
        <v>1</v>
      </c>
      <c r="S1839" s="1"/>
      <c r="T1839" s="1"/>
      <c r="U1839">
        <v>30540.726760000001</v>
      </c>
      <c r="V1839">
        <v>0</v>
      </c>
      <c r="W1839">
        <v>77492</v>
      </c>
    </row>
    <row r="1840" spans="1:23" x14ac:dyDescent="0.25">
      <c r="A1840" s="1" t="s">
        <v>31</v>
      </c>
      <c r="B1840" s="1"/>
      <c r="C1840" s="1" t="s">
        <v>159</v>
      </c>
      <c r="D1840">
        <v>10229</v>
      </c>
      <c r="E1840" s="1"/>
      <c r="F1840" s="1" t="s">
        <v>377</v>
      </c>
      <c r="G1840">
        <v>2008</v>
      </c>
      <c r="H1840">
        <v>30080.240000000002</v>
      </c>
      <c r="I1840">
        <v>11</v>
      </c>
      <c r="J1840" s="1" t="s">
        <v>524</v>
      </c>
      <c r="K1840">
        <v>0</v>
      </c>
      <c r="L1840">
        <v>0</v>
      </c>
      <c r="M1840">
        <v>300802.40000000002</v>
      </c>
      <c r="N1840">
        <v>2</v>
      </c>
      <c r="O1840" s="1" t="s">
        <v>569</v>
      </c>
      <c r="P1840">
        <v>30080.240000000002</v>
      </c>
      <c r="Q1840">
        <v>14107.64</v>
      </c>
      <c r="R1840">
        <v>1</v>
      </c>
      <c r="S1840" s="1"/>
      <c r="T1840" s="1"/>
      <c r="U1840">
        <v>30080.240989999998</v>
      </c>
      <c r="V1840">
        <v>0</v>
      </c>
      <c r="W1840">
        <v>77492</v>
      </c>
    </row>
    <row r="1841" spans="1:23" x14ac:dyDescent="0.25">
      <c r="A1841" s="1" t="s">
        <v>31</v>
      </c>
      <c r="B1841" s="1"/>
      <c r="C1841" s="1" t="s">
        <v>159</v>
      </c>
      <c r="D1841">
        <v>9522</v>
      </c>
      <c r="E1841" s="1"/>
      <c r="F1841" s="1" t="s">
        <v>292</v>
      </c>
      <c r="G1841">
        <v>2015</v>
      </c>
      <c r="H1841">
        <v>141518.07</v>
      </c>
      <c r="I1841">
        <v>5</v>
      </c>
      <c r="J1841" s="1"/>
      <c r="K1841">
        <v>0</v>
      </c>
      <c r="L1841">
        <v>5224</v>
      </c>
      <c r="M1841">
        <v>27.089464</v>
      </c>
      <c r="N1841">
        <v>2</v>
      </c>
      <c r="O1841" s="1" t="s">
        <v>569</v>
      </c>
      <c r="P1841">
        <v>141518.07</v>
      </c>
      <c r="Q1841">
        <v>42455.42</v>
      </c>
      <c r="R1841">
        <v>0</v>
      </c>
      <c r="S1841" s="1"/>
      <c r="T1841" s="1" t="s">
        <v>1294</v>
      </c>
      <c r="U1841">
        <v>141518.07</v>
      </c>
      <c r="V1841">
        <v>0</v>
      </c>
      <c r="W1841">
        <v>74447</v>
      </c>
    </row>
    <row r="1842" spans="1:23" x14ac:dyDescent="0.25">
      <c r="A1842" s="1" t="s">
        <v>31</v>
      </c>
      <c r="B1842" s="1"/>
      <c r="C1842" s="1" t="s">
        <v>159</v>
      </c>
      <c r="D1842">
        <v>9522</v>
      </c>
      <c r="E1842" s="1"/>
      <c r="F1842" s="1" t="s">
        <v>292</v>
      </c>
      <c r="G1842">
        <v>2014</v>
      </c>
      <c r="H1842">
        <v>306624.67</v>
      </c>
      <c r="I1842">
        <v>12</v>
      </c>
      <c r="J1842" s="1"/>
      <c r="K1842">
        <v>0</v>
      </c>
      <c r="L1842">
        <v>5224</v>
      </c>
      <c r="M1842">
        <v>58.694257</v>
      </c>
      <c r="N1842">
        <v>2</v>
      </c>
      <c r="O1842" s="1" t="s">
        <v>569</v>
      </c>
      <c r="P1842">
        <v>306624.67</v>
      </c>
      <c r="Q1842">
        <v>91987.41</v>
      </c>
      <c r="R1842">
        <v>0</v>
      </c>
      <c r="S1842" s="1"/>
      <c r="T1842" s="1" t="s">
        <v>1294</v>
      </c>
      <c r="U1842">
        <v>306624.67</v>
      </c>
      <c r="V1842">
        <v>0</v>
      </c>
      <c r="W1842">
        <v>74447</v>
      </c>
    </row>
    <row r="1843" spans="1:23" x14ac:dyDescent="0.25">
      <c r="A1843" s="1" t="s">
        <v>31</v>
      </c>
      <c r="B1843" s="1"/>
      <c r="C1843" s="1" t="s">
        <v>159</v>
      </c>
      <c r="D1843">
        <v>9522</v>
      </c>
      <c r="E1843" s="1"/>
      <c r="F1843" s="1" t="s">
        <v>292</v>
      </c>
      <c r="G1843">
        <v>2013</v>
      </c>
      <c r="H1843">
        <v>321521.27</v>
      </c>
      <c r="I1843">
        <v>12</v>
      </c>
      <c r="J1843" s="1"/>
      <c r="K1843">
        <v>0</v>
      </c>
      <c r="L1843">
        <v>5224</v>
      </c>
      <c r="M1843">
        <v>61.545771999999999</v>
      </c>
      <c r="N1843">
        <v>2</v>
      </c>
      <c r="O1843" s="1" t="s">
        <v>569</v>
      </c>
      <c r="P1843">
        <v>321521.27</v>
      </c>
      <c r="Q1843">
        <v>96456.39</v>
      </c>
      <c r="R1843">
        <v>0</v>
      </c>
      <c r="S1843" s="1"/>
      <c r="T1843" s="1" t="s">
        <v>1294</v>
      </c>
      <c r="U1843">
        <v>321521.27</v>
      </c>
      <c r="V1843">
        <v>0</v>
      </c>
      <c r="W1843">
        <v>74447</v>
      </c>
    </row>
    <row r="1844" spans="1:23" x14ac:dyDescent="0.25">
      <c r="A1844" s="1" t="s">
        <v>31</v>
      </c>
      <c r="B1844" s="1"/>
      <c r="C1844" s="1" t="s">
        <v>159</v>
      </c>
      <c r="D1844">
        <v>9522</v>
      </c>
      <c r="E1844" s="1"/>
      <c r="F1844" s="1" t="s">
        <v>292</v>
      </c>
      <c r="G1844">
        <v>2012</v>
      </c>
      <c r="H1844">
        <v>327708.12</v>
      </c>
      <c r="I1844">
        <v>12</v>
      </c>
      <c r="J1844" s="1"/>
      <c r="K1844">
        <v>0</v>
      </c>
      <c r="L1844">
        <v>5224</v>
      </c>
      <c r="M1844">
        <v>62.730061999999997</v>
      </c>
      <c r="N1844">
        <v>2</v>
      </c>
      <c r="O1844" s="1" t="s">
        <v>569</v>
      </c>
      <c r="P1844">
        <v>327708.12</v>
      </c>
      <c r="Q1844">
        <v>131083.25</v>
      </c>
      <c r="R1844">
        <v>0</v>
      </c>
      <c r="S1844" s="1"/>
      <c r="T1844" s="1" t="s">
        <v>1294</v>
      </c>
      <c r="U1844">
        <v>327708.12</v>
      </c>
      <c r="V1844">
        <v>0</v>
      </c>
      <c r="W1844">
        <v>74447</v>
      </c>
    </row>
    <row r="1845" spans="1:23" x14ac:dyDescent="0.25">
      <c r="A1845" s="1" t="s">
        <v>31</v>
      </c>
      <c r="B1845" s="1"/>
      <c r="C1845" s="1" t="s">
        <v>159</v>
      </c>
      <c r="D1845">
        <v>9522</v>
      </c>
      <c r="E1845" s="1"/>
      <c r="F1845" s="1" t="s">
        <v>292</v>
      </c>
      <c r="G1845">
        <v>2011</v>
      </c>
      <c r="H1845">
        <v>338978.55</v>
      </c>
      <c r="I1845">
        <v>12</v>
      </c>
      <c r="J1845" s="1"/>
      <c r="K1845">
        <v>0</v>
      </c>
      <c r="L1845">
        <v>5224</v>
      </c>
      <c r="M1845">
        <v>64.887454000000005</v>
      </c>
      <c r="N1845">
        <v>2</v>
      </c>
      <c r="O1845" s="1" t="s">
        <v>569</v>
      </c>
      <c r="P1845">
        <v>338978.55</v>
      </c>
      <c r="Q1845">
        <v>158980.94</v>
      </c>
      <c r="R1845">
        <v>0</v>
      </c>
      <c r="S1845" s="1"/>
      <c r="T1845" s="1" t="s">
        <v>1294</v>
      </c>
      <c r="U1845">
        <v>338978.55</v>
      </c>
      <c r="V1845">
        <v>0</v>
      </c>
      <c r="W1845">
        <v>74447</v>
      </c>
    </row>
    <row r="1846" spans="1:23" x14ac:dyDescent="0.25">
      <c r="A1846" s="1" t="s">
        <v>31</v>
      </c>
      <c r="B1846" s="1"/>
      <c r="C1846" s="1" t="s">
        <v>159</v>
      </c>
      <c r="D1846">
        <v>9522</v>
      </c>
      <c r="E1846" s="1"/>
      <c r="F1846" s="1" t="s">
        <v>292</v>
      </c>
      <c r="G1846">
        <v>2010</v>
      </c>
      <c r="H1846">
        <v>339281.68</v>
      </c>
      <c r="I1846">
        <v>12</v>
      </c>
      <c r="J1846" s="1"/>
      <c r="K1846">
        <v>0</v>
      </c>
      <c r="L1846">
        <v>5224</v>
      </c>
      <c r="M1846">
        <v>64.945479000000006</v>
      </c>
      <c r="N1846">
        <v>2</v>
      </c>
      <c r="O1846" s="1" t="s">
        <v>569</v>
      </c>
      <c r="P1846">
        <v>339281.68</v>
      </c>
      <c r="Q1846">
        <v>159123.12</v>
      </c>
      <c r="R1846">
        <v>0</v>
      </c>
      <c r="S1846" s="1"/>
      <c r="T1846" s="1" t="s">
        <v>1294</v>
      </c>
      <c r="U1846">
        <v>339281.68</v>
      </c>
      <c r="V1846">
        <v>0</v>
      </c>
      <c r="W1846">
        <v>74447</v>
      </c>
    </row>
    <row r="1847" spans="1:23" x14ac:dyDescent="0.25">
      <c r="A1847" s="1" t="s">
        <v>31</v>
      </c>
      <c r="B1847" s="1"/>
      <c r="C1847" s="1" t="s">
        <v>159</v>
      </c>
      <c r="D1847">
        <v>9522</v>
      </c>
      <c r="E1847" s="1"/>
      <c r="F1847" s="1" t="s">
        <v>292</v>
      </c>
      <c r="G1847">
        <v>2009</v>
      </c>
      <c r="H1847">
        <v>331983.65999999997</v>
      </c>
      <c r="I1847">
        <v>12</v>
      </c>
      <c r="J1847" s="1"/>
      <c r="K1847">
        <v>0</v>
      </c>
      <c r="L1847">
        <v>5224</v>
      </c>
      <c r="M1847">
        <v>63.548487999999999</v>
      </c>
      <c r="N1847">
        <v>2</v>
      </c>
      <c r="O1847" s="1" t="s">
        <v>569</v>
      </c>
      <c r="P1847">
        <v>331983.65999999997</v>
      </c>
      <c r="Q1847">
        <v>155700.34</v>
      </c>
      <c r="R1847">
        <v>0</v>
      </c>
      <c r="S1847" s="1"/>
      <c r="T1847" s="1" t="s">
        <v>1294</v>
      </c>
      <c r="U1847">
        <v>331983.65999999997</v>
      </c>
      <c r="V1847">
        <v>0</v>
      </c>
      <c r="W1847">
        <v>74447</v>
      </c>
    </row>
    <row r="1848" spans="1:23" x14ac:dyDescent="0.25">
      <c r="A1848" s="1" t="s">
        <v>31</v>
      </c>
      <c r="B1848" s="1"/>
      <c r="C1848" s="1" t="s">
        <v>159</v>
      </c>
      <c r="D1848">
        <v>9522</v>
      </c>
      <c r="E1848" s="1"/>
      <c r="F1848" s="1" t="s">
        <v>292</v>
      </c>
      <c r="G1848">
        <v>2008</v>
      </c>
      <c r="H1848">
        <v>327838.34999999998</v>
      </c>
      <c r="I1848">
        <v>12</v>
      </c>
      <c r="J1848" s="1"/>
      <c r="K1848">
        <v>0</v>
      </c>
      <c r="L1848">
        <v>5224</v>
      </c>
      <c r="M1848">
        <v>62.754990999999997</v>
      </c>
      <c r="N1848">
        <v>2</v>
      </c>
      <c r="O1848" s="1" t="s">
        <v>569</v>
      </c>
      <c r="P1848">
        <v>327838.34999999998</v>
      </c>
      <c r="Q1848">
        <v>153756.19</v>
      </c>
      <c r="R1848">
        <v>0</v>
      </c>
      <c r="S1848" s="1"/>
      <c r="T1848" s="1" t="s">
        <v>1294</v>
      </c>
      <c r="U1848">
        <v>327838.34999999998</v>
      </c>
      <c r="V1848">
        <v>0</v>
      </c>
      <c r="W1848">
        <v>74447</v>
      </c>
    </row>
    <row r="1849" spans="1:23" x14ac:dyDescent="0.25">
      <c r="A1849" s="1" t="s">
        <v>32</v>
      </c>
      <c r="B1849" s="1" t="s">
        <v>67</v>
      </c>
      <c r="C1849" s="1" t="s">
        <v>160</v>
      </c>
      <c r="D1849">
        <v>6354</v>
      </c>
      <c r="E1849" s="1"/>
      <c r="F1849" s="1" t="s">
        <v>293</v>
      </c>
      <c r="G1849">
        <v>2015</v>
      </c>
      <c r="H1849">
        <v>103.13</v>
      </c>
      <c r="I1849">
        <v>5</v>
      </c>
      <c r="J1849" s="1" t="s">
        <v>426</v>
      </c>
      <c r="K1849">
        <v>0</v>
      </c>
      <c r="L1849">
        <v>196</v>
      </c>
      <c r="M1849">
        <v>0.52590499999999996</v>
      </c>
      <c r="N1849">
        <v>3</v>
      </c>
      <c r="O1849" s="1" t="s">
        <v>560</v>
      </c>
      <c r="P1849">
        <v>103.13</v>
      </c>
      <c r="Q1849">
        <v>82.51</v>
      </c>
      <c r="R1849">
        <v>0</v>
      </c>
      <c r="S1849" s="1" t="s">
        <v>635</v>
      </c>
      <c r="T1849" s="1"/>
      <c r="U1849">
        <v>103.13200000000001</v>
      </c>
      <c r="V1849">
        <v>0</v>
      </c>
      <c r="W1849">
        <v>62637</v>
      </c>
    </row>
    <row r="1850" spans="1:23" x14ac:dyDescent="0.25">
      <c r="A1850" s="1" t="s">
        <v>32</v>
      </c>
      <c r="B1850" s="1" t="s">
        <v>67</v>
      </c>
      <c r="C1850" s="1" t="s">
        <v>160</v>
      </c>
      <c r="D1850">
        <v>6354</v>
      </c>
      <c r="E1850" s="1"/>
      <c r="F1850" s="1" t="s">
        <v>293</v>
      </c>
      <c r="G1850">
        <v>2014</v>
      </c>
      <c r="H1850">
        <v>165.13</v>
      </c>
      <c r="I1850">
        <v>12</v>
      </c>
      <c r="J1850" s="1" t="s">
        <v>426</v>
      </c>
      <c r="K1850">
        <v>0</v>
      </c>
      <c r="L1850">
        <v>196</v>
      </c>
      <c r="M1850">
        <v>0.84206999999999999</v>
      </c>
      <c r="N1850">
        <v>3</v>
      </c>
      <c r="O1850" s="1" t="s">
        <v>560</v>
      </c>
      <c r="P1850">
        <v>165.13</v>
      </c>
      <c r="Q1850">
        <v>132.11000000000001</v>
      </c>
      <c r="R1850">
        <v>0</v>
      </c>
      <c r="S1850" s="1" t="s">
        <v>635</v>
      </c>
      <c r="T1850" s="1"/>
      <c r="U1850">
        <v>165.13900000000001</v>
      </c>
      <c r="V1850">
        <v>0</v>
      </c>
      <c r="W1850">
        <v>62637</v>
      </c>
    </row>
    <row r="1851" spans="1:23" x14ac:dyDescent="0.25">
      <c r="A1851" s="1" t="s">
        <v>32</v>
      </c>
      <c r="B1851" s="1" t="s">
        <v>67</v>
      </c>
      <c r="C1851" s="1" t="s">
        <v>160</v>
      </c>
      <c r="D1851">
        <v>6354</v>
      </c>
      <c r="E1851" s="1"/>
      <c r="F1851" s="1" t="s">
        <v>293</v>
      </c>
      <c r="G1851">
        <v>2013</v>
      </c>
      <c r="H1851">
        <v>132.51</v>
      </c>
      <c r="I1851">
        <v>12</v>
      </c>
      <c r="J1851" s="1" t="s">
        <v>426</v>
      </c>
      <c r="K1851">
        <v>0</v>
      </c>
      <c r="L1851">
        <v>196</v>
      </c>
      <c r="M1851">
        <v>0.67572600000000005</v>
      </c>
      <c r="N1851">
        <v>3</v>
      </c>
      <c r="O1851" s="1" t="s">
        <v>560</v>
      </c>
      <c r="P1851">
        <v>132.51</v>
      </c>
      <c r="Q1851">
        <v>106.01</v>
      </c>
      <c r="R1851">
        <v>0</v>
      </c>
      <c r="S1851" s="1" t="s">
        <v>635</v>
      </c>
      <c r="T1851" s="1"/>
      <c r="U1851">
        <v>132.52699999999999</v>
      </c>
      <c r="V1851">
        <v>0</v>
      </c>
      <c r="W1851">
        <v>62637</v>
      </c>
    </row>
    <row r="1852" spans="1:23" x14ac:dyDescent="0.25">
      <c r="A1852" s="1" t="s">
        <v>32</v>
      </c>
      <c r="B1852" s="1" t="s">
        <v>67</v>
      </c>
      <c r="C1852" s="1" t="s">
        <v>160</v>
      </c>
      <c r="D1852">
        <v>6354</v>
      </c>
      <c r="E1852" s="1"/>
      <c r="F1852" s="1" t="s">
        <v>293</v>
      </c>
      <c r="G1852">
        <v>2012</v>
      </c>
      <c r="H1852">
        <v>142.87</v>
      </c>
      <c r="I1852">
        <v>12</v>
      </c>
      <c r="J1852" s="1" t="s">
        <v>426</v>
      </c>
      <c r="K1852">
        <v>0</v>
      </c>
      <c r="L1852">
        <v>196</v>
      </c>
      <c r="M1852">
        <v>0.72855599999999998</v>
      </c>
      <c r="N1852">
        <v>3</v>
      </c>
      <c r="O1852" s="1" t="s">
        <v>560</v>
      </c>
      <c r="P1852">
        <v>142.87</v>
      </c>
      <c r="Q1852">
        <v>114.28</v>
      </c>
      <c r="R1852">
        <v>0</v>
      </c>
      <c r="S1852" s="1" t="s">
        <v>635</v>
      </c>
      <c r="T1852" s="1"/>
      <c r="U1852">
        <v>142.86699999999999</v>
      </c>
      <c r="V1852">
        <v>0</v>
      </c>
      <c r="W1852">
        <v>62637</v>
      </c>
    </row>
    <row r="1853" spans="1:23" x14ac:dyDescent="0.25">
      <c r="A1853" s="1" t="s">
        <v>32</v>
      </c>
      <c r="B1853" s="1" t="s">
        <v>67</v>
      </c>
      <c r="C1853" s="1" t="s">
        <v>160</v>
      </c>
      <c r="D1853">
        <v>6354</v>
      </c>
      <c r="E1853" s="1"/>
      <c r="F1853" s="1" t="s">
        <v>293</v>
      </c>
      <c r="G1853">
        <v>2011</v>
      </c>
      <c r="H1853">
        <v>139.79</v>
      </c>
      <c r="I1853">
        <v>10</v>
      </c>
      <c r="J1853" s="1" t="s">
        <v>426</v>
      </c>
      <c r="K1853">
        <v>0</v>
      </c>
      <c r="L1853">
        <v>196</v>
      </c>
      <c r="M1853">
        <v>0.71284999999999998</v>
      </c>
      <c r="N1853">
        <v>3</v>
      </c>
      <c r="O1853" s="1" t="s">
        <v>560</v>
      </c>
      <c r="P1853">
        <v>139.79</v>
      </c>
      <c r="Q1853">
        <v>111.82</v>
      </c>
      <c r="R1853">
        <v>0</v>
      </c>
      <c r="S1853" s="1" t="s">
        <v>635</v>
      </c>
      <c r="T1853" s="1"/>
      <c r="U1853">
        <v>139.76883000000001</v>
      </c>
      <c r="V1853">
        <v>0</v>
      </c>
      <c r="W1853">
        <v>62637</v>
      </c>
    </row>
    <row r="1854" spans="1:23" x14ac:dyDescent="0.25">
      <c r="A1854" s="1" t="s">
        <v>32</v>
      </c>
      <c r="B1854" s="1" t="s">
        <v>67</v>
      </c>
      <c r="C1854" s="1" t="s">
        <v>160</v>
      </c>
      <c r="D1854">
        <v>6354</v>
      </c>
      <c r="E1854" s="1"/>
      <c r="F1854" s="1" t="s">
        <v>293</v>
      </c>
      <c r="G1854">
        <v>2010</v>
      </c>
      <c r="H1854">
        <v>263.42</v>
      </c>
      <c r="I1854">
        <v>4</v>
      </c>
      <c r="J1854" s="1" t="s">
        <v>426</v>
      </c>
      <c r="K1854">
        <v>0</v>
      </c>
      <c r="L1854">
        <v>196</v>
      </c>
      <c r="M1854">
        <v>1.343294</v>
      </c>
      <c r="N1854">
        <v>3</v>
      </c>
      <c r="O1854" s="1" t="s">
        <v>560</v>
      </c>
      <c r="P1854">
        <v>263.42</v>
      </c>
      <c r="Q1854">
        <v>210.74</v>
      </c>
      <c r="R1854">
        <v>0</v>
      </c>
      <c r="S1854" s="1" t="s">
        <v>635</v>
      </c>
      <c r="T1854" s="1"/>
      <c r="U1854">
        <v>263.43248</v>
      </c>
      <c r="V1854">
        <v>0</v>
      </c>
      <c r="W1854">
        <v>62637</v>
      </c>
    </row>
    <row r="1855" spans="1:23" x14ac:dyDescent="0.25">
      <c r="A1855" s="1" t="s">
        <v>32</v>
      </c>
      <c r="B1855" s="1" t="s">
        <v>67</v>
      </c>
      <c r="C1855" s="1" t="s">
        <v>160</v>
      </c>
      <c r="D1855">
        <v>6354</v>
      </c>
      <c r="E1855" s="1"/>
      <c r="F1855" s="1" t="s">
        <v>293</v>
      </c>
      <c r="G1855">
        <v>2009</v>
      </c>
      <c r="H1855">
        <v>235.3</v>
      </c>
      <c r="I1855">
        <v>6</v>
      </c>
      <c r="J1855" s="1" t="s">
        <v>426</v>
      </c>
      <c r="K1855">
        <v>0</v>
      </c>
      <c r="L1855">
        <v>196</v>
      </c>
      <c r="M1855">
        <v>1.1998979999999999</v>
      </c>
      <c r="N1855">
        <v>3</v>
      </c>
      <c r="O1855" s="1" t="s">
        <v>560</v>
      </c>
      <c r="P1855">
        <v>235.3</v>
      </c>
      <c r="Q1855">
        <v>188.21</v>
      </c>
      <c r="R1855">
        <v>0</v>
      </c>
      <c r="S1855" s="1" t="s">
        <v>635</v>
      </c>
      <c r="T1855" s="1"/>
      <c r="U1855">
        <v>235.28996000000001</v>
      </c>
      <c r="V1855">
        <v>0</v>
      </c>
      <c r="W1855">
        <v>62637</v>
      </c>
    </row>
    <row r="1856" spans="1:23" x14ac:dyDescent="0.25">
      <c r="A1856" s="1" t="s">
        <v>32</v>
      </c>
      <c r="B1856" s="1" t="s">
        <v>67</v>
      </c>
      <c r="C1856" s="1" t="s">
        <v>160</v>
      </c>
      <c r="D1856">
        <v>6354</v>
      </c>
      <c r="E1856" s="1"/>
      <c r="F1856" s="1" t="s">
        <v>293</v>
      </c>
      <c r="G1856">
        <v>2008</v>
      </c>
      <c r="H1856">
        <v>99.23</v>
      </c>
      <c r="I1856">
        <v>12</v>
      </c>
      <c r="J1856" s="1" t="s">
        <v>426</v>
      </c>
      <c r="K1856">
        <v>0</v>
      </c>
      <c r="L1856">
        <v>196</v>
      </c>
      <c r="M1856">
        <v>0.50601700000000005</v>
      </c>
      <c r="N1856">
        <v>3</v>
      </c>
      <c r="O1856" s="1" t="s">
        <v>560</v>
      </c>
      <c r="P1856">
        <v>99.23</v>
      </c>
      <c r="Q1856">
        <v>79.36</v>
      </c>
      <c r="R1856">
        <v>0</v>
      </c>
      <c r="S1856" s="1" t="s">
        <v>635</v>
      </c>
      <c r="T1856" s="1"/>
      <c r="U1856">
        <v>99.218739999999997</v>
      </c>
      <c r="V1856">
        <v>0</v>
      </c>
      <c r="W1856">
        <v>62637</v>
      </c>
    </row>
    <row r="1857" spans="1:23" x14ac:dyDescent="0.25">
      <c r="A1857" s="1" t="s">
        <v>32</v>
      </c>
      <c r="B1857" s="1"/>
      <c r="C1857" s="1" t="s">
        <v>161</v>
      </c>
      <c r="D1857">
        <v>12292</v>
      </c>
      <c r="E1857" s="1" t="s">
        <v>243</v>
      </c>
      <c r="F1857" s="1" t="s">
        <v>161</v>
      </c>
      <c r="G1857">
        <v>2014</v>
      </c>
      <c r="H1857">
        <v>6.26</v>
      </c>
      <c r="I1857">
        <v>4</v>
      </c>
      <c r="J1857" s="1" t="s">
        <v>431</v>
      </c>
      <c r="K1857">
        <v>0</v>
      </c>
      <c r="L1857">
        <v>68</v>
      </c>
      <c r="M1857">
        <v>9.1923000000000005E-2</v>
      </c>
      <c r="N1857">
        <v>3</v>
      </c>
      <c r="O1857" s="1" t="s">
        <v>560</v>
      </c>
      <c r="P1857">
        <v>6.26</v>
      </c>
      <c r="Q1857">
        <v>4.99</v>
      </c>
      <c r="R1857">
        <v>0</v>
      </c>
      <c r="S1857" s="1"/>
      <c r="T1857" s="1"/>
      <c r="U1857">
        <v>6.2610900000000003</v>
      </c>
      <c r="V1857">
        <v>0</v>
      </c>
      <c r="W1857">
        <v>84120</v>
      </c>
    </row>
    <row r="1858" spans="1:23" x14ac:dyDescent="0.25">
      <c r="A1858" s="1" t="s">
        <v>32</v>
      </c>
      <c r="B1858" s="1"/>
      <c r="C1858" s="1" t="s">
        <v>161</v>
      </c>
      <c r="D1858">
        <v>12292</v>
      </c>
      <c r="E1858" s="1" t="s">
        <v>243</v>
      </c>
      <c r="F1858" s="1" t="s">
        <v>161</v>
      </c>
      <c r="G1858">
        <v>2013</v>
      </c>
      <c r="H1858">
        <v>21.06</v>
      </c>
      <c r="I1858">
        <v>4</v>
      </c>
      <c r="J1858" s="1" t="s">
        <v>431</v>
      </c>
      <c r="K1858">
        <v>0</v>
      </c>
      <c r="L1858">
        <v>68</v>
      </c>
      <c r="M1858">
        <v>0.309251</v>
      </c>
      <c r="N1858">
        <v>3</v>
      </c>
      <c r="O1858" s="1" t="s">
        <v>560</v>
      </c>
      <c r="P1858">
        <v>21.06</v>
      </c>
      <c r="Q1858">
        <v>16.850000000000001</v>
      </c>
      <c r="R1858">
        <v>0</v>
      </c>
      <c r="S1858" s="1"/>
      <c r="T1858" s="1"/>
      <c r="U1858">
        <v>21.07142</v>
      </c>
      <c r="V1858">
        <v>0</v>
      </c>
      <c r="W1858">
        <v>84120</v>
      </c>
    </row>
    <row r="1859" spans="1:23" x14ac:dyDescent="0.25">
      <c r="A1859" s="1" t="s">
        <v>32</v>
      </c>
      <c r="B1859" s="1"/>
      <c r="C1859" s="1" t="s">
        <v>161</v>
      </c>
      <c r="D1859">
        <v>12292</v>
      </c>
      <c r="E1859" s="1" t="s">
        <v>243</v>
      </c>
      <c r="F1859" s="1" t="s">
        <v>161</v>
      </c>
      <c r="G1859">
        <v>2012</v>
      </c>
      <c r="H1859">
        <v>8.5399999999999991</v>
      </c>
      <c r="I1859">
        <v>4</v>
      </c>
      <c r="J1859" s="1" t="s">
        <v>431</v>
      </c>
      <c r="K1859">
        <v>0</v>
      </c>
      <c r="L1859">
        <v>68</v>
      </c>
      <c r="M1859">
        <v>0.12540299999999999</v>
      </c>
      <c r="N1859">
        <v>3</v>
      </c>
      <c r="O1859" s="1" t="s">
        <v>560</v>
      </c>
      <c r="P1859">
        <v>8.5399999999999991</v>
      </c>
      <c r="Q1859">
        <v>6.85</v>
      </c>
      <c r="R1859">
        <v>0</v>
      </c>
      <c r="S1859" s="1"/>
      <c r="T1859" s="1"/>
      <c r="U1859">
        <v>8.56752</v>
      </c>
      <c r="V1859">
        <v>0</v>
      </c>
      <c r="W1859">
        <v>84120</v>
      </c>
    </row>
    <row r="1860" spans="1:23" x14ac:dyDescent="0.25">
      <c r="A1860" s="1" t="s">
        <v>32</v>
      </c>
      <c r="B1860" s="1"/>
      <c r="C1860" s="1" t="s">
        <v>161</v>
      </c>
      <c r="D1860">
        <v>12292</v>
      </c>
      <c r="E1860" s="1" t="s">
        <v>243</v>
      </c>
      <c r="F1860" s="1" t="s">
        <v>161</v>
      </c>
      <c r="G1860">
        <v>2011</v>
      </c>
      <c r="H1860">
        <v>11.74</v>
      </c>
      <c r="I1860">
        <v>4</v>
      </c>
      <c r="J1860" s="1" t="s">
        <v>431</v>
      </c>
      <c r="K1860">
        <v>0</v>
      </c>
      <c r="L1860">
        <v>68</v>
      </c>
      <c r="M1860">
        <v>0.17239299999999999</v>
      </c>
      <c r="N1860">
        <v>3</v>
      </c>
      <c r="O1860" s="1" t="s">
        <v>560</v>
      </c>
      <c r="P1860">
        <v>11.74</v>
      </c>
      <c r="Q1860">
        <v>9.36</v>
      </c>
      <c r="R1860">
        <v>0</v>
      </c>
      <c r="S1860" s="1"/>
      <c r="T1860" s="1"/>
      <c r="U1860">
        <v>11.713340000000001</v>
      </c>
      <c r="V1860">
        <v>0</v>
      </c>
      <c r="W1860">
        <v>84120</v>
      </c>
    </row>
    <row r="1861" spans="1:23" x14ac:dyDescent="0.25">
      <c r="A1861" s="1" t="s">
        <v>32</v>
      </c>
      <c r="B1861" s="1"/>
      <c r="C1861" s="1" t="s">
        <v>161</v>
      </c>
      <c r="D1861">
        <v>12292</v>
      </c>
      <c r="E1861" s="1" t="s">
        <v>243</v>
      </c>
      <c r="F1861" s="1" t="s">
        <v>161</v>
      </c>
      <c r="G1861">
        <v>2010</v>
      </c>
      <c r="H1861">
        <v>52.28</v>
      </c>
      <c r="I1861">
        <v>3</v>
      </c>
      <c r="J1861" s="1" t="s">
        <v>431</v>
      </c>
      <c r="K1861">
        <v>0</v>
      </c>
      <c r="L1861">
        <v>68</v>
      </c>
      <c r="M1861">
        <v>0.76769399999999999</v>
      </c>
      <c r="N1861">
        <v>3</v>
      </c>
      <c r="O1861" s="1" t="s">
        <v>560</v>
      </c>
      <c r="P1861">
        <v>52.28</v>
      </c>
      <c r="Q1861">
        <v>41.83</v>
      </c>
      <c r="R1861">
        <v>0</v>
      </c>
      <c r="S1861" s="1"/>
      <c r="T1861" s="1"/>
      <c r="U1861">
        <v>52.286670000000001</v>
      </c>
      <c r="V1861">
        <v>0</v>
      </c>
      <c r="W1861">
        <v>84120</v>
      </c>
    </row>
    <row r="1862" spans="1:23" x14ac:dyDescent="0.25">
      <c r="A1862" s="1" t="s">
        <v>32</v>
      </c>
      <c r="B1862" s="1"/>
      <c r="C1862" s="1" t="s">
        <v>162</v>
      </c>
      <c r="D1862">
        <v>10231</v>
      </c>
      <c r="E1862" s="1"/>
      <c r="F1862" s="1" t="s">
        <v>294</v>
      </c>
      <c r="G1862">
        <v>2015</v>
      </c>
      <c r="H1862">
        <v>158.41</v>
      </c>
      <c r="I1862">
        <v>5</v>
      </c>
      <c r="J1862" s="1" t="s">
        <v>432</v>
      </c>
      <c r="K1862">
        <v>0</v>
      </c>
      <c r="L1862">
        <v>449</v>
      </c>
      <c r="M1862">
        <v>0.35272700000000001</v>
      </c>
      <c r="N1862">
        <v>3</v>
      </c>
      <c r="O1862" s="1" t="s">
        <v>560</v>
      </c>
      <c r="P1862">
        <v>158.41</v>
      </c>
      <c r="Q1862">
        <v>126.72</v>
      </c>
      <c r="R1862">
        <v>0</v>
      </c>
      <c r="S1862" s="1" t="s">
        <v>636</v>
      </c>
      <c r="T1862" s="1"/>
      <c r="U1862">
        <v>158.40600000000001</v>
      </c>
      <c r="V1862">
        <v>0</v>
      </c>
      <c r="W1862">
        <v>77507</v>
      </c>
    </row>
    <row r="1863" spans="1:23" x14ac:dyDescent="0.25">
      <c r="A1863" s="1" t="s">
        <v>32</v>
      </c>
      <c r="B1863" s="1"/>
      <c r="C1863" s="1" t="s">
        <v>162</v>
      </c>
      <c r="D1863">
        <v>10231</v>
      </c>
      <c r="E1863" s="1"/>
      <c r="F1863" s="1" t="s">
        <v>294</v>
      </c>
      <c r="G1863">
        <v>2014</v>
      </c>
      <c r="H1863">
        <v>196.2</v>
      </c>
      <c r="I1863">
        <v>12</v>
      </c>
      <c r="J1863" s="1" t="s">
        <v>432</v>
      </c>
      <c r="K1863">
        <v>0</v>
      </c>
      <c r="L1863">
        <v>449</v>
      </c>
      <c r="M1863">
        <v>0.43687300000000001</v>
      </c>
      <c r="N1863">
        <v>3</v>
      </c>
      <c r="O1863" s="1" t="s">
        <v>560</v>
      </c>
      <c r="P1863">
        <v>196.2</v>
      </c>
      <c r="Q1863">
        <v>156.96</v>
      </c>
      <c r="R1863">
        <v>0</v>
      </c>
      <c r="S1863" s="1" t="s">
        <v>636</v>
      </c>
      <c r="T1863" s="1"/>
      <c r="U1863">
        <v>196.2</v>
      </c>
      <c r="V1863">
        <v>0</v>
      </c>
      <c r="W1863">
        <v>77507</v>
      </c>
    </row>
    <row r="1864" spans="1:23" x14ac:dyDescent="0.25">
      <c r="A1864" s="1" t="s">
        <v>32</v>
      </c>
      <c r="B1864" s="1"/>
      <c r="C1864" s="1" t="s">
        <v>162</v>
      </c>
      <c r="D1864">
        <v>10231</v>
      </c>
      <c r="E1864" s="1"/>
      <c r="F1864" s="1" t="s">
        <v>294</v>
      </c>
      <c r="G1864">
        <v>2013</v>
      </c>
      <c r="H1864">
        <v>159.6</v>
      </c>
      <c r="I1864">
        <v>12</v>
      </c>
      <c r="J1864" s="1" t="s">
        <v>432</v>
      </c>
      <c r="K1864">
        <v>0</v>
      </c>
      <c r="L1864">
        <v>449</v>
      </c>
      <c r="M1864">
        <v>0.355377</v>
      </c>
      <c r="N1864">
        <v>3</v>
      </c>
      <c r="O1864" s="1" t="s">
        <v>560</v>
      </c>
      <c r="P1864">
        <v>159.6</v>
      </c>
      <c r="Q1864">
        <v>127.68</v>
      </c>
      <c r="R1864">
        <v>0</v>
      </c>
      <c r="S1864" s="1" t="s">
        <v>636</v>
      </c>
      <c r="T1864" s="1"/>
      <c r="U1864">
        <v>159.6</v>
      </c>
      <c r="V1864">
        <v>0</v>
      </c>
      <c r="W1864">
        <v>77507</v>
      </c>
    </row>
    <row r="1865" spans="1:23" x14ac:dyDescent="0.25">
      <c r="A1865" s="1" t="s">
        <v>32</v>
      </c>
      <c r="B1865" s="1"/>
      <c r="C1865" s="1" t="s">
        <v>162</v>
      </c>
      <c r="D1865">
        <v>10231</v>
      </c>
      <c r="E1865" s="1"/>
      <c r="F1865" s="1" t="s">
        <v>294</v>
      </c>
      <c r="G1865">
        <v>2012</v>
      </c>
      <c r="H1865">
        <v>162.6</v>
      </c>
      <c r="I1865">
        <v>12</v>
      </c>
      <c r="J1865" s="1" t="s">
        <v>432</v>
      </c>
      <c r="K1865">
        <v>0</v>
      </c>
      <c r="L1865">
        <v>449</v>
      </c>
      <c r="M1865">
        <v>0.36205700000000002</v>
      </c>
      <c r="N1865">
        <v>3</v>
      </c>
      <c r="O1865" s="1" t="s">
        <v>560</v>
      </c>
      <c r="P1865">
        <v>162.6</v>
      </c>
      <c r="Q1865">
        <v>130.08000000000001</v>
      </c>
      <c r="R1865">
        <v>0</v>
      </c>
      <c r="S1865" s="1" t="s">
        <v>636</v>
      </c>
      <c r="T1865" s="1"/>
      <c r="U1865">
        <v>162.6</v>
      </c>
      <c r="V1865">
        <v>0</v>
      </c>
      <c r="W1865">
        <v>77507</v>
      </c>
    </row>
    <row r="1866" spans="1:23" x14ac:dyDescent="0.25">
      <c r="A1866" s="1" t="s">
        <v>32</v>
      </c>
      <c r="B1866" s="1"/>
      <c r="C1866" s="1" t="s">
        <v>162</v>
      </c>
      <c r="D1866">
        <v>10231</v>
      </c>
      <c r="E1866" s="1"/>
      <c r="F1866" s="1" t="s">
        <v>294</v>
      </c>
      <c r="G1866">
        <v>2011</v>
      </c>
      <c r="H1866">
        <v>530.53</v>
      </c>
      <c r="I1866">
        <v>12</v>
      </c>
      <c r="J1866" s="1" t="s">
        <v>432</v>
      </c>
      <c r="K1866">
        <v>0</v>
      </c>
      <c r="L1866">
        <v>449</v>
      </c>
      <c r="M1866">
        <v>1.1813180000000001</v>
      </c>
      <c r="N1866">
        <v>3</v>
      </c>
      <c r="O1866" s="1" t="s">
        <v>560</v>
      </c>
      <c r="P1866">
        <v>530.53</v>
      </c>
      <c r="Q1866">
        <v>424.41</v>
      </c>
      <c r="R1866">
        <v>0</v>
      </c>
      <c r="S1866" s="1" t="s">
        <v>636</v>
      </c>
      <c r="T1866" s="1"/>
      <c r="U1866">
        <v>530.52052000000003</v>
      </c>
      <c r="V1866">
        <v>0</v>
      </c>
      <c r="W1866">
        <v>77507</v>
      </c>
    </row>
    <row r="1867" spans="1:23" x14ac:dyDescent="0.25">
      <c r="A1867" s="1" t="s">
        <v>32</v>
      </c>
      <c r="B1867" s="1"/>
      <c r="C1867" s="1" t="s">
        <v>162</v>
      </c>
      <c r="D1867">
        <v>10231</v>
      </c>
      <c r="E1867" s="1"/>
      <c r="F1867" s="1" t="s">
        <v>294</v>
      </c>
      <c r="G1867">
        <v>2010</v>
      </c>
      <c r="H1867">
        <v>226.45</v>
      </c>
      <c r="I1867">
        <v>12</v>
      </c>
      <c r="J1867" s="1" t="s">
        <v>432</v>
      </c>
      <c r="K1867">
        <v>0</v>
      </c>
      <c r="L1867">
        <v>449</v>
      </c>
      <c r="M1867">
        <v>0.50422999999999996</v>
      </c>
      <c r="N1867">
        <v>3</v>
      </c>
      <c r="O1867" s="1" t="s">
        <v>560</v>
      </c>
      <c r="P1867">
        <v>226.45</v>
      </c>
      <c r="Q1867">
        <v>181.16</v>
      </c>
      <c r="R1867">
        <v>0</v>
      </c>
      <c r="S1867" s="1" t="s">
        <v>636</v>
      </c>
      <c r="T1867" s="1"/>
      <c r="U1867">
        <v>226.43664000000001</v>
      </c>
      <c r="V1867">
        <v>0</v>
      </c>
      <c r="W1867">
        <v>77507</v>
      </c>
    </row>
    <row r="1868" spans="1:23" x14ac:dyDescent="0.25">
      <c r="A1868" s="1" t="s">
        <v>32</v>
      </c>
      <c r="B1868" s="1"/>
      <c r="C1868" s="1" t="s">
        <v>162</v>
      </c>
      <c r="D1868">
        <v>10231</v>
      </c>
      <c r="E1868" s="1"/>
      <c r="F1868" s="1" t="s">
        <v>294</v>
      </c>
      <c r="G1868">
        <v>2009</v>
      </c>
      <c r="H1868">
        <v>193.97</v>
      </c>
      <c r="I1868">
        <v>11</v>
      </c>
      <c r="J1868" s="1" t="s">
        <v>432</v>
      </c>
      <c r="K1868">
        <v>0</v>
      </c>
      <c r="L1868">
        <v>449</v>
      </c>
      <c r="M1868">
        <v>0.43190800000000001</v>
      </c>
      <c r="N1868">
        <v>3</v>
      </c>
      <c r="O1868" s="1" t="s">
        <v>560</v>
      </c>
      <c r="P1868">
        <v>193.97</v>
      </c>
      <c r="Q1868">
        <v>155.18</v>
      </c>
      <c r="R1868">
        <v>0</v>
      </c>
      <c r="S1868" s="1" t="s">
        <v>636</v>
      </c>
      <c r="T1868" s="1"/>
      <c r="U1868">
        <v>193.97237999999999</v>
      </c>
      <c r="V1868">
        <v>0</v>
      </c>
      <c r="W1868">
        <v>77507</v>
      </c>
    </row>
    <row r="1869" spans="1:23" x14ac:dyDescent="0.25">
      <c r="A1869" s="1" t="s">
        <v>32</v>
      </c>
      <c r="B1869" s="1"/>
      <c r="C1869" s="1" t="s">
        <v>162</v>
      </c>
      <c r="D1869">
        <v>10231</v>
      </c>
      <c r="E1869" s="1"/>
      <c r="F1869" s="1" t="s">
        <v>294</v>
      </c>
      <c r="G1869">
        <v>2008</v>
      </c>
      <c r="H1869">
        <v>245.04</v>
      </c>
      <c r="I1869">
        <v>10</v>
      </c>
      <c r="J1869" s="1" t="s">
        <v>432</v>
      </c>
      <c r="K1869">
        <v>0</v>
      </c>
      <c r="L1869">
        <v>449</v>
      </c>
      <c r="M1869">
        <v>0.545624</v>
      </c>
      <c r="N1869">
        <v>3</v>
      </c>
      <c r="O1869" s="1" t="s">
        <v>560</v>
      </c>
      <c r="P1869">
        <v>245.04</v>
      </c>
      <c r="Q1869">
        <v>196.02</v>
      </c>
      <c r="R1869">
        <v>0</v>
      </c>
      <c r="S1869" s="1" t="s">
        <v>636</v>
      </c>
      <c r="T1869" s="1"/>
      <c r="U1869">
        <v>245.02853999999999</v>
      </c>
      <c r="V1869">
        <v>0</v>
      </c>
      <c r="W1869">
        <v>77507</v>
      </c>
    </row>
    <row r="1870" spans="1:23" x14ac:dyDescent="0.25">
      <c r="A1870" s="1" t="s">
        <v>32</v>
      </c>
      <c r="B1870" s="1" t="s">
        <v>68</v>
      </c>
      <c r="C1870" s="1" t="s">
        <v>163</v>
      </c>
      <c r="D1870">
        <v>5489</v>
      </c>
      <c r="E1870" s="1"/>
      <c r="F1870" s="1" t="s">
        <v>163</v>
      </c>
      <c r="G1870">
        <v>2015</v>
      </c>
      <c r="H1870">
        <v>615</v>
      </c>
      <c r="I1870">
        <v>5</v>
      </c>
      <c r="J1870" s="1"/>
      <c r="K1870">
        <v>0</v>
      </c>
      <c r="L1870">
        <v>2801</v>
      </c>
      <c r="M1870">
        <v>0.219556</v>
      </c>
      <c r="N1870">
        <v>3</v>
      </c>
      <c r="O1870" s="1" t="s">
        <v>560</v>
      </c>
      <c r="P1870">
        <v>615</v>
      </c>
      <c r="Q1870">
        <v>492</v>
      </c>
      <c r="R1870">
        <v>1</v>
      </c>
      <c r="S1870" s="1" t="s">
        <v>637</v>
      </c>
      <c r="T1870" s="1"/>
      <c r="U1870">
        <v>615</v>
      </c>
      <c r="V1870">
        <v>0</v>
      </c>
      <c r="W1870">
        <v>58005</v>
      </c>
    </row>
    <row r="1871" spans="1:23" x14ac:dyDescent="0.25">
      <c r="A1871" s="1" t="s">
        <v>32</v>
      </c>
      <c r="B1871" s="1" t="s">
        <v>68</v>
      </c>
      <c r="C1871" s="1" t="s">
        <v>163</v>
      </c>
      <c r="D1871">
        <v>5489</v>
      </c>
      <c r="E1871" s="1"/>
      <c r="F1871" s="1" t="s">
        <v>163</v>
      </c>
      <c r="G1871">
        <v>2015</v>
      </c>
      <c r="H1871">
        <v>51.06</v>
      </c>
      <c r="I1871">
        <v>5</v>
      </c>
      <c r="J1871" s="1"/>
      <c r="K1871">
        <v>0</v>
      </c>
      <c r="L1871">
        <v>2801</v>
      </c>
      <c r="M1871">
        <v>1.8228000000000001E-2</v>
      </c>
      <c r="N1871">
        <v>3</v>
      </c>
      <c r="O1871" s="1" t="s">
        <v>560</v>
      </c>
      <c r="P1871">
        <v>51.06</v>
      </c>
      <c r="Q1871">
        <v>40.85</v>
      </c>
      <c r="R1871">
        <v>1</v>
      </c>
      <c r="S1871" s="1" t="s">
        <v>638</v>
      </c>
      <c r="T1871" s="1"/>
      <c r="U1871">
        <v>51.057000000000002</v>
      </c>
      <c r="V1871">
        <v>0</v>
      </c>
      <c r="W1871">
        <v>58106</v>
      </c>
    </row>
    <row r="1872" spans="1:23" x14ac:dyDescent="0.25">
      <c r="A1872" s="1" t="s">
        <v>32</v>
      </c>
      <c r="B1872" s="1" t="s">
        <v>68</v>
      </c>
      <c r="C1872" s="1" t="s">
        <v>163</v>
      </c>
      <c r="D1872">
        <v>5489</v>
      </c>
      <c r="E1872" s="1"/>
      <c r="F1872" s="1" t="s">
        <v>163</v>
      </c>
      <c r="G1872">
        <v>2014</v>
      </c>
      <c r="H1872">
        <v>1416.5</v>
      </c>
      <c r="I1872">
        <v>12</v>
      </c>
      <c r="J1872" s="1"/>
      <c r="K1872">
        <v>0</v>
      </c>
      <c r="L1872">
        <v>2801</v>
      </c>
      <c r="M1872">
        <v>0.50569399999999998</v>
      </c>
      <c r="N1872">
        <v>3</v>
      </c>
      <c r="O1872" s="1" t="s">
        <v>560</v>
      </c>
      <c r="P1872">
        <v>1416.5</v>
      </c>
      <c r="Q1872">
        <v>1133.2</v>
      </c>
      <c r="R1872">
        <v>1</v>
      </c>
      <c r="S1872" s="1" t="s">
        <v>637</v>
      </c>
      <c r="T1872" s="1"/>
      <c r="U1872">
        <v>1416.5</v>
      </c>
      <c r="V1872">
        <v>0</v>
      </c>
      <c r="W1872">
        <v>58005</v>
      </c>
    </row>
    <row r="1873" spans="1:23" x14ac:dyDescent="0.25">
      <c r="A1873" s="1" t="s">
        <v>32</v>
      </c>
      <c r="B1873" s="1" t="s">
        <v>68</v>
      </c>
      <c r="C1873" s="1" t="s">
        <v>163</v>
      </c>
      <c r="D1873">
        <v>5489</v>
      </c>
      <c r="E1873" s="1"/>
      <c r="F1873" s="1" t="s">
        <v>163</v>
      </c>
      <c r="G1873">
        <v>2014</v>
      </c>
      <c r="H1873">
        <v>325.83</v>
      </c>
      <c r="I1873">
        <v>12</v>
      </c>
      <c r="J1873" s="1"/>
      <c r="K1873">
        <v>0</v>
      </c>
      <c r="L1873">
        <v>2801</v>
      </c>
      <c r="M1873">
        <v>0.11632199999999999</v>
      </c>
      <c r="N1873">
        <v>3</v>
      </c>
      <c r="O1873" s="1" t="s">
        <v>560</v>
      </c>
      <c r="P1873">
        <v>325.83</v>
      </c>
      <c r="Q1873">
        <v>260.67</v>
      </c>
      <c r="R1873">
        <v>1</v>
      </c>
      <c r="S1873" s="1" t="s">
        <v>638</v>
      </c>
      <c r="T1873" s="1"/>
      <c r="U1873">
        <v>325.83100000000002</v>
      </c>
      <c r="V1873">
        <v>0</v>
      </c>
      <c r="W1873">
        <v>58106</v>
      </c>
    </row>
    <row r="1874" spans="1:23" x14ac:dyDescent="0.25">
      <c r="A1874" s="1" t="s">
        <v>32</v>
      </c>
      <c r="B1874" s="1" t="s">
        <v>68</v>
      </c>
      <c r="C1874" s="1" t="s">
        <v>163</v>
      </c>
      <c r="D1874">
        <v>5489</v>
      </c>
      <c r="E1874" s="1"/>
      <c r="F1874" s="1" t="s">
        <v>163</v>
      </c>
      <c r="G1874">
        <v>2013</v>
      </c>
      <c r="H1874">
        <v>1144.8</v>
      </c>
      <c r="I1874">
        <v>12</v>
      </c>
      <c r="J1874" s="1"/>
      <c r="K1874">
        <v>0</v>
      </c>
      <c r="L1874">
        <v>2801</v>
      </c>
      <c r="M1874">
        <v>0.408696</v>
      </c>
      <c r="N1874">
        <v>3</v>
      </c>
      <c r="O1874" s="1" t="s">
        <v>560</v>
      </c>
      <c r="P1874">
        <v>1144.8</v>
      </c>
      <c r="Q1874">
        <v>915.84</v>
      </c>
      <c r="R1874">
        <v>1</v>
      </c>
      <c r="S1874" s="1" t="s">
        <v>637</v>
      </c>
      <c r="T1874" s="1"/>
      <c r="U1874">
        <v>1144.8</v>
      </c>
      <c r="V1874">
        <v>0</v>
      </c>
      <c r="W1874">
        <v>58005</v>
      </c>
    </row>
    <row r="1875" spans="1:23" x14ac:dyDescent="0.25">
      <c r="A1875" s="1" t="s">
        <v>32</v>
      </c>
      <c r="B1875" s="1" t="s">
        <v>68</v>
      </c>
      <c r="C1875" s="1" t="s">
        <v>163</v>
      </c>
      <c r="D1875">
        <v>5489</v>
      </c>
      <c r="E1875" s="1"/>
      <c r="F1875" s="1" t="s">
        <v>163</v>
      </c>
      <c r="G1875">
        <v>2013</v>
      </c>
      <c r="H1875">
        <v>358.82</v>
      </c>
      <c r="I1875">
        <v>12</v>
      </c>
      <c r="J1875" s="1"/>
      <c r="K1875">
        <v>0</v>
      </c>
      <c r="L1875">
        <v>2801</v>
      </c>
      <c r="M1875">
        <v>0.12809899999999999</v>
      </c>
      <c r="N1875">
        <v>3</v>
      </c>
      <c r="O1875" s="1" t="s">
        <v>560</v>
      </c>
      <c r="P1875">
        <v>358.82</v>
      </c>
      <c r="Q1875">
        <v>287.08</v>
      </c>
      <c r="R1875">
        <v>1</v>
      </c>
      <c r="S1875" s="1" t="s">
        <v>638</v>
      </c>
      <c r="T1875" s="1"/>
      <c r="U1875">
        <v>358.83300000000003</v>
      </c>
      <c r="V1875">
        <v>0</v>
      </c>
      <c r="W1875">
        <v>58106</v>
      </c>
    </row>
    <row r="1876" spans="1:23" x14ac:dyDescent="0.25">
      <c r="A1876" s="1" t="s">
        <v>32</v>
      </c>
      <c r="B1876" s="1" t="s">
        <v>68</v>
      </c>
      <c r="C1876" s="1" t="s">
        <v>163</v>
      </c>
      <c r="D1876">
        <v>5489</v>
      </c>
      <c r="E1876" s="1"/>
      <c r="F1876" s="1" t="s">
        <v>163</v>
      </c>
      <c r="G1876">
        <v>2012</v>
      </c>
      <c r="H1876">
        <v>1966.1</v>
      </c>
      <c r="I1876">
        <v>12</v>
      </c>
      <c r="J1876" s="1"/>
      <c r="K1876">
        <v>0</v>
      </c>
      <c r="L1876">
        <v>2801</v>
      </c>
      <c r="M1876">
        <v>0.70190200000000003</v>
      </c>
      <c r="N1876">
        <v>3</v>
      </c>
      <c r="O1876" s="1" t="s">
        <v>560</v>
      </c>
      <c r="P1876">
        <v>1966.1</v>
      </c>
      <c r="Q1876">
        <v>1572.88</v>
      </c>
      <c r="R1876">
        <v>1</v>
      </c>
      <c r="S1876" s="1" t="s">
        <v>637</v>
      </c>
      <c r="T1876" s="1"/>
      <c r="U1876">
        <v>1966.1</v>
      </c>
      <c r="V1876">
        <v>0</v>
      </c>
      <c r="W1876">
        <v>58005</v>
      </c>
    </row>
    <row r="1877" spans="1:23" x14ac:dyDescent="0.25">
      <c r="A1877" s="1" t="s">
        <v>32</v>
      </c>
      <c r="B1877" s="1" t="s">
        <v>68</v>
      </c>
      <c r="C1877" s="1" t="s">
        <v>163</v>
      </c>
      <c r="D1877">
        <v>5489</v>
      </c>
      <c r="E1877" s="1"/>
      <c r="F1877" s="1" t="s">
        <v>163</v>
      </c>
      <c r="G1877">
        <v>2012</v>
      </c>
      <c r="H1877">
        <v>265.45999999999998</v>
      </c>
      <c r="I1877">
        <v>12</v>
      </c>
      <c r="J1877" s="1"/>
      <c r="K1877">
        <v>0</v>
      </c>
      <c r="L1877">
        <v>2801</v>
      </c>
      <c r="M1877">
        <v>9.4769000000000006E-2</v>
      </c>
      <c r="N1877">
        <v>3</v>
      </c>
      <c r="O1877" s="1" t="s">
        <v>560</v>
      </c>
      <c r="P1877">
        <v>265.45999999999998</v>
      </c>
      <c r="Q1877">
        <v>212.37</v>
      </c>
      <c r="R1877">
        <v>1</v>
      </c>
      <c r="S1877" s="1" t="s">
        <v>638</v>
      </c>
      <c r="T1877" s="1"/>
      <c r="U1877">
        <v>265.46800000000002</v>
      </c>
      <c r="V1877">
        <v>0</v>
      </c>
      <c r="W1877">
        <v>58106</v>
      </c>
    </row>
    <row r="1878" spans="1:23" x14ac:dyDescent="0.25">
      <c r="A1878" s="1" t="s">
        <v>32</v>
      </c>
      <c r="B1878" s="1" t="s">
        <v>68</v>
      </c>
      <c r="C1878" s="1" t="s">
        <v>163</v>
      </c>
      <c r="D1878">
        <v>5489</v>
      </c>
      <c r="E1878" s="1"/>
      <c r="F1878" s="1" t="s">
        <v>163</v>
      </c>
      <c r="G1878">
        <v>2011</v>
      </c>
      <c r="H1878">
        <v>477.81</v>
      </c>
      <c r="I1878">
        <v>12</v>
      </c>
      <c r="J1878" s="1"/>
      <c r="K1878">
        <v>0</v>
      </c>
      <c r="L1878">
        <v>2801</v>
      </c>
      <c r="M1878">
        <v>0.17057900000000001</v>
      </c>
      <c r="N1878">
        <v>3</v>
      </c>
      <c r="O1878" s="1" t="s">
        <v>560</v>
      </c>
      <c r="P1878">
        <v>477.81</v>
      </c>
      <c r="Q1878">
        <v>382.25</v>
      </c>
      <c r="R1878">
        <v>1</v>
      </c>
      <c r="S1878" s="1" t="s">
        <v>637</v>
      </c>
      <c r="T1878" s="1"/>
      <c r="U1878">
        <v>477.81</v>
      </c>
      <c r="V1878">
        <v>0</v>
      </c>
      <c r="W1878">
        <v>58005</v>
      </c>
    </row>
    <row r="1879" spans="1:23" x14ac:dyDescent="0.25">
      <c r="A1879" s="1" t="s">
        <v>32</v>
      </c>
      <c r="B1879" s="1" t="s">
        <v>68</v>
      </c>
      <c r="C1879" s="1" t="s">
        <v>163</v>
      </c>
      <c r="D1879">
        <v>5489</v>
      </c>
      <c r="E1879" s="1"/>
      <c r="F1879" s="1" t="s">
        <v>163</v>
      </c>
      <c r="G1879">
        <v>2011</v>
      </c>
      <c r="H1879">
        <v>266.56</v>
      </c>
      <c r="I1879">
        <v>12</v>
      </c>
      <c r="J1879" s="1"/>
      <c r="K1879">
        <v>0</v>
      </c>
      <c r="L1879">
        <v>2801</v>
      </c>
      <c r="M1879">
        <v>9.5161999999999997E-2</v>
      </c>
      <c r="N1879">
        <v>3</v>
      </c>
      <c r="O1879" s="1" t="s">
        <v>560</v>
      </c>
      <c r="P1879">
        <v>266.56</v>
      </c>
      <c r="Q1879">
        <v>213.25</v>
      </c>
      <c r="R1879">
        <v>1</v>
      </c>
      <c r="S1879" s="1" t="s">
        <v>638</v>
      </c>
      <c r="T1879" s="1"/>
      <c r="U1879">
        <v>266.572</v>
      </c>
      <c r="V1879">
        <v>0</v>
      </c>
      <c r="W1879">
        <v>58106</v>
      </c>
    </row>
    <row r="1880" spans="1:23" x14ac:dyDescent="0.25">
      <c r="A1880" s="1" t="s">
        <v>32</v>
      </c>
      <c r="B1880" s="1" t="s">
        <v>68</v>
      </c>
      <c r="C1880" s="1" t="s">
        <v>163</v>
      </c>
      <c r="D1880">
        <v>5489</v>
      </c>
      <c r="E1880" s="1"/>
      <c r="F1880" s="1" t="s">
        <v>163</v>
      </c>
      <c r="G1880">
        <v>2010</v>
      </c>
      <c r="H1880">
        <v>0</v>
      </c>
      <c r="I1880">
        <v>12</v>
      </c>
      <c r="J1880" s="1"/>
      <c r="K1880">
        <v>0</v>
      </c>
      <c r="L1880">
        <v>2801</v>
      </c>
      <c r="M1880">
        <v>0</v>
      </c>
      <c r="N1880">
        <v>3</v>
      </c>
      <c r="O1880" s="1" t="s">
        <v>560</v>
      </c>
      <c r="P1880">
        <v>0</v>
      </c>
      <c r="Q1880">
        <v>0</v>
      </c>
      <c r="R1880">
        <v>1</v>
      </c>
      <c r="S1880" s="1" t="s">
        <v>637</v>
      </c>
      <c r="T1880" s="1"/>
      <c r="U1880">
        <v>0</v>
      </c>
      <c r="V1880">
        <v>0</v>
      </c>
      <c r="W1880">
        <v>58005</v>
      </c>
    </row>
    <row r="1881" spans="1:23" x14ac:dyDescent="0.25">
      <c r="A1881" s="1" t="s">
        <v>32</v>
      </c>
      <c r="B1881" s="1" t="s">
        <v>68</v>
      </c>
      <c r="C1881" s="1" t="s">
        <v>163</v>
      </c>
      <c r="D1881">
        <v>5489</v>
      </c>
      <c r="E1881" s="1"/>
      <c r="F1881" s="1" t="s">
        <v>163</v>
      </c>
      <c r="G1881">
        <v>2010</v>
      </c>
      <c r="H1881">
        <v>309.33</v>
      </c>
      <c r="I1881">
        <v>12</v>
      </c>
      <c r="J1881" s="1"/>
      <c r="K1881">
        <v>0</v>
      </c>
      <c r="L1881">
        <v>2801</v>
      </c>
      <c r="M1881">
        <v>0.110431</v>
      </c>
      <c r="N1881">
        <v>3</v>
      </c>
      <c r="O1881" s="1" t="s">
        <v>560</v>
      </c>
      <c r="P1881">
        <v>309.33</v>
      </c>
      <c r="Q1881">
        <v>247.47</v>
      </c>
      <c r="R1881">
        <v>1</v>
      </c>
      <c r="S1881" s="1" t="s">
        <v>638</v>
      </c>
      <c r="T1881" s="1"/>
      <c r="U1881">
        <v>309.33199999999999</v>
      </c>
      <c r="V1881">
        <v>0</v>
      </c>
      <c r="W1881">
        <v>58106</v>
      </c>
    </row>
    <row r="1882" spans="1:23" x14ac:dyDescent="0.25">
      <c r="A1882" s="1" t="s">
        <v>32</v>
      </c>
      <c r="B1882" s="1" t="s">
        <v>68</v>
      </c>
      <c r="C1882" s="1" t="s">
        <v>163</v>
      </c>
      <c r="D1882">
        <v>5489</v>
      </c>
      <c r="E1882" s="1"/>
      <c r="F1882" s="1" t="s">
        <v>163</v>
      </c>
      <c r="G1882">
        <v>2009</v>
      </c>
      <c r="H1882">
        <v>1940.38</v>
      </c>
      <c r="I1882">
        <v>12</v>
      </c>
      <c r="J1882" s="1"/>
      <c r="K1882">
        <v>0</v>
      </c>
      <c r="L1882">
        <v>2801</v>
      </c>
      <c r="M1882">
        <v>0.69272</v>
      </c>
      <c r="N1882">
        <v>3</v>
      </c>
      <c r="O1882" s="1" t="s">
        <v>560</v>
      </c>
      <c r="P1882">
        <v>1940.38</v>
      </c>
      <c r="Q1882">
        <v>1552.32</v>
      </c>
      <c r="R1882">
        <v>1</v>
      </c>
      <c r="S1882" s="1" t="s">
        <v>637</v>
      </c>
      <c r="T1882" s="1"/>
      <c r="U1882">
        <v>1940.38</v>
      </c>
      <c r="V1882">
        <v>0</v>
      </c>
      <c r="W1882">
        <v>58005</v>
      </c>
    </row>
    <row r="1883" spans="1:23" x14ac:dyDescent="0.25">
      <c r="A1883" s="1" t="s">
        <v>32</v>
      </c>
      <c r="B1883" s="1" t="s">
        <v>68</v>
      </c>
      <c r="C1883" s="1" t="s">
        <v>163</v>
      </c>
      <c r="D1883">
        <v>5489</v>
      </c>
      <c r="E1883" s="1"/>
      <c r="F1883" s="1" t="s">
        <v>163</v>
      </c>
      <c r="G1883">
        <v>2009</v>
      </c>
      <c r="H1883">
        <v>271.81</v>
      </c>
      <c r="I1883">
        <v>12</v>
      </c>
      <c r="J1883" s="1"/>
      <c r="K1883">
        <v>0</v>
      </c>
      <c r="L1883">
        <v>2801</v>
      </c>
      <c r="M1883">
        <v>9.7035999999999997E-2</v>
      </c>
      <c r="N1883">
        <v>3</v>
      </c>
      <c r="O1883" s="1" t="s">
        <v>560</v>
      </c>
      <c r="P1883">
        <v>271.81</v>
      </c>
      <c r="Q1883">
        <v>217.45</v>
      </c>
      <c r="R1883">
        <v>1</v>
      </c>
      <c r="S1883" s="1" t="s">
        <v>638</v>
      </c>
      <c r="T1883" s="1"/>
      <c r="U1883">
        <v>271.81400000000002</v>
      </c>
      <c r="V1883">
        <v>0</v>
      </c>
      <c r="W1883">
        <v>58106</v>
      </c>
    </row>
    <row r="1884" spans="1:23" x14ac:dyDescent="0.25">
      <c r="A1884" s="1" t="s">
        <v>32</v>
      </c>
      <c r="B1884" s="1" t="s">
        <v>68</v>
      </c>
      <c r="C1884" s="1" t="s">
        <v>163</v>
      </c>
      <c r="D1884">
        <v>5489</v>
      </c>
      <c r="E1884" s="1"/>
      <c r="F1884" s="1" t="s">
        <v>163</v>
      </c>
      <c r="G1884">
        <v>2008</v>
      </c>
      <c r="H1884">
        <v>1834.48</v>
      </c>
      <c r="I1884">
        <v>12</v>
      </c>
      <c r="J1884" s="1"/>
      <c r="K1884">
        <v>0</v>
      </c>
      <c r="L1884">
        <v>2801</v>
      </c>
      <c r="M1884">
        <v>0.654914</v>
      </c>
      <c r="N1884">
        <v>3</v>
      </c>
      <c r="O1884" s="1" t="s">
        <v>560</v>
      </c>
      <c r="P1884">
        <v>1834.48</v>
      </c>
      <c r="Q1884">
        <v>1467.59</v>
      </c>
      <c r="R1884">
        <v>1</v>
      </c>
      <c r="S1884" s="1" t="s">
        <v>637</v>
      </c>
      <c r="T1884" s="1"/>
      <c r="U1884">
        <v>1834.48</v>
      </c>
      <c r="V1884">
        <v>0</v>
      </c>
      <c r="W1884">
        <v>58005</v>
      </c>
    </row>
    <row r="1885" spans="1:23" x14ac:dyDescent="0.25">
      <c r="A1885" s="1" t="s">
        <v>32</v>
      </c>
      <c r="B1885" s="1" t="s">
        <v>68</v>
      </c>
      <c r="C1885" s="1" t="s">
        <v>163</v>
      </c>
      <c r="D1885">
        <v>5489</v>
      </c>
      <c r="E1885" s="1"/>
      <c r="F1885" s="1" t="s">
        <v>163</v>
      </c>
      <c r="G1885">
        <v>2008</v>
      </c>
      <c r="H1885">
        <v>258.20999999999998</v>
      </c>
      <c r="I1885">
        <v>12</v>
      </c>
      <c r="J1885" s="1"/>
      <c r="K1885">
        <v>0</v>
      </c>
      <c r="L1885">
        <v>2801</v>
      </c>
      <c r="M1885">
        <v>9.2180999999999999E-2</v>
      </c>
      <c r="N1885">
        <v>3</v>
      </c>
      <c r="O1885" s="1" t="s">
        <v>560</v>
      </c>
      <c r="P1885">
        <v>258.20999999999998</v>
      </c>
      <c r="Q1885">
        <v>206.59</v>
      </c>
      <c r="R1885">
        <v>1</v>
      </c>
      <c r="S1885" s="1" t="s">
        <v>638</v>
      </c>
      <c r="T1885" s="1"/>
      <c r="U1885">
        <v>258.22800000000001</v>
      </c>
      <c r="V1885">
        <v>0</v>
      </c>
      <c r="W1885">
        <v>58106</v>
      </c>
    </row>
    <row r="1886" spans="1:23" x14ac:dyDescent="0.25">
      <c r="A1886" s="1" t="s">
        <v>32</v>
      </c>
      <c r="B1886" s="1" t="s">
        <v>68</v>
      </c>
      <c r="C1886" s="1" t="s">
        <v>163</v>
      </c>
      <c r="D1886">
        <v>6031</v>
      </c>
      <c r="E1886" s="1"/>
      <c r="F1886" s="1" t="s">
        <v>295</v>
      </c>
      <c r="G1886">
        <v>2015</v>
      </c>
      <c r="H1886">
        <v>102.37</v>
      </c>
      <c r="I1886">
        <v>4</v>
      </c>
      <c r="J1886" s="1" t="s">
        <v>433</v>
      </c>
      <c r="K1886">
        <v>0</v>
      </c>
      <c r="L1886">
        <v>0</v>
      </c>
      <c r="M1886">
        <v>1023.7</v>
      </c>
      <c r="N1886">
        <v>3</v>
      </c>
      <c r="O1886" s="1" t="s">
        <v>560</v>
      </c>
      <c r="P1886">
        <v>102.37</v>
      </c>
      <c r="Q1886">
        <v>81.900000000000006</v>
      </c>
      <c r="R1886">
        <v>1</v>
      </c>
      <c r="S1886" s="1" t="s">
        <v>639</v>
      </c>
      <c r="T1886" s="1"/>
      <c r="U1886">
        <v>102.36666</v>
      </c>
      <c r="V1886">
        <v>0</v>
      </c>
      <c r="W1886">
        <v>60682</v>
      </c>
    </row>
    <row r="1887" spans="1:23" x14ac:dyDescent="0.25">
      <c r="A1887" s="1" t="s">
        <v>32</v>
      </c>
      <c r="B1887" s="1" t="s">
        <v>68</v>
      </c>
      <c r="C1887" s="1" t="s">
        <v>163</v>
      </c>
      <c r="D1887">
        <v>6031</v>
      </c>
      <c r="E1887" s="1"/>
      <c r="F1887" s="1" t="s">
        <v>295</v>
      </c>
      <c r="G1887">
        <v>2015</v>
      </c>
      <c r="H1887">
        <v>842.26</v>
      </c>
      <c r="I1887">
        <v>4</v>
      </c>
      <c r="J1887" s="1" t="s">
        <v>433</v>
      </c>
      <c r="K1887">
        <v>0</v>
      </c>
      <c r="L1887">
        <v>0</v>
      </c>
      <c r="M1887">
        <v>8422.6</v>
      </c>
      <c r="N1887">
        <v>3</v>
      </c>
      <c r="O1887" s="1" t="s">
        <v>560</v>
      </c>
      <c r="P1887">
        <v>842.26</v>
      </c>
      <c r="Q1887">
        <v>673.8</v>
      </c>
      <c r="R1887">
        <v>0</v>
      </c>
      <c r="S1887" s="1" t="s">
        <v>640</v>
      </c>
      <c r="T1887" s="1"/>
      <c r="U1887">
        <v>842.25554999999997</v>
      </c>
      <c r="V1887">
        <v>0</v>
      </c>
      <c r="W1887">
        <v>60683</v>
      </c>
    </row>
    <row r="1888" spans="1:23" x14ac:dyDescent="0.25">
      <c r="A1888" s="1" t="s">
        <v>32</v>
      </c>
      <c r="B1888" s="1" t="s">
        <v>68</v>
      </c>
      <c r="C1888" s="1" t="s">
        <v>163</v>
      </c>
      <c r="D1888">
        <v>6031</v>
      </c>
      <c r="E1888" s="1"/>
      <c r="F1888" s="1" t="s">
        <v>295</v>
      </c>
      <c r="G1888">
        <v>2015</v>
      </c>
      <c r="H1888">
        <v>0.68</v>
      </c>
      <c r="I1888">
        <v>4</v>
      </c>
      <c r="J1888" s="1" t="s">
        <v>433</v>
      </c>
      <c r="K1888">
        <v>0</v>
      </c>
      <c r="L1888">
        <v>0</v>
      </c>
      <c r="M1888">
        <v>6.8</v>
      </c>
      <c r="N1888">
        <v>3</v>
      </c>
      <c r="O1888" s="1" t="s">
        <v>560</v>
      </c>
      <c r="P1888">
        <v>0.68</v>
      </c>
      <c r="Q1888">
        <v>0.54</v>
      </c>
      <c r="R1888">
        <v>1</v>
      </c>
      <c r="S1888" s="1" t="s">
        <v>641</v>
      </c>
      <c r="T1888" s="1"/>
      <c r="U1888">
        <v>0.67722000000000004</v>
      </c>
      <c r="V1888">
        <v>0</v>
      </c>
      <c r="W1888">
        <v>62512</v>
      </c>
    </row>
    <row r="1889" spans="1:23" x14ac:dyDescent="0.25">
      <c r="A1889" s="1" t="s">
        <v>32</v>
      </c>
      <c r="B1889" s="1" t="s">
        <v>68</v>
      </c>
      <c r="C1889" s="1" t="s">
        <v>163</v>
      </c>
      <c r="D1889">
        <v>6031</v>
      </c>
      <c r="E1889" s="1"/>
      <c r="F1889" s="1" t="s">
        <v>295</v>
      </c>
      <c r="G1889">
        <v>2014</v>
      </c>
      <c r="H1889">
        <v>325.94</v>
      </c>
      <c r="I1889">
        <v>5</v>
      </c>
      <c r="J1889" s="1" t="s">
        <v>433</v>
      </c>
      <c r="K1889">
        <v>0</v>
      </c>
      <c r="L1889">
        <v>0</v>
      </c>
      <c r="M1889">
        <v>3259.4</v>
      </c>
      <c r="N1889">
        <v>3</v>
      </c>
      <c r="O1889" s="1" t="s">
        <v>560</v>
      </c>
      <c r="P1889">
        <v>325.94</v>
      </c>
      <c r="Q1889">
        <v>260.74</v>
      </c>
      <c r="R1889">
        <v>1</v>
      </c>
      <c r="S1889" s="1" t="s">
        <v>639</v>
      </c>
      <c r="T1889" s="1"/>
      <c r="U1889">
        <v>325.92865</v>
      </c>
      <c r="V1889">
        <v>0</v>
      </c>
      <c r="W1889">
        <v>60682</v>
      </c>
    </row>
    <row r="1890" spans="1:23" x14ac:dyDescent="0.25">
      <c r="A1890" s="1" t="s">
        <v>32</v>
      </c>
      <c r="B1890" s="1" t="s">
        <v>68</v>
      </c>
      <c r="C1890" s="1" t="s">
        <v>163</v>
      </c>
      <c r="D1890">
        <v>6031</v>
      </c>
      <c r="E1890" s="1"/>
      <c r="F1890" s="1" t="s">
        <v>295</v>
      </c>
      <c r="G1890">
        <v>2014</v>
      </c>
      <c r="H1890">
        <v>2252.7600000000002</v>
      </c>
      <c r="I1890">
        <v>5</v>
      </c>
      <c r="J1890" s="1" t="s">
        <v>433</v>
      </c>
      <c r="K1890">
        <v>0</v>
      </c>
      <c r="L1890">
        <v>0</v>
      </c>
      <c r="M1890">
        <v>22527.599999999999</v>
      </c>
      <c r="N1890">
        <v>3</v>
      </c>
      <c r="O1890" s="1" t="s">
        <v>560</v>
      </c>
      <c r="P1890">
        <v>2252.7600000000002</v>
      </c>
      <c r="Q1890">
        <v>1802.2</v>
      </c>
      <c r="R1890">
        <v>0</v>
      </c>
      <c r="S1890" s="1" t="s">
        <v>640</v>
      </c>
      <c r="T1890" s="1"/>
      <c r="U1890">
        <v>2252.7444500000001</v>
      </c>
      <c r="V1890">
        <v>0</v>
      </c>
      <c r="W1890">
        <v>60683</v>
      </c>
    </row>
    <row r="1891" spans="1:23" x14ac:dyDescent="0.25">
      <c r="A1891" s="1" t="s">
        <v>32</v>
      </c>
      <c r="B1891" s="1" t="s">
        <v>68</v>
      </c>
      <c r="C1891" s="1" t="s">
        <v>163</v>
      </c>
      <c r="D1891">
        <v>6031</v>
      </c>
      <c r="E1891" s="1"/>
      <c r="F1891" s="1" t="s">
        <v>295</v>
      </c>
      <c r="G1891">
        <v>2014</v>
      </c>
      <c r="H1891">
        <v>3.62</v>
      </c>
      <c r="I1891">
        <v>4</v>
      </c>
      <c r="J1891" s="1" t="s">
        <v>433</v>
      </c>
      <c r="K1891">
        <v>0</v>
      </c>
      <c r="L1891">
        <v>0</v>
      </c>
      <c r="M1891">
        <v>36.200000000000003</v>
      </c>
      <c r="N1891">
        <v>3</v>
      </c>
      <c r="O1891" s="1" t="s">
        <v>560</v>
      </c>
      <c r="P1891">
        <v>3.62</v>
      </c>
      <c r="Q1891">
        <v>2.91</v>
      </c>
      <c r="R1891">
        <v>1</v>
      </c>
      <c r="S1891" s="1" t="s">
        <v>641</v>
      </c>
      <c r="T1891" s="1"/>
      <c r="U1891">
        <v>3.6206999999999998</v>
      </c>
      <c r="V1891">
        <v>0</v>
      </c>
      <c r="W1891">
        <v>62512</v>
      </c>
    </row>
    <row r="1892" spans="1:23" x14ac:dyDescent="0.25">
      <c r="A1892" s="1" t="s">
        <v>32</v>
      </c>
      <c r="B1892" s="1" t="s">
        <v>68</v>
      </c>
      <c r="C1892" s="1" t="s">
        <v>163</v>
      </c>
      <c r="D1892">
        <v>6031</v>
      </c>
      <c r="E1892" s="1"/>
      <c r="F1892" s="1" t="s">
        <v>295</v>
      </c>
      <c r="G1892">
        <v>2013</v>
      </c>
      <c r="H1892">
        <v>310.39999999999998</v>
      </c>
      <c r="I1892">
        <v>11</v>
      </c>
      <c r="J1892" s="1" t="s">
        <v>433</v>
      </c>
      <c r="K1892">
        <v>0</v>
      </c>
      <c r="L1892">
        <v>0</v>
      </c>
      <c r="M1892">
        <v>3104</v>
      </c>
      <c r="N1892">
        <v>3</v>
      </c>
      <c r="O1892" s="1" t="s">
        <v>560</v>
      </c>
      <c r="P1892">
        <v>310.39999999999998</v>
      </c>
      <c r="Q1892">
        <v>248.32</v>
      </c>
      <c r="R1892">
        <v>1</v>
      </c>
      <c r="S1892" s="1" t="s">
        <v>639</v>
      </c>
      <c r="T1892" s="1"/>
      <c r="U1892">
        <v>310.3922</v>
      </c>
      <c r="V1892">
        <v>0</v>
      </c>
      <c r="W1892">
        <v>60682</v>
      </c>
    </row>
    <row r="1893" spans="1:23" x14ac:dyDescent="0.25">
      <c r="A1893" s="1" t="s">
        <v>32</v>
      </c>
      <c r="B1893" s="1" t="s">
        <v>68</v>
      </c>
      <c r="C1893" s="1" t="s">
        <v>163</v>
      </c>
      <c r="D1893">
        <v>6031</v>
      </c>
      <c r="E1893" s="1"/>
      <c r="F1893" s="1" t="s">
        <v>295</v>
      </c>
      <c r="G1893">
        <v>2013</v>
      </c>
      <c r="H1893">
        <v>661.36</v>
      </c>
      <c r="I1893">
        <v>2</v>
      </c>
      <c r="J1893" s="1" t="s">
        <v>433</v>
      </c>
      <c r="K1893">
        <v>0</v>
      </c>
      <c r="L1893">
        <v>0</v>
      </c>
      <c r="M1893">
        <v>6613.6</v>
      </c>
      <c r="N1893">
        <v>3</v>
      </c>
      <c r="O1893" s="1" t="s">
        <v>560</v>
      </c>
      <c r="P1893">
        <v>661.36</v>
      </c>
      <c r="Q1893">
        <v>529.11</v>
      </c>
      <c r="R1893">
        <v>0</v>
      </c>
      <c r="S1893" s="1" t="s">
        <v>640</v>
      </c>
      <c r="T1893" s="1"/>
      <c r="U1893">
        <v>661.37552000000005</v>
      </c>
      <c r="V1893">
        <v>0</v>
      </c>
      <c r="W1893">
        <v>60683</v>
      </c>
    </row>
    <row r="1894" spans="1:23" x14ac:dyDescent="0.25">
      <c r="A1894" s="1" t="s">
        <v>32</v>
      </c>
      <c r="B1894" s="1" t="s">
        <v>68</v>
      </c>
      <c r="C1894" s="1" t="s">
        <v>163</v>
      </c>
      <c r="D1894">
        <v>6031</v>
      </c>
      <c r="E1894" s="1"/>
      <c r="F1894" s="1" t="s">
        <v>295</v>
      </c>
      <c r="G1894">
        <v>2013</v>
      </c>
      <c r="H1894">
        <v>5.05</v>
      </c>
      <c r="I1894">
        <v>11</v>
      </c>
      <c r="J1894" s="1" t="s">
        <v>433</v>
      </c>
      <c r="K1894">
        <v>0</v>
      </c>
      <c r="L1894">
        <v>0</v>
      </c>
      <c r="M1894">
        <v>50.5</v>
      </c>
      <c r="N1894">
        <v>3</v>
      </c>
      <c r="O1894" s="1" t="s">
        <v>560</v>
      </c>
      <c r="P1894">
        <v>5.05</v>
      </c>
      <c r="Q1894">
        <v>4.03</v>
      </c>
      <c r="R1894">
        <v>1</v>
      </c>
      <c r="S1894" s="1" t="s">
        <v>641</v>
      </c>
      <c r="T1894" s="1"/>
      <c r="U1894">
        <v>5.0461600000000004</v>
      </c>
      <c r="V1894">
        <v>0</v>
      </c>
      <c r="W1894">
        <v>62512</v>
      </c>
    </row>
    <row r="1895" spans="1:23" x14ac:dyDescent="0.25">
      <c r="A1895" s="1" t="s">
        <v>32</v>
      </c>
      <c r="B1895" s="1" t="s">
        <v>68</v>
      </c>
      <c r="C1895" s="1" t="s">
        <v>163</v>
      </c>
      <c r="D1895">
        <v>6031</v>
      </c>
      <c r="E1895" s="1"/>
      <c r="F1895" s="1" t="s">
        <v>295</v>
      </c>
      <c r="G1895">
        <v>2012</v>
      </c>
      <c r="H1895">
        <v>239.85</v>
      </c>
      <c r="I1895">
        <v>10</v>
      </c>
      <c r="J1895" s="1" t="s">
        <v>433</v>
      </c>
      <c r="K1895">
        <v>0</v>
      </c>
      <c r="L1895">
        <v>0</v>
      </c>
      <c r="M1895">
        <v>2398.5</v>
      </c>
      <c r="N1895">
        <v>3</v>
      </c>
      <c r="O1895" s="1" t="s">
        <v>560</v>
      </c>
      <c r="P1895">
        <v>239.85</v>
      </c>
      <c r="Q1895">
        <v>191.89</v>
      </c>
      <c r="R1895">
        <v>1</v>
      </c>
      <c r="S1895" s="1" t="s">
        <v>639</v>
      </c>
      <c r="T1895" s="1"/>
      <c r="U1895">
        <v>239.84584000000001</v>
      </c>
      <c r="V1895">
        <v>0</v>
      </c>
      <c r="W1895">
        <v>60682</v>
      </c>
    </row>
    <row r="1896" spans="1:23" x14ac:dyDescent="0.25">
      <c r="A1896" s="1" t="s">
        <v>32</v>
      </c>
      <c r="B1896" s="1" t="s">
        <v>68</v>
      </c>
      <c r="C1896" s="1" t="s">
        <v>163</v>
      </c>
      <c r="D1896">
        <v>6031</v>
      </c>
      <c r="E1896" s="1"/>
      <c r="F1896" s="1" t="s">
        <v>295</v>
      </c>
      <c r="G1896">
        <v>2012</v>
      </c>
      <c r="H1896">
        <v>1813.82</v>
      </c>
      <c r="I1896">
        <v>9</v>
      </c>
      <c r="J1896" s="1" t="s">
        <v>433</v>
      </c>
      <c r="K1896">
        <v>0</v>
      </c>
      <c r="L1896">
        <v>0</v>
      </c>
      <c r="M1896">
        <v>18138.2</v>
      </c>
      <c r="N1896">
        <v>3</v>
      </c>
      <c r="O1896" s="1" t="s">
        <v>560</v>
      </c>
      <c r="P1896">
        <v>1813.82</v>
      </c>
      <c r="Q1896">
        <v>1451.04</v>
      </c>
      <c r="R1896">
        <v>0</v>
      </c>
      <c r="S1896" s="1" t="s">
        <v>640</v>
      </c>
      <c r="T1896" s="1"/>
      <c r="U1896">
        <v>1813.80908</v>
      </c>
      <c r="V1896">
        <v>0</v>
      </c>
      <c r="W1896">
        <v>60683</v>
      </c>
    </row>
    <row r="1897" spans="1:23" x14ac:dyDescent="0.25">
      <c r="A1897" s="1" t="s">
        <v>32</v>
      </c>
      <c r="B1897" s="1" t="s">
        <v>68</v>
      </c>
      <c r="C1897" s="1" t="s">
        <v>163</v>
      </c>
      <c r="D1897">
        <v>6031</v>
      </c>
      <c r="E1897" s="1"/>
      <c r="F1897" s="1" t="s">
        <v>295</v>
      </c>
      <c r="G1897">
        <v>2012</v>
      </c>
      <c r="H1897">
        <v>3.15</v>
      </c>
      <c r="I1897">
        <v>10</v>
      </c>
      <c r="J1897" s="1" t="s">
        <v>433</v>
      </c>
      <c r="K1897">
        <v>0</v>
      </c>
      <c r="L1897">
        <v>0</v>
      </c>
      <c r="M1897">
        <v>31.5</v>
      </c>
      <c r="N1897">
        <v>3</v>
      </c>
      <c r="O1897" s="1" t="s">
        <v>560</v>
      </c>
      <c r="P1897">
        <v>3.15</v>
      </c>
      <c r="Q1897">
        <v>2.52</v>
      </c>
      <c r="R1897">
        <v>1</v>
      </c>
      <c r="S1897" s="1" t="s">
        <v>641</v>
      </c>
      <c r="T1897" s="1"/>
      <c r="U1897">
        <v>3.1432699999999998</v>
      </c>
      <c r="V1897">
        <v>0</v>
      </c>
      <c r="W1897">
        <v>62512</v>
      </c>
    </row>
    <row r="1898" spans="1:23" x14ac:dyDescent="0.25">
      <c r="A1898" s="1" t="s">
        <v>32</v>
      </c>
      <c r="B1898" s="1" t="s">
        <v>68</v>
      </c>
      <c r="C1898" s="1" t="s">
        <v>163</v>
      </c>
      <c r="D1898">
        <v>6031</v>
      </c>
      <c r="E1898" s="1"/>
      <c r="F1898" s="1" t="s">
        <v>295</v>
      </c>
      <c r="G1898">
        <v>2011</v>
      </c>
      <c r="H1898">
        <v>393.51</v>
      </c>
      <c r="I1898">
        <v>11</v>
      </c>
      <c r="J1898" s="1" t="s">
        <v>433</v>
      </c>
      <c r="K1898">
        <v>0</v>
      </c>
      <c r="L1898">
        <v>0</v>
      </c>
      <c r="M1898">
        <v>3935.1</v>
      </c>
      <c r="N1898">
        <v>3</v>
      </c>
      <c r="O1898" s="1" t="s">
        <v>560</v>
      </c>
      <c r="P1898">
        <v>393.51</v>
      </c>
      <c r="Q1898">
        <v>314.8</v>
      </c>
      <c r="R1898">
        <v>1</v>
      </c>
      <c r="S1898" s="1" t="s">
        <v>639</v>
      </c>
      <c r="T1898" s="1"/>
      <c r="U1898">
        <v>393.49892</v>
      </c>
      <c r="V1898">
        <v>0</v>
      </c>
      <c r="W1898">
        <v>60682</v>
      </c>
    </row>
    <row r="1899" spans="1:23" x14ac:dyDescent="0.25">
      <c r="A1899" s="1" t="s">
        <v>32</v>
      </c>
      <c r="B1899" s="1" t="s">
        <v>68</v>
      </c>
      <c r="C1899" s="1" t="s">
        <v>163</v>
      </c>
      <c r="D1899">
        <v>6031</v>
      </c>
      <c r="E1899" s="1"/>
      <c r="F1899" s="1" t="s">
        <v>295</v>
      </c>
      <c r="G1899">
        <v>2011</v>
      </c>
      <c r="H1899">
        <v>1819.43</v>
      </c>
      <c r="I1899">
        <v>6</v>
      </c>
      <c r="J1899" s="1" t="s">
        <v>433</v>
      </c>
      <c r="K1899">
        <v>0</v>
      </c>
      <c r="L1899">
        <v>0</v>
      </c>
      <c r="M1899">
        <v>18194.3</v>
      </c>
      <c r="N1899">
        <v>3</v>
      </c>
      <c r="O1899" s="1" t="s">
        <v>560</v>
      </c>
      <c r="P1899">
        <v>1819.43</v>
      </c>
      <c r="Q1899">
        <v>1455.55</v>
      </c>
      <c r="R1899">
        <v>0</v>
      </c>
      <c r="S1899" s="1" t="s">
        <v>640</v>
      </c>
      <c r="T1899" s="1"/>
      <c r="U1899">
        <v>1819.42578</v>
      </c>
      <c r="V1899">
        <v>0</v>
      </c>
      <c r="W1899">
        <v>60683</v>
      </c>
    </row>
    <row r="1900" spans="1:23" x14ac:dyDescent="0.25">
      <c r="A1900" s="1" t="s">
        <v>32</v>
      </c>
      <c r="B1900" s="1" t="s">
        <v>68</v>
      </c>
      <c r="C1900" s="1" t="s">
        <v>163</v>
      </c>
      <c r="D1900">
        <v>6031</v>
      </c>
      <c r="E1900" s="1"/>
      <c r="F1900" s="1" t="s">
        <v>295</v>
      </c>
      <c r="G1900">
        <v>2011</v>
      </c>
      <c r="H1900">
        <v>3.59</v>
      </c>
      <c r="I1900">
        <v>11</v>
      </c>
      <c r="J1900" s="1" t="s">
        <v>433</v>
      </c>
      <c r="K1900">
        <v>0</v>
      </c>
      <c r="L1900">
        <v>0</v>
      </c>
      <c r="M1900">
        <v>35.9</v>
      </c>
      <c r="N1900">
        <v>3</v>
      </c>
      <c r="O1900" s="1" t="s">
        <v>560</v>
      </c>
      <c r="P1900">
        <v>3.59</v>
      </c>
      <c r="Q1900">
        <v>2.86</v>
      </c>
      <c r="R1900">
        <v>1</v>
      </c>
      <c r="S1900" s="1" t="s">
        <v>641</v>
      </c>
      <c r="T1900" s="1"/>
      <c r="U1900">
        <v>3.5871900000000001</v>
      </c>
      <c r="V1900">
        <v>0</v>
      </c>
      <c r="W1900">
        <v>62512</v>
      </c>
    </row>
    <row r="1901" spans="1:23" x14ac:dyDescent="0.25">
      <c r="A1901" s="1" t="s">
        <v>32</v>
      </c>
      <c r="B1901" s="1" t="s">
        <v>68</v>
      </c>
      <c r="C1901" s="1" t="s">
        <v>163</v>
      </c>
      <c r="D1901">
        <v>6031</v>
      </c>
      <c r="E1901" s="1"/>
      <c r="F1901" s="1" t="s">
        <v>295</v>
      </c>
      <c r="G1901">
        <v>2010</v>
      </c>
      <c r="H1901">
        <v>285.60000000000002</v>
      </c>
      <c r="I1901">
        <v>12</v>
      </c>
      <c r="J1901" s="1" t="s">
        <v>433</v>
      </c>
      <c r="K1901">
        <v>0</v>
      </c>
      <c r="L1901">
        <v>0</v>
      </c>
      <c r="M1901">
        <v>2856</v>
      </c>
      <c r="N1901">
        <v>3</v>
      </c>
      <c r="O1901" s="1" t="s">
        <v>560</v>
      </c>
      <c r="P1901">
        <v>285.60000000000002</v>
      </c>
      <c r="Q1901">
        <v>228.48</v>
      </c>
      <c r="R1901">
        <v>1</v>
      </c>
      <c r="S1901" s="1" t="s">
        <v>639</v>
      </c>
      <c r="T1901" s="1"/>
      <c r="U1901">
        <v>285.59931999999998</v>
      </c>
      <c r="V1901">
        <v>0</v>
      </c>
      <c r="W1901">
        <v>60682</v>
      </c>
    </row>
    <row r="1902" spans="1:23" x14ac:dyDescent="0.25">
      <c r="A1902" s="1" t="s">
        <v>32</v>
      </c>
      <c r="B1902" s="1" t="s">
        <v>68</v>
      </c>
      <c r="C1902" s="1" t="s">
        <v>163</v>
      </c>
      <c r="D1902">
        <v>6031</v>
      </c>
      <c r="E1902" s="1"/>
      <c r="F1902" s="1" t="s">
        <v>295</v>
      </c>
      <c r="G1902">
        <v>2010</v>
      </c>
      <c r="H1902">
        <v>2035.88</v>
      </c>
      <c r="I1902">
        <v>11</v>
      </c>
      <c r="J1902" s="1" t="s">
        <v>433</v>
      </c>
      <c r="K1902">
        <v>0</v>
      </c>
      <c r="L1902">
        <v>0</v>
      </c>
      <c r="M1902">
        <v>20358.8</v>
      </c>
      <c r="N1902">
        <v>3</v>
      </c>
      <c r="O1902" s="1" t="s">
        <v>560</v>
      </c>
      <c r="P1902">
        <v>2035.88</v>
      </c>
      <c r="Q1902">
        <v>1628.73</v>
      </c>
      <c r="R1902">
        <v>0</v>
      </c>
      <c r="S1902" s="1" t="s">
        <v>640</v>
      </c>
      <c r="T1902" s="1"/>
      <c r="U1902">
        <v>2035.8896</v>
      </c>
      <c r="V1902">
        <v>0</v>
      </c>
      <c r="W1902">
        <v>60683</v>
      </c>
    </row>
    <row r="1903" spans="1:23" x14ac:dyDescent="0.25">
      <c r="A1903" s="1" t="s">
        <v>32</v>
      </c>
      <c r="B1903" s="1" t="s">
        <v>68</v>
      </c>
      <c r="C1903" s="1" t="s">
        <v>163</v>
      </c>
      <c r="D1903">
        <v>6031</v>
      </c>
      <c r="E1903" s="1"/>
      <c r="F1903" s="1" t="s">
        <v>295</v>
      </c>
      <c r="G1903">
        <v>2010</v>
      </c>
      <c r="H1903">
        <v>6.53</v>
      </c>
      <c r="I1903">
        <v>12</v>
      </c>
      <c r="J1903" s="1" t="s">
        <v>433</v>
      </c>
      <c r="K1903">
        <v>0</v>
      </c>
      <c r="L1903">
        <v>0</v>
      </c>
      <c r="M1903">
        <v>65.3</v>
      </c>
      <c r="N1903">
        <v>3</v>
      </c>
      <c r="O1903" s="1" t="s">
        <v>560</v>
      </c>
      <c r="P1903">
        <v>6.53</v>
      </c>
      <c r="Q1903">
        <v>5.23</v>
      </c>
      <c r="R1903">
        <v>1</v>
      </c>
      <c r="S1903" s="1" t="s">
        <v>641</v>
      </c>
      <c r="T1903" s="1"/>
      <c r="U1903">
        <v>6.5260199999999999</v>
      </c>
      <c r="V1903">
        <v>0</v>
      </c>
      <c r="W1903">
        <v>62512</v>
      </c>
    </row>
    <row r="1904" spans="1:23" x14ac:dyDescent="0.25">
      <c r="A1904" s="1" t="s">
        <v>32</v>
      </c>
      <c r="B1904" s="1" t="s">
        <v>68</v>
      </c>
      <c r="C1904" s="1" t="s">
        <v>163</v>
      </c>
      <c r="D1904">
        <v>6031</v>
      </c>
      <c r="E1904" s="1"/>
      <c r="F1904" s="1" t="s">
        <v>295</v>
      </c>
      <c r="G1904">
        <v>2009</v>
      </c>
      <c r="H1904">
        <v>373.85</v>
      </c>
      <c r="I1904">
        <v>6</v>
      </c>
      <c r="J1904" s="1" t="s">
        <v>433</v>
      </c>
      <c r="K1904">
        <v>0</v>
      </c>
      <c r="L1904">
        <v>0</v>
      </c>
      <c r="M1904">
        <v>3738.5</v>
      </c>
      <c r="N1904">
        <v>3</v>
      </c>
      <c r="O1904" s="1" t="s">
        <v>560</v>
      </c>
      <c r="P1904">
        <v>373.85</v>
      </c>
      <c r="Q1904">
        <v>299.08</v>
      </c>
      <c r="R1904">
        <v>1</v>
      </c>
      <c r="S1904" s="1" t="s">
        <v>639</v>
      </c>
      <c r="T1904" s="1"/>
      <c r="U1904">
        <v>373.83902</v>
      </c>
      <c r="V1904">
        <v>0</v>
      </c>
      <c r="W1904">
        <v>60682</v>
      </c>
    </row>
    <row r="1905" spans="1:23" x14ac:dyDescent="0.25">
      <c r="A1905" s="1" t="s">
        <v>32</v>
      </c>
      <c r="B1905" s="1" t="s">
        <v>68</v>
      </c>
      <c r="C1905" s="1" t="s">
        <v>163</v>
      </c>
      <c r="D1905">
        <v>6031</v>
      </c>
      <c r="E1905" s="1"/>
      <c r="F1905" s="1" t="s">
        <v>295</v>
      </c>
      <c r="G1905">
        <v>2009</v>
      </c>
      <c r="H1905">
        <v>2287.0100000000002</v>
      </c>
      <c r="I1905">
        <v>13</v>
      </c>
      <c r="J1905" s="1" t="s">
        <v>433</v>
      </c>
      <c r="K1905">
        <v>0</v>
      </c>
      <c r="L1905">
        <v>0</v>
      </c>
      <c r="M1905">
        <v>22870.1</v>
      </c>
      <c r="N1905">
        <v>3</v>
      </c>
      <c r="O1905" s="1" t="s">
        <v>560</v>
      </c>
      <c r="P1905">
        <v>2287.0100000000002</v>
      </c>
      <c r="Q1905">
        <v>1829.61</v>
      </c>
      <c r="R1905">
        <v>0</v>
      </c>
      <c r="S1905" s="1" t="s">
        <v>640</v>
      </c>
      <c r="T1905" s="1"/>
      <c r="U1905">
        <v>2287.02943</v>
      </c>
      <c r="V1905">
        <v>0</v>
      </c>
      <c r="W1905">
        <v>60683</v>
      </c>
    </row>
    <row r="1906" spans="1:23" x14ac:dyDescent="0.25">
      <c r="A1906" s="1" t="s">
        <v>32</v>
      </c>
      <c r="B1906" s="1" t="s">
        <v>68</v>
      </c>
      <c r="C1906" s="1" t="s">
        <v>163</v>
      </c>
      <c r="D1906">
        <v>6031</v>
      </c>
      <c r="E1906" s="1"/>
      <c r="F1906" s="1" t="s">
        <v>295</v>
      </c>
      <c r="G1906">
        <v>2009</v>
      </c>
      <c r="H1906">
        <v>8.6199999999999992</v>
      </c>
      <c r="I1906">
        <v>12</v>
      </c>
      <c r="J1906" s="1" t="s">
        <v>433</v>
      </c>
      <c r="K1906">
        <v>0</v>
      </c>
      <c r="L1906">
        <v>0</v>
      </c>
      <c r="M1906">
        <v>86.2</v>
      </c>
      <c r="N1906">
        <v>3</v>
      </c>
      <c r="O1906" s="1" t="s">
        <v>560</v>
      </c>
      <c r="P1906">
        <v>8.6199999999999992</v>
      </c>
      <c r="Q1906">
        <v>6.88</v>
      </c>
      <c r="R1906">
        <v>1</v>
      </c>
      <c r="S1906" s="1" t="s">
        <v>641</v>
      </c>
      <c r="T1906" s="1"/>
      <c r="U1906">
        <v>8.6229999999999993</v>
      </c>
      <c r="V1906">
        <v>0</v>
      </c>
      <c r="W1906">
        <v>62512</v>
      </c>
    </row>
    <row r="1907" spans="1:23" x14ac:dyDescent="0.25">
      <c r="A1907" s="1" t="s">
        <v>32</v>
      </c>
      <c r="B1907" s="1" t="s">
        <v>68</v>
      </c>
      <c r="C1907" s="1" t="s">
        <v>163</v>
      </c>
      <c r="D1907">
        <v>6031</v>
      </c>
      <c r="E1907" s="1"/>
      <c r="F1907" s="1" t="s">
        <v>295</v>
      </c>
      <c r="G1907">
        <v>2008</v>
      </c>
      <c r="H1907">
        <v>328.78</v>
      </c>
      <c r="I1907">
        <v>12</v>
      </c>
      <c r="J1907" s="1" t="s">
        <v>433</v>
      </c>
      <c r="K1907">
        <v>0</v>
      </c>
      <c r="L1907">
        <v>0</v>
      </c>
      <c r="M1907">
        <v>3287.8</v>
      </c>
      <c r="N1907">
        <v>3</v>
      </c>
      <c r="O1907" s="1" t="s">
        <v>560</v>
      </c>
      <c r="P1907">
        <v>328.78</v>
      </c>
      <c r="Q1907">
        <v>263.02</v>
      </c>
      <c r="R1907">
        <v>1</v>
      </c>
      <c r="S1907" s="1" t="s">
        <v>639</v>
      </c>
      <c r="T1907" s="1"/>
      <c r="U1907">
        <v>328.78748000000002</v>
      </c>
      <c r="V1907">
        <v>0</v>
      </c>
      <c r="W1907">
        <v>60682</v>
      </c>
    </row>
    <row r="1908" spans="1:23" x14ac:dyDescent="0.25">
      <c r="A1908" s="1" t="s">
        <v>32</v>
      </c>
      <c r="B1908" s="1" t="s">
        <v>68</v>
      </c>
      <c r="C1908" s="1" t="s">
        <v>163</v>
      </c>
      <c r="D1908">
        <v>6031</v>
      </c>
      <c r="E1908" s="1"/>
      <c r="F1908" s="1" t="s">
        <v>295</v>
      </c>
      <c r="G1908">
        <v>2008</v>
      </c>
      <c r="H1908">
        <v>2100.79</v>
      </c>
      <c r="I1908">
        <v>12</v>
      </c>
      <c r="J1908" s="1" t="s">
        <v>433</v>
      </c>
      <c r="K1908">
        <v>0</v>
      </c>
      <c r="L1908">
        <v>0</v>
      </c>
      <c r="M1908">
        <v>21007.9</v>
      </c>
      <c r="N1908">
        <v>3</v>
      </c>
      <c r="O1908" s="1" t="s">
        <v>560</v>
      </c>
      <c r="P1908">
        <v>2100.79</v>
      </c>
      <c r="Q1908">
        <v>1680.64</v>
      </c>
      <c r="R1908">
        <v>0</v>
      </c>
      <c r="S1908" s="1" t="s">
        <v>640</v>
      </c>
      <c r="T1908" s="1"/>
      <c r="U1908">
        <v>2100.7931699999999</v>
      </c>
      <c r="V1908">
        <v>0</v>
      </c>
      <c r="W1908">
        <v>60683</v>
      </c>
    </row>
    <row r="1909" spans="1:23" x14ac:dyDescent="0.25">
      <c r="A1909" s="1" t="s">
        <v>32</v>
      </c>
      <c r="B1909" s="1" t="s">
        <v>68</v>
      </c>
      <c r="C1909" s="1" t="s">
        <v>163</v>
      </c>
      <c r="D1909">
        <v>6031</v>
      </c>
      <c r="E1909" s="1"/>
      <c r="F1909" s="1" t="s">
        <v>295</v>
      </c>
      <c r="G1909">
        <v>2008</v>
      </c>
      <c r="H1909">
        <v>5.0199999999999996</v>
      </c>
      <c r="I1909">
        <v>12</v>
      </c>
      <c r="J1909" s="1" t="s">
        <v>433</v>
      </c>
      <c r="K1909">
        <v>0</v>
      </c>
      <c r="L1909">
        <v>0</v>
      </c>
      <c r="M1909">
        <v>50.2</v>
      </c>
      <c r="N1909">
        <v>3</v>
      </c>
      <c r="O1909" s="1" t="s">
        <v>560</v>
      </c>
      <c r="P1909">
        <v>5.0199999999999996</v>
      </c>
      <c r="Q1909">
        <v>4.0199999999999996</v>
      </c>
      <c r="R1909">
        <v>1</v>
      </c>
      <c r="S1909" s="1" t="s">
        <v>641</v>
      </c>
      <c r="T1909" s="1"/>
      <c r="U1909">
        <v>5.0134400000000001</v>
      </c>
      <c r="V1909">
        <v>0</v>
      </c>
      <c r="W1909">
        <v>62512</v>
      </c>
    </row>
    <row r="1910" spans="1:23" x14ac:dyDescent="0.25">
      <c r="A1910" s="1" t="s">
        <v>32</v>
      </c>
      <c r="B1910" s="1"/>
      <c r="C1910" s="1" t="s">
        <v>164</v>
      </c>
      <c r="D1910">
        <v>10207</v>
      </c>
      <c r="E1910" s="1"/>
      <c r="F1910" s="1" t="s">
        <v>296</v>
      </c>
      <c r="G1910">
        <v>2015</v>
      </c>
      <c r="H1910">
        <v>59.65</v>
      </c>
      <c r="I1910">
        <v>5</v>
      </c>
      <c r="J1910" s="1" t="s">
        <v>426</v>
      </c>
      <c r="K1910">
        <v>0</v>
      </c>
      <c r="L1910">
        <v>505</v>
      </c>
      <c r="M1910">
        <v>0.11809500000000001</v>
      </c>
      <c r="N1910">
        <v>3</v>
      </c>
      <c r="O1910" s="1" t="s">
        <v>560</v>
      </c>
      <c r="P1910">
        <v>59.65</v>
      </c>
      <c r="Q1910">
        <v>47.73</v>
      </c>
      <c r="R1910">
        <v>0</v>
      </c>
      <c r="S1910" s="1" t="s">
        <v>642</v>
      </c>
      <c r="T1910" s="1"/>
      <c r="U1910">
        <v>59.661000000000001</v>
      </c>
      <c r="V1910">
        <v>0</v>
      </c>
      <c r="W1910">
        <v>77400</v>
      </c>
    </row>
    <row r="1911" spans="1:23" x14ac:dyDescent="0.25">
      <c r="A1911" s="1" t="s">
        <v>32</v>
      </c>
      <c r="B1911" s="1"/>
      <c r="C1911" s="1" t="s">
        <v>164</v>
      </c>
      <c r="D1911">
        <v>10207</v>
      </c>
      <c r="E1911" s="1"/>
      <c r="F1911" s="1" t="s">
        <v>296</v>
      </c>
      <c r="G1911">
        <v>2014</v>
      </c>
      <c r="H1911">
        <v>208.69</v>
      </c>
      <c r="I1911">
        <v>12</v>
      </c>
      <c r="J1911" s="1" t="s">
        <v>426</v>
      </c>
      <c r="K1911">
        <v>0</v>
      </c>
      <c r="L1911">
        <v>505</v>
      </c>
      <c r="M1911">
        <v>0.413165</v>
      </c>
      <c r="N1911">
        <v>3</v>
      </c>
      <c r="O1911" s="1" t="s">
        <v>560</v>
      </c>
      <c r="P1911">
        <v>208.69</v>
      </c>
      <c r="Q1911">
        <v>166.96</v>
      </c>
      <c r="R1911">
        <v>0</v>
      </c>
      <c r="S1911" s="1" t="s">
        <v>642</v>
      </c>
      <c r="T1911" s="1"/>
      <c r="U1911">
        <v>208.691</v>
      </c>
      <c r="V1911">
        <v>0</v>
      </c>
      <c r="W1911">
        <v>77400</v>
      </c>
    </row>
    <row r="1912" spans="1:23" x14ac:dyDescent="0.25">
      <c r="A1912" s="1" t="s">
        <v>32</v>
      </c>
      <c r="B1912" s="1"/>
      <c r="C1912" s="1" t="s">
        <v>164</v>
      </c>
      <c r="D1912">
        <v>10207</v>
      </c>
      <c r="E1912" s="1"/>
      <c r="F1912" s="1" t="s">
        <v>296</v>
      </c>
      <c r="G1912">
        <v>2013</v>
      </c>
      <c r="H1912">
        <v>296.47000000000003</v>
      </c>
      <c r="I1912">
        <v>12</v>
      </c>
      <c r="J1912" s="1" t="s">
        <v>426</v>
      </c>
      <c r="K1912">
        <v>0</v>
      </c>
      <c r="L1912">
        <v>505</v>
      </c>
      <c r="M1912">
        <v>0.58695299999999995</v>
      </c>
      <c r="N1912">
        <v>3</v>
      </c>
      <c r="O1912" s="1" t="s">
        <v>560</v>
      </c>
      <c r="P1912">
        <v>296.47000000000003</v>
      </c>
      <c r="Q1912">
        <v>237.18</v>
      </c>
      <c r="R1912">
        <v>0</v>
      </c>
      <c r="S1912" s="1" t="s">
        <v>642</v>
      </c>
      <c r="T1912" s="1"/>
      <c r="U1912">
        <v>296.46100000000001</v>
      </c>
      <c r="V1912">
        <v>0</v>
      </c>
      <c r="W1912">
        <v>77400</v>
      </c>
    </row>
    <row r="1913" spans="1:23" x14ac:dyDescent="0.25">
      <c r="A1913" s="1" t="s">
        <v>32</v>
      </c>
      <c r="B1913" s="1"/>
      <c r="C1913" s="1" t="s">
        <v>164</v>
      </c>
      <c r="D1913">
        <v>10207</v>
      </c>
      <c r="E1913" s="1"/>
      <c r="F1913" s="1" t="s">
        <v>296</v>
      </c>
      <c r="G1913">
        <v>2012</v>
      </c>
      <c r="H1913">
        <v>315.47000000000003</v>
      </c>
      <c r="I1913">
        <v>12</v>
      </c>
      <c r="J1913" s="1" t="s">
        <v>426</v>
      </c>
      <c r="K1913">
        <v>0</v>
      </c>
      <c r="L1913">
        <v>505</v>
      </c>
      <c r="M1913">
        <v>0.62456900000000004</v>
      </c>
      <c r="N1913">
        <v>3</v>
      </c>
      <c r="O1913" s="1" t="s">
        <v>560</v>
      </c>
      <c r="P1913">
        <v>315.47000000000003</v>
      </c>
      <c r="Q1913">
        <v>252.37</v>
      </c>
      <c r="R1913">
        <v>0</v>
      </c>
      <c r="S1913" s="1" t="s">
        <v>642</v>
      </c>
      <c r="T1913" s="1"/>
      <c r="U1913">
        <v>315.45600000000002</v>
      </c>
      <c r="V1913">
        <v>0</v>
      </c>
      <c r="W1913">
        <v>77400</v>
      </c>
    </row>
    <row r="1914" spans="1:23" x14ac:dyDescent="0.25">
      <c r="A1914" s="1" t="s">
        <v>32</v>
      </c>
      <c r="B1914" s="1"/>
      <c r="C1914" s="1" t="s">
        <v>164</v>
      </c>
      <c r="D1914">
        <v>10207</v>
      </c>
      <c r="E1914" s="1"/>
      <c r="F1914" s="1" t="s">
        <v>296</v>
      </c>
      <c r="G1914">
        <v>2011</v>
      </c>
      <c r="H1914">
        <v>514.64</v>
      </c>
      <c r="I1914">
        <v>2</v>
      </c>
      <c r="J1914" s="1" t="s">
        <v>426</v>
      </c>
      <c r="K1914">
        <v>0</v>
      </c>
      <c r="L1914">
        <v>505</v>
      </c>
      <c r="M1914">
        <v>1.0188870000000001</v>
      </c>
      <c r="N1914">
        <v>3</v>
      </c>
      <c r="O1914" s="1" t="s">
        <v>560</v>
      </c>
      <c r="P1914">
        <v>514.64</v>
      </c>
      <c r="Q1914">
        <v>411.7</v>
      </c>
      <c r="R1914">
        <v>0</v>
      </c>
      <c r="S1914" s="1" t="s">
        <v>642</v>
      </c>
      <c r="T1914" s="1"/>
      <c r="U1914">
        <v>514.65198999999996</v>
      </c>
      <c r="V1914">
        <v>0</v>
      </c>
      <c r="W1914">
        <v>77400</v>
      </c>
    </row>
    <row r="1915" spans="1:23" x14ac:dyDescent="0.25">
      <c r="A1915" s="1" t="s">
        <v>32</v>
      </c>
      <c r="B1915" s="1"/>
      <c r="C1915" s="1" t="s">
        <v>164</v>
      </c>
      <c r="D1915">
        <v>10207</v>
      </c>
      <c r="E1915" s="1"/>
      <c r="F1915" s="1" t="s">
        <v>296</v>
      </c>
      <c r="G1915">
        <v>2010</v>
      </c>
      <c r="H1915">
        <v>530.96</v>
      </c>
      <c r="I1915">
        <v>1</v>
      </c>
      <c r="J1915" s="1" t="s">
        <v>426</v>
      </c>
      <c r="K1915">
        <v>0</v>
      </c>
      <c r="L1915">
        <v>505</v>
      </c>
      <c r="M1915">
        <v>1.0511969999999999</v>
      </c>
      <c r="N1915">
        <v>3</v>
      </c>
      <c r="O1915" s="1" t="s">
        <v>560</v>
      </c>
      <c r="P1915">
        <v>530.96</v>
      </c>
      <c r="Q1915">
        <v>424.75</v>
      </c>
      <c r="R1915">
        <v>0</v>
      </c>
      <c r="S1915" s="1" t="s">
        <v>642</v>
      </c>
      <c r="T1915" s="1"/>
      <c r="U1915">
        <v>530.96369000000004</v>
      </c>
      <c r="V1915">
        <v>0</v>
      </c>
      <c r="W1915">
        <v>77400</v>
      </c>
    </row>
    <row r="1916" spans="1:23" x14ac:dyDescent="0.25">
      <c r="A1916" s="1" t="s">
        <v>32</v>
      </c>
      <c r="B1916" s="1"/>
      <c r="C1916" s="1" t="s">
        <v>164</v>
      </c>
      <c r="D1916">
        <v>10207</v>
      </c>
      <c r="E1916" s="1"/>
      <c r="F1916" s="1" t="s">
        <v>296</v>
      </c>
      <c r="G1916">
        <v>2009</v>
      </c>
      <c r="H1916">
        <v>603.91999999999996</v>
      </c>
      <c r="I1916">
        <v>0</v>
      </c>
      <c r="J1916" s="1" t="s">
        <v>426</v>
      </c>
      <c r="K1916">
        <v>0</v>
      </c>
      <c r="L1916">
        <v>505</v>
      </c>
      <c r="M1916">
        <v>1.1956439999999999</v>
      </c>
      <c r="N1916">
        <v>3</v>
      </c>
      <c r="O1916" s="1" t="s">
        <v>560</v>
      </c>
      <c r="P1916">
        <v>603.91999999999996</v>
      </c>
      <c r="Q1916">
        <v>483.11</v>
      </c>
      <c r="R1916">
        <v>0</v>
      </c>
      <c r="S1916" s="1" t="s">
        <v>642</v>
      </c>
      <c r="T1916" s="1"/>
      <c r="U1916">
        <v>603.89639</v>
      </c>
      <c r="V1916">
        <v>0</v>
      </c>
      <c r="W1916">
        <v>77400</v>
      </c>
    </row>
    <row r="1917" spans="1:23" x14ac:dyDescent="0.25">
      <c r="A1917" s="1" t="s">
        <v>32</v>
      </c>
      <c r="B1917" s="1"/>
      <c r="C1917" s="1" t="s">
        <v>164</v>
      </c>
      <c r="D1917">
        <v>10207</v>
      </c>
      <c r="E1917" s="1"/>
      <c r="F1917" s="1" t="s">
        <v>296</v>
      </c>
      <c r="G1917">
        <v>2008</v>
      </c>
      <c r="H1917">
        <v>566.9</v>
      </c>
      <c r="I1917">
        <v>4</v>
      </c>
      <c r="J1917" s="1" t="s">
        <v>426</v>
      </c>
      <c r="K1917">
        <v>0</v>
      </c>
      <c r="L1917">
        <v>505</v>
      </c>
      <c r="M1917">
        <v>1.122352</v>
      </c>
      <c r="N1917">
        <v>3</v>
      </c>
      <c r="O1917" s="1" t="s">
        <v>560</v>
      </c>
      <c r="P1917">
        <v>566.9</v>
      </c>
      <c r="Q1917">
        <v>453.5</v>
      </c>
      <c r="R1917">
        <v>0</v>
      </c>
      <c r="S1917" s="1" t="s">
        <v>642</v>
      </c>
      <c r="T1917" s="1"/>
      <c r="U1917">
        <v>566.86701000000005</v>
      </c>
      <c r="V1917">
        <v>0</v>
      </c>
      <c r="W1917">
        <v>77400</v>
      </c>
    </row>
    <row r="1918" spans="1:23" x14ac:dyDescent="0.25">
      <c r="A1918" s="1" t="s">
        <v>32</v>
      </c>
      <c r="B1918" s="1"/>
      <c r="C1918" s="1" t="s">
        <v>165</v>
      </c>
      <c r="D1918">
        <v>10204</v>
      </c>
      <c r="E1918" s="1"/>
      <c r="F1918" s="1" t="s">
        <v>297</v>
      </c>
      <c r="G1918">
        <v>2015</v>
      </c>
      <c r="H1918">
        <v>57.52</v>
      </c>
      <c r="I1918">
        <v>5</v>
      </c>
      <c r="J1918" s="1" t="s">
        <v>416</v>
      </c>
      <c r="K1918">
        <v>0</v>
      </c>
      <c r="L1918">
        <v>445</v>
      </c>
      <c r="M1918">
        <v>0.12922900000000001</v>
      </c>
      <c r="N1918">
        <v>3</v>
      </c>
      <c r="O1918" s="1" t="s">
        <v>560</v>
      </c>
      <c r="P1918">
        <v>57.52</v>
      </c>
      <c r="Q1918">
        <v>46.03</v>
      </c>
      <c r="R1918">
        <v>0</v>
      </c>
      <c r="S1918" s="1" t="s">
        <v>643</v>
      </c>
      <c r="T1918" s="1"/>
      <c r="U1918">
        <v>57.527000000000001</v>
      </c>
      <c r="V1918">
        <v>0</v>
      </c>
      <c r="W1918">
        <v>77387</v>
      </c>
    </row>
    <row r="1919" spans="1:23" x14ac:dyDescent="0.25">
      <c r="A1919" s="1" t="s">
        <v>32</v>
      </c>
      <c r="B1919" s="1"/>
      <c r="C1919" s="1" t="s">
        <v>165</v>
      </c>
      <c r="D1919">
        <v>10204</v>
      </c>
      <c r="E1919" s="1"/>
      <c r="F1919" s="1" t="s">
        <v>297</v>
      </c>
      <c r="G1919">
        <v>2014</v>
      </c>
      <c r="H1919">
        <v>162.13</v>
      </c>
      <c r="I1919">
        <v>12</v>
      </c>
      <c r="J1919" s="1" t="s">
        <v>416</v>
      </c>
      <c r="K1919">
        <v>0</v>
      </c>
      <c r="L1919">
        <v>445</v>
      </c>
      <c r="M1919">
        <v>0.364255</v>
      </c>
      <c r="N1919">
        <v>3</v>
      </c>
      <c r="O1919" s="1" t="s">
        <v>560</v>
      </c>
      <c r="P1919">
        <v>162.13</v>
      </c>
      <c r="Q1919">
        <v>129.71</v>
      </c>
      <c r="R1919">
        <v>0</v>
      </c>
      <c r="S1919" s="1" t="s">
        <v>643</v>
      </c>
      <c r="T1919" s="1"/>
      <c r="U1919">
        <v>162.12200000000001</v>
      </c>
      <c r="V1919">
        <v>0</v>
      </c>
      <c r="W1919">
        <v>77387</v>
      </c>
    </row>
    <row r="1920" spans="1:23" x14ac:dyDescent="0.25">
      <c r="A1920" s="1" t="s">
        <v>32</v>
      </c>
      <c r="B1920" s="1"/>
      <c r="C1920" s="1" t="s">
        <v>165</v>
      </c>
      <c r="D1920">
        <v>10204</v>
      </c>
      <c r="E1920" s="1"/>
      <c r="F1920" s="1" t="s">
        <v>297</v>
      </c>
      <c r="G1920">
        <v>2013</v>
      </c>
      <c r="H1920">
        <v>191.9</v>
      </c>
      <c r="I1920">
        <v>12</v>
      </c>
      <c r="J1920" s="1" t="s">
        <v>416</v>
      </c>
      <c r="K1920">
        <v>0</v>
      </c>
      <c r="L1920">
        <v>445</v>
      </c>
      <c r="M1920">
        <v>0.43113899999999999</v>
      </c>
      <c r="N1920">
        <v>3</v>
      </c>
      <c r="O1920" s="1" t="s">
        <v>560</v>
      </c>
      <c r="P1920">
        <v>191.9</v>
      </c>
      <c r="Q1920">
        <v>153.53</v>
      </c>
      <c r="R1920">
        <v>0</v>
      </c>
      <c r="S1920" s="1" t="s">
        <v>643</v>
      </c>
      <c r="T1920" s="1"/>
      <c r="U1920">
        <v>191.90799999999999</v>
      </c>
      <c r="V1920">
        <v>0</v>
      </c>
      <c r="W1920">
        <v>77387</v>
      </c>
    </row>
    <row r="1921" spans="1:23" x14ac:dyDescent="0.25">
      <c r="A1921" s="1" t="s">
        <v>32</v>
      </c>
      <c r="B1921" s="1"/>
      <c r="C1921" s="1" t="s">
        <v>165</v>
      </c>
      <c r="D1921">
        <v>10204</v>
      </c>
      <c r="E1921" s="1"/>
      <c r="F1921" s="1" t="s">
        <v>297</v>
      </c>
      <c r="G1921">
        <v>2012</v>
      </c>
      <c r="H1921">
        <v>200.06</v>
      </c>
      <c r="I1921">
        <v>12</v>
      </c>
      <c r="J1921" s="1" t="s">
        <v>416</v>
      </c>
      <c r="K1921">
        <v>0</v>
      </c>
      <c r="L1921">
        <v>445</v>
      </c>
      <c r="M1921">
        <v>0.44947199999999998</v>
      </c>
      <c r="N1921">
        <v>3</v>
      </c>
      <c r="O1921" s="1" t="s">
        <v>560</v>
      </c>
      <c r="P1921">
        <v>200.06</v>
      </c>
      <c r="Q1921">
        <v>160.04</v>
      </c>
      <c r="R1921">
        <v>0</v>
      </c>
      <c r="S1921" s="1" t="s">
        <v>643</v>
      </c>
      <c r="T1921" s="1"/>
      <c r="U1921">
        <v>200.047</v>
      </c>
      <c r="V1921">
        <v>0</v>
      </c>
      <c r="W1921">
        <v>77387</v>
      </c>
    </row>
    <row r="1922" spans="1:23" x14ac:dyDescent="0.25">
      <c r="A1922" s="1" t="s">
        <v>32</v>
      </c>
      <c r="B1922" s="1"/>
      <c r="C1922" s="1" t="s">
        <v>165</v>
      </c>
      <c r="D1922">
        <v>10204</v>
      </c>
      <c r="E1922" s="1"/>
      <c r="F1922" s="1" t="s">
        <v>297</v>
      </c>
      <c r="G1922">
        <v>2011</v>
      </c>
      <c r="H1922">
        <v>194.46</v>
      </c>
      <c r="I1922">
        <v>12</v>
      </c>
      <c r="J1922" s="1" t="s">
        <v>416</v>
      </c>
      <c r="K1922">
        <v>0</v>
      </c>
      <c r="L1922">
        <v>445</v>
      </c>
      <c r="M1922">
        <v>0.43689</v>
      </c>
      <c r="N1922">
        <v>3</v>
      </c>
      <c r="O1922" s="1" t="s">
        <v>560</v>
      </c>
      <c r="P1922">
        <v>194.46</v>
      </c>
      <c r="Q1922">
        <v>155.54</v>
      </c>
      <c r="R1922">
        <v>0</v>
      </c>
      <c r="S1922" s="1" t="s">
        <v>643</v>
      </c>
      <c r="T1922" s="1"/>
      <c r="U1922">
        <v>194.45099999999999</v>
      </c>
      <c r="V1922">
        <v>0</v>
      </c>
      <c r="W1922">
        <v>77387</v>
      </c>
    </row>
    <row r="1923" spans="1:23" x14ac:dyDescent="0.25">
      <c r="A1923" s="1" t="s">
        <v>32</v>
      </c>
      <c r="B1923" s="1"/>
      <c r="C1923" s="1" t="s">
        <v>165</v>
      </c>
      <c r="D1923">
        <v>10204</v>
      </c>
      <c r="E1923" s="1"/>
      <c r="F1923" s="1" t="s">
        <v>297</v>
      </c>
      <c r="G1923">
        <v>2010</v>
      </c>
      <c r="H1923">
        <v>145.16999999999999</v>
      </c>
      <c r="I1923">
        <v>8</v>
      </c>
      <c r="J1923" s="1" t="s">
        <v>416</v>
      </c>
      <c r="K1923">
        <v>0</v>
      </c>
      <c r="L1923">
        <v>445</v>
      </c>
      <c r="M1923">
        <v>0.32615100000000002</v>
      </c>
      <c r="N1923">
        <v>3</v>
      </c>
      <c r="O1923" s="1" t="s">
        <v>560</v>
      </c>
      <c r="P1923">
        <v>145.16999999999999</v>
      </c>
      <c r="Q1923">
        <v>116.13</v>
      </c>
      <c r="R1923">
        <v>0</v>
      </c>
      <c r="S1923" s="1" t="s">
        <v>643</v>
      </c>
      <c r="T1923" s="1"/>
      <c r="U1923">
        <v>145.16747000000001</v>
      </c>
      <c r="V1923">
        <v>0</v>
      </c>
      <c r="W1923">
        <v>77387</v>
      </c>
    </row>
    <row r="1924" spans="1:23" x14ac:dyDescent="0.25">
      <c r="A1924" s="1" t="s">
        <v>32</v>
      </c>
      <c r="B1924" s="1"/>
      <c r="C1924" s="1" t="s">
        <v>165</v>
      </c>
      <c r="D1924">
        <v>10204</v>
      </c>
      <c r="E1924" s="1"/>
      <c r="F1924" s="1" t="s">
        <v>297</v>
      </c>
      <c r="G1924">
        <v>2009</v>
      </c>
      <c r="H1924">
        <v>207.72</v>
      </c>
      <c r="I1924">
        <v>1</v>
      </c>
      <c r="J1924" s="1" t="s">
        <v>416</v>
      </c>
      <c r="K1924">
        <v>0</v>
      </c>
      <c r="L1924">
        <v>445</v>
      </c>
      <c r="M1924">
        <v>0.46668100000000001</v>
      </c>
      <c r="N1924">
        <v>3</v>
      </c>
      <c r="O1924" s="1" t="s">
        <v>560</v>
      </c>
      <c r="P1924">
        <v>207.72</v>
      </c>
      <c r="Q1924">
        <v>166.15</v>
      </c>
      <c r="R1924">
        <v>0</v>
      </c>
      <c r="S1924" s="1" t="s">
        <v>643</v>
      </c>
      <c r="T1924" s="1"/>
      <c r="U1924">
        <v>207.7199</v>
      </c>
      <c r="V1924">
        <v>0</v>
      </c>
      <c r="W1924">
        <v>77387</v>
      </c>
    </row>
    <row r="1925" spans="1:23" x14ac:dyDescent="0.25">
      <c r="A1925" s="1" t="s">
        <v>32</v>
      </c>
      <c r="B1925" s="1"/>
      <c r="C1925" s="1" t="s">
        <v>165</v>
      </c>
      <c r="D1925">
        <v>10204</v>
      </c>
      <c r="E1925" s="1"/>
      <c r="F1925" s="1" t="s">
        <v>297</v>
      </c>
      <c r="G1925">
        <v>2008</v>
      </c>
      <c r="H1925">
        <v>216.03</v>
      </c>
      <c r="I1925">
        <v>5</v>
      </c>
      <c r="J1925" s="1" t="s">
        <v>416</v>
      </c>
      <c r="K1925">
        <v>0</v>
      </c>
      <c r="L1925">
        <v>445</v>
      </c>
      <c r="M1925">
        <v>0.48535099999999998</v>
      </c>
      <c r="N1925">
        <v>3</v>
      </c>
      <c r="O1925" s="1" t="s">
        <v>560</v>
      </c>
      <c r="P1925">
        <v>216.03</v>
      </c>
      <c r="Q1925">
        <v>172.83</v>
      </c>
      <c r="R1925">
        <v>0</v>
      </c>
      <c r="S1925" s="1" t="s">
        <v>643</v>
      </c>
      <c r="T1925" s="1"/>
      <c r="U1925">
        <v>216.02709999999999</v>
      </c>
      <c r="V1925">
        <v>0</v>
      </c>
      <c r="W1925">
        <v>77387</v>
      </c>
    </row>
    <row r="1926" spans="1:23" x14ac:dyDescent="0.25">
      <c r="A1926" s="1" t="s">
        <v>32</v>
      </c>
      <c r="B1926" s="1" t="s">
        <v>69</v>
      </c>
      <c r="C1926" s="1" t="s">
        <v>166</v>
      </c>
      <c r="D1926">
        <v>13664</v>
      </c>
      <c r="E1926" s="1" t="s">
        <v>243</v>
      </c>
      <c r="F1926" s="1" t="s">
        <v>298</v>
      </c>
      <c r="G1926">
        <v>2015</v>
      </c>
      <c r="H1926">
        <v>2.4500000000000002</v>
      </c>
      <c r="I1926">
        <v>5</v>
      </c>
      <c r="J1926" s="1" t="s">
        <v>434</v>
      </c>
      <c r="K1926">
        <v>0</v>
      </c>
      <c r="L1926">
        <v>138</v>
      </c>
      <c r="M1926">
        <v>1.7739999999999999E-2</v>
      </c>
      <c r="N1926">
        <v>3</v>
      </c>
      <c r="O1926" s="1" t="s">
        <v>560</v>
      </c>
      <c r="P1926">
        <v>2.4500000000000002</v>
      </c>
      <c r="Q1926">
        <v>1.97</v>
      </c>
      <c r="R1926">
        <v>0</v>
      </c>
      <c r="S1926" s="1"/>
      <c r="T1926" s="1"/>
      <c r="U1926">
        <v>2.448</v>
      </c>
      <c r="V1926">
        <v>0</v>
      </c>
      <c r="W1926">
        <v>91256</v>
      </c>
    </row>
    <row r="1927" spans="1:23" x14ac:dyDescent="0.25">
      <c r="A1927" s="1" t="s">
        <v>32</v>
      </c>
      <c r="B1927" s="1" t="s">
        <v>69</v>
      </c>
      <c r="C1927" s="1" t="s">
        <v>166</v>
      </c>
      <c r="D1927">
        <v>13664</v>
      </c>
      <c r="E1927" s="1" t="s">
        <v>243</v>
      </c>
      <c r="F1927" s="1" t="s">
        <v>298</v>
      </c>
      <c r="G1927">
        <v>2014</v>
      </c>
      <c r="H1927">
        <v>17.37</v>
      </c>
      <c r="I1927">
        <v>12</v>
      </c>
      <c r="J1927" s="1" t="s">
        <v>434</v>
      </c>
      <c r="K1927">
        <v>0</v>
      </c>
      <c r="L1927">
        <v>138</v>
      </c>
      <c r="M1927">
        <v>0.125778</v>
      </c>
      <c r="N1927">
        <v>3</v>
      </c>
      <c r="O1927" s="1" t="s">
        <v>560</v>
      </c>
      <c r="P1927">
        <v>17.37</v>
      </c>
      <c r="Q1927">
        <v>13.9</v>
      </c>
      <c r="R1927">
        <v>0</v>
      </c>
      <c r="S1927" s="1"/>
      <c r="T1927" s="1"/>
      <c r="U1927">
        <v>17.375</v>
      </c>
      <c r="V1927">
        <v>0</v>
      </c>
      <c r="W1927">
        <v>91256</v>
      </c>
    </row>
    <row r="1928" spans="1:23" x14ac:dyDescent="0.25">
      <c r="A1928" s="1" t="s">
        <v>32</v>
      </c>
      <c r="B1928" s="1" t="s">
        <v>69</v>
      </c>
      <c r="C1928" s="1" t="s">
        <v>166</v>
      </c>
      <c r="D1928">
        <v>13664</v>
      </c>
      <c r="E1928" s="1" t="s">
        <v>243</v>
      </c>
      <c r="F1928" s="1" t="s">
        <v>298</v>
      </c>
      <c r="G1928">
        <v>2013</v>
      </c>
      <c r="H1928">
        <v>21.68</v>
      </c>
      <c r="I1928">
        <v>4</v>
      </c>
      <c r="J1928" s="1" t="s">
        <v>434</v>
      </c>
      <c r="K1928">
        <v>0</v>
      </c>
      <c r="L1928">
        <v>138</v>
      </c>
      <c r="M1928">
        <v>0.15698699999999999</v>
      </c>
      <c r="N1928">
        <v>3</v>
      </c>
      <c r="O1928" s="1" t="s">
        <v>560</v>
      </c>
      <c r="P1928">
        <v>21.68</v>
      </c>
      <c r="Q1928">
        <v>17.32</v>
      </c>
      <c r="R1928">
        <v>0</v>
      </c>
      <c r="S1928" s="1"/>
      <c r="T1928" s="1"/>
      <c r="U1928">
        <v>21.669530000000002</v>
      </c>
      <c r="V1928">
        <v>0</v>
      </c>
      <c r="W1928">
        <v>91256</v>
      </c>
    </row>
    <row r="1929" spans="1:23" x14ac:dyDescent="0.25">
      <c r="A1929" s="1" t="s">
        <v>32</v>
      </c>
      <c r="B1929" s="1" t="s">
        <v>69</v>
      </c>
      <c r="C1929" s="1" t="s">
        <v>166</v>
      </c>
      <c r="D1929">
        <v>13664</v>
      </c>
      <c r="E1929" s="1" t="s">
        <v>243</v>
      </c>
      <c r="F1929" s="1" t="s">
        <v>298</v>
      </c>
      <c r="G1929">
        <v>2012</v>
      </c>
      <c r="H1929">
        <v>0.1</v>
      </c>
      <c r="I1929">
        <v>1</v>
      </c>
      <c r="J1929" s="1" t="s">
        <v>434</v>
      </c>
      <c r="K1929">
        <v>0</v>
      </c>
      <c r="L1929">
        <v>138</v>
      </c>
      <c r="M1929">
        <v>7.2400000000000003E-4</v>
      </c>
      <c r="N1929">
        <v>3</v>
      </c>
      <c r="O1929" s="1" t="s">
        <v>560</v>
      </c>
      <c r="P1929">
        <v>0.1</v>
      </c>
      <c r="Q1929">
        <v>0.08</v>
      </c>
      <c r="R1929">
        <v>0</v>
      </c>
      <c r="S1929" s="1"/>
      <c r="T1929" s="1"/>
      <c r="U1929">
        <v>0.10446</v>
      </c>
      <c r="V1929">
        <v>0</v>
      </c>
      <c r="W1929">
        <v>91256</v>
      </c>
    </row>
    <row r="1930" spans="1:23" x14ac:dyDescent="0.25">
      <c r="A1930" s="1" t="s">
        <v>32</v>
      </c>
      <c r="B1930" s="1"/>
      <c r="C1930" s="1" t="s">
        <v>167</v>
      </c>
      <c r="D1930">
        <v>10179</v>
      </c>
      <c r="E1930" s="1"/>
      <c r="F1930" s="1" t="s">
        <v>299</v>
      </c>
      <c r="G1930">
        <v>2015</v>
      </c>
      <c r="H1930">
        <v>267.20999999999998</v>
      </c>
      <c r="I1930">
        <v>5</v>
      </c>
      <c r="J1930" s="1" t="s">
        <v>409</v>
      </c>
      <c r="K1930">
        <v>0</v>
      </c>
      <c r="L1930">
        <v>792</v>
      </c>
      <c r="M1930">
        <v>0.337343</v>
      </c>
      <c r="N1930">
        <v>3</v>
      </c>
      <c r="O1930" s="1" t="s">
        <v>560</v>
      </c>
      <c r="P1930">
        <v>267.20999999999998</v>
      </c>
      <c r="Q1930">
        <v>0</v>
      </c>
      <c r="R1930">
        <v>0</v>
      </c>
      <c r="S1930" s="1" t="s">
        <v>644</v>
      </c>
      <c r="T1930" s="1"/>
      <c r="U1930">
        <v>267.21100000000001</v>
      </c>
      <c r="V1930">
        <v>0</v>
      </c>
      <c r="W1930">
        <v>77211</v>
      </c>
    </row>
    <row r="1931" spans="1:23" x14ac:dyDescent="0.25">
      <c r="A1931" s="1" t="s">
        <v>32</v>
      </c>
      <c r="B1931" s="1"/>
      <c r="C1931" s="1" t="s">
        <v>167</v>
      </c>
      <c r="D1931">
        <v>10179</v>
      </c>
      <c r="E1931" s="1"/>
      <c r="F1931" s="1" t="s">
        <v>299</v>
      </c>
      <c r="G1931">
        <v>2014</v>
      </c>
      <c r="H1931">
        <v>592.84</v>
      </c>
      <c r="I1931">
        <v>12</v>
      </c>
      <c r="J1931" s="1" t="s">
        <v>409</v>
      </c>
      <c r="K1931">
        <v>0</v>
      </c>
      <c r="L1931">
        <v>792</v>
      </c>
      <c r="M1931">
        <v>0.74843999999999999</v>
      </c>
      <c r="N1931">
        <v>3</v>
      </c>
      <c r="O1931" s="1" t="s">
        <v>560</v>
      </c>
      <c r="P1931">
        <v>592.84</v>
      </c>
      <c r="Q1931">
        <v>0</v>
      </c>
      <c r="R1931">
        <v>0</v>
      </c>
      <c r="S1931" s="1" t="s">
        <v>644</v>
      </c>
      <c r="T1931" s="1"/>
      <c r="U1931">
        <v>592.83399999999995</v>
      </c>
      <c r="V1931">
        <v>0</v>
      </c>
      <c r="W1931">
        <v>77211</v>
      </c>
    </row>
    <row r="1932" spans="1:23" x14ac:dyDescent="0.25">
      <c r="A1932" s="1" t="s">
        <v>32</v>
      </c>
      <c r="B1932" s="1"/>
      <c r="C1932" s="1" t="s">
        <v>167</v>
      </c>
      <c r="D1932">
        <v>10179</v>
      </c>
      <c r="E1932" s="1"/>
      <c r="F1932" s="1" t="s">
        <v>299</v>
      </c>
      <c r="G1932">
        <v>2013</v>
      </c>
      <c r="H1932">
        <v>700.63</v>
      </c>
      <c r="I1932">
        <v>12</v>
      </c>
      <c r="J1932" s="1" t="s">
        <v>409</v>
      </c>
      <c r="K1932">
        <v>0</v>
      </c>
      <c r="L1932">
        <v>792</v>
      </c>
      <c r="M1932">
        <v>0.88452200000000003</v>
      </c>
      <c r="N1932">
        <v>3</v>
      </c>
      <c r="O1932" s="1" t="s">
        <v>560</v>
      </c>
      <c r="P1932">
        <v>700.63</v>
      </c>
      <c r="Q1932">
        <v>0</v>
      </c>
      <c r="R1932">
        <v>0</v>
      </c>
      <c r="S1932" s="1" t="s">
        <v>644</v>
      </c>
      <c r="T1932" s="1"/>
      <c r="U1932">
        <v>700.61500000000001</v>
      </c>
      <c r="V1932">
        <v>0</v>
      </c>
      <c r="W1932">
        <v>77211</v>
      </c>
    </row>
    <row r="1933" spans="1:23" x14ac:dyDescent="0.25">
      <c r="A1933" s="1" t="s">
        <v>32</v>
      </c>
      <c r="B1933" s="1"/>
      <c r="C1933" s="1" t="s">
        <v>167</v>
      </c>
      <c r="D1933">
        <v>10179</v>
      </c>
      <c r="E1933" s="1"/>
      <c r="F1933" s="1" t="s">
        <v>299</v>
      </c>
      <c r="G1933">
        <v>2012</v>
      </c>
      <c r="H1933">
        <v>737.68</v>
      </c>
      <c r="I1933">
        <v>12</v>
      </c>
      <c r="J1933" s="1" t="s">
        <v>409</v>
      </c>
      <c r="K1933">
        <v>0</v>
      </c>
      <c r="L1933">
        <v>792</v>
      </c>
      <c r="M1933">
        <v>0.93129600000000001</v>
      </c>
      <c r="N1933">
        <v>3</v>
      </c>
      <c r="O1933" s="1" t="s">
        <v>560</v>
      </c>
      <c r="P1933">
        <v>737.68</v>
      </c>
      <c r="Q1933">
        <v>0</v>
      </c>
      <c r="R1933">
        <v>0</v>
      </c>
      <c r="S1933" s="1" t="s">
        <v>644</v>
      </c>
      <c r="T1933" s="1"/>
      <c r="U1933">
        <v>737.69</v>
      </c>
      <c r="V1933">
        <v>0</v>
      </c>
      <c r="W1933">
        <v>77211</v>
      </c>
    </row>
    <row r="1934" spans="1:23" x14ac:dyDescent="0.25">
      <c r="A1934" s="1" t="s">
        <v>32</v>
      </c>
      <c r="B1934" s="1"/>
      <c r="C1934" s="1" t="s">
        <v>167</v>
      </c>
      <c r="D1934">
        <v>10179</v>
      </c>
      <c r="E1934" s="1"/>
      <c r="F1934" s="1" t="s">
        <v>299</v>
      </c>
      <c r="G1934">
        <v>2011</v>
      </c>
      <c r="H1934">
        <v>867.27</v>
      </c>
      <c r="I1934">
        <v>12</v>
      </c>
      <c r="J1934" s="1" t="s">
        <v>409</v>
      </c>
      <c r="K1934">
        <v>0</v>
      </c>
      <c r="L1934">
        <v>792</v>
      </c>
      <c r="M1934">
        <v>1.0948990000000001</v>
      </c>
      <c r="N1934">
        <v>3</v>
      </c>
      <c r="O1934" s="1" t="s">
        <v>560</v>
      </c>
      <c r="P1934">
        <v>867.27</v>
      </c>
      <c r="Q1934">
        <v>0</v>
      </c>
      <c r="R1934">
        <v>0</v>
      </c>
      <c r="S1934" s="1" t="s">
        <v>644</v>
      </c>
      <c r="T1934" s="1"/>
      <c r="U1934">
        <v>867.26300000000003</v>
      </c>
      <c r="V1934">
        <v>0</v>
      </c>
      <c r="W1934">
        <v>77211</v>
      </c>
    </row>
    <row r="1935" spans="1:23" x14ac:dyDescent="0.25">
      <c r="A1935" s="1" t="s">
        <v>32</v>
      </c>
      <c r="B1935" s="1"/>
      <c r="C1935" s="1" t="s">
        <v>167</v>
      </c>
      <c r="D1935">
        <v>10179</v>
      </c>
      <c r="E1935" s="1"/>
      <c r="F1935" s="1" t="s">
        <v>299</v>
      </c>
      <c r="G1935">
        <v>2010</v>
      </c>
      <c r="H1935">
        <v>897.14</v>
      </c>
      <c r="I1935">
        <v>9</v>
      </c>
      <c r="J1935" s="1" t="s">
        <v>409</v>
      </c>
      <c r="K1935">
        <v>0</v>
      </c>
      <c r="L1935">
        <v>792</v>
      </c>
      <c r="M1935">
        <v>1.132609</v>
      </c>
      <c r="N1935">
        <v>3</v>
      </c>
      <c r="O1935" s="1" t="s">
        <v>560</v>
      </c>
      <c r="P1935">
        <v>897.14</v>
      </c>
      <c r="Q1935">
        <v>0</v>
      </c>
      <c r="R1935">
        <v>0</v>
      </c>
      <c r="S1935" s="1" t="s">
        <v>644</v>
      </c>
      <c r="T1935" s="1"/>
      <c r="U1935">
        <v>897.13383999999996</v>
      </c>
      <c r="V1935">
        <v>0</v>
      </c>
      <c r="W1935">
        <v>77211</v>
      </c>
    </row>
    <row r="1936" spans="1:23" x14ac:dyDescent="0.25">
      <c r="A1936" s="1" t="s">
        <v>32</v>
      </c>
      <c r="B1936" s="1"/>
      <c r="C1936" s="1" t="s">
        <v>167</v>
      </c>
      <c r="D1936">
        <v>10179</v>
      </c>
      <c r="E1936" s="1"/>
      <c r="F1936" s="1" t="s">
        <v>299</v>
      </c>
      <c r="G1936">
        <v>2009</v>
      </c>
      <c r="H1936">
        <v>1097.1099999999999</v>
      </c>
      <c r="I1936">
        <v>2</v>
      </c>
      <c r="J1936" s="1" t="s">
        <v>409</v>
      </c>
      <c r="K1936">
        <v>0</v>
      </c>
      <c r="L1936">
        <v>792</v>
      </c>
      <c r="M1936">
        <v>1.385065</v>
      </c>
      <c r="N1936">
        <v>3</v>
      </c>
      <c r="O1936" s="1" t="s">
        <v>560</v>
      </c>
      <c r="P1936">
        <v>1097.1099999999999</v>
      </c>
      <c r="Q1936">
        <v>0</v>
      </c>
      <c r="R1936">
        <v>0</v>
      </c>
      <c r="S1936" s="1" t="s">
        <v>644</v>
      </c>
      <c r="T1936" s="1"/>
      <c r="U1936">
        <v>1097.0716600000001</v>
      </c>
      <c r="V1936">
        <v>0</v>
      </c>
      <c r="W1936">
        <v>77211</v>
      </c>
    </row>
    <row r="1937" spans="1:23" x14ac:dyDescent="0.25">
      <c r="A1937" s="1" t="s">
        <v>32</v>
      </c>
      <c r="B1937" s="1"/>
      <c r="C1937" s="1" t="s">
        <v>167</v>
      </c>
      <c r="D1937">
        <v>10179</v>
      </c>
      <c r="E1937" s="1"/>
      <c r="F1937" s="1" t="s">
        <v>299</v>
      </c>
      <c r="G1937">
        <v>2008</v>
      </c>
      <c r="H1937">
        <v>1200.54</v>
      </c>
      <c r="I1937">
        <v>5</v>
      </c>
      <c r="J1937" s="1" t="s">
        <v>409</v>
      </c>
      <c r="K1937">
        <v>0</v>
      </c>
      <c r="L1937">
        <v>792</v>
      </c>
      <c r="M1937">
        <v>1.515641</v>
      </c>
      <c r="N1937">
        <v>3</v>
      </c>
      <c r="O1937" s="1" t="s">
        <v>560</v>
      </c>
      <c r="P1937">
        <v>1200.54</v>
      </c>
      <c r="Q1937">
        <v>0</v>
      </c>
      <c r="R1937">
        <v>0</v>
      </c>
      <c r="S1937" s="1" t="s">
        <v>644</v>
      </c>
      <c r="T1937" s="1"/>
      <c r="U1937">
        <v>1200.5423800000001</v>
      </c>
      <c r="V1937">
        <v>0</v>
      </c>
      <c r="W1937">
        <v>77211</v>
      </c>
    </row>
    <row r="1938" spans="1:23" x14ac:dyDescent="0.25">
      <c r="A1938" s="1" t="s">
        <v>32</v>
      </c>
      <c r="B1938" s="1" t="s">
        <v>70</v>
      </c>
      <c r="C1938" s="1" t="s">
        <v>168</v>
      </c>
      <c r="D1938">
        <v>13667</v>
      </c>
      <c r="E1938" s="1" t="s">
        <v>243</v>
      </c>
      <c r="F1938" s="1" t="s">
        <v>300</v>
      </c>
      <c r="G1938">
        <v>2014</v>
      </c>
      <c r="H1938">
        <v>1026.02</v>
      </c>
      <c r="I1938">
        <v>3</v>
      </c>
      <c r="J1938" s="1" t="s">
        <v>414</v>
      </c>
      <c r="K1938">
        <v>0</v>
      </c>
      <c r="L1938">
        <v>292</v>
      </c>
      <c r="M1938">
        <v>3.5125639999999998</v>
      </c>
      <c r="N1938">
        <v>3</v>
      </c>
      <c r="O1938" s="1" t="s">
        <v>560</v>
      </c>
      <c r="P1938">
        <v>1026.02</v>
      </c>
      <c r="Q1938">
        <v>820.79</v>
      </c>
      <c r="R1938">
        <v>0</v>
      </c>
      <c r="S1938" s="1" t="s">
        <v>645</v>
      </c>
      <c r="T1938" s="1"/>
      <c r="U1938">
        <v>1026</v>
      </c>
      <c r="V1938">
        <v>0</v>
      </c>
      <c r="W1938">
        <v>91263</v>
      </c>
    </row>
    <row r="1939" spans="1:23" x14ac:dyDescent="0.25">
      <c r="A1939" s="1" t="s">
        <v>32</v>
      </c>
      <c r="B1939" s="1" t="s">
        <v>70</v>
      </c>
      <c r="C1939" s="1" t="s">
        <v>168</v>
      </c>
      <c r="D1939">
        <v>13667</v>
      </c>
      <c r="E1939" s="1" t="s">
        <v>243</v>
      </c>
      <c r="F1939" s="1" t="s">
        <v>300</v>
      </c>
      <c r="G1939">
        <v>2014</v>
      </c>
      <c r="H1939">
        <v>274.85000000000002</v>
      </c>
      <c r="I1939">
        <v>3</v>
      </c>
      <c r="J1939" s="1" t="s">
        <v>414</v>
      </c>
      <c r="K1939">
        <v>0</v>
      </c>
      <c r="L1939">
        <v>292</v>
      </c>
      <c r="M1939">
        <v>0.940944</v>
      </c>
      <c r="N1939">
        <v>3</v>
      </c>
      <c r="O1939" s="1" t="s">
        <v>560</v>
      </c>
      <c r="P1939">
        <v>274.85000000000002</v>
      </c>
      <c r="Q1939">
        <v>219.87</v>
      </c>
      <c r="R1939">
        <v>0</v>
      </c>
      <c r="S1939" s="1" t="s">
        <v>646</v>
      </c>
      <c r="T1939" s="1"/>
      <c r="U1939">
        <v>274.84832</v>
      </c>
      <c r="V1939">
        <v>0</v>
      </c>
      <c r="W1939">
        <v>93572</v>
      </c>
    </row>
    <row r="1940" spans="1:23" x14ac:dyDescent="0.25">
      <c r="A1940" s="1" t="s">
        <v>32</v>
      </c>
      <c r="B1940" s="1" t="s">
        <v>70</v>
      </c>
      <c r="C1940" s="1" t="s">
        <v>168</v>
      </c>
      <c r="D1940">
        <v>13667</v>
      </c>
      <c r="E1940" s="1" t="s">
        <v>243</v>
      </c>
      <c r="F1940" s="1" t="s">
        <v>300</v>
      </c>
      <c r="G1940">
        <v>2013</v>
      </c>
      <c r="H1940">
        <v>642.82000000000005</v>
      </c>
      <c r="I1940">
        <v>2</v>
      </c>
      <c r="J1940" s="1" t="s">
        <v>414</v>
      </c>
      <c r="K1940">
        <v>0</v>
      </c>
      <c r="L1940">
        <v>292</v>
      </c>
      <c r="M1940">
        <v>2.2006839999999999</v>
      </c>
      <c r="N1940">
        <v>3</v>
      </c>
      <c r="O1940" s="1" t="s">
        <v>560</v>
      </c>
      <c r="P1940">
        <v>642.82000000000005</v>
      </c>
      <c r="Q1940">
        <v>514.25</v>
      </c>
      <c r="R1940">
        <v>0</v>
      </c>
      <c r="S1940" s="1" t="s">
        <v>645</v>
      </c>
      <c r="T1940" s="1"/>
      <c r="U1940">
        <v>642.83848</v>
      </c>
      <c r="V1940">
        <v>0</v>
      </c>
      <c r="W1940">
        <v>91263</v>
      </c>
    </row>
    <row r="1941" spans="1:23" x14ac:dyDescent="0.25">
      <c r="A1941" s="1" t="s">
        <v>32</v>
      </c>
      <c r="B1941" s="1" t="s">
        <v>70</v>
      </c>
      <c r="C1941" s="1" t="s">
        <v>168</v>
      </c>
      <c r="D1941">
        <v>13667</v>
      </c>
      <c r="E1941" s="1" t="s">
        <v>243</v>
      </c>
      <c r="F1941" s="1" t="s">
        <v>300</v>
      </c>
      <c r="G1941">
        <v>2013</v>
      </c>
      <c r="H1941">
        <v>36.15</v>
      </c>
      <c r="I1941">
        <v>2</v>
      </c>
      <c r="J1941" s="1" t="s">
        <v>414</v>
      </c>
      <c r="K1941">
        <v>0</v>
      </c>
      <c r="L1941">
        <v>292</v>
      </c>
      <c r="M1941">
        <v>0.12375800000000001</v>
      </c>
      <c r="N1941">
        <v>3</v>
      </c>
      <c r="O1941" s="1" t="s">
        <v>560</v>
      </c>
      <c r="P1941">
        <v>36.15</v>
      </c>
      <c r="Q1941">
        <v>28.93</v>
      </c>
      <c r="R1941">
        <v>0</v>
      </c>
      <c r="S1941" s="1" t="s">
        <v>646</v>
      </c>
      <c r="T1941" s="1"/>
      <c r="U1941">
        <v>36.151679999999999</v>
      </c>
      <c r="V1941">
        <v>0</v>
      </c>
      <c r="W1941">
        <v>93572</v>
      </c>
    </row>
    <row r="1942" spans="1:23" x14ac:dyDescent="0.25">
      <c r="A1942" s="1" t="s">
        <v>32</v>
      </c>
      <c r="B1942" s="1" t="s">
        <v>70</v>
      </c>
      <c r="C1942" s="1" t="s">
        <v>168</v>
      </c>
      <c r="D1942">
        <v>13667</v>
      </c>
      <c r="E1942" s="1" t="s">
        <v>243</v>
      </c>
      <c r="F1942" s="1" t="s">
        <v>300</v>
      </c>
      <c r="G1942">
        <v>2012</v>
      </c>
      <c r="H1942">
        <v>932.59</v>
      </c>
      <c r="I1942">
        <v>0</v>
      </c>
      <c r="J1942" s="1" t="s">
        <v>414</v>
      </c>
      <c r="K1942">
        <v>0</v>
      </c>
      <c r="L1942">
        <v>292</v>
      </c>
      <c r="M1942">
        <v>3.192707</v>
      </c>
      <c r="N1942">
        <v>3</v>
      </c>
      <c r="O1942" s="1" t="s">
        <v>560</v>
      </c>
      <c r="P1942">
        <v>932.59</v>
      </c>
      <c r="Q1942">
        <v>746.05</v>
      </c>
      <c r="R1942">
        <v>0</v>
      </c>
      <c r="S1942" s="1" t="s">
        <v>645</v>
      </c>
      <c r="T1942" s="1"/>
      <c r="U1942">
        <v>932.61335999999994</v>
      </c>
      <c r="V1942">
        <v>0</v>
      </c>
      <c r="W1942">
        <v>91263</v>
      </c>
    </row>
    <row r="1943" spans="1:23" x14ac:dyDescent="0.25">
      <c r="A1943" s="1" t="s">
        <v>32</v>
      </c>
      <c r="B1943" s="1" t="s">
        <v>70</v>
      </c>
      <c r="C1943" s="1" t="s">
        <v>168</v>
      </c>
      <c r="D1943">
        <v>13667</v>
      </c>
      <c r="E1943" s="1" t="s">
        <v>243</v>
      </c>
      <c r="F1943" s="1" t="s">
        <v>300</v>
      </c>
      <c r="G1943">
        <v>2011</v>
      </c>
      <c r="H1943">
        <v>2.5499999999999998</v>
      </c>
      <c r="I1943">
        <v>1</v>
      </c>
      <c r="J1943" s="1" t="s">
        <v>414</v>
      </c>
      <c r="K1943">
        <v>0</v>
      </c>
      <c r="L1943">
        <v>292</v>
      </c>
      <c r="M1943">
        <v>8.7290000000000006E-3</v>
      </c>
      <c r="N1943">
        <v>3</v>
      </c>
      <c r="O1943" s="1" t="s">
        <v>560</v>
      </c>
      <c r="P1943">
        <v>2.5499999999999998</v>
      </c>
      <c r="Q1943">
        <v>2.04</v>
      </c>
      <c r="R1943">
        <v>0</v>
      </c>
      <c r="S1943" s="1" t="s">
        <v>645</v>
      </c>
      <c r="T1943" s="1"/>
      <c r="U1943">
        <v>2.5481199999999999</v>
      </c>
      <c r="V1943">
        <v>0</v>
      </c>
      <c r="W1943">
        <v>91263</v>
      </c>
    </row>
    <row r="1944" spans="1:23" x14ac:dyDescent="0.25">
      <c r="A1944" s="1" t="s">
        <v>32</v>
      </c>
      <c r="B1944" s="1" t="s">
        <v>67</v>
      </c>
      <c r="C1944" s="1" t="s">
        <v>160</v>
      </c>
      <c r="D1944">
        <v>6354</v>
      </c>
      <c r="E1944" s="1"/>
      <c r="F1944" s="1" t="s">
        <v>293</v>
      </c>
      <c r="G1944">
        <v>2015</v>
      </c>
      <c r="H1944">
        <v>4077</v>
      </c>
      <c r="I1944">
        <v>5</v>
      </c>
      <c r="J1944" s="1" t="s">
        <v>411</v>
      </c>
      <c r="K1944">
        <v>0</v>
      </c>
      <c r="L1944">
        <v>196</v>
      </c>
      <c r="M1944">
        <v>20.790413000000001</v>
      </c>
      <c r="N1944">
        <v>1</v>
      </c>
      <c r="O1944" s="1" t="s">
        <v>565</v>
      </c>
      <c r="P1944">
        <v>4778.37</v>
      </c>
      <c r="Q1944">
        <v>305.81</v>
      </c>
      <c r="R1944">
        <v>0</v>
      </c>
      <c r="S1944" s="1" t="s">
        <v>812</v>
      </c>
      <c r="T1944" s="1"/>
      <c r="U1944">
        <v>4.077</v>
      </c>
      <c r="V1944">
        <v>0</v>
      </c>
      <c r="W1944">
        <v>62636</v>
      </c>
    </row>
    <row r="1945" spans="1:23" x14ac:dyDescent="0.25">
      <c r="A1945" s="1" t="s">
        <v>32</v>
      </c>
      <c r="B1945" s="1" t="s">
        <v>67</v>
      </c>
      <c r="C1945" s="1" t="s">
        <v>160</v>
      </c>
      <c r="D1945">
        <v>6354</v>
      </c>
      <c r="E1945" s="1"/>
      <c r="F1945" s="1" t="s">
        <v>293</v>
      </c>
      <c r="G1945">
        <v>2014</v>
      </c>
      <c r="H1945">
        <v>6864</v>
      </c>
      <c r="I1945">
        <v>12</v>
      </c>
      <c r="J1945" s="1" t="s">
        <v>411</v>
      </c>
      <c r="K1945">
        <v>0</v>
      </c>
      <c r="L1945">
        <v>196</v>
      </c>
      <c r="M1945">
        <v>35.002549000000002</v>
      </c>
      <c r="N1945">
        <v>1</v>
      </c>
      <c r="O1945" s="1" t="s">
        <v>565</v>
      </c>
      <c r="P1945">
        <v>8260.4</v>
      </c>
      <c r="Q1945">
        <v>528.67999999999995</v>
      </c>
      <c r="R1945">
        <v>0</v>
      </c>
      <c r="S1945" s="1" t="s">
        <v>812</v>
      </c>
      <c r="T1945" s="1"/>
      <c r="U1945">
        <v>6.8639999999999999</v>
      </c>
      <c r="V1945">
        <v>0</v>
      </c>
      <c r="W1945">
        <v>62636</v>
      </c>
    </row>
    <row r="1946" spans="1:23" x14ac:dyDescent="0.25">
      <c r="A1946" s="1" t="s">
        <v>32</v>
      </c>
      <c r="B1946" s="1" t="s">
        <v>67</v>
      </c>
      <c r="C1946" s="1" t="s">
        <v>160</v>
      </c>
      <c r="D1946">
        <v>6354</v>
      </c>
      <c r="E1946" s="1"/>
      <c r="F1946" s="1" t="s">
        <v>293</v>
      </c>
      <c r="G1946">
        <v>2013</v>
      </c>
      <c r="H1946">
        <v>8678</v>
      </c>
      <c r="I1946">
        <v>12</v>
      </c>
      <c r="J1946" s="1" t="s">
        <v>411</v>
      </c>
      <c r="K1946">
        <v>0</v>
      </c>
      <c r="L1946">
        <v>196</v>
      </c>
      <c r="M1946">
        <v>44.252932000000001</v>
      </c>
      <c r="N1946">
        <v>1</v>
      </c>
      <c r="O1946" s="1" t="s">
        <v>565</v>
      </c>
      <c r="P1946">
        <v>9023.92</v>
      </c>
      <c r="Q1946">
        <v>577.52</v>
      </c>
      <c r="R1946">
        <v>0</v>
      </c>
      <c r="S1946" s="1" t="s">
        <v>812</v>
      </c>
      <c r="T1946" s="1"/>
      <c r="U1946">
        <v>8.6780000000000008</v>
      </c>
      <c r="V1946">
        <v>0</v>
      </c>
      <c r="W1946">
        <v>62636</v>
      </c>
    </row>
    <row r="1947" spans="1:23" x14ac:dyDescent="0.25">
      <c r="A1947" s="1" t="s">
        <v>32</v>
      </c>
      <c r="B1947" s="1" t="s">
        <v>67</v>
      </c>
      <c r="C1947" s="1" t="s">
        <v>160</v>
      </c>
      <c r="D1947">
        <v>6354</v>
      </c>
      <c r="E1947" s="1"/>
      <c r="F1947" s="1" t="s">
        <v>293</v>
      </c>
      <c r="G1947">
        <v>2012</v>
      </c>
      <c r="H1947">
        <v>11491.61</v>
      </c>
      <c r="I1947">
        <v>14</v>
      </c>
      <c r="J1947" s="1" t="s">
        <v>411</v>
      </c>
      <c r="K1947">
        <v>0</v>
      </c>
      <c r="L1947">
        <v>196</v>
      </c>
      <c r="M1947">
        <v>58.600763999999998</v>
      </c>
      <c r="N1947">
        <v>1</v>
      </c>
      <c r="O1947" s="1" t="s">
        <v>565</v>
      </c>
      <c r="P1947">
        <v>12186.73</v>
      </c>
      <c r="Q1947">
        <v>2254.5500000000002</v>
      </c>
      <c r="R1947">
        <v>0</v>
      </c>
      <c r="S1947" s="1" t="s">
        <v>812</v>
      </c>
      <c r="T1947" s="1"/>
      <c r="U1947">
        <v>11.49161</v>
      </c>
      <c r="V1947">
        <v>0</v>
      </c>
      <c r="W1947">
        <v>62636</v>
      </c>
    </row>
    <row r="1948" spans="1:23" x14ac:dyDescent="0.25">
      <c r="A1948" s="1" t="s">
        <v>32</v>
      </c>
      <c r="B1948" s="1" t="s">
        <v>67</v>
      </c>
      <c r="C1948" s="1" t="s">
        <v>160</v>
      </c>
      <c r="D1948">
        <v>6354</v>
      </c>
      <c r="E1948" s="1"/>
      <c r="F1948" s="1" t="s">
        <v>293</v>
      </c>
      <c r="G1948">
        <v>2011</v>
      </c>
      <c r="H1948">
        <v>9479.58</v>
      </c>
      <c r="I1948">
        <v>9</v>
      </c>
      <c r="J1948" s="1" t="s">
        <v>411</v>
      </c>
      <c r="K1948">
        <v>0</v>
      </c>
      <c r="L1948">
        <v>196</v>
      </c>
      <c r="M1948">
        <v>48.340539999999997</v>
      </c>
      <c r="N1948">
        <v>1</v>
      </c>
      <c r="O1948" s="1" t="s">
        <v>565</v>
      </c>
      <c r="P1948">
        <v>10751.6</v>
      </c>
      <c r="Q1948">
        <v>1989.05</v>
      </c>
      <c r="R1948">
        <v>0</v>
      </c>
      <c r="S1948" s="1" t="s">
        <v>812</v>
      </c>
      <c r="T1948" s="1"/>
      <c r="U1948">
        <v>9.4795800000000003</v>
      </c>
      <c r="V1948">
        <v>0</v>
      </c>
      <c r="W1948">
        <v>62636</v>
      </c>
    </row>
    <row r="1949" spans="1:23" x14ac:dyDescent="0.25">
      <c r="A1949" s="1" t="s">
        <v>32</v>
      </c>
      <c r="B1949" s="1" t="s">
        <v>67</v>
      </c>
      <c r="C1949" s="1" t="s">
        <v>160</v>
      </c>
      <c r="D1949">
        <v>6354</v>
      </c>
      <c r="E1949" s="1"/>
      <c r="F1949" s="1" t="s">
        <v>293</v>
      </c>
      <c r="G1949">
        <v>2010</v>
      </c>
      <c r="H1949">
        <v>9340.2000000000007</v>
      </c>
      <c r="I1949">
        <v>4</v>
      </c>
      <c r="J1949" s="1" t="s">
        <v>411</v>
      </c>
      <c r="K1949">
        <v>0</v>
      </c>
      <c r="L1949">
        <v>196</v>
      </c>
      <c r="M1949">
        <v>47.629779999999997</v>
      </c>
      <c r="N1949">
        <v>1</v>
      </c>
      <c r="O1949" s="1" t="s">
        <v>565</v>
      </c>
      <c r="P1949">
        <v>9471.1299999999992</v>
      </c>
      <c r="Q1949">
        <v>1752.16</v>
      </c>
      <c r="R1949">
        <v>0</v>
      </c>
      <c r="S1949" s="1" t="s">
        <v>812</v>
      </c>
      <c r="T1949" s="1"/>
      <c r="U1949">
        <v>9.3401999999999994</v>
      </c>
      <c r="V1949">
        <v>0</v>
      </c>
      <c r="W1949">
        <v>62636</v>
      </c>
    </row>
    <row r="1950" spans="1:23" x14ac:dyDescent="0.25">
      <c r="A1950" s="1" t="s">
        <v>32</v>
      </c>
      <c r="B1950" s="1" t="s">
        <v>67</v>
      </c>
      <c r="C1950" s="1" t="s">
        <v>160</v>
      </c>
      <c r="D1950">
        <v>6354</v>
      </c>
      <c r="E1950" s="1"/>
      <c r="F1950" s="1" t="s">
        <v>293</v>
      </c>
      <c r="G1950">
        <v>2009</v>
      </c>
      <c r="H1950">
        <v>11774.56</v>
      </c>
      <c r="I1950">
        <v>6</v>
      </c>
      <c r="J1950" s="1" t="s">
        <v>411</v>
      </c>
      <c r="K1950">
        <v>0</v>
      </c>
      <c r="L1950">
        <v>196</v>
      </c>
      <c r="M1950">
        <v>60.043650999999997</v>
      </c>
      <c r="N1950">
        <v>1</v>
      </c>
      <c r="O1950" s="1" t="s">
        <v>565</v>
      </c>
      <c r="P1950">
        <v>15629.71</v>
      </c>
      <c r="Q1950">
        <v>2891.49</v>
      </c>
      <c r="R1950">
        <v>0</v>
      </c>
      <c r="S1950" s="1" t="s">
        <v>812</v>
      </c>
      <c r="T1950" s="1"/>
      <c r="U1950">
        <v>11.774559999999999</v>
      </c>
      <c r="V1950">
        <v>0</v>
      </c>
      <c r="W1950">
        <v>62636</v>
      </c>
    </row>
    <row r="1951" spans="1:23" x14ac:dyDescent="0.25">
      <c r="A1951" s="1" t="s">
        <v>32</v>
      </c>
      <c r="B1951" s="1" t="s">
        <v>67</v>
      </c>
      <c r="C1951" s="1" t="s">
        <v>160</v>
      </c>
      <c r="D1951">
        <v>6354</v>
      </c>
      <c r="E1951" s="1"/>
      <c r="F1951" s="1" t="s">
        <v>293</v>
      </c>
      <c r="G1951">
        <v>2008</v>
      </c>
      <c r="H1951">
        <v>11488.58</v>
      </c>
      <c r="I1951">
        <v>12</v>
      </c>
      <c r="J1951" s="1" t="s">
        <v>411</v>
      </c>
      <c r="K1951">
        <v>0</v>
      </c>
      <c r="L1951">
        <v>196</v>
      </c>
      <c r="M1951">
        <v>58.585312999999999</v>
      </c>
      <c r="N1951">
        <v>1</v>
      </c>
      <c r="O1951" s="1" t="s">
        <v>565</v>
      </c>
      <c r="P1951">
        <v>13033.71</v>
      </c>
      <c r="Q1951">
        <v>2411.23</v>
      </c>
      <c r="R1951">
        <v>0</v>
      </c>
      <c r="S1951" s="1" t="s">
        <v>812</v>
      </c>
      <c r="T1951" s="1"/>
      <c r="U1951">
        <v>11.488580000000001</v>
      </c>
      <c r="V1951">
        <v>0</v>
      </c>
      <c r="W1951">
        <v>62636</v>
      </c>
    </row>
    <row r="1952" spans="1:23" x14ac:dyDescent="0.25">
      <c r="A1952" s="1" t="s">
        <v>32</v>
      </c>
      <c r="B1952" s="1"/>
      <c r="C1952" s="1" t="s">
        <v>162</v>
      </c>
      <c r="D1952">
        <v>10231</v>
      </c>
      <c r="E1952" s="1"/>
      <c r="F1952" s="1" t="s">
        <v>294</v>
      </c>
      <c r="G1952">
        <v>2015</v>
      </c>
      <c r="H1952">
        <v>29786</v>
      </c>
      <c r="I1952">
        <v>5</v>
      </c>
      <c r="J1952" s="1" t="s">
        <v>432</v>
      </c>
      <c r="K1952">
        <v>0</v>
      </c>
      <c r="L1952">
        <v>449</v>
      </c>
      <c r="M1952">
        <v>66.323757999999998</v>
      </c>
      <c r="N1952">
        <v>1</v>
      </c>
      <c r="O1952" s="1" t="s">
        <v>565</v>
      </c>
      <c r="P1952">
        <v>33893.089999999997</v>
      </c>
      <c r="Q1952">
        <v>2169.15</v>
      </c>
      <c r="R1952">
        <v>0</v>
      </c>
      <c r="S1952" s="1" t="s">
        <v>813</v>
      </c>
      <c r="T1952" s="1"/>
      <c r="U1952">
        <v>29.786000000000001</v>
      </c>
      <c r="V1952">
        <v>0</v>
      </c>
      <c r="W1952">
        <v>77513</v>
      </c>
    </row>
    <row r="1953" spans="1:23" x14ac:dyDescent="0.25">
      <c r="A1953" s="1" t="s">
        <v>32</v>
      </c>
      <c r="B1953" s="1"/>
      <c r="C1953" s="1" t="s">
        <v>162</v>
      </c>
      <c r="D1953">
        <v>10231</v>
      </c>
      <c r="E1953" s="1"/>
      <c r="F1953" s="1" t="s">
        <v>294</v>
      </c>
      <c r="G1953">
        <v>2015</v>
      </c>
      <c r="H1953">
        <v>29814.9</v>
      </c>
      <c r="I1953">
        <v>5</v>
      </c>
      <c r="J1953" s="1"/>
      <c r="K1953">
        <v>0</v>
      </c>
      <c r="L1953">
        <v>449</v>
      </c>
      <c r="M1953">
        <v>66.388109</v>
      </c>
      <c r="N1953">
        <v>1</v>
      </c>
      <c r="O1953" s="1" t="s">
        <v>563</v>
      </c>
      <c r="P1953">
        <v>33456.74</v>
      </c>
      <c r="Q1953">
        <v>4209.66</v>
      </c>
      <c r="R1953">
        <v>1</v>
      </c>
      <c r="S1953" s="1" t="s">
        <v>814</v>
      </c>
      <c r="T1953" s="1"/>
      <c r="U1953">
        <v>854.54</v>
      </c>
      <c r="V1953">
        <v>0</v>
      </c>
      <c r="W1953">
        <v>89939</v>
      </c>
    </row>
    <row r="1954" spans="1:23" x14ac:dyDescent="0.25">
      <c r="A1954" s="1" t="s">
        <v>32</v>
      </c>
      <c r="B1954" s="1"/>
      <c r="C1954" s="1" t="s">
        <v>162</v>
      </c>
      <c r="D1954">
        <v>10231</v>
      </c>
      <c r="E1954" s="1"/>
      <c r="F1954" s="1" t="s">
        <v>294</v>
      </c>
      <c r="G1954">
        <v>2014</v>
      </c>
      <c r="H1954">
        <v>48998</v>
      </c>
      <c r="I1954">
        <v>12</v>
      </c>
      <c r="J1954" s="1" t="s">
        <v>432</v>
      </c>
      <c r="K1954">
        <v>0</v>
      </c>
      <c r="L1954">
        <v>449</v>
      </c>
      <c r="M1954">
        <v>109.102649</v>
      </c>
      <c r="N1954">
        <v>1</v>
      </c>
      <c r="O1954" s="1" t="s">
        <v>565</v>
      </c>
      <c r="P1954">
        <v>59305.27</v>
      </c>
      <c r="Q1954">
        <v>3795.54</v>
      </c>
      <c r="R1954">
        <v>0</v>
      </c>
      <c r="S1954" s="1" t="s">
        <v>813</v>
      </c>
      <c r="T1954" s="1"/>
      <c r="U1954">
        <v>48.997999999999998</v>
      </c>
      <c r="V1954">
        <v>0</v>
      </c>
      <c r="W1954">
        <v>77513</v>
      </c>
    </row>
    <row r="1955" spans="1:23" x14ac:dyDescent="0.25">
      <c r="A1955" s="1" t="s">
        <v>32</v>
      </c>
      <c r="B1955" s="1"/>
      <c r="C1955" s="1" t="s">
        <v>162</v>
      </c>
      <c r="D1955">
        <v>10231</v>
      </c>
      <c r="E1955" s="1"/>
      <c r="F1955" s="1" t="s">
        <v>294</v>
      </c>
      <c r="G1955">
        <v>2014</v>
      </c>
      <c r="H1955">
        <v>60667.44</v>
      </c>
      <c r="I1955">
        <v>12</v>
      </c>
      <c r="J1955" s="1"/>
      <c r="K1955">
        <v>0</v>
      </c>
      <c r="L1955">
        <v>449</v>
      </c>
      <c r="M1955">
        <v>135.08670599999999</v>
      </c>
      <c r="N1955">
        <v>1</v>
      </c>
      <c r="O1955" s="1" t="s">
        <v>563</v>
      </c>
      <c r="P1955">
        <v>71586.8</v>
      </c>
      <c r="Q1955">
        <v>9007.32</v>
      </c>
      <c r="R1955">
        <v>1</v>
      </c>
      <c r="S1955" s="1" t="s">
        <v>814</v>
      </c>
      <c r="T1955" s="1"/>
      <c r="U1955">
        <v>1738.82</v>
      </c>
      <c r="V1955">
        <v>0</v>
      </c>
      <c r="W1955">
        <v>89939</v>
      </c>
    </row>
    <row r="1956" spans="1:23" x14ac:dyDescent="0.25">
      <c r="A1956" s="1" t="s">
        <v>32</v>
      </c>
      <c r="B1956" s="1"/>
      <c r="C1956" s="1" t="s">
        <v>162</v>
      </c>
      <c r="D1956">
        <v>10231</v>
      </c>
      <c r="E1956" s="1"/>
      <c r="F1956" s="1" t="s">
        <v>294</v>
      </c>
      <c r="G1956">
        <v>2013</v>
      </c>
      <c r="H1956">
        <v>77265.64</v>
      </c>
      <c r="I1956">
        <v>12</v>
      </c>
      <c r="J1956" s="1"/>
      <c r="K1956">
        <v>0</v>
      </c>
      <c r="L1956">
        <v>449</v>
      </c>
      <c r="M1956">
        <v>172.045513</v>
      </c>
      <c r="N1956">
        <v>1</v>
      </c>
      <c r="O1956" s="1" t="s">
        <v>563</v>
      </c>
      <c r="P1956">
        <v>80504.22</v>
      </c>
      <c r="Q1956">
        <v>10129.35</v>
      </c>
      <c r="R1956">
        <v>1</v>
      </c>
      <c r="S1956" s="1" t="s">
        <v>814</v>
      </c>
      <c r="T1956" s="1"/>
      <c r="U1956">
        <v>2214.5500000000002</v>
      </c>
      <c r="V1956">
        <v>0</v>
      </c>
      <c r="W1956">
        <v>89939</v>
      </c>
    </row>
    <row r="1957" spans="1:23" x14ac:dyDescent="0.25">
      <c r="A1957" s="1" t="s">
        <v>32</v>
      </c>
      <c r="B1957" s="1"/>
      <c r="C1957" s="1" t="s">
        <v>162</v>
      </c>
      <c r="D1957">
        <v>10231</v>
      </c>
      <c r="E1957" s="1"/>
      <c r="F1957" s="1" t="s">
        <v>294</v>
      </c>
      <c r="G1957">
        <v>2013</v>
      </c>
      <c r="H1957">
        <v>57674</v>
      </c>
      <c r="I1957">
        <v>12</v>
      </c>
      <c r="J1957" s="1" t="s">
        <v>432</v>
      </c>
      <c r="K1957">
        <v>0</v>
      </c>
      <c r="L1957">
        <v>449</v>
      </c>
      <c r="M1957">
        <v>128.42128700000001</v>
      </c>
      <c r="N1957">
        <v>1</v>
      </c>
      <c r="O1957" s="1" t="s">
        <v>565</v>
      </c>
      <c r="P1957">
        <v>60702.42</v>
      </c>
      <c r="Q1957">
        <v>3884.95</v>
      </c>
      <c r="R1957">
        <v>0</v>
      </c>
      <c r="S1957" s="1" t="s">
        <v>813</v>
      </c>
      <c r="T1957" s="1"/>
      <c r="U1957">
        <v>57.673999999999999</v>
      </c>
      <c r="V1957">
        <v>0</v>
      </c>
      <c r="W1957">
        <v>77513</v>
      </c>
    </row>
    <row r="1958" spans="1:23" x14ac:dyDescent="0.25">
      <c r="A1958" s="1" t="s">
        <v>32</v>
      </c>
      <c r="B1958" s="1"/>
      <c r="C1958" s="1" t="s">
        <v>162</v>
      </c>
      <c r="D1958">
        <v>10231</v>
      </c>
      <c r="E1958" s="1"/>
      <c r="F1958" s="1" t="s">
        <v>294</v>
      </c>
      <c r="G1958">
        <v>2012</v>
      </c>
      <c r="H1958">
        <v>130314.84</v>
      </c>
      <c r="I1958">
        <v>12</v>
      </c>
      <c r="J1958" s="1"/>
      <c r="K1958">
        <v>0</v>
      </c>
      <c r="L1958">
        <v>449</v>
      </c>
      <c r="M1958">
        <v>290.16887100000002</v>
      </c>
      <c r="N1958">
        <v>1</v>
      </c>
      <c r="O1958" s="1" t="s">
        <v>563</v>
      </c>
      <c r="P1958">
        <v>142013.07</v>
      </c>
      <c r="Q1958">
        <v>17868.650000000001</v>
      </c>
      <c r="R1958">
        <v>1</v>
      </c>
      <c r="S1958" s="1" t="s">
        <v>814</v>
      </c>
      <c r="T1958" s="1"/>
      <c r="U1958">
        <v>3735.02</v>
      </c>
      <c r="V1958">
        <v>0</v>
      </c>
      <c r="W1958">
        <v>89939</v>
      </c>
    </row>
    <row r="1959" spans="1:23" x14ac:dyDescent="0.25">
      <c r="A1959" s="1" t="s">
        <v>32</v>
      </c>
      <c r="B1959" s="1"/>
      <c r="C1959" s="1" t="s">
        <v>162</v>
      </c>
      <c r="D1959">
        <v>10231</v>
      </c>
      <c r="E1959" s="1"/>
      <c r="F1959" s="1" t="s">
        <v>294</v>
      </c>
      <c r="G1959">
        <v>2012</v>
      </c>
      <c r="H1959">
        <v>64221</v>
      </c>
      <c r="I1959">
        <v>12</v>
      </c>
      <c r="J1959" s="1" t="s">
        <v>432</v>
      </c>
      <c r="K1959">
        <v>0</v>
      </c>
      <c r="L1959">
        <v>449</v>
      </c>
      <c r="M1959">
        <v>142.99933100000001</v>
      </c>
      <c r="N1959">
        <v>1</v>
      </c>
      <c r="O1959" s="1" t="s">
        <v>565</v>
      </c>
      <c r="P1959">
        <v>68153.89</v>
      </c>
      <c r="Q1959">
        <v>12608.45</v>
      </c>
      <c r="R1959">
        <v>0</v>
      </c>
      <c r="S1959" s="1" t="s">
        <v>813</v>
      </c>
      <c r="T1959" s="1"/>
      <c r="U1959">
        <v>64.221000000000004</v>
      </c>
      <c r="V1959">
        <v>0</v>
      </c>
      <c r="W1959">
        <v>77513</v>
      </c>
    </row>
    <row r="1960" spans="1:23" x14ac:dyDescent="0.25">
      <c r="A1960" s="1" t="s">
        <v>32</v>
      </c>
      <c r="B1960" s="1"/>
      <c r="C1960" s="1" t="s">
        <v>162</v>
      </c>
      <c r="D1960">
        <v>10231</v>
      </c>
      <c r="E1960" s="1"/>
      <c r="F1960" s="1" t="s">
        <v>294</v>
      </c>
      <c r="G1960">
        <v>2011</v>
      </c>
      <c r="H1960">
        <v>63197.06</v>
      </c>
      <c r="I1960">
        <v>13</v>
      </c>
      <c r="J1960" s="1" t="s">
        <v>432</v>
      </c>
      <c r="K1960">
        <v>0</v>
      </c>
      <c r="L1960">
        <v>449</v>
      </c>
      <c r="M1960">
        <v>140.71934899999999</v>
      </c>
      <c r="N1960">
        <v>1</v>
      </c>
      <c r="O1960" s="1" t="s">
        <v>565</v>
      </c>
      <c r="P1960">
        <v>70548.55</v>
      </c>
      <c r="Q1960">
        <v>13051.51</v>
      </c>
      <c r="R1960">
        <v>0</v>
      </c>
      <c r="S1960" s="1" t="s">
        <v>813</v>
      </c>
      <c r="T1960" s="1"/>
      <c r="U1960">
        <v>63.19706</v>
      </c>
      <c r="V1960">
        <v>0</v>
      </c>
      <c r="W1960">
        <v>77513</v>
      </c>
    </row>
    <row r="1961" spans="1:23" x14ac:dyDescent="0.25">
      <c r="A1961" s="1" t="s">
        <v>32</v>
      </c>
      <c r="B1961" s="1"/>
      <c r="C1961" s="1" t="s">
        <v>162</v>
      </c>
      <c r="D1961">
        <v>10231</v>
      </c>
      <c r="E1961" s="1"/>
      <c r="F1961" s="1" t="s">
        <v>294</v>
      </c>
      <c r="G1961">
        <v>2011</v>
      </c>
      <c r="H1961">
        <v>35099.339999999997</v>
      </c>
      <c r="I1961">
        <v>12</v>
      </c>
      <c r="J1961" s="1"/>
      <c r="K1961">
        <v>0</v>
      </c>
      <c r="L1961">
        <v>449</v>
      </c>
      <c r="M1961">
        <v>78.154843</v>
      </c>
      <c r="N1961">
        <v>1</v>
      </c>
      <c r="O1961" s="1" t="s">
        <v>563</v>
      </c>
      <c r="P1961">
        <v>40362.67</v>
      </c>
      <c r="Q1961">
        <v>5078.6000000000004</v>
      </c>
      <c r="R1961">
        <v>1</v>
      </c>
      <c r="S1961" s="1" t="s">
        <v>814</v>
      </c>
      <c r="T1961" s="1"/>
      <c r="U1961">
        <v>1006</v>
      </c>
      <c r="V1961">
        <v>0</v>
      </c>
      <c r="W1961">
        <v>89939</v>
      </c>
    </row>
    <row r="1962" spans="1:23" x14ac:dyDescent="0.25">
      <c r="A1962" s="1" t="s">
        <v>32</v>
      </c>
      <c r="B1962" s="1"/>
      <c r="C1962" s="1" t="s">
        <v>162</v>
      </c>
      <c r="D1962">
        <v>10231</v>
      </c>
      <c r="E1962" s="1"/>
      <c r="F1962" s="1" t="s">
        <v>294</v>
      </c>
      <c r="G1962">
        <v>2010</v>
      </c>
      <c r="H1962">
        <v>78157.38</v>
      </c>
      <c r="I1962">
        <v>12</v>
      </c>
      <c r="J1962" s="1" t="s">
        <v>432</v>
      </c>
      <c r="K1962">
        <v>0</v>
      </c>
      <c r="L1962">
        <v>449</v>
      </c>
      <c r="M1962">
        <v>174.031128</v>
      </c>
      <c r="N1962">
        <v>1</v>
      </c>
      <c r="O1962" s="1" t="s">
        <v>565</v>
      </c>
      <c r="P1962">
        <v>70995.679999999993</v>
      </c>
      <c r="Q1962">
        <v>13134.19</v>
      </c>
      <c r="R1962">
        <v>0</v>
      </c>
      <c r="S1962" s="1" t="s">
        <v>813</v>
      </c>
      <c r="T1962" s="1"/>
      <c r="U1962">
        <v>78.157380000000003</v>
      </c>
      <c r="V1962">
        <v>0</v>
      </c>
      <c r="W1962">
        <v>77513</v>
      </c>
    </row>
    <row r="1963" spans="1:23" x14ac:dyDescent="0.25">
      <c r="A1963" s="1" t="s">
        <v>32</v>
      </c>
      <c r="B1963" s="1"/>
      <c r="C1963" s="1" t="s">
        <v>162</v>
      </c>
      <c r="D1963">
        <v>10231</v>
      </c>
      <c r="E1963" s="1"/>
      <c r="F1963" s="1" t="s">
        <v>294</v>
      </c>
      <c r="G1963">
        <v>2010</v>
      </c>
      <c r="H1963">
        <v>0</v>
      </c>
      <c r="I1963">
        <v>12</v>
      </c>
      <c r="J1963" s="1"/>
      <c r="K1963">
        <v>0</v>
      </c>
      <c r="L1963">
        <v>449</v>
      </c>
      <c r="M1963">
        <v>0</v>
      </c>
      <c r="N1963">
        <v>1</v>
      </c>
      <c r="O1963" s="1" t="s">
        <v>563</v>
      </c>
      <c r="P1963">
        <v>0</v>
      </c>
      <c r="Q1963">
        <v>0</v>
      </c>
      <c r="R1963">
        <v>1</v>
      </c>
      <c r="S1963" s="1" t="s">
        <v>814</v>
      </c>
      <c r="T1963" s="1"/>
      <c r="U1963">
        <v>0</v>
      </c>
      <c r="V1963">
        <v>0</v>
      </c>
      <c r="W1963">
        <v>89939</v>
      </c>
    </row>
    <row r="1964" spans="1:23" x14ac:dyDescent="0.25">
      <c r="A1964" s="1" t="s">
        <v>32</v>
      </c>
      <c r="B1964" s="1"/>
      <c r="C1964" s="1" t="s">
        <v>162</v>
      </c>
      <c r="D1964">
        <v>10231</v>
      </c>
      <c r="E1964" s="1"/>
      <c r="F1964" s="1" t="s">
        <v>294</v>
      </c>
      <c r="G1964">
        <v>2009</v>
      </c>
      <c r="H1964">
        <v>0</v>
      </c>
      <c r="I1964">
        <v>12</v>
      </c>
      <c r="J1964" s="1"/>
      <c r="K1964">
        <v>0</v>
      </c>
      <c r="L1964">
        <v>449</v>
      </c>
      <c r="M1964">
        <v>0</v>
      </c>
      <c r="N1964">
        <v>1</v>
      </c>
      <c r="O1964" s="1" t="s">
        <v>563</v>
      </c>
      <c r="P1964">
        <v>0</v>
      </c>
      <c r="Q1964">
        <v>0</v>
      </c>
      <c r="R1964">
        <v>1</v>
      </c>
      <c r="S1964" s="1" t="s">
        <v>814</v>
      </c>
      <c r="T1964" s="1"/>
      <c r="U1964">
        <v>0</v>
      </c>
      <c r="V1964">
        <v>0</v>
      </c>
      <c r="W1964">
        <v>89939</v>
      </c>
    </row>
    <row r="1965" spans="1:23" x14ac:dyDescent="0.25">
      <c r="A1965" s="1" t="s">
        <v>32</v>
      </c>
      <c r="B1965" s="1"/>
      <c r="C1965" s="1" t="s">
        <v>162</v>
      </c>
      <c r="D1965">
        <v>10231</v>
      </c>
      <c r="E1965" s="1"/>
      <c r="F1965" s="1" t="s">
        <v>294</v>
      </c>
      <c r="G1965">
        <v>2009</v>
      </c>
      <c r="H1965">
        <v>78606.039999999994</v>
      </c>
      <c r="I1965">
        <v>11</v>
      </c>
      <c r="J1965" s="1" t="s">
        <v>432</v>
      </c>
      <c r="K1965">
        <v>0</v>
      </c>
      <c r="L1965">
        <v>449</v>
      </c>
      <c r="M1965">
        <v>175.03014899999999</v>
      </c>
      <c r="N1965">
        <v>1</v>
      </c>
      <c r="O1965" s="1" t="s">
        <v>565</v>
      </c>
      <c r="P1965">
        <v>87899.23</v>
      </c>
      <c r="Q1965">
        <v>16261.35</v>
      </c>
      <c r="R1965">
        <v>0</v>
      </c>
      <c r="S1965" s="1" t="s">
        <v>813</v>
      </c>
      <c r="T1965" s="1"/>
      <c r="U1965">
        <v>78.606039999999993</v>
      </c>
      <c r="V1965">
        <v>0</v>
      </c>
      <c r="W1965">
        <v>77513</v>
      </c>
    </row>
    <row r="1966" spans="1:23" x14ac:dyDescent="0.25">
      <c r="A1966" s="1" t="s">
        <v>32</v>
      </c>
      <c r="B1966" s="1"/>
      <c r="C1966" s="1" t="s">
        <v>162</v>
      </c>
      <c r="D1966">
        <v>10231</v>
      </c>
      <c r="E1966" s="1"/>
      <c r="F1966" s="1" t="s">
        <v>294</v>
      </c>
      <c r="G1966">
        <v>2008</v>
      </c>
      <c r="H1966">
        <v>0</v>
      </c>
      <c r="I1966">
        <v>12</v>
      </c>
      <c r="J1966" s="1"/>
      <c r="K1966">
        <v>0</v>
      </c>
      <c r="L1966">
        <v>449</v>
      </c>
      <c r="M1966">
        <v>0</v>
      </c>
      <c r="N1966">
        <v>1</v>
      </c>
      <c r="O1966" s="1" t="s">
        <v>563</v>
      </c>
      <c r="P1966">
        <v>0</v>
      </c>
      <c r="Q1966">
        <v>0</v>
      </c>
      <c r="R1966">
        <v>1</v>
      </c>
      <c r="S1966" s="1" t="s">
        <v>814</v>
      </c>
      <c r="T1966" s="1"/>
      <c r="U1966">
        <v>0</v>
      </c>
      <c r="V1966">
        <v>0</v>
      </c>
      <c r="W1966">
        <v>89939</v>
      </c>
    </row>
    <row r="1967" spans="1:23" x14ac:dyDescent="0.25">
      <c r="A1967" s="1" t="s">
        <v>32</v>
      </c>
      <c r="B1967" s="1"/>
      <c r="C1967" s="1" t="s">
        <v>162</v>
      </c>
      <c r="D1967">
        <v>10231</v>
      </c>
      <c r="E1967" s="1"/>
      <c r="F1967" s="1" t="s">
        <v>294</v>
      </c>
      <c r="G1967">
        <v>2008</v>
      </c>
      <c r="H1967">
        <v>77172.81</v>
      </c>
      <c r="I1967">
        <v>10</v>
      </c>
      <c r="J1967" s="1" t="s">
        <v>432</v>
      </c>
      <c r="K1967">
        <v>0</v>
      </c>
      <c r="L1967">
        <v>449</v>
      </c>
      <c r="M1967">
        <v>171.83881</v>
      </c>
      <c r="N1967">
        <v>1</v>
      </c>
      <c r="O1967" s="1" t="s">
        <v>565</v>
      </c>
      <c r="P1967">
        <v>89917.96</v>
      </c>
      <c r="Q1967">
        <v>16634.830000000002</v>
      </c>
      <c r="R1967">
        <v>0</v>
      </c>
      <c r="S1967" s="1" t="s">
        <v>813</v>
      </c>
      <c r="T1967" s="1"/>
      <c r="U1967">
        <v>77.172809999999998</v>
      </c>
      <c r="V1967">
        <v>0</v>
      </c>
      <c r="W1967">
        <v>77513</v>
      </c>
    </row>
    <row r="1968" spans="1:23" x14ac:dyDescent="0.25">
      <c r="A1968" s="1" t="s">
        <v>32</v>
      </c>
      <c r="B1968" s="1" t="s">
        <v>68</v>
      </c>
      <c r="C1968" s="1" t="s">
        <v>163</v>
      </c>
      <c r="D1968">
        <v>5489</v>
      </c>
      <c r="E1968" s="1"/>
      <c r="F1968" s="1" t="s">
        <v>163</v>
      </c>
      <c r="G1968">
        <v>2015</v>
      </c>
      <c r="H1968">
        <v>111252.96</v>
      </c>
      <c r="I1968">
        <v>5</v>
      </c>
      <c r="J1968" s="1"/>
      <c r="K1968">
        <v>0</v>
      </c>
      <c r="L1968">
        <v>2801</v>
      </c>
      <c r="M1968">
        <v>39.717596</v>
      </c>
      <c r="N1968">
        <v>1</v>
      </c>
      <c r="O1968" s="1" t="s">
        <v>564</v>
      </c>
      <c r="P1968">
        <v>123918.67</v>
      </c>
      <c r="Q1968">
        <v>26206.49</v>
      </c>
      <c r="R1968">
        <v>0</v>
      </c>
      <c r="S1968" s="1" t="s">
        <v>815</v>
      </c>
      <c r="T1968" s="1" t="s">
        <v>1208</v>
      </c>
      <c r="U1968">
        <v>10301.200000000001</v>
      </c>
      <c r="V1968">
        <v>0</v>
      </c>
      <c r="W1968">
        <v>58006</v>
      </c>
    </row>
    <row r="1969" spans="1:23" x14ac:dyDescent="0.25">
      <c r="A1969" s="1" t="s">
        <v>32</v>
      </c>
      <c r="B1969" s="1" t="s">
        <v>68</v>
      </c>
      <c r="C1969" s="1" t="s">
        <v>163</v>
      </c>
      <c r="D1969">
        <v>5489</v>
      </c>
      <c r="E1969" s="1"/>
      <c r="F1969" s="1" t="s">
        <v>163</v>
      </c>
      <c r="G1969">
        <v>2014</v>
      </c>
      <c r="H1969">
        <v>201520.44</v>
      </c>
      <c r="I1969">
        <v>12</v>
      </c>
      <c r="J1969" s="1"/>
      <c r="K1969">
        <v>0</v>
      </c>
      <c r="L1969">
        <v>2801</v>
      </c>
      <c r="M1969">
        <v>71.943321999999995</v>
      </c>
      <c r="N1969">
        <v>1</v>
      </c>
      <c r="O1969" s="1" t="s">
        <v>564</v>
      </c>
      <c r="P1969">
        <v>237319.17</v>
      </c>
      <c r="Q1969">
        <v>50188.61</v>
      </c>
      <c r="R1969">
        <v>0</v>
      </c>
      <c r="S1969" s="1" t="s">
        <v>815</v>
      </c>
      <c r="T1969" s="1" t="s">
        <v>1208</v>
      </c>
      <c r="U1969">
        <v>18659.3</v>
      </c>
      <c r="V1969">
        <v>0</v>
      </c>
      <c r="W1969">
        <v>58006</v>
      </c>
    </row>
    <row r="1970" spans="1:23" x14ac:dyDescent="0.25">
      <c r="A1970" s="1" t="s">
        <v>32</v>
      </c>
      <c r="B1970" s="1" t="s">
        <v>68</v>
      </c>
      <c r="C1970" s="1" t="s">
        <v>163</v>
      </c>
      <c r="D1970">
        <v>5489</v>
      </c>
      <c r="E1970" s="1"/>
      <c r="F1970" s="1" t="s">
        <v>163</v>
      </c>
      <c r="G1970">
        <v>2013</v>
      </c>
      <c r="H1970">
        <v>234584.64</v>
      </c>
      <c r="I1970">
        <v>12</v>
      </c>
      <c r="J1970" s="1"/>
      <c r="K1970">
        <v>0</v>
      </c>
      <c r="L1970">
        <v>2801</v>
      </c>
      <c r="M1970">
        <v>83.747326999999999</v>
      </c>
      <c r="N1970">
        <v>1</v>
      </c>
      <c r="O1970" s="1" t="s">
        <v>564</v>
      </c>
      <c r="P1970">
        <v>282515.42</v>
      </c>
      <c r="Q1970">
        <v>59746.78</v>
      </c>
      <c r="R1970">
        <v>0</v>
      </c>
      <c r="S1970" s="1" t="s">
        <v>815</v>
      </c>
      <c r="T1970" s="1" t="s">
        <v>1208</v>
      </c>
      <c r="U1970">
        <v>21720.799999999999</v>
      </c>
      <c r="V1970">
        <v>0</v>
      </c>
      <c r="W1970">
        <v>58006</v>
      </c>
    </row>
    <row r="1971" spans="1:23" x14ac:dyDescent="0.25">
      <c r="A1971" s="1" t="s">
        <v>32</v>
      </c>
      <c r="B1971" s="1" t="s">
        <v>68</v>
      </c>
      <c r="C1971" s="1" t="s">
        <v>163</v>
      </c>
      <c r="D1971">
        <v>5489</v>
      </c>
      <c r="E1971" s="1"/>
      <c r="F1971" s="1" t="s">
        <v>163</v>
      </c>
      <c r="G1971">
        <v>2012</v>
      </c>
      <c r="H1971">
        <v>246387.96</v>
      </c>
      <c r="I1971">
        <v>12</v>
      </c>
      <c r="J1971" s="1"/>
      <c r="K1971">
        <v>0</v>
      </c>
      <c r="L1971">
        <v>2801</v>
      </c>
      <c r="M1971">
        <v>87.961143000000007</v>
      </c>
      <c r="N1971">
        <v>1</v>
      </c>
      <c r="O1971" s="1" t="s">
        <v>564</v>
      </c>
      <c r="P1971">
        <v>265230.67</v>
      </c>
      <c r="Q1971">
        <v>56091.37</v>
      </c>
      <c r="R1971">
        <v>0</v>
      </c>
      <c r="S1971" s="1" t="s">
        <v>815</v>
      </c>
      <c r="T1971" s="1" t="s">
        <v>1208</v>
      </c>
      <c r="U1971">
        <v>22813.7</v>
      </c>
      <c r="V1971">
        <v>0</v>
      </c>
      <c r="W1971">
        <v>58006</v>
      </c>
    </row>
    <row r="1972" spans="1:23" x14ac:dyDescent="0.25">
      <c r="A1972" s="1" t="s">
        <v>32</v>
      </c>
      <c r="B1972" s="1" t="s">
        <v>68</v>
      </c>
      <c r="C1972" s="1" t="s">
        <v>163</v>
      </c>
      <c r="D1972">
        <v>5489</v>
      </c>
      <c r="E1972" s="1"/>
      <c r="F1972" s="1" t="s">
        <v>163</v>
      </c>
      <c r="G1972">
        <v>2011</v>
      </c>
      <c r="H1972">
        <v>242751.84</v>
      </c>
      <c r="I1972">
        <v>12</v>
      </c>
      <c r="J1972" s="1"/>
      <c r="K1972">
        <v>0</v>
      </c>
      <c r="L1972">
        <v>2801</v>
      </c>
      <c r="M1972">
        <v>86.663038999999998</v>
      </c>
      <c r="N1972">
        <v>1</v>
      </c>
      <c r="O1972" s="1" t="s">
        <v>564</v>
      </c>
      <c r="P1972">
        <v>283582.40999999997</v>
      </c>
      <c r="Q1972">
        <v>59972.44</v>
      </c>
      <c r="R1972">
        <v>0</v>
      </c>
      <c r="S1972" s="1" t="s">
        <v>815</v>
      </c>
      <c r="T1972" s="1" t="s">
        <v>1208</v>
      </c>
      <c r="U1972">
        <v>22477.023000000001</v>
      </c>
      <c r="V1972">
        <v>0</v>
      </c>
      <c r="W1972">
        <v>58006</v>
      </c>
    </row>
    <row r="1973" spans="1:23" x14ac:dyDescent="0.25">
      <c r="A1973" s="1" t="s">
        <v>32</v>
      </c>
      <c r="B1973" s="1" t="s">
        <v>68</v>
      </c>
      <c r="C1973" s="1" t="s">
        <v>163</v>
      </c>
      <c r="D1973">
        <v>5489</v>
      </c>
      <c r="E1973" s="1"/>
      <c r="F1973" s="1" t="s">
        <v>163</v>
      </c>
      <c r="G1973">
        <v>2010</v>
      </c>
      <c r="H1973">
        <v>284970.71999999997</v>
      </c>
      <c r="I1973">
        <v>12</v>
      </c>
      <c r="J1973" s="1"/>
      <c r="K1973">
        <v>0</v>
      </c>
      <c r="L1973">
        <v>2801</v>
      </c>
      <c r="M1973">
        <v>101.73528899999999</v>
      </c>
      <c r="N1973">
        <v>1</v>
      </c>
      <c r="O1973" s="1" t="s">
        <v>564</v>
      </c>
      <c r="P1973">
        <v>352000.24</v>
      </c>
      <c r="Q1973">
        <v>74441.539999999994</v>
      </c>
      <c r="R1973">
        <v>0</v>
      </c>
      <c r="S1973" s="1" t="s">
        <v>815</v>
      </c>
      <c r="T1973" s="1" t="s">
        <v>1208</v>
      </c>
      <c r="U1973">
        <v>26386.178</v>
      </c>
      <c r="V1973">
        <v>0</v>
      </c>
      <c r="W1973">
        <v>58006</v>
      </c>
    </row>
    <row r="1974" spans="1:23" x14ac:dyDescent="0.25">
      <c r="A1974" s="1" t="s">
        <v>32</v>
      </c>
      <c r="B1974" s="1" t="s">
        <v>68</v>
      </c>
      <c r="C1974" s="1" t="s">
        <v>163</v>
      </c>
      <c r="D1974">
        <v>5489</v>
      </c>
      <c r="E1974" s="1"/>
      <c r="F1974" s="1" t="s">
        <v>163</v>
      </c>
      <c r="G1974">
        <v>2009</v>
      </c>
      <c r="H1974">
        <v>255852</v>
      </c>
      <c r="I1974">
        <v>12</v>
      </c>
      <c r="J1974" s="1"/>
      <c r="K1974">
        <v>0</v>
      </c>
      <c r="L1974">
        <v>2801</v>
      </c>
      <c r="M1974">
        <v>91.339830000000006</v>
      </c>
      <c r="N1974">
        <v>1</v>
      </c>
      <c r="O1974" s="1" t="s">
        <v>564</v>
      </c>
      <c r="P1974">
        <v>300504.78999999998</v>
      </c>
      <c r="Q1974">
        <v>63551.19</v>
      </c>
      <c r="R1974">
        <v>0</v>
      </c>
      <c r="S1974" s="1" t="s">
        <v>815</v>
      </c>
      <c r="T1974" s="1" t="s">
        <v>1208</v>
      </c>
      <c r="U1974">
        <v>23690</v>
      </c>
      <c r="V1974">
        <v>0</v>
      </c>
      <c r="W1974">
        <v>58006</v>
      </c>
    </row>
    <row r="1975" spans="1:23" x14ac:dyDescent="0.25">
      <c r="A1975" s="1" t="s">
        <v>32</v>
      </c>
      <c r="B1975" s="1" t="s">
        <v>68</v>
      </c>
      <c r="C1975" s="1" t="s">
        <v>163</v>
      </c>
      <c r="D1975">
        <v>5489</v>
      </c>
      <c r="E1975" s="1"/>
      <c r="F1975" s="1" t="s">
        <v>163</v>
      </c>
      <c r="G1975">
        <v>2008</v>
      </c>
      <c r="H1975">
        <v>238377.60000000001</v>
      </c>
      <c r="I1975">
        <v>12</v>
      </c>
      <c r="J1975" s="1"/>
      <c r="K1975">
        <v>0</v>
      </c>
      <c r="L1975">
        <v>2801</v>
      </c>
      <c r="M1975">
        <v>85.101423999999994</v>
      </c>
      <c r="N1975">
        <v>1</v>
      </c>
      <c r="O1975" s="1" t="s">
        <v>564</v>
      </c>
      <c r="P1975">
        <v>283177.90000000002</v>
      </c>
      <c r="Q1975">
        <v>59886.89</v>
      </c>
      <c r="R1975">
        <v>0</v>
      </c>
      <c r="S1975" s="1" t="s">
        <v>815</v>
      </c>
      <c r="T1975" s="1" t="s">
        <v>1208</v>
      </c>
      <c r="U1975">
        <v>22072</v>
      </c>
      <c r="V1975">
        <v>0</v>
      </c>
      <c r="W1975">
        <v>58006</v>
      </c>
    </row>
    <row r="1976" spans="1:23" x14ac:dyDescent="0.25">
      <c r="A1976" s="1" t="s">
        <v>32</v>
      </c>
      <c r="B1976" s="1" t="s">
        <v>68</v>
      </c>
      <c r="C1976" s="1" t="s">
        <v>163</v>
      </c>
      <c r="D1976">
        <v>6031</v>
      </c>
      <c r="E1976" s="1"/>
      <c r="F1976" s="1" t="s">
        <v>295</v>
      </c>
      <c r="G1976">
        <v>2015</v>
      </c>
      <c r="H1976">
        <v>37709.839999999997</v>
      </c>
      <c r="I1976">
        <v>4</v>
      </c>
      <c r="J1976" s="1" t="s">
        <v>433</v>
      </c>
      <c r="K1976">
        <v>0</v>
      </c>
      <c r="L1976">
        <v>0</v>
      </c>
      <c r="M1976">
        <v>377098.4</v>
      </c>
      <c r="N1976">
        <v>1</v>
      </c>
      <c r="O1976" s="1" t="s">
        <v>562</v>
      </c>
      <c r="P1976">
        <v>42383.75</v>
      </c>
      <c r="Q1976">
        <v>5340.36</v>
      </c>
      <c r="R1976">
        <v>1</v>
      </c>
      <c r="S1976" s="1" t="s">
        <v>816</v>
      </c>
      <c r="T1976" s="1"/>
      <c r="U1976">
        <v>37709.833319999998</v>
      </c>
      <c r="V1976">
        <v>0</v>
      </c>
      <c r="W1976">
        <v>60629</v>
      </c>
    </row>
    <row r="1977" spans="1:23" x14ac:dyDescent="0.25">
      <c r="A1977" s="1" t="s">
        <v>32</v>
      </c>
      <c r="B1977" s="1" t="s">
        <v>68</v>
      </c>
      <c r="C1977" s="1" t="s">
        <v>163</v>
      </c>
      <c r="D1977">
        <v>6031</v>
      </c>
      <c r="E1977" s="1"/>
      <c r="F1977" s="1" t="s">
        <v>295</v>
      </c>
      <c r="G1977">
        <v>2015</v>
      </c>
      <c r="H1977">
        <v>3963.96</v>
      </c>
      <c r="I1977">
        <v>4</v>
      </c>
      <c r="J1977" s="1" t="s">
        <v>433</v>
      </c>
      <c r="K1977">
        <v>0</v>
      </c>
      <c r="L1977">
        <v>0</v>
      </c>
      <c r="M1977">
        <v>39639.599999999999</v>
      </c>
      <c r="N1977">
        <v>1</v>
      </c>
      <c r="O1977" s="1" t="s">
        <v>564</v>
      </c>
      <c r="P1977">
        <v>4264.09</v>
      </c>
      <c r="Q1977">
        <v>901.78</v>
      </c>
      <c r="R1977">
        <v>1</v>
      </c>
      <c r="S1977" s="1" t="s">
        <v>817</v>
      </c>
      <c r="T1977" s="1"/>
      <c r="U1977">
        <v>367.03334000000001</v>
      </c>
      <c r="V1977">
        <v>0</v>
      </c>
      <c r="W1977">
        <v>60685</v>
      </c>
    </row>
    <row r="1978" spans="1:23" x14ac:dyDescent="0.25">
      <c r="A1978" s="1" t="s">
        <v>32</v>
      </c>
      <c r="B1978" s="1" t="s">
        <v>68</v>
      </c>
      <c r="C1978" s="1" t="s">
        <v>163</v>
      </c>
      <c r="D1978">
        <v>6031</v>
      </c>
      <c r="E1978" s="1"/>
      <c r="F1978" s="1" t="s">
        <v>295</v>
      </c>
      <c r="G1978">
        <v>2015</v>
      </c>
      <c r="H1978">
        <v>4308.1899999999996</v>
      </c>
      <c r="I1978">
        <v>4</v>
      </c>
      <c r="J1978" s="1" t="s">
        <v>433</v>
      </c>
      <c r="K1978">
        <v>0</v>
      </c>
      <c r="L1978">
        <v>0</v>
      </c>
      <c r="M1978">
        <v>43081.9</v>
      </c>
      <c r="N1978">
        <v>1</v>
      </c>
      <c r="O1978" s="1" t="s">
        <v>562</v>
      </c>
      <c r="P1978">
        <v>4847.07</v>
      </c>
      <c r="Q1978">
        <v>610.73</v>
      </c>
      <c r="R1978">
        <v>1</v>
      </c>
      <c r="S1978" s="1" t="s">
        <v>818</v>
      </c>
      <c r="T1978" s="1"/>
      <c r="U1978">
        <v>4308.1888900000004</v>
      </c>
      <c r="V1978">
        <v>0</v>
      </c>
      <c r="W1978">
        <v>60630</v>
      </c>
    </row>
    <row r="1979" spans="1:23" x14ac:dyDescent="0.25">
      <c r="A1979" s="1" t="s">
        <v>32</v>
      </c>
      <c r="B1979" s="1" t="s">
        <v>68</v>
      </c>
      <c r="C1979" s="1" t="s">
        <v>163</v>
      </c>
      <c r="D1979">
        <v>6031</v>
      </c>
      <c r="E1979" s="1"/>
      <c r="F1979" s="1" t="s">
        <v>295</v>
      </c>
      <c r="G1979">
        <v>2015</v>
      </c>
      <c r="H1979">
        <v>86290.66</v>
      </c>
      <c r="I1979">
        <v>4</v>
      </c>
      <c r="J1979" s="1" t="s">
        <v>433</v>
      </c>
      <c r="K1979">
        <v>0</v>
      </c>
      <c r="L1979">
        <v>0</v>
      </c>
      <c r="M1979">
        <v>862906.6</v>
      </c>
      <c r="N1979">
        <v>1</v>
      </c>
      <c r="O1979" s="1" t="s">
        <v>565</v>
      </c>
      <c r="P1979">
        <v>97300.27</v>
      </c>
      <c r="Q1979">
        <v>12259.84</v>
      </c>
      <c r="R1979">
        <v>1</v>
      </c>
      <c r="S1979" s="1" t="s">
        <v>819</v>
      </c>
      <c r="T1979" s="1"/>
      <c r="U1979">
        <v>86.290660000000003</v>
      </c>
      <c r="V1979">
        <v>0</v>
      </c>
      <c r="W1979">
        <v>60628</v>
      </c>
    </row>
    <row r="1980" spans="1:23" x14ac:dyDescent="0.25">
      <c r="A1980" s="1" t="s">
        <v>32</v>
      </c>
      <c r="B1980" s="1" t="s">
        <v>68</v>
      </c>
      <c r="C1980" s="1" t="s">
        <v>163</v>
      </c>
      <c r="D1980">
        <v>6031</v>
      </c>
      <c r="E1980" s="1"/>
      <c r="F1980" s="1" t="s">
        <v>295</v>
      </c>
      <c r="G1980">
        <v>2014</v>
      </c>
      <c r="H1980">
        <v>75220.28</v>
      </c>
      <c r="I1980">
        <v>5</v>
      </c>
      <c r="J1980" s="1" t="s">
        <v>433</v>
      </c>
      <c r="K1980">
        <v>0</v>
      </c>
      <c r="L1980">
        <v>0</v>
      </c>
      <c r="M1980">
        <v>752202.8</v>
      </c>
      <c r="N1980">
        <v>1</v>
      </c>
      <c r="O1980" s="1" t="s">
        <v>562</v>
      </c>
      <c r="P1980">
        <v>87858.59</v>
      </c>
      <c r="Q1980">
        <v>11070.18</v>
      </c>
      <c r="R1980">
        <v>1</v>
      </c>
      <c r="S1980" s="1" t="s">
        <v>816</v>
      </c>
      <c r="T1980" s="1"/>
      <c r="U1980">
        <v>75220.274040000004</v>
      </c>
      <c r="V1980">
        <v>0</v>
      </c>
      <c r="W1980">
        <v>60629</v>
      </c>
    </row>
    <row r="1981" spans="1:23" x14ac:dyDescent="0.25">
      <c r="A1981" s="1" t="s">
        <v>32</v>
      </c>
      <c r="B1981" s="1" t="s">
        <v>68</v>
      </c>
      <c r="C1981" s="1" t="s">
        <v>163</v>
      </c>
      <c r="D1981">
        <v>6031</v>
      </c>
      <c r="E1981" s="1"/>
      <c r="F1981" s="1" t="s">
        <v>295</v>
      </c>
      <c r="G1981">
        <v>2014</v>
      </c>
      <c r="H1981">
        <v>14533.84</v>
      </c>
      <c r="I1981">
        <v>5</v>
      </c>
      <c r="J1981" s="1" t="s">
        <v>433</v>
      </c>
      <c r="K1981">
        <v>0</v>
      </c>
      <c r="L1981">
        <v>0</v>
      </c>
      <c r="M1981">
        <v>145338.4</v>
      </c>
      <c r="N1981">
        <v>1</v>
      </c>
      <c r="O1981" s="1" t="s">
        <v>564</v>
      </c>
      <c r="P1981">
        <v>16495.810000000001</v>
      </c>
      <c r="Q1981">
        <v>3488.55</v>
      </c>
      <c r="R1981">
        <v>1</v>
      </c>
      <c r="S1981" s="1" t="s">
        <v>817</v>
      </c>
      <c r="T1981" s="1"/>
      <c r="U1981">
        <v>1345.72666</v>
      </c>
      <c r="V1981">
        <v>0</v>
      </c>
      <c r="W1981">
        <v>60685</v>
      </c>
    </row>
    <row r="1982" spans="1:23" x14ac:dyDescent="0.25">
      <c r="A1982" s="1" t="s">
        <v>32</v>
      </c>
      <c r="B1982" s="1" t="s">
        <v>68</v>
      </c>
      <c r="C1982" s="1" t="s">
        <v>163</v>
      </c>
      <c r="D1982">
        <v>6031</v>
      </c>
      <c r="E1982" s="1"/>
      <c r="F1982" s="1" t="s">
        <v>295</v>
      </c>
      <c r="G1982">
        <v>2014</v>
      </c>
      <c r="H1982">
        <v>7395.99</v>
      </c>
      <c r="I1982">
        <v>5</v>
      </c>
      <c r="J1982" s="1" t="s">
        <v>433</v>
      </c>
      <c r="K1982">
        <v>0</v>
      </c>
      <c r="L1982">
        <v>0</v>
      </c>
      <c r="M1982">
        <v>73959.899999999994</v>
      </c>
      <c r="N1982">
        <v>1</v>
      </c>
      <c r="O1982" s="1" t="s">
        <v>562</v>
      </c>
      <c r="P1982">
        <v>8894.9</v>
      </c>
      <c r="Q1982">
        <v>1120.75</v>
      </c>
      <c r="R1982">
        <v>1</v>
      </c>
      <c r="S1982" s="1" t="s">
        <v>818</v>
      </c>
      <c r="T1982" s="1"/>
      <c r="U1982">
        <v>7395.9789000000001</v>
      </c>
      <c r="V1982">
        <v>0</v>
      </c>
      <c r="W1982">
        <v>60630</v>
      </c>
    </row>
    <row r="1983" spans="1:23" x14ac:dyDescent="0.25">
      <c r="A1983" s="1" t="s">
        <v>32</v>
      </c>
      <c r="B1983" s="1" t="s">
        <v>68</v>
      </c>
      <c r="C1983" s="1" t="s">
        <v>163</v>
      </c>
      <c r="D1983">
        <v>6031</v>
      </c>
      <c r="E1983" s="1"/>
      <c r="F1983" s="1" t="s">
        <v>295</v>
      </c>
      <c r="G1983">
        <v>2014</v>
      </c>
      <c r="H1983">
        <v>151094.29</v>
      </c>
      <c r="I1983">
        <v>5</v>
      </c>
      <c r="J1983" s="1" t="s">
        <v>433</v>
      </c>
      <c r="K1983">
        <v>0</v>
      </c>
      <c r="L1983">
        <v>0</v>
      </c>
      <c r="M1983">
        <v>1510942.9</v>
      </c>
      <c r="N1983">
        <v>1</v>
      </c>
      <c r="O1983" s="1" t="s">
        <v>565</v>
      </c>
      <c r="P1983">
        <v>177634.66</v>
      </c>
      <c r="Q1983">
        <v>22381.97</v>
      </c>
      <c r="R1983">
        <v>1</v>
      </c>
      <c r="S1983" s="1" t="s">
        <v>819</v>
      </c>
      <c r="T1983" s="1"/>
      <c r="U1983">
        <v>151.09429</v>
      </c>
      <c r="V1983">
        <v>0</v>
      </c>
      <c r="W1983">
        <v>60628</v>
      </c>
    </row>
    <row r="1984" spans="1:23" x14ac:dyDescent="0.25">
      <c r="A1984" s="1" t="s">
        <v>32</v>
      </c>
      <c r="B1984" s="1" t="s">
        <v>68</v>
      </c>
      <c r="C1984" s="1" t="s">
        <v>163</v>
      </c>
      <c r="D1984">
        <v>6031</v>
      </c>
      <c r="E1984" s="1"/>
      <c r="F1984" s="1" t="s">
        <v>295</v>
      </c>
      <c r="G1984">
        <v>2013</v>
      </c>
      <c r="H1984">
        <v>77486.02</v>
      </c>
      <c r="I1984">
        <v>11</v>
      </c>
      <c r="J1984" s="1" t="s">
        <v>433</v>
      </c>
      <c r="K1984">
        <v>0</v>
      </c>
      <c r="L1984">
        <v>0</v>
      </c>
      <c r="M1984">
        <v>774860.2</v>
      </c>
      <c r="N1984">
        <v>1</v>
      </c>
      <c r="O1984" s="1" t="s">
        <v>562</v>
      </c>
      <c r="P1984">
        <v>95994.8</v>
      </c>
      <c r="Q1984">
        <v>12095.34</v>
      </c>
      <c r="R1984">
        <v>1</v>
      </c>
      <c r="S1984" s="1" t="s">
        <v>816</v>
      </c>
      <c r="T1984" s="1"/>
      <c r="U1984">
        <v>77486.017619999999</v>
      </c>
      <c r="V1984">
        <v>0</v>
      </c>
      <c r="W1984">
        <v>60629</v>
      </c>
    </row>
    <row r="1985" spans="1:23" x14ac:dyDescent="0.25">
      <c r="A1985" s="1" t="s">
        <v>32</v>
      </c>
      <c r="B1985" s="1" t="s">
        <v>68</v>
      </c>
      <c r="C1985" s="1" t="s">
        <v>163</v>
      </c>
      <c r="D1985">
        <v>6031</v>
      </c>
      <c r="E1985" s="1"/>
      <c r="F1985" s="1" t="s">
        <v>295</v>
      </c>
      <c r="G1985">
        <v>2013</v>
      </c>
      <c r="H1985">
        <v>5428.81</v>
      </c>
      <c r="I1985">
        <v>10</v>
      </c>
      <c r="J1985" s="1" t="s">
        <v>433</v>
      </c>
      <c r="K1985">
        <v>0</v>
      </c>
      <c r="L1985">
        <v>0</v>
      </c>
      <c r="M1985">
        <v>54288.1</v>
      </c>
      <c r="N1985">
        <v>1</v>
      </c>
      <c r="O1985" s="1" t="s">
        <v>564</v>
      </c>
      <c r="P1985">
        <v>8776.77</v>
      </c>
      <c r="Q1985">
        <v>1856.13</v>
      </c>
      <c r="R1985">
        <v>1</v>
      </c>
      <c r="S1985" s="1" t="s">
        <v>817</v>
      </c>
      <c r="T1985" s="1"/>
      <c r="U1985">
        <v>502.66813000000002</v>
      </c>
      <c r="V1985">
        <v>0</v>
      </c>
      <c r="W1985">
        <v>60685</v>
      </c>
    </row>
    <row r="1986" spans="1:23" x14ac:dyDescent="0.25">
      <c r="A1986" s="1" t="s">
        <v>32</v>
      </c>
      <c r="B1986" s="1" t="s">
        <v>68</v>
      </c>
      <c r="C1986" s="1" t="s">
        <v>163</v>
      </c>
      <c r="D1986">
        <v>6031</v>
      </c>
      <c r="E1986" s="1"/>
      <c r="F1986" s="1" t="s">
        <v>295</v>
      </c>
      <c r="G1986">
        <v>2013</v>
      </c>
      <c r="H1986">
        <v>7166.56</v>
      </c>
      <c r="I1986">
        <v>11</v>
      </c>
      <c r="J1986" s="1" t="s">
        <v>433</v>
      </c>
      <c r="K1986">
        <v>0</v>
      </c>
      <c r="L1986">
        <v>0</v>
      </c>
      <c r="M1986">
        <v>71665.600000000006</v>
      </c>
      <c r="N1986">
        <v>1</v>
      </c>
      <c r="O1986" s="1" t="s">
        <v>562</v>
      </c>
      <c r="P1986">
        <v>7540.71</v>
      </c>
      <c r="Q1986">
        <v>950.13</v>
      </c>
      <c r="R1986">
        <v>1</v>
      </c>
      <c r="S1986" s="1" t="s">
        <v>818</v>
      </c>
      <c r="T1986" s="1"/>
      <c r="U1986">
        <v>7166.5509599999996</v>
      </c>
      <c r="V1986">
        <v>0</v>
      </c>
      <c r="W1986">
        <v>60630</v>
      </c>
    </row>
    <row r="1987" spans="1:23" x14ac:dyDescent="0.25">
      <c r="A1987" s="1" t="s">
        <v>32</v>
      </c>
      <c r="B1987" s="1" t="s">
        <v>68</v>
      </c>
      <c r="C1987" s="1" t="s">
        <v>163</v>
      </c>
      <c r="D1987">
        <v>6031</v>
      </c>
      <c r="E1987" s="1"/>
      <c r="F1987" s="1" t="s">
        <v>295</v>
      </c>
      <c r="G1987">
        <v>2013</v>
      </c>
      <c r="H1987">
        <v>170263.15</v>
      </c>
      <c r="I1987">
        <v>11</v>
      </c>
      <c r="J1987" s="1" t="s">
        <v>433</v>
      </c>
      <c r="K1987">
        <v>0</v>
      </c>
      <c r="L1987">
        <v>0</v>
      </c>
      <c r="M1987">
        <v>1702631.5</v>
      </c>
      <c r="N1987">
        <v>1</v>
      </c>
      <c r="O1987" s="1" t="s">
        <v>565</v>
      </c>
      <c r="P1987">
        <v>196253.54</v>
      </c>
      <c r="Q1987">
        <v>24727.96</v>
      </c>
      <c r="R1987">
        <v>1</v>
      </c>
      <c r="S1987" s="1" t="s">
        <v>819</v>
      </c>
      <c r="T1987" s="1"/>
      <c r="U1987">
        <v>170.26315</v>
      </c>
      <c r="V1987">
        <v>0</v>
      </c>
      <c r="W1987">
        <v>60628</v>
      </c>
    </row>
    <row r="1988" spans="1:23" x14ac:dyDescent="0.25">
      <c r="A1988" s="1" t="s">
        <v>32</v>
      </c>
      <c r="B1988" s="1" t="s">
        <v>68</v>
      </c>
      <c r="C1988" s="1" t="s">
        <v>163</v>
      </c>
      <c r="D1988">
        <v>6031</v>
      </c>
      <c r="E1988" s="1"/>
      <c r="F1988" s="1" t="s">
        <v>295</v>
      </c>
      <c r="G1988">
        <v>2012</v>
      </c>
      <c r="H1988">
        <v>189746.55</v>
      </c>
      <c r="I1988">
        <v>10</v>
      </c>
      <c r="J1988" s="1" t="s">
        <v>433</v>
      </c>
      <c r="K1988">
        <v>0</v>
      </c>
      <c r="L1988">
        <v>0</v>
      </c>
      <c r="M1988">
        <v>1897465.5</v>
      </c>
      <c r="N1988">
        <v>1</v>
      </c>
      <c r="O1988" s="1" t="s">
        <v>565</v>
      </c>
      <c r="P1988">
        <v>202051.18</v>
      </c>
      <c r="Q1988">
        <v>25458.46</v>
      </c>
      <c r="R1988">
        <v>1</v>
      </c>
      <c r="S1988" s="1" t="s">
        <v>819</v>
      </c>
      <c r="T1988" s="1"/>
      <c r="U1988">
        <v>189.74655000000001</v>
      </c>
      <c r="V1988">
        <v>0</v>
      </c>
      <c r="W1988">
        <v>60628</v>
      </c>
    </row>
    <row r="1989" spans="1:23" x14ac:dyDescent="0.25">
      <c r="A1989" s="1" t="s">
        <v>32</v>
      </c>
      <c r="B1989" s="1" t="s">
        <v>68</v>
      </c>
      <c r="C1989" s="1" t="s">
        <v>163</v>
      </c>
      <c r="D1989">
        <v>6031</v>
      </c>
      <c r="E1989" s="1"/>
      <c r="F1989" s="1" t="s">
        <v>295</v>
      </c>
      <c r="G1989">
        <v>2012</v>
      </c>
      <c r="H1989">
        <v>74443.47</v>
      </c>
      <c r="I1989">
        <v>10</v>
      </c>
      <c r="J1989" s="1" t="s">
        <v>433</v>
      </c>
      <c r="K1989">
        <v>0</v>
      </c>
      <c r="L1989">
        <v>0</v>
      </c>
      <c r="M1989">
        <v>744434.7</v>
      </c>
      <c r="N1989">
        <v>1</v>
      </c>
      <c r="O1989" s="1" t="s">
        <v>562</v>
      </c>
      <c r="P1989">
        <v>81037.13</v>
      </c>
      <c r="Q1989">
        <v>10210.69</v>
      </c>
      <c r="R1989">
        <v>1</v>
      </c>
      <c r="S1989" s="1" t="s">
        <v>816</v>
      </c>
      <c r="T1989" s="1"/>
      <c r="U1989">
        <v>74443.474979999999</v>
      </c>
      <c r="V1989">
        <v>0</v>
      </c>
      <c r="W1989">
        <v>60629</v>
      </c>
    </row>
    <row r="1990" spans="1:23" x14ac:dyDescent="0.25">
      <c r="A1990" s="1" t="s">
        <v>32</v>
      </c>
      <c r="B1990" s="1" t="s">
        <v>68</v>
      </c>
      <c r="C1990" s="1" t="s">
        <v>163</v>
      </c>
      <c r="D1990">
        <v>6031</v>
      </c>
      <c r="E1990" s="1"/>
      <c r="F1990" s="1" t="s">
        <v>295</v>
      </c>
      <c r="G1990">
        <v>2012</v>
      </c>
      <c r="H1990">
        <v>8205.42</v>
      </c>
      <c r="I1990">
        <v>10</v>
      </c>
      <c r="J1990" s="1" t="s">
        <v>433</v>
      </c>
      <c r="K1990">
        <v>0</v>
      </c>
      <c r="L1990">
        <v>0</v>
      </c>
      <c r="M1990">
        <v>82054.2</v>
      </c>
      <c r="N1990">
        <v>1</v>
      </c>
      <c r="O1990" s="1" t="s">
        <v>562</v>
      </c>
      <c r="P1990">
        <v>8720.3799999999992</v>
      </c>
      <c r="Q1990">
        <v>1098.76</v>
      </c>
      <c r="R1990">
        <v>1</v>
      </c>
      <c r="S1990" s="1" t="s">
        <v>818</v>
      </c>
      <c r="T1990" s="1"/>
      <c r="U1990">
        <v>8205.4145900000003</v>
      </c>
      <c r="V1990">
        <v>0</v>
      </c>
      <c r="W1990">
        <v>60630</v>
      </c>
    </row>
    <row r="1991" spans="1:23" x14ac:dyDescent="0.25">
      <c r="A1991" s="1" t="s">
        <v>32</v>
      </c>
      <c r="B1991" s="1" t="s">
        <v>68</v>
      </c>
      <c r="C1991" s="1" t="s">
        <v>163</v>
      </c>
      <c r="D1991">
        <v>6031</v>
      </c>
      <c r="E1991" s="1"/>
      <c r="F1991" s="1" t="s">
        <v>295</v>
      </c>
      <c r="G1991">
        <v>2012</v>
      </c>
      <c r="H1991">
        <v>5414.82</v>
      </c>
      <c r="I1991">
        <v>10</v>
      </c>
      <c r="J1991" s="1" t="s">
        <v>433</v>
      </c>
      <c r="K1991">
        <v>0</v>
      </c>
      <c r="L1991">
        <v>0</v>
      </c>
      <c r="M1991">
        <v>54148.2</v>
      </c>
      <c r="N1991">
        <v>1</v>
      </c>
      <c r="O1991" s="1" t="s">
        <v>564</v>
      </c>
      <c r="P1991">
        <v>6134.38</v>
      </c>
      <c r="Q1991">
        <v>1297.32</v>
      </c>
      <c r="R1991">
        <v>1</v>
      </c>
      <c r="S1991" s="1" t="s">
        <v>817</v>
      </c>
      <c r="T1991" s="1"/>
      <c r="U1991">
        <v>501.37186000000003</v>
      </c>
      <c r="V1991">
        <v>0</v>
      </c>
      <c r="W1991">
        <v>60685</v>
      </c>
    </row>
    <row r="1992" spans="1:23" x14ac:dyDescent="0.25">
      <c r="A1992" s="1" t="s">
        <v>32</v>
      </c>
      <c r="B1992" s="1" t="s">
        <v>68</v>
      </c>
      <c r="C1992" s="1" t="s">
        <v>163</v>
      </c>
      <c r="D1992">
        <v>6031</v>
      </c>
      <c r="E1992" s="1"/>
      <c r="F1992" s="1" t="s">
        <v>295</v>
      </c>
      <c r="G1992">
        <v>2011</v>
      </c>
      <c r="H1992">
        <v>7194.19</v>
      </c>
      <c r="I1992">
        <v>11</v>
      </c>
      <c r="J1992" s="1" t="s">
        <v>433</v>
      </c>
      <c r="K1992">
        <v>0</v>
      </c>
      <c r="L1992">
        <v>0</v>
      </c>
      <c r="M1992">
        <v>71941.899999999994</v>
      </c>
      <c r="N1992">
        <v>1</v>
      </c>
      <c r="O1992" s="1" t="s">
        <v>562</v>
      </c>
      <c r="P1992">
        <v>7655.15</v>
      </c>
      <c r="Q1992">
        <v>964.55</v>
      </c>
      <c r="R1992">
        <v>1</v>
      </c>
      <c r="S1992" s="1" t="s">
        <v>818</v>
      </c>
      <c r="T1992" s="1"/>
      <c r="U1992">
        <v>7194.1892500000004</v>
      </c>
      <c r="V1992">
        <v>0</v>
      </c>
      <c r="W1992">
        <v>60630</v>
      </c>
    </row>
    <row r="1993" spans="1:23" x14ac:dyDescent="0.25">
      <c r="A1993" s="1" t="s">
        <v>32</v>
      </c>
      <c r="B1993" s="1" t="s">
        <v>68</v>
      </c>
      <c r="C1993" s="1" t="s">
        <v>163</v>
      </c>
      <c r="D1993">
        <v>6031</v>
      </c>
      <c r="E1993" s="1"/>
      <c r="F1993" s="1" t="s">
        <v>295</v>
      </c>
      <c r="G1993">
        <v>2011</v>
      </c>
      <c r="H1993">
        <v>186642.43</v>
      </c>
      <c r="I1993">
        <v>11</v>
      </c>
      <c r="J1993" s="1" t="s">
        <v>433</v>
      </c>
      <c r="K1993">
        <v>0</v>
      </c>
      <c r="L1993">
        <v>0</v>
      </c>
      <c r="M1993">
        <v>1866424.3</v>
      </c>
      <c r="N1993">
        <v>1</v>
      </c>
      <c r="O1993" s="1" t="s">
        <v>565</v>
      </c>
      <c r="P1993">
        <v>203653.98</v>
      </c>
      <c r="Q1993">
        <v>25660.400000000001</v>
      </c>
      <c r="R1993">
        <v>1</v>
      </c>
      <c r="S1993" s="1" t="s">
        <v>819</v>
      </c>
      <c r="T1993" s="1"/>
      <c r="U1993">
        <v>186.64242999999999</v>
      </c>
      <c r="V1993">
        <v>0</v>
      </c>
      <c r="W1993">
        <v>60628</v>
      </c>
    </row>
    <row r="1994" spans="1:23" x14ac:dyDescent="0.25">
      <c r="A1994" s="1" t="s">
        <v>32</v>
      </c>
      <c r="B1994" s="1" t="s">
        <v>68</v>
      </c>
      <c r="C1994" s="1" t="s">
        <v>163</v>
      </c>
      <c r="D1994">
        <v>6031</v>
      </c>
      <c r="E1994" s="1"/>
      <c r="F1994" s="1" t="s">
        <v>295</v>
      </c>
      <c r="G1994">
        <v>2011</v>
      </c>
      <c r="H1994">
        <v>75121.56</v>
      </c>
      <c r="I1994">
        <v>11</v>
      </c>
      <c r="J1994" s="1" t="s">
        <v>433</v>
      </c>
      <c r="K1994">
        <v>0</v>
      </c>
      <c r="L1994">
        <v>0</v>
      </c>
      <c r="M1994">
        <v>751215.6</v>
      </c>
      <c r="N1994">
        <v>1</v>
      </c>
      <c r="O1994" s="1" t="s">
        <v>562</v>
      </c>
      <c r="P1994">
        <v>83295.66</v>
      </c>
      <c r="Q1994">
        <v>10495.25</v>
      </c>
      <c r="R1994">
        <v>1</v>
      </c>
      <c r="S1994" s="1" t="s">
        <v>816</v>
      </c>
      <c r="T1994" s="1"/>
      <c r="U1994">
        <v>75121.561289999998</v>
      </c>
      <c r="V1994">
        <v>0</v>
      </c>
      <c r="W1994">
        <v>60629</v>
      </c>
    </row>
    <row r="1995" spans="1:23" x14ac:dyDescent="0.25">
      <c r="A1995" s="1" t="s">
        <v>32</v>
      </c>
      <c r="B1995" s="1" t="s">
        <v>68</v>
      </c>
      <c r="C1995" s="1" t="s">
        <v>163</v>
      </c>
      <c r="D1995">
        <v>6031</v>
      </c>
      <c r="E1995" s="1"/>
      <c r="F1995" s="1" t="s">
        <v>295</v>
      </c>
      <c r="G1995">
        <v>2011</v>
      </c>
      <c r="H1995">
        <v>5977.19</v>
      </c>
      <c r="I1995">
        <v>11</v>
      </c>
      <c r="J1995" s="1" t="s">
        <v>433</v>
      </c>
      <c r="K1995">
        <v>0</v>
      </c>
      <c r="L1995">
        <v>0</v>
      </c>
      <c r="M1995">
        <v>59771.9</v>
      </c>
      <c r="N1995">
        <v>1</v>
      </c>
      <c r="O1995" s="1" t="s">
        <v>564</v>
      </c>
      <c r="P1995">
        <v>7244.67</v>
      </c>
      <c r="Q1995">
        <v>1532.11</v>
      </c>
      <c r="R1995">
        <v>1</v>
      </c>
      <c r="S1995" s="1" t="s">
        <v>817</v>
      </c>
      <c r="T1995" s="1"/>
      <c r="U1995">
        <v>553.44321000000002</v>
      </c>
      <c r="V1995">
        <v>0</v>
      </c>
      <c r="W1995">
        <v>60685</v>
      </c>
    </row>
    <row r="1996" spans="1:23" x14ac:dyDescent="0.25">
      <c r="A1996" s="1" t="s">
        <v>32</v>
      </c>
      <c r="B1996" s="1" t="s">
        <v>68</v>
      </c>
      <c r="C1996" s="1" t="s">
        <v>163</v>
      </c>
      <c r="D1996">
        <v>6031</v>
      </c>
      <c r="E1996" s="1"/>
      <c r="F1996" s="1" t="s">
        <v>295</v>
      </c>
      <c r="G1996">
        <v>2010</v>
      </c>
      <c r="H1996">
        <v>9969.89</v>
      </c>
      <c r="I1996">
        <v>12</v>
      </c>
      <c r="J1996" s="1" t="s">
        <v>433</v>
      </c>
      <c r="K1996">
        <v>0</v>
      </c>
      <c r="L1996">
        <v>0</v>
      </c>
      <c r="M1996">
        <v>99698.9</v>
      </c>
      <c r="N1996">
        <v>1</v>
      </c>
      <c r="O1996" s="1" t="s">
        <v>562</v>
      </c>
      <c r="P1996">
        <v>9024.02</v>
      </c>
      <c r="Q1996">
        <v>1137.03</v>
      </c>
      <c r="R1996">
        <v>1</v>
      </c>
      <c r="S1996" s="1" t="s">
        <v>818</v>
      </c>
      <c r="T1996" s="1"/>
      <c r="U1996">
        <v>9969.8879500000003</v>
      </c>
      <c r="V1996">
        <v>0</v>
      </c>
      <c r="W1996">
        <v>60630</v>
      </c>
    </row>
    <row r="1997" spans="1:23" x14ac:dyDescent="0.25">
      <c r="A1997" s="1" t="s">
        <v>32</v>
      </c>
      <c r="B1997" s="1" t="s">
        <v>68</v>
      </c>
      <c r="C1997" s="1" t="s">
        <v>163</v>
      </c>
      <c r="D1997">
        <v>6031</v>
      </c>
      <c r="E1997" s="1"/>
      <c r="F1997" s="1" t="s">
        <v>295</v>
      </c>
      <c r="G1997">
        <v>2010</v>
      </c>
      <c r="H1997">
        <v>227672.91</v>
      </c>
      <c r="I1997">
        <v>12</v>
      </c>
      <c r="J1997" s="1" t="s">
        <v>433</v>
      </c>
      <c r="K1997">
        <v>0</v>
      </c>
      <c r="L1997">
        <v>0</v>
      </c>
      <c r="M1997">
        <v>2276729.1</v>
      </c>
      <c r="N1997">
        <v>1</v>
      </c>
      <c r="O1997" s="1" t="s">
        <v>565</v>
      </c>
      <c r="P1997">
        <v>217664.68</v>
      </c>
      <c r="Q1997">
        <v>27425.74</v>
      </c>
      <c r="R1997">
        <v>1</v>
      </c>
      <c r="S1997" s="1" t="s">
        <v>819</v>
      </c>
      <c r="T1997" s="1"/>
      <c r="U1997">
        <v>227.67291</v>
      </c>
      <c r="V1997">
        <v>0</v>
      </c>
      <c r="W1997">
        <v>60628</v>
      </c>
    </row>
    <row r="1998" spans="1:23" x14ac:dyDescent="0.25">
      <c r="A1998" s="1" t="s">
        <v>32</v>
      </c>
      <c r="B1998" s="1" t="s">
        <v>68</v>
      </c>
      <c r="C1998" s="1" t="s">
        <v>163</v>
      </c>
      <c r="D1998">
        <v>6031</v>
      </c>
      <c r="E1998" s="1"/>
      <c r="F1998" s="1" t="s">
        <v>295</v>
      </c>
      <c r="G1998">
        <v>2010</v>
      </c>
      <c r="H1998">
        <v>83202.95</v>
      </c>
      <c r="I1998">
        <v>12</v>
      </c>
      <c r="J1998" s="1" t="s">
        <v>433</v>
      </c>
      <c r="K1998">
        <v>0</v>
      </c>
      <c r="L1998">
        <v>0</v>
      </c>
      <c r="M1998">
        <v>832029.5</v>
      </c>
      <c r="N1998">
        <v>1</v>
      </c>
      <c r="O1998" s="1" t="s">
        <v>562</v>
      </c>
      <c r="P1998">
        <v>92640.31</v>
      </c>
      <c r="Q1998">
        <v>11672.67</v>
      </c>
      <c r="R1998">
        <v>1</v>
      </c>
      <c r="S1998" s="1" t="s">
        <v>816</v>
      </c>
      <c r="T1998" s="1"/>
      <c r="U1998">
        <v>83202.943969999993</v>
      </c>
      <c r="V1998">
        <v>0</v>
      </c>
      <c r="W1998">
        <v>60629</v>
      </c>
    </row>
    <row r="1999" spans="1:23" x14ac:dyDescent="0.25">
      <c r="A1999" s="1" t="s">
        <v>32</v>
      </c>
      <c r="B1999" s="1" t="s">
        <v>68</v>
      </c>
      <c r="C1999" s="1" t="s">
        <v>163</v>
      </c>
      <c r="D1999">
        <v>6031</v>
      </c>
      <c r="E1999" s="1"/>
      <c r="F1999" s="1" t="s">
        <v>295</v>
      </c>
      <c r="G1999">
        <v>2010</v>
      </c>
      <c r="H1999">
        <v>7232.57</v>
      </c>
      <c r="I1999">
        <v>11</v>
      </c>
      <c r="J1999" s="1" t="s">
        <v>433</v>
      </c>
      <c r="K1999">
        <v>0</v>
      </c>
      <c r="L1999">
        <v>0</v>
      </c>
      <c r="M1999">
        <v>72325.7</v>
      </c>
      <c r="N1999">
        <v>1</v>
      </c>
      <c r="O1999" s="1" t="s">
        <v>564</v>
      </c>
      <c r="P1999">
        <v>10877.31</v>
      </c>
      <c r="Q1999">
        <v>2300.34</v>
      </c>
      <c r="R1999">
        <v>1</v>
      </c>
      <c r="S1999" s="1" t="s">
        <v>817</v>
      </c>
      <c r="T1999" s="1"/>
      <c r="U1999">
        <v>669.68308999999999</v>
      </c>
      <c r="V1999">
        <v>0</v>
      </c>
      <c r="W1999">
        <v>60685</v>
      </c>
    </row>
    <row r="2000" spans="1:23" x14ac:dyDescent="0.25">
      <c r="A2000" s="1" t="s">
        <v>32</v>
      </c>
      <c r="B2000" s="1" t="s">
        <v>68</v>
      </c>
      <c r="C2000" s="1" t="s">
        <v>163</v>
      </c>
      <c r="D2000">
        <v>6031</v>
      </c>
      <c r="E2000" s="1"/>
      <c r="F2000" s="1" t="s">
        <v>295</v>
      </c>
      <c r="G2000">
        <v>2009</v>
      </c>
      <c r="H2000">
        <v>7410.39</v>
      </c>
      <c r="I2000">
        <v>12</v>
      </c>
      <c r="J2000" s="1" t="s">
        <v>433</v>
      </c>
      <c r="K2000">
        <v>0</v>
      </c>
      <c r="L2000">
        <v>0</v>
      </c>
      <c r="M2000">
        <v>74103.899999999994</v>
      </c>
      <c r="N2000">
        <v>1</v>
      </c>
      <c r="O2000" s="1" t="s">
        <v>562</v>
      </c>
      <c r="P2000">
        <v>7861.44</v>
      </c>
      <c r="Q2000">
        <v>990.53</v>
      </c>
      <c r="R2000">
        <v>1</v>
      </c>
      <c r="S2000" s="1" t="s">
        <v>818</v>
      </c>
      <c r="T2000" s="1"/>
      <c r="U2000">
        <v>7410.3777</v>
      </c>
      <c r="V2000">
        <v>0</v>
      </c>
      <c r="W2000">
        <v>60630</v>
      </c>
    </row>
    <row r="2001" spans="1:23" x14ac:dyDescent="0.25">
      <c r="A2001" s="1" t="s">
        <v>32</v>
      </c>
      <c r="B2001" s="1" t="s">
        <v>68</v>
      </c>
      <c r="C2001" s="1" t="s">
        <v>163</v>
      </c>
      <c r="D2001">
        <v>6031</v>
      </c>
      <c r="E2001" s="1"/>
      <c r="F2001" s="1" t="s">
        <v>295</v>
      </c>
      <c r="G2001">
        <v>2009</v>
      </c>
      <c r="H2001">
        <v>200189.41</v>
      </c>
      <c r="I2001">
        <v>12</v>
      </c>
      <c r="J2001" s="1" t="s">
        <v>433</v>
      </c>
      <c r="K2001">
        <v>0</v>
      </c>
      <c r="L2001">
        <v>0</v>
      </c>
      <c r="M2001">
        <v>2001894.1</v>
      </c>
      <c r="N2001">
        <v>1</v>
      </c>
      <c r="O2001" s="1" t="s">
        <v>565</v>
      </c>
      <c r="P2001">
        <v>222199.14</v>
      </c>
      <c r="Q2001">
        <v>27997.11</v>
      </c>
      <c r="R2001">
        <v>1</v>
      </c>
      <c r="S2001" s="1" t="s">
        <v>819</v>
      </c>
      <c r="T2001" s="1"/>
      <c r="U2001">
        <v>200.18941000000001</v>
      </c>
      <c r="V2001">
        <v>0</v>
      </c>
      <c r="W2001">
        <v>60628</v>
      </c>
    </row>
    <row r="2002" spans="1:23" x14ac:dyDescent="0.25">
      <c r="A2002" s="1" t="s">
        <v>32</v>
      </c>
      <c r="B2002" s="1" t="s">
        <v>68</v>
      </c>
      <c r="C2002" s="1" t="s">
        <v>163</v>
      </c>
      <c r="D2002">
        <v>6031</v>
      </c>
      <c r="E2002" s="1"/>
      <c r="F2002" s="1" t="s">
        <v>295</v>
      </c>
      <c r="G2002">
        <v>2009</v>
      </c>
      <c r="H2002">
        <v>78841.69</v>
      </c>
      <c r="I2002">
        <v>12</v>
      </c>
      <c r="J2002" s="1" t="s">
        <v>433</v>
      </c>
      <c r="K2002">
        <v>0</v>
      </c>
      <c r="L2002">
        <v>0</v>
      </c>
      <c r="M2002">
        <v>788416.9</v>
      </c>
      <c r="N2002">
        <v>1</v>
      </c>
      <c r="O2002" s="1" t="s">
        <v>562</v>
      </c>
      <c r="P2002">
        <v>93361.85</v>
      </c>
      <c r="Q2002">
        <v>11763.58</v>
      </c>
      <c r="R2002">
        <v>1</v>
      </c>
      <c r="S2002" s="1" t="s">
        <v>816</v>
      </c>
      <c r="T2002" s="1"/>
      <c r="U2002">
        <v>78841.688850000006</v>
      </c>
      <c r="V2002">
        <v>0</v>
      </c>
      <c r="W2002">
        <v>60629</v>
      </c>
    </row>
    <row r="2003" spans="1:23" x14ac:dyDescent="0.25">
      <c r="A2003" s="1" t="s">
        <v>32</v>
      </c>
      <c r="B2003" s="1" t="s">
        <v>68</v>
      </c>
      <c r="C2003" s="1" t="s">
        <v>163</v>
      </c>
      <c r="D2003">
        <v>6031</v>
      </c>
      <c r="E2003" s="1"/>
      <c r="F2003" s="1" t="s">
        <v>295</v>
      </c>
      <c r="G2003">
        <v>2009</v>
      </c>
      <c r="H2003">
        <v>13554.09</v>
      </c>
      <c r="I2003">
        <v>12</v>
      </c>
      <c r="J2003" s="1" t="s">
        <v>433</v>
      </c>
      <c r="K2003">
        <v>0</v>
      </c>
      <c r="L2003">
        <v>0</v>
      </c>
      <c r="M2003">
        <v>135540.9</v>
      </c>
      <c r="N2003">
        <v>1</v>
      </c>
      <c r="O2003" s="1" t="s">
        <v>564</v>
      </c>
      <c r="P2003">
        <v>20172.43</v>
      </c>
      <c r="Q2003">
        <v>4266.09</v>
      </c>
      <c r="R2003">
        <v>1</v>
      </c>
      <c r="S2003" s="1" t="s">
        <v>817</v>
      </c>
      <c r="T2003" s="1"/>
      <c r="U2003">
        <v>1255.0089700000001</v>
      </c>
      <c r="V2003">
        <v>0</v>
      </c>
      <c r="W2003">
        <v>60685</v>
      </c>
    </row>
    <row r="2004" spans="1:23" x14ac:dyDescent="0.25">
      <c r="A2004" s="1" t="s">
        <v>32</v>
      </c>
      <c r="B2004" s="1" t="s">
        <v>68</v>
      </c>
      <c r="C2004" s="1" t="s">
        <v>163</v>
      </c>
      <c r="D2004">
        <v>6031</v>
      </c>
      <c r="E2004" s="1"/>
      <c r="F2004" s="1" t="s">
        <v>295</v>
      </c>
      <c r="G2004">
        <v>2008</v>
      </c>
      <c r="H2004">
        <v>58968.24</v>
      </c>
      <c r="I2004">
        <v>12</v>
      </c>
      <c r="J2004" s="1" t="s">
        <v>433</v>
      </c>
      <c r="K2004">
        <v>0</v>
      </c>
      <c r="L2004">
        <v>0</v>
      </c>
      <c r="M2004">
        <v>589682.4</v>
      </c>
      <c r="N2004">
        <v>1</v>
      </c>
      <c r="O2004" s="1" t="s">
        <v>562</v>
      </c>
      <c r="P2004">
        <v>67768.350000000006</v>
      </c>
      <c r="Q2004">
        <v>8538.83</v>
      </c>
      <c r="R2004">
        <v>1</v>
      </c>
      <c r="S2004" s="1" t="s">
        <v>816</v>
      </c>
      <c r="T2004" s="1"/>
      <c r="U2004">
        <v>58968.238140000001</v>
      </c>
      <c r="V2004">
        <v>0</v>
      </c>
      <c r="W2004">
        <v>60629</v>
      </c>
    </row>
    <row r="2005" spans="1:23" x14ac:dyDescent="0.25">
      <c r="A2005" s="1" t="s">
        <v>32</v>
      </c>
      <c r="B2005" s="1" t="s">
        <v>68</v>
      </c>
      <c r="C2005" s="1" t="s">
        <v>163</v>
      </c>
      <c r="D2005">
        <v>6031</v>
      </c>
      <c r="E2005" s="1"/>
      <c r="F2005" s="1" t="s">
        <v>295</v>
      </c>
      <c r="G2005">
        <v>2008</v>
      </c>
      <c r="H2005">
        <v>3336.41</v>
      </c>
      <c r="I2005">
        <v>12</v>
      </c>
      <c r="J2005" s="1" t="s">
        <v>433</v>
      </c>
      <c r="K2005">
        <v>0</v>
      </c>
      <c r="L2005">
        <v>0</v>
      </c>
      <c r="M2005">
        <v>33364.1</v>
      </c>
      <c r="N2005">
        <v>1</v>
      </c>
      <c r="O2005" s="1" t="s">
        <v>562</v>
      </c>
      <c r="P2005">
        <v>3987.42</v>
      </c>
      <c r="Q2005">
        <v>502.42</v>
      </c>
      <c r="R2005">
        <v>1</v>
      </c>
      <c r="S2005" s="1" t="s">
        <v>818</v>
      </c>
      <c r="T2005" s="1"/>
      <c r="U2005">
        <v>3336.4117700000002</v>
      </c>
      <c r="V2005">
        <v>0</v>
      </c>
      <c r="W2005">
        <v>60630</v>
      </c>
    </row>
    <row r="2006" spans="1:23" x14ac:dyDescent="0.25">
      <c r="A2006" s="1" t="s">
        <v>32</v>
      </c>
      <c r="B2006" s="1" t="s">
        <v>68</v>
      </c>
      <c r="C2006" s="1" t="s">
        <v>163</v>
      </c>
      <c r="D2006">
        <v>6031</v>
      </c>
      <c r="E2006" s="1"/>
      <c r="F2006" s="1" t="s">
        <v>295</v>
      </c>
      <c r="G2006">
        <v>2008</v>
      </c>
      <c r="H2006">
        <v>184738.35</v>
      </c>
      <c r="I2006">
        <v>12</v>
      </c>
      <c r="J2006" s="1" t="s">
        <v>433</v>
      </c>
      <c r="K2006">
        <v>0</v>
      </c>
      <c r="L2006">
        <v>0</v>
      </c>
      <c r="M2006">
        <v>1847383.5</v>
      </c>
      <c r="N2006">
        <v>1</v>
      </c>
      <c r="O2006" s="1" t="s">
        <v>565</v>
      </c>
      <c r="P2006">
        <v>212817.23</v>
      </c>
      <c r="Q2006">
        <v>26814.97</v>
      </c>
      <c r="R2006">
        <v>1</v>
      </c>
      <c r="S2006" s="1" t="s">
        <v>819</v>
      </c>
      <c r="T2006" s="1"/>
      <c r="U2006">
        <v>184.73835</v>
      </c>
      <c r="V2006">
        <v>0</v>
      </c>
      <c r="W2006">
        <v>60628</v>
      </c>
    </row>
    <row r="2007" spans="1:23" x14ac:dyDescent="0.25">
      <c r="A2007" s="1" t="s">
        <v>32</v>
      </c>
      <c r="B2007" s="1" t="s">
        <v>68</v>
      </c>
      <c r="C2007" s="1" t="s">
        <v>163</v>
      </c>
      <c r="D2007">
        <v>6031</v>
      </c>
      <c r="E2007" s="1"/>
      <c r="F2007" s="1" t="s">
        <v>295</v>
      </c>
      <c r="G2007">
        <v>2008</v>
      </c>
      <c r="H2007">
        <v>4207.37</v>
      </c>
      <c r="I2007">
        <v>12</v>
      </c>
      <c r="J2007" s="1" t="s">
        <v>433</v>
      </c>
      <c r="K2007">
        <v>0</v>
      </c>
      <c r="L2007">
        <v>0</v>
      </c>
      <c r="M2007">
        <v>42073.7</v>
      </c>
      <c r="N2007">
        <v>1</v>
      </c>
      <c r="O2007" s="1" t="s">
        <v>564</v>
      </c>
      <c r="P2007">
        <v>4655.5</v>
      </c>
      <c r="Q2007">
        <v>984.55</v>
      </c>
      <c r="R2007">
        <v>1</v>
      </c>
      <c r="S2007" s="1" t="s">
        <v>817</v>
      </c>
      <c r="T2007" s="1"/>
      <c r="U2007">
        <v>389.57191</v>
      </c>
      <c r="V2007">
        <v>0</v>
      </c>
      <c r="W2007">
        <v>60685</v>
      </c>
    </row>
    <row r="2008" spans="1:23" x14ac:dyDescent="0.25">
      <c r="A2008" s="1" t="s">
        <v>32</v>
      </c>
      <c r="B2008" s="1"/>
      <c r="C2008" s="1" t="s">
        <v>164</v>
      </c>
      <c r="D2008">
        <v>10207</v>
      </c>
      <c r="E2008" s="1"/>
      <c r="F2008" s="1" t="s">
        <v>296</v>
      </c>
      <c r="G2008">
        <v>2015</v>
      </c>
      <c r="H2008">
        <v>34024.43</v>
      </c>
      <c r="I2008">
        <v>5</v>
      </c>
      <c r="J2008" s="1" t="s">
        <v>399</v>
      </c>
      <c r="K2008">
        <v>0</v>
      </c>
      <c r="L2008">
        <v>505</v>
      </c>
      <c r="M2008">
        <v>67.361768999999995</v>
      </c>
      <c r="N2008">
        <v>1</v>
      </c>
      <c r="O2008" s="1" t="s">
        <v>564</v>
      </c>
      <c r="P2008">
        <v>38156.33</v>
      </c>
      <c r="Q2008">
        <v>8069.37</v>
      </c>
      <c r="R2008">
        <v>0</v>
      </c>
      <c r="S2008" s="1" t="s">
        <v>820</v>
      </c>
      <c r="T2008" s="1" t="s">
        <v>1209</v>
      </c>
      <c r="U2008">
        <v>3150.41</v>
      </c>
      <c r="V2008">
        <v>0</v>
      </c>
      <c r="W2008">
        <v>77402</v>
      </c>
    </row>
    <row r="2009" spans="1:23" x14ac:dyDescent="0.25">
      <c r="A2009" s="1" t="s">
        <v>32</v>
      </c>
      <c r="B2009" s="1"/>
      <c r="C2009" s="1" t="s">
        <v>164</v>
      </c>
      <c r="D2009">
        <v>10207</v>
      </c>
      <c r="E2009" s="1"/>
      <c r="F2009" s="1" t="s">
        <v>296</v>
      </c>
      <c r="G2009">
        <v>2014</v>
      </c>
      <c r="H2009">
        <v>55082.91</v>
      </c>
      <c r="I2009">
        <v>12</v>
      </c>
      <c r="J2009" s="1" t="s">
        <v>399</v>
      </c>
      <c r="K2009">
        <v>0</v>
      </c>
      <c r="L2009">
        <v>505</v>
      </c>
      <c r="M2009">
        <v>109.05347399999999</v>
      </c>
      <c r="N2009">
        <v>1</v>
      </c>
      <c r="O2009" s="1" t="s">
        <v>564</v>
      </c>
      <c r="P2009">
        <v>66538.42</v>
      </c>
      <c r="Q2009">
        <v>14071.62</v>
      </c>
      <c r="R2009">
        <v>0</v>
      </c>
      <c r="S2009" s="1" t="s">
        <v>820</v>
      </c>
      <c r="T2009" s="1" t="s">
        <v>1209</v>
      </c>
      <c r="U2009">
        <v>5100.2700000000004</v>
      </c>
      <c r="V2009">
        <v>0</v>
      </c>
      <c r="W2009">
        <v>77402</v>
      </c>
    </row>
    <row r="2010" spans="1:23" x14ac:dyDescent="0.25">
      <c r="A2010" s="1" t="s">
        <v>32</v>
      </c>
      <c r="B2010" s="1"/>
      <c r="C2010" s="1" t="s">
        <v>164</v>
      </c>
      <c r="D2010">
        <v>10207</v>
      </c>
      <c r="E2010" s="1"/>
      <c r="F2010" s="1" t="s">
        <v>296</v>
      </c>
      <c r="G2010">
        <v>2013</v>
      </c>
      <c r="H2010">
        <v>74438.009999999995</v>
      </c>
      <c r="I2010">
        <v>12</v>
      </c>
      <c r="J2010" s="1" t="s">
        <v>399</v>
      </c>
      <c r="K2010">
        <v>0</v>
      </c>
      <c r="L2010">
        <v>505</v>
      </c>
      <c r="M2010">
        <v>147.372817</v>
      </c>
      <c r="N2010">
        <v>1</v>
      </c>
      <c r="O2010" s="1" t="s">
        <v>564</v>
      </c>
      <c r="P2010">
        <v>77736.39</v>
      </c>
      <c r="Q2010">
        <v>16439.82</v>
      </c>
      <c r="R2010">
        <v>0</v>
      </c>
      <c r="S2010" s="1" t="s">
        <v>820</v>
      </c>
      <c r="T2010" s="1" t="s">
        <v>1209</v>
      </c>
      <c r="U2010">
        <v>6892.41</v>
      </c>
      <c r="V2010">
        <v>0</v>
      </c>
      <c r="W2010">
        <v>77402</v>
      </c>
    </row>
    <row r="2011" spans="1:23" x14ac:dyDescent="0.25">
      <c r="A2011" s="1" t="s">
        <v>32</v>
      </c>
      <c r="B2011" s="1"/>
      <c r="C2011" s="1" t="s">
        <v>164</v>
      </c>
      <c r="D2011">
        <v>10207</v>
      </c>
      <c r="E2011" s="1"/>
      <c r="F2011" s="1" t="s">
        <v>296</v>
      </c>
      <c r="G2011">
        <v>2012</v>
      </c>
      <c r="H2011">
        <v>90262.61</v>
      </c>
      <c r="I2011">
        <v>12</v>
      </c>
      <c r="J2011" s="1" t="s">
        <v>399</v>
      </c>
      <c r="K2011">
        <v>0</v>
      </c>
      <c r="L2011">
        <v>505</v>
      </c>
      <c r="M2011">
        <v>178.70245399999999</v>
      </c>
      <c r="N2011">
        <v>1</v>
      </c>
      <c r="O2011" s="1" t="s">
        <v>564</v>
      </c>
      <c r="P2011">
        <v>94315.31</v>
      </c>
      <c r="Q2011">
        <v>19945.97</v>
      </c>
      <c r="R2011">
        <v>0</v>
      </c>
      <c r="S2011" s="1" t="s">
        <v>820</v>
      </c>
      <c r="T2011" s="1" t="s">
        <v>1209</v>
      </c>
      <c r="U2011">
        <v>8357.65</v>
      </c>
      <c r="V2011">
        <v>0</v>
      </c>
      <c r="W2011">
        <v>77402</v>
      </c>
    </row>
    <row r="2012" spans="1:23" x14ac:dyDescent="0.25">
      <c r="A2012" s="1" t="s">
        <v>32</v>
      </c>
      <c r="B2012" s="1"/>
      <c r="C2012" s="1" t="s">
        <v>164</v>
      </c>
      <c r="D2012">
        <v>10207</v>
      </c>
      <c r="E2012" s="1"/>
      <c r="F2012" s="1" t="s">
        <v>296</v>
      </c>
      <c r="G2012">
        <v>2011</v>
      </c>
      <c r="H2012">
        <v>75706.259999999995</v>
      </c>
      <c r="I2012">
        <v>2</v>
      </c>
      <c r="J2012" s="1" t="s">
        <v>399</v>
      </c>
      <c r="K2012">
        <v>0</v>
      </c>
      <c r="L2012">
        <v>505</v>
      </c>
      <c r="M2012">
        <v>149.88370599999999</v>
      </c>
      <c r="N2012">
        <v>1</v>
      </c>
      <c r="O2012" s="1" t="s">
        <v>564</v>
      </c>
      <c r="P2012">
        <v>88464.65</v>
      </c>
      <c r="Q2012">
        <v>18708.63</v>
      </c>
      <c r="R2012">
        <v>0</v>
      </c>
      <c r="S2012" s="1" t="s">
        <v>820</v>
      </c>
      <c r="T2012" s="1" t="s">
        <v>1209</v>
      </c>
      <c r="U2012">
        <v>7009.8386099999998</v>
      </c>
      <c r="V2012">
        <v>0</v>
      </c>
      <c r="W2012">
        <v>77402</v>
      </c>
    </row>
    <row r="2013" spans="1:23" x14ac:dyDescent="0.25">
      <c r="A2013" s="1" t="s">
        <v>32</v>
      </c>
      <c r="B2013" s="1"/>
      <c r="C2013" s="1" t="s">
        <v>164</v>
      </c>
      <c r="D2013">
        <v>10207</v>
      </c>
      <c r="E2013" s="1"/>
      <c r="F2013" s="1" t="s">
        <v>296</v>
      </c>
      <c r="G2013">
        <v>2010</v>
      </c>
      <c r="H2013">
        <v>93370.96</v>
      </c>
      <c r="I2013">
        <v>2</v>
      </c>
      <c r="J2013" s="1" t="s">
        <v>399</v>
      </c>
      <c r="K2013">
        <v>0</v>
      </c>
      <c r="L2013">
        <v>505</v>
      </c>
      <c r="M2013">
        <v>184.85638399999999</v>
      </c>
      <c r="N2013">
        <v>1</v>
      </c>
      <c r="O2013" s="1" t="s">
        <v>564</v>
      </c>
      <c r="P2013">
        <v>123519.85</v>
      </c>
      <c r="Q2013">
        <v>26122.15</v>
      </c>
      <c r="R2013">
        <v>0</v>
      </c>
      <c r="S2013" s="1" t="s">
        <v>820</v>
      </c>
      <c r="T2013" s="1" t="s">
        <v>1209</v>
      </c>
      <c r="U2013">
        <v>8645.4579799999992</v>
      </c>
      <c r="V2013">
        <v>0</v>
      </c>
      <c r="W2013">
        <v>77402</v>
      </c>
    </row>
    <row r="2014" spans="1:23" x14ac:dyDescent="0.25">
      <c r="A2014" s="1" t="s">
        <v>32</v>
      </c>
      <c r="B2014" s="1"/>
      <c r="C2014" s="1" t="s">
        <v>164</v>
      </c>
      <c r="D2014">
        <v>10207</v>
      </c>
      <c r="E2014" s="1"/>
      <c r="F2014" s="1" t="s">
        <v>296</v>
      </c>
      <c r="G2014">
        <v>2009</v>
      </c>
      <c r="H2014">
        <v>81765.89</v>
      </c>
      <c r="I2014">
        <v>1</v>
      </c>
      <c r="J2014" s="1" t="s">
        <v>399</v>
      </c>
      <c r="K2014">
        <v>0</v>
      </c>
      <c r="L2014">
        <v>505</v>
      </c>
      <c r="M2014">
        <v>161.88059699999999</v>
      </c>
      <c r="N2014">
        <v>1</v>
      </c>
      <c r="O2014" s="1" t="s">
        <v>564</v>
      </c>
      <c r="P2014">
        <v>117265.51</v>
      </c>
      <c r="Q2014">
        <v>24799.49</v>
      </c>
      <c r="R2014">
        <v>0</v>
      </c>
      <c r="S2014" s="1" t="s">
        <v>820</v>
      </c>
      <c r="T2014" s="1" t="s">
        <v>1209</v>
      </c>
      <c r="U2014">
        <v>7570.9198299999998</v>
      </c>
      <c r="V2014">
        <v>0</v>
      </c>
      <c r="W2014">
        <v>77402</v>
      </c>
    </row>
    <row r="2015" spans="1:23" x14ac:dyDescent="0.25">
      <c r="A2015" s="1" t="s">
        <v>32</v>
      </c>
      <c r="B2015" s="1"/>
      <c r="C2015" s="1" t="s">
        <v>164</v>
      </c>
      <c r="D2015">
        <v>10207</v>
      </c>
      <c r="E2015" s="1"/>
      <c r="F2015" s="1" t="s">
        <v>296</v>
      </c>
      <c r="G2015">
        <v>2008</v>
      </c>
      <c r="H2015">
        <v>73036.990000000005</v>
      </c>
      <c r="I2015">
        <v>5</v>
      </c>
      <c r="J2015" s="1" t="s">
        <v>399</v>
      </c>
      <c r="K2015">
        <v>0</v>
      </c>
      <c r="L2015">
        <v>505</v>
      </c>
      <c r="M2015">
        <v>144.59906899999999</v>
      </c>
      <c r="N2015">
        <v>1</v>
      </c>
      <c r="O2015" s="1" t="s">
        <v>564</v>
      </c>
      <c r="P2015">
        <v>86384.01</v>
      </c>
      <c r="Q2015">
        <v>18268.61</v>
      </c>
      <c r="R2015">
        <v>0</v>
      </c>
      <c r="S2015" s="1" t="s">
        <v>820</v>
      </c>
      <c r="T2015" s="1" t="s">
        <v>1209</v>
      </c>
      <c r="U2015">
        <v>6762.6846999999998</v>
      </c>
      <c r="V2015">
        <v>0</v>
      </c>
      <c r="W2015">
        <v>77402</v>
      </c>
    </row>
    <row r="2016" spans="1:23" x14ac:dyDescent="0.25">
      <c r="A2016" s="1" t="s">
        <v>32</v>
      </c>
      <c r="B2016" s="1"/>
      <c r="C2016" s="1" t="s">
        <v>165</v>
      </c>
      <c r="D2016">
        <v>10204</v>
      </c>
      <c r="E2016" s="1"/>
      <c r="F2016" s="1" t="s">
        <v>297</v>
      </c>
      <c r="G2016">
        <v>2015</v>
      </c>
      <c r="H2016">
        <v>25988.26</v>
      </c>
      <c r="I2016">
        <v>5</v>
      </c>
      <c r="J2016" s="1" t="s">
        <v>486</v>
      </c>
      <c r="K2016">
        <v>0</v>
      </c>
      <c r="L2016">
        <v>445</v>
      </c>
      <c r="M2016">
        <v>58.387462999999997</v>
      </c>
      <c r="N2016">
        <v>1</v>
      </c>
      <c r="O2016" s="1" t="s">
        <v>564</v>
      </c>
      <c r="P2016">
        <v>28967.8</v>
      </c>
      <c r="Q2016">
        <v>6126.16</v>
      </c>
      <c r="R2016">
        <v>0</v>
      </c>
      <c r="S2016" s="1" t="s">
        <v>821</v>
      </c>
      <c r="T2016" s="1" t="s">
        <v>1210</v>
      </c>
      <c r="U2016">
        <v>2406.3200000000002</v>
      </c>
      <c r="V2016">
        <v>0</v>
      </c>
      <c r="W2016">
        <v>77388</v>
      </c>
    </row>
    <row r="2017" spans="1:23" x14ac:dyDescent="0.25">
      <c r="A2017" s="1" t="s">
        <v>32</v>
      </c>
      <c r="B2017" s="1"/>
      <c r="C2017" s="1" t="s">
        <v>165</v>
      </c>
      <c r="D2017">
        <v>10204</v>
      </c>
      <c r="E2017" s="1"/>
      <c r="F2017" s="1" t="s">
        <v>297</v>
      </c>
      <c r="G2017">
        <v>2014</v>
      </c>
      <c r="H2017">
        <v>45767.38</v>
      </c>
      <c r="I2017">
        <v>12</v>
      </c>
      <c r="J2017" s="1" t="s">
        <v>486</v>
      </c>
      <c r="K2017">
        <v>0</v>
      </c>
      <c r="L2017">
        <v>445</v>
      </c>
      <c r="M2017">
        <v>102.824938</v>
      </c>
      <c r="N2017">
        <v>1</v>
      </c>
      <c r="O2017" s="1" t="s">
        <v>564</v>
      </c>
      <c r="P2017">
        <v>54390.28</v>
      </c>
      <c r="Q2017">
        <v>11502.54</v>
      </c>
      <c r="R2017">
        <v>0</v>
      </c>
      <c r="S2017" s="1" t="s">
        <v>821</v>
      </c>
      <c r="T2017" s="1" t="s">
        <v>1210</v>
      </c>
      <c r="U2017">
        <v>4237.72</v>
      </c>
      <c r="V2017">
        <v>0</v>
      </c>
      <c r="W2017">
        <v>77388</v>
      </c>
    </row>
    <row r="2018" spans="1:23" x14ac:dyDescent="0.25">
      <c r="A2018" s="1" t="s">
        <v>32</v>
      </c>
      <c r="B2018" s="1"/>
      <c r="C2018" s="1" t="s">
        <v>165</v>
      </c>
      <c r="D2018">
        <v>10204</v>
      </c>
      <c r="E2018" s="1"/>
      <c r="F2018" s="1" t="s">
        <v>297</v>
      </c>
      <c r="G2018">
        <v>2013</v>
      </c>
      <c r="H2018">
        <v>52063.87</v>
      </c>
      <c r="I2018">
        <v>12</v>
      </c>
      <c r="J2018" s="1" t="s">
        <v>486</v>
      </c>
      <c r="K2018">
        <v>0</v>
      </c>
      <c r="L2018">
        <v>445</v>
      </c>
      <c r="M2018">
        <v>116.971175</v>
      </c>
      <c r="N2018">
        <v>1</v>
      </c>
      <c r="O2018" s="1" t="s">
        <v>564</v>
      </c>
      <c r="P2018">
        <v>54584.52</v>
      </c>
      <c r="Q2018">
        <v>11543.63</v>
      </c>
      <c r="R2018">
        <v>0</v>
      </c>
      <c r="S2018" s="1" t="s">
        <v>821</v>
      </c>
      <c r="T2018" s="1" t="s">
        <v>1210</v>
      </c>
      <c r="U2018">
        <v>4820.7299999999996</v>
      </c>
      <c r="V2018">
        <v>0</v>
      </c>
      <c r="W2018">
        <v>77388</v>
      </c>
    </row>
    <row r="2019" spans="1:23" x14ac:dyDescent="0.25">
      <c r="A2019" s="1" t="s">
        <v>32</v>
      </c>
      <c r="B2019" s="1"/>
      <c r="C2019" s="1" t="s">
        <v>165</v>
      </c>
      <c r="D2019">
        <v>10204</v>
      </c>
      <c r="E2019" s="1"/>
      <c r="F2019" s="1" t="s">
        <v>297</v>
      </c>
      <c r="G2019">
        <v>2012</v>
      </c>
      <c r="H2019">
        <v>54163.62</v>
      </c>
      <c r="I2019">
        <v>12</v>
      </c>
      <c r="J2019" s="1" t="s">
        <v>486</v>
      </c>
      <c r="K2019">
        <v>0</v>
      </c>
      <c r="L2019">
        <v>445</v>
      </c>
      <c r="M2019">
        <v>121.688654</v>
      </c>
      <c r="N2019">
        <v>1</v>
      </c>
      <c r="O2019" s="1" t="s">
        <v>564</v>
      </c>
      <c r="P2019">
        <v>56625.23</v>
      </c>
      <c r="Q2019">
        <v>11975.18</v>
      </c>
      <c r="R2019">
        <v>0</v>
      </c>
      <c r="S2019" s="1" t="s">
        <v>821</v>
      </c>
      <c r="T2019" s="1" t="s">
        <v>1210</v>
      </c>
      <c r="U2019">
        <v>5015.1499999999996</v>
      </c>
      <c r="V2019">
        <v>0</v>
      </c>
      <c r="W2019">
        <v>77388</v>
      </c>
    </row>
    <row r="2020" spans="1:23" x14ac:dyDescent="0.25">
      <c r="A2020" s="1" t="s">
        <v>32</v>
      </c>
      <c r="B2020" s="1"/>
      <c r="C2020" s="1" t="s">
        <v>165</v>
      </c>
      <c r="D2020">
        <v>10204</v>
      </c>
      <c r="E2020" s="1"/>
      <c r="F2020" s="1" t="s">
        <v>297</v>
      </c>
      <c r="G2020">
        <v>2011</v>
      </c>
      <c r="H2020">
        <v>55424.36</v>
      </c>
      <c r="I2020">
        <v>12</v>
      </c>
      <c r="J2020" s="1" t="s">
        <v>486</v>
      </c>
      <c r="K2020">
        <v>0</v>
      </c>
      <c r="L2020">
        <v>445</v>
      </c>
      <c r="M2020">
        <v>124.521141</v>
      </c>
      <c r="N2020">
        <v>1</v>
      </c>
      <c r="O2020" s="1" t="s">
        <v>564</v>
      </c>
      <c r="P2020">
        <v>61726.81</v>
      </c>
      <c r="Q2020">
        <v>13054.08</v>
      </c>
      <c r="R2020">
        <v>0</v>
      </c>
      <c r="S2020" s="1" t="s">
        <v>821</v>
      </c>
      <c r="T2020" s="1" t="s">
        <v>1210</v>
      </c>
      <c r="U2020">
        <v>5131.8851800000002</v>
      </c>
      <c r="V2020">
        <v>0</v>
      </c>
      <c r="W2020">
        <v>77388</v>
      </c>
    </row>
    <row r="2021" spans="1:23" x14ac:dyDescent="0.25">
      <c r="A2021" s="1" t="s">
        <v>32</v>
      </c>
      <c r="B2021" s="1"/>
      <c r="C2021" s="1" t="s">
        <v>165</v>
      </c>
      <c r="D2021">
        <v>10204</v>
      </c>
      <c r="E2021" s="1"/>
      <c r="F2021" s="1" t="s">
        <v>297</v>
      </c>
      <c r="G2021">
        <v>2010</v>
      </c>
      <c r="H2021">
        <v>69154.539999999994</v>
      </c>
      <c r="I2021">
        <v>2</v>
      </c>
      <c r="J2021" s="1" t="s">
        <v>486</v>
      </c>
      <c r="K2021">
        <v>0</v>
      </c>
      <c r="L2021">
        <v>445</v>
      </c>
      <c r="M2021">
        <v>155.36854600000001</v>
      </c>
      <c r="N2021">
        <v>1</v>
      </c>
      <c r="O2021" s="1" t="s">
        <v>564</v>
      </c>
      <c r="P2021">
        <v>89659.7</v>
      </c>
      <c r="Q2021">
        <v>18961.37</v>
      </c>
      <c r="R2021">
        <v>0</v>
      </c>
      <c r="S2021" s="1" t="s">
        <v>821</v>
      </c>
      <c r="T2021" s="1" t="s">
        <v>1210</v>
      </c>
      <c r="U2021">
        <v>6403.1975000000002</v>
      </c>
      <c r="V2021">
        <v>0</v>
      </c>
      <c r="W2021">
        <v>77388</v>
      </c>
    </row>
    <row r="2022" spans="1:23" x14ac:dyDescent="0.25">
      <c r="A2022" s="1" t="s">
        <v>32</v>
      </c>
      <c r="B2022" s="1"/>
      <c r="C2022" s="1" t="s">
        <v>165</v>
      </c>
      <c r="D2022">
        <v>10204</v>
      </c>
      <c r="E2022" s="1"/>
      <c r="F2022" s="1" t="s">
        <v>297</v>
      </c>
      <c r="G2022">
        <v>2009</v>
      </c>
      <c r="H2022">
        <v>78009.320000000007</v>
      </c>
      <c r="I2022">
        <v>1</v>
      </c>
      <c r="J2022" s="1" t="s">
        <v>486</v>
      </c>
      <c r="K2022">
        <v>0</v>
      </c>
      <c r="L2022">
        <v>445</v>
      </c>
      <c r="M2022">
        <v>175.26245700000001</v>
      </c>
      <c r="N2022">
        <v>1</v>
      </c>
      <c r="O2022" s="1" t="s">
        <v>564</v>
      </c>
      <c r="P2022">
        <v>111873.94</v>
      </c>
      <c r="Q2022">
        <v>23659.279999999999</v>
      </c>
      <c r="R2022">
        <v>0</v>
      </c>
      <c r="S2022" s="1" t="s">
        <v>821</v>
      </c>
      <c r="T2022" s="1" t="s">
        <v>1210</v>
      </c>
      <c r="U2022">
        <v>7223.0839400000004</v>
      </c>
      <c r="V2022">
        <v>0</v>
      </c>
      <c r="W2022">
        <v>77388</v>
      </c>
    </row>
    <row r="2023" spans="1:23" x14ac:dyDescent="0.25">
      <c r="A2023" s="1" t="s">
        <v>32</v>
      </c>
      <c r="B2023" s="1"/>
      <c r="C2023" s="1" t="s">
        <v>165</v>
      </c>
      <c r="D2023">
        <v>10204</v>
      </c>
      <c r="E2023" s="1"/>
      <c r="F2023" s="1" t="s">
        <v>297</v>
      </c>
      <c r="G2023">
        <v>2008</v>
      </c>
      <c r="H2023">
        <v>68155.429999999993</v>
      </c>
      <c r="I2023">
        <v>5</v>
      </c>
      <c r="J2023" s="1" t="s">
        <v>486</v>
      </c>
      <c r="K2023">
        <v>0</v>
      </c>
      <c r="L2023">
        <v>445</v>
      </c>
      <c r="M2023">
        <v>153.12385900000001</v>
      </c>
      <c r="N2023">
        <v>1</v>
      </c>
      <c r="O2023" s="1" t="s">
        <v>564</v>
      </c>
      <c r="P2023">
        <v>79426.490000000005</v>
      </c>
      <c r="Q2023">
        <v>16797.23</v>
      </c>
      <c r="R2023">
        <v>0</v>
      </c>
      <c r="S2023" s="1" t="s">
        <v>821</v>
      </c>
      <c r="T2023" s="1" t="s">
        <v>1210</v>
      </c>
      <c r="U2023">
        <v>6310.6871600000004</v>
      </c>
      <c r="V2023">
        <v>0</v>
      </c>
      <c r="W2023">
        <v>77388</v>
      </c>
    </row>
    <row r="2024" spans="1:23" x14ac:dyDescent="0.25">
      <c r="A2024" s="1" t="s">
        <v>32</v>
      </c>
      <c r="B2024" s="1" t="s">
        <v>69</v>
      </c>
      <c r="C2024" s="1" t="s">
        <v>166</v>
      </c>
      <c r="D2024">
        <v>13664</v>
      </c>
      <c r="E2024" s="1" t="s">
        <v>243</v>
      </c>
      <c r="F2024" s="1" t="s">
        <v>298</v>
      </c>
      <c r="G2024">
        <v>2015</v>
      </c>
      <c r="H2024">
        <v>15554.45</v>
      </c>
      <c r="I2024">
        <v>5</v>
      </c>
      <c r="J2024" s="1" t="s">
        <v>422</v>
      </c>
      <c r="K2024">
        <v>0</v>
      </c>
      <c r="L2024">
        <v>138</v>
      </c>
      <c r="M2024">
        <v>112.631788</v>
      </c>
      <c r="N2024">
        <v>1</v>
      </c>
      <c r="O2024" s="1" t="s">
        <v>566</v>
      </c>
      <c r="P2024">
        <v>17701.16</v>
      </c>
      <c r="Q2024">
        <v>3609.78</v>
      </c>
      <c r="R2024">
        <v>0</v>
      </c>
      <c r="S2024" s="1" t="s">
        <v>822</v>
      </c>
      <c r="T2024" s="1" t="s">
        <v>1211</v>
      </c>
      <c r="U2024">
        <v>1388.79</v>
      </c>
      <c r="V2024">
        <v>0</v>
      </c>
      <c r="W2024">
        <v>92671</v>
      </c>
    </row>
    <row r="2025" spans="1:23" x14ac:dyDescent="0.25">
      <c r="A2025" s="1" t="s">
        <v>32</v>
      </c>
      <c r="B2025" s="1" t="s">
        <v>69</v>
      </c>
      <c r="C2025" s="1" t="s">
        <v>166</v>
      </c>
      <c r="D2025">
        <v>13664</v>
      </c>
      <c r="E2025" s="1" t="s">
        <v>243</v>
      </c>
      <c r="F2025" s="1" t="s">
        <v>298</v>
      </c>
      <c r="G2025">
        <v>2014</v>
      </c>
      <c r="H2025">
        <v>26814.15</v>
      </c>
      <c r="I2025">
        <v>12</v>
      </c>
      <c r="J2025" s="1" t="s">
        <v>422</v>
      </c>
      <c r="K2025">
        <v>0</v>
      </c>
      <c r="L2025">
        <v>138</v>
      </c>
      <c r="M2025">
        <v>194.16473500000001</v>
      </c>
      <c r="N2025">
        <v>1</v>
      </c>
      <c r="O2025" s="1" t="s">
        <v>566</v>
      </c>
      <c r="P2025">
        <v>32284.05</v>
      </c>
      <c r="Q2025">
        <v>6583.66</v>
      </c>
      <c r="R2025">
        <v>0</v>
      </c>
      <c r="S2025" s="1" t="s">
        <v>822</v>
      </c>
      <c r="T2025" s="1" t="s">
        <v>1211</v>
      </c>
      <c r="U2025">
        <v>2394.1200199999998</v>
      </c>
      <c r="V2025">
        <v>0</v>
      </c>
      <c r="W2025">
        <v>92671</v>
      </c>
    </row>
    <row r="2026" spans="1:23" x14ac:dyDescent="0.25">
      <c r="A2026" s="1" t="s">
        <v>32</v>
      </c>
      <c r="B2026" s="1" t="s">
        <v>69</v>
      </c>
      <c r="C2026" s="1" t="s">
        <v>166</v>
      </c>
      <c r="D2026">
        <v>13664</v>
      </c>
      <c r="E2026" s="1" t="s">
        <v>243</v>
      </c>
      <c r="F2026" s="1" t="s">
        <v>298</v>
      </c>
      <c r="G2026">
        <v>2013</v>
      </c>
      <c r="H2026">
        <v>25646.43</v>
      </c>
      <c r="I2026">
        <v>5</v>
      </c>
      <c r="J2026" s="1" t="s">
        <v>422</v>
      </c>
      <c r="K2026">
        <v>0</v>
      </c>
      <c r="L2026">
        <v>138</v>
      </c>
      <c r="M2026">
        <v>185.70912300000001</v>
      </c>
      <c r="N2026">
        <v>1</v>
      </c>
      <c r="O2026" s="1" t="s">
        <v>566</v>
      </c>
      <c r="P2026">
        <v>36740.61</v>
      </c>
      <c r="Q2026">
        <v>7492.45</v>
      </c>
      <c r="R2026">
        <v>0</v>
      </c>
      <c r="S2026" s="1" t="s">
        <v>822</v>
      </c>
      <c r="T2026" s="1" t="s">
        <v>1211</v>
      </c>
      <c r="U2026">
        <v>2289.8599800000002</v>
      </c>
      <c r="V2026">
        <v>0</v>
      </c>
      <c r="W2026">
        <v>92671</v>
      </c>
    </row>
    <row r="2027" spans="1:23" x14ac:dyDescent="0.25">
      <c r="A2027" s="1" t="s">
        <v>32</v>
      </c>
      <c r="B2027" s="1" t="s">
        <v>69</v>
      </c>
      <c r="C2027" s="1" t="s">
        <v>166</v>
      </c>
      <c r="D2027">
        <v>13664</v>
      </c>
      <c r="E2027" s="1" t="s">
        <v>243</v>
      </c>
      <c r="F2027" s="1" t="s">
        <v>298</v>
      </c>
      <c r="G2027">
        <v>2012</v>
      </c>
      <c r="H2027">
        <v>30064.48</v>
      </c>
      <c r="I2027">
        <v>1</v>
      </c>
      <c r="J2027" s="1" t="s">
        <v>422</v>
      </c>
      <c r="K2027">
        <v>0</v>
      </c>
      <c r="L2027">
        <v>138</v>
      </c>
      <c r="M2027">
        <v>217.700796</v>
      </c>
      <c r="N2027">
        <v>1</v>
      </c>
      <c r="O2027" s="1" t="s">
        <v>566</v>
      </c>
      <c r="P2027">
        <v>33734.78</v>
      </c>
      <c r="Q2027">
        <v>6879.47</v>
      </c>
      <c r="R2027">
        <v>0</v>
      </c>
      <c r="S2027" s="1" t="s">
        <v>822</v>
      </c>
      <c r="T2027" s="1" t="s">
        <v>1211</v>
      </c>
      <c r="U2027">
        <v>2684.3290000000002</v>
      </c>
      <c r="V2027">
        <v>0</v>
      </c>
      <c r="W2027">
        <v>92671</v>
      </c>
    </row>
    <row r="2028" spans="1:23" x14ac:dyDescent="0.25">
      <c r="A2028" s="1" t="s">
        <v>32</v>
      </c>
      <c r="B2028" s="1" t="s">
        <v>69</v>
      </c>
      <c r="C2028" s="1" t="s">
        <v>166</v>
      </c>
      <c r="D2028">
        <v>13664</v>
      </c>
      <c r="E2028" s="1" t="s">
        <v>243</v>
      </c>
      <c r="F2028" s="1" t="s">
        <v>298</v>
      </c>
      <c r="G2028">
        <v>2011</v>
      </c>
      <c r="H2028">
        <v>27546.799999999999</v>
      </c>
      <c r="I2028">
        <v>1</v>
      </c>
      <c r="J2028" s="1" t="s">
        <v>422</v>
      </c>
      <c r="K2028">
        <v>0</v>
      </c>
      <c r="L2028">
        <v>138</v>
      </c>
      <c r="M2028">
        <v>199.46994900000001</v>
      </c>
      <c r="N2028">
        <v>1</v>
      </c>
      <c r="O2028" s="1" t="s">
        <v>566</v>
      </c>
      <c r="P2028">
        <v>32914.44</v>
      </c>
      <c r="Q2028">
        <v>6712.2</v>
      </c>
      <c r="R2028">
        <v>0</v>
      </c>
      <c r="S2028" s="1" t="s">
        <v>822</v>
      </c>
      <c r="T2028" s="1" t="s">
        <v>1211</v>
      </c>
      <c r="U2028">
        <v>2459.53602</v>
      </c>
      <c r="V2028">
        <v>0</v>
      </c>
      <c r="W2028">
        <v>92671</v>
      </c>
    </row>
    <row r="2029" spans="1:23" x14ac:dyDescent="0.25">
      <c r="A2029" s="1" t="s">
        <v>32</v>
      </c>
      <c r="B2029" s="1" t="s">
        <v>69</v>
      </c>
      <c r="C2029" s="1" t="s">
        <v>166</v>
      </c>
      <c r="D2029">
        <v>13664</v>
      </c>
      <c r="E2029" s="1" t="s">
        <v>243</v>
      </c>
      <c r="F2029" s="1" t="s">
        <v>298</v>
      </c>
      <c r="G2029">
        <v>2010</v>
      </c>
      <c r="H2029">
        <v>20287.240000000002</v>
      </c>
      <c r="I2029">
        <v>2</v>
      </c>
      <c r="J2029" s="1" t="s">
        <v>422</v>
      </c>
      <c r="K2029">
        <v>0</v>
      </c>
      <c r="L2029">
        <v>138</v>
      </c>
      <c r="M2029">
        <v>146.902534</v>
      </c>
      <c r="N2029">
        <v>1</v>
      </c>
      <c r="O2029" s="1" t="s">
        <v>566</v>
      </c>
      <c r="P2029">
        <v>26954.65</v>
      </c>
      <c r="Q2029">
        <v>5496.82</v>
      </c>
      <c r="R2029">
        <v>0</v>
      </c>
      <c r="S2029" s="1" t="s">
        <v>822</v>
      </c>
      <c r="T2029" s="1" t="s">
        <v>1211</v>
      </c>
      <c r="U2029">
        <v>1811.36247</v>
      </c>
      <c r="V2029">
        <v>0</v>
      </c>
      <c r="W2029">
        <v>92671</v>
      </c>
    </row>
    <row r="2030" spans="1:23" x14ac:dyDescent="0.25">
      <c r="A2030" s="1" t="s">
        <v>32</v>
      </c>
      <c r="B2030" s="1" t="s">
        <v>69</v>
      </c>
      <c r="C2030" s="1" t="s">
        <v>166</v>
      </c>
      <c r="D2030">
        <v>13664</v>
      </c>
      <c r="E2030" s="1" t="s">
        <v>243</v>
      </c>
      <c r="F2030" s="1" t="s">
        <v>298</v>
      </c>
      <c r="G2030">
        <v>2009</v>
      </c>
      <c r="H2030">
        <v>25920.43</v>
      </c>
      <c r="I2030">
        <v>1</v>
      </c>
      <c r="J2030" s="1" t="s">
        <v>422</v>
      </c>
      <c r="K2030">
        <v>0</v>
      </c>
      <c r="L2030">
        <v>138</v>
      </c>
      <c r="M2030">
        <v>187.69319300000001</v>
      </c>
      <c r="N2030">
        <v>1</v>
      </c>
      <c r="O2030" s="1" t="s">
        <v>566</v>
      </c>
      <c r="P2030">
        <v>36772.99</v>
      </c>
      <c r="Q2030">
        <v>7499.06</v>
      </c>
      <c r="R2030">
        <v>0</v>
      </c>
      <c r="S2030" s="1" t="s">
        <v>822</v>
      </c>
      <c r="T2030" s="1" t="s">
        <v>1211</v>
      </c>
      <c r="U2030">
        <v>2314.3224500000001</v>
      </c>
      <c r="V2030">
        <v>0</v>
      </c>
      <c r="W2030">
        <v>92671</v>
      </c>
    </row>
    <row r="2031" spans="1:23" x14ac:dyDescent="0.25">
      <c r="A2031" s="1" t="s">
        <v>32</v>
      </c>
      <c r="B2031" s="1" t="s">
        <v>69</v>
      </c>
      <c r="C2031" s="1" t="s">
        <v>166</v>
      </c>
      <c r="D2031">
        <v>13664</v>
      </c>
      <c r="E2031" s="1" t="s">
        <v>243</v>
      </c>
      <c r="F2031" s="1" t="s">
        <v>298</v>
      </c>
      <c r="G2031">
        <v>2008</v>
      </c>
      <c r="H2031">
        <v>34224.720000000001</v>
      </c>
      <c r="I2031">
        <v>1</v>
      </c>
      <c r="J2031" s="1" t="s">
        <v>422</v>
      </c>
      <c r="K2031">
        <v>0</v>
      </c>
      <c r="L2031">
        <v>138</v>
      </c>
      <c r="M2031">
        <v>247.82563300000001</v>
      </c>
      <c r="N2031">
        <v>1</v>
      </c>
      <c r="O2031" s="1" t="s">
        <v>566</v>
      </c>
      <c r="P2031">
        <v>44480.03</v>
      </c>
      <c r="Q2031">
        <v>9070.76</v>
      </c>
      <c r="R2031">
        <v>0</v>
      </c>
      <c r="S2031" s="1" t="s">
        <v>822</v>
      </c>
      <c r="T2031" s="1" t="s">
        <v>1211</v>
      </c>
      <c r="U2031">
        <v>3055.7777000000001</v>
      </c>
      <c r="V2031">
        <v>0</v>
      </c>
      <c r="W2031">
        <v>92671</v>
      </c>
    </row>
    <row r="2032" spans="1:23" x14ac:dyDescent="0.25">
      <c r="A2032" s="1" t="s">
        <v>32</v>
      </c>
      <c r="B2032" s="1"/>
      <c r="C2032" s="1" t="s">
        <v>167</v>
      </c>
      <c r="D2032">
        <v>10179</v>
      </c>
      <c r="E2032" s="1"/>
      <c r="F2032" s="1" t="s">
        <v>299</v>
      </c>
      <c r="G2032">
        <v>2015</v>
      </c>
      <c r="H2032">
        <v>46277.66</v>
      </c>
      <c r="I2032">
        <v>5</v>
      </c>
      <c r="J2032" s="1" t="s">
        <v>487</v>
      </c>
      <c r="K2032">
        <v>0</v>
      </c>
      <c r="L2032">
        <v>792</v>
      </c>
      <c r="M2032">
        <v>58.424011999999998</v>
      </c>
      <c r="N2032">
        <v>1</v>
      </c>
      <c r="O2032" s="1" t="s">
        <v>564</v>
      </c>
      <c r="P2032">
        <v>51788.24</v>
      </c>
      <c r="Q2032">
        <v>10952.26</v>
      </c>
      <c r="R2032">
        <v>0</v>
      </c>
      <c r="S2032" s="1" t="s">
        <v>823</v>
      </c>
      <c r="T2032" s="1" t="s">
        <v>1212</v>
      </c>
      <c r="U2032">
        <v>4284.97</v>
      </c>
      <c r="V2032">
        <v>0</v>
      </c>
      <c r="W2032">
        <v>77212</v>
      </c>
    </row>
    <row r="2033" spans="1:23" x14ac:dyDescent="0.25">
      <c r="A2033" s="1" t="s">
        <v>32</v>
      </c>
      <c r="B2033" s="1"/>
      <c r="C2033" s="1" t="s">
        <v>167</v>
      </c>
      <c r="D2033">
        <v>10179</v>
      </c>
      <c r="E2033" s="1"/>
      <c r="F2033" s="1" t="s">
        <v>299</v>
      </c>
      <c r="G2033">
        <v>2014</v>
      </c>
      <c r="H2033">
        <v>84519.4</v>
      </c>
      <c r="I2033">
        <v>12</v>
      </c>
      <c r="J2033" s="1" t="s">
        <v>487</v>
      </c>
      <c r="K2033">
        <v>0</v>
      </c>
      <c r="L2033">
        <v>792</v>
      </c>
      <c r="M2033">
        <v>106.702941</v>
      </c>
      <c r="N2033">
        <v>1</v>
      </c>
      <c r="O2033" s="1" t="s">
        <v>564</v>
      </c>
      <c r="P2033">
        <v>100853.96</v>
      </c>
      <c r="Q2033">
        <v>21328.75</v>
      </c>
      <c r="R2033">
        <v>0</v>
      </c>
      <c r="S2033" s="1" t="s">
        <v>823</v>
      </c>
      <c r="T2033" s="1" t="s">
        <v>1212</v>
      </c>
      <c r="U2033">
        <v>7825.87</v>
      </c>
      <c r="V2033">
        <v>0</v>
      </c>
      <c r="W2033">
        <v>77212</v>
      </c>
    </row>
    <row r="2034" spans="1:23" x14ac:dyDescent="0.25">
      <c r="A2034" s="1" t="s">
        <v>32</v>
      </c>
      <c r="B2034" s="1"/>
      <c r="C2034" s="1" t="s">
        <v>167</v>
      </c>
      <c r="D2034">
        <v>10179</v>
      </c>
      <c r="E2034" s="1"/>
      <c r="F2034" s="1" t="s">
        <v>299</v>
      </c>
      <c r="G2034">
        <v>2013</v>
      </c>
      <c r="H2034">
        <v>105105.61</v>
      </c>
      <c r="I2034">
        <v>12</v>
      </c>
      <c r="J2034" s="1" t="s">
        <v>487</v>
      </c>
      <c r="K2034">
        <v>0</v>
      </c>
      <c r="L2034">
        <v>792</v>
      </c>
      <c r="M2034">
        <v>132.69234900000001</v>
      </c>
      <c r="N2034">
        <v>1</v>
      </c>
      <c r="O2034" s="1" t="s">
        <v>564</v>
      </c>
      <c r="P2034">
        <v>110711.82</v>
      </c>
      <c r="Q2034">
        <v>23413.48</v>
      </c>
      <c r="R2034">
        <v>0</v>
      </c>
      <c r="S2034" s="1" t="s">
        <v>823</v>
      </c>
      <c r="T2034" s="1" t="s">
        <v>1212</v>
      </c>
      <c r="U2034">
        <v>9732</v>
      </c>
      <c r="V2034">
        <v>0</v>
      </c>
      <c r="W2034">
        <v>77212</v>
      </c>
    </row>
    <row r="2035" spans="1:23" x14ac:dyDescent="0.25">
      <c r="A2035" s="1" t="s">
        <v>32</v>
      </c>
      <c r="B2035" s="1"/>
      <c r="C2035" s="1" t="s">
        <v>167</v>
      </c>
      <c r="D2035">
        <v>10179</v>
      </c>
      <c r="E2035" s="1"/>
      <c r="F2035" s="1" t="s">
        <v>299</v>
      </c>
      <c r="G2035">
        <v>2012</v>
      </c>
      <c r="H2035">
        <v>111325.86</v>
      </c>
      <c r="I2035">
        <v>12</v>
      </c>
      <c r="J2035" s="1" t="s">
        <v>487</v>
      </c>
      <c r="K2035">
        <v>0</v>
      </c>
      <c r="L2035">
        <v>792</v>
      </c>
      <c r="M2035">
        <v>140.545208</v>
      </c>
      <c r="N2035">
        <v>1</v>
      </c>
      <c r="O2035" s="1" t="s">
        <v>564</v>
      </c>
      <c r="P2035">
        <v>116902.64</v>
      </c>
      <c r="Q2035">
        <v>24722.76</v>
      </c>
      <c r="R2035">
        <v>0</v>
      </c>
      <c r="S2035" s="1" t="s">
        <v>823</v>
      </c>
      <c r="T2035" s="1" t="s">
        <v>1212</v>
      </c>
      <c r="U2035">
        <v>10307.950000000001</v>
      </c>
      <c r="V2035">
        <v>0</v>
      </c>
      <c r="W2035">
        <v>77212</v>
      </c>
    </row>
    <row r="2036" spans="1:23" x14ac:dyDescent="0.25">
      <c r="A2036" s="1" t="s">
        <v>32</v>
      </c>
      <c r="B2036" s="1"/>
      <c r="C2036" s="1" t="s">
        <v>167</v>
      </c>
      <c r="D2036">
        <v>10179</v>
      </c>
      <c r="E2036" s="1"/>
      <c r="F2036" s="1" t="s">
        <v>299</v>
      </c>
      <c r="G2036">
        <v>2011</v>
      </c>
      <c r="H2036">
        <v>108722.73</v>
      </c>
      <c r="I2036">
        <v>10</v>
      </c>
      <c r="J2036" s="1" t="s">
        <v>487</v>
      </c>
      <c r="K2036">
        <v>0</v>
      </c>
      <c r="L2036">
        <v>792</v>
      </c>
      <c r="M2036">
        <v>137.25884300000001</v>
      </c>
      <c r="N2036">
        <v>1</v>
      </c>
      <c r="O2036" s="1" t="s">
        <v>564</v>
      </c>
      <c r="P2036">
        <v>121396.04</v>
      </c>
      <c r="Q2036">
        <v>25673.02</v>
      </c>
      <c r="R2036">
        <v>0</v>
      </c>
      <c r="S2036" s="1" t="s">
        <v>823</v>
      </c>
      <c r="T2036" s="1" t="s">
        <v>1212</v>
      </c>
      <c r="U2036">
        <v>10066.92</v>
      </c>
      <c r="V2036">
        <v>0</v>
      </c>
      <c r="W2036">
        <v>77212</v>
      </c>
    </row>
    <row r="2037" spans="1:23" x14ac:dyDescent="0.25">
      <c r="A2037" s="1" t="s">
        <v>32</v>
      </c>
      <c r="B2037" s="1"/>
      <c r="C2037" s="1" t="s">
        <v>167</v>
      </c>
      <c r="D2037">
        <v>10179</v>
      </c>
      <c r="E2037" s="1"/>
      <c r="F2037" s="1" t="s">
        <v>299</v>
      </c>
      <c r="G2037">
        <v>2010</v>
      </c>
      <c r="H2037">
        <v>111449.32</v>
      </c>
      <c r="I2037">
        <v>5</v>
      </c>
      <c r="J2037" s="1" t="s">
        <v>487</v>
      </c>
      <c r="K2037">
        <v>0</v>
      </c>
      <c r="L2037">
        <v>792</v>
      </c>
      <c r="M2037">
        <v>140.70107300000001</v>
      </c>
      <c r="N2037">
        <v>1</v>
      </c>
      <c r="O2037" s="1" t="s">
        <v>564</v>
      </c>
      <c r="P2037">
        <v>111925.8</v>
      </c>
      <c r="Q2037">
        <v>23670.25</v>
      </c>
      <c r="R2037">
        <v>0</v>
      </c>
      <c r="S2037" s="1" t="s">
        <v>823</v>
      </c>
      <c r="T2037" s="1" t="s">
        <v>1212</v>
      </c>
      <c r="U2037">
        <v>10319.380510000001</v>
      </c>
      <c r="V2037">
        <v>0</v>
      </c>
      <c r="W2037">
        <v>77212</v>
      </c>
    </row>
    <row r="2038" spans="1:23" x14ac:dyDescent="0.25">
      <c r="A2038" s="1" t="s">
        <v>32</v>
      </c>
      <c r="B2038" s="1"/>
      <c r="C2038" s="1" t="s">
        <v>167</v>
      </c>
      <c r="D2038">
        <v>10179</v>
      </c>
      <c r="E2038" s="1"/>
      <c r="F2038" s="1" t="s">
        <v>299</v>
      </c>
      <c r="G2038">
        <v>2009</v>
      </c>
      <c r="H2038">
        <v>143401.43</v>
      </c>
      <c r="I2038">
        <v>2</v>
      </c>
      <c r="J2038" s="1" t="s">
        <v>487</v>
      </c>
      <c r="K2038">
        <v>0</v>
      </c>
      <c r="L2038">
        <v>792</v>
      </c>
      <c r="M2038">
        <v>181.03955300000001</v>
      </c>
      <c r="N2038">
        <v>1</v>
      </c>
      <c r="O2038" s="1" t="s">
        <v>564</v>
      </c>
      <c r="P2038">
        <v>199707.63</v>
      </c>
      <c r="Q2038">
        <v>42234.47</v>
      </c>
      <c r="R2038">
        <v>0</v>
      </c>
      <c r="S2038" s="1" t="s">
        <v>823</v>
      </c>
      <c r="T2038" s="1" t="s">
        <v>1212</v>
      </c>
      <c r="U2038">
        <v>13277.90674</v>
      </c>
      <c r="V2038">
        <v>0</v>
      </c>
      <c r="W2038">
        <v>77212</v>
      </c>
    </row>
    <row r="2039" spans="1:23" x14ac:dyDescent="0.25">
      <c r="A2039" s="1" t="s">
        <v>32</v>
      </c>
      <c r="B2039" s="1"/>
      <c r="C2039" s="1" t="s">
        <v>167</v>
      </c>
      <c r="D2039">
        <v>10179</v>
      </c>
      <c r="E2039" s="1"/>
      <c r="F2039" s="1" t="s">
        <v>299</v>
      </c>
      <c r="G2039">
        <v>2008</v>
      </c>
      <c r="H2039">
        <v>115853.83</v>
      </c>
      <c r="I2039">
        <v>5</v>
      </c>
      <c r="J2039" s="1" t="s">
        <v>487</v>
      </c>
      <c r="K2039">
        <v>0</v>
      </c>
      <c r="L2039">
        <v>792</v>
      </c>
      <c r="M2039">
        <v>146.26162099999999</v>
      </c>
      <c r="N2039">
        <v>1</v>
      </c>
      <c r="O2039" s="1" t="s">
        <v>564</v>
      </c>
      <c r="P2039">
        <v>135032.91</v>
      </c>
      <c r="Q2039">
        <v>28556.95</v>
      </c>
      <c r="R2039">
        <v>0</v>
      </c>
      <c r="S2039" s="1" t="s">
        <v>823</v>
      </c>
      <c r="T2039" s="1" t="s">
        <v>1212</v>
      </c>
      <c r="U2039">
        <v>10727.20721</v>
      </c>
      <c r="V2039">
        <v>0</v>
      </c>
      <c r="W2039">
        <v>77212</v>
      </c>
    </row>
    <row r="2040" spans="1:23" x14ac:dyDescent="0.25">
      <c r="A2040" s="1" t="s">
        <v>32</v>
      </c>
      <c r="B2040" s="1" t="s">
        <v>67</v>
      </c>
      <c r="C2040" s="1" t="s">
        <v>160</v>
      </c>
      <c r="D2040">
        <v>6354</v>
      </c>
      <c r="E2040" s="1"/>
      <c r="F2040" s="1" t="s">
        <v>293</v>
      </c>
      <c r="G2040">
        <v>2015</v>
      </c>
      <c r="H2040">
        <v>3268.96</v>
      </c>
      <c r="I2040">
        <v>5</v>
      </c>
      <c r="J2040" s="1" t="s">
        <v>520</v>
      </c>
      <c r="K2040">
        <v>0</v>
      </c>
      <c r="L2040">
        <v>196</v>
      </c>
      <c r="M2040">
        <v>16.669861999999998</v>
      </c>
      <c r="N2040">
        <v>2</v>
      </c>
      <c r="O2040" s="1" t="s">
        <v>569</v>
      </c>
      <c r="P2040">
        <v>3268.96</v>
      </c>
      <c r="Q2040">
        <v>1307.5899999999999</v>
      </c>
      <c r="R2040">
        <v>0</v>
      </c>
      <c r="S2040" s="1" t="s">
        <v>1016</v>
      </c>
      <c r="T2040" s="1" t="s">
        <v>1295</v>
      </c>
      <c r="U2040">
        <v>3268.9609999999998</v>
      </c>
      <c r="V2040">
        <v>0</v>
      </c>
      <c r="W2040">
        <v>62635</v>
      </c>
    </row>
    <row r="2041" spans="1:23" x14ac:dyDescent="0.25">
      <c r="A2041" s="1" t="s">
        <v>32</v>
      </c>
      <c r="B2041" s="1" t="s">
        <v>67</v>
      </c>
      <c r="C2041" s="1" t="s">
        <v>160</v>
      </c>
      <c r="D2041">
        <v>6354</v>
      </c>
      <c r="E2041" s="1"/>
      <c r="F2041" s="1" t="s">
        <v>293</v>
      </c>
      <c r="G2041">
        <v>2014</v>
      </c>
      <c r="H2041">
        <v>6491.44</v>
      </c>
      <c r="I2041">
        <v>12</v>
      </c>
      <c r="J2041" s="1" t="s">
        <v>520</v>
      </c>
      <c r="K2041">
        <v>0</v>
      </c>
      <c r="L2041">
        <v>196</v>
      </c>
      <c r="M2041">
        <v>33.102702000000001</v>
      </c>
      <c r="N2041">
        <v>2</v>
      </c>
      <c r="O2041" s="1" t="s">
        <v>569</v>
      </c>
      <c r="P2041">
        <v>6491.44</v>
      </c>
      <c r="Q2041">
        <v>2596.58</v>
      </c>
      <c r="R2041">
        <v>0</v>
      </c>
      <c r="S2041" s="1" t="s">
        <v>1016</v>
      </c>
      <c r="T2041" s="1" t="s">
        <v>1295</v>
      </c>
      <c r="U2041">
        <v>6491.4440000000004</v>
      </c>
      <c r="V2041">
        <v>0</v>
      </c>
      <c r="W2041">
        <v>62635</v>
      </c>
    </row>
    <row r="2042" spans="1:23" x14ac:dyDescent="0.25">
      <c r="A2042" s="1" t="s">
        <v>32</v>
      </c>
      <c r="B2042" s="1" t="s">
        <v>67</v>
      </c>
      <c r="C2042" s="1" t="s">
        <v>160</v>
      </c>
      <c r="D2042">
        <v>6354</v>
      </c>
      <c r="E2042" s="1"/>
      <c r="F2042" s="1" t="s">
        <v>293</v>
      </c>
      <c r="G2042">
        <v>2013</v>
      </c>
      <c r="H2042">
        <v>6766.01</v>
      </c>
      <c r="I2042">
        <v>12</v>
      </c>
      <c r="J2042" s="1" t="s">
        <v>520</v>
      </c>
      <c r="K2042">
        <v>0</v>
      </c>
      <c r="L2042">
        <v>196</v>
      </c>
      <c r="M2042">
        <v>34.502854999999997</v>
      </c>
      <c r="N2042">
        <v>2</v>
      </c>
      <c r="O2042" s="1" t="s">
        <v>569</v>
      </c>
      <c r="P2042">
        <v>6766.01</v>
      </c>
      <c r="Q2042">
        <v>2706.41</v>
      </c>
      <c r="R2042">
        <v>0</v>
      </c>
      <c r="S2042" s="1" t="s">
        <v>1016</v>
      </c>
      <c r="T2042" s="1" t="s">
        <v>1295</v>
      </c>
      <c r="U2042">
        <v>6766.0219999999999</v>
      </c>
      <c r="V2042">
        <v>0</v>
      </c>
      <c r="W2042">
        <v>62635</v>
      </c>
    </row>
    <row r="2043" spans="1:23" x14ac:dyDescent="0.25">
      <c r="A2043" s="1" t="s">
        <v>32</v>
      </c>
      <c r="B2043" s="1" t="s">
        <v>67</v>
      </c>
      <c r="C2043" s="1" t="s">
        <v>160</v>
      </c>
      <c r="D2043">
        <v>6354</v>
      </c>
      <c r="E2043" s="1"/>
      <c r="F2043" s="1" t="s">
        <v>293</v>
      </c>
      <c r="G2043">
        <v>2012</v>
      </c>
      <c r="H2043">
        <v>5960.66</v>
      </c>
      <c r="I2043">
        <v>12</v>
      </c>
      <c r="J2043" s="1" t="s">
        <v>520</v>
      </c>
      <c r="K2043">
        <v>0</v>
      </c>
      <c r="L2043">
        <v>196</v>
      </c>
      <c r="M2043">
        <v>30.396021999999999</v>
      </c>
      <c r="N2043">
        <v>2</v>
      </c>
      <c r="O2043" s="1" t="s">
        <v>569</v>
      </c>
      <c r="P2043">
        <v>5960.66</v>
      </c>
      <c r="Q2043">
        <v>2384.2600000000002</v>
      </c>
      <c r="R2043">
        <v>0</v>
      </c>
      <c r="S2043" s="1" t="s">
        <v>1016</v>
      </c>
      <c r="T2043" s="1" t="s">
        <v>1295</v>
      </c>
      <c r="U2043">
        <v>5960.6679999999997</v>
      </c>
      <c r="V2043">
        <v>0</v>
      </c>
      <c r="W2043">
        <v>62635</v>
      </c>
    </row>
    <row r="2044" spans="1:23" x14ac:dyDescent="0.25">
      <c r="A2044" s="1" t="s">
        <v>32</v>
      </c>
      <c r="B2044" s="1" t="s">
        <v>67</v>
      </c>
      <c r="C2044" s="1" t="s">
        <v>160</v>
      </c>
      <c r="D2044">
        <v>6354</v>
      </c>
      <c r="E2044" s="1"/>
      <c r="F2044" s="1" t="s">
        <v>293</v>
      </c>
      <c r="G2044">
        <v>2011</v>
      </c>
      <c r="H2044">
        <v>6102.2</v>
      </c>
      <c r="I2044">
        <v>12</v>
      </c>
      <c r="J2044" s="1" t="s">
        <v>520</v>
      </c>
      <c r="K2044">
        <v>0</v>
      </c>
      <c r="L2044">
        <v>196</v>
      </c>
      <c r="M2044">
        <v>31.117796999999999</v>
      </c>
      <c r="N2044">
        <v>2</v>
      </c>
      <c r="O2044" s="1" t="s">
        <v>569</v>
      </c>
      <c r="P2044">
        <v>6102.2</v>
      </c>
      <c r="Q2044">
        <v>2861.92</v>
      </c>
      <c r="R2044">
        <v>0</v>
      </c>
      <c r="S2044" s="1" t="s">
        <v>1016</v>
      </c>
      <c r="T2044" s="1" t="s">
        <v>1295</v>
      </c>
      <c r="U2044">
        <v>6102.2021199999999</v>
      </c>
      <c r="V2044">
        <v>0</v>
      </c>
      <c r="W2044">
        <v>62635</v>
      </c>
    </row>
    <row r="2045" spans="1:23" x14ac:dyDescent="0.25">
      <c r="A2045" s="1" t="s">
        <v>32</v>
      </c>
      <c r="B2045" s="1" t="s">
        <v>67</v>
      </c>
      <c r="C2045" s="1" t="s">
        <v>160</v>
      </c>
      <c r="D2045">
        <v>6354</v>
      </c>
      <c r="E2045" s="1"/>
      <c r="F2045" s="1" t="s">
        <v>293</v>
      </c>
      <c r="G2045">
        <v>2010</v>
      </c>
      <c r="H2045">
        <v>6134.42</v>
      </c>
      <c r="I2045">
        <v>4</v>
      </c>
      <c r="J2045" s="1" t="s">
        <v>520</v>
      </c>
      <c r="K2045">
        <v>0</v>
      </c>
      <c r="L2045">
        <v>196</v>
      </c>
      <c r="M2045">
        <v>31.2821</v>
      </c>
      <c r="N2045">
        <v>2</v>
      </c>
      <c r="O2045" s="1" t="s">
        <v>569</v>
      </c>
      <c r="P2045">
        <v>6134.42</v>
      </c>
      <c r="Q2045">
        <v>2877.05</v>
      </c>
      <c r="R2045">
        <v>0</v>
      </c>
      <c r="S2045" s="1" t="s">
        <v>1016</v>
      </c>
      <c r="T2045" s="1" t="s">
        <v>1295</v>
      </c>
      <c r="U2045">
        <v>6134.42328</v>
      </c>
      <c r="V2045">
        <v>0</v>
      </c>
      <c r="W2045">
        <v>62635</v>
      </c>
    </row>
    <row r="2046" spans="1:23" x14ac:dyDescent="0.25">
      <c r="A2046" s="1" t="s">
        <v>32</v>
      </c>
      <c r="B2046" s="1" t="s">
        <v>67</v>
      </c>
      <c r="C2046" s="1" t="s">
        <v>160</v>
      </c>
      <c r="D2046">
        <v>6354</v>
      </c>
      <c r="E2046" s="1"/>
      <c r="F2046" s="1" t="s">
        <v>293</v>
      </c>
      <c r="G2046">
        <v>2009</v>
      </c>
      <c r="H2046">
        <v>6590.91</v>
      </c>
      <c r="I2046">
        <v>6</v>
      </c>
      <c r="J2046" s="1" t="s">
        <v>520</v>
      </c>
      <c r="K2046">
        <v>0</v>
      </c>
      <c r="L2046">
        <v>196</v>
      </c>
      <c r="M2046">
        <v>33.609943000000001</v>
      </c>
      <c r="N2046">
        <v>2</v>
      </c>
      <c r="O2046" s="1" t="s">
        <v>569</v>
      </c>
      <c r="P2046">
        <v>6590.91</v>
      </c>
      <c r="Q2046">
        <v>3091.15</v>
      </c>
      <c r="R2046">
        <v>0</v>
      </c>
      <c r="S2046" s="1" t="s">
        <v>1016</v>
      </c>
      <c r="T2046" s="1" t="s">
        <v>1295</v>
      </c>
      <c r="U2046">
        <v>6590.9388499999995</v>
      </c>
      <c r="V2046">
        <v>0</v>
      </c>
      <c r="W2046">
        <v>62635</v>
      </c>
    </row>
    <row r="2047" spans="1:23" x14ac:dyDescent="0.25">
      <c r="A2047" s="1" t="s">
        <v>32</v>
      </c>
      <c r="B2047" s="1" t="s">
        <v>67</v>
      </c>
      <c r="C2047" s="1" t="s">
        <v>160</v>
      </c>
      <c r="D2047">
        <v>6354</v>
      </c>
      <c r="E2047" s="1"/>
      <c r="F2047" s="1" t="s">
        <v>293</v>
      </c>
      <c r="G2047">
        <v>2008</v>
      </c>
      <c r="H2047">
        <v>7183.1</v>
      </c>
      <c r="I2047">
        <v>12</v>
      </c>
      <c r="J2047" s="1" t="s">
        <v>520</v>
      </c>
      <c r="K2047">
        <v>0</v>
      </c>
      <c r="L2047">
        <v>196</v>
      </c>
      <c r="M2047">
        <v>36.629779999999997</v>
      </c>
      <c r="N2047">
        <v>2</v>
      </c>
      <c r="O2047" s="1" t="s">
        <v>569</v>
      </c>
      <c r="P2047">
        <v>7183.1</v>
      </c>
      <c r="Q2047">
        <v>3368.88</v>
      </c>
      <c r="R2047">
        <v>0</v>
      </c>
      <c r="S2047" s="1" t="s">
        <v>1016</v>
      </c>
      <c r="T2047" s="1" t="s">
        <v>1295</v>
      </c>
      <c r="U2047">
        <v>7183.0937599999997</v>
      </c>
      <c r="V2047">
        <v>0</v>
      </c>
      <c r="W2047">
        <v>62635</v>
      </c>
    </row>
    <row r="2048" spans="1:23" x14ac:dyDescent="0.25">
      <c r="A2048" s="1" t="s">
        <v>32</v>
      </c>
      <c r="B2048" s="1"/>
      <c r="C2048" s="1" t="s">
        <v>161</v>
      </c>
      <c r="D2048">
        <v>12292</v>
      </c>
      <c r="E2048" s="1" t="s">
        <v>243</v>
      </c>
      <c r="F2048" s="1" t="s">
        <v>161</v>
      </c>
      <c r="G2048">
        <v>2015</v>
      </c>
      <c r="H2048">
        <v>4843.0600000000004</v>
      </c>
      <c r="I2048">
        <v>5</v>
      </c>
      <c r="J2048" s="1" t="s">
        <v>441</v>
      </c>
      <c r="K2048">
        <v>0</v>
      </c>
      <c r="L2048">
        <v>68</v>
      </c>
      <c r="M2048">
        <v>71.116885999999994</v>
      </c>
      <c r="N2048">
        <v>2</v>
      </c>
      <c r="O2048" s="1" t="s">
        <v>569</v>
      </c>
      <c r="P2048">
        <v>4843.0600000000004</v>
      </c>
      <c r="Q2048">
        <v>1452.92</v>
      </c>
      <c r="R2048">
        <v>0</v>
      </c>
      <c r="S2048" s="1" t="s">
        <v>1017</v>
      </c>
      <c r="T2048" s="1" t="s">
        <v>1296</v>
      </c>
      <c r="U2048">
        <v>4843.0540000000001</v>
      </c>
      <c r="V2048">
        <v>0</v>
      </c>
      <c r="W2048">
        <v>84119</v>
      </c>
    </row>
    <row r="2049" spans="1:23" x14ac:dyDescent="0.25">
      <c r="A2049" s="1" t="s">
        <v>32</v>
      </c>
      <c r="B2049" s="1"/>
      <c r="C2049" s="1" t="s">
        <v>161</v>
      </c>
      <c r="D2049">
        <v>12292</v>
      </c>
      <c r="E2049" s="1" t="s">
        <v>243</v>
      </c>
      <c r="F2049" s="1" t="s">
        <v>161</v>
      </c>
      <c r="G2049">
        <v>2014</v>
      </c>
      <c r="H2049">
        <v>7821.76</v>
      </c>
      <c r="I2049">
        <v>12</v>
      </c>
      <c r="J2049" s="1" t="s">
        <v>441</v>
      </c>
      <c r="K2049">
        <v>0</v>
      </c>
      <c r="L2049">
        <v>68</v>
      </c>
      <c r="M2049">
        <v>114.85697500000001</v>
      </c>
      <c r="N2049">
        <v>2</v>
      </c>
      <c r="O2049" s="1" t="s">
        <v>569</v>
      </c>
      <c r="P2049">
        <v>7821.76</v>
      </c>
      <c r="Q2049">
        <v>2346.5300000000002</v>
      </c>
      <c r="R2049">
        <v>0</v>
      </c>
      <c r="S2049" s="1" t="s">
        <v>1017</v>
      </c>
      <c r="T2049" s="1" t="s">
        <v>1296</v>
      </c>
      <c r="U2049">
        <v>7821.7610000000004</v>
      </c>
      <c r="V2049">
        <v>0</v>
      </c>
      <c r="W2049">
        <v>84119</v>
      </c>
    </row>
    <row r="2050" spans="1:23" x14ac:dyDescent="0.25">
      <c r="A2050" s="1" t="s">
        <v>32</v>
      </c>
      <c r="B2050" s="1"/>
      <c r="C2050" s="1" t="s">
        <v>161</v>
      </c>
      <c r="D2050">
        <v>12292</v>
      </c>
      <c r="E2050" s="1" t="s">
        <v>243</v>
      </c>
      <c r="F2050" s="1" t="s">
        <v>161</v>
      </c>
      <c r="G2050">
        <v>2013</v>
      </c>
      <c r="H2050">
        <v>9048.2099999999991</v>
      </c>
      <c r="I2050">
        <v>11</v>
      </c>
      <c r="J2050" s="1" t="s">
        <v>441</v>
      </c>
      <c r="K2050">
        <v>0</v>
      </c>
      <c r="L2050">
        <v>68</v>
      </c>
      <c r="M2050">
        <v>132.86651900000001</v>
      </c>
      <c r="N2050">
        <v>2</v>
      </c>
      <c r="O2050" s="1" t="s">
        <v>569</v>
      </c>
      <c r="P2050">
        <v>9048.2099999999991</v>
      </c>
      <c r="Q2050">
        <v>2714.48</v>
      </c>
      <c r="R2050">
        <v>0</v>
      </c>
      <c r="S2050" s="1" t="s">
        <v>1017</v>
      </c>
      <c r="T2050" s="1" t="s">
        <v>1296</v>
      </c>
      <c r="U2050">
        <v>9048.2127799999998</v>
      </c>
      <c r="V2050">
        <v>0</v>
      </c>
      <c r="W2050">
        <v>84119</v>
      </c>
    </row>
    <row r="2051" spans="1:23" x14ac:dyDescent="0.25">
      <c r="A2051" s="1" t="s">
        <v>32</v>
      </c>
      <c r="B2051" s="1"/>
      <c r="C2051" s="1" t="s">
        <v>161</v>
      </c>
      <c r="D2051">
        <v>12292</v>
      </c>
      <c r="E2051" s="1" t="s">
        <v>243</v>
      </c>
      <c r="F2051" s="1" t="s">
        <v>161</v>
      </c>
      <c r="G2051">
        <v>2012</v>
      </c>
      <c r="H2051">
        <v>12460.45</v>
      </c>
      <c r="I2051">
        <v>6</v>
      </c>
      <c r="J2051" s="1" t="s">
        <v>441</v>
      </c>
      <c r="K2051">
        <v>0</v>
      </c>
      <c r="L2051">
        <v>68</v>
      </c>
      <c r="M2051">
        <v>182.97283400000001</v>
      </c>
      <c r="N2051">
        <v>2</v>
      </c>
      <c r="O2051" s="1" t="s">
        <v>569</v>
      </c>
      <c r="P2051">
        <v>12460.45</v>
      </c>
      <c r="Q2051">
        <v>4984.18</v>
      </c>
      <c r="R2051">
        <v>0</v>
      </c>
      <c r="S2051" s="1" t="s">
        <v>1017</v>
      </c>
      <c r="T2051" s="1" t="s">
        <v>1296</v>
      </c>
      <c r="U2051">
        <v>12460.453890000001</v>
      </c>
      <c r="V2051">
        <v>0</v>
      </c>
      <c r="W2051">
        <v>84119</v>
      </c>
    </row>
    <row r="2052" spans="1:23" x14ac:dyDescent="0.25">
      <c r="A2052" s="1" t="s">
        <v>32</v>
      </c>
      <c r="B2052" s="1"/>
      <c r="C2052" s="1" t="s">
        <v>161</v>
      </c>
      <c r="D2052">
        <v>12292</v>
      </c>
      <c r="E2052" s="1" t="s">
        <v>243</v>
      </c>
      <c r="F2052" s="1" t="s">
        <v>161</v>
      </c>
      <c r="G2052">
        <v>2011</v>
      </c>
      <c r="H2052">
        <v>4718.93</v>
      </c>
      <c r="I2052">
        <v>4</v>
      </c>
      <c r="J2052" s="1" t="s">
        <v>441</v>
      </c>
      <c r="K2052">
        <v>0</v>
      </c>
      <c r="L2052">
        <v>68</v>
      </c>
      <c r="M2052">
        <v>69.294126000000006</v>
      </c>
      <c r="N2052">
        <v>2</v>
      </c>
      <c r="O2052" s="1" t="s">
        <v>569</v>
      </c>
      <c r="P2052">
        <v>4718.93</v>
      </c>
      <c r="Q2052">
        <v>2213.17</v>
      </c>
      <c r="R2052">
        <v>0</v>
      </c>
      <c r="S2052" s="1" t="s">
        <v>1017</v>
      </c>
      <c r="T2052" s="1" t="s">
        <v>1296</v>
      </c>
      <c r="U2052">
        <v>4718.9348399999999</v>
      </c>
      <c r="V2052">
        <v>0</v>
      </c>
      <c r="W2052">
        <v>84119</v>
      </c>
    </row>
    <row r="2053" spans="1:23" x14ac:dyDescent="0.25">
      <c r="A2053" s="1" t="s">
        <v>32</v>
      </c>
      <c r="B2053" s="1"/>
      <c r="C2053" s="1" t="s">
        <v>161</v>
      </c>
      <c r="D2053">
        <v>12292</v>
      </c>
      <c r="E2053" s="1" t="s">
        <v>243</v>
      </c>
      <c r="F2053" s="1" t="s">
        <v>161</v>
      </c>
      <c r="G2053">
        <v>2010</v>
      </c>
      <c r="H2053">
        <v>4880.3900000000003</v>
      </c>
      <c r="I2053">
        <v>3</v>
      </c>
      <c r="J2053" s="1" t="s">
        <v>441</v>
      </c>
      <c r="K2053">
        <v>0</v>
      </c>
      <c r="L2053">
        <v>68</v>
      </c>
      <c r="M2053">
        <v>71.665051000000005</v>
      </c>
      <c r="N2053">
        <v>2</v>
      </c>
      <c r="O2053" s="1" t="s">
        <v>569</v>
      </c>
      <c r="P2053">
        <v>4880.3900000000003</v>
      </c>
      <c r="Q2053">
        <v>2288.9</v>
      </c>
      <c r="R2053">
        <v>0</v>
      </c>
      <c r="S2053" s="1" t="s">
        <v>1017</v>
      </c>
      <c r="T2053" s="1" t="s">
        <v>1296</v>
      </c>
      <c r="U2053">
        <v>4880.3984899999996</v>
      </c>
      <c r="V2053">
        <v>0</v>
      </c>
      <c r="W2053">
        <v>84119</v>
      </c>
    </row>
    <row r="2054" spans="1:23" x14ac:dyDescent="0.25">
      <c r="A2054" s="1" t="s">
        <v>32</v>
      </c>
      <c r="B2054" s="1"/>
      <c r="C2054" s="1" t="s">
        <v>162</v>
      </c>
      <c r="D2054">
        <v>10231</v>
      </c>
      <c r="E2054" s="1"/>
      <c r="F2054" s="1" t="s">
        <v>294</v>
      </c>
      <c r="G2054">
        <v>2015</v>
      </c>
      <c r="H2054">
        <v>2025.8</v>
      </c>
      <c r="I2054">
        <v>5</v>
      </c>
      <c r="J2054" s="1" t="s">
        <v>432</v>
      </c>
      <c r="K2054">
        <v>0</v>
      </c>
      <c r="L2054">
        <v>449</v>
      </c>
      <c r="M2054">
        <v>4.5107989999999996</v>
      </c>
      <c r="N2054">
        <v>2</v>
      </c>
      <c r="O2054" s="1" t="s">
        <v>569</v>
      </c>
      <c r="P2054">
        <v>2025.8</v>
      </c>
      <c r="Q2054">
        <v>607.74</v>
      </c>
      <c r="R2054">
        <v>0</v>
      </c>
      <c r="S2054" s="1" t="s">
        <v>1018</v>
      </c>
      <c r="T2054" s="1" t="s">
        <v>1297</v>
      </c>
      <c r="U2054">
        <v>2025.8030000000001</v>
      </c>
      <c r="V2054">
        <v>0</v>
      </c>
      <c r="W2054">
        <v>77506</v>
      </c>
    </row>
    <row r="2055" spans="1:23" x14ac:dyDescent="0.25">
      <c r="A2055" s="1" t="s">
        <v>32</v>
      </c>
      <c r="B2055" s="1"/>
      <c r="C2055" s="1" t="s">
        <v>162</v>
      </c>
      <c r="D2055">
        <v>10231</v>
      </c>
      <c r="E2055" s="1"/>
      <c r="F2055" s="1" t="s">
        <v>294</v>
      </c>
      <c r="G2055">
        <v>2014</v>
      </c>
      <c r="H2055">
        <v>5946.13</v>
      </c>
      <c r="I2055">
        <v>12</v>
      </c>
      <c r="J2055" s="1" t="s">
        <v>432</v>
      </c>
      <c r="K2055">
        <v>0</v>
      </c>
      <c r="L2055">
        <v>449</v>
      </c>
      <c r="M2055">
        <v>13.240102</v>
      </c>
      <c r="N2055">
        <v>2</v>
      </c>
      <c r="O2055" s="1" t="s">
        <v>569</v>
      </c>
      <c r="P2055">
        <v>5946.13</v>
      </c>
      <c r="Q2055">
        <v>1783.84</v>
      </c>
      <c r="R2055">
        <v>0</v>
      </c>
      <c r="S2055" s="1" t="s">
        <v>1018</v>
      </c>
      <c r="T2055" s="1" t="s">
        <v>1297</v>
      </c>
      <c r="U2055">
        <v>5946.1270000000004</v>
      </c>
      <c r="V2055">
        <v>0</v>
      </c>
      <c r="W2055">
        <v>77506</v>
      </c>
    </row>
    <row r="2056" spans="1:23" x14ac:dyDescent="0.25">
      <c r="A2056" s="1" t="s">
        <v>32</v>
      </c>
      <c r="B2056" s="1"/>
      <c r="C2056" s="1" t="s">
        <v>162</v>
      </c>
      <c r="D2056">
        <v>10231</v>
      </c>
      <c r="E2056" s="1"/>
      <c r="F2056" s="1" t="s">
        <v>294</v>
      </c>
      <c r="G2056">
        <v>2013</v>
      </c>
      <c r="H2056">
        <v>6620.39</v>
      </c>
      <c r="I2056">
        <v>12</v>
      </c>
      <c r="J2056" s="1" t="s">
        <v>432</v>
      </c>
      <c r="K2056">
        <v>0</v>
      </c>
      <c r="L2056">
        <v>449</v>
      </c>
      <c r="M2056">
        <v>14.74146</v>
      </c>
      <c r="N2056">
        <v>2</v>
      </c>
      <c r="O2056" s="1" t="s">
        <v>569</v>
      </c>
      <c r="P2056">
        <v>6620.39</v>
      </c>
      <c r="Q2056">
        <v>1986.14</v>
      </c>
      <c r="R2056">
        <v>0</v>
      </c>
      <c r="S2056" s="1" t="s">
        <v>1018</v>
      </c>
      <c r="T2056" s="1" t="s">
        <v>1297</v>
      </c>
      <c r="U2056">
        <v>6620.4009999999998</v>
      </c>
      <c r="V2056">
        <v>0</v>
      </c>
      <c r="W2056">
        <v>77506</v>
      </c>
    </row>
    <row r="2057" spans="1:23" x14ac:dyDescent="0.25">
      <c r="A2057" s="1" t="s">
        <v>32</v>
      </c>
      <c r="B2057" s="1"/>
      <c r="C2057" s="1" t="s">
        <v>162</v>
      </c>
      <c r="D2057">
        <v>10231</v>
      </c>
      <c r="E2057" s="1"/>
      <c r="F2057" s="1" t="s">
        <v>294</v>
      </c>
      <c r="G2057">
        <v>2012</v>
      </c>
      <c r="H2057">
        <v>4783.41</v>
      </c>
      <c r="I2057">
        <v>12</v>
      </c>
      <c r="J2057" s="1" t="s">
        <v>432</v>
      </c>
      <c r="K2057">
        <v>0</v>
      </c>
      <c r="L2057">
        <v>449</v>
      </c>
      <c r="M2057">
        <v>10.651102</v>
      </c>
      <c r="N2057">
        <v>2</v>
      </c>
      <c r="O2057" s="1" t="s">
        <v>569</v>
      </c>
      <c r="P2057">
        <v>4783.41</v>
      </c>
      <c r="Q2057">
        <v>1913.37</v>
      </c>
      <c r="R2057">
        <v>0</v>
      </c>
      <c r="S2057" s="1" t="s">
        <v>1018</v>
      </c>
      <c r="T2057" s="1" t="s">
        <v>1297</v>
      </c>
      <c r="U2057">
        <v>4783.4179999999997</v>
      </c>
      <c r="V2057">
        <v>0</v>
      </c>
      <c r="W2057">
        <v>77506</v>
      </c>
    </row>
    <row r="2058" spans="1:23" x14ac:dyDescent="0.25">
      <c r="A2058" s="1" t="s">
        <v>32</v>
      </c>
      <c r="B2058" s="1"/>
      <c r="C2058" s="1" t="s">
        <v>162</v>
      </c>
      <c r="D2058">
        <v>10231</v>
      </c>
      <c r="E2058" s="1"/>
      <c r="F2058" s="1" t="s">
        <v>294</v>
      </c>
      <c r="G2058">
        <v>2011</v>
      </c>
      <c r="H2058">
        <v>6203.08</v>
      </c>
      <c r="I2058">
        <v>13</v>
      </c>
      <c r="J2058" s="1" t="s">
        <v>432</v>
      </c>
      <c r="K2058">
        <v>0</v>
      </c>
      <c r="L2058">
        <v>449</v>
      </c>
      <c r="M2058">
        <v>13.812246</v>
      </c>
      <c r="N2058">
        <v>2</v>
      </c>
      <c r="O2058" s="1" t="s">
        <v>569</v>
      </c>
      <c r="P2058">
        <v>6203.08</v>
      </c>
      <c r="Q2058">
        <v>2909.24</v>
      </c>
      <c r="R2058">
        <v>0</v>
      </c>
      <c r="S2058" s="1" t="s">
        <v>1018</v>
      </c>
      <c r="T2058" s="1" t="s">
        <v>1297</v>
      </c>
      <c r="U2058">
        <v>6203.07665</v>
      </c>
      <c r="V2058">
        <v>0</v>
      </c>
      <c r="W2058">
        <v>77506</v>
      </c>
    </row>
    <row r="2059" spans="1:23" x14ac:dyDescent="0.25">
      <c r="A2059" s="1" t="s">
        <v>32</v>
      </c>
      <c r="B2059" s="1"/>
      <c r="C2059" s="1" t="s">
        <v>162</v>
      </c>
      <c r="D2059">
        <v>10231</v>
      </c>
      <c r="E2059" s="1"/>
      <c r="F2059" s="1" t="s">
        <v>294</v>
      </c>
      <c r="G2059">
        <v>2010</v>
      </c>
      <c r="H2059">
        <v>6522.85</v>
      </c>
      <c r="I2059">
        <v>12</v>
      </c>
      <c r="J2059" s="1" t="s">
        <v>432</v>
      </c>
      <c r="K2059">
        <v>0</v>
      </c>
      <c r="L2059">
        <v>449</v>
      </c>
      <c r="M2059">
        <v>14.52427</v>
      </c>
      <c r="N2059">
        <v>2</v>
      </c>
      <c r="O2059" s="1" t="s">
        <v>569</v>
      </c>
      <c r="P2059">
        <v>6522.85</v>
      </c>
      <c r="Q2059">
        <v>3059.21</v>
      </c>
      <c r="R2059">
        <v>0</v>
      </c>
      <c r="S2059" s="1" t="s">
        <v>1018</v>
      </c>
      <c r="T2059" s="1" t="s">
        <v>1297</v>
      </c>
      <c r="U2059">
        <v>6522.8476199999996</v>
      </c>
      <c r="V2059">
        <v>0</v>
      </c>
      <c r="W2059">
        <v>77506</v>
      </c>
    </row>
    <row r="2060" spans="1:23" x14ac:dyDescent="0.25">
      <c r="A2060" s="1" t="s">
        <v>32</v>
      </c>
      <c r="B2060" s="1"/>
      <c r="C2060" s="1" t="s">
        <v>162</v>
      </c>
      <c r="D2060">
        <v>10231</v>
      </c>
      <c r="E2060" s="1"/>
      <c r="F2060" s="1" t="s">
        <v>294</v>
      </c>
      <c r="G2060">
        <v>2009</v>
      </c>
      <c r="H2060">
        <v>8476.6200000000008</v>
      </c>
      <c r="I2060">
        <v>12</v>
      </c>
      <c r="J2060" s="1" t="s">
        <v>432</v>
      </c>
      <c r="K2060">
        <v>0</v>
      </c>
      <c r="L2060">
        <v>449</v>
      </c>
      <c r="M2060">
        <v>18.874682</v>
      </c>
      <c r="N2060">
        <v>2</v>
      </c>
      <c r="O2060" s="1" t="s">
        <v>569</v>
      </c>
      <c r="P2060">
        <v>8476.6200000000008</v>
      </c>
      <c r="Q2060">
        <v>3975.53</v>
      </c>
      <c r="R2060">
        <v>0</v>
      </c>
      <c r="S2060" s="1" t="s">
        <v>1018</v>
      </c>
      <c r="T2060" s="1" t="s">
        <v>1297</v>
      </c>
      <c r="U2060">
        <v>8476.6004699999994</v>
      </c>
      <c r="V2060">
        <v>0</v>
      </c>
      <c r="W2060">
        <v>77506</v>
      </c>
    </row>
    <row r="2061" spans="1:23" x14ac:dyDescent="0.25">
      <c r="A2061" s="1" t="s">
        <v>32</v>
      </c>
      <c r="B2061" s="1"/>
      <c r="C2061" s="1" t="s">
        <v>162</v>
      </c>
      <c r="D2061">
        <v>10231</v>
      </c>
      <c r="E2061" s="1"/>
      <c r="F2061" s="1" t="s">
        <v>294</v>
      </c>
      <c r="G2061">
        <v>2008</v>
      </c>
      <c r="H2061">
        <v>14396.89</v>
      </c>
      <c r="I2061">
        <v>10</v>
      </c>
      <c r="J2061" s="1" t="s">
        <v>432</v>
      </c>
      <c r="K2061">
        <v>0</v>
      </c>
      <c r="L2061">
        <v>449</v>
      </c>
      <c r="M2061">
        <v>32.057203000000001</v>
      </c>
      <c r="N2061">
        <v>2</v>
      </c>
      <c r="O2061" s="1" t="s">
        <v>569</v>
      </c>
      <c r="P2061">
        <v>14396.89</v>
      </c>
      <c r="Q2061">
        <v>6752.15</v>
      </c>
      <c r="R2061">
        <v>0</v>
      </c>
      <c r="S2061" s="1" t="s">
        <v>1018</v>
      </c>
      <c r="T2061" s="1" t="s">
        <v>1297</v>
      </c>
      <c r="U2061">
        <v>14396.88524</v>
      </c>
      <c r="V2061">
        <v>0</v>
      </c>
      <c r="W2061">
        <v>77506</v>
      </c>
    </row>
    <row r="2062" spans="1:23" x14ac:dyDescent="0.25">
      <c r="A2062" s="1" t="s">
        <v>32</v>
      </c>
      <c r="B2062" s="1" t="s">
        <v>68</v>
      </c>
      <c r="C2062" s="1" t="s">
        <v>163</v>
      </c>
      <c r="D2062">
        <v>5489</v>
      </c>
      <c r="E2062" s="1"/>
      <c r="F2062" s="1" t="s">
        <v>163</v>
      </c>
      <c r="G2062">
        <v>2015</v>
      </c>
      <c r="H2062">
        <v>20468.45</v>
      </c>
      <c r="I2062">
        <v>5</v>
      </c>
      <c r="J2062" s="1"/>
      <c r="K2062">
        <v>0</v>
      </c>
      <c r="L2062">
        <v>2801</v>
      </c>
      <c r="M2062">
        <v>7.3072889999999999</v>
      </c>
      <c r="N2062">
        <v>2</v>
      </c>
      <c r="O2062" s="1" t="s">
        <v>569</v>
      </c>
      <c r="P2062">
        <v>20468.45</v>
      </c>
      <c r="Q2062">
        <v>8187.39</v>
      </c>
      <c r="R2062">
        <v>0</v>
      </c>
      <c r="S2062" s="1" t="s">
        <v>1019</v>
      </c>
      <c r="T2062" s="1" t="s">
        <v>1298</v>
      </c>
      <c r="U2062">
        <v>20468.45</v>
      </c>
      <c r="V2062">
        <v>0</v>
      </c>
      <c r="W2062">
        <v>58001</v>
      </c>
    </row>
    <row r="2063" spans="1:23" x14ac:dyDescent="0.25">
      <c r="A2063" s="1" t="s">
        <v>32</v>
      </c>
      <c r="B2063" s="1" t="s">
        <v>68</v>
      </c>
      <c r="C2063" s="1" t="s">
        <v>163</v>
      </c>
      <c r="D2063">
        <v>5489</v>
      </c>
      <c r="E2063" s="1"/>
      <c r="F2063" s="1" t="s">
        <v>163</v>
      </c>
      <c r="G2063">
        <v>2015</v>
      </c>
      <c r="H2063">
        <v>10794.16</v>
      </c>
      <c r="I2063">
        <v>5</v>
      </c>
      <c r="J2063" s="1"/>
      <c r="K2063">
        <v>0</v>
      </c>
      <c r="L2063">
        <v>2801</v>
      </c>
      <c r="M2063">
        <v>3.8535430000000002</v>
      </c>
      <c r="N2063">
        <v>2</v>
      </c>
      <c r="O2063" s="1" t="s">
        <v>569</v>
      </c>
      <c r="P2063">
        <v>10794.16</v>
      </c>
      <c r="Q2063">
        <v>4317.68</v>
      </c>
      <c r="R2063">
        <v>0</v>
      </c>
      <c r="S2063" s="1" t="s">
        <v>1020</v>
      </c>
      <c r="T2063" s="1" t="s">
        <v>1299</v>
      </c>
      <c r="U2063">
        <v>10794.16</v>
      </c>
      <c r="V2063">
        <v>0</v>
      </c>
      <c r="W2063">
        <v>58091</v>
      </c>
    </row>
    <row r="2064" spans="1:23" x14ac:dyDescent="0.25">
      <c r="A2064" s="1" t="s">
        <v>32</v>
      </c>
      <c r="B2064" s="1" t="s">
        <v>68</v>
      </c>
      <c r="C2064" s="1" t="s">
        <v>163</v>
      </c>
      <c r="D2064">
        <v>5489</v>
      </c>
      <c r="E2064" s="1"/>
      <c r="F2064" s="1" t="s">
        <v>163</v>
      </c>
      <c r="G2064">
        <v>2015</v>
      </c>
      <c r="H2064">
        <v>3227.64</v>
      </c>
      <c r="I2064">
        <v>5</v>
      </c>
      <c r="J2064" s="1"/>
      <c r="K2064">
        <v>0</v>
      </c>
      <c r="L2064">
        <v>2801</v>
      </c>
      <c r="M2064">
        <v>1.1522749999999999</v>
      </c>
      <c r="N2064">
        <v>2</v>
      </c>
      <c r="O2064" s="1" t="s">
        <v>569</v>
      </c>
      <c r="P2064">
        <v>3227.64</v>
      </c>
      <c r="Q2064">
        <v>1291.06</v>
      </c>
      <c r="R2064">
        <v>0</v>
      </c>
      <c r="S2064" s="1" t="s">
        <v>1021</v>
      </c>
      <c r="T2064" s="1" t="s">
        <v>1300</v>
      </c>
      <c r="U2064">
        <v>3227.6439999999998</v>
      </c>
      <c r="V2064">
        <v>0</v>
      </c>
      <c r="W2064">
        <v>58094</v>
      </c>
    </row>
    <row r="2065" spans="1:23" x14ac:dyDescent="0.25">
      <c r="A2065" s="1" t="s">
        <v>32</v>
      </c>
      <c r="B2065" s="1" t="s">
        <v>68</v>
      </c>
      <c r="C2065" s="1" t="s">
        <v>163</v>
      </c>
      <c r="D2065">
        <v>5489</v>
      </c>
      <c r="E2065" s="1"/>
      <c r="F2065" s="1" t="s">
        <v>163</v>
      </c>
      <c r="G2065">
        <v>2014</v>
      </c>
      <c r="H2065">
        <v>48421.78</v>
      </c>
      <c r="I2065">
        <v>12</v>
      </c>
      <c r="J2065" s="1"/>
      <c r="K2065">
        <v>0</v>
      </c>
      <c r="L2065">
        <v>2801</v>
      </c>
      <c r="M2065">
        <v>17.286701000000001</v>
      </c>
      <c r="N2065">
        <v>2</v>
      </c>
      <c r="O2065" s="1" t="s">
        <v>569</v>
      </c>
      <c r="P2065">
        <v>48421.78</v>
      </c>
      <c r="Q2065">
        <v>19368.71</v>
      </c>
      <c r="R2065">
        <v>0</v>
      </c>
      <c r="S2065" s="1" t="s">
        <v>1019</v>
      </c>
      <c r="T2065" s="1" t="s">
        <v>1298</v>
      </c>
      <c r="U2065">
        <v>48421.78</v>
      </c>
      <c r="V2065">
        <v>0</v>
      </c>
      <c r="W2065">
        <v>58001</v>
      </c>
    </row>
    <row r="2066" spans="1:23" x14ac:dyDescent="0.25">
      <c r="A2066" s="1" t="s">
        <v>32</v>
      </c>
      <c r="B2066" s="1" t="s">
        <v>68</v>
      </c>
      <c r="C2066" s="1" t="s">
        <v>163</v>
      </c>
      <c r="D2066">
        <v>5489</v>
      </c>
      <c r="E2066" s="1"/>
      <c r="F2066" s="1" t="s">
        <v>163</v>
      </c>
      <c r="G2066">
        <v>2014</v>
      </c>
      <c r="H2066">
        <v>36415.230000000003</v>
      </c>
      <c r="I2066">
        <v>12</v>
      </c>
      <c r="J2066" s="1"/>
      <c r="K2066">
        <v>0</v>
      </c>
      <c r="L2066">
        <v>2801</v>
      </c>
      <c r="M2066">
        <v>13.000332</v>
      </c>
      <c r="N2066">
        <v>2</v>
      </c>
      <c r="O2066" s="1" t="s">
        <v>569</v>
      </c>
      <c r="P2066">
        <v>36415.230000000003</v>
      </c>
      <c r="Q2066">
        <v>14566.11</v>
      </c>
      <c r="R2066">
        <v>0</v>
      </c>
      <c r="S2066" s="1" t="s">
        <v>1020</v>
      </c>
      <c r="T2066" s="1" t="s">
        <v>1299</v>
      </c>
      <c r="U2066">
        <v>36415.232000000004</v>
      </c>
      <c r="V2066">
        <v>0</v>
      </c>
      <c r="W2066">
        <v>58091</v>
      </c>
    </row>
    <row r="2067" spans="1:23" x14ac:dyDescent="0.25">
      <c r="A2067" s="1" t="s">
        <v>32</v>
      </c>
      <c r="B2067" s="1" t="s">
        <v>68</v>
      </c>
      <c r="C2067" s="1" t="s">
        <v>163</v>
      </c>
      <c r="D2067">
        <v>5489</v>
      </c>
      <c r="E2067" s="1"/>
      <c r="F2067" s="1" t="s">
        <v>163</v>
      </c>
      <c r="G2067">
        <v>2014</v>
      </c>
      <c r="H2067">
        <v>7992.42</v>
      </c>
      <c r="I2067">
        <v>12</v>
      </c>
      <c r="J2067" s="1"/>
      <c r="K2067">
        <v>0</v>
      </c>
      <c r="L2067">
        <v>2801</v>
      </c>
      <c r="M2067">
        <v>2.8533140000000001</v>
      </c>
      <c r="N2067">
        <v>2</v>
      </c>
      <c r="O2067" s="1" t="s">
        <v>569</v>
      </c>
      <c r="P2067">
        <v>7992.42</v>
      </c>
      <c r="Q2067">
        <v>3196.96</v>
      </c>
      <c r="R2067">
        <v>0</v>
      </c>
      <c r="S2067" s="1" t="s">
        <v>1021</v>
      </c>
      <c r="T2067" s="1" t="s">
        <v>1300</v>
      </c>
      <c r="U2067">
        <v>7992.4179999999997</v>
      </c>
      <c r="V2067">
        <v>0</v>
      </c>
      <c r="W2067">
        <v>58094</v>
      </c>
    </row>
    <row r="2068" spans="1:23" x14ac:dyDescent="0.25">
      <c r="A2068" s="1" t="s">
        <v>32</v>
      </c>
      <c r="B2068" s="1" t="s">
        <v>68</v>
      </c>
      <c r="C2068" s="1" t="s">
        <v>163</v>
      </c>
      <c r="D2068">
        <v>5489</v>
      </c>
      <c r="E2068" s="1"/>
      <c r="F2068" s="1" t="s">
        <v>163</v>
      </c>
      <c r="G2068">
        <v>2013</v>
      </c>
      <c r="H2068">
        <v>8477.59</v>
      </c>
      <c r="I2068">
        <v>12</v>
      </c>
      <c r="J2068" s="1"/>
      <c r="K2068">
        <v>0</v>
      </c>
      <c r="L2068">
        <v>2801</v>
      </c>
      <c r="M2068">
        <v>3.0265209999999998</v>
      </c>
      <c r="N2068">
        <v>2</v>
      </c>
      <c r="O2068" s="1" t="s">
        <v>569</v>
      </c>
      <c r="P2068">
        <v>8477.59</v>
      </c>
      <c r="Q2068">
        <v>3391.03</v>
      </c>
      <c r="R2068">
        <v>0</v>
      </c>
      <c r="S2068" s="1" t="s">
        <v>1021</v>
      </c>
      <c r="T2068" s="1" t="s">
        <v>1300</v>
      </c>
      <c r="U2068">
        <v>8477.5859999999993</v>
      </c>
      <c r="V2068">
        <v>0</v>
      </c>
      <c r="W2068">
        <v>58094</v>
      </c>
    </row>
    <row r="2069" spans="1:23" x14ac:dyDescent="0.25">
      <c r="A2069" s="1" t="s">
        <v>32</v>
      </c>
      <c r="B2069" s="1" t="s">
        <v>68</v>
      </c>
      <c r="C2069" s="1" t="s">
        <v>163</v>
      </c>
      <c r="D2069">
        <v>5489</v>
      </c>
      <c r="E2069" s="1"/>
      <c r="F2069" s="1" t="s">
        <v>163</v>
      </c>
      <c r="G2069">
        <v>2013</v>
      </c>
      <c r="H2069">
        <v>55073.97</v>
      </c>
      <c r="I2069">
        <v>12</v>
      </c>
      <c r="J2069" s="1"/>
      <c r="K2069">
        <v>0</v>
      </c>
      <c r="L2069">
        <v>2801</v>
      </c>
      <c r="M2069">
        <v>19.661549999999998</v>
      </c>
      <c r="N2069">
        <v>2</v>
      </c>
      <c r="O2069" s="1" t="s">
        <v>569</v>
      </c>
      <c r="P2069">
        <v>55073.97</v>
      </c>
      <c r="Q2069">
        <v>22029.599999999999</v>
      </c>
      <c r="R2069">
        <v>0</v>
      </c>
      <c r="S2069" s="1" t="s">
        <v>1019</v>
      </c>
      <c r="T2069" s="1" t="s">
        <v>1298</v>
      </c>
      <c r="U2069">
        <v>55073.964999999997</v>
      </c>
      <c r="V2069">
        <v>0</v>
      </c>
      <c r="W2069">
        <v>58001</v>
      </c>
    </row>
    <row r="2070" spans="1:23" x14ac:dyDescent="0.25">
      <c r="A2070" s="1" t="s">
        <v>32</v>
      </c>
      <c r="B2070" s="1" t="s">
        <v>68</v>
      </c>
      <c r="C2070" s="1" t="s">
        <v>163</v>
      </c>
      <c r="D2070">
        <v>5489</v>
      </c>
      <c r="E2070" s="1"/>
      <c r="F2070" s="1" t="s">
        <v>163</v>
      </c>
      <c r="G2070">
        <v>2013</v>
      </c>
      <c r="H2070">
        <v>43978.239999999998</v>
      </c>
      <c r="I2070">
        <v>12</v>
      </c>
      <c r="J2070" s="1"/>
      <c r="K2070">
        <v>0</v>
      </c>
      <c r="L2070">
        <v>2801</v>
      </c>
      <c r="M2070">
        <v>15.700346</v>
      </c>
      <c r="N2070">
        <v>2</v>
      </c>
      <c r="O2070" s="1" t="s">
        <v>569</v>
      </c>
      <c r="P2070">
        <v>43978.239999999998</v>
      </c>
      <c r="Q2070">
        <v>17591.310000000001</v>
      </c>
      <c r="R2070">
        <v>0</v>
      </c>
      <c r="S2070" s="1" t="s">
        <v>1020</v>
      </c>
      <c r="T2070" s="1" t="s">
        <v>1299</v>
      </c>
      <c r="U2070">
        <v>43978.237999999998</v>
      </c>
      <c r="V2070">
        <v>0</v>
      </c>
      <c r="W2070">
        <v>58091</v>
      </c>
    </row>
    <row r="2071" spans="1:23" x14ac:dyDescent="0.25">
      <c r="A2071" s="1" t="s">
        <v>32</v>
      </c>
      <c r="B2071" s="1" t="s">
        <v>68</v>
      </c>
      <c r="C2071" s="1" t="s">
        <v>163</v>
      </c>
      <c r="D2071">
        <v>5489</v>
      </c>
      <c r="E2071" s="1"/>
      <c r="F2071" s="1" t="s">
        <v>163</v>
      </c>
      <c r="G2071">
        <v>2012</v>
      </c>
      <c r="H2071">
        <v>63544.93</v>
      </c>
      <c r="I2071">
        <v>12</v>
      </c>
      <c r="J2071" s="1"/>
      <c r="K2071">
        <v>0</v>
      </c>
      <c r="L2071">
        <v>2801</v>
      </c>
      <c r="M2071">
        <v>22.685704999999999</v>
      </c>
      <c r="N2071">
        <v>2</v>
      </c>
      <c r="O2071" s="1" t="s">
        <v>569</v>
      </c>
      <c r="P2071">
        <v>63544.93</v>
      </c>
      <c r="Q2071">
        <v>25417.97</v>
      </c>
      <c r="R2071">
        <v>0</v>
      </c>
      <c r="S2071" s="1" t="s">
        <v>1019</v>
      </c>
      <c r="T2071" s="1" t="s">
        <v>1298</v>
      </c>
      <c r="U2071">
        <v>63544.934999999998</v>
      </c>
      <c r="V2071">
        <v>0</v>
      </c>
      <c r="W2071">
        <v>58001</v>
      </c>
    </row>
    <row r="2072" spans="1:23" x14ac:dyDescent="0.25">
      <c r="A2072" s="1" t="s">
        <v>32</v>
      </c>
      <c r="B2072" s="1" t="s">
        <v>68</v>
      </c>
      <c r="C2072" s="1" t="s">
        <v>163</v>
      </c>
      <c r="D2072">
        <v>5489</v>
      </c>
      <c r="E2072" s="1"/>
      <c r="F2072" s="1" t="s">
        <v>163</v>
      </c>
      <c r="G2072">
        <v>2012</v>
      </c>
      <c r="H2072">
        <v>38210.69</v>
      </c>
      <c r="I2072">
        <v>12</v>
      </c>
      <c r="J2072" s="1"/>
      <c r="K2072">
        <v>0</v>
      </c>
      <c r="L2072">
        <v>2801</v>
      </c>
      <c r="M2072">
        <v>13.641315000000001</v>
      </c>
      <c r="N2072">
        <v>2</v>
      </c>
      <c r="O2072" s="1" t="s">
        <v>569</v>
      </c>
      <c r="P2072">
        <v>38210.69</v>
      </c>
      <c r="Q2072">
        <v>15284.29</v>
      </c>
      <c r="R2072">
        <v>0</v>
      </c>
      <c r="S2072" s="1" t="s">
        <v>1020</v>
      </c>
      <c r="T2072" s="1" t="s">
        <v>1299</v>
      </c>
      <c r="U2072">
        <v>38210.697999999997</v>
      </c>
      <c r="V2072">
        <v>0</v>
      </c>
      <c r="W2072">
        <v>58091</v>
      </c>
    </row>
    <row r="2073" spans="1:23" x14ac:dyDescent="0.25">
      <c r="A2073" s="1" t="s">
        <v>32</v>
      </c>
      <c r="B2073" s="1" t="s">
        <v>68</v>
      </c>
      <c r="C2073" s="1" t="s">
        <v>163</v>
      </c>
      <c r="D2073">
        <v>5489</v>
      </c>
      <c r="E2073" s="1"/>
      <c r="F2073" s="1" t="s">
        <v>163</v>
      </c>
      <c r="G2073">
        <v>2012</v>
      </c>
      <c r="H2073">
        <v>7506.76</v>
      </c>
      <c r="I2073">
        <v>12</v>
      </c>
      <c r="J2073" s="1"/>
      <c r="K2073">
        <v>0</v>
      </c>
      <c r="L2073">
        <v>2801</v>
      </c>
      <c r="M2073">
        <v>2.679932</v>
      </c>
      <c r="N2073">
        <v>2</v>
      </c>
      <c r="O2073" s="1" t="s">
        <v>569</v>
      </c>
      <c r="P2073">
        <v>7506.76</v>
      </c>
      <c r="Q2073">
        <v>3002.71</v>
      </c>
      <c r="R2073">
        <v>0</v>
      </c>
      <c r="S2073" s="1" t="s">
        <v>1021</v>
      </c>
      <c r="T2073" s="1" t="s">
        <v>1300</v>
      </c>
      <c r="U2073">
        <v>7506.7719999999999</v>
      </c>
      <c r="V2073">
        <v>0</v>
      </c>
      <c r="W2073">
        <v>58094</v>
      </c>
    </row>
    <row r="2074" spans="1:23" x14ac:dyDescent="0.25">
      <c r="A2074" s="1" t="s">
        <v>32</v>
      </c>
      <c r="B2074" s="1" t="s">
        <v>68</v>
      </c>
      <c r="C2074" s="1" t="s">
        <v>163</v>
      </c>
      <c r="D2074">
        <v>5489</v>
      </c>
      <c r="E2074" s="1"/>
      <c r="F2074" s="1" t="s">
        <v>163</v>
      </c>
      <c r="G2074">
        <v>2011</v>
      </c>
      <c r="H2074">
        <v>69202.92</v>
      </c>
      <c r="I2074">
        <v>12</v>
      </c>
      <c r="J2074" s="1"/>
      <c r="K2074">
        <v>0</v>
      </c>
      <c r="L2074">
        <v>2801</v>
      </c>
      <c r="M2074">
        <v>24.705622000000002</v>
      </c>
      <c r="N2074">
        <v>2</v>
      </c>
      <c r="O2074" s="1" t="s">
        <v>569</v>
      </c>
      <c r="P2074">
        <v>69202.92</v>
      </c>
      <c r="Q2074">
        <v>32456.16</v>
      </c>
      <c r="R2074">
        <v>0</v>
      </c>
      <c r="S2074" s="1" t="s">
        <v>1019</v>
      </c>
      <c r="T2074" s="1" t="s">
        <v>1298</v>
      </c>
      <c r="U2074">
        <v>69202.904999999999</v>
      </c>
      <c r="V2074">
        <v>0</v>
      </c>
      <c r="W2074">
        <v>58001</v>
      </c>
    </row>
    <row r="2075" spans="1:23" x14ac:dyDescent="0.25">
      <c r="A2075" s="1" t="s">
        <v>32</v>
      </c>
      <c r="B2075" s="1" t="s">
        <v>68</v>
      </c>
      <c r="C2075" s="1" t="s">
        <v>163</v>
      </c>
      <c r="D2075">
        <v>5489</v>
      </c>
      <c r="E2075" s="1"/>
      <c r="F2075" s="1" t="s">
        <v>163</v>
      </c>
      <c r="G2075">
        <v>2011</v>
      </c>
      <c r="H2075">
        <v>42798.03</v>
      </c>
      <c r="I2075">
        <v>12</v>
      </c>
      <c r="J2075" s="1"/>
      <c r="K2075">
        <v>0</v>
      </c>
      <c r="L2075">
        <v>2801</v>
      </c>
      <c r="M2075">
        <v>15.279007999999999</v>
      </c>
      <c r="N2075">
        <v>2</v>
      </c>
      <c r="O2075" s="1" t="s">
        <v>569</v>
      </c>
      <c r="P2075">
        <v>42798.03</v>
      </c>
      <c r="Q2075">
        <v>20072.29</v>
      </c>
      <c r="R2075">
        <v>0</v>
      </c>
      <c r="S2075" s="1" t="s">
        <v>1020</v>
      </c>
      <c r="T2075" s="1" t="s">
        <v>1299</v>
      </c>
      <c r="U2075">
        <v>42798.044000000002</v>
      </c>
      <c r="V2075">
        <v>0</v>
      </c>
      <c r="W2075">
        <v>58091</v>
      </c>
    </row>
    <row r="2076" spans="1:23" x14ac:dyDescent="0.25">
      <c r="A2076" s="1" t="s">
        <v>32</v>
      </c>
      <c r="B2076" s="1" t="s">
        <v>68</v>
      </c>
      <c r="C2076" s="1" t="s">
        <v>163</v>
      </c>
      <c r="D2076">
        <v>5489</v>
      </c>
      <c r="E2076" s="1"/>
      <c r="F2076" s="1" t="s">
        <v>163</v>
      </c>
      <c r="G2076">
        <v>2011</v>
      </c>
      <c r="H2076">
        <v>7497.98</v>
      </c>
      <c r="I2076">
        <v>12</v>
      </c>
      <c r="J2076" s="1"/>
      <c r="K2076">
        <v>0</v>
      </c>
      <c r="L2076">
        <v>2801</v>
      </c>
      <c r="M2076">
        <v>2.6767979999999998</v>
      </c>
      <c r="N2076">
        <v>2</v>
      </c>
      <c r="O2076" s="1" t="s">
        <v>569</v>
      </c>
      <c r="P2076">
        <v>7497.98</v>
      </c>
      <c r="Q2076">
        <v>3516.55</v>
      </c>
      <c r="R2076">
        <v>0</v>
      </c>
      <c r="S2076" s="1" t="s">
        <v>1021</v>
      </c>
      <c r="T2076" s="1" t="s">
        <v>1300</v>
      </c>
      <c r="U2076">
        <v>7497.9759999999997</v>
      </c>
      <c r="V2076">
        <v>0</v>
      </c>
      <c r="W2076">
        <v>58094</v>
      </c>
    </row>
    <row r="2077" spans="1:23" x14ac:dyDescent="0.25">
      <c r="A2077" s="1" t="s">
        <v>32</v>
      </c>
      <c r="B2077" s="1" t="s">
        <v>68</v>
      </c>
      <c r="C2077" s="1" t="s">
        <v>163</v>
      </c>
      <c r="D2077">
        <v>5489</v>
      </c>
      <c r="E2077" s="1"/>
      <c r="F2077" s="1" t="s">
        <v>163</v>
      </c>
      <c r="G2077">
        <v>2010</v>
      </c>
      <c r="H2077">
        <v>70223.77</v>
      </c>
      <c r="I2077">
        <v>12</v>
      </c>
      <c r="J2077" s="1"/>
      <c r="K2077">
        <v>0</v>
      </c>
      <c r="L2077">
        <v>2801</v>
      </c>
      <c r="M2077">
        <v>25.070067999999999</v>
      </c>
      <c r="N2077">
        <v>2</v>
      </c>
      <c r="O2077" s="1" t="s">
        <v>569</v>
      </c>
      <c r="P2077">
        <v>70223.77</v>
      </c>
      <c r="Q2077">
        <v>32934.93</v>
      </c>
      <c r="R2077">
        <v>0</v>
      </c>
      <c r="S2077" s="1" t="s">
        <v>1019</v>
      </c>
      <c r="T2077" s="1" t="s">
        <v>1298</v>
      </c>
      <c r="U2077">
        <v>70223.759999999995</v>
      </c>
      <c r="V2077">
        <v>0</v>
      </c>
      <c r="W2077">
        <v>58001</v>
      </c>
    </row>
    <row r="2078" spans="1:23" x14ac:dyDescent="0.25">
      <c r="A2078" s="1" t="s">
        <v>32</v>
      </c>
      <c r="B2078" s="1" t="s">
        <v>68</v>
      </c>
      <c r="C2078" s="1" t="s">
        <v>163</v>
      </c>
      <c r="D2078">
        <v>5489</v>
      </c>
      <c r="E2078" s="1"/>
      <c r="F2078" s="1" t="s">
        <v>163</v>
      </c>
      <c r="G2078">
        <v>2010</v>
      </c>
      <c r="H2078">
        <v>39572.82</v>
      </c>
      <c r="I2078">
        <v>12</v>
      </c>
      <c r="J2078" s="1"/>
      <c r="K2078">
        <v>0</v>
      </c>
      <c r="L2078">
        <v>2801</v>
      </c>
      <c r="M2078">
        <v>14.127599</v>
      </c>
      <c r="N2078">
        <v>2</v>
      </c>
      <c r="O2078" s="1" t="s">
        <v>569</v>
      </c>
      <c r="P2078">
        <v>39572.82</v>
      </c>
      <c r="Q2078">
        <v>18559.66</v>
      </c>
      <c r="R2078">
        <v>0</v>
      </c>
      <c r="S2078" s="1" t="s">
        <v>1020</v>
      </c>
      <c r="T2078" s="1" t="s">
        <v>1299</v>
      </c>
      <c r="U2078">
        <v>39572.813999999998</v>
      </c>
      <c r="V2078">
        <v>0</v>
      </c>
      <c r="W2078">
        <v>58091</v>
      </c>
    </row>
    <row r="2079" spans="1:23" x14ac:dyDescent="0.25">
      <c r="A2079" s="1" t="s">
        <v>32</v>
      </c>
      <c r="B2079" s="1" t="s">
        <v>68</v>
      </c>
      <c r="C2079" s="1" t="s">
        <v>163</v>
      </c>
      <c r="D2079">
        <v>5489</v>
      </c>
      <c r="E2079" s="1"/>
      <c r="F2079" s="1" t="s">
        <v>163</v>
      </c>
      <c r="G2079">
        <v>2010</v>
      </c>
      <c r="H2079">
        <v>7601.35</v>
      </c>
      <c r="I2079">
        <v>12</v>
      </c>
      <c r="J2079" s="1"/>
      <c r="K2079">
        <v>0</v>
      </c>
      <c r="L2079">
        <v>2801</v>
      </c>
      <c r="M2079">
        <v>2.7137009999999999</v>
      </c>
      <c r="N2079">
        <v>2</v>
      </c>
      <c r="O2079" s="1" t="s">
        <v>569</v>
      </c>
      <c r="P2079">
        <v>7601.35</v>
      </c>
      <c r="Q2079">
        <v>3565.01</v>
      </c>
      <c r="R2079">
        <v>0</v>
      </c>
      <c r="S2079" s="1" t="s">
        <v>1021</v>
      </c>
      <c r="T2079" s="1" t="s">
        <v>1300</v>
      </c>
      <c r="U2079">
        <v>7601.35</v>
      </c>
      <c r="V2079">
        <v>0</v>
      </c>
      <c r="W2079">
        <v>58094</v>
      </c>
    </row>
    <row r="2080" spans="1:23" x14ac:dyDescent="0.25">
      <c r="A2080" s="1" t="s">
        <v>32</v>
      </c>
      <c r="B2080" s="1" t="s">
        <v>68</v>
      </c>
      <c r="C2080" s="1" t="s">
        <v>163</v>
      </c>
      <c r="D2080">
        <v>5489</v>
      </c>
      <c r="E2080" s="1"/>
      <c r="F2080" s="1" t="s">
        <v>163</v>
      </c>
      <c r="G2080">
        <v>2009</v>
      </c>
      <c r="H2080">
        <v>7593.27</v>
      </c>
      <c r="I2080">
        <v>12</v>
      </c>
      <c r="J2080" s="1"/>
      <c r="K2080">
        <v>0</v>
      </c>
      <c r="L2080">
        <v>2801</v>
      </c>
      <c r="M2080">
        <v>2.710817</v>
      </c>
      <c r="N2080">
        <v>2</v>
      </c>
      <c r="O2080" s="1" t="s">
        <v>569</v>
      </c>
      <c r="P2080">
        <v>7593.27</v>
      </c>
      <c r="Q2080">
        <v>3561.25</v>
      </c>
      <c r="R2080">
        <v>0</v>
      </c>
      <c r="S2080" s="1" t="s">
        <v>1021</v>
      </c>
      <c r="T2080" s="1" t="s">
        <v>1300</v>
      </c>
      <c r="U2080">
        <v>7593.2619999999997</v>
      </c>
      <c r="V2080">
        <v>0</v>
      </c>
      <c r="W2080">
        <v>58094</v>
      </c>
    </row>
    <row r="2081" spans="1:23" x14ac:dyDescent="0.25">
      <c r="A2081" s="1" t="s">
        <v>32</v>
      </c>
      <c r="B2081" s="1" t="s">
        <v>68</v>
      </c>
      <c r="C2081" s="1" t="s">
        <v>163</v>
      </c>
      <c r="D2081">
        <v>5489</v>
      </c>
      <c r="E2081" s="1"/>
      <c r="F2081" s="1" t="s">
        <v>163</v>
      </c>
      <c r="G2081">
        <v>2009</v>
      </c>
      <c r="H2081">
        <v>63919.85</v>
      </c>
      <c r="I2081">
        <v>12</v>
      </c>
      <c r="J2081" s="1"/>
      <c r="K2081">
        <v>0</v>
      </c>
      <c r="L2081">
        <v>2801</v>
      </c>
      <c r="M2081">
        <v>22.819552999999999</v>
      </c>
      <c r="N2081">
        <v>2</v>
      </c>
      <c r="O2081" s="1" t="s">
        <v>569</v>
      </c>
      <c r="P2081">
        <v>63919.85</v>
      </c>
      <c r="Q2081">
        <v>29978.41</v>
      </c>
      <c r="R2081">
        <v>0</v>
      </c>
      <c r="S2081" s="1" t="s">
        <v>1019</v>
      </c>
      <c r="T2081" s="1" t="s">
        <v>1298</v>
      </c>
      <c r="U2081">
        <v>63919.845000000001</v>
      </c>
      <c r="V2081">
        <v>0</v>
      </c>
      <c r="W2081">
        <v>58001</v>
      </c>
    </row>
    <row r="2082" spans="1:23" x14ac:dyDescent="0.25">
      <c r="A2082" s="1" t="s">
        <v>32</v>
      </c>
      <c r="B2082" s="1" t="s">
        <v>68</v>
      </c>
      <c r="C2082" s="1" t="s">
        <v>163</v>
      </c>
      <c r="D2082">
        <v>5489</v>
      </c>
      <c r="E2082" s="1"/>
      <c r="F2082" s="1" t="s">
        <v>163</v>
      </c>
      <c r="G2082">
        <v>2009</v>
      </c>
      <c r="H2082">
        <v>42891.15</v>
      </c>
      <c r="I2082">
        <v>12</v>
      </c>
      <c r="J2082" s="1"/>
      <c r="K2082">
        <v>0</v>
      </c>
      <c r="L2082">
        <v>2801</v>
      </c>
      <c r="M2082">
        <v>15.312252000000001</v>
      </c>
      <c r="N2082">
        <v>2</v>
      </c>
      <c r="O2082" s="1" t="s">
        <v>569</v>
      </c>
      <c r="P2082">
        <v>42891.15</v>
      </c>
      <c r="Q2082">
        <v>20115.97</v>
      </c>
      <c r="R2082">
        <v>0</v>
      </c>
      <c r="S2082" s="1" t="s">
        <v>1020</v>
      </c>
      <c r="T2082" s="1" t="s">
        <v>1299</v>
      </c>
      <c r="U2082">
        <v>42891.161999999997</v>
      </c>
      <c r="V2082">
        <v>0</v>
      </c>
      <c r="W2082">
        <v>58091</v>
      </c>
    </row>
    <row r="2083" spans="1:23" x14ac:dyDescent="0.25">
      <c r="A2083" s="1" t="s">
        <v>32</v>
      </c>
      <c r="B2083" s="1" t="s">
        <v>68</v>
      </c>
      <c r="C2083" s="1" t="s">
        <v>163</v>
      </c>
      <c r="D2083">
        <v>5489</v>
      </c>
      <c r="E2083" s="1"/>
      <c r="F2083" s="1" t="s">
        <v>163</v>
      </c>
      <c r="G2083">
        <v>2008</v>
      </c>
      <c r="H2083">
        <v>55416.92</v>
      </c>
      <c r="I2083">
        <v>12</v>
      </c>
      <c r="J2083" s="1"/>
      <c r="K2083">
        <v>0</v>
      </c>
      <c r="L2083">
        <v>2801</v>
      </c>
      <c r="M2083">
        <v>19.783984</v>
      </c>
      <c r="N2083">
        <v>2</v>
      </c>
      <c r="O2083" s="1" t="s">
        <v>569</v>
      </c>
      <c r="P2083">
        <v>55416.92</v>
      </c>
      <c r="Q2083">
        <v>25990.55</v>
      </c>
      <c r="R2083">
        <v>0</v>
      </c>
      <c r="S2083" s="1" t="s">
        <v>1019</v>
      </c>
      <c r="T2083" s="1" t="s">
        <v>1298</v>
      </c>
      <c r="U2083">
        <v>55416.93</v>
      </c>
      <c r="V2083">
        <v>0</v>
      </c>
      <c r="W2083">
        <v>58001</v>
      </c>
    </row>
    <row r="2084" spans="1:23" x14ac:dyDescent="0.25">
      <c r="A2084" s="1" t="s">
        <v>32</v>
      </c>
      <c r="B2084" s="1" t="s">
        <v>68</v>
      </c>
      <c r="C2084" s="1" t="s">
        <v>163</v>
      </c>
      <c r="D2084">
        <v>5489</v>
      </c>
      <c r="E2084" s="1"/>
      <c r="F2084" s="1" t="s">
        <v>163</v>
      </c>
      <c r="G2084">
        <v>2008</v>
      </c>
      <c r="H2084">
        <v>44284.19</v>
      </c>
      <c r="I2084">
        <v>12</v>
      </c>
      <c r="J2084" s="1"/>
      <c r="K2084">
        <v>0</v>
      </c>
      <c r="L2084">
        <v>2801</v>
      </c>
      <c r="M2084">
        <v>15.809571</v>
      </c>
      <c r="N2084">
        <v>2</v>
      </c>
      <c r="O2084" s="1" t="s">
        <v>569</v>
      </c>
      <c r="P2084">
        <v>44284.19</v>
      </c>
      <c r="Q2084">
        <v>20769.28</v>
      </c>
      <c r="R2084">
        <v>0</v>
      </c>
      <c r="S2084" s="1" t="s">
        <v>1020</v>
      </c>
      <c r="T2084" s="1" t="s">
        <v>1299</v>
      </c>
      <c r="U2084">
        <v>44284.188000000002</v>
      </c>
      <c r="V2084">
        <v>0</v>
      </c>
      <c r="W2084">
        <v>58091</v>
      </c>
    </row>
    <row r="2085" spans="1:23" x14ac:dyDescent="0.25">
      <c r="A2085" s="1" t="s">
        <v>32</v>
      </c>
      <c r="B2085" s="1" t="s">
        <v>68</v>
      </c>
      <c r="C2085" s="1" t="s">
        <v>163</v>
      </c>
      <c r="D2085">
        <v>5489</v>
      </c>
      <c r="E2085" s="1"/>
      <c r="F2085" s="1" t="s">
        <v>163</v>
      </c>
      <c r="G2085">
        <v>2008</v>
      </c>
      <c r="H2085">
        <v>7190.55</v>
      </c>
      <c r="I2085">
        <v>12</v>
      </c>
      <c r="J2085" s="1"/>
      <c r="K2085">
        <v>0</v>
      </c>
      <c r="L2085">
        <v>2801</v>
      </c>
      <c r="M2085">
        <v>2.5670449999999998</v>
      </c>
      <c r="N2085">
        <v>2</v>
      </c>
      <c r="O2085" s="1" t="s">
        <v>569</v>
      </c>
      <c r="P2085">
        <v>7190.55</v>
      </c>
      <c r="Q2085">
        <v>3372.35</v>
      </c>
      <c r="R2085">
        <v>0</v>
      </c>
      <c r="S2085" s="1" t="s">
        <v>1021</v>
      </c>
      <c r="T2085" s="1" t="s">
        <v>1300</v>
      </c>
      <c r="U2085">
        <v>7190.55</v>
      </c>
      <c r="V2085">
        <v>0</v>
      </c>
      <c r="W2085">
        <v>58094</v>
      </c>
    </row>
    <row r="2086" spans="1:23" x14ac:dyDescent="0.25">
      <c r="A2086" s="1" t="s">
        <v>32</v>
      </c>
      <c r="B2086" s="1" t="s">
        <v>68</v>
      </c>
      <c r="C2086" s="1" t="s">
        <v>163</v>
      </c>
      <c r="D2086">
        <v>6031</v>
      </c>
      <c r="E2086" s="1"/>
      <c r="F2086" s="1" t="s">
        <v>295</v>
      </c>
      <c r="G2086">
        <v>2015</v>
      </c>
      <c r="H2086">
        <v>24581.46</v>
      </c>
      <c r="I2086">
        <v>3</v>
      </c>
      <c r="J2086" s="1" t="s">
        <v>499</v>
      </c>
      <c r="K2086">
        <v>0</v>
      </c>
      <c r="L2086">
        <v>0</v>
      </c>
      <c r="M2086">
        <v>245814.6</v>
      </c>
      <c r="N2086">
        <v>2</v>
      </c>
      <c r="O2086" s="1" t="s">
        <v>569</v>
      </c>
      <c r="P2086">
        <v>24581.46</v>
      </c>
      <c r="Q2086">
        <v>9832.59</v>
      </c>
      <c r="R2086">
        <v>1</v>
      </c>
      <c r="S2086" s="1" t="s">
        <v>1022</v>
      </c>
      <c r="T2086" s="1"/>
      <c r="U2086">
        <v>24581.466670000002</v>
      </c>
      <c r="V2086">
        <v>0</v>
      </c>
      <c r="W2086">
        <v>60686</v>
      </c>
    </row>
    <row r="2087" spans="1:23" x14ac:dyDescent="0.25">
      <c r="A2087" s="1" t="s">
        <v>32</v>
      </c>
      <c r="B2087" s="1" t="s">
        <v>68</v>
      </c>
      <c r="C2087" s="1" t="s">
        <v>163</v>
      </c>
      <c r="D2087">
        <v>6031</v>
      </c>
      <c r="E2087" s="1"/>
      <c r="F2087" s="1" t="s">
        <v>295</v>
      </c>
      <c r="G2087">
        <v>2015</v>
      </c>
      <c r="H2087">
        <v>2406</v>
      </c>
      <c r="I2087">
        <v>4</v>
      </c>
      <c r="J2087" s="1" t="s">
        <v>433</v>
      </c>
      <c r="K2087">
        <v>0</v>
      </c>
      <c r="L2087">
        <v>0</v>
      </c>
      <c r="M2087">
        <v>24060</v>
      </c>
      <c r="N2087">
        <v>2</v>
      </c>
      <c r="O2087" s="1" t="s">
        <v>569</v>
      </c>
      <c r="P2087">
        <v>2406</v>
      </c>
      <c r="Q2087">
        <v>962.4</v>
      </c>
      <c r="R2087">
        <v>0</v>
      </c>
      <c r="S2087" s="1" t="s">
        <v>1023</v>
      </c>
      <c r="T2087" s="1"/>
      <c r="U2087">
        <v>2406</v>
      </c>
      <c r="V2087">
        <v>0</v>
      </c>
      <c r="W2087">
        <v>60687</v>
      </c>
    </row>
    <row r="2088" spans="1:23" x14ac:dyDescent="0.25">
      <c r="A2088" s="1" t="s">
        <v>32</v>
      </c>
      <c r="B2088" s="1" t="s">
        <v>68</v>
      </c>
      <c r="C2088" s="1" t="s">
        <v>163</v>
      </c>
      <c r="D2088">
        <v>6031</v>
      </c>
      <c r="E2088" s="1"/>
      <c r="F2088" s="1" t="s">
        <v>295</v>
      </c>
      <c r="G2088">
        <v>2015</v>
      </c>
      <c r="H2088">
        <v>490.64</v>
      </c>
      <c r="I2088">
        <v>4</v>
      </c>
      <c r="J2088" s="1" t="s">
        <v>433</v>
      </c>
      <c r="K2088">
        <v>0</v>
      </c>
      <c r="L2088">
        <v>0</v>
      </c>
      <c r="M2088">
        <v>4906.3999999999996</v>
      </c>
      <c r="N2088">
        <v>2</v>
      </c>
      <c r="O2088" s="1" t="s">
        <v>569</v>
      </c>
      <c r="P2088">
        <v>490.64</v>
      </c>
      <c r="Q2088">
        <v>196.27</v>
      </c>
      <c r="R2088">
        <v>1</v>
      </c>
      <c r="S2088" s="1" t="s">
        <v>1024</v>
      </c>
      <c r="T2088" s="1"/>
      <c r="U2088">
        <v>490.64445000000001</v>
      </c>
      <c r="V2088">
        <v>0</v>
      </c>
      <c r="W2088">
        <v>62511</v>
      </c>
    </row>
    <row r="2089" spans="1:23" x14ac:dyDescent="0.25">
      <c r="A2089" s="1" t="s">
        <v>32</v>
      </c>
      <c r="B2089" s="1" t="s">
        <v>68</v>
      </c>
      <c r="C2089" s="1" t="s">
        <v>163</v>
      </c>
      <c r="D2089">
        <v>6031</v>
      </c>
      <c r="E2089" s="1"/>
      <c r="F2089" s="1" t="s">
        <v>295</v>
      </c>
      <c r="G2089">
        <v>2014</v>
      </c>
      <c r="H2089">
        <v>0</v>
      </c>
      <c r="I2089">
        <v>4</v>
      </c>
      <c r="J2089" s="1" t="s">
        <v>433</v>
      </c>
      <c r="K2089">
        <v>0</v>
      </c>
      <c r="L2089">
        <v>0</v>
      </c>
      <c r="M2089">
        <v>0</v>
      </c>
      <c r="N2089">
        <v>2</v>
      </c>
      <c r="O2089" s="1" t="s">
        <v>569</v>
      </c>
      <c r="P2089">
        <v>0</v>
      </c>
      <c r="Q2089">
        <v>0</v>
      </c>
      <c r="R2089">
        <v>0</v>
      </c>
      <c r="S2089" s="1" t="s">
        <v>1023</v>
      </c>
      <c r="T2089" s="1"/>
      <c r="U2089">
        <v>0</v>
      </c>
      <c r="V2089">
        <v>0</v>
      </c>
      <c r="W2089">
        <v>60687</v>
      </c>
    </row>
    <row r="2090" spans="1:23" x14ac:dyDescent="0.25">
      <c r="A2090" s="1" t="s">
        <v>32</v>
      </c>
      <c r="B2090" s="1" t="s">
        <v>68</v>
      </c>
      <c r="C2090" s="1" t="s">
        <v>163</v>
      </c>
      <c r="D2090">
        <v>6031</v>
      </c>
      <c r="E2090" s="1"/>
      <c r="F2090" s="1" t="s">
        <v>295</v>
      </c>
      <c r="G2090">
        <v>2014</v>
      </c>
      <c r="H2090">
        <v>118606.13</v>
      </c>
      <c r="I2090">
        <v>4</v>
      </c>
      <c r="J2090" s="1" t="s">
        <v>499</v>
      </c>
      <c r="K2090">
        <v>0</v>
      </c>
      <c r="L2090">
        <v>0</v>
      </c>
      <c r="M2090">
        <v>1186061.3</v>
      </c>
      <c r="N2090">
        <v>2</v>
      </c>
      <c r="O2090" s="1" t="s">
        <v>569</v>
      </c>
      <c r="P2090">
        <v>118606.13</v>
      </c>
      <c r="Q2090">
        <v>47442.46</v>
      </c>
      <c r="R2090">
        <v>1</v>
      </c>
      <c r="S2090" s="1" t="s">
        <v>1022</v>
      </c>
      <c r="T2090" s="1"/>
      <c r="U2090">
        <v>118606.10725</v>
      </c>
      <c r="V2090">
        <v>0</v>
      </c>
      <c r="W2090">
        <v>60686</v>
      </c>
    </row>
    <row r="2091" spans="1:23" x14ac:dyDescent="0.25">
      <c r="A2091" s="1" t="s">
        <v>32</v>
      </c>
      <c r="B2091" s="1" t="s">
        <v>68</v>
      </c>
      <c r="C2091" s="1" t="s">
        <v>163</v>
      </c>
      <c r="D2091">
        <v>6031</v>
      </c>
      <c r="E2091" s="1"/>
      <c r="F2091" s="1" t="s">
        <v>295</v>
      </c>
      <c r="G2091">
        <v>2014</v>
      </c>
      <c r="H2091">
        <v>2209.75</v>
      </c>
      <c r="I2091">
        <v>4</v>
      </c>
      <c r="J2091" s="1" t="s">
        <v>433</v>
      </c>
      <c r="K2091">
        <v>0</v>
      </c>
      <c r="L2091">
        <v>0</v>
      </c>
      <c r="M2091">
        <v>22097.5</v>
      </c>
      <c r="N2091">
        <v>2</v>
      </c>
      <c r="O2091" s="1" t="s">
        <v>569</v>
      </c>
      <c r="P2091">
        <v>2209.75</v>
      </c>
      <c r="Q2091">
        <v>883.89</v>
      </c>
      <c r="R2091">
        <v>1</v>
      </c>
      <c r="S2091" s="1" t="s">
        <v>1024</v>
      </c>
      <c r="T2091" s="1"/>
      <c r="U2091">
        <v>2209.7555499999999</v>
      </c>
      <c r="V2091">
        <v>0</v>
      </c>
      <c r="W2091">
        <v>62511</v>
      </c>
    </row>
    <row r="2092" spans="1:23" x14ac:dyDescent="0.25">
      <c r="A2092" s="1" t="s">
        <v>32</v>
      </c>
      <c r="B2092" s="1" t="s">
        <v>68</v>
      </c>
      <c r="C2092" s="1" t="s">
        <v>163</v>
      </c>
      <c r="D2092">
        <v>6031</v>
      </c>
      <c r="E2092" s="1"/>
      <c r="F2092" s="1" t="s">
        <v>295</v>
      </c>
      <c r="G2092">
        <v>2013</v>
      </c>
      <c r="H2092">
        <v>0</v>
      </c>
      <c r="I2092">
        <v>11</v>
      </c>
      <c r="J2092" s="1" t="s">
        <v>433</v>
      </c>
      <c r="K2092">
        <v>0</v>
      </c>
      <c r="L2092">
        <v>0</v>
      </c>
      <c r="M2092">
        <v>0</v>
      </c>
      <c r="N2092">
        <v>2</v>
      </c>
      <c r="O2092" s="1" t="s">
        <v>569</v>
      </c>
      <c r="P2092">
        <v>0</v>
      </c>
      <c r="Q2092">
        <v>0</v>
      </c>
      <c r="R2092">
        <v>0</v>
      </c>
      <c r="S2092" s="1" t="s">
        <v>1023</v>
      </c>
      <c r="T2092" s="1"/>
      <c r="U2092">
        <v>0</v>
      </c>
      <c r="V2092">
        <v>0</v>
      </c>
      <c r="W2092">
        <v>60687</v>
      </c>
    </row>
    <row r="2093" spans="1:23" x14ac:dyDescent="0.25">
      <c r="A2093" s="1" t="s">
        <v>32</v>
      </c>
      <c r="B2093" s="1" t="s">
        <v>68</v>
      </c>
      <c r="C2093" s="1" t="s">
        <v>163</v>
      </c>
      <c r="D2093">
        <v>6031</v>
      </c>
      <c r="E2093" s="1"/>
      <c r="F2093" s="1" t="s">
        <v>295</v>
      </c>
      <c r="G2093">
        <v>2013</v>
      </c>
      <c r="H2093">
        <v>105430.93</v>
      </c>
      <c r="I2093">
        <v>9</v>
      </c>
      <c r="J2093" s="1" t="s">
        <v>499</v>
      </c>
      <c r="K2093">
        <v>0</v>
      </c>
      <c r="L2093">
        <v>0</v>
      </c>
      <c r="M2093">
        <v>1054309.3</v>
      </c>
      <c r="N2093">
        <v>2</v>
      </c>
      <c r="O2093" s="1" t="s">
        <v>569</v>
      </c>
      <c r="P2093">
        <v>105430.93</v>
      </c>
      <c r="Q2093">
        <v>42172.37</v>
      </c>
      <c r="R2093">
        <v>1</v>
      </c>
      <c r="S2093" s="1" t="s">
        <v>1022</v>
      </c>
      <c r="T2093" s="1"/>
      <c r="U2093">
        <v>105430.91761</v>
      </c>
      <c r="V2093">
        <v>0</v>
      </c>
      <c r="W2093">
        <v>60686</v>
      </c>
    </row>
    <row r="2094" spans="1:23" x14ac:dyDescent="0.25">
      <c r="A2094" s="1" t="s">
        <v>32</v>
      </c>
      <c r="B2094" s="1" t="s">
        <v>68</v>
      </c>
      <c r="C2094" s="1" t="s">
        <v>163</v>
      </c>
      <c r="D2094">
        <v>6031</v>
      </c>
      <c r="E2094" s="1"/>
      <c r="F2094" s="1" t="s">
        <v>295</v>
      </c>
      <c r="G2094">
        <v>2013</v>
      </c>
      <c r="H2094">
        <v>3331.39</v>
      </c>
      <c r="I2094">
        <v>11</v>
      </c>
      <c r="J2094" s="1" t="s">
        <v>433</v>
      </c>
      <c r="K2094">
        <v>0</v>
      </c>
      <c r="L2094">
        <v>0</v>
      </c>
      <c r="M2094">
        <v>33313.9</v>
      </c>
      <c r="N2094">
        <v>2</v>
      </c>
      <c r="O2094" s="1" t="s">
        <v>569</v>
      </c>
      <c r="P2094">
        <v>3331.39</v>
      </c>
      <c r="Q2094">
        <v>1332.56</v>
      </c>
      <c r="R2094">
        <v>1</v>
      </c>
      <c r="S2094" s="1" t="s">
        <v>1024</v>
      </c>
      <c r="T2094" s="1"/>
      <c r="U2094">
        <v>3331.3812499999999</v>
      </c>
      <c r="V2094">
        <v>0</v>
      </c>
      <c r="W2094">
        <v>62511</v>
      </c>
    </row>
    <row r="2095" spans="1:23" x14ac:dyDescent="0.25">
      <c r="A2095" s="1" t="s">
        <v>32</v>
      </c>
      <c r="B2095" s="1" t="s">
        <v>68</v>
      </c>
      <c r="C2095" s="1" t="s">
        <v>163</v>
      </c>
      <c r="D2095">
        <v>6031</v>
      </c>
      <c r="E2095" s="1"/>
      <c r="F2095" s="1" t="s">
        <v>295</v>
      </c>
      <c r="G2095">
        <v>2012</v>
      </c>
      <c r="H2095">
        <v>0</v>
      </c>
      <c r="I2095">
        <v>8</v>
      </c>
      <c r="J2095" s="1" t="s">
        <v>433</v>
      </c>
      <c r="K2095">
        <v>0</v>
      </c>
      <c r="L2095">
        <v>0</v>
      </c>
      <c r="M2095">
        <v>0</v>
      </c>
      <c r="N2095">
        <v>2</v>
      </c>
      <c r="O2095" s="1" t="s">
        <v>569</v>
      </c>
      <c r="P2095">
        <v>0</v>
      </c>
      <c r="Q2095">
        <v>0</v>
      </c>
      <c r="R2095">
        <v>0</v>
      </c>
      <c r="S2095" s="1" t="s">
        <v>1023</v>
      </c>
      <c r="T2095" s="1"/>
      <c r="U2095">
        <v>0</v>
      </c>
      <c r="V2095">
        <v>0</v>
      </c>
      <c r="W2095">
        <v>60687</v>
      </c>
    </row>
    <row r="2096" spans="1:23" x14ac:dyDescent="0.25">
      <c r="A2096" s="1" t="s">
        <v>32</v>
      </c>
      <c r="B2096" s="1" t="s">
        <v>68</v>
      </c>
      <c r="C2096" s="1" t="s">
        <v>163</v>
      </c>
      <c r="D2096">
        <v>6031</v>
      </c>
      <c r="E2096" s="1"/>
      <c r="F2096" s="1" t="s">
        <v>295</v>
      </c>
      <c r="G2096">
        <v>2012</v>
      </c>
      <c r="H2096">
        <v>114923.93</v>
      </c>
      <c r="I2096">
        <v>8</v>
      </c>
      <c r="J2096" s="1" t="s">
        <v>499</v>
      </c>
      <c r="K2096">
        <v>0</v>
      </c>
      <c r="L2096">
        <v>0</v>
      </c>
      <c r="M2096">
        <v>1149239.3</v>
      </c>
      <c r="N2096">
        <v>2</v>
      </c>
      <c r="O2096" s="1" t="s">
        <v>569</v>
      </c>
      <c r="P2096">
        <v>114923.93</v>
      </c>
      <c r="Q2096">
        <v>45969.57</v>
      </c>
      <c r="R2096">
        <v>1</v>
      </c>
      <c r="S2096" s="1" t="s">
        <v>1022</v>
      </c>
      <c r="T2096" s="1"/>
      <c r="U2096">
        <v>114923.90846999999</v>
      </c>
      <c r="V2096">
        <v>0</v>
      </c>
      <c r="W2096">
        <v>60686</v>
      </c>
    </row>
    <row r="2097" spans="1:23" x14ac:dyDescent="0.25">
      <c r="A2097" s="1" t="s">
        <v>32</v>
      </c>
      <c r="B2097" s="1" t="s">
        <v>68</v>
      </c>
      <c r="C2097" s="1" t="s">
        <v>163</v>
      </c>
      <c r="D2097">
        <v>6031</v>
      </c>
      <c r="E2097" s="1"/>
      <c r="F2097" s="1" t="s">
        <v>295</v>
      </c>
      <c r="G2097">
        <v>2012</v>
      </c>
      <c r="H2097">
        <v>1708.62</v>
      </c>
      <c r="I2097">
        <v>10</v>
      </c>
      <c r="J2097" s="1" t="s">
        <v>433</v>
      </c>
      <c r="K2097">
        <v>0</v>
      </c>
      <c r="L2097">
        <v>0</v>
      </c>
      <c r="M2097">
        <v>17086.2</v>
      </c>
      <c r="N2097">
        <v>2</v>
      </c>
      <c r="O2097" s="1" t="s">
        <v>569</v>
      </c>
      <c r="P2097">
        <v>1708.62</v>
      </c>
      <c r="Q2097">
        <v>683.44</v>
      </c>
      <c r="R2097">
        <v>1</v>
      </c>
      <c r="S2097" s="1" t="s">
        <v>1024</v>
      </c>
      <c r="T2097" s="1"/>
      <c r="U2097">
        <v>1708.6187500000001</v>
      </c>
      <c r="V2097">
        <v>0</v>
      </c>
      <c r="W2097">
        <v>62511</v>
      </c>
    </row>
    <row r="2098" spans="1:23" x14ac:dyDescent="0.25">
      <c r="A2098" s="1" t="s">
        <v>32</v>
      </c>
      <c r="B2098" s="1" t="s">
        <v>68</v>
      </c>
      <c r="C2098" s="1" t="s">
        <v>163</v>
      </c>
      <c r="D2098">
        <v>6031</v>
      </c>
      <c r="E2098" s="1"/>
      <c r="F2098" s="1" t="s">
        <v>295</v>
      </c>
      <c r="G2098">
        <v>2011</v>
      </c>
      <c r="H2098">
        <v>122910.31</v>
      </c>
      <c r="I2098">
        <v>13</v>
      </c>
      <c r="J2098" s="1" t="s">
        <v>499</v>
      </c>
      <c r="K2098">
        <v>0</v>
      </c>
      <c r="L2098">
        <v>0</v>
      </c>
      <c r="M2098">
        <v>1229103.1000000001</v>
      </c>
      <c r="N2098">
        <v>2</v>
      </c>
      <c r="O2098" s="1" t="s">
        <v>569</v>
      </c>
      <c r="P2098">
        <v>122910.31</v>
      </c>
      <c r="Q2098">
        <v>57644.92</v>
      </c>
      <c r="R2098">
        <v>1</v>
      </c>
      <c r="S2098" s="1" t="s">
        <v>1022</v>
      </c>
      <c r="T2098" s="1"/>
      <c r="U2098">
        <v>122910.30967</v>
      </c>
      <c r="V2098">
        <v>0</v>
      </c>
      <c r="W2098">
        <v>60686</v>
      </c>
    </row>
    <row r="2099" spans="1:23" x14ac:dyDescent="0.25">
      <c r="A2099" s="1" t="s">
        <v>32</v>
      </c>
      <c r="B2099" s="1" t="s">
        <v>68</v>
      </c>
      <c r="C2099" s="1" t="s">
        <v>163</v>
      </c>
      <c r="D2099">
        <v>6031</v>
      </c>
      <c r="E2099" s="1"/>
      <c r="F2099" s="1" t="s">
        <v>295</v>
      </c>
      <c r="G2099">
        <v>2011</v>
      </c>
      <c r="H2099">
        <v>924</v>
      </c>
      <c r="I2099">
        <v>11</v>
      </c>
      <c r="J2099" s="1" t="s">
        <v>433</v>
      </c>
      <c r="K2099">
        <v>0</v>
      </c>
      <c r="L2099">
        <v>0</v>
      </c>
      <c r="M2099">
        <v>9240</v>
      </c>
      <c r="N2099">
        <v>2</v>
      </c>
      <c r="O2099" s="1" t="s">
        <v>569</v>
      </c>
      <c r="P2099">
        <v>924</v>
      </c>
      <c r="Q2099">
        <v>433.36</v>
      </c>
      <c r="R2099">
        <v>0</v>
      </c>
      <c r="S2099" s="1" t="s">
        <v>1023</v>
      </c>
      <c r="T2099" s="1"/>
      <c r="U2099">
        <v>924</v>
      </c>
      <c r="V2099">
        <v>0</v>
      </c>
      <c r="W2099">
        <v>60687</v>
      </c>
    </row>
    <row r="2100" spans="1:23" x14ac:dyDescent="0.25">
      <c r="A2100" s="1" t="s">
        <v>32</v>
      </c>
      <c r="B2100" s="1" t="s">
        <v>68</v>
      </c>
      <c r="C2100" s="1" t="s">
        <v>163</v>
      </c>
      <c r="D2100">
        <v>6031</v>
      </c>
      <c r="E2100" s="1"/>
      <c r="F2100" s="1" t="s">
        <v>295</v>
      </c>
      <c r="G2100">
        <v>2011</v>
      </c>
      <c r="H2100">
        <v>2044.64</v>
      </c>
      <c r="I2100">
        <v>11</v>
      </c>
      <c r="J2100" s="1" t="s">
        <v>433</v>
      </c>
      <c r="K2100">
        <v>0</v>
      </c>
      <c r="L2100">
        <v>0</v>
      </c>
      <c r="M2100">
        <v>20446.400000000001</v>
      </c>
      <c r="N2100">
        <v>2</v>
      </c>
      <c r="O2100" s="1" t="s">
        <v>569</v>
      </c>
      <c r="P2100">
        <v>2044.64</v>
      </c>
      <c r="Q2100">
        <v>958.94</v>
      </c>
      <c r="R2100">
        <v>1</v>
      </c>
      <c r="S2100" s="1" t="s">
        <v>1024</v>
      </c>
      <c r="T2100" s="1"/>
      <c r="U2100">
        <v>2044.6322500000001</v>
      </c>
      <c r="V2100">
        <v>0</v>
      </c>
      <c r="W2100">
        <v>62511</v>
      </c>
    </row>
    <row r="2101" spans="1:23" x14ac:dyDescent="0.25">
      <c r="A2101" s="1" t="s">
        <v>32</v>
      </c>
      <c r="B2101" s="1" t="s">
        <v>68</v>
      </c>
      <c r="C2101" s="1" t="s">
        <v>163</v>
      </c>
      <c r="D2101">
        <v>6031</v>
      </c>
      <c r="E2101" s="1"/>
      <c r="F2101" s="1" t="s">
        <v>295</v>
      </c>
      <c r="G2101">
        <v>2010</v>
      </c>
      <c r="H2101">
        <v>1113</v>
      </c>
      <c r="I2101">
        <v>12</v>
      </c>
      <c r="J2101" s="1" t="s">
        <v>433</v>
      </c>
      <c r="K2101">
        <v>0</v>
      </c>
      <c r="L2101">
        <v>0</v>
      </c>
      <c r="M2101">
        <v>11130</v>
      </c>
      <c r="N2101">
        <v>2</v>
      </c>
      <c r="O2101" s="1" t="s">
        <v>569</v>
      </c>
      <c r="P2101">
        <v>1113</v>
      </c>
      <c r="Q2101">
        <v>522</v>
      </c>
      <c r="R2101">
        <v>0</v>
      </c>
      <c r="S2101" s="1" t="s">
        <v>1023</v>
      </c>
      <c r="T2101" s="1"/>
      <c r="U2101">
        <v>1113</v>
      </c>
      <c r="V2101">
        <v>0</v>
      </c>
      <c r="W2101">
        <v>60687</v>
      </c>
    </row>
    <row r="2102" spans="1:23" x14ac:dyDescent="0.25">
      <c r="A2102" s="1" t="s">
        <v>32</v>
      </c>
      <c r="B2102" s="1" t="s">
        <v>68</v>
      </c>
      <c r="C2102" s="1" t="s">
        <v>163</v>
      </c>
      <c r="D2102">
        <v>6031</v>
      </c>
      <c r="E2102" s="1"/>
      <c r="F2102" s="1" t="s">
        <v>295</v>
      </c>
      <c r="G2102">
        <v>2010</v>
      </c>
      <c r="H2102">
        <v>146109.71</v>
      </c>
      <c r="I2102">
        <v>12</v>
      </c>
      <c r="J2102" s="1" t="s">
        <v>499</v>
      </c>
      <c r="K2102">
        <v>0</v>
      </c>
      <c r="L2102">
        <v>0</v>
      </c>
      <c r="M2102">
        <v>1461097.1</v>
      </c>
      <c r="N2102">
        <v>2</v>
      </c>
      <c r="O2102" s="1" t="s">
        <v>569</v>
      </c>
      <c r="P2102">
        <v>146109.71</v>
      </c>
      <c r="Q2102">
        <v>68525.45</v>
      </c>
      <c r="R2102">
        <v>1</v>
      </c>
      <c r="S2102" s="1" t="s">
        <v>1022</v>
      </c>
      <c r="T2102" s="1"/>
      <c r="U2102">
        <v>146109.71139000001</v>
      </c>
      <c r="V2102">
        <v>0</v>
      </c>
      <c r="W2102">
        <v>60686</v>
      </c>
    </row>
    <row r="2103" spans="1:23" x14ac:dyDescent="0.25">
      <c r="A2103" s="1" t="s">
        <v>32</v>
      </c>
      <c r="B2103" s="1" t="s">
        <v>68</v>
      </c>
      <c r="C2103" s="1" t="s">
        <v>163</v>
      </c>
      <c r="D2103">
        <v>6031</v>
      </c>
      <c r="E2103" s="1"/>
      <c r="F2103" s="1" t="s">
        <v>295</v>
      </c>
      <c r="G2103">
        <v>2010</v>
      </c>
      <c r="H2103">
        <v>2980.43</v>
      </c>
      <c r="I2103">
        <v>12</v>
      </c>
      <c r="J2103" s="1" t="s">
        <v>433</v>
      </c>
      <c r="K2103">
        <v>0</v>
      </c>
      <c r="L2103">
        <v>0</v>
      </c>
      <c r="M2103">
        <v>29804.3</v>
      </c>
      <c r="N2103">
        <v>2</v>
      </c>
      <c r="O2103" s="1" t="s">
        <v>569</v>
      </c>
      <c r="P2103">
        <v>2980.43</v>
      </c>
      <c r="Q2103">
        <v>1397.83</v>
      </c>
      <c r="R2103">
        <v>1</v>
      </c>
      <c r="S2103" s="1" t="s">
        <v>1024</v>
      </c>
      <c r="T2103" s="1"/>
      <c r="U2103">
        <v>2980.4414200000001</v>
      </c>
      <c r="V2103">
        <v>0</v>
      </c>
      <c r="W2103">
        <v>62511</v>
      </c>
    </row>
    <row r="2104" spans="1:23" x14ac:dyDescent="0.25">
      <c r="A2104" s="1" t="s">
        <v>32</v>
      </c>
      <c r="B2104" s="1" t="s">
        <v>68</v>
      </c>
      <c r="C2104" s="1" t="s">
        <v>163</v>
      </c>
      <c r="D2104">
        <v>6031</v>
      </c>
      <c r="E2104" s="1"/>
      <c r="F2104" s="1" t="s">
        <v>295</v>
      </c>
      <c r="G2104">
        <v>2009</v>
      </c>
      <c r="H2104">
        <v>384</v>
      </c>
      <c r="I2104">
        <v>12</v>
      </c>
      <c r="J2104" s="1" t="s">
        <v>433</v>
      </c>
      <c r="K2104">
        <v>0</v>
      </c>
      <c r="L2104">
        <v>0</v>
      </c>
      <c r="M2104">
        <v>3840</v>
      </c>
      <c r="N2104">
        <v>2</v>
      </c>
      <c r="O2104" s="1" t="s">
        <v>569</v>
      </c>
      <c r="P2104">
        <v>384</v>
      </c>
      <c r="Q2104">
        <v>180.09</v>
      </c>
      <c r="R2104">
        <v>0</v>
      </c>
      <c r="S2104" s="1" t="s">
        <v>1023</v>
      </c>
      <c r="T2104" s="1"/>
      <c r="U2104">
        <v>384</v>
      </c>
      <c r="V2104">
        <v>0</v>
      </c>
      <c r="W2104">
        <v>60687</v>
      </c>
    </row>
    <row r="2105" spans="1:23" x14ac:dyDescent="0.25">
      <c r="A2105" s="1" t="s">
        <v>32</v>
      </c>
      <c r="B2105" s="1" t="s">
        <v>68</v>
      </c>
      <c r="C2105" s="1" t="s">
        <v>163</v>
      </c>
      <c r="D2105">
        <v>6031</v>
      </c>
      <c r="E2105" s="1"/>
      <c r="F2105" s="1" t="s">
        <v>295</v>
      </c>
      <c r="G2105">
        <v>2009</v>
      </c>
      <c r="H2105">
        <v>158843.04999999999</v>
      </c>
      <c r="I2105">
        <v>12</v>
      </c>
      <c r="J2105" s="1" t="s">
        <v>499</v>
      </c>
      <c r="K2105">
        <v>0</v>
      </c>
      <c r="L2105">
        <v>0</v>
      </c>
      <c r="M2105">
        <v>1588430.5</v>
      </c>
      <c r="N2105">
        <v>2</v>
      </c>
      <c r="O2105" s="1" t="s">
        <v>569</v>
      </c>
      <c r="P2105">
        <v>158843.04999999999</v>
      </c>
      <c r="Q2105">
        <v>74497.38</v>
      </c>
      <c r="R2105">
        <v>1</v>
      </c>
      <c r="S2105" s="1" t="s">
        <v>1022</v>
      </c>
      <c r="T2105" s="1"/>
      <c r="U2105">
        <v>158843.04954000001</v>
      </c>
      <c r="V2105">
        <v>0</v>
      </c>
      <c r="W2105">
        <v>60686</v>
      </c>
    </row>
    <row r="2106" spans="1:23" x14ac:dyDescent="0.25">
      <c r="A2106" s="1" t="s">
        <v>32</v>
      </c>
      <c r="B2106" s="1" t="s">
        <v>68</v>
      </c>
      <c r="C2106" s="1" t="s">
        <v>163</v>
      </c>
      <c r="D2106">
        <v>6031</v>
      </c>
      <c r="E2106" s="1"/>
      <c r="F2106" s="1" t="s">
        <v>295</v>
      </c>
      <c r="G2106">
        <v>2009</v>
      </c>
      <c r="H2106">
        <v>4572.59</v>
      </c>
      <c r="I2106">
        <v>12</v>
      </c>
      <c r="J2106" s="1" t="s">
        <v>433</v>
      </c>
      <c r="K2106">
        <v>0</v>
      </c>
      <c r="L2106">
        <v>0</v>
      </c>
      <c r="M2106">
        <v>45725.9</v>
      </c>
      <c r="N2106">
        <v>2</v>
      </c>
      <c r="O2106" s="1" t="s">
        <v>569</v>
      </c>
      <c r="P2106">
        <v>4572.59</v>
      </c>
      <c r="Q2106">
        <v>2144.5500000000002</v>
      </c>
      <c r="R2106">
        <v>1</v>
      </c>
      <c r="S2106" s="1" t="s">
        <v>1024</v>
      </c>
      <c r="T2106" s="1"/>
      <c r="U2106">
        <v>4572.5851400000001</v>
      </c>
      <c r="V2106">
        <v>0</v>
      </c>
      <c r="W2106">
        <v>62511</v>
      </c>
    </row>
    <row r="2107" spans="1:23" x14ac:dyDescent="0.25">
      <c r="A2107" s="1" t="s">
        <v>32</v>
      </c>
      <c r="B2107" s="1" t="s">
        <v>68</v>
      </c>
      <c r="C2107" s="1" t="s">
        <v>163</v>
      </c>
      <c r="D2107">
        <v>6031</v>
      </c>
      <c r="E2107" s="1"/>
      <c r="F2107" s="1" t="s">
        <v>295</v>
      </c>
      <c r="G2107">
        <v>2008</v>
      </c>
      <c r="H2107">
        <v>1215</v>
      </c>
      <c r="I2107">
        <v>12</v>
      </c>
      <c r="J2107" s="1" t="s">
        <v>433</v>
      </c>
      <c r="K2107">
        <v>0</v>
      </c>
      <c r="L2107">
        <v>0</v>
      </c>
      <c r="M2107">
        <v>12150</v>
      </c>
      <c r="N2107">
        <v>2</v>
      </c>
      <c r="O2107" s="1" t="s">
        <v>569</v>
      </c>
      <c r="P2107">
        <v>1215</v>
      </c>
      <c r="Q2107">
        <v>569.84</v>
      </c>
      <c r="R2107">
        <v>0</v>
      </c>
      <c r="S2107" s="1" t="s">
        <v>1023</v>
      </c>
      <c r="T2107" s="1"/>
      <c r="U2107">
        <v>1215</v>
      </c>
      <c r="V2107">
        <v>0</v>
      </c>
      <c r="W2107">
        <v>60687</v>
      </c>
    </row>
    <row r="2108" spans="1:23" x14ac:dyDescent="0.25">
      <c r="A2108" s="1" t="s">
        <v>32</v>
      </c>
      <c r="B2108" s="1" t="s">
        <v>68</v>
      </c>
      <c r="C2108" s="1" t="s">
        <v>163</v>
      </c>
      <c r="D2108">
        <v>6031</v>
      </c>
      <c r="E2108" s="1"/>
      <c r="F2108" s="1" t="s">
        <v>295</v>
      </c>
      <c r="G2108">
        <v>2008</v>
      </c>
      <c r="H2108">
        <v>117311.39</v>
      </c>
      <c r="I2108">
        <v>8</v>
      </c>
      <c r="J2108" s="1" t="s">
        <v>499</v>
      </c>
      <c r="K2108">
        <v>0</v>
      </c>
      <c r="L2108">
        <v>0</v>
      </c>
      <c r="M2108">
        <v>1173113.8999999999</v>
      </c>
      <c r="N2108">
        <v>2</v>
      </c>
      <c r="O2108" s="1" t="s">
        <v>569</v>
      </c>
      <c r="P2108">
        <v>117311.39</v>
      </c>
      <c r="Q2108">
        <v>55019.02</v>
      </c>
      <c r="R2108">
        <v>1</v>
      </c>
      <c r="S2108" s="1" t="s">
        <v>1022</v>
      </c>
      <c r="T2108" s="1"/>
      <c r="U2108">
        <v>117311.38657</v>
      </c>
      <c r="V2108">
        <v>0</v>
      </c>
      <c r="W2108">
        <v>60686</v>
      </c>
    </row>
    <row r="2109" spans="1:23" x14ac:dyDescent="0.25">
      <c r="A2109" s="1" t="s">
        <v>32</v>
      </c>
      <c r="B2109" s="1" t="s">
        <v>68</v>
      </c>
      <c r="C2109" s="1" t="s">
        <v>163</v>
      </c>
      <c r="D2109">
        <v>6031</v>
      </c>
      <c r="E2109" s="1"/>
      <c r="F2109" s="1" t="s">
        <v>295</v>
      </c>
      <c r="G2109">
        <v>2008</v>
      </c>
      <c r="H2109">
        <v>2345.16</v>
      </c>
      <c r="I2109">
        <v>12</v>
      </c>
      <c r="J2109" s="1" t="s">
        <v>433</v>
      </c>
      <c r="K2109">
        <v>0</v>
      </c>
      <c r="L2109">
        <v>0</v>
      </c>
      <c r="M2109">
        <v>23451.599999999999</v>
      </c>
      <c r="N2109">
        <v>2</v>
      </c>
      <c r="O2109" s="1" t="s">
        <v>569</v>
      </c>
      <c r="P2109">
        <v>2345.16</v>
      </c>
      <c r="Q2109">
        <v>1099.8800000000001</v>
      </c>
      <c r="R2109">
        <v>1</v>
      </c>
      <c r="S2109" s="1" t="s">
        <v>1024</v>
      </c>
      <c r="T2109" s="1"/>
      <c r="U2109">
        <v>2345.1669900000002</v>
      </c>
      <c r="V2109">
        <v>0</v>
      </c>
      <c r="W2109">
        <v>62511</v>
      </c>
    </row>
    <row r="2110" spans="1:23" x14ac:dyDescent="0.25">
      <c r="A2110" s="1" t="s">
        <v>32</v>
      </c>
      <c r="B2110" s="1"/>
      <c r="C2110" s="1" t="s">
        <v>164</v>
      </c>
      <c r="D2110">
        <v>10207</v>
      </c>
      <c r="E2110" s="1"/>
      <c r="F2110" s="1" t="s">
        <v>296</v>
      </c>
      <c r="G2110">
        <v>2015</v>
      </c>
      <c r="H2110">
        <v>4053.82</v>
      </c>
      <c r="I2110">
        <v>5</v>
      </c>
      <c r="J2110" s="1" t="s">
        <v>426</v>
      </c>
      <c r="K2110">
        <v>0</v>
      </c>
      <c r="L2110">
        <v>505</v>
      </c>
      <c r="M2110">
        <v>8.0257769999999997</v>
      </c>
      <c r="N2110">
        <v>2</v>
      </c>
      <c r="O2110" s="1" t="s">
        <v>569</v>
      </c>
      <c r="P2110">
        <v>4053.82</v>
      </c>
      <c r="Q2110">
        <v>1216.1500000000001</v>
      </c>
      <c r="R2110">
        <v>0</v>
      </c>
      <c r="S2110" s="1" t="s">
        <v>1025</v>
      </c>
      <c r="T2110" s="1" t="s">
        <v>1301</v>
      </c>
      <c r="U2110">
        <v>4053.826</v>
      </c>
      <c r="V2110">
        <v>0</v>
      </c>
      <c r="W2110">
        <v>77399</v>
      </c>
    </row>
    <row r="2111" spans="1:23" x14ac:dyDescent="0.25">
      <c r="A2111" s="1" t="s">
        <v>32</v>
      </c>
      <c r="B2111" s="1"/>
      <c r="C2111" s="1" t="s">
        <v>164</v>
      </c>
      <c r="D2111">
        <v>10207</v>
      </c>
      <c r="E2111" s="1"/>
      <c r="F2111" s="1" t="s">
        <v>296</v>
      </c>
      <c r="G2111">
        <v>2014</v>
      </c>
      <c r="H2111">
        <v>13453.27</v>
      </c>
      <c r="I2111">
        <v>12</v>
      </c>
      <c r="J2111" s="1" t="s">
        <v>426</v>
      </c>
      <c r="K2111">
        <v>0</v>
      </c>
      <c r="L2111">
        <v>505</v>
      </c>
      <c r="M2111">
        <v>26.634864</v>
      </c>
      <c r="N2111">
        <v>2</v>
      </c>
      <c r="O2111" s="1" t="s">
        <v>569</v>
      </c>
      <c r="P2111">
        <v>13453.27</v>
      </c>
      <c r="Q2111">
        <v>4035.98</v>
      </c>
      <c r="R2111">
        <v>0</v>
      </c>
      <c r="S2111" s="1" t="s">
        <v>1025</v>
      </c>
      <c r="T2111" s="1" t="s">
        <v>1301</v>
      </c>
      <c r="U2111">
        <v>13453.26</v>
      </c>
      <c r="V2111">
        <v>0</v>
      </c>
      <c r="W2111">
        <v>77399</v>
      </c>
    </row>
    <row r="2112" spans="1:23" x14ac:dyDescent="0.25">
      <c r="A2112" s="1" t="s">
        <v>32</v>
      </c>
      <c r="B2112" s="1"/>
      <c r="C2112" s="1" t="s">
        <v>164</v>
      </c>
      <c r="D2112">
        <v>10207</v>
      </c>
      <c r="E2112" s="1"/>
      <c r="F2112" s="1" t="s">
        <v>296</v>
      </c>
      <c r="G2112">
        <v>2013</v>
      </c>
      <c r="H2112">
        <v>14695.89</v>
      </c>
      <c r="I2112">
        <v>12</v>
      </c>
      <c r="J2112" s="1" t="s">
        <v>426</v>
      </c>
      <c r="K2112">
        <v>0</v>
      </c>
      <c r="L2112">
        <v>505</v>
      </c>
      <c r="M2112">
        <v>29.095009999999998</v>
      </c>
      <c r="N2112">
        <v>2</v>
      </c>
      <c r="O2112" s="1" t="s">
        <v>569</v>
      </c>
      <c r="P2112">
        <v>14695.89</v>
      </c>
      <c r="Q2112">
        <v>4408.7700000000004</v>
      </c>
      <c r="R2112">
        <v>0</v>
      </c>
      <c r="S2112" s="1" t="s">
        <v>1025</v>
      </c>
      <c r="T2112" s="1" t="s">
        <v>1301</v>
      </c>
      <c r="U2112">
        <v>14695.894</v>
      </c>
      <c r="V2112">
        <v>0</v>
      </c>
      <c r="W2112">
        <v>77399</v>
      </c>
    </row>
    <row r="2113" spans="1:23" x14ac:dyDescent="0.25">
      <c r="A2113" s="1" t="s">
        <v>32</v>
      </c>
      <c r="B2113" s="1"/>
      <c r="C2113" s="1" t="s">
        <v>164</v>
      </c>
      <c r="D2113">
        <v>10207</v>
      </c>
      <c r="E2113" s="1"/>
      <c r="F2113" s="1" t="s">
        <v>296</v>
      </c>
      <c r="G2113">
        <v>2012</v>
      </c>
      <c r="H2113">
        <v>12294.21</v>
      </c>
      <c r="I2113">
        <v>12</v>
      </c>
      <c r="J2113" s="1" t="s">
        <v>426</v>
      </c>
      <c r="K2113">
        <v>0</v>
      </c>
      <c r="L2113">
        <v>505</v>
      </c>
      <c r="M2113">
        <v>24.340150000000001</v>
      </c>
      <c r="N2113">
        <v>2</v>
      </c>
      <c r="O2113" s="1" t="s">
        <v>569</v>
      </c>
      <c r="P2113">
        <v>12294.21</v>
      </c>
      <c r="Q2113">
        <v>4917.7</v>
      </c>
      <c r="R2113">
        <v>0</v>
      </c>
      <c r="S2113" s="1" t="s">
        <v>1025</v>
      </c>
      <c r="T2113" s="1" t="s">
        <v>1301</v>
      </c>
      <c r="U2113">
        <v>12294.207</v>
      </c>
      <c r="V2113">
        <v>0</v>
      </c>
      <c r="W2113">
        <v>77399</v>
      </c>
    </row>
    <row r="2114" spans="1:23" x14ac:dyDescent="0.25">
      <c r="A2114" s="1" t="s">
        <v>32</v>
      </c>
      <c r="B2114" s="1"/>
      <c r="C2114" s="1" t="s">
        <v>164</v>
      </c>
      <c r="D2114">
        <v>10207</v>
      </c>
      <c r="E2114" s="1"/>
      <c r="F2114" s="1" t="s">
        <v>296</v>
      </c>
      <c r="G2114">
        <v>2011</v>
      </c>
      <c r="H2114">
        <v>9790.56</v>
      </c>
      <c r="I2114">
        <v>3</v>
      </c>
      <c r="J2114" s="1" t="s">
        <v>426</v>
      </c>
      <c r="K2114">
        <v>0</v>
      </c>
      <c r="L2114">
        <v>505</v>
      </c>
      <c r="M2114">
        <v>19.383409</v>
      </c>
      <c r="N2114">
        <v>2</v>
      </c>
      <c r="O2114" s="1" t="s">
        <v>569</v>
      </c>
      <c r="P2114">
        <v>9790.56</v>
      </c>
      <c r="Q2114">
        <v>4591.7700000000004</v>
      </c>
      <c r="R2114">
        <v>0</v>
      </c>
      <c r="S2114" s="1" t="s">
        <v>1025</v>
      </c>
      <c r="T2114" s="1" t="s">
        <v>1301</v>
      </c>
      <c r="U2114">
        <v>9790.5600200000008</v>
      </c>
      <c r="V2114">
        <v>0</v>
      </c>
      <c r="W2114">
        <v>77399</v>
      </c>
    </row>
    <row r="2115" spans="1:23" x14ac:dyDescent="0.25">
      <c r="A2115" s="1" t="s">
        <v>32</v>
      </c>
      <c r="B2115" s="1"/>
      <c r="C2115" s="1" t="s">
        <v>164</v>
      </c>
      <c r="D2115">
        <v>10207</v>
      </c>
      <c r="E2115" s="1"/>
      <c r="F2115" s="1" t="s">
        <v>296</v>
      </c>
      <c r="G2115">
        <v>2010</v>
      </c>
      <c r="H2115">
        <v>12505.92</v>
      </c>
      <c r="I2115">
        <v>3</v>
      </c>
      <c r="J2115" s="1" t="s">
        <v>426</v>
      </c>
      <c r="K2115">
        <v>0</v>
      </c>
      <c r="L2115">
        <v>505</v>
      </c>
      <c r="M2115">
        <v>24.759295000000002</v>
      </c>
      <c r="N2115">
        <v>2</v>
      </c>
      <c r="O2115" s="1" t="s">
        <v>569</v>
      </c>
      <c r="P2115">
        <v>12505.92</v>
      </c>
      <c r="Q2115">
        <v>5865.28</v>
      </c>
      <c r="R2115">
        <v>0</v>
      </c>
      <c r="S2115" s="1" t="s">
        <v>1025</v>
      </c>
      <c r="T2115" s="1" t="s">
        <v>1301</v>
      </c>
      <c r="U2115">
        <v>12505.9139</v>
      </c>
      <c r="V2115">
        <v>0</v>
      </c>
      <c r="W2115">
        <v>77399</v>
      </c>
    </row>
    <row r="2116" spans="1:23" x14ac:dyDescent="0.25">
      <c r="A2116" s="1" t="s">
        <v>32</v>
      </c>
      <c r="B2116" s="1"/>
      <c r="C2116" s="1" t="s">
        <v>164</v>
      </c>
      <c r="D2116">
        <v>10207</v>
      </c>
      <c r="E2116" s="1"/>
      <c r="F2116" s="1" t="s">
        <v>296</v>
      </c>
      <c r="G2116">
        <v>2009</v>
      </c>
      <c r="H2116">
        <v>13360.55</v>
      </c>
      <c r="I2116">
        <v>0</v>
      </c>
      <c r="J2116" s="1" t="s">
        <v>426</v>
      </c>
      <c r="K2116">
        <v>0</v>
      </c>
      <c r="L2116">
        <v>505</v>
      </c>
      <c r="M2116">
        <v>26.451295999999999</v>
      </c>
      <c r="N2116">
        <v>2</v>
      </c>
      <c r="O2116" s="1" t="s">
        <v>569</v>
      </c>
      <c r="P2116">
        <v>13360.55</v>
      </c>
      <c r="Q2116">
        <v>6266.1</v>
      </c>
      <c r="R2116">
        <v>0</v>
      </c>
      <c r="S2116" s="1" t="s">
        <v>1025</v>
      </c>
      <c r="T2116" s="1" t="s">
        <v>1301</v>
      </c>
      <c r="U2116">
        <v>13360.532209999999</v>
      </c>
      <c r="V2116">
        <v>0</v>
      </c>
      <c r="W2116">
        <v>77399</v>
      </c>
    </row>
    <row r="2117" spans="1:23" x14ac:dyDescent="0.25">
      <c r="A2117" s="1" t="s">
        <v>32</v>
      </c>
      <c r="B2117" s="1"/>
      <c r="C2117" s="1" t="s">
        <v>164</v>
      </c>
      <c r="D2117">
        <v>10207</v>
      </c>
      <c r="E2117" s="1"/>
      <c r="F2117" s="1" t="s">
        <v>296</v>
      </c>
      <c r="G2117">
        <v>2008</v>
      </c>
      <c r="H2117">
        <v>13203.23</v>
      </c>
      <c r="I2117">
        <v>6</v>
      </c>
      <c r="J2117" s="1" t="s">
        <v>426</v>
      </c>
      <c r="K2117">
        <v>0</v>
      </c>
      <c r="L2117">
        <v>505</v>
      </c>
      <c r="M2117">
        <v>26.139832999999999</v>
      </c>
      <c r="N2117">
        <v>2</v>
      </c>
      <c r="O2117" s="1" t="s">
        <v>569</v>
      </c>
      <c r="P2117">
        <v>13203.23</v>
      </c>
      <c r="Q2117">
        <v>6192.33</v>
      </c>
      <c r="R2117">
        <v>0</v>
      </c>
      <c r="S2117" s="1" t="s">
        <v>1025</v>
      </c>
      <c r="T2117" s="1" t="s">
        <v>1301</v>
      </c>
      <c r="U2117">
        <v>13203.22892</v>
      </c>
      <c r="V2117">
        <v>0</v>
      </c>
      <c r="W2117">
        <v>77399</v>
      </c>
    </row>
    <row r="2118" spans="1:23" x14ac:dyDescent="0.25">
      <c r="A2118" s="1" t="s">
        <v>32</v>
      </c>
      <c r="B2118" s="1"/>
      <c r="C2118" s="1" t="s">
        <v>165</v>
      </c>
      <c r="D2118">
        <v>10204</v>
      </c>
      <c r="E2118" s="1"/>
      <c r="F2118" s="1" t="s">
        <v>297</v>
      </c>
      <c r="G2118">
        <v>2015</v>
      </c>
      <c r="H2118">
        <v>3913.55</v>
      </c>
      <c r="I2118">
        <v>5</v>
      </c>
      <c r="J2118" s="1" t="s">
        <v>423</v>
      </c>
      <c r="K2118">
        <v>0</v>
      </c>
      <c r="L2118">
        <v>445</v>
      </c>
      <c r="M2118">
        <v>8.7925179999999994</v>
      </c>
      <c r="N2118">
        <v>2</v>
      </c>
      <c r="O2118" s="1" t="s">
        <v>569</v>
      </c>
      <c r="P2118">
        <v>3913.55</v>
      </c>
      <c r="Q2118">
        <v>1174.06</v>
      </c>
      <c r="R2118">
        <v>0</v>
      </c>
      <c r="S2118" s="1" t="s">
        <v>1026</v>
      </c>
      <c r="T2118" s="1" t="s">
        <v>1302</v>
      </c>
      <c r="U2118">
        <v>3913.5410000000002</v>
      </c>
      <c r="V2118">
        <v>0</v>
      </c>
      <c r="W2118">
        <v>77386</v>
      </c>
    </row>
    <row r="2119" spans="1:23" x14ac:dyDescent="0.25">
      <c r="A2119" s="1" t="s">
        <v>32</v>
      </c>
      <c r="B2119" s="1"/>
      <c r="C2119" s="1" t="s">
        <v>165</v>
      </c>
      <c r="D2119">
        <v>10204</v>
      </c>
      <c r="E2119" s="1"/>
      <c r="F2119" s="1" t="s">
        <v>297</v>
      </c>
      <c r="G2119">
        <v>2014</v>
      </c>
      <c r="H2119">
        <v>11133.04</v>
      </c>
      <c r="I2119">
        <v>12</v>
      </c>
      <c r="J2119" s="1" t="s">
        <v>423</v>
      </c>
      <c r="K2119">
        <v>0</v>
      </c>
      <c r="L2119">
        <v>445</v>
      </c>
      <c r="M2119">
        <v>25.012446000000001</v>
      </c>
      <c r="N2119">
        <v>2</v>
      </c>
      <c r="O2119" s="1" t="s">
        <v>569</v>
      </c>
      <c r="P2119">
        <v>11133.04</v>
      </c>
      <c r="Q2119">
        <v>3339.9</v>
      </c>
      <c r="R2119">
        <v>0</v>
      </c>
      <c r="S2119" s="1" t="s">
        <v>1026</v>
      </c>
      <c r="T2119" s="1" t="s">
        <v>1302</v>
      </c>
      <c r="U2119">
        <v>11133.040999999999</v>
      </c>
      <c r="V2119">
        <v>0</v>
      </c>
      <c r="W2119">
        <v>77386</v>
      </c>
    </row>
    <row r="2120" spans="1:23" x14ac:dyDescent="0.25">
      <c r="A2120" s="1" t="s">
        <v>32</v>
      </c>
      <c r="B2120" s="1"/>
      <c r="C2120" s="1" t="s">
        <v>165</v>
      </c>
      <c r="D2120">
        <v>10204</v>
      </c>
      <c r="E2120" s="1"/>
      <c r="F2120" s="1" t="s">
        <v>297</v>
      </c>
      <c r="G2120">
        <v>2013</v>
      </c>
      <c r="H2120">
        <v>12708.84</v>
      </c>
      <c r="I2120">
        <v>12</v>
      </c>
      <c r="J2120" s="1" t="s">
        <v>423</v>
      </c>
      <c r="K2120">
        <v>0</v>
      </c>
      <c r="L2120">
        <v>445</v>
      </c>
      <c r="M2120">
        <v>28.552773999999999</v>
      </c>
      <c r="N2120">
        <v>2</v>
      </c>
      <c r="O2120" s="1" t="s">
        <v>569</v>
      </c>
      <c r="P2120">
        <v>12708.84</v>
      </c>
      <c r="Q2120">
        <v>3812.64</v>
      </c>
      <c r="R2120">
        <v>0</v>
      </c>
      <c r="S2120" s="1" t="s">
        <v>1026</v>
      </c>
      <c r="T2120" s="1" t="s">
        <v>1302</v>
      </c>
      <c r="U2120">
        <v>12708.844999999999</v>
      </c>
      <c r="V2120">
        <v>0</v>
      </c>
      <c r="W2120">
        <v>77386</v>
      </c>
    </row>
    <row r="2121" spans="1:23" x14ac:dyDescent="0.25">
      <c r="A2121" s="1" t="s">
        <v>32</v>
      </c>
      <c r="B2121" s="1"/>
      <c r="C2121" s="1" t="s">
        <v>165</v>
      </c>
      <c r="D2121">
        <v>10204</v>
      </c>
      <c r="E2121" s="1"/>
      <c r="F2121" s="1" t="s">
        <v>297</v>
      </c>
      <c r="G2121">
        <v>2012</v>
      </c>
      <c r="H2121">
        <v>12475.99</v>
      </c>
      <c r="I2121">
        <v>12</v>
      </c>
      <c r="J2121" s="1" t="s">
        <v>423</v>
      </c>
      <c r="K2121">
        <v>0</v>
      </c>
      <c r="L2121">
        <v>445</v>
      </c>
      <c r="M2121">
        <v>28.029633</v>
      </c>
      <c r="N2121">
        <v>2</v>
      </c>
      <c r="O2121" s="1" t="s">
        <v>569</v>
      </c>
      <c r="P2121">
        <v>12475.99</v>
      </c>
      <c r="Q2121">
        <v>4990.3999999999996</v>
      </c>
      <c r="R2121">
        <v>0</v>
      </c>
      <c r="S2121" s="1" t="s">
        <v>1026</v>
      </c>
      <c r="T2121" s="1" t="s">
        <v>1302</v>
      </c>
      <c r="U2121">
        <v>12476.007</v>
      </c>
      <c r="V2121">
        <v>0</v>
      </c>
      <c r="W2121">
        <v>77386</v>
      </c>
    </row>
    <row r="2122" spans="1:23" x14ac:dyDescent="0.25">
      <c r="A2122" s="1" t="s">
        <v>32</v>
      </c>
      <c r="B2122" s="1"/>
      <c r="C2122" s="1" t="s">
        <v>165</v>
      </c>
      <c r="D2122">
        <v>10204</v>
      </c>
      <c r="E2122" s="1"/>
      <c r="F2122" s="1" t="s">
        <v>297</v>
      </c>
      <c r="G2122">
        <v>2011</v>
      </c>
      <c r="H2122">
        <v>12867.88</v>
      </c>
      <c r="I2122">
        <v>5</v>
      </c>
      <c r="J2122" s="1" t="s">
        <v>423</v>
      </c>
      <c r="K2122">
        <v>0</v>
      </c>
      <c r="L2122">
        <v>445</v>
      </c>
      <c r="M2122">
        <v>28.910087000000001</v>
      </c>
      <c r="N2122">
        <v>2</v>
      </c>
      <c r="O2122" s="1" t="s">
        <v>569</v>
      </c>
      <c r="P2122">
        <v>12867.88</v>
      </c>
      <c r="Q2122">
        <v>6035.03</v>
      </c>
      <c r="R2122">
        <v>0</v>
      </c>
      <c r="S2122" s="1" t="s">
        <v>1026</v>
      </c>
      <c r="T2122" s="1" t="s">
        <v>1302</v>
      </c>
      <c r="U2122">
        <v>12867.882670000001</v>
      </c>
      <c r="V2122">
        <v>0</v>
      </c>
      <c r="W2122">
        <v>77386</v>
      </c>
    </row>
    <row r="2123" spans="1:23" x14ac:dyDescent="0.25">
      <c r="A2123" s="1" t="s">
        <v>32</v>
      </c>
      <c r="B2123" s="1"/>
      <c r="C2123" s="1" t="s">
        <v>165</v>
      </c>
      <c r="D2123">
        <v>10204</v>
      </c>
      <c r="E2123" s="1"/>
      <c r="F2123" s="1" t="s">
        <v>297</v>
      </c>
      <c r="G2123">
        <v>2010</v>
      </c>
      <c r="H2123">
        <v>14453.25</v>
      </c>
      <c r="I2123">
        <v>3</v>
      </c>
      <c r="J2123" s="1" t="s">
        <v>423</v>
      </c>
      <c r="K2123">
        <v>0</v>
      </c>
      <c r="L2123">
        <v>445</v>
      </c>
      <c r="M2123">
        <v>32.471916</v>
      </c>
      <c r="N2123">
        <v>2</v>
      </c>
      <c r="O2123" s="1" t="s">
        <v>569</v>
      </c>
      <c r="P2123">
        <v>14453.25</v>
      </c>
      <c r="Q2123">
        <v>6778.58</v>
      </c>
      <c r="R2123">
        <v>0</v>
      </c>
      <c r="S2123" s="1" t="s">
        <v>1026</v>
      </c>
      <c r="T2123" s="1" t="s">
        <v>1302</v>
      </c>
      <c r="U2123">
        <v>14453.2302</v>
      </c>
      <c r="V2123">
        <v>0</v>
      </c>
      <c r="W2123">
        <v>77386</v>
      </c>
    </row>
    <row r="2124" spans="1:23" x14ac:dyDescent="0.25">
      <c r="A2124" s="1" t="s">
        <v>32</v>
      </c>
      <c r="B2124" s="1"/>
      <c r="C2124" s="1" t="s">
        <v>165</v>
      </c>
      <c r="D2124">
        <v>10204</v>
      </c>
      <c r="E2124" s="1"/>
      <c r="F2124" s="1" t="s">
        <v>297</v>
      </c>
      <c r="G2124">
        <v>2009</v>
      </c>
      <c r="H2124">
        <v>14953.93</v>
      </c>
      <c r="I2124">
        <v>0</v>
      </c>
      <c r="J2124" s="1" t="s">
        <v>423</v>
      </c>
      <c r="K2124">
        <v>0</v>
      </c>
      <c r="L2124">
        <v>445</v>
      </c>
      <c r="M2124">
        <v>33.596786999999999</v>
      </c>
      <c r="N2124">
        <v>2</v>
      </c>
      <c r="O2124" s="1" t="s">
        <v>569</v>
      </c>
      <c r="P2124">
        <v>14953.93</v>
      </c>
      <c r="Q2124">
        <v>7013.39</v>
      </c>
      <c r="R2124">
        <v>0</v>
      </c>
      <c r="S2124" s="1" t="s">
        <v>1026</v>
      </c>
      <c r="T2124" s="1" t="s">
        <v>1302</v>
      </c>
      <c r="U2124">
        <v>14953.90741</v>
      </c>
      <c r="V2124">
        <v>0</v>
      </c>
      <c r="W2124">
        <v>77386</v>
      </c>
    </row>
    <row r="2125" spans="1:23" x14ac:dyDescent="0.25">
      <c r="A2125" s="1" t="s">
        <v>32</v>
      </c>
      <c r="B2125" s="1"/>
      <c r="C2125" s="1" t="s">
        <v>165</v>
      </c>
      <c r="D2125">
        <v>10204</v>
      </c>
      <c r="E2125" s="1"/>
      <c r="F2125" s="1" t="s">
        <v>297</v>
      </c>
      <c r="G2125">
        <v>2008</v>
      </c>
      <c r="H2125">
        <v>16051.45</v>
      </c>
      <c r="I2125">
        <v>7</v>
      </c>
      <c r="J2125" s="1" t="s">
        <v>423</v>
      </c>
      <c r="K2125">
        <v>0</v>
      </c>
      <c r="L2125">
        <v>445</v>
      </c>
      <c r="M2125">
        <v>36.062570000000001</v>
      </c>
      <c r="N2125">
        <v>2</v>
      </c>
      <c r="O2125" s="1" t="s">
        <v>569</v>
      </c>
      <c r="P2125">
        <v>16051.45</v>
      </c>
      <c r="Q2125">
        <v>7528.14</v>
      </c>
      <c r="R2125">
        <v>0</v>
      </c>
      <c r="S2125" s="1" t="s">
        <v>1026</v>
      </c>
      <c r="T2125" s="1" t="s">
        <v>1302</v>
      </c>
      <c r="U2125">
        <v>16051.43446</v>
      </c>
      <c r="V2125">
        <v>0</v>
      </c>
      <c r="W2125">
        <v>77386</v>
      </c>
    </row>
    <row r="2126" spans="1:23" x14ac:dyDescent="0.25">
      <c r="A2126" s="1" t="s">
        <v>32</v>
      </c>
      <c r="B2126" s="1" t="s">
        <v>69</v>
      </c>
      <c r="C2126" s="1" t="s">
        <v>166</v>
      </c>
      <c r="D2126">
        <v>13664</v>
      </c>
      <c r="E2126" s="1" t="s">
        <v>243</v>
      </c>
      <c r="F2126" s="1" t="s">
        <v>298</v>
      </c>
      <c r="G2126">
        <v>2015</v>
      </c>
      <c r="H2126">
        <v>597.9</v>
      </c>
      <c r="I2126">
        <v>5</v>
      </c>
      <c r="J2126" s="1" t="s">
        <v>422</v>
      </c>
      <c r="K2126">
        <v>0</v>
      </c>
      <c r="L2126">
        <v>138</v>
      </c>
      <c r="M2126">
        <v>4.3294709999999998</v>
      </c>
      <c r="N2126">
        <v>2</v>
      </c>
      <c r="O2126" s="1" t="s">
        <v>569</v>
      </c>
      <c r="P2126">
        <v>597.9</v>
      </c>
      <c r="Q2126">
        <v>179.36</v>
      </c>
      <c r="R2126">
        <v>0</v>
      </c>
      <c r="S2126" s="1" t="s">
        <v>1027</v>
      </c>
      <c r="T2126" s="1" t="s">
        <v>1303</v>
      </c>
      <c r="U2126">
        <v>597.89099999999996</v>
      </c>
      <c r="V2126">
        <v>0</v>
      </c>
      <c r="W2126">
        <v>91255</v>
      </c>
    </row>
    <row r="2127" spans="1:23" x14ac:dyDescent="0.25">
      <c r="A2127" s="1" t="s">
        <v>32</v>
      </c>
      <c r="B2127" s="1" t="s">
        <v>69</v>
      </c>
      <c r="C2127" s="1" t="s">
        <v>166</v>
      </c>
      <c r="D2127">
        <v>13664</v>
      </c>
      <c r="E2127" s="1" t="s">
        <v>243</v>
      </c>
      <c r="F2127" s="1" t="s">
        <v>298</v>
      </c>
      <c r="G2127">
        <v>2014</v>
      </c>
      <c r="H2127">
        <v>1669.74</v>
      </c>
      <c r="I2127">
        <v>12</v>
      </c>
      <c r="J2127" s="1" t="s">
        <v>422</v>
      </c>
      <c r="K2127">
        <v>0</v>
      </c>
      <c r="L2127">
        <v>138</v>
      </c>
      <c r="M2127">
        <v>12.090802999999999</v>
      </c>
      <c r="N2127">
        <v>2</v>
      </c>
      <c r="O2127" s="1" t="s">
        <v>569</v>
      </c>
      <c r="P2127">
        <v>1669.74</v>
      </c>
      <c r="Q2127">
        <v>500.93</v>
      </c>
      <c r="R2127">
        <v>0</v>
      </c>
      <c r="S2127" s="1" t="s">
        <v>1027</v>
      </c>
      <c r="T2127" s="1" t="s">
        <v>1303</v>
      </c>
      <c r="U2127">
        <v>1669.748</v>
      </c>
      <c r="V2127">
        <v>0</v>
      </c>
      <c r="W2127">
        <v>91255</v>
      </c>
    </row>
    <row r="2128" spans="1:23" x14ac:dyDescent="0.25">
      <c r="A2128" s="1" t="s">
        <v>32</v>
      </c>
      <c r="B2128" s="1" t="s">
        <v>69</v>
      </c>
      <c r="C2128" s="1" t="s">
        <v>166</v>
      </c>
      <c r="D2128">
        <v>13664</v>
      </c>
      <c r="E2128" s="1" t="s">
        <v>243</v>
      </c>
      <c r="F2128" s="1" t="s">
        <v>298</v>
      </c>
      <c r="G2128">
        <v>2013</v>
      </c>
      <c r="H2128">
        <v>1522.36</v>
      </c>
      <c r="I2128">
        <v>7</v>
      </c>
      <c r="J2128" s="1" t="s">
        <v>422</v>
      </c>
      <c r="K2128">
        <v>0</v>
      </c>
      <c r="L2128">
        <v>138</v>
      </c>
      <c r="M2128">
        <v>11.023605999999999</v>
      </c>
      <c r="N2128">
        <v>2</v>
      </c>
      <c r="O2128" s="1" t="s">
        <v>569</v>
      </c>
      <c r="P2128">
        <v>1522.36</v>
      </c>
      <c r="Q2128">
        <v>456.71</v>
      </c>
      <c r="R2128">
        <v>0</v>
      </c>
      <c r="S2128" s="1" t="s">
        <v>1027</v>
      </c>
      <c r="T2128" s="1" t="s">
        <v>1303</v>
      </c>
      <c r="U2128">
        <v>1522.3584599999999</v>
      </c>
      <c r="V2128">
        <v>0</v>
      </c>
      <c r="W2128">
        <v>91255</v>
      </c>
    </row>
    <row r="2129" spans="1:23" x14ac:dyDescent="0.25">
      <c r="A2129" s="1" t="s">
        <v>32</v>
      </c>
      <c r="B2129" s="1" t="s">
        <v>69</v>
      </c>
      <c r="C2129" s="1" t="s">
        <v>166</v>
      </c>
      <c r="D2129">
        <v>13664</v>
      </c>
      <c r="E2129" s="1" t="s">
        <v>243</v>
      </c>
      <c r="F2129" s="1" t="s">
        <v>298</v>
      </c>
      <c r="G2129">
        <v>2012</v>
      </c>
      <c r="H2129">
        <v>1669.92</v>
      </c>
      <c r="I2129">
        <v>1</v>
      </c>
      <c r="J2129" s="1" t="s">
        <v>422</v>
      </c>
      <c r="K2129">
        <v>0</v>
      </c>
      <c r="L2129">
        <v>138</v>
      </c>
      <c r="M2129">
        <v>12.092107</v>
      </c>
      <c r="N2129">
        <v>2</v>
      </c>
      <c r="O2129" s="1" t="s">
        <v>569</v>
      </c>
      <c r="P2129">
        <v>1669.92</v>
      </c>
      <c r="Q2129">
        <v>667.97</v>
      </c>
      <c r="R2129">
        <v>0</v>
      </c>
      <c r="S2129" s="1" t="s">
        <v>1027</v>
      </c>
      <c r="T2129" s="1" t="s">
        <v>1303</v>
      </c>
      <c r="U2129">
        <v>1669.92914</v>
      </c>
      <c r="V2129">
        <v>0</v>
      </c>
      <c r="W2129">
        <v>91255</v>
      </c>
    </row>
    <row r="2130" spans="1:23" x14ac:dyDescent="0.25">
      <c r="A2130" s="1" t="s">
        <v>32</v>
      </c>
      <c r="B2130" s="1" t="s">
        <v>69</v>
      </c>
      <c r="C2130" s="1" t="s">
        <v>166</v>
      </c>
      <c r="D2130">
        <v>13664</v>
      </c>
      <c r="E2130" s="1" t="s">
        <v>243</v>
      </c>
      <c r="F2130" s="1" t="s">
        <v>298</v>
      </c>
      <c r="G2130">
        <v>2011</v>
      </c>
      <c r="H2130">
        <v>1423.62</v>
      </c>
      <c r="I2130">
        <v>1</v>
      </c>
      <c r="J2130" s="1" t="s">
        <v>422</v>
      </c>
      <c r="K2130">
        <v>0</v>
      </c>
      <c r="L2130">
        <v>138</v>
      </c>
      <c r="M2130">
        <v>10.308616000000001</v>
      </c>
      <c r="N2130">
        <v>2</v>
      </c>
      <c r="O2130" s="1" t="s">
        <v>569</v>
      </c>
      <c r="P2130">
        <v>1423.62</v>
      </c>
      <c r="Q2130">
        <v>667.67</v>
      </c>
      <c r="R2130">
        <v>0</v>
      </c>
      <c r="S2130" s="1" t="s">
        <v>1027</v>
      </c>
      <c r="T2130" s="1" t="s">
        <v>1303</v>
      </c>
      <c r="U2130">
        <v>1423.6315099999999</v>
      </c>
      <c r="V2130">
        <v>0</v>
      </c>
      <c r="W2130">
        <v>91255</v>
      </c>
    </row>
    <row r="2131" spans="1:23" x14ac:dyDescent="0.25">
      <c r="A2131" s="1" t="s">
        <v>32</v>
      </c>
      <c r="B2131" s="1" t="s">
        <v>69</v>
      </c>
      <c r="C2131" s="1" t="s">
        <v>166</v>
      </c>
      <c r="D2131">
        <v>13664</v>
      </c>
      <c r="E2131" s="1" t="s">
        <v>243</v>
      </c>
      <c r="F2131" s="1" t="s">
        <v>298</v>
      </c>
      <c r="G2131">
        <v>2010</v>
      </c>
      <c r="H2131">
        <v>1204.45</v>
      </c>
      <c r="I2131">
        <v>1</v>
      </c>
      <c r="J2131" s="1" t="s">
        <v>422</v>
      </c>
      <c r="K2131">
        <v>0</v>
      </c>
      <c r="L2131">
        <v>138</v>
      </c>
      <c r="M2131">
        <v>8.7215779999999992</v>
      </c>
      <c r="N2131">
        <v>2</v>
      </c>
      <c r="O2131" s="1" t="s">
        <v>569</v>
      </c>
      <c r="P2131">
        <v>1204.45</v>
      </c>
      <c r="Q2131">
        <v>564.89</v>
      </c>
      <c r="R2131">
        <v>0</v>
      </c>
      <c r="S2131" s="1" t="s">
        <v>1027</v>
      </c>
      <c r="T2131" s="1" t="s">
        <v>1303</v>
      </c>
      <c r="U2131">
        <v>1204.4830400000001</v>
      </c>
      <c r="V2131">
        <v>0</v>
      </c>
      <c r="W2131">
        <v>91255</v>
      </c>
    </row>
    <row r="2132" spans="1:23" x14ac:dyDescent="0.25">
      <c r="A2132" s="1" t="s">
        <v>32</v>
      </c>
      <c r="B2132" s="1" t="s">
        <v>69</v>
      </c>
      <c r="C2132" s="1" t="s">
        <v>166</v>
      </c>
      <c r="D2132">
        <v>13664</v>
      </c>
      <c r="E2132" s="1" t="s">
        <v>243</v>
      </c>
      <c r="F2132" s="1" t="s">
        <v>298</v>
      </c>
      <c r="G2132">
        <v>2009</v>
      </c>
      <c r="H2132">
        <v>1157.8900000000001</v>
      </c>
      <c r="I2132">
        <v>0</v>
      </c>
      <c r="J2132" s="1" t="s">
        <v>422</v>
      </c>
      <c r="K2132">
        <v>0</v>
      </c>
      <c r="L2132">
        <v>138</v>
      </c>
      <c r="M2132">
        <v>8.3844309999999993</v>
      </c>
      <c r="N2132">
        <v>2</v>
      </c>
      <c r="O2132" s="1" t="s">
        <v>569</v>
      </c>
      <c r="P2132">
        <v>1157.8900000000001</v>
      </c>
      <c r="Q2132">
        <v>543.05999999999995</v>
      </c>
      <c r="R2132">
        <v>0</v>
      </c>
      <c r="S2132" s="1" t="s">
        <v>1027</v>
      </c>
      <c r="T2132" s="1" t="s">
        <v>1303</v>
      </c>
      <c r="U2132">
        <v>1157.9310399999999</v>
      </c>
      <c r="V2132">
        <v>0</v>
      </c>
      <c r="W2132">
        <v>91255</v>
      </c>
    </row>
    <row r="2133" spans="1:23" x14ac:dyDescent="0.25">
      <c r="A2133" s="1" t="s">
        <v>32</v>
      </c>
      <c r="B2133" s="1" t="s">
        <v>69</v>
      </c>
      <c r="C2133" s="1" t="s">
        <v>166</v>
      </c>
      <c r="D2133">
        <v>13664</v>
      </c>
      <c r="E2133" s="1" t="s">
        <v>243</v>
      </c>
      <c r="F2133" s="1" t="s">
        <v>298</v>
      </c>
      <c r="G2133">
        <v>2008</v>
      </c>
      <c r="H2133">
        <v>1226.83</v>
      </c>
      <c r="I2133">
        <v>1</v>
      </c>
      <c r="J2133" s="1" t="s">
        <v>422</v>
      </c>
      <c r="K2133">
        <v>0</v>
      </c>
      <c r="L2133">
        <v>138</v>
      </c>
      <c r="M2133">
        <v>8.8836349999999999</v>
      </c>
      <c r="N2133">
        <v>2</v>
      </c>
      <c r="O2133" s="1" t="s">
        <v>569</v>
      </c>
      <c r="P2133">
        <v>1226.83</v>
      </c>
      <c r="Q2133">
        <v>575.38</v>
      </c>
      <c r="R2133">
        <v>0</v>
      </c>
      <c r="S2133" s="1" t="s">
        <v>1027</v>
      </c>
      <c r="T2133" s="1" t="s">
        <v>1303</v>
      </c>
      <c r="U2133">
        <v>1226.8199500000001</v>
      </c>
      <c r="V2133">
        <v>0</v>
      </c>
      <c r="W2133">
        <v>91255</v>
      </c>
    </row>
    <row r="2134" spans="1:23" x14ac:dyDescent="0.25">
      <c r="A2134" s="1" t="s">
        <v>32</v>
      </c>
      <c r="B2134" s="1"/>
      <c r="C2134" s="1" t="s">
        <v>167</v>
      </c>
      <c r="D2134">
        <v>10179</v>
      </c>
      <c r="E2134" s="1"/>
      <c r="F2134" s="1" t="s">
        <v>299</v>
      </c>
      <c r="G2134">
        <v>2015</v>
      </c>
      <c r="H2134">
        <v>14145.31</v>
      </c>
      <c r="I2134">
        <v>4</v>
      </c>
      <c r="J2134" s="1" t="s">
        <v>409</v>
      </c>
      <c r="K2134">
        <v>0</v>
      </c>
      <c r="L2134">
        <v>792</v>
      </c>
      <c r="M2134">
        <v>17.857984999999999</v>
      </c>
      <c r="N2134">
        <v>2</v>
      </c>
      <c r="O2134" s="1" t="s">
        <v>569</v>
      </c>
      <c r="P2134">
        <v>14145.31</v>
      </c>
      <c r="Q2134">
        <v>4243.59</v>
      </c>
      <c r="R2134">
        <v>0</v>
      </c>
      <c r="S2134" s="1" t="s">
        <v>1028</v>
      </c>
      <c r="T2134" s="1" t="s">
        <v>1304</v>
      </c>
      <c r="U2134">
        <v>14145.306</v>
      </c>
      <c r="V2134">
        <v>0</v>
      </c>
      <c r="W2134">
        <v>77210</v>
      </c>
    </row>
    <row r="2135" spans="1:23" x14ac:dyDescent="0.25">
      <c r="A2135" s="1" t="s">
        <v>32</v>
      </c>
      <c r="B2135" s="1"/>
      <c r="C2135" s="1" t="s">
        <v>167</v>
      </c>
      <c r="D2135">
        <v>10179</v>
      </c>
      <c r="E2135" s="1"/>
      <c r="F2135" s="1" t="s">
        <v>299</v>
      </c>
      <c r="G2135">
        <v>2014</v>
      </c>
      <c r="H2135">
        <v>44961.96</v>
      </c>
      <c r="I2135">
        <v>12</v>
      </c>
      <c r="J2135" s="1" t="s">
        <v>409</v>
      </c>
      <c r="K2135">
        <v>0</v>
      </c>
      <c r="L2135">
        <v>792</v>
      </c>
      <c r="M2135">
        <v>56.762984000000003</v>
      </c>
      <c r="N2135">
        <v>2</v>
      </c>
      <c r="O2135" s="1" t="s">
        <v>569</v>
      </c>
      <c r="P2135">
        <v>44961.96</v>
      </c>
      <c r="Q2135">
        <v>13488.56</v>
      </c>
      <c r="R2135">
        <v>0</v>
      </c>
      <c r="S2135" s="1" t="s">
        <v>1028</v>
      </c>
      <c r="T2135" s="1" t="s">
        <v>1304</v>
      </c>
      <c r="U2135">
        <v>44961.944000000003</v>
      </c>
      <c r="V2135">
        <v>0</v>
      </c>
      <c r="W2135">
        <v>77210</v>
      </c>
    </row>
    <row r="2136" spans="1:23" x14ac:dyDescent="0.25">
      <c r="A2136" s="1" t="s">
        <v>32</v>
      </c>
      <c r="B2136" s="1"/>
      <c r="C2136" s="1" t="s">
        <v>167</v>
      </c>
      <c r="D2136">
        <v>10179</v>
      </c>
      <c r="E2136" s="1"/>
      <c r="F2136" s="1" t="s">
        <v>299</v>
      </c>
      <c r="G2136">
        <v>2013</v>
      </c>
      <c r="H2136">
        <v>44179.99</v>
      </c>
      <c r="I2136">
        <v>12</v>
      </c>
      <c r="J2136" s="1" t="s">
        <v>409</v>
      </c>
      <c r="K2136">
        <v>0</v>
      </c>
      <c r="L2136">
        <v>792</v>
      </c>
      <c r="M2136">
        <v>55.775773000000001</v>
      </c>
      <c r="N2136">
        <v>2</v>
      </c>
      <c r="O2136" s="1" t="s">
        <v>569</v>
      </c>
      <c r="P2136">
        <v>44179.99</v>
      </c>
      <c r="Q2136">
        <v>13253.99</v>
      </c>
      <c r="R2136">
        <v>0</v>
      </c>
      <c r="S2136" s="1" t="s">
        <v>1028</v>
      </c>
      <c r="T2136" s="1" t="s">
        <v>1304</v>
      </c>
      <c r="U2136">
        <v>44179.982000000004</v>
      </c>
      <c r="V2136">
        <v>0</v>
      </c>
      <c r="W2136">
        <v>77210</v>
      </c>
    </row>
    <row r="2137" spans="1:23" x14ac:dyDescent="0.25">
      <c r="A2137" s="1" t="s">
        <v>32</v>
      </c>
      <c r="B2137" s="1"/>
      <c r="C2137" s="1" t="s">
        <v>167</v>
      </c>
      <c r="D2137">
        <v>10179</v>
      </c>
      <c r="E2137" s="1"/>
      <c r="F2137" s="1" t="s">
        <v>299</v>
      </c>
      <c r="G2137">
        <v>2012</v>
      </c>
      <c r="H2137">
        <v>43335.44</v>
      </c>
      <c r="I2137">
        <v>12</v>
      </c>
      <c r="J2137" s="1" t="s">
        <v>409</v>
      </c>
      <c r="K2137">
        <v>0</v>
      </c>
      <c r="L2137">
        <v>792</v>
      </c>
      <c r="M2137">
        <v>54.709555999999999</v>
      </c>
      <c r="N2137">
        <v>2</v>
      </c>
      <c r="O2137" s="1" t="s">
        <v>569</v>
      </c>
      <c r="P2137">
        <v>43335.44</v>
      </c>
      <c r="Q2137">
        <v>17334.169999999998</v>
      </c>
      <c r="R2137">
        <v>0</v>
      </c>
      <c r="S2137" s="1" t="s">
        <v>1028</v>
      </c>
      <c r="T2137" s="1" t="s">
        <v>1304</v>
      </c>
      <c r="U2137">
        <v>43335.438000000002</v>
      </c>
      <c r="V2137">
        <v>0</v>
      </c>
      <c r="W2137">
        <v>77210</v>
      </c>
    </row>
    <row r="2138" spans="1:23" x14ac:dyDescent="0.25">
      <c r="A2138" s="1" t="s">
        <v>32</v>
      </c>
      <c r="B2138" s="1"/>
      <c r="C2138" s="1" t="s">
        <v>167</v>
      </c>
      <c r="D2138">
        <v>10179</v>
      </c>
      <c r="E2138" s="1"/>
      <c r="F2138" s="1" t="s">
        <v>299</v>
      </c>
      <c r="G2138">
        <v>2011</v>
      </c>
      <c r="H2138">
        <v>46134.06</v>
      </c>
      <c r="I2138">
        <v>12</v>
      </c>
      <c r="J2138" s="1" t="s">
        <v>409</v>
      </c>
      <c r="K2138">
        <v>0</v>
      </c>
      <c r="L2138">
        <v>792</v>
      </c>
      <c r="M2138">
        <v>58.242721000000003</v>
      </c>
      <c r="N2138">
        <v>2</v>
      </c>
      <c r="O2138" s="1" t="s">
        <v>569</v>
      </c>
      <c r="P2138">
        <v>46134.06</v>
      </c>
      <c r="Q2138">
        <v>21636.880000000001</v>
      </c>
      <c r="R2138">
        <v>0</v>
      </c>
      <c r="S2138" s="1" t="s">
        <v>1028</v>
      </c>
      <c r="T2138" s="1" t="s">
        <v>1304</v>
      </c>
      <c r="U2138">
        <v>46134.06</v>
      </c>
      <c r="V2138">
        <v>0</v>
      </c>
      <c r="W2138">
        <v>77210</v>
      </c>
    </row>
    <row r="2139" spans="1:23" x14ac:dyDescent="0.25">
      <c r="A2139" s="1" t="s">
        <v>32</v>
      </c>
      <c r="B2139" s="1"/>
      <c r="C2139" s="1" t="s">
        <v>167</v>
      </c>
      <c r="D2139">
        <v>10179</v>
      </c>
      <c r="E2139" s="1"/>
      <c r="F2139" s="1" t="s">
        <v>299</v>
      </c>
      <c r="G2139">
        <v>2010</v>
      </c>
      <c r="H2139">
        <v>51099.22</v>
      </c>
      <c r="I2139">
        <v>9</v>
      </c>
      <c r="J2139" s="1" t="s">
        <v>409</v>
      </c>
      <c r="K2139">
        <v>0</v>
      </c>
      <c r="L2139">
        <v>792</v>
      </c>
      <c r="M2139">
        <v>64.511071000000001</v>
      </c>
      <c r="N2139">
        <v>2</v>
      </c>
      <c r="O2139" s="1" t="s">
        <v>569</v>
      </c>
      <c r="P2139">
        <v>51099.22</v>
      </c>
      <c r="Q2139">
        <v>23965.55</v>
      </c>
      <c r="R2139">
        <v>0</v>
      </c>
      <c r="S2139" s="1" t="s">
        <v>1028</v>
      </c>
      <c r="T2139" s="1" t="s">
        <v>1304</v>
      </c>
      <c r="U2139">
        <v>51099.238010000001</v>
      </c>
      <c r="V2139">
        <v>0</v>
      </c>
      <c r="W2139">
        <v>77210</v>
      </c>
    </row>
    <row r="2140" spans="1:23" x14ac:dyDescent="0.25">
      <c r="A2140" s="1" t="s">
        <v>32</v>
      </c>
      <c r="B2140" s="1"/>
      <c r="C2140" s="1" t="s">
        <v>167</v>
      </c>
      <c r="D2140">
        <v>10179</v>
      </c>
      <c r="E2140" s="1"/>
      <c r="F2140" s="1" t="s">
        <v>299</v>
      </c>
      <c r="G2140">
        <v>2009</v>
      </c>
      <c r="H2140">
        <v>53818.71</v>
      </c>
      <c r="I2140">
        <v>3</v>
      </c>
      <c r="J2140" s="1" t="s">
        <v>409</v>
      </c>
      <c r="K2140">
        <v>0</v>
      </c>
      <c r="L2140">
        <v>792</v>
      </c>
      <c r="M2140">
        <v>67.944337000000004</v>
      </c>
      <c r="N2140">
        <v>2</v>
      </c>
      <c r="O2140" s="1" t="s">
        <v>569</v>
      </c>
      <c r="P2140">
        <v>53818.71</v>
      </c>
      <c r="Q2140">
        <v>25240.97</v>
      </c>
      <c r="R2140">
        <v>0</v>
      </c>
      <c r="S2140" s="1" t="s">
        <v>1028</v>
      </c>
      <c r="T2140" s="1" t="s">
        <v>1304</v>
      </c>
      <c r="U2140">
        <v>53818.70912</v>
      </c>
      <c r="V2140">
        <v>0</v>
      </c>
      <c r="W2140">
        <v>77210</v>
      </c>
    </row>
    <row r="2141" spans="1:23" x14ac:dyDescent="0.25">
      <c r="A2141" s="1" t="s">
        <v>32</v>
      </c>
      <c r="B2141" s="1"/>
      <c r="C2141" s="1" t="s">
        <v>167</v>
      </c>
      <c r="D2141">
        <v>10179</v>
      </c>
      <c r="E2141" s="1"/>
      <c r="F2141" s="1" t="s">
        <v>299</v>
      </c>
      <c r="G2141">
        <v>2008</v>
      </c>
      <c r="H2141">
        <v>54268</v>
      </c>
      <c r="I2141">
        <v>7</v>
      </c>
      <c r="J2141" s="1" t="s">
        <v>409</v>
      </c>
      <c r="K2141">
        <v>0</v>
      </c>
      <c r="L2141">
        <v>792</v>
      </c>
      <c r="M2141">
        <v>68.511550999999997</v>
      </c>
      <c r="N2141">
        <v>2</v>
      </c>
      <c r="O2141" s="1" t="s">
        <v>569</v>
      </c>
      <c r="P2141">
        <v>54268</v>
      </c>
      <c r="Q2141">
        <v>25451.69</v>
      </c>
      <c r="R2141">
        <v>0</v>
      </c>
      <c r="S2141" s="1" t="s">
        <v>1028</v>
      </c>
      <c r="T2141" s="1" t="s">
        <v>1304</v>
      </c>
      <c r="U2141">
        <v>54267.994209999997</v>
      </c>
      <c r="V2141">
        <v>0</v>
      </c>
      <c r="W2141">
        <v>77210</v>
      </c>
    </row>
    <row r="2142" spans="1:23" x14ac:dyDescent="0.25">
      <c r="A2142" s="1" t="s">
        <v>32</v>
      </c>
      <c r="B2142" s="1" t="s">
        <v>70</v>
      </c>
      <c r="C2142" s="1" t="s">
        <v>168</v>
      </c>
      <c r="D2142">
        <v>13667</v>
      </c>
      <c r="E2142" s="1" t="s">
        <v>243</v>
      </c>
      <c r="F2142" s="1" t="s">
        <v>300</v>
      </c>
      <c r="G2142">
        <v>2015</v>
      </c>
      <c r="H2142">
        <v>7131.81</v>
      </c>
      <c r="I2142">
        <v>5</v>
      </c>
      <c r="J2142" s="1"/>
      <c r="K2142">
        <v>0</v>
      </c>
      <c r="L2142">
        <v>292</v>
      </c>
      <c r="M2142">
        <v>24.415645000000001</v>
      </c>
      <c r="N2142">
        <v>2</v>
      </c>
      <c r="O2142" s="1" t="s">
        <v>569</v>
      </c>
      <c r="P2142">
        <v>7131.81</v>
      </c>
      <c r="Q2142">
        <v>2139.54</v>
      </c>
      <c r="R2142">
        <v>0</v>
      </c>
      <c r="S2142" s="1" t="s">
        <v>1029</v>
      </c>
      <c r="T2142" s="1" t="s">
        <v>1305</v>
      </c>
      <c r="U2142">
        <v>7131.8109999999997</v>
      </c>
      <c r="V2142">
        <v>0</v>
      </c>
      <c r="W2142">
        <v>96386</v>
      </c>
    </row>
    <row r="2143" spans="1:23" x14ac:dyDescent="0.25">
      <c r="A2143" s="1" t="s">
        <v>32</v>
      </c>
      <c r="B2143" s="1" t="s">
        <v>70</v>
      </c>
      <c r="C2143" s="1" t="s">
        <v>168</v>
      </c>
      <c r="D2143">
        <v>13667</v>
      </c>
      <c r="E2143" s="1" t="s">
        <v>243</v>
      </c>
      <c r="F2143" s="1" t="s">
        <v>300</v>
      </c>
      <c r="G2143">
        <v>2014</v>
      </c>
      <c r="H2143">
        <v>9059.99</v>
      </c>
      <c r="I2143">
        <v>3</v>
      </c>
      <c r="J2143" s="1" t="s">
        <v>525</v>
      </c>
      <c r="K2143">
        <v>0</v>
      </c>
      <c r="L2143">
        <v>292</v>
      </c>
      <c r="M2143">
        <v>31.016739999999999</v>
      </c>
      <c r="N2143">
        <v>2</v>
      </c>
      <c r="O2143" s="1" t="s">
        <v>569</v>
      </c>
      <c r="P2143">
        <v>9059.99</v>
      </c>
      <c r="Q2143">
        <v>2717.99</v>
      </c>
      <c r="R2143">
        <v>0</v>
      </c>
      <c r="S2143" s="1" t="s">
        <v>1030</v>
      </c>
      <c r="T2143" s="1" t="s">
        <v>1306</v>
      </c>
      <c r="U2143">
        <v>9060.0000099999997</v>
      </c>
      <c r="V2143">
        <v>0</v>
      </c>
      <c r="W2143">
        <v>95928</v>
      </c>
    </row>
    <row r="2144" spans="1:23" x14ac:dyDescent="0.25">
      <c r="A2144" s="1" t="s">
        <v>32</v>
      </c>
      <c r="B2144" s="1" t="s">
        <v>70</v>
      </c>
      <c r="C2144" s="1" t="s">
        <v>168</v>
      </c>
      <c r="D2144">
        <v>13667</v>
      </c>
      <c r="E2144" s="1" t="s">
        <v>243</v>
      </c>
      <c r="F2144" s="1" t="s">
        <v>300</v>
      </c>
      <c r="G2144">
        <v>2014</v>
      </c>
      <c r="H2144">
        <v>10970.31</v>
      </c>
      <c r="I2144">
        <v>6</v>
      </c>
      <c r="J2144" s="1"/>
      <c r="K2144">
        <v>0</v>
      </c>
      <c r="L2144">
        <v>292</v>
      </c>
      <c r="M2144">
        <v>37.556691999999998</v>
      </c>
      <c r="N2144">
        <v>2</v>
      </c>
      <c r="O2144" s="1" t="s">
        <v>569</v>
      </c>
      <c r="P2144">
        <v>10970.31</v>
      </c>
      <c r="Q2144">
        <v>3291.11</v>
      </c>
      <c r="R2144">
        <v>0</v>
      </c>
      <c r="S2144" s="1" t="s">
        <v>1029</v>
      </c>
      <c r="T2144" s="1" t="s">
        <v>1305</v>
      </c>
      <c r="U2144">
        <v>10970.31018</v>
      </c>
      <c r="V2144">
        <v>0</v>
      </c>
      <c r="W2144">
        <v>96386</v>
      </c>
    </row>
    <row r="2145" spans="1:23" x14ac:dyDescent="0.25">
      <c r="A2145" s="1" t="s">
        <v>32</v>
      </c>
      <c r="B2145" s="1" t="s">
        <v>70</v>
      </c>
      <c r="C2145" s="1" t="s">
        <v>168</v>
      </c>
      <c r="D2145">
        <v>13667</v>
      </c>
      <c r="E2145" s="1" t="s">
        <v>243</v>
      </c>
      <c r="F2145" s="1" t="s">
        <v>300</v>
      </c>
      <c r="G2145">
        <v>2013</v>
      </c>
      <c r="H2145">
        <v>732.1</v>
      </c>
      <c r="I2145">
        <v>2</v>
      </c>
      <c r="J2145" s="1" t="s">
        <v>526</v>
      </c>
      <c r="K2145">
        <v>0</v>
      </c>
      <c r="L2145">
        <v>292</v>
      </c>
      <c r="M2145">
        <v>2.5063330000000001</v>
      </c>
      <c r="N2145">
        <v>2</v>
      </c>
      <c r="O2145" s="1" t="s">
        <v>569</v>
      </c>
      <c r="P2145">
        <v>732.1</v>
      </c>
      <c r="Q2145">
        <v>219.63</v>
      </c>
      <c r="R2145">
        <v>1</v>
      </c>
      <c r="S2145" s="1" t="s">
        <v>1031</v>
      </c>
      <c r="T2145" s="1"/>
      <c r="U2145">
        <v>732.1</v>
      </c>
      <c r="V2145">
        <v>0</v>
      </c>
      <c r="W2145">
        <v>94556</v>
      </c>
    </row>
    <row r="2146" spans="1:23" x14ac:dyDescent="0.25">
      <c r="A2146" s="1" t="s">
        <v>33</v>
      </c>
      <c r="B2146" s="1" t="s">
        <v>71</v>
      </c>
      <c r="C2146" s="1" t="s">
        <v>169</v>
      </c>
      <c r="D2146">
        <v>6071</v>
      </c>
      <c r="E2146" s="1"/>
      <c r="F2146" s="1" t="s">
        <v>301</v>
      </c>
      <c r="G2146">
        <v>2015</v>
      </c>
      <c r="H2146">
        <v>13.92</v>
      </c>
      <c r="I2146">
        <v>5</v>
      </c>
      <c r="J2146" s="1" t="s">
        <v>399</v>
      </c>
      <c r="K2146">
        <v>0</v>
      </c>
      <c r="L2146">
        <v>222</v>
      </c>
      <c r="M2146">
        <v>6.2673999999999994E-2</v>
      </c>
      <c r="N2146">
        <v>3</v>
      </c>
      <c r="O2146" s="1" t="s">
        <v>560</v>
      </c>
      <c r="P2146">
        <v>13.92</v>
      </c>
      <c r="Q2146">
        <v>11.12</v>
      </c>
      <c r="R2146">
        <v>0</v>
      </c>
      <c r="S2146" s="1" t="s">
        <v>647</v>
      </c>
      <c r="T2146" s="1"/>
      <c r="U2146">
        <v>13.904999999999999</v>
      </c>
      <c r="V2146">
        <v>0</v>
      </c>
      <c r="W2146">
        <v>60884</v>
      </c>
    </row>
    <row r="2147" spans="1:23" x14ac:dyDescent="0.25">
      <c r="A2147" s="1" t="s">
        <v>33</v>
      </c>
      <c r="B2147" s="1" t="s">
        <v>71</v>
      </c>
      <c r="C2147" s="1" t="s">
        <v>169</v>
      </c>
      <c r="D2147">
        <v>6071</v>
      </c>
      <c r="E2147" s="1"/>
      <c r="F2147" s="1" t="s">
        <v>301</v>
      </c>
      <c r="G2147">
        <v>2014</v>
      </c>
      <c r="H2147">
        <v>24.47</v>
      </c>
      <c r="I2147">
        <v>12</v>
      </c>
      <c r="J2147" s="1" t="s">
        <v>399</v>
      </c>
      <c r="K2147">
        <v>0</v>
      </c>
      <c r="L2147">
        <v>222</v>
      </c>
      <c r="M2147">
        <v>0.110175</v>
      </c>
      <c r="N2147">
        <v>3</v>
      </c>
      <c r="O2147" s="1" t="s">
        <v>560</v>
      </c>
      <c r="P2147">
        <v>24.47</v>
      </c>
      <c r="Q2147">
        <v>19.57</v>
      </c>
      <c r="R2147">
        <v>0</v>
      </c>
      <c r="S2147" s="1" t="s">
        <v>647</v>
      </c>
      <c r="T2147" s="1"/>
      <c r="U2147">
        <v>24.466000000000001</v>
      </c>
      <c r="V2147">
        <v>0</v>
      </c>
      <c r="W2147">
        <v>60884</v>
      </c>
    </row>
    <row r="2148" spans="1:23" x14ac:dyDescent="0.25">
      <c r="A2148" s="1" t="s">
        <v>33</v>
      </c>
      <c r="B2148" s="1" t="s">
        <v>71</v>
      </c>
      <c r="C2148" s="1" t="s">
        <v>169</v>
      </c>
      <c r="D2148">
        <v>6071</v>
      </c>
      <c r="E2148" s="1"/>
      <c r="F2148" s="1" t="s">
        <v>301</v>
      </c>
      <c r="G2148">
        <v>2013</v>
      </c>
      <c r="H2148">
        <v>23.98</v>
      </c>
      <c r="I2148">
        <v>12</v>
      </c>
      <c r="J2148" s="1" t="s">
        <v>399</v>
      </c>
      <c r="K2148">
        <v>0</v>
      </c>
      <c r="L2148">
        <v>222</v>
      </c>
      <c r="M2148">
        <v>0.107969</v>
      </c>
      <c r="N2148">
        <v>3</v>
      </c>
      <c r="O2148" s="1" t="s">
        <v>560</v>
      </c>
      <c r="P2148">
        <v>23.98</v>
      </c>
      <c r="Q2148">
        <v>19.18</v>
      </c>
      <c r="R2148">
        <v>0</v>
      </c>
      <c r="S2148" s="1" t="s">
        <v>647</v>
      </c>
      <c r="T2148" s="1"/>
      <c r="U2148">
        <v>23.978000000000002</v>
      </c>
      <c r="V2148">
        <v>0</v>
      </c>
      <c r="W2148">
        <v>60884</v>
      </c>
    </row>
    <row r="2149" spans="1:23" x14ac:dyDescent="0.25">
      <c r="A2149" s="1" t="s">
        <v>33</v>
      </c>
      <c r="B2149" s="1" t="s">
        <v>71</v>
      </c>
      <c r="C2149" s="1" t="s">
        <v>169</v>
      </c>
      <c r="D2149">
        <v>6071</v>
      </c>
      <c r="E2149" s="1"/>
      <c r="F2149" s="1" t="s">
        <v>301</v>
      </c>
      <c r="G2149">
        <v>2012</v>
      </c>
      <c r="H2149">
        <v>50.46</v>
      </c>
      <c r="I2149">
        <v>12</v>
      </c>
      <c r="J2149" s="1" t="s">
        <v>399</v>
      </c>
      <c r="K2149">
        <v>0</v>
      </c>
      <c r="L2149">
        <v>222</v>
      </c>
      <c r="M2149">
        <v>0.22719400000000001</v>
      </c>
      <c r="N2149">
        <v>3</v>
      </c>
      <c r="O2149" s="1" t="s">
        <v>560</v>
      </c>
      <c r="P2149">
        <v>50.46</v>
      </c>
      <c r="Q2149">
        <v>40.340000000000003</v>
      </c>
      <c r="R2149">
        <v>0</v>
      </c>
      <c r="S2149" s="1" t="s">
        <v>647</v>
      </c>
      <c r="T2149" s="1"/>
      <c r="U2149">
        <v>50.45</v>
      </c>
      <c r="V2149">
        <v>0</v>
      </c>
      <c r="W2149">
        <v>60884</v>
      </c>
    </row>
    <row r="2150" spans="1:23" x14ac:dyDescent="0.25">
      <c r="A2150" s="1" t="s">
        <v>33</v>
      </c>
      <c r="B2150" s="1" t="s">
        <v>71</v>
      </c>
      <c r="C2150" s="1" t="s">
        <v>169</v>
      </c>
      <c r="D2150">
        <v>6071</v>
      </c>
      <c r="E2150" s="1"/>
      <c r="F2150" s="1" t="s">
        <v>301</v>
      </c>
      <c r="G2150">
        <v>2011</v>
      </c>
      <c r="H2150">
        <v>18.010000000000002</v>
      </c>
      <c r="I2150">
        <v>4</v>
      </c>
      <c r="J2150" s="1" t="s">
        <v>399</v>
      </c>
      <c r="K2150">
        <v>0</v>
      </c>
      <c r="L2150">
        <v>222</v>
      </c>
      <c r="M2150">
        <v>8.1088999999999994E-2</v>
      </c>
      <c r="N2150">
        <v>3</v>
      </c>
      <c r="O2150" s="1" t="s">
        <v>560</v>
      </c>
      <c r="P2150">
        <v>18.010000000000002</v>
      </c>
      <c r="Q2150">
        <v>14.4</v>
      </c>
      <c r="R2150">
        <v>0</v>
      </c>
      <c r="S2150" s="1" t="s">
        <v>647</v>
      </c>
      <c r="T2150" s="1"/>
      <c r="U2150">
        <v>17.99999</v>
      </c>
      <c r="V2150">
        <v>0</v>
      </c>
      <c r="W2150">
        <v>60884</v>
      </c>
    </row>
    <row r="2151" spans="1:23" x14ac:dyDescent="0.25">
      <c r="A2151" s="1" t="s">
        <v>33</v>
      </c>
      <c r="B2151" s="1" t="s">
        <v>71</v>
      </c>
      <c r="C2151" s="1" t="s">
        <v>169</v>
      </c>
      <c r="D2151">
        <v>6071</v>
      </c>
      <c r="E2151" s="1"/>
      <c r="F2151" s="1" t="s">
        <v>301</v>
      </c>
      <c r="G2151">
        <v>2010</v>
      </c>
      <c r="H2151">
        <v>31.2</v>
      </c>
      <c r="I2151">
        <v>5</v>
      </c>
      <c r="J2151" s="1" t="s">
        <v>399</v>
      </c>
      <c r="K2151">
        <v>0</v>
      </c>
      <c r="L2151">
        <v>222</v>
      </c>
      <c r="M2151">
        <v>0.14047699999999999</v>
      </c>
      <c r="N2151">
        <v>3</v>
      </c>
      <c r="O2151" s="1" t="s">
        <v>560</v>
      </c>
      <c r="P2151">
        <v>31.2</v>
      </c>
      <c r="Q2151">
        <v>24.95</v>
      </c>
      <c r="R2151">
        <v>0</v>
      </c>
      <c r="S2151" s="1" t="s">
        <v>647</v>
      </c>
      <c r="T2151" s="1"/>
      <c r="U2151">
        <v>31.197620000000001</v>
      </c>
      <c r="V2151">
        <v>0</v>
      </c>
      <c r="W2151">
        <v>60884</v>
      </c>
    </row>
    <row r="2152" spans="1:23" x14ac:dyDescent="0.25">
      <c r="A2152" s="1" t="s">
        <v>33</v>
      </c>
      <c r="B2152" s="1" t="s">
        <v>71</v>
      </c>
      <c r="C2152" s="1" t="s">
        <v>169</v>
      </c>
      <c r="D2152">
        <v>6071</v>
      </c>
      <c r="E2152" s="1"/>
      <c r="F2152" s="1" t="s">
        <v>301</v>
      </c>
      <c r="G2152">
        <v>2009</v>
      </c>
      <c r="H2152">
        <v>13.11</v>
      </c>
      <c r="I2152">
        <v>6</v>
      </c>
      <c r="J2152" s="1" t="s">
        <v>399</v>
      </c>
      <c r="K2152">
        <v>0</v>
      </c>
      <c r="L2152">
        <v>222</v>
      </c>
      <c r="M2152">
        <v>5.9027000000000003E-2</v>
      </c>
      <c r="N2152">
        <v>3</v>
      </c>
      <c r="O2152" s="1" t="s">
        <v>560</v>
      </c>
      <c r="P2152">
        <v>13.11</v>
      </c>
      <c r="Q2152">
        <v>10.49</v>
      </c>
      <c r="R2152">
        <v>0</v>
      </c>
      <c r="S2152" s="1" t="s">
        <v>647</v>
      </c>
      <c r="T2152" s="1"/>
      <c r="U2152">
        <v>13.115550000000001</v>
      </c>
      <c r="V2152">
        <v>0</v>
      </c>
      <c r="W2152">
        <v>60884</v>
      </c>
    </row>
    <row r="2153" spans="1:23" x14ac:dyDescent="0.25">
      <c r="A2153" s="1" t="s">
        <v>33</v>
      </c>
      <c r="B2153" s="1" t="s">
        <v>71</v>
      </c>
      <c r="C2153" s="1" t="s">
        <v>169</v>
      </c>
      <c r="D2153">
        <v>6071</v>
      </c>
      <c r="E2153" s="1"/>
      <c r="F2153" s="1" t="s">
        <v>301</v>
      </c>
      <c r="G2153">
        <v>2008</v>
      </c>
      <c r="H2153">
        <v>14.91</v>
      </c>
      <c r="I2153">
        <v>6</v>
      </c>
      <c r="J2153" s="1" t="s">
        <v>399</v>
      </c>
      <c r="K2153">
        <v>0</v>
      </c>
      <c r="L2153">
        <v>222</v>
      </c>
      <c r="M2153">
        <v>6.7130999999999996E-2</v>
      </c>
      <c r="N2153">
        <v>3</v>
      </c>
      <c r="O2153" s="1" t="s">
        <v>560</v>
      </c>
      <c r="P2153">
        <v>14.91</v>
      </c>
      <c r="Q2153">
        <v>11.93</v>
      </c>
      <c r="R2153">
        <v>0</v>
      </c>
      <c r="S2153" s="1" t="s">
        <v>647</v>
      </c>
      <c r="T2153" s="1"/>
      <c r="U2153">
        <v>14.89615</v>
      </c>
      <c r="V2153">
        <v>0</v>
      </c>
      <c r="W2153">
        <v>60884</v>
      </c>
    </row>
    <row r="2154" spans="1:23" x14ac:dyDescent="0.25">
      <c r="A2154" s="1" t="s">
        <v>33</v>
      </c>
      <c r="B2154" s="1"/>
      <c r="C2154" s="1" t="s">
        <v>170</v>
      </c>
      <c r="D2154">
        <v>10191</v>
      </c>
      <c r="E2154" s="1"/>
      <c r="F2154" s="1" t="s">
        <v>170</v>
      </c>
      <c r="G2154">
        <v>2015</v>
      </c>
      <c r="H2154">
        <v>2.6</v>
      </c>
      <c r="I2154">
        <v>5</v>
      </c>
      <c r="J2154" s="1"/>
      <c r="K2154">
        <v>0</v>
      </c>
      <c r="L2154">
        <v>711</v>
      </c>
      <c r="M2154">
        <v>3.656E-3</v>
      </c>
      <c r="N2154">
        <v>3</v>
      </c>
      <c r="O2154" s="1" t="s">
        <v>560</v>
      </c>
      <c r="P2154">
        <v>2.6</v>
      </c>
      <c r="Q2154">
        <v>0</v>
      </c>
      <c r="R2154">
        <v>1</v>
      </c>
      <c r="S2154" s="1" t="s">
        <v>648</v>
      </c>
      <c r="T2154" s="1"/>
      <c r="U2154">
        <v>2.6</v>
      </c>
      <c r="V2154">
        <v>0</v>
      </c>
      <c r="W2154">
        <v>77257</v>
      </c>
    </row>
    <row r="2155" spans="1:23" x14ac:dyDescent="0.25">
      <c r="A2155" s="1" t="s">
        <v>33</v>
      </c>
      <c r="B2155" s="1"/>
      <c r="C2155" s="1" t="s">
        <v>170</v>
      </c>
      <c r="D2155">
        <v>10191</v>
      </c>
      <c r="E2155" s="1"/>
      <c r="F2155" s="1" t="s">
        <v>170</v>
      </c>
      <c r="G2155">
        <v>2015</v>
      </c>
      <c r="H2155">
        <v>22.7</v>
      </c>
      <c r="I2155">
        <v>5</v>
      </c>
      <c r="J2155" s="1"/>
      <c r="K2155">
        <v>0</v>
      </c>
      <c r="L2155">
        <v>711</v>
      </c>
      <c r="M2155">
        <v>3.1921999999999999E-2</v>
      </c>
      <c r="N2155">
        <v>3</v>
      </c>
      <c r="O2155" s="1" t="s">
        <v>560</v>
      </c>
      <c r="P2155">
        <v>22.7</v>
      </c>
      <c r="Q2155">
        <v>18.16</v>
      </c>
      <c r="R2155">
        <v>0</v>
      </c>
      <c r="S2155" s="1" t="s">
        <v>649</v>
      </c>
      <c r="T2155" s="1"/>
      <c r="U2155">
        <v>22.7</v>
      </c>
      <c r="V2155">
        <v>0</v>
      </c>
      <c r="W2155">
        <v>77258</v>
      </c>
    </row>
    <row r="2156" spans="1:23" x14ac:dyDescent="0.25">
      <c r="A2156" s="1" t="s">
        <v>33</v>
      </c>
      <c r="B2156" s="1"/>
      <c r="C2156" s="1" t="s">
        <v>170</v>
      </c>
      <c r="D2156">
        <v>10191</v>
      </c>
      <c r="E2156" s="1"/>
      <c r="F2156" s="1" t="s">
        <v>170</v>
      </c>
      <c r="G2156">
        <v>2014</v>
      </c>
      <c r="H2156">
        <v>5.96</v>
      </c>
      <c r="I2156">
        <v>12</v>
      </c>
      <c r="J2156" s="1"/>
      <c r="K2156">
        <v>0</v>
      </c>
      <c r="L2156">
        <v>711</v>
      </c>
      <c r="M2156">
        <v>8.3809999999999996E-3</v>
      </c>
      <c r="N2156">
        <v>3</v>
      </c>
      <c r="O2156" s="1" t="s">
        <v>560</v>
      </c>
      <c r="P2156">
        <v>5.96</v>
      </c>
      <c r="Q2156">
        <v>0</v>
      </c>
      <c r="R2156">
        <v>1</v>
      </c>
      <c r="S2156" s="1" t="s">
        <v>648</v>
      </c>
      <c r="T2156" s="1"/>
      <c r="U2156">
        <v>5.9600099999999996</v>
      </c>
      <c r="V2156">
        <v>0</v>
      </c>
      <c r="W2156">
        <v>77257</v>
      </c>
    </row>
    <row r="2157" spans="1:23" x14ac:dyDescent="0.25">
      <c r="A2157" s="1" t="s">
        <v>33</v>
      </c>
      <c r="B2157" s="1"/>
      <c r="C2157" s="1" t="s">
        <v>170</v>
      </c>
      <c r="D2157">
        <v>10191</v>
      </c>
      <c r="E2157" s="1"/>
      <c r="F2157" s="1" t="s">
        <v>170</v>
      </c>
      <c r="G2157">
        <v>2014</v>
      </c>
      <c r="H2157">
        <v>69.94</v>
      </c>
      <c r="I2157">
        <v>12</v>
      </c>
      <c r="J2157" s="1"/>
      <c r="K2157">
        <v>0</v>
      </c>
      <c r="L2157">
        <v>711</v>
      </c>
      <c r="M2157">
        <v>9.8353999999999997E-2</v>
      </c>
      <c r="N2157">
        <v>3</v>
      </c>
      <c r="O2157" s="1" t="s">
        <v>560</v>
      </c>
      <c r="P2157">
        <v>69.94</v>
      </c>
      <c r="Q2157">
        <v>55.93</v>
      </c>
      <c r="R2157">
        <v>0</v>
      </c>
      <c r="S2157" s="1" t="s">
        <v>649</v>
      </c>
      <c r="T2157" s="1"/>
      <c r="U2157">
        <v>69.94</v>
      </c>
      <c r="V2157">
        <v>0</v>
      </c>
      <c r="W2157">
        <v>77258</v>
      </c>
    </row>
    <row r="2158" spans="1:23" x14ac:dyDescent="0.25">
      <c r="A2158" s="1" t="s">
        <v>33</v>
      </c>
      <c r="B2158" s="1"/>
      <c r="C2158" s="1" t="s">
        <v>170</v>
      </c>
      <c r="D2158">
        <v>10191</v>
      </c>
      <c r="E2158" s="1"/>
      <c r="F2158" s="1" t="s">
        <v>170</v>
      </c>
      <c r="G2158">
        <v>2013</v>
      </c>
      <c r="H2158">
        <v>4.55</v>
      </c>
      <c r="I2158">
        <v>12</v>
      </c>
      <c r="J2158" s="1"/>
      <c r="K2158">
        <v>0</v>
      </c>
      <c r="L2158">
        <v>711</v>
      </c>
      <c r="M2158">
        <v>6.398E-3</v>
      </c>
      <c r="N2158">
        <v>3</v>
      </c>
      <c r="O2158" s="1" t="s">
        <v>560</v>
      </c>
      <c r="P2158">
        <v>4.55</v>
      </c>
      <c r="Q2158">
        <v>0</v>
      </c>
      <c r="R2158">
        <v>1</v>
      </c>
      <c r="S2158" s="1" t="s">
        <v>648</v>
      </c>
      <c r="T2158" s="1"/>
      <c r="U2158">
        <v>4.55</v>
      </c>
      <c r="V2158">
        <v>0</v>
      </c>
      <c r="W2158">
        <v>77257</v>
      </c>
    </row>
    <row r="2159" spans="1:23" x14ac:dyDescent="0.25">
      <c r="A2159" s="1" t="s">
        <v>33</v>
      </c>
      <c r="B2159" s="1"/>
      <c r="C2159" s="1" t="s">
        <v>170</v>
      </c>
      <c r="D2159">
        <v>10191</v>
      </c>
      <c r="E2159" s="1"/>
      <c r="F2159" s="1" t="s">
        <v>170</v>
      </c>
      <c r="G2159">
        <v>2013</v>
      </c>
      <c r="H2159">
        <v>38.590000000000003</v>
      </c>
      <c r="I2159">
        <v>12</v>
      </c>
      <c r="J2159" s="1"/>
      <c r="K2159">
        <v>0</v>
      </c>
      <c r="L2159">
        <v>711</v>
      </c>
      <c r="M2159">
        <v>5.4267999999999997E-2</v>
      </c>
      <c r="N2159">
        <v>3</v>
      </c>
      <c r="O2159" s="1" t="s">
        <v>560</v>
      </c>
      <c r="P2159">
        <v>38.590000000000003</v>
      </c>
      <c r="Q2159">
        <v>30.88</v>
      </c>
      <c r="R2159">
        <v>0</v>
      </c>
      <c r="S2159" s="1" t="s">
        <v>649</v>
      </c>
      <c r="T2159" s="1"/>
      <c r="U2159">
        <v>38.590000000000003</v>
      </c>
      <c r="V2159">
        <v>0</v>
      </c>
      <c r="W2159">
        <v>77258</v>
      </c>
    </row>
    <row r="2160" spans="1:23" x14ac:dyDescent="0.25">
      <c r="A2160" s="1" t="s">
        <v>33</v>
      </c>
      <c r="B2160" s="1"/>
      <c r="C2160" s="1" t="s">
        <v>170</v>
      </c>
      <c r="D2160">
        <v>10191</v>
      </c>
      <c r="E2160" s="1"/>
      <c r="F2160" s="1" t="s">
        <v>170</v>
      </c>
      <c r="G2160">
        <v>2012</v>
      </c>
      <c r="H2160">
        <v>5.63</v>
      </c>
      <c r="I2160">
        <v>12</v>
      </c>
      <c r="J2160" s="1"/>
      <c r="K2160">
        <v>0</v>
      </c>
      <c r="L2160">
        <v>711</v>
      </c>
      <c r="M2160">
        <v>7.9170000000000004E-3</v>
      </c>
      <c r="N2160">
        <v>3</v>
      </c>
      <c r="O2160" s="1" t="s">
        <v>560</v>
      </c>
      <c r="P2160">
        <v>5.63</v>
      </c>
      <c r="Q2160">
        <v>0</v>
      </c>
      <c r="R2160">
        <v>1</v>
      </c>
      <c r="S2160" s="1" t="s">
        <v>648</v>
      </c>
      <c r="T2160" s="1"/>
      <c r="U2160">
        <v>5.63</v>
      </c>
      <c r="V2160">
        <v>0</v>
      </c>
      <c r="W2160">
        <v>77257</v>
      </c>
    </row>
    <row r="2161" spans="1:23" x14ac:dyDescent="0.25">
      <c r="A2161" s="1" t="s">
        <v>33</v>
      </c>
      <c r="B2161" s="1"/>
      <c r="C2161" s="1" t="s">
        <v>170</v>
      </c>
      <c r="D2161">
        <v>10191</v>
      </c>
      <c r="E2161" s="1"/>
      <c r="F2161" s="1" t="s">
        <v>170</v>
      </c>
      <c r="G2161">
        <v>2012</v>
      </c>
      <c r="H2161">
        <v>31.18</v>
      </c>
      <c r="I2161">
        <v>12</v>
      </c>
      <c r="J2161" s="1"/>
      <c r="K2161">
        <v>0</v>
      </c>
      <c r="L2161">
        <v>711</v>
      </c>
      <c r="M2161">
        <v>4.3846999999999997E-2</v>
      </c>
      <c r="N2161">
        <v>3</v>
      </c>
      <c r="O2161" s="1" t="s">
        <v>560</v>
      </c>
      <c r="P2161">
        <v>31.18</v>
      </c>
      <c r="Q2161">
        <v>24.95</v>
      </c>
      <c r="R2161">
        <v>0</v>
      </c>
      <c r="S2161" s="1" t="s">
        <v>649</v>
      </c>
      <c r="T2161" s="1"/>
      <c r="U2161">
        <v>31.18</v>
      </c>
      <c r="V2161">
        <v>0</v>
      </c>
      <c r="W2161">
        <v>77258</v>
      </c>
    </row>
    <row r="2162" spans="1:23" x14ac:dyDescent="0.25">
      <c r="A2162" s="1" t="s">
        <v>33</v>
      </c>
      <c r="B2162" s="1"/>
      <c r="C2162" s="1" t="s">
        <v>170</v>
      </c>
      <c r="D2162">
        <v>10191</v>
      </c>
      <c r="E2162" s="1"/>
      <c r="F2162" s="1" t="s">
        <v>170</v>
      </c>
      <c r="G2162">
        <v>2011</v>
      </c>
      <c r="H2162">
        <v>5.73</v>
      </c>
      <c r="I2162">
        <v>12</v>
      </c>
      <c r="J2162" s="1"/>
      <c r="K2162">
        <v>0</v>
      </c>
      <c r="L2162">
        <v>711</v>
      </c>
      <c r="M2162">
        <v>8.0569999999999999E-3</v>
      </c>
      <c r="N2162">
        <v>3</v>
      </c>
      <c r="O2162" s="1" t="s">
        <v>560</v>
      </c>
      <c r="P2162">
        <v>5.73</v>
      </c>
      <c r="Q2162">
        <v>0</v>
      </c>
      <c r="R2162">
        <v>1</v>
      </c>
      <c r="S2162" s="1" t="s">
        <v>648</v>
      </c>
      <c r="T2162" s="1"/>
      <c r="U2162">
        <v>5.73</v>
      </c>
      <c r="V2162">
        <v>0</v>
      </c>
      <c r="W2162">
        <v>77257</v>
      </c>
    </row>
    <row r="2163" spans="1:23" x14ac:dyDescent="0.25">
      <c r="A2163" s="1" t="s">
        <v>33</v>
      </c>
      <c r="B2163" s="1"/>
      <c r="C2163" s="1" t="s">
        <v>170</v>
      </c>
      <c r="D2163">
        <v>10191</v>
      </c>
      <c r="E2163" s="1"/>
      <c r="F2163" s="1" t="s">
        <v>170</v>
      </c>
      <c r="G2163">
        <v>2011</v>
      </c>
      <c r="H2163">
        <v>34.020000000000003</v>
      </c>
      <c r="I2163">
        <v>12</v>
      </c>
      <c r="J2163" s="1"/>
      <c r="K2163">
        <v>0</v>
      </c>
      <c r="L2163">
        <v>711</v>
      </c>
      <c r="M2163">
        <v>4.7841000000000002E-2</v>
      </c>
      <c r="N2163">
        <v>3</v>
      </c>
      <c r="O2163" s="1" t="s">
        <v>560</v>
      </c>
      <c r="P2163">
        <v>34.020000000000003</v>
      </c>
      <c r="Q2163">
        <v>27.24</v>
      </c>
      <c r="R2163">
        <v>0</v>
      </c>
      <c r="S2163" s="1" t="s">
        <v>649</v>
      </c>
      <c r="T2163" s="1"/>
      <c r="U2163">
        <v>34.020679999999999</v>
      </c>
      <c r="V2163">
        <v>0</v>
      </c>
      <c r="W2163">
        <v>77258</v>
      </c>
    </row>
    <row r="2164" spans="1:23" x14ac:dyDescent="0.25">
      <c r="A2164" s="1" t="s">
        <v>33</v>
      </c>
      <c r="B2164" s="1"/>
      <c r="C2164" s="1" t="s">
        <v>170</v>
      </c>
      <c r="D2164">
        <v>10191</v>
      </c>
      <c r="E2164" s="1"/>
      <c r="F2164" s="1" t="s">
        <v>170</v>
      </c>
      <c r="G2164">
        <v>2010</v>
      </c>
      <c r="H2164">
        <v>3.36</v>
      </c>
      <c r="I2164">
        <v>12</v>
      </c>
      <c r="J2164" s="1"/>
      <c r="K2164">
        <v>0</v>
      </c>
      <c r="L2164">
        <v>711</v>
      </c>
      <c r="M2164">
        <v>4.725E-3</v>
      </c>
      <c r="N2164">
        <v>3</v>
      </c>
      <c r="O2164" s="1" t="s">
        <v>560</v>
      </c>
      <c r="P2164">
        <v>3.36</v>
      </c>
      <c r="Q2164">
        <v>0</v>
      </c>
      <c r="R2164">
        <v>1</v>
      </c>
      <c r="S2164" s="1" t="s">
        <v>648</v>
      </c>
      <c r="T2164" s="1"/>
      <c r="U2164">
        <v>3.3482099999999999</v>
      </c>
      <c r="V2164">
        <v>0</v>
      </c>
      <c r="W2164">
        <v>77257</v>
      </c>
    </row>
    <row r="2165" spans="1:23" x14ac:dyDescent="0.25">
      <c r="A2165" s="1" t="s">
        <v>33</v>
      </c>
      <c r="B2165" s="1"/>
      <c r="C2165" s="1" t="s">
        <v>170</v>
      </c>
      <c r="D2165">
        <v>10191</v>
      </c>
      <c r="E2165" s="1"/>
      <c r="F2165" s="1" t="s">
        <v>170</v>
      </c>
      <c r="G2165">
        <v>2010</v>
      </c>
      <c r="H2165">
        <v>57.37</v>
      </c>
      <c r="I2165">
        <v>12</v>
      </c>
      <c r="J2165" s="1"/>
      <c r="K2165">
        <v>0</v>
      </c>
      <c r="L2165">
        <v>711</v>
      </c>
      <c r="M2165">
        <v>8.0676999999999999E-2</v>
      </c>
      <c r="N2165">
        <v>3</v>
      </c>
      <c r="O2165" s="1" t="s">
        <v>560</v>
      </c>
      <c r="P2165">
        <v>57.37</v>
      </c>
      <c r="Q2165">
        <v>45.9</v>
      </c>
      <c r="R2165">
        <v>0</v>
      </c>
      <c r="S2165" s="1" t="s">
        <v>649</v>
      </c>
      <c r="T2165" s="1"/>
      <c r="U2165">
        <v>57.366930000000004</v>
      </c>
      <c r="V2165">
        <v>0</v>
      </c>
      <c r="W2165">
        <v>77258</v>
      </c>
    </row>
    <row r="2166" spans="1:23" x14ac:dyDescent="0.25">
      <c r="A2166" s="1" t="s">
        <v>33</v>
      </c>
      <c r="B2166" s="1"/>
      <c r="C2166" s="1" t="s">
        <v>170</v>
      </c>
      <c r="D2166">
        <v>10191</v>
      </c>
      <c r="E2166" s="1"/>
      <c r="F2166" s="1" t="s">
        <v>170</v>
      </c>
      <c r="G2166">
        <v>2009</v>
      </c>
      <c r="H2166">
        <v>6.11</v>
      </c>
      <c r="I2166">
        <v>12</v>
      </c>
      <c r="J2166" s="1"/>
      <c r="K2166">
        <v>0</v>
      </c>
      <c r="L2166">
        <v>711</v>
      </c>
      <c r="M2166">
        <v>8.5920000000000007E-3</v>
      </c>
      <c r="N2166">
        <v>3</v>
      </c>
      <c r="O2166" s="1" t="s">
        <v>560</v>
      </c>
      <c r="P2166">
        <v>6.11</v>
      </c>
      <c r="Q2166">
        <v>0</v>
      </c>
      <c r="R2166">
        <v>1</v>
      </c>
      <c r="S2166" s="1" t="s">
        <v>648</v>
      </c>
      <c r="T2166" s="1"/>
      <c r="U2166">
        <v>6.1117800000000004</v>
      </c>
      <c r="V2166">
        <v>0</v>
      </c>
      <c r="W2166">
        <v>77257</v>
      </c>
    </row>
    <row r="2167" spans="1:23" x14ac:dyDescent="0.25">
      <c r="A2167" s="1" t="s">
        <v>33</v>
      </c>
      <c r="B2167" s="1"/>
      <c r="C2167" s="1" t="s">
        <v>170</v>
      </c>
      <c r="D2167">
        <v>10191</v>
      </c>
      <c r="E2167" s="1"/>
      <c r="F2167" s="1" t="s">
        <v>170</v>
      </c>
      <c r="G2167">
        <v>2009</v>
      </c>
      <c r="H2167">
        <v>50.97</v>
      </c>
      <c r="I2167">
        <v>12</v>
      </c>
      <c r="J2167" s="1"/>
      <c r="K2167">
        <v>0</v>
      </c>
      <c r="L2167">
        <v>711</v>
      </c>
      <c r="M2167">
        <v>7.1677000000000005E-2</v>
      </c>
      <c r="N2167">
        <v>3</v>
      </c>
      <c r="O2167" s="1" t="s">
        <v>560</v>
      </c>
      <c r="P2167">
        <v>50.97</v>
      </c>
      <c r="Q2167">
        <v>40.78</v>
      </c>
      <c r="R2167">
        <v>0</v>
      </c>
      <c r="S2167" s="1" t="s">
        <v>649</v>
      </c>
      <c r="T2167" s="1"/>
      <c r="U2167">
        <v>50.9724</v>
      </c>
      <c r="V2167">
        <v>0</v>
      </c>
      <c r="W2167">
        <v>77258</v>
      </c>
    </row>
    <row r="2168" spans="1:23" x14ac:dyDescent="0.25">
      <c r="A2168" s="1" t="s">
        <v>33</v>
      </c>
      <c r="B2168" s="1"/>
      <c r="C2168" s="1" t="s">
        <v>170</v>
      </c>
      <c r="D2168">
        <v>10191</v>
      </c>
      <c r="E2168" s="1"/>
      <c r="F2168" s="1" t="s">
        <v>170</v>
      </c>
      <c r="G2168">
        <v>2008</v>
      </c>
      <c r="H2168">
        <v>10.83</v>
      </c>
      <c r="I2168">
        <v>12</v>
      </c>
      <c r="J2168" s="1"/>
      <c r="K2168">
        <v>0</v>
      </c>
      <c r="L2168">
        <v>711</v>
      </c>
      <c r="M2168">
        <v>1.5228999999999999E-2</v>
      </c>
      <c r="N2168">
        <v>3</v>
      </c>
      <c r="O2168" s="1" t="s">
        <v>560</v>
      </c>
      <c r="P2168">
        <v>10.83</v>
      </c>
      <c r="Q2168">
        <v>0</v>
      </c>
      <c r="R2168">
        <v>1</v>
      </c>
      <c r="S2168" s="1" t="s">
        <v>648</v>
      </c>
      <c r="T2168" s="1"/>
      <c r="U2168">
        <v>10.83</v>
      </c>
      <c r="V2168">
        <v>0</v>
      </c>
      <c r="W2168">
        <v>77257</v>
      </c>
    </row>
    <row r="2169" spans="1:23" x14ac:dyDescent="0.25">
      <c r="A2169" s="1" t="s">
        <v>33</v>
      </c>
      <c r="B2169" s="1"/>
      <c r="C2169" s="1" t="s">
        <v>170</v>
      </c>
      <c r="D2169">
        <v>10191</v>
      </c>
      <c r="E2169" s="1"/>
      <c r="F2169" s="1" t="s">
        <v>170</v>
      </c>
      <c r="G2169">
        <v>2008</v>
      </c>
      <c r="H2169">
        <v>31.23</v>
      </c>
      <c r="I2169">
        <v>9</v>
      </c>
      <c r="J2169" s="1"/>
      <c r="K2169">
        <v>0</v>
      </c>
      <c r="L2169">
        <v>711</v>
      </c>
      <c r="M2169">
        <v>4.3916999999999998E-2</v>
      </c>
      <c r="N2169">
        <v>3</v>
      </c>
      <c r="O2169" s="1" t="s">
        <v>560</v>
      </c>
      <c r="P2169">
        <v>31.23</v>
      </c>
      <c r="Q2169">
        <v>24.97</v>
      </c>
      <c r="R2169">
        <v>0</v>
      </c>
      <c r="S2169" s="1" t="s">
        <v>649</v>
      </c>
      <c r="T2169" s="1"/>
      <c r="U2169">
        <v>31.23</v>
      </c>
      <c r="V2169">
        <v>0</v>
      </c>
      <c r="W2169">
        <v>77258</v>
      </c>
    </row>
    <row r="2170" spans="1:23" x14ac:dyDescent="0.25">
      <c r="A2170" s="1" t="s">
        <v>33</v>
      </c>
      <c r="B2170" s="1"/>
      <c r="C2170" s="1" t="s">
        <v>171</v>
      </c>
      <c r="D2170">
        <v>9517</v>
      </c>
      <c r="E2170" s="1"/>
      <c r="F2170" s="1" t="s">
        <v>302</v>
      </c>
      <c r="G2170">
        <v>2015</v>
      </c>
      <c r="H2170">
        <v>35.549999999999997</v>
      </c>
      <c r="I2170">
        <v>5</v>
      </c>
      <c r="J2170" s="1"/>
      <c r="K2170">
        <v>0</v>
      </c>
      <c r="L2170">
        <v>784</v>
      </c>
      <c r="M2170">
        <v>4.5338000000000003E-2</v>
      </c>
      <c r="N2170">
        <v>3</v>
      </c>
      <c r="O2170" s="1" t="s">
        <v>560</v>
      </c>
      <c r="P2170">
        <v>35.549999999999997</v>
      </c>
      <c r="Q2170">
        <v>28.44</v>
      </c>
      <c r="R2170">
        <v>0</v>
      </c>
      <c r="S2170" s="1"/>
      <c r="T2170" s="1"/>
      <c r="U2170">
        <v>35.542999999999999</v>
      </c>
      <c r="V2170">
        <v>0</v>
      </c>
      <c r="W2170">
        <v>74425</v>
      </c>
    </row>
    <row r="2171" spans="1:23" x14ac:dyDescent="0.25">
      <c r="A2171" s="1" t="s">
        <v>33</v>
      </c>
      <c r="B2171" s="1"/>
      <c r="C2171" s="1" t="s">
        <v>171</v>
      </c>
      <c r="D2171">
        <v>9517</v>
      </c>
      <c r="E2171" s="1"/>
      <c r="F2171" s="1" t="s">
        <v>302</v>
      </c>
      <c r="G2171">
        <v>2014</v>
      </c>
      <c r="H2171">
        <v>91.44</v>
      </c>
      <c r="I2171">
        <v>12</v>
      </c>
      <c r="J2171" s="1"/>
      <c r="K2171">
        <v>0</v>
      </c>
      <c r="L2171">
        <v>784</v>
      </c>
      <c r="M2171">
        <v>0.116617</v>
      </c>
      <c r="N2171">
        <v>3</v>
      </c>
      <c r="O2171" s="1" t="s">
        <v>560</v>
      </c>
      <c r="P2171">
        <v>91.44</v>
      </c>
      <c r="Q2171">
        <v>73.150000000000006</v>
      </c>
      <c r="R2171">
        <v>0</v>
      </c>
      <c r="S2171" s="1"/>
      <c r="T2171" s="1"/>
      <c r="U2171">
        <v>91.436999999999998</v>
      </c>
      <c r="V2171">
        <v>0</v>
      </c>
      <c r="W2171">
        <v>74425</v>
      </c>
    </row>
    <row r="2172" spans="1:23" x14ac:dyDescent="0.25">
      <c r="A2172" s="1" t="s">
        <v>33</v>
      </c>
      <c r="B2172" s="1"/>
      <c r="C2172" s="1" t="s">
        <v>171</v>
      </c>
      <c r="D2172">
        <v>9517</v>
      </c>
      <c r="E2172" s="1"/>
      <c r="F2172" s="1" t="s">
        <v>302</v>
      </c>
      <c r="G2172">
        <v>2013</v>
      </c>
      <c r="H2172">
        <v>75.739999999999995</v>
      </c>
      <c r="I2172">
        <v>12</v>
      </c>
      <c r="J2172" s="1"/>
      <c r="K2172">
        <v>0</v>
      </c>
      <c r="L2172">
        <v>784</v>
      </c>
      <c r="M2172">
        <v>9.6593999999999999E-2</v>
      </c>
      <c r="N2172">
        <v>3</v>
      </c>
      <c r="O2172" s="1" t="s">
        <v>560</v>
      </c>
      <c r="P2172">
        <v>75.739999999999995</v>
      </c>
      <c r="Q2172">
        <v>60.59</v>
      </c>
      <c r="R2172">
        <v>0</v>
      </c>
      <c r="S2172" s="1"/>
      <c r="T2172" s="1"/>
      <c r="U2172">
        <v>75.730999999999995</v>
      </c>
      <c r="V2172">
        <v>0</v>
      </c>
      <c r="W2172">
        <v>74425</v>
      </c>
    </row>
    <row r="2173" spans="1:23" x14ac:dyDescent="0.25">
      <c r="A2173" s="1" t="s">
        <v>33</v>
      </c>
      <c r="B2173" s="1"/>
      <c r="C2173" s="1" t="s">
        <v>171</v>
      </c>
      <c r="D2173">
        <v>9517</v>
      </c>
      <c r="E2173" s="1"/>
      <c r="F2173" s="1" t="s">
        <v>302</v>
      </c>
      <c r="G2173">
        <v>2012</v>
      </c>
      <c r="H2173">
        <v>74.37</v>
      </c>
      <c r="I2173">
        <v>12</v>
      </c>
      <c r="J2173" s="1"/>
      <c r="K2173">
        <v>0</v>
      </c>
      <c r="L2173">
        <v>784</v>
      </c>
      <c r="M2173">
        <v>9.4847000000000001E-2</v>
      </c>
      <c r="N2173">
        <v>3</v>
      </c>
      <c r="O2173" s="1" t="s">
        <v>560</v>
      </c>
      <c r="P2173">
        <v>74.37</v>
      </c>
      <c r="Q2173">
        <v>59.5</v>
      </c>
      <c r="R2173">
        <v>0</v>
      </c>
      <c r="S2173" s="1"/>
      <c r="T2173" s="1"/>
      <c r="U2173">
        <v>74.376000000000005</v>
      </c>
      <c r="V2173">
        <v>0</v>
      </c>
      <c r="W2173">
        <v>74425</v>
      </c>
    </row>
    <row r="2174" spans="1:23" x14ac:dyDescent="0.25">
      <c r="A2174" s="1" t="s">
        <v>33</v>
      </c>
      <c r="B2174" s="1"/>
      <c r="C2174" s="1" t="s">
        <v>171</v>
      </c>
      <c r="D2174">
        <v>9517</v>
      </c>
      <c r="E2174" s="1"/>
      <c r="F2174" s="1" t="s">
        <v>302</v>
      </c>
      <c r="G2174">
        <v>2011</v>
      </c>
      <c r="H2174">
        <v>67.83</v>
      </c>
      <c r="I2174">
        <v>12</v>
      </c>
      <c r="J2174" s="1"/>
      <c r="K2174">
        <v>0</v>
      </c>
      <c r="L2174">
        <v>784</v>
      </c>
      <c r="M2174">
        <v>8.6506E-2</v>
      </c>
      <c r="N2174">
        <v>3</v>
      </c>
      <c r="O2174" s="1" t="s">
        <v>560</v>
      </c>
      <c r="P2174">
        <v>67.83</v>
      </c>
      <c r="Q2174">
        <v>54.25</v>
      </c>
      <c r="R2174">
        <v>0</v>
      </c>
      <c r="S2174" s="1"/>
      <c r="T2174" s="1"/>
      <c r="U2174">
        <v>67.831999999999994</v>
      </c>
      <c r="V2174">
        <v>0</v>
      </c>
      <c r="W2174">
        <v>74425</v>
      </c>
    </row>
    <row r="2175" spans="1:23" x14ac:dyDescent="0.25">
      <c r="A2175" s="1" t="s">
        <v>33</v>
      </c>
      <c r="B2175" s="1"/>
      <c r="C2175" s="1" t="s">
        <v>171</v>
      </c>
      <c r="D2175">
        <v>9517</v>
      </c>
      <c r="E2175" s="1"/>
      <c r="F2175" s="1" t="s">
        <v>302</v>
      </c>
      <c r="G2175">
        <v>2010</v>
      </c>
      <c r="H2175">
        <v>76.59</v>
      </c>
      <c r="I2175">
        <v>12</v>
      </c>
      <c r="J2175" s="1"/>
      <c r="K2175">
        <v>0</v>
      </c>
      <c r="L2175">
        <v>784</v>
      </c>
      <c r="M2175">
        <v>9.7678000000000001E-2</v>
      </c>
      <c r="N2175">
        <v>3</v>
      </c>
      <c r="O2175" s="1" t="s">
        <v>560</v>
      </c>
      <c r="P2175">
        <v>76.59</v>
      </c>
      <c r="Q2175">
        <v>61.28</v>
      </c>
      <c r="R2175">
        <v>0</v>
      </c>
      <c r="S2175" s="1"/>
      <c r="T2175" s="1"/>
      <c r="U2175">
        <v>76.601420000000005</v>
      </c>
      <c r="V2175">
        <v>0</v>
      </c>
      <c r="W2175">
        <v>74425</v>
      </c>
    </row>
    <row r="2176" spans="1:23" x14ac:dyDescent="0.25">
      <c r="A2176" s="1" t="s">
        <v>33</v>
      </c>
      <c r="B2176" s="1"/>
      <c r="C2176" s="1" t="s">
        <v>171</v>
      </c>
      <c r="D2176">
        <v>9517</v>
      </c>
      <c r="E2176" s="1"/>
      <c r="F2176" s="1" t="s">
        <v>302</v>
      </c>
      <c r="G2176">
        <v>2009</v>
      </c>
      <c r="H2176">
        <v>77.39</v>
      </c>
      <c r="I2176">
        <v>12</v>
      </c>
      <c r="J2176" s="1"/>
      <c r="K2176">
        <v>0</v>
      </c>
      <c r="L2176">
        <v>784</v>
      </c>
      <c r="M2176">
        <v>9.8698999999999995E-2</v>
      </c>
      <c r="N2176">
        <v>3</v>
      </c>
      <c r="O2176" s="1" t="s">
        <v>560</v>
      </c>
      <c r="P2176">
        <v>77.39</v>
      </c>
      <c r="Q2176">
        <v>61.94</v>
      </c>
      <c r="R2176">
        <v>0</v>
      </c>
      <c r="S2176" s="1"/>
      <c r="T2176" s="1"/>
      <c r="U2176">
        <v>77.419589999999999</v>
      </c>
      <c r="V2176">
        <v>0</v>
      </c>
      <c r="W2176">
        <v>74425</v>
      </c>
    </row>
    <row r="2177" spans="1:23" x14ac:dyDescent="0.25">
      <c r="A2177" s="1" t="s">
        <v>33</v>
      </c>
      <c r="B2177" s="1"/>
      <c r="C2177" s="1" t="s">
        <v>171</v>
      </c>
      <c r="D2177">
        <v>9517</v>
      </c>
      <c r="E2177" s="1"/>
      <c r="F2177" s="1" t="s">
        <v>302</v>
      </c>
      <c r="G2177">
        <v>2008</v>
      </c>
      <c r="H2177">
        <v>75.69</v>
      </c>
      <c r="I2177">
        <v>12</v>
      </c>
      <c r="J2177" s="1"/>
      <c r="K2177">
        <v>0</v>
      </c>
      <c r="L2177">
        <v>784</v>
      </c>
      <c r="M2177">
        <v>9.6531000000000006E-2</v>
      </c>
      <c r="N2177">
        <v>3</v>
      </c>
      <c r="O2177" s="1" t="s">
        <v>560</v>
      </c>
      <c r="P2177">
        <v>75.69</v>
      </c>
      <c r="Q2177">
        <v>60.57</v>
      </c>
      <c r="R2177">
        <v>0</v>
      </c>
      <c r="S2177" s="1"/>
      <c r="T2177" s="1"/>
      <c r="U2177">
        <v>75.692999999999998</v>
      </c>
      <c r="V2177">
        <v>0</v>
      </c>
      <c r="W2177">
        <v>74425</v>
      </c>
    </row>
    <row r="2178" spans="1:23" x14ac:dyDescent="0.25">
      <c r="A2178" s="1" t="s">
        <v>33</v>
      </c>
      <c r="B2178" s="1" t="s">
        <v>72</v>
      </c>
      <c r="C2178" s="1" t="s">
        <v>172</v>
      </c>
      <c r="D2178">
        <v>5300</v>
      </c>
      <c r="E2178" s="1"/>
      <c r="F2178" s="1" t="s">
        <v>303</v>
      </c>
      <c r="G2178">
        <v>2015</v>
      </c>
      <c r="H2178">
        <v>487.13</v>
      </c>
      <c r="I2178">
        <v>5</v>
      </c>
      <c r="J2178" s="1"/>
      <c r="K2178">
        <v>0</v>
      </c>
      <c r="L2178">
        <v>7375</v>
      </c>
      <c r="M2178">
        <v>6.6049999999999998E-2</v>
      </c>
      <c r="N2178">
        <v>3</v>
      </c>
      <c r="O2178" s="1" t="s">
        <v>560</v>
      </c>
      <c r="P2178">
        <v>487.13</v>
      </c>
      <c r="Q2178">
        <v>389.72</v>
      </c>
      <c r="R2178">
        <v>0</v>
      </c>
      <c r="S2178" s="1" t="s">
        <v>650</v>
      </c>
      <c r="T2178" s="1"/>
      <c r="U2178">
        <v>487.13600000000002</v>
      </c>
      <c r="V2178">
        <v>0</v>
      </c>
      <c r="W2178">
        <v>56969</v>
      </c>
    </row>
    <row r="2179" spans="1:23" x14ac:dyDescent="0.25">
      <c r="A2179" s="1" t="s">
        <v>33</v>
      </c>
      <c r="B2179" s="1" t="s">
        <v>72</v>
      </c>
      <c r="C2179" s="1" t="s">
        <v>172</v>
      </c>
      <c r="D2179">
        <v>5300</v>
      </c>
      <c r="E2179" s="1"/>
      <c r="F2179" s="1" t="s">
        <v>303</v>
      </c>
      <c r="G2179">
        <v>2015</v>
      </c>
      <c r="H2179">
        <v>10.1</v>
      </c>
      <c r="I2179">
        <v>5</v>
      </c>
      <c r="J2179" s="1" t="s">
        <v>435</v>
      </c>
      <c r="K2179">
        <v>0</v>
      </c>
      <c r="L2179">
        <v>7375</v>
      </c>
      <c r="M2179">
        <v>1.369E-3</v>
      </c>
      <c r="N2179">
        <v>3</v>
      </c>
      <c r="O2179" s="1" t="s">
        <v>560</v>
      </c>
      <c r="P2179">
        <v>10.1</v>
      </c>
      <c r="Q2179">
        <v>8.08</v>
      </c>
      <c r="R2179">
        <v>0</v>
      </c>
      <c r="S2179" s="1" t="s">
        <v>651</v>
      </c>
      <c r="T2179" s="1"/>
      <c r="U2179">
        <v>10.1</v>
      </c>
      <c r="V2179">
        <v>0</v>
      </c>
      <c r="W2179">
        <v>56972</v>
      </c>
    </row>
    <row r="2180" spans="1:23" x14ac:dyDescent="0.25">
      <c r="A2180" s="1" t="s">
        <v>33</v>
      </c>
      <c r="B2180" s="1" t="s">
        <v>72</v>
      </c>
      <c r="C2180" s="1" t="s">
        <v>172</v>
      </c>
      <c r="D2180">
        <v>5300</v>
      </c>
      <c r="E2180" s="1"/>
      <c r="F2180" s="1" t="s">
        <v>303</v>
      </c>
      <c r="G2180">
        <v>2015</v>
      </c>
      <c r="H2180">
        <v>23.27</v>
      </c>
      <c r="I2180">
        <v>5</v>
      </c>
      <c r="J2180" s="1"/>
      <c r="K2180">
        <v>0</v>
      </c>
      <c r="L2180">
        <v>7375</v>
      </c>
      <c r="M2180">
        <v>3.1549999999999998E-3</v>
      </c>
      <c r="N2180">
        <v>3</v>
      </c>
      <c r="O2180" s="1" t="s">
        <v>560</v>
      </c>
      <c r="P2180">
        <v>23.27</v>
      </c>
      <c r="Q2180">
        <v>18.600000000000001</v>
      </c>
      <c r="R2180">
        <v>1</v>
      </c>
      <c r="S2180" s="1" t="s">
        <v>652</v>
      </c>
      <c r="T2180" s="1"/>
      <c r="U2180">
        <v>23.265999999999998</v>
      </c>
      <c r="V2180">
        <v>0</v>
      </c>
      <c r="W2180">
        <v>56992</v>
      </c>
    </row>
    <row r="2181" spans="1:23" x14ac:dyDescent="0.25">
      <c r="A2181" s="1" t="s">
        <v>33</v>
      </c>
      <c r="B2181" s="1" t="s">
        <v>72</v>
      </c>
      <c r="C2181" s="1" t="s">
        <v>172</v>
      </c>
      <c r="D2181">
        <v>5300</v>
      </c>
      <c r="E2181" s="1"/>
      <c r="F2181" s="1" t="s">
        <v>303</v>
      </c>
      <c r="G2181">
        <v>2014</v>
      </c>
      <c r="H2181">
        <v>1071.67</v>
      </c>
      <c r="I2181">
        <v>12</v>
      </c>
      <c r="J2181" s="1"/>
      <c r="K2181">
        <v>0</v>
      </c>
      <c r="L2181">
        <v>7375</v>
      </c>
      <c r="M2181">
        <v>0.14530899999999999</v>
      </c>
      <c r="N2181">
        <v>3</v>
      </c>
      <c r="O2181" s="1" t="s">
        <v>560</v>
      </c>
      <c r="P2181">
        <v>1071.67</v>
      </c>
      <c r="Q2181">
        <v>857.35</v>
      </c>
      <c r="R2181">
        <v>0</v>
      </c>
      <c r="S2181" s="1" t="s">
        <v>650</v>
      </c>
      <c r="T2181" s="1"/>
      <c r="U2181">
        <v>1071.681</v>
      </c>
      <c r="V2181">
        <v>0</v>
      </c>
      <c r="W2181">
        <v>56969</v>
      </c>
    </row>
    <row r="2182" spans="1:23" x14ac:dyDescent="0.25">
      <c r="A2182" s="1" t="s">
        <v>33</v>
      </c>
      <c r="B2182" s="1" t="s">
        <v>72</v>
      </c>
      <c r="C2182" s="1" t="s">
        <v>172</v>
      </c>
      <c r="D2182">
        <v>5300</v>
      </c>
      <c r="E2182" s="1"/>
      <c r="F2182" s="1" t="s">
        <v>303</v>
      </c>
      <c r="G2182">
        <v>2014</v>
      </c>
      <c r="H2182">
        <v>39.630000000000003</v>
      </c>
      <c r="I2182">
        <v>12</v>
      </c>
      <c r="J2182" s="1" t="s">
        <v>435</v>
      </c>
      <c r="K2182">
        <v>0</v>
      </c>
      <c r="L2182">
        <v>7375</v>
      </c>
      <c r="M2182">
        <v>5.3730000000000002E-3</v>
      </c>
      <c r="N2182">
        <v>3</v>
      </c>
      <c r="O2182" s="1" t="s">
        <v>560</v>
      </c>
      <c r="P2182">
        <v>39.630000000000003</v>
      </c>
      <c r="Q2182">
        <v>31.7</v>
      </c>
      <c r="R2182">
        <v>0</v>
      </c>
      <c r="S2182" s="1" t="s">
        <v>651</v>
      </c>
      <c r="T2182" s="1"/>
      <c r="U2182">
        <v>39.630000000000003</v>
      </c>
      <c r="V2182">
        <v>0</v>
      </c>
      <c r="W2182">
        <v>56972</v>
      </c>
    </row>
    <row r="2183" spans="1:23" x14ac:dyDescent="0.25">
      <c r="A2183" s="1" t="s">
        <v>33</v>
      </c>
      <c r="B2183" s="1" t="s">
        <v>72</v>
      </c>
      <c r="C2183" s="1" t="s">
        <v>172</v>
      </c>
      <c r="D2183">
        <v>5300</v>
      </c>
      <c r="E2183" s="1"/>
      <c r="F2183" s="1" t="s">
        <v>303</v>
      </c>
      <c r="G2183">
        <v>2014</v>
      </c>
      <c r="H2183">
        <v>196.25</v>
      </c>
      <c r="I2183">
        <v>11</v>
      </c>
      <c r="J2183" s="1"/>
      <c r="K2183">
        <v>0</v>
      </c>
      <c r="L2183">
        <v>7375</v>
      </c>
      <c r="M2183">
        <v>2.6609000000000001E-2</v>
      </c>
      <c r="N2183">
        <v>3</v>
      </c>
      <c r="O2183" s="1" t="s">
        <v>560</v>
      </c>
      <c r="P2183">
        <v>196.25</v>
      </c>
      <c r="Q2183">
        <v>156.99</v>
      </c>
      <c r="R2183">
        <v>1</v>
      </c>
      <c r="S2183" s="1" t="s">
        <v>652</v>
      </c>
      <c r="T2183" s="1"/>
      <c r="U2183">
        <v>196.239</v>
      </c>
      <c r="V2183">
        <v>0</v>
      </c>
      <c r="W2183">
        <v>56992</v>
      </c>
    </row>
    <row r="2184" spans="1:23" x14ac:dyDescent="0.25">
      <c r="A2184" s="1" t="s">
        <v>33</v>
      </c>
      <c r="B2184" s="1" t="s">
        <v>72</v>
      </c>
      <c r="C2184" s="1" t="s">
        <v>172</v>
      </c>
      <c r="D2184">
        <v>5300</v>
      </c>
      <c r="E2184" s="1"/>
      <c r="F2184" s="1" t="s">
        <v>303</v>
      </c>
      <c r="G2184">
        <v>2013</v>
      </c>
      <c r="H2184">
        <v>1158.57</v>
      </c>
      <c r="I2184">
        <v>12</v>
      </c>
      <c r="J2184" s="1"/>
      <c r="K2184">
        <v>0</v>
      </c>
      <c r="L2184">
        <v>7375</v>
      </c>
      <c r="M2184">
        <v>0.15709200000000001</v>
      </c>
      <c r="N2184">
        <v>3</v>
      </c>
      <c r="O2184" s="1" t="s">
        <v>560</v>
      </c>
      <c r="P2184">
        <v>1158.57</v>
      </c>
      <c r="Q2184">
        <v>926.86</v>
      </c>
      <c r="R2184">
        <v>0</v>
      </c>
      <c r="S2184" s="1" t="s">
        <v>650</v>
      </c>
      <c r="T2184" s="1"/>
      <c r="U2184">
        <v>1158.5609999999999</v>
      </c>
      <c r="V2184">
        <v>0</v>
      </c>
      <c r="W2184">
        <v>56969</v>
      </c>
    </row>
    <row r="2185" spans="1:23" x14ac:dyDescent="0.25">
      <c r="A2185" s="1" t="s">
        <v>33</v>
      </c>
      <c r="B2185" s="1" t="s">
        <v>72</v>
      </c>
      <c r="C2185" s="1" t="s">
        <v>172</v>
      </c>
      <c r="D2185">
        <v>5300</v>
      </c>
      <c r="E2185" s="1"/>
      <c r="F2185" s="1" t="s">
        <v>303</v>
      </c>
      <c r="G2185">
        <v>2013</v>
      </c>
      <c r="H2185">
        <v>82.97</v>
      </c>
      <c r="I2185">
        <v>16</v>
      </c>
      <c r="J2185" s="1" t="s">
        <v>435</v>
      </c>
      <c r="K2185">
        <v>0</v>
      </c>
      <c r="L2185">
        <v>7375</v>
      </c>
      <c r="M2185">
        <v>1.125E-2</v>
      </c>
      <c r="N2185">
        <v>3</v>
      </c>
      <c r="O2185" s="1" t="s">
        <v>560</v>
      </c>
      <c r="P2185">
        <v>82.97</v>
      </c>
      <c r="Q2185">
        <v>66.39</v>
      </c>
      <c r="R2185">
        <v>0</v>
      </c>
      <c r="S2185" s="1" t="s">
        <v>651</v>
      </c>
      <c r="T2185" s="1"/>
      <c r="U2185">
        <v>82.977090000000004</v>
      </c>
      <c r="V2185">
        <v>0</v>
      </c>
      <c r="W2185">
        <v>56972</v>
      </c>
    </row>
    <row r="2186" spans="1:23" x14ac:dyDescent="0.25">
      <c r="A2186" s="1" t="s">
        <v>33</v>
      </c>
      <c r="B2186" s="1" t="s">
        <v>72</v>
      </c>
      <c r="C2186" s="1" t="s">
        <v>172</v>
      </c>
      <c r="D2186">
        <v>5300</v>
      </c>
      <c r="E2186" s="1"/>
      <c r="F2186" s="1" t="s">
        <v>303</v>
      </c>
      <c r="G2186">
        <v>2013</v>
      </c>
      <c r="H2186">
        <v>494.97</v>
      </c>
      <c r="I2186">
        <v>12</v>
      </c>
      <c r="J2186" s="1"/>
      <c r="K2186">
        <v>0</v>
      </c>
      <c r="L2186">
        <v>7375</v>
      </c>
      <c r="M2186">
        <v>6.7113000000000006E-2</v>
      </c>
      <c r="N2186">
        <v>3</v>
      </c>
      <c r="O2186" s="1" t="s">
        <v>560</v>
      </c>
      <c r="P2186">
        <v>494.97</v>
      </c>
      <c r="Q2186">
        <v>395.98</v>
      </c>
      <c r="R2186">
        <v>1</v>
      </c>
      <c r="S2186" s="1" t="s">
        <v>652</v>
      </c>
      <c r="T2186" s="1"/>
      <c r="U2186">
        <v>494.97</v>
      </c>
      <c r="V2186">
        <v>0</v>
      </c>
      <c r="W2186">
        <v>56992</v>
      </c>
    </row>
    <row r="2187" spans="1:23" x14ac:dyDescent="0.25">
      <c r="A2187" s="1" t="s">
        <v>33</v>
      </c>
      <c r="B2187" s="1" t="s">
        <v>72</v>
      </c>
      <c r="C2187" s="1" t="s">
        <v>172</v>
      </c>
      <c r="D2187">
        <v>5300</v>
      </c>
      <c r="E2187" s="1"/>
      <c r="F2187" s="1" t="s">
        <v>303</v>
      </c>
      <c r="G2187">
        <v>2012</v>
      </c>
      <c r="H2187">
        <v>1236.92</v>
      </c>
      <c r="I2187">
        <v>12</v>
      </c>
      <c r="J2187" s="1"/>
      <c r="K2187">
        <v>0</v>
      </c>
      <c r="L2187">
        <v>7375</v>
      </c>
      <c r="M2187">
        <v>0.167715</v>
      </c>
      <c r="N2187">
        <v>3</v>
      </c>
      <c r="O2187" s="1" t="s">
        <v>560</v>
      </c>
      <c r="P2187">
        <v>1236.92</v>
      </c>
      <c r="Q2187">
        <v>989.55</v>
      </c>
      <c r="R2187">
        <v>0</v>
      </c>
      <c r="S2187" s="1" t="s">
        <v>650</v>
      </c>
      <c r="T2187" s="1"/>
      <c r="U2187">
        <v>1236.93</v>
      </c>
      <c r="V2187">
        <v>0</v>
      </c>
      <c r="W2187">
        <v>56969</v>
      </c>
    </row>
    <row r="2188" spans="1:23" x14ac:dyDescent="0.25">
      <c r="A2188" s="1" t="s">
        <v>33</v>
      </c>
      <c r="B2188" s="1" t="s">
        <v>72</v>
      </c>
      <c r="C2188" s="1" t="s">
        <v>172</v>
      </c>
      <c r="D2188">
        <v>5300</v>
      </c>
      <c r="E2188" s="1"/>
      <c r="F2188" s="1" t="s">
        <v>303</v>
      </c>
      <c r="G2188">
        <v>2012</v>
      </c>
      <c r="H2188">
        <v>39.07</v>
      </c>
      <c r="I2188">
        <v>0</v>
      </c>
      <c r="J2188" s="1" t="s">
        <v>435</v>
      </c>
      <c r="K2188">
        <v>0</v>
      </c>
      <c r="L2188">
        <v>7375</v>
      </c>
      <c r="M2188">
        <v>5.2969999999999996E-3</v>
      </c>
      <c r="N2188">
        <v>3</v>
      </c>
      <c r="O2188" s="1" t="s">
        <v>560</v>
      </c>
      <c r="P2188">
        <v>39.07</v>
      </c>
      <c r="Q2188">
        <v>31.27</v>
      </c>
      <c r="R2188">
        <v>0</v>
      </c>
      <c r="S2188" s="1" t="s">
        <v>651</v>
      </c>
      <c r="T2188" s="1"/>
      <c r="U2188">
        <v>39.08737</v>
      </c>
      <c r="V2188">
        <v>0</v>
      </c>
      <c r="W2188">
        <v>56972</v>
      </c>
    </row>
    <row r="2189" spans="1:23" x14ac:dyDescent="0.25">
      <c r="A2189" s="1" t="s">
        <v>33</v>
      </c>
      <c r="B2189" s="1" t="s">
        <v>72</v>
      </c>
      <c r="C2189" s="1" t="s">
        <v>172</v>
      </c>
      <c r="D2189">
        <v>5300</v>
      </c>
      <c r="E2189" s="1"/>
      <c r="F2189" s="1" t="s">
        <v>303</v>
      </c>
      <c r="G2189">
        <v>2012</v>
      </c>
      <c r="H2189">
        <v>453.21</v>
      </c>
      <c r="I2189">
        <v>12</v>
      </c>
      <c r="J2189" s="1"/>
      <c r="K2189">
        <v>0</v>
      </c>
      <c r="L2189">
        <v>7375</v>
      </c>
      <c r="M2189">
        <v>6.1450999999999999E-2</v>
      </c>
      <c r="N2189">
        <v>3</v>
      </c>
      <c r="O2189" s="1" t="s">
        <v>560</v>
      </c>
      <c r="P2189">
        <v>453.21</v>
      </c>
      <c r="Q2189">
        <v>362.57</v>
      </c>
      <c r="R2189">
        <v>1</v>
      </c>
      <c r="S2189" s="1" t="s">
        <v>652</v>
      </c>
      <c r="T2189" s="1"/>
      <c r="U2189">
        <v>453.21</v>
      </c>
      <c r="V2189">
        <v>0</v>
      </c>
      <c r="W2189">
        <v>56992</v>
      </c>
    </row>
    <row r="2190" spans="1:23" x14ac:dyDescent="0.25">
      <c r="A2190" s="1" t="s">
        <v>33</v>
      </c>
      <c r="B2190" s="1" t="s">
        <v>72</v>
      </c>
      <c r="C2190" s="1" t="s">
        <v>172</v>
      </c>
      <c r="D2190">
        <v>5300</v>
      </c>
      <c r="E2190" s="1"/>
      <c r="F2190" s="1" t="s">
        <v>303</v>
      </c>
      <c r="G2190">
        <v>2011</v>
      </c>
      <c r="H2190">
        <v>1145.8499999999999</v>
      </c>
      <c r="I2190">
        <v>12</v>
      </c>
      <c r="J2190" s="1"/>
      <c r="K2190">
        <v>0</v>
      </c>
      <c r="L2190">
        <v>7375</v>
      </c>
      <c r="M2190">
        <v>0.15536700000000001</v>
      </c>
      <c r="N2190">
        <v>3</v>
      </c>
      <c r="O2190" s="1" t="s">
        <v>560</v>
      </c>
      <c r="P2190">
        <v>1145.8499999999999</v>
      </c>
      <c r="Q2190">
        <v>916.71</v>
      </c>
      <c r="R2190">
        <v>0</v>
      </c>
      <c r="S2190" s="1" t="s">
        <v>650</v>
      </c>
      <c r="T2190" s="1"/>
      <c r="U2190">
        <v>1145.8499999999999</v>
      </c>
      <c r="V2190">
        <v>0</v>
      </c>
      <c r="W2190">
        <v>56969</v>
      </c>
    </row>
    <row r="2191" spans="1:23" x14ac:dyDescent="0.25">
      <c r="A2191" s="1" t="s">
        <v>33</v>
      </c>
      <c r="B2191" s="1" t="s">
        <v>72</v>
      </c>
      <c r="C2191" s="1" t="s">
        <v>172</v>
      </c>
      <c r="D2191">
        <v>5300</v>
      </c>
      <c r="E2191" s="1"/>
      <c r="F2191" s="1" t="s">
        <v>303</v>
      </c>
      <c r="G2191">
        <v>2011</v>
      </c>
      <c r="H2191">
        <v>85.91</v>
      </c>
      <c r="I2191">
        <v>1</v>
      </c>
      <c r="J2191" s="1" t="s">
        <v>435</v>
      </c>
      <c r="K2191">
        <v>0</v>
      </c>
      <c r="L2191">
        <v>7375</v>
      </c>
      <c r="M2191">
        <v>1.1648E-2</v>
      </c>
      <c r="N2191">
        <v>3</v>
      </c>
      <c r="O2191" s="1" t="s">
        <v>560</v>
      </c>
      <c r="P2191">
        <v>85.91</v>
      </c>
      <c r="Q2191">
        <v>68.709999999999994</v>
      </c>
      <c r="R2191">
        <v>0</v>
      </c>
      <c r="S2191" s="1" t="s">
        <v>651</v>
      </c>
      <c r="T2191" s="1"/>
      <c r="U2191">
        <v>85.937690000000003</v>
      </c>
      <c r="V2191">
        <v>0</v>
      </c>
      <c r="W2191">
        <v>56972</v>
      </c>
    </row>
    <row r="2192" spans="1:23" x14ac:dyDescent="0.25">
      <c r="A2192" s="1" t="s">
        <v>33</v>
      </c>
      <c r="B2192" s="1" t="s">
        <v>72</v>
      </c>
      <c r="C2192" s="1" t="s">
        <v>172</v>
      </c>
      <c r="D2192">
        <v>5300</v>
      </c>
      <c r="E2192" s="1"/>
      <c r="F2192" s="1" t="s">
        <v>303</v>
      </c>
      <c r="G2192">
        <v>2011</v>
      </c>
      <c r="H2192">
        <v>111.36</v>
      </c>
      <c r="I2192">
        <v>12</v>
      </c>
      <c r="J2192" s="1"/>
      <c r="K2192">
        <v>0</v>
      </c>
      <c r="L2192">
        <v>7375</v>
      </c>
      <c r="M2192">
        <v>1.5099E-2</v>
      </c>
      <c r="N2192">
        <v>3</v>
      </c>
      <c r="O2192" s="1" t="s">
        <v>560</v>
      </c>
      <c r="P2192">
        <v>111.36</v>
      </c>
      <c r="Q2192">
        <v>89.11</v>
      </c>
      <c r="R2192">
        <v>1</v>
      </c>
      <c r="S2192" s="1" t="s">
        <v>652</v>
      </c>
      <c r="T2192" s="1"/>
      <c r="U2192">
        <v>111.37</v>
      </c>
      <c r="V2192">
        <v>0</v>
      </c>
      <c r="W2192">
        <v>56992</v>
      </c>
    </row>
    <row r="2193" spans="1:23" x14ac:dyDescent="0.25">
      <c r="A2193" s="1" t="s">
        <v>33</v>
      </c>
      <c r="B2193" s="1" t="s">
        <v>72</v>
      </c>
      <c r="C2193" s="1" t="s">
        <v>172</v>
      </c>
      <c r="D2193">
        <v>5300</v>
      </c>
      <c r="E2193" s="1"/>
      <c r="F2193" s="1" t="s">
        <v>303</v>
      </c>
      <c r="G2193">
        <v>2010</v>
      </c>
      <c r="H2193">
        <v>1181.5899999999999</v>
      </c>
      <c r="I2193">
        <v>12</v>
      </c>
      <c r="J2193" s="1"/>
      <c r="K2193">
        <v>0</v>
      </c>
      <c r="L2193">
        <v>7375</v>
      </c>
      <c r="M2193">
        <v>0.16021299999999999</v>
      </c>
      <c r="N2193">
        <v>3</v>
      </c>
      <c r="O2193" s="1" t="s">
        <v>560</v>
      </c>
      <c r="P2193">
        <v>1181.5899999999999</v>
      </c>
      <c r="Q2193">
        <v>945.26</v>
      </c>
      <c r="R2193">
        <v>0</v>
      </c>
      <c r="S2193" s="1" t="s">
        <v>650</v>
      </c>
      <c r="T2193" s="1"/>
      <c r="U2193">
        <v>1181.5899999999999</v>
      </c>
      <c r="V2193">
        <v>0</v>
      </c>
      <c r="W2193">
        <v>56969</v>
      </c>
    </row>
    <row r="2194" spans="1:23" x14ac:dyDescent="0.25">
      <c r="A2194" s="1" t="s">
        <v>33</v>
      </c>
      <c r="B2194" s="1" t="s">
        <v>72</v>
      </c>
      <c r="C2194" s="1" t="s">
        <v>172</v>
      </c>
      <c r="D2194">
        <v>5300</v>
      </c>
      <c r="E2194" s="1"/>
      <c r="F2194" s="1" t="s">
        <v>303</v>
      </c>
      <c r="G2194">
        <v>2010</v>
      </c>
      <c r="H2194">
        <v>88.2</v>
      </c>
      <c r="I2194">
        <v>0</v>
      </c>
      <c r="J2194" s="1" t="s">
        <v>435</v>
      </c>
      <c r="K2194">
        <v>0</v>
      </c>
      <c r="L2194">
        <v>7375</v>
      </c>
      <c r="M2194">
        <v>1.1958999999999999E-2</v>
      </c>
      <c r="N2194">
        <v>3</v>
      </c>
      <c r="O2194" s="1" t="s">
        <v>560</v>
      </c>
      <c r="P2194">
        <v>88.2</v>
      </c>
      <c r="Q2194">
        <v>70.540000000000006</v>
      </c>
      <c r="R2194">
        <v>0</v>
      </c>
      <c r="S2194" s="1" t="s">
        <v>651</v>
      </c>
      <c r="T2194" s="1"/>
      <c r="U2194">
        <v>88.231570000000005</v>
      </c>
      <c r="V2194">
        <v>0</v>
      </c>
      <c r="W2194">
        <v>56972</v>
      </c>
    </row>
    <row r="2195" spans="1:23" x14ac:dyDescent="0.25">
      <c r="A2195" s="1" t="s">
        <v>33</v>
      </c>
      <c r="B2195" s="1" t="s">
        <v>72</v>
      </c>
      <c r="C2195" s="1" t="s">
        <v>172</v>
      </c>
      <c r="D2195">
        <v>5300</v>
      </c>
      <c r="E2195" s="1"/>
      <c r="F2195" s="1" t="s">
        <v>303</v>
      </c>
      <c r="G2195">
        <v>2010</v>
      </c>
      <c r="H2195">
        <v>356.47</v>
      </c>
      <c r="I2195">
        <v>12</v>
      </c>
      <c r="J2195" s="1"/>
      <c r="K2195">
        <v>0</v>
      </c>
      <c r="L2195">
        <v>7375</v>
      </c>
      <c r="M2195">
        <v>4.8334000000000002E-2</v>
      </c>
      <c r="N2195">
        <v>3</v>
      </c>
      <c r="O2195" s="1" t="s">
        <v>560</v>
      </c>
      <c r="P2195">
        <v>356.47</v>
      </c>
      <c r="Q2195">
        <v>285.17</v>
      </c>
      <c r="R2195">
        <v>1</v>
      </c>
      <c r="S2195" s="1" t="s">
        <v>652</v>
      </c>
      <c r="T2195" s="1"/>
      <c r="U2195">
        <v>356.47</v>
      </c>
      <c r="V2195">
        <v>0</v>
      </c>
      <c r="W2195">
        <v>56992</v>
      </c>
    </row>
    <row r="2196" spans="1:23" x14ac:dyDescent="0.25">
      <c r="A2196" s="1" t="s">
        <v>33</v>
      </c>
      <c r="B2196" s="1" t="s">
        <v>72</v>
      </c>
      <c r="C2196" s="1" t="s">
        <v>172</v>
      </c>
      <c r="D2196">
        <v>5300</v>
      </c>
      <c r="E2196" s="1"/>
      <c r="F2196" s="1" t="s">
        <v>303</v>
      </c>
      <c r="G2196">
        <v>2009</v>
      </c>
      <c r="H2196">
        <v>1095.46</v>
      </c>
      <c r="I2196">
        <v>12</v>
      </c>
      <c r="J2196" s="1"/>
      <c r="K2196">
        <v>0</v>
      </c>
      <c r="L2196">
        <v>7375</v>
      </c>
      <c r="M2196">
        <v>0.148534</v>
      </c>
      <c r="N2196">
        <v>3</v>
      </c>
      <c r="O2196" s="1" t="s">
        <v>560</v>
      </c>
      <c r="P2196">
        <v>1095.46</v>
      </c>
      <c r="Q2196">
        <v>876.4</v>
      </c>
      <c r="R2196">
        <v>0</v>
      </c>
      <c r="S2196" s="1" t="s">
        <v>650</v>
      </c>
      <c r="T2196" s="1"/>
      <c r="U2196">
        <v>1095.4639999999999</v>
      </c>
      <c r="V2196">
        <v>0</v>
      </c>
      <c r="W2196">
        <v>56969</v>
      </c>
    </row>
    <row r="2197" spans="1:23" x14ac:dyDescent="0.25">
      <c r="A2197" s="1" t="s">
        <v>33</v>
      </c>
      <c r="B2197" s="1" t="s">
        <v>72</v>
      </c>
      <c r="C2197" s="1" t="s">
        <v>172</v>
      </c>
      <c r="D2197">
        <v>5300</v>
      </c>
      <c r="E2197" s="1"/>
      <c r="F2197" s="1" t="s">
        <v>303</v>
      </c>
      <c r="G2197">
        <v>2009</v>
      </c>
      <c r="H2197">
        <v>88.2</v>
      </c>
      <c r="I2197">
        <v>0</v>
      </c>
      <c r="J2197" s="1" t="s">
        <v>435</v>
      </c>
      <c r="K2197">
        <v>0</v>
      </c>
      <c r="L2197">
        <v>7375</v>
      </c>
      <c r="M2197">
        <v>1.1958999999999999E-2</v>
      </c>
      <c r="N2197">
        <v>3</v>
      </c>
      <c r="O2197" s="1" t="s">
        <v>560</v>
      </c>
      <c r="P2197">
        <v>88.2</v>
      </c>
      <c r="Q2197">
        <v>70.540000000000006</v>
      </c>
      <c r="R2197">
        <v>0</v>
      </c>
      <c r="S2197" s="1" t="s">
        <v>651</v>
      </c>
      <c r="T2197" s="1"/>
      <c r="U2197">
        <v>88.231570000000005</v>
      </c>
      <c r="V2197">
        <v>0</v>
      </c>
      <c r="W2197">
        <v>56972</v>
      </c>
    </row>
    <row r="2198" spans="1:23" x14ac:dyDescent="0.25">
      <c r="A2198" s="1" t="s">
        <v>33</v>
      </c>
      <c r="B2198" s="1" t="s">
        <v>72</v>
      </c>
      <c r="C2198" s="1" t="s">
        <v>172</v>
      </c>
      <c r="D2198">
        <v>5300</v>
      </c>
      <c r="E2198" s="1"/>
      <c r="F2198" s="1" t="s">
        <v>303</v>
      </c>
      <c r="G2198">
        <v>2009</v>
      </c>
      <c r="H2198">
        <v>506.33</v>
      </c>
      <c r="I2198">
        <v>12</v>
      </c>
      <c r="J2198" s="1"/>
      <c r="K2198">
        <v>0</v>
      </c>
      <c r="L2198">
        <v>7375</v>
      </c>
      <c r="M2198">
        <v>6.8653000000000006E-2</v>
      </c>
      <c r="N2198">
        <v>3</v>
      </c>
      <c r="O2198" s="1" t="s">
        <v>560</v>
      </c>
      <c r="P2198">
        <v>506.33</v>
      </c>
      <c r="Q2198">
        <v>405.08</v>
      </c>
      <c r="R2198">
        <v>1</v>
      </c>
      <c r="S2198" s="1" t="s">
        <v>652</v>
      </c>
      <c r="T2198" s="1"/>
      <c r="U2198">
        <v>506.33</v>
      </c>
      <c r="V2198">
        <v>0</v>
      </c>
      <c r="W2198">
        <v>56992</v>
      </c>
    </row>
    <row r="2199" spans="1:23" x14ac:dyDescent="0.25">
      <c r="A2199" s="1" t="s">
        <v>33</v>
      </c>
      <c r="B2199" s="1" t="s">
        <v>72</v>
      </c>
      <c r="C2199" s="1" t="s">
        <v>172</v>
      </c>
      <c r="D2199">
        <v>5300</v>
      </c>
      <c r="E2199" s="1"/>
      <c r="F2199" s="1" t="s">
        <v>303</v>
      </c>
      <c r="G2199">
        <v>2008</v>
      </c>
      <c r="H2199">
        <v>1146.83</v>
      </c>
      <c r="I2199">
        <v>12</v>
      </c>
      <c r="J2199" s="1"/>
      <c r="K2199">
        <v>0</v>
      </c>
      <c r="L2199">
        <v>7375</v>
      </c>
      <c r="M2199">
        <v>0.1555</v>
      </c>
      <c r="N2199">
        <v>3</v>
      </c>
      <c r="O2199" s="1" t="s">
        <v>560</v>
      </c>
      <c r="P2199">
        <v>1146.83</v>
      </c>
      <c r="Q2199">
        <v>917.48</v>
      </c>
      <c r="R2199">
        <v>0</v>
      </c>
      <c r="S2199" s="1" t="s">
        <v>650</v>
      </c>
      <c r="T2199" s="1"/>
      <c r="U2199">
        <v>1146.836</v>
      </c>
      <c r="V2199">
        <v>0</v>
      </c>
      <c r="W2199">
        <v>56969</v>
      </c>
    </row>
    <row r="2200" spans="1:23" x14ac:dyDescent="0.25">
      <c r="A2200" s="1" t="s">
        <v>33</v>
      </c>
      <c r="B2200" s="1" t="s">
        <v>72</v>
      </c>
      <c r="C2200" s="1" t="s">
        <v>172</v>
      </c>
      <c r="D2200">
        <v>5300</v>
      </c>
      <c r="E2200" s="1"/>
      <c r="F2200" s="1" t="s">
        <v>303</v>
      </c>
      <c r="G2200">
        <v>2008</v>
      </c>
      <c r="H2200">
        <v>88.44</v>
      </c>
      <c r="I2200">
        <v>0</v>
      </c>
      <c r="J2200" s="1" t="s">
        <v>435</v>
      </c>
      <c r="K2200">
        <v>0</v>
      </c>
      <c r="L2200">
        <v>7375</v>
      </c>
      <c r="M2200">
        <v>1.1991E-2</v>
      </c>
      <c r="N2200">
        <v>3</v>
      </c>
      <c r="O2200" s="1" t="s">
        <v>560</v>
      </c>
      <c r="P2200">
        <v>88.44</v>
      </c>
      <c r="Q2200">
        <v>70.739999999999995</v>
      </c>
      <c r="R2200">
        <v>0</v>
      </c>
      <c r="S2200" s="1" t="s">
        <v>651</v>
      </c>
      <c r="T2200" s="1"/>
      <c r="U2200">
        <v>88.473299999999995</v>
      </c>
      <c r="V2200">
        <v>0</v>
      </c>
      <c r="W2200">
        <v>56972</v>
      </c>
    </row>
    <row r="2201" spans="1:23" x14ac:dyDescent="0.25">
      <c r="A2201" s="1" t="s">
        <v>33</v>
      </c>
      <c r="B2201" s="1" t="s">
        <v>72</v>
      </c>
      <c r="C2201" s="1" t="s">
        <v>172</v>
      </c>
      <c r="D2201">
        <v>5300</v>
      </c>
      <c r="E2201" s="1"/>
      <c r="F2201" s="1" t="s">
        <v>303</v>
      </c>
      <c r="G2201">
        <v>2008</v>
      </c>
      <c r="H2201">
        <v>349.25</v>
      </c>
      <c r="I2201">
        <v>12</v>
      </c>
      <c r="J2201" s="1"/>
      <c r="K2201">
        <v>0</v>
      </c>
      <c r="L2201">
        <v>7375</v>
      </c>
      <c r="M2201">
        <v>4.7355000000000001E-2</v>
      </c>
      <c r="N2201">
        <v>3</v>
      </c>
      <c r="O2201" s="1" t="s">
        <v>560</v>
      </c>
      <c r="P2201">
        <v>349.25</v>
      </c>
      <c r="Q2201">
        <v>279.39</v>
      </c>
      <c r="R2201">
        <v>1</v>
      </c>
      <c r="S2201" s="1" t="s">
        <v>652</v>
      </c>
      <c r="T2201" s="1"/>
      <c r="U2201">
        <v>349.25</v>
      </c>
      <c r="V2201">
        <v>0</v>
      </c>
      <c r="W2201">
        <v>56992</v>
      </c>
    </row>
    <row r="2202" spans="1:23" x14ac:dyDescent="0.25">
      <c r="A2202" s="1" t="s">
        <v>33</v>
      </c>
      <c r="B2202" s="1"/>
      <c r="C2202" s="1" t="s">
        <v>173</v>
      </c>
      <c r="D2202">
        <v>5271</v>
      </c>
      <c r="E2202" s="1"/>
      <c r="F2202" s="1" t="s">
        <v>173</v>
      </c>
      <c r="G2202">
        <v>2015</v>
      </c>
      <c r="H2202">
        <v>9.5500000000000007</v>
      </c>
      <c r="I2202">
        <v>5</v>
      </c>
      <c r="J2202" s="1" t="s">
        <v>402</v>
      </c>
      <c r="K2202">
        <v>0</v>
      </c>
      <c r="L2202">
        <v>255</v>
      </c>
      <c r="M2202">
        <v>3.7435999999999997E-2</v>
      </c>
      <c r="N2202">
        <v>3</v>
      </c>
      <c r="O2202" s="1" t="s">
        <v>560</v>
      </c>
      <c r="P2202">
        <v>9.5500000000000007</v>
      </c>
      <c r="Q2202">
        <v>7.63</v>
      </c>
      <c r="R2202">
        <v>0</v>
      </c>
      <c r="S2202" s="1" t="s">
        <v>653</v>
      </c>
      <c r="T2202" s="1"/>
      <c r="U2202">
        <v>9.5440000000000005</v>
      </c>
      <c r="V2202">
        <v>0</v>
      </c>
      <c r="W2202">
        <v>56832</v>
      </c>
    </row>
    <row r="2203" spans="1:23" x14ac:dyDescent="0.25">
      <c r="A2203" s="1" t="s">
        <v>33</v>
      </c>
      <c r="B2203" s="1"/>
      <c r="C2203" s="1" t="s">
        <v>173</v>
      </c>
      <c r="D2203">
        <v>5271</v>
      </c>
      <c r="E2203" s="1"/>
      <c r="F2203" s="1" t="s">
        <v>173</v>
      </c>
      <c r="G2203">
        <v>2014</v>
      </c>
      <c r="H2203">
        <v>45.47</v>
      </c>
      <c r="I2203">
        <v>12</v>
      </c>
      <c r="J2203" s="1" t="s">
        <v>402</v>
      </c>
      <c r="K2203">
        <v>0</v>
      </c>
      <c r="L2203">
        <v>255</v>
      </c>
      <c r="M2203">
        <v>0.17824300000000001</v>
      </c>
      <c r="N2203">
        <v>3</v>
      </c>
      <c r="O2203" s="1" t="s">
        <v>560</v>
      </c>
      <c r="P2203">
        <v>45.47</v>
      </c>
      <c r="Q2203">
        <v>36.369999999999997</v>
      </c>
      <c r="R2203">
        <v>0</v>
      </c>
      <c r="S2203" s="1" t="s">
        <v>653</v>
      </c>
      <c r="T2203" s="1"/>
      <c r="U2203">
        <v>45.459000000000003</v>
      </c>
      <c r="V2203">
        <v>0</v>
      </c>
      <c r="W2203">
        <v>56832</v>
      </c>
    </row>
    <row r="2204" spans="1:23" x14ac:dyDescent="0.25">
      <c r="A2204" s="1" t="s">
        <v>33</v>
      </c>
      <c r="B2204" s="1"/>
      <c r="C2204" s="1" t="s">
        <v>173</v>
      </c>
      <c r="D2204">
        <v>5271</v>
      </c>
      <c r="E2204" s="1"/>
      <c r="F2204" s="1" t="s">
        <v>173</v>
      </c>
      <c r="G2204">
        <v>2013</v>
      </c>
      <c r="H2204">
        <v>68.430000000000007</v>
      </c>
      <c r="I2204">
        <v>12</v>
      </c>
      <c r="J2204" s="1" t="s">
        <v>402</v>
      </c>
      <c r="K2204">
        <v>0</v>
      </c>
      <c r="L2204">
        <v>255</v>
      </c>
      <c r="M2204">
        <v>0.26824700000000001</v>
      </c>
      <c r="N2204">
        <v>3</v>
      </c>
      <c r="O2204" s="1" t="s">
        <v>560</v>
      </c>
      <c r="P2204">
        <v>68.430000000000007</v>
      </c>
      <c r="Q2204">
        <v>54.76</v>
      </c>
      <c r="R2204">
        <v>0</v>
      </c>
      <c r="S2204" s="1" t="s">
        <v>653</v>
      </c>
      <c r="T2204" s="1"/>
      <c r="U2204">
        <v>68.438999999999993</v>
      </c>
      <c r="V2204">
        <v>0</v>
      </c>
      <c r="W2204">
        <v>56832</v>
      </c>
    </row>
    <row r="2205" spans="1:23" x14ac:dyDescent="0.25">
      <c r="A2205" s="1" t="s">
        <v>33</v>
      </c>
      <c r="B2205" s="1"/>
      <c r="C2205" s="1" t="s">
        <v>173</v>
      </c>
      <c r="D2205">
        <v>5271</v>
      </c>
      <c r="E2205" s="1"/>
      <c r="F2205" s="1" t="s">
        <v>173</v>
      </c>
      <c r="G2205">
        <v>2012</v>
      </c>
      <c r="H2205">
        <v>33.549999999999997</v>
      </c>
      <c r="I2205">
        <v>12</v>
      </c>
      <c r="J2205" s="1" t="s">
        <v>402</v>
      </c>
      <c r="K2205">
        <v>0</v>
      </c>
      <c r="L2205">
        <v>255</v>
      </c>
      <c r="M2205">
        <v>0.131517</v>
      </c>
      <c r="N2205">
        <v>3</v>
      </c>
      <c r="O2205" s="1" t="s">
        <v>560</v>
      </c>
      <c r="P2205">
        <v>33.549999999999997</v>
      </c>
      <c r="Q2205">
        <v>26.83</v>
      </c>
      <c r="R2205">
        <v>0</v>
      </c>
      <c r="S2205" s="1" t="s">
        <v>653</v>
      </c>
      <c r="T2205" s="1"/>
      <c r="U2205">
        <v>33.54</v>
      </c>
      <c r="V2205">
        <v>0</v>
      </c>
      <c r="W2205">
        <v>56832</v>
      </c>
    </row>
    <row r="2206" spans="1:23" x14ac:dyDescent="0.25">
      <c r="A2206" s="1" t="s">
        <v>33</v>
      </c>
      <c r="B2206" s="1"/>
      <c r="C2206" s="1" t="s">
        <v>173</v>
      </c>
      <c r="D2206">
        <v>5271</v>
      </c>
      <c r="E2206" s="1"/>
      <c r="F2206" s="1" t="s">
        <v>173</v>
      </c>
      <c r="G2206">
        <v>2011</v>
      </c>
      <c r="H2206">
        <v>32.72</v>
      </c>
      <c r="I2206">
        <v>12</v>
      </c>
      <c r="J2206" s="1" t="s">
        <v>402</v>
      </c>
      <c r="K2206">
        <v>0</v>
      </c>
      <c r="L2206">
        <v>255</v>
      </c>
      <c r="M2206">
        <v>0.12826299999999999</v>
      </c>
      <c r="N2206">
        <v>3</v>
      </c>
      <c r="O2206" s="1" t="s">
        <v>560</v>
      </c>
      <c r="P2206">
        <v>32.72</v>
      </c>
      <c r="Q2206">
        <v>26.16</v>
      </c>
      <c r="R2206">
        <v>0</v>
      </c>
      <c r="S2206" s="1" t="s">
        <v>653</v>
      </c>
      <c r="T2206" s="1"/>
      <c r="U2206">
        <v>32.72</v>
      </c>
      <c r="V2206">
        <v>0</v>
      </c>
      <c r="W2206">
        <v>56832</v>
      </c>
    </row>
    <row r="2207" spans="1:23" x14ac:dyDescent="0.25">
      <c r="A2207" s="1" t="s">
        <v>33</v>
      </c>
      <c r="B2207" s="1"/>
      <c r="C2207" s="1" t="s">
        <v>173</v>
      </c>
      <c r="D2207">
        <v>5271</v>
      </c>
      <c r="E2207" s="1"/>
      <c r="F2207" s="1" t="s">
        <v>173</v>
      </c>
      <c r="G2207">
        <v>2010</v>
      </c>
      <c r="H2207">
        <v>27.44</v>
      </c>
      <c r="I2207">
        <v>12</v>
      </c>
      <c r="J2207" s="1" t="s">
        <v>402</v>
      </c>
      <c r="K2207">
        <v>0</v>
      </c>
      <c r="L2207">
        <v>255</v>
      </c>
      <c r="M2207">
        <v>0.10756499999999999</v>
      </c>
      <c r="N2207">
        <v>3</v>
      </c>
      <c r="O2207" s="1" t="s">
        <v>560</v>
      </c>
      <c r="P2207">
        <v>27.44</v>
      </c>
      <c r="Q2207">
        <v>21.96</v>
      </c>
      <c r="R2207">
        <v>0</v>
      </c>
      <c r="S2207" s="1" t="s">
        <v>653</v>
      </c>
      <c r="T2207" s="1"/>
      <c r="U2207">
        <v>27.44</v>
      </c>
      <c r="V2207">
        <v>0</v>
      </c>
      <c r="W2207">
        <v>56832</v>
      </c>
    </row>
    <row r="2208" spans="1:23" x14ac:dyDescent="0.25">
      <c r="A2208" s="1" t="s">
        <v>33</v>
      </c>
      <c r="B2208" s="1"/>
      <c r="C2208" s="1" t="s">
        <v>173</v>
      </c>
      <c r="D2208">
        <v>5271</v>
      </c>
      <c r="E2208" s="1"/>
      <c r="F2208" s="1" t="s">
        <v>173</v>
      </c>
      <c r="G2208">
        <v>2009</v>
      </c>
      <c r="H2208">
        <v>48.07</v>
      </c>
      <c r="I2208">
        <v>12</v>
      </c>
      <c r="J2208" s="1" t="s">
        <v>402</v>
      </c>
      <c r="K2208">
        <v>0</v>
      </c>
      <c r="L2208">
        <v>255</v>
      </c>
      <c r="M2208">
        <v>0.18843499999999999</v>
      </c>
      <c r="N2208">
        <v>3</v>
      </c>
      <c r="O2208" s="1" t="s">
        <v>560</v>
      </c>
      <c r="P2208">
        <v>48.07</v>
      </c>
      <c r="Q2208">
        <v>38.44</v>
      </c>
      <c r="R2208">
        <v>0</v>
      </c>
      <c r="S2208" s="1" t="s">
        <v>653</v>
      </c>
      <c r="T2208" s="1"/>
      <c r="U2208">
        <v>48.066000000000003</v>
      </c>
      <c r="V2208">
        <v>0</v>
      </c>
      <c r="W2208">
        <v>56832</v>
      </c>
    </row>
    <row r="2209" spans="1:23" x14ac:dyDescent="0.25">
      <c r="A2209" s="1" t="s">
        <v>33</v>
      </c>
      <c r="B2209" s="1"/>
      <c r="C2209" s="1" t="s">
        <v>173</v>
      </c>
      <c r="D2209">
        <v>5271</v>
      </c>
      <c r="E2209" s="1"/>
      <c r="F2209" s="1" t="s">
        <v>173</v>
      </c>
      <c r="G2209">
        <v>2008</v>
      </c>
      <c r="H2209">
        <v>30.35</v>
      </c>
      <c r="I2209">
        <v>12</v>
      </c>
      <c r="J2209" s="1" t="s">
        <v>402</v>
      </c>
      <c r="K2209">
        <v>0</v>
      </c>
      <c r="L2209">
        <v>255</v>
      </c>
      <c r="M2209">
        <v>0.11897199999999999</v>
      </c>
      <c r="N2209">
        <v>3</v>
      </c>
      <c r="O2209" s="1" t="s">
        <v>560</v>
      </c>
      <c r="P2209">
        <v>30.35</v>
      </c>
      <c r="Q2209">
        <v>24.27</v>
      </c>
      <c r="R2209">
        <v>0</v>
      </c>
      <c r="S2209" s="1" t="s">
        <v>653</v>
      </c>
      <c r="T2209" s="1"/>
      <c r="U2209">
        <v>30.344000000000001</v>
      </c>
      <c r="V2209">
        <v>0</v>
      </c>
      <c r="W2209">
        <v>56832</v>
      </c>
    </row>
    <row r="2210" spans="1:23" x14ac:dyDescent="0.25">
      <c r="A2210" s="1" t="s">
        <v>33</v>
      </c>
      <c r="B2210" s="1" t="s">
        <v>73</v>
      </c>
      <c r="C2210" s="1" t="s">
        <v>174</v>
      </c>
      <c r="D2210">
        <v>13660</v>
      </c>
      <c r="E2210" s="1"/>
      <c r="F2210" s="1" t="s">
        <v>304</v>
      </c>
      <c r="G2210">
        <v>2013</v>
      </c>
      <c r="H2210">
        <v>12.89</v>
      </c>
      <c r="I2210">
        <v>3</v>
      </c>
      <c r="J2210" s="1" t="s">
        <v>436</v>
      </c>
      <c r="K2210">
        <v>0</v>
      </c>
      <c r="L2210">
        <v>532</v>
      </c>
      <c r="M2210">
        <v>2.4223999999999999E-2</v>
      </c>
      <c r="N2210">
        <v>3</v>
      </c>
      <c r="O2210" s="1" t="s">
        <v>560</v>
      </c>
      <c r="P2210">
        <v>12.89</v>
      </c>
      <c r="Q2210">
        <v>10.31</v>
      </c>
      <c r="R2210">
        <v>1</v>
      </c>
      <c r="S2210" s="1" t="s">
        <v>654</v>
      </c>
      <c r="T2210" s="1"/>
      <c r="U2210">
        <v>12.89</v>
      </c>
      <c r="V2210">
        <v>0</v>
      </c>
      <c r="W2210">
        <v>91248</v>
      </c>
    </row>
    <row r="2211" spans="1:23" x14ac:dyDescent="0.25">
      <c r="A2211" s="1" t="s">
        <v>33</v>
      </c>
      <c r="B2211" s="1"/>
      <c r="C2211" s="1" t="s">
        <v>175</v>
      </c>
      <c r="D2211">
        <v>10125</v>
      </c>
      <c r="E2211" s="1"/>
      <c r="F2211" s="1" t="s">
        <v>305</v>
      </c>
      <c r="G2211">
        <v>2015</v>
      </c>
      <c r="H2211">
        <v>185.91</v>
      </c>
      <c r="I2211">
        <v>5</v>
      </c>
      <c r="J2211" s="1"/>
      <c r="K2211">
        <v>0</v>
      </c>
      <c r="L2211">
        <v>2818</v>
      </c>
      <c r="M2211">
        <v>6.5969E-2</v>
      </c>
      <c r="N2211">
        <v>3</v>
      </c>
      <c r="O2211" s="1" t="s">
        <v>560</v>
      </c>
      <c r="P2211">
        <v>185.91</v>
      </c>
      <c r="Q2211">
        <v>148.72999999999999</v>
      </c>
      <c r="R2211">
        <v>0</v>
      </c>
      <c r="S2211" s="1" t="s">
        <v>655</v>
      </c>
      <c r="T2211" s="1"/>
      <c r="U2211">
        <v>185.91499999999999</v>
      </c>
      <c r="V2211">
        <v>0</v>
      </c>
      <c r="W2211">
        <v>76942</v>
      </c>
    </row>
    <row r="2212" spans="1:23" x14ac:dyDescent="0.25">
      <c r="A2212" s="1" t="s">
        <v>33</v>
      </c>
      <c r="B2212" s="1"/>
      <c r="C2212" s="1" t="s">
        <v>175</v>
      </c>
      <c r="D2212">
        <v>10125</v>
      </c>
      <c r="E2212" s="1"/>
      <c r="F2212" s="1" t="s">
        <v>305</v>
      </c>
      <c r="G2212">
        <v>2014</v>
      </c>
      <c r="H2212">
        <v>468.3</v>
      </c>
      <c r="I2212">
        <v>12</v>
      </c>
      <c r="J2212" s="1"/>
      <c r="K2212">
        <v>0</v>
      </c>
      <c r="L2212">
        <v>2818</v>
      </c>
      <c r="M2212">
        <v>0.16617499999999999</v>
      </c>
      <c r="N2212">
        <v>3</v>
      </c>
      <c r="O2212" s="1" t="s">
        <v>560</v>
      </c>
      <c r="P2212">
        <v>468.3</v>
      </c>
      <c r="Q2212">
        <v>374.63</v>
      </c>
      <c r="R2212">
        <v>0</v>
      </c>
      <c r="S2212" s="1" t="s">
        <v>655</v>
      </c>
      <c r="T2212" s="1"/>
      <c r="U2212">
        <v>468.29899999999998</v>
      </c>
      <c r="V2212">
        <v>0</v>
      </c>
      <c r="W2212">
        <v>76942</v>
      </c>
    </row>
    <row r="2213" spans="1:23" x14ac:dyDescent="0.25">
      <c r="A2213" s="1" t="s">
        <v>33</v>
      </c>
      <c r="B2213" s="1"/>
      <c r="C2213" s="1" t="s">
        <v>175</v>
      </c>
      <c r="D2213">
        <v>10125</v>
      </c>
      <c r="E2213" s="1"/>
      <c r="F2213" s="1" t="s">
        <v>305</v>
      </c>
      <c r="G2213">
        <v>2013</v>
      </c>
      <c r="H2213">
        <v>689.37</v>
      </c>
      <c r="I2213">
        <v>12</v>
      </c>
      <c r="J2213" s="1"/>
      <c r="K2213">
        <v>0</v>
      </c>
      <c r="L2213">
        <v>2818</v>
      </c>
      <c r="M2213">
        <v>0.24462200000000001</v>
      </c>
      <c r="N2213">
        <v>3</v>
      </c>
      <c r="O2213" s="1" t="s">
        <v>560</v>
      </c>
      <c r="P2213">
        <v>689.37</v>
      </c>
      <c r="Q2213">
        <v>551.47</v>
      </c>
      <c r="R2213">
        <v>0</v>
      </c>
      <c r="S2213" s="1" t="s">
        <v>655</v>
      </c>
      <c r="T2213" s="1"/>
      <c r="U2213">
        <v>689.36199999999997</v>
      </c>
      <c r="V2213">
        <v>0</v>
      </c>
      <c r="W2213">
        <v>76942</v>
      </c>
    </row>
    <row r="2214" spans="1:23" x14ac:dyDescent="0.25">
      <c r="A2214" s="1" t="s">
        <v>33</v>
      </c>
      <c r="B2214" s="1"/>
      <c r="C2214" s="1" t="s">
        <v>175</v>
      </c>
      <c r="D2214">
        <v>10125</v>
      </c>
      <c r="E2214" s="1"/>
      <c r="F2214" s="1" t="s">
        <v>305</v>
      </c>
      <c r="G2214">
        <v>2012</v>
      </c>
      <c r="H2214">
        <v>547.37</v>
      </c>
      <c r="I2214">
        <v>12</v>
      </c>
      <c r="J2214" s="1"/>
      <c r="K2214">
        <v>0</v>
      </c>
      <c r="L2214">
        <v>2818</v>
      </c>
      <c r="M2214">
        <v>0.19423299999999999</v>
      </c>
      <c r="N2214">
        <v>3</v>
      </c>
      <c r="O2214" s="1" t="s">
        <v>560</v>
      </c>
      <c r="P2214">
        <v>547.37</v>
      </c>
      <c r="Q2214">
        <v>437.89</v>
      </c>
      <c r="R2214">
        <v>0</v>
      </c>
      <c r="S2214" s="1" t="s">
        <v>655</v>
      </c>
      <c r="T2214" s="1"/>
      <c r="U2214">
        <v>547.36800000000005</v>
      </c>
      <c r="V2214">
        <v>0</v>
      </c>
      <c r="W2214">
        <v>76942</v>
      </c>
    </row>
    <row r="2215" spans="1:23" x14ac:dyDescent="0.25">
      <c r="A2215" s="1" t="s">
        <v>33</v>
      </c>
      <c r="B2215" s="1"/>
      <c r="C2215" s="1" t="s">
        <v>175</v>
      </c>
      <c r="D2215">
        <v>10125</v>
      </c>
      <c r="E2215" s="1"/>
      <c r="F2215" s="1" t="s">
        <v>305</v>
      </c>
      <c r="G2215">
        <v>2011</v>
      </c>
      <c r="H2215">
        <v>499.94</v>
      </c>
      <c r="I2215">
        <v>12</v>
      </c>
      <c r="J2215" s="1"/>
      <c r="K2215">
        <v>0</v>
      </c>
      <c r="L2215">
        <v>2818</v>
      </c>
      <c r="M2215">
        <v>0.17740300000000001</v>
      </c>
      <c r="N2215">
        <v>3</v>
      </c>
      <c r="O2215" s="1" t="s">
        <v>560</v>
      </c>
      <c r="P2215">
        <v>499.94</v>
      </c>
      <c r="Q2215">
        <v>399.97</v>
      </c>
      <c r="R2215">
        <v>0</v>
      </c>
      <c r="S2215" s="1" t="s">
        <v>655</v>
      </c>
      <c r="T2215" s="1"/>
      <c r="U2215">
        <v>499.94299999999998</v>
      </c>
      <c r="V2215">
        <v>0</v>
      </c>
      <c r="W2215">
        <v>76942</v>
      </c>
    </row>
    <row r="2216" spans="1:23" x14ac:dyDescent="0.25">
      <c r="A2216" s="1" t="s">
        <v>33</v>
      </c>
      <c r="B2216" s="1"/>
      <c r="C2216" s="1" t="s">
        <v>175</v>
      </c>
      <c r="D2216">
        <v>10125</v>
      </c>
      <c r="E2216" s="1"/>
      <c r="F2216" s="1" t="s">
        <v>305</v>
      </c>
      <c r="G2216">
        <v>2010</v>
      </c>
      <c r="H2216">
        <v>440.55</v>
      </c>
      <c r="I2216">
        <v>12</v>
      </c>
      <c r="J2216" s="1"/>
      <c r="K2216">
        <v>0</v>
      </c>
      <c r="L2216">
        <v>2818</v>
      </c>
      <c r="M2216">
        <v>0.15632799999999999</v>
      </c>
      <c r="N2216">
        <v>3</v>
      </c>
      <c r="O2216" s="1" t="s">
        <v>560</v>
      </c>
      <c r="P2216">
        <v>440.55</v>
      </c>
      <c r="Q2216">
        <v>352.45</v>
      </c>
      <c r="R2216">
        <v>0</v>
      </c>
      <c r="S2216" s="1" t="s">
        <v>655</v>
      </c>
      <c r="T2216" s="1"/>
      <c r="U2216">
        <v>440.55799999999999</v>
      </c>
      <c r="V2216">
        <v>0</v>
      </c>
      <c r="W2216">
        <v>76942</v>
      </c>
    </row>
    <row r="2217" spans="1:23" x14ac:dyDescent="0.25">
      <c r="A2217" s="1" t="s">
        <v>33</v>
      </c>
      <c r="B2217" s="1"/>
      <c r="C2217" s="1" t="s">
        <v>175</v>
      </c>
      <c r="D2217">
        <v>10125</v>
      </c>
      <c r="E2217" s="1"/>
      <c r="F2217" s="1" t="s">
        <v>305</v>
      </c>
      <c r="G2217">
        <v>2009</v>
      </c>
      <c r="H2217">
        <v>535.61</v>
      </c>
      <c r="I2217">
        <v>12</v>
      </c>
      <c r="J2217" s="1"/>
      <c r="K2217">
        <v>0</v>
      </c>
      <c r="L2217">
        <v>2818</v>
      </c>
      <c r="M2217">
        <v>0.19006000000000001</v>
      </c>
      <c r="N2217">
        <v>3</v>
      </c>
      <c r="O2217" s="1" t="s">
        <v>560</v>
      </c>
      <c r="P2217">
        <v>535.61</v>
      </c>
      <c r="Q2217">
        <v>428.5</v>
      </c>
      <c r="R2217">
        <v>0</v>
      </c>
      <c r="S2217" s="1" t="s">
        <v>655</v>
      </c>
      <c r="T2217" s="1"/>
      <c r="U2217">
        <v>535.62099999999998</v>
      </c>
      <c r="V2217">
        <v>0</v>
      </c>
      <c r="W2217">
        <v>76942</v>
      </c>
    </row>
    <row r="2218" spans="1:23" x14ac:dyDescent="0.25">
      <c r="A2218" s="1" t="s">
        <v>33</v>
      </c>
      <c r="B2218" s="1"/>
      <c r="C2218" s="1" t="s">
        <v>175</v>
      </c>
      <c r="D2218">
        <v>10125</v>
      </c>
      <c r="E2218" s="1"/>
      <c r="F2218" s="1" t="s">
        <v>305</v>
      </c>
      <c r="G2218">
        <v>2008</v>
      </c>
      <c r="H2218">
        <v>481.07</v>
      </c>
      <c r="I2218">
        <v>12</v>
      </c>
      <c r="J2218" s="1"/>
      <c r="K2218">
        <v>0</v>
      </c>
      <c r="L2218">
        <v>2818</v>
      </c>
      <c r="M2218">
        <v>0.170707</v>
      </c>
      <c r="N2218">
        <v>3</v>
      </c>
      <c r="O2218" s="1" t="s">
        <v>560</v>
      </c>
      <c r="P2218">
        <v>481.07</v>
      </c>
      <c r="Q2218">
        <v>384.81</v>
      </c>
      <c r="R2218">
        <v>0</v>
      </c>
      <c r="S2218" s="1" t="s">
        <v>655</v>
      </c>
      <c r="T2218" s="1"/>
      <c r="U2218">
        <v>481.05200000000002</v>
      </c>
      <c r="V2218">
        <v>0</v>
      </c>
      <c r="W2218">
        <v>76942</v>
      </c>
    </row>
    <row r="2219" spans="1:23" x14ac:dyDescent="0.25">
      <c r="A2219" s="1" t="s">
        <v>33</v>
      </c>
      <c r="B2219" s="1"/>
      <c r="C2219" s="1" t="s">
        <v>175</v>
      </c>
      <c r="D2219">
        <v>10125</v>
      </c>
      <c r="E2219" s="1"/>
      <c r="F2219" s="1" t="s">
        <v>305</v>
      </c>
      <c r="G2219">
        <v>2008</v>
      </c>
      <c r="H2219">
        <v>37.04</v>
      </c>
      <c r="I2219">
        <v>1</v>
      </c>
      <c r="J2219" s="1" t="s">
        <v>437</v>
      </c>
      <c r="K2219">
        <v>0</v>
      </c>
      <c r="L2219">
        <v>2818</v>
      </c>
      <c r="M2219">
        <v>1.3143E-2</v>
      </c>
      <c r="N2219">
        <v>3</v>
      </c>
      <c r="O2219" s="1" t="s">
        <v>560</v>
      </c>
      <c r="P2219">
        <v>37.04</v>
      </c>
      <c r="Q2219">
        <v>29.63</v>
      </c>
      <c r="R2219">
        <v>0</v>
      </c>
      <c r="S2219" s="1" t="s">
        <v>655</v>
      </c>
      <c r="T2219" s="1"/>
      <c r="U2219">
        <v>37.037239999999997</v>
      </c>
      <c r="V2219">
        <v>0</v>
      </c>
      <c r="W2219">
        <v>78854</v>
      </c>
    </row>
    <row r="2220" spans="1:23" x14ac:dyDescent="0.25">
      <c r="A2220" s="1" t="s">
        <v>33</v>
      </c>
      <c r="B2220" s="1" t="s">
        <v>71</v>
      </c>
      <c r="C2220" s="1" t="s">
        <v>169</v>
      </c>
      <c r="D2220">
        <v>6071</v>
      </c>
      <c r="E2220" s="1"/>
      <c r="F2220" s="1" t="s">
        <v>301</v>
      </c>
      <c r="G2220">
        <v>2015</v>
      </c>
      <c r="H2220">
        <v>17951</v>
      </c>
      <c r="I2220">
        <v>5</v>
      </c>
      <c r="J2220" s="1" t="s">
        <v>488</v>
      </c>
      <c r="K2220">
        <v>0</v>
      </c>
      <c r="L2220">
        <v>222</v>
      </c>
      <c r="M2220">
        <v>80.823953000000003</v>
      </c>
      <c r="N2220">
        <v>1</v>
      </c>
      <c r="O2220" s="1" t="s">
        <v>565</v>
      </c>
      <c r="P2220">
        <v>20151.82</v>
      </c>
      <c r="Q2220">
        <v>1289.72</v>
      </c>
      <c r="R2220">
        <v>0</v>
      </c>
      <c r="S2220" s="1" t="s">
        <v>824</v>
      </c>
      <c r="T2220" s="1"/>
      <c r="U2220">
        <v>17.951000000000001</v>
      </c>
      <c r="V2220">
        <v>0</v>
      </c>
      <c r="W2220">
        <v>60883</v>
      </c>
    </row>
    <row r="2221" spans="1:23" x14ac:dyDescent="0.25">
      <c r="A2221" s="1" t="s">
        <v>33</v>
      </c>
      <c r="B2221" s="1" t="s">
        <v>71</v>
      </c>
      <c r="C2221" s="1" t="s">
        <v>169</v>
      </c>
      <c r="D2221">
        <v>6071</v>
      </c>
      <c r="E2221" s="1"/>
      <c r="F2221" s="1" t="s">
        <v>301</v>
      </c>
      <c r="G2221">
        <v>2014</v>
      </c>
      <c r="H2221">
        <v>24083</v>
      </c>
      <c r="I2221">
        <v>12</v>
      </c>
      <c r="J2221" s="1" t="s">
        <v>488</v>
      </c>
      <c r="K2221">
        <v>0</v>
      </c>
      <c r="L2221">
        <v>222</v>
      </c>
      <c r="M2221">
        <v>108.433138</v>
      </c>
      <c r="N2221">
        <v>1</v>
      </c>
      <c r="O2221" s="1" t="s">
        <v>565</v>
      </c>
      <c r="P2221">
        <v>28380.560000000001</v>
      </c>
      <c r="Q2221">
        <v>1816.35</v>
      </c>
      <c r="R2221">
        <v>0</v>
      </c>
      <c r="S2221" s="1" t="s">
        <v>824</v>
      </c>
      <c r="T2221" s="1"/>
      <c r="U2221">
        <v>24.082999999999998</v>
      </c>
      <c r="V2221">
        <v>0</v>
      </c>
      <c r="W2221">
        <v>60883</v>
      </c>
    </row>
    <row r="2222" spans="1:23" x14ac:dyDescent="0.25">
      <c r="A2222" s="1" t="s">
        <v>33</v>
      </c>
      <c r="B2222" s="1" t="s">
        <v>71</v>
      </c>
      <c r="C2222" s="1" t="s">
        <v>169</v>
      </c>
      <c r="D2222">
        <v>6071</v>
      </c>
      <c r="E2222" s="1"/>
      <c r="F2222" s="1" t="s">
        <v>301</v>
      </c>
      <c r="G2222">
        <v>2013</v>
      </c>
      <c r="H2222">
        <v>32417</v>
      </c>
      <c r="I2222">
        <v>12</v>
      </c>
      <c r="J2222" s="1" t="s">
        <v>488</v>
      </c>
      <c r="K2222">
        <v>0</v>
      </c>
      <c r="L2222">
        <v>222</v>
      </c>
      <c r="M2222">
        <v>145.95677599999999</v>
      </c>
      <c r="N2222">
        <v>1</v>
      </c>
      <c r="O2222" s="1" t="s">
        <v>565</v>
      </c>
      <c r="P2222">
        <v>33415.31</v>
      </c>
      <c r="Q2222">
        <v>2138.58</v>
      </c>
      <c r="R2222">
        <v>0</v>
      </c>
      <c r="S2222" s="1" t="s">
        <v>824</v>
      </c>
      <c r="T2222" s="1"/>
      <c r="U2222">
        <v>32.417000000000002</v>
      </c>
      <c r="V2222">
        <v>0</v>
      </c>
      <c r="W2222">
        <v>60883</v>
      </c>
    </row>
    <row r="2223" spans="1:23" x14ac:dyDescent="0.25">
      <c r="A2223" s="1" t="s">
        <v>33</v>
      </c>
      <c r="B2223" s="1" t="s">
        <v>71</v>
      </c>
      <c r="C2223" s="1" t="s">
        <v>169</v>
      </c>
      <c r="D2223">
        <v>6071</v>
      </c>
      <c r="E2223" s="1"/>
      <c r="F2223" s="1" t="s">
        <v>301</v>
      </c>
      <c r="G2223">
        <v>2012</v>
      </c>
      <c r="H2223">
        <v>32456.22</v>
      </c>
      <c r="I2223">
        <v>18</v>
      </c>
      <c r="J2223" s="1" t="s">
        <v>488</v>
      </c>
      <c r="K2223">
        <v>0</v>
      </c>
      <c r="L2223">
        <v>222</v>
      </c>
      <c r="M2223">
        <v>146.133363</v>
      </c>
      <c r="N2223">
        <v>1</v>
      </c>
      <c r="O2223" s="1" t="s">
        <v>565</v>
      </c>
      <c r="P2223">
        <v>34839.49</v>
      </c>
      <c r="Q2223">
        <v>6445.3</v>
      </c>
      <c r="R2223">
        <v>0</v>
      </c>
      <c r="S2223" s="1" t="s">
        <v>824</v>
      </c>
      <c r="T2223" s="1"/>
      <c r="U2223">
        <v>32.456220000000002</v>
      </c>
      <c r="V2223">
        <v>0</v>
      </c>
      <c r="W2223">
        <v>60883</v>
      </c>
    </row>
    <row r="2224" spans="1:23" x14ac:dyDescent="0.25">
      <c r="A2224" s="1" t="s">
        <v>33</v>
      </c>
      <c r="B2224" s="1" t="s">
        <v>71</v>
      </c>
      <c r="C2224" s="1" t="s">
        <v>169</v>
      </c>
      <c r="D2224">
        <v>6071</v>
      </c>
      <c r="E2224" s="1"/>
      <c r="F2224" s="1" t="s">
        <v>301</v>
      </c>
      <c r="G2224">
        <v>2011</v>
      </c>
      <c r="H2224">
        <v>31587.79</v>
      </c>
      <c r="I2224">
        <v>15</v>
      </c>
      <c r="J2224" s="1" t="s">
        <v>488</v>
      </c>
      <c r="K2224">
        <v>0</v>
      </c>
      <c r="L2224">
        <v>222</v>
      </c>
      <c r="M2224">
        <v>142.223277</v>
      </c>
      <c r="N2224">
        <v>1</v>
      </c>
      <c r="O2224" s="1" t="s">
        <v>565</v>
      </c>
      <c r="P2224">
        <v>37864.35</v>
      </c>
      <c r="Q2224">
        <v>7004.9</v>
      </c>
      <c r="R2224">
        <v>0</v>
      </c>
      <c r="S2224" s="1" t="s">
        <v>824</v>
      </c>
      <c r="T2224" s="1"/>
      <c r="U2224">
        <v>31.587789999999998</v>
      </c>
      <c r="V2224">
        <v>0</v>
      </c>
      <c r="W2224">
        <v>60883</v>
      </c>
    </row>
    <row r="2225" spans="1:23" x14ac:dyDescent="0.25">
      <c r="A2225" s="1" t="s">
        <v>33</v>
      </c>
      <c r="B2225" s="1" t="s">
        <v>71</v>
      </c>
      <c r="C2225" s="1" t="s">
        <v>169</v>
      </c>
      <c r="D2225">
        <v>6071</v>
      </c>
      <c r="E2225" s="1"/>
      <c r="F2225" s="1" t="s">
        <v>301</v>
      </c>
      <c r="G2225">
        <v>2010</v>
      </c>
      <c r="H2225">
        <v>29573.95</v>
      </c>
      <c r="I2225">
        <v>18</v>
      </c>
      <c r="J2225" s="1" t="s">
        <v>488</v>
      </c>
      <c r="K2225">
        <v>0</v>
      </c>
      <c r="L2225">
        <v>222</v>
      </c>
      <c r="M2225">
        <v>133.15601000000001</v>
      </c>
      <c r="N2225">
        <v>1</v>
      </c>
      <c r="O2225" s="1" t="s">
        <v>565</v>
      </c>
      <c r="P2225">
        <v>35190.910000000003</v>
      </c>
      <c r="Q2225">
        <v>6510.31</v>
      </c>
      <c r="R2225">
        <v>0</v>
      </c>
      <c r="S2225" s="1" t="s">
        <v>824</v>
      </c>
      <c r="T2225" s="1"/>
      <c r="U2225">
        <v>29.57395</v>
      </c>
      <c r="V2225">
        <v>0</v>
      </c>
      <c r="W2225">
        <v>60883</v>
      </c>
    </row>
    <row r="2226" spans="1:23" x14ac:dyDescent="0.25">
      <c r="A2226" s="1" t="s">
        <v>33</v>
      </c>
      <c r="B2226" s="1" t="s">
        <v>71</v>
      </c>
      <c r="C2226" s="1" t="s">
        <v>169</v>
      </c>
      <c r="D2226">
        <v>6071</v>
      </c>
      <c r="E2226" s="1"/>
      <c r="F2226" s="1" t="s">
        <v>301</v>
      </c>
      <c r="G2226">
        <v>2009</v>
      </c>
      <c r="H2226">
        <v>28887.21</v>
      </c>
      <c r="I2226">
        <v>18</v>
      </c>
      <c r="J2226" s="1" t="s">
        <v>488</v>
      </c>
      <c r="K2226">
        <v>0</v>
      </c>
      <c r="L2226">
        <v>222</v>
      </c>
      <c r="M2226">
        <v>130.06397999999999</v>
      </c>
      <c r="N2226">
        <v>1</v>
      </c>
      <c r="O2226" s="1" t="s">
        <v>565</v>
      </c>
      <c r="P2226">
        <v>39383.72</v>
      </c>
      <c r="Q2226">
        <v>7285.98</v>
      </c>
      <c r="R2226">
        <v>0</v>
      </c>
      <c r="S2226" s="1" t="s">
        <v>824</v>
      </c>
      <c r="T2226" s="1"/>
      <c r="U2226">
        <v>28.88721</v>
      </c>
      <c r="V2226">
        <v>0</v>
      </c>
      <c r="W2226">
        <v>60883</v>
      </c>
    </row>
    <row r="2227" spans="1:23" x14ac:dyDescent="0.25">
      <c r="A2227" s="1" t="s">
        <v>33</v>
      </c>
      <c r="B2227" s="1" t="s">
        <v>71</v>
      </c>
      <c r="C2227" s="1" t="s">
        <v>169</v>
      </c>
      <c r="D2227">
        <v>6071</v>
      </c>
      <c r="E2227" s="1"/>
      <c r="F2227" s="1" t="s">
        <v>301</v>
      </c>
      <c r="G2227">
        <v>2008</v>
      </c>
      <c r="H2227">
        <v>29647.86</v>
      </c>
      <c r="I2227">
        <v>18</v>
      </c>
      <c r="J2227" s="1" t="s">
        <v>488</v>
      </c>
      <c r="K2227">
        <v>0</v>
      </c>
      <c r="L2227">
        <v>222</v>
      </c>
      <c r="M2227">
        <v>133.488788</v>
      </c>
      <c r="N2227">
        <v>1</v>
      </c>
      <c r="O2227" s="1" t="s">
        <v>565</v>
      </c>
      <c r="P2227">
        <v>34424.36</v>
      </c>
      <c r="Q2227">
        <v>6368.5</v>
      </c>
      <c r="R2227">
        <v>0</v>
      </c>
      <c r="S2227" s="1" t="s">
        <v>824</v>
      </c>
      <c r="T2227" s="1"/>
      <c r="U2227">
        <v>29.647860000000001</v>
      </c>
      <c r="V2227">
        <v>0</v>
      </c>
      <c r="W2227">
        <v>60883</v>
      </c>
    </row>
    <row r="2228" spans="1:23" x14ac:dyDescent="0.25">
      <c r="A2228" s="1" t="s">
        <v>33</v>
      </c>
      <c r="B2228" s="1"/>
      <c r="C2228" s="1" t="s">
        <v>170</v>
      </c>
      <c r="D2228">
        <v>10191</v>
      </c>
      <c r="E2228" s="1"/>
      <c r="F2228" s="1" t="s">
        <v>170</v>
      </c>
      <c r="G2228">
        <v>2015</v>
      </c>
      <c r="H2228">
        <v>0</v>
      </c>
      <c r="I2228">
        <v>5</v>
      </c>
      <c r="J2228" s="1"/>
      <c r="K2228">
        <v>0</v>
      </c>
      <c r="L2228">
        <v>711</v>
      </c>
      <c r="M2228">
        <v>0</v>
      </c>
      <c r="N2228">
        <v>1</v>
      </c>
      <c r="O2228" s="1" t="s">
        <v>563</v>
      </c>
      <c r="P2228">
        <v>0</v>
      </c>
      <c r="Q2228">
        <v>0</v>
      </c>
      <c r="R2228">
        <v>1</v>
      </c>
      <c r="S2228" s="1"/>
      <c r="T2228" s="1"/>
      <c r="U2228">
        <v>0</v>
      </c>
      <c r="V2228">
        <v>77259</v>
      </c>
      <c r="W2228">
        <v>77260</v>
      </c>
    </row>
    <row r="2229" spans="1:23" x14ac:dyDescent="0.25">
      <c r="A2229" s="1" t="s">
        <v>33</v>
      </c>
      <c r="B2229" s="1"/>
      <c r="C2229" s="1" t="s">
        <v>170</v>
      </c>
      <c r="D2229">
        <v>10191</v>
      </c>
      <c r="E2229" s="1"/>
      <c r="F2229" s="1" t="s">
        <v>170</v>
      </c>
      <c r="G2229">
        <v>2015</v>
      </c>
      <c r="H2229">
        <v>0</v>
      </c>
      <c r="I2229">
        <v>5</v>
      </c>
      <c r="J2229" s="1" t="s">
        <v>459</v>
      </c>
      <c r="K2229">
        <v>0</v>
      </c>
      <c r="L2229">
        <v>711</v>
      </c>
      <c r="M2229">
        <v>0</v>
      </c>
      <c r="N2229">
        <v>1</v>
      </c>
      <c r="O2229" s="1" t="s">
        <v>562</v>
      </c>
      <c r="P2229">
        <v>0</v>
      </c>
      <c r="Q2229">
        <v>0</v>
      </c>
      <c r="R2229">
        <v>0</v>
      </c>
      <c r="S2229" s="1"/>
      <c r="T2229" s="1"/>
      <c r="U2229">
        <v>0</v>
      </c>
      <c r="V2229">
        <v>0</v>
      </c>
      <c r="W2229">
        <v>77259</v>
      </c>
    </row>
    <row r="2230" spans="1:23" x14ac:dyDescent="0.25">
      <c r="A2230" s="1" t="s">
        <v>33</v>
      </c>
      <c r="B2230" s="1"/>
      <c r="C2230" s="1" t="s">
        <v>170</v>
      </c>
      <c r="D2230">
        <v>10191</v>
      </c>
      <c r="E2230" s="1"/>
      <c r="F2230" s="1" t="s">
        <v>170</v>
      </c>
      <c r="G2230">
        <v>2014</v>
      </c>
      <c r="H2230">
        <v>16213</v>
      </c>
      <c r="I2230">
        <v>12</v>
      </c>
      <c r="J2230" s="1" t="s">
        <v>459</v>
      </c>
      <c r="K2230">
        <v>0</v>
      </c>
      <c r="L2230">
        <v>711</v>
      </c>
      <c r="M2230">
        <v>22.799886999999998</v>
      </c>
      <c r="N2230">
        <v>1</v>
      </c>
      <c r="O2230" s="1" t="s">
        <v>562</v>
      </c>
      <c r="P2230">
        <v>19952.349999999999</v>
      </c>
      <c r="Q2230">
        <v>1276.95</v>
      </c>
      <c r="R2230">
        <v>0</v>
      </c>
      <c r="S2230" s="1"/>
      <c r="T2230" s="1"/>
      <c r="U2230">
        <v>16212.9997</v>
      </c>
      <c r="V2230">
        <v>0</v>
      </c>
      <c r="W2230">
        <v>77259</v>
      </c>
    </row>
    <row r="2231" spans="1:23" x14ac:dyDescent="0.25">
      <c r="A2231" s="1" t="s">
        <v>33</v>
      </c>
      <c r="B2231" s="1"/>
      <c r="C2231" s="1" t="s">
        <v>170</v>
      </c>
      <c r="D2231">
        <v>10191</v>
      </c>
      <c r="E2231" s="1"/>
      <c r="F2231" s="1" t="s">
        <v>170</v>
      </c>
      <c r="G2231">
        <v>2014</v>
      </c>
      <c r="H2231">
        <v>15579.94</v>
      </c>
      <c r="I2231">
        <v>12</v>
      </c>
      <c r="J2231" s="1"/>
      <c r="K2231">
        <v>0</v>
      </c>
      <c r="L2231">
        <v>711</v>
      </c>
      <c r="M2231">
        <v>21.909631999999998</v>
      </c>
      <c r="N2231">
        <v>1</v>
      </c>
      <c r="O2231" s="1" t="s">
        <v>563</v>
      </c>
      <c r="P2231">
        <v>19308.68</v>
      </c>
      <c r="Q2231">
        <v>35.42</v>
      </c>
      <c r="R2231">
        <v>1</v>
      </c>
      <c r="S2231" s="1"/>
      <c r="T2231" s="1"/>
      <c r="U2231">
        <v>446.54500000000002</v>
      </c>
      <c r="V2231">
        <v>77259</v>
      </c>
      <c r="W2231">
        <v>77260</v>
      </c>
    </row>
    <row r="2232" spans="1:23" x14ac:dyDescent="0.25">
      <c r="A2232" s="1" t="s">
        <v>33</v>
      </c>
      <c r="B2232" s="1"/>
      <c r="C2232" s="1" t="s">
        <v>170</v>
      </c>
      <c r="D2232">
        <v>10191</v>
      </c>
      <c r="E2232" s="1"/>
      <c r="F2232" s="1" t="s">
        <v>170</v>
      </c>
      <c r="G2232">
        <v>2013</v>
      </c>
      <c r="H2232">
        <v>39187</v>
      </c>
      <c r="I2232">
        <v>12</v>
      </c>
      <c r="J2232" s="1" t="s">
        <v>459</v>
      </c>
      <c r="K2232">
        <v>0</v>
      </c>
      <c r="L2232">
        <v>711</v>
      </c>
      <c r="M2232">
        <v>55.107579000000001</v>
      </c>
      <c r="N2232">
        <v>1</v>
      </c>
      <c r="O2232" s="1" t="s">
        <v>562</v>
      </c>
      <c r="P2232">
        <v>40710.370000000003</v>
      </c>
      <c r="Q2232">
        <v>2605.4699999999998</v>
      </c>
      <c r="R2232">
        <v>0</v>
      </c>
      <c r="S2232" s="1"/>
      <c r="T2232" s="1"/>
      <c r="U2232">
        <v>39187</v>
      </c>
      <c r="V2232">
        <v>0</v>
      </c>
      <c r="W2232">
        <v>77259</v>
      </c>
    </row>
    <row r="2233" spans="1:23" x14ac:dyDescent="0.25">
      <c r="A2233" s="1" t="s">
        <v>33</v>
      </c>
      <c r="B2233" s="1"/>
      <c r="C2233" s="1" t="s">
        <v>170</v>
      </c>
      <c r="D2233">
        <v>10191</v>
      </c>
      <c r="E2233" s="1"/>
      <c r="F2233" s="1" t="s">
        <v>170</v>
      </c>
      <c r="G2233">
        <v>2013</v>
      </c>
      <c r="H2233">
        <v>40520.76</v>
      </c>
      <c r="I2233">
        <v>12</v>
      </c>
      <c r="J2233" s="1"/>
      <c r="K2233">
        <v>0</v>
      </c>
      <c r="L2233">
        <v>711</v>
      </c>
      <c r="M2233">
        <v>56.983209000000002</v>
      </c>
      <c r="N2233">
        <v>1</v>
      </c>
      <c r="O2233" s="1" t="s">
        <v>563</v>
      </c>
      <c r="P2233">
        <v>45187.13</v>
      </c>
      <c r="Q2233">
        <v>82.87</v>
      </c>
      <c r="R2233">
        <v>1</v>
      </c>
      <c r="S2233" s="1"/>
      <c r="T2233" s="1"/>
      <c r="U2233">
        <v>1161.3860099999999</v>
      </c>
      <c r="V2233">
        <v>77259</v>
      </c>
      <c r="W2233">
        <v>77260</v>
      </c>
    </row>
    <row r="2234" spans="1:23" x14ac:dyDescent="0.25">
      <c r="A2234" s="1" t="s">
        <v>33</v>
      </c>
      <c r="B2234" s="1"/>
      <c r="C2234" s="1" t="s">
        <v>170</v>
      </c>
      <c r="D2234">
        <v>10191</v>
      </c>
      <c r="E2234" s="1"/>
      <c r="F2234" s="1" t="s">
        <v>170</v>
      </c>
      <c r="G2234">
        <v>2012</v>
      </c>
      <c r="H2234">
        <v>31529.93</v>
      </c>
      <c r="I2234">
        <v>12</v>
      </c>
      <c r="J2234" s="1"/>
      <c r="K2234">
        <v>0</v>
      </c>
      <c r="L2234">
        <v>711</v>
      </c>
      <c r="M2234">
        <v>44.339655999999998</v>
      </c>
      <c r="N2234">
        <v>1</v>
      </c>
      <c r="O2234" s="1" t="s">
        <v>563</v>
      </c>
      <c r="P2234">
        <v>33632.269999999997</v>
      </c>
      <c r="Q2234">
        <v>178.34</v>
      </c>
      <c r="R2234">
        <v>1</v>
      </c>
      <c r="S2234" s="1"/>
      <c r="T2234" s="1"/>
      <c r="U2234">
        <v>903.69497000000001</v>
      </c>
      <c r="V2234">
        <v>77259</v>
      </c>
      <c r="W2234">
        <v>77260</v>
      </c>
    </row>
    <row r="2235" spans="1:23" x14ac:dyDescent="0.25">
      <c r="A2235" s="1" t="s">
        <v>33</v>
      </c>
      <c r="B2235" s="1"/>
      <c r="C2235" s="1" t="s">
        <v>170</v>
      </c>
      <c r="D2235">
        <v>10191</v>
      </c>
      <c r="E2235" s="1"/>
      <c r="F2235" s="1" t="s">
        <v>170</v>
      </c>
      <c r="G2235">
        <v>2012</v>
      </c>
      <c r="H2235">
        <v>30035.21</v>
      </c>
      <c r="I2235">
        <v>13</v>
      </c>
      <c r="J2235" s="1" t="s">
        <v>459</v>
      </c>
      <c r="K2235">
        <v>0</v>
      </c>
      <c r="L2235">
        <v>711</v>
      </c>
      <c r="M2235">
        <v>42.237673999999998</v>
      </c>
      <c r="N2235">
        <v>1</v>
      </c>
      <c r="O2235" s="1" t="s">
        <v>562</v>
      </c>
      <c r="P2235">
        <v>32054.75</v>
      </c>
      <c r="Q2235">
        <v>5930.14</v>
      </c>
      <c r="R2235">
        <v>0</v>
      </c>
      <c r="S2235" s="1"/>
      <c r="T2235" s="1"/>
      <c r="U2235">
        <v>30035.21429</v>
      </c>
      <c r="V2235">
        <v>0</v>
      </c>
      <c r="W2235">
        <v>77259</v>
      </c>
    </row>
    <row r="2236" spans="1:23" x14ac:dyDescent="0.25">
      <c r="A2236" s="1" t="s">
        <v>33</v>
      </c>
      <c r="B2236" s="1"/>
      <c r="C2236" s="1" t="s">
        <v>170</v>
      </c>
      <c r="D2236">
        <v>10191</v>
      </c>
      <c r="E2236" s="1"/>
      <c r="F2236" s="1" t="s">
        <v>170</v>
      </c>
      <c r="G2236">
        <v>2011</v>
      </c>
      <c r="H2236">
        <v>2896076.07</v>
      </c>
      <c r="I2236">
        <v>12</v>
      </c>
      <c r="J2236" s="1"/>
      <c r="K2236">
        <v>0</v>
      </c>
      <c r="L2236">
        <v>711</v>
      </c>
      <c r="M2236">
        <v>4072.6706079999999</v>
      </c>
      <c r="N2236">
        <v>1</v>
      </c>
      <c r="O2236" s="1" t="s">
        <v>563</v>
      </c>
      <c r="P2236">
        <v>3283596.95</v>
      </c>
      <c r="Q2236">
        <v>17410.87</v>
      </c>
      <c r="R2236">
        <v>1</v>
      </c>
      <c r="S2236" s="1"/>
      <c r="T2236" s="1"/>
      <c r="U2236">
        <v>83005.906040000002</v>
      </c>
      <c r="V2236">
        <v>77259</v>
      </c>
      <c r="W2236">
        <v>77260</v>
      </c>
    </row>
    <row r="2237" spans="1:23" x14ac:dyDescent="0.25">
      <c r="A2237" s="1" t="s">
        <v>33</v>
      </c>
      <c r="B2237" s="1"/>
      <c r="C2237" s="1" t="s">
        <v>170</v>
      </c>
      <c r="D2237">
        <v>10191</v>
      </c>
      <c r="E2237" s="1"/>
      <c r="F2237" s="1" t="s">
        <v>170</v>
      </c>
      <c r="G2237">
        <v>2011</v>
      </c>
      <c r="H2237">
        <v>44458.66</v>
      </c>
      <c r="I2237">
        <v>12</v>
      </c>
      <c r="J2237" s="1" t="s">
        <v>459</v>
      </c>
      <c r="K2237">
        <v>0</v>
      </c>
      <c r="L2237">
        <v>711</v>
      </c>
      <c r="M2237">
        <v>62.520966999999999</v>
      </c>
      <c r="N2237">
        <v>1</v>
      </c>
      <c r="O2237" s="1" t="s">
        <v>562</v>
      </c>
      <c r="P2237">
        <v>48695.040000000001</v>
      </c>
      <c r="Q2237">
        <v>9008.59</v>
      </c>
      <c r="R2237">
        <v>0</v>
      </c>
      <c r="S2237" s="1"/>
      <c r="T2237" s="1"/>
      <c r="U2237">
        <v>44458.664510000002</v>
      </c>
      <c r="V2237">
        <v>0</v>
      </c>
      <c r="W2237">
        <v>77259</v>
      </c>
    </row>
    <row r="2238" spans="1:23" x14ac:dyDescent="0.25">
      <c r="A2238" s="1" t="s">
        <v>33</v>
      </c>
      <c r="B2238" s="1"/>
      <c r="C2238" s="1" t="s">
        <v>170</v>
      </c>
      <c r="D2238">
        <v>10191</v>
      </c>
      <c r="E2238" s="1"/>
      <c r="F2238" s="1" t="s">
        <v>170</v>
      </c>
      <c r="G2238">
        <v>2010</v>
      </c>
      <c r="H2238">
        <v>54846.52</v>
      </c>
      <c r="I2238">
        <v>12</v>
      </c>
      <c r="J2238" s="1" t="s">
        <v>459</v>
      </c>
      <c r="K2238">
        <v>0</v>
      </c>
      <c r="L2238">
        <v>711</v>
      </c>
      <c r="M2238">
        <v>77.129123000000007</v>
      </c>
      <c r="N2238">
        <v>1</v>
      </c>
      <c r="O2238" s="1" t="s">
        <v>562</v>
      </c>
      <c r="P2238">
        <v>50072.800000000003</v>
      </c>
      <c r="Q2238">
        <v>9263.4599999999991</v>
      </c>
      <c r="R2238">
        <v>0</v>
      </c>
      <c r="S2238" s="1"/>
      <c r="T2238" s="1"/>
      <c r="U2238">
        <v>54846.521209999999</v>
      </c>
      <c r="V2238">
        <v>0</v>
      </c>
      <c r="W2238">
        <v>77259</v>
      </c>
    </row>
    <row r="2239" spans="1:23" x14ac:dyDescent="0.25">
      <c r="A2239" s="1" t="s">
        <v>33</v>
      </c>
      <c r="B2239" s="1"/>
      <c r="C2239" s="1" t="s">
        <v>170</v>
      </c>
      <c r="D2239">
        <v>10191</v>
      </c>
      <c r="E2239" s="1"/>
      <c r="F2239" s="1" t="s">
        <v>170</v>
      </c>
      <c r="G2239">
        <v>2010</v>
      </c>
      <c r="H2239">
        <v>4149558.18</v>
      </c>
      <c r="I2239">
        <v>12</v>
      </c>
      <c r="J2239" s="1"/>
      <c r="K2239">
        <v>0</v>
      </c>
      <c r="L2239">
        <v>711</v>
      </c>
      <c r="M2239">
        <v>5835.4073680000001</v>
      </c>
      <c r="N2239">
        <v>1</v>
      </c>
      <c r="O2239" s="1" t="s">
        <v>563</v>
      </c>
      <c r="P2239">
        <v>6158311.7999999998</v>
      </c>
      <c r="Q2239">
        <v>32653.71</v>
      </c>
      <c r="R2239">
        <v>1</v>
      </c>
      <c r="S2239" s="1"/>
      <c r="T2239" s="1"/>
      <c r="U2239">
        <v>118932.59299999999</v>
      </c>
      <c r="V2239">
        <v>77259</v>
      </c>
      <c r="W2239">
        <v>77260</v>
      </c>
    </row>
    <row r="2240" spans="1:23" x14ac:dyDescent="0.25">
      <c r="A2240" s="1" t="s">
        <v>33</v>
      </c>
      <c r="B2240" s="1"/>
      <c r="C2240" s="1" t="s">
        <v>170</v>
      </c>
      <c r="D2240">
        <v>10191</v>
      </c>
      <c r="E2240" s="1"/>
      <c r="F2240" s="1" t="s">
        <v>170</v>
      </c>
      <c r="G2240">
        <v>2009</v>
      </c>
      <c r="H2240">
        <v>50999.15</v>
      </c>
      <c r="I2240">
        <v>11</v>
      </c>
      <c r="J2240" s="1" t="s">
        <v>459</v>
      </c>
      <c r="K2240">
        <v>0</v>
      </c>
      <c r="L2240">
        <v>711</v>
      </c>
      <c r="M2240">
        <v>71.718675000000005</v>
      </c>
      <c r="N2240">
        <v>1</v>
      </c>
      <c r="O2240" s="1" t="s">
        <v>562</v>
      </c>
      <c r="P2240">
        <v>53693.24</v>
      </c>
      <c r="Q2240">
        <v>9933.24</v>
      </c>
      <c r="R2240">
        <v>0</v>
      </c>
      <c r="S2240" s="1"/>
      <c r="T2240" s="1"/>
      <c r="U2240">
        <v>50999.148390000002</v>
      </c>
      <c r="V2240">
        <v>0</v>
      </c>
      <c r="W2240">
        <v>77259</v>
      </c>
    </row>
    <row r="2241" spans="1:23" x14ac:dyDescent="0.25">
      <c r="A2241" s="1" t="s">
        <v>33</v>
      </c>
      <c r="B2241" s="1"/>
      <c r="C2241" s="1" t="s">
        <v>170</v>
      </c>
      <c r="D2241">
        <v>10191</v>
      </c>
      <c r="E2241" s="1"/>
      <c r="F2241" s="1" t="s">
        <v>170</v>
      </c>
      <c r="G2241">
        <v>2009</v>
      </c>
      <c r="H2241">
        <v>4058691.26</v>
      </c>
      <c r="I2241">
        <v>12</v>
      </c>
      <c r="J2241" s="1"/>
      <c r="K2241">
        <v>0</v>
      </c>
      <c r="L2241">
        <v>711</v>
      </c>
      <c r="M2241">
        <v>5707.6237650000003</v>
      </c>
      <c r="N2241">
        <v>1</v>
      </c>
      <c r="O2241" s="1" t="s">
        <v>563</v>
      </c>
      <c r="P2241">
        <v>4605778.6500000004</v>
      </c>
      <c r="Q2241">
        <v>24421.56</v>
      </c>
      <c r="R2241">
        <v>1</v>
      </c>
      <c r="S2241" s="1"/>
      <c r="T2241" s="1"/>
      <c r="U2241">
        <v>116328.21</v>
      </c>
      <c r="V2241">
        <v>77259</v>
      </c>
      <c r="W2241">
        <v>77260</v>
      </c>
    </row>
    <row r="2242" spans="1:23" x14ac:dyDescent="0.25">
      <c r="A2242" s="1" t="s">
        <v>33</v>
      </c>
      <c r="B2242" s="1"/>
      <c r="C2242" s="1" t="s">
        <v>170</v>
      </c>
      <c r="D2242">
        <v>10191</v>
      </c>
      <c r="E2242" s="1"/>
      <c r="F2242" s="1" t="s">
        <v>170</v>
      </c>
      <c r="G2242">
        <v>2008</v>
      </c>
      <c r="H2242">
        <v>2043489.87</v>
      </c>
      <c r="I2242">
        <v>12</v>
      </c>
      <c r="J2242" s="1"/>
      <c r="K2242">
        <v>0</v>
      </c>
      <c r="L2242">
        <v>711</v>
      </c>
      <c r="M2242">
        <v>2873.7025309999999</v>
      </c>
      <c r="N2242">
        <v>1</v>
      </c>
      <c r="O2242" s="1" t="s">
        <v>563</v>
      </c>
      <c r="P2242">
        <v>2351118.0499999998</v>
      </c>
      <c r="Q2242">
        <v>12466.52</v>
      </c>
      <c r="R2242">
        <v>1</v>
      </c>
      <c r="S2242" s="1"/>
      <c r="T2242" s="1"/>
      <c r="U2242">
        <v>58569.5</v>
      </c>
      <c r="V2242">
        <v>77259</v>
      </c>
      <c r="W2242">
        <v>77260</v>
      </c>
    </row>
    <row r="2243" spans="1:23" x14ac:dyDescent="0.25">
      <c r="A2243" s="1" t="s">
        <v>33</v>
      </c>
      <c r="B2243" s="1"/>
      <c r="C2243" s="1" t="s">
        <v>170</v>
      </c>
      <c r="D2243">
        <v>10191</v>
      </c>
      <c r="E2243" s="1"/>
      <c r="F2243" s="1" t="s">
        <v>170</v>
      </c>
      <c r="G2243">
        <v>2008</v>
      </c>
      <c r="H2243">
        <v>275.45</v>
      </c>
      <c r="I2243">
        <v>1</v>
      </c>
      <c r="J2243" s="1" t="s">
        <v>459</v>
      </c>
      <c r="K2243">
        <v>0</v>
      </c>
      <c r="L2243">
        <v>711</v>
      </c>
      <c r="M2243">
        <v>0.38735700000000001</v>
      </c>
      <c r="N2243">
        <v>1</v>
      </c>
      <c r="O2243" s="1" t="s">
        <v>562</v>
      </c>
      <c r="P2243">
        <v>294.29000000000002</v>
      </c>
      <c r="Q2243">
        <v>54.44</v>
      </c>
      <c r="R2243">
        <v>0</v>
      </c>
      <c r="S2243" s="1"/>
      <c r="T2243" s="1"/>
      <c r="U2243">
        <v>275.45161000000002</v>
      </c>
      <c r="V2243">
        <v>0</v>
      </c>
      <c r="W2243">
        <v>77259</v>
      </c>
    </row>
    <row r="2244" spans="1:23" x14ac:dyDescent="0.25">
      <c r="A2244" s="1" t="s">
        <v>33</v>
      </c>
      <c r="B2244" s="1"/>
      <c r="C2244" s="1" t="s">
        <v>171</v>
      </c>
      <c r="D2244">
        <v>9517</v>
      </c>
      <c r="E2244" s="1"/>
      <c r="F2244" s="1" t="s">
        <v>302</v>
      </c>
      <c r="G2244">
        <v>2015</v>
      </c>
      <c r="H2244">
        <v>44957</v>
      </c>
      <c r="I2244">
        <v>5</v>
      </c>
      <c r="J2244" s="1"/>
      <c r="K2244">
        <v>0</v>
      </c>
      <c r="L2244">
        <v>784</v>
      </c>
      <c r="M2244">
        <v>57.335799000000002</v>
      </c>
      <c r="N2244">
        <v>1</v>
      </c>
      <c r="O2244" s="1" t="s">
        <v>562</v>
      </c>
      <c r="P2244">
        <v>50679.55</v>
      </c>
      <c r="Q2244">
        <v>3243.48</v>
      </c>
      <c r="R2244">
        <v>0</v>
      </c>
      <c r="S2244" s="1"/>
      <c r="T2244" s="1"/>
      <c r="U2244">
        <v>44957</v>
      </c>
      <c r="V2244">
        <v>0</v>
      </c>
      <c r="W2244">
        <v>74426</v>
      </c>
    </row>
    <row r="2245" spans="1:23" x14ac:dyDescent="0.25">
      <c r="A2245" s="1" t="s">
        <v>33</v>
      </c>
      <c r="B2245" s="1"/>
      <c r="C2245" s="1" t="s">
        <v>171</v>
      </c>
      <c r="D2245">
        <v>9517</v>
      </c>
      <c r="E2245" s="1"/>
      <c r="F2245" s="1" t="s">
        <v>302</v>
      </c>
      <c r="G2245">
        <v>2015</v>
      </c>
      <c r="H2245">
        <v>75843.88</v>
      </c>
      <c r="I2245">
        <v>5</v>
      </c>
      <c r="J2245" s="1"/>
      <c r="K2245">
        <v>0</v>
      </c>
      <c r="L2245">
        <v>784</v>
      </c>
      <c r="M2245">
        <v>96.727305000000001</v>
      </c>
      <c r="N2245">
        <v>1</v>
      </c>
      <c r="O2245" s="1" t="s">
        <v>563</v>
      </c>
      <c r="P2245">
        <v>84606.69</v>
      </c>
      <c r="Q2245">
        <v>155.19</v>
      </c>
      <c r="R2245">
        <v>1</v>
      </c>
      <c r="S2245" s="1"/>
      <c r="T2245" s="1"/>
      <c r="U2245">
        <v>2173.8000000000002</v>
      </c>
      <c r="V2245">
        <v>74426</v>
      </c>
      <c r="W2245">
        <v>74427</v>
      </c>
    </row>
    <row r="2246" spans="1:23" x14ac:dyDescent="0.25">
      <c r="A2246" s="1" t="s">
        <v>33</v>
      </c>
      <c r="B2246" s="1"/>
      <c r="C2246" s="1" t="s">
        <v>171</v>
      </c>
      <c r="D2246">
        <v>9517</v>
      </c>
      <c r="E2246" s="1"/>
      <c r="F2246" s="1" t="s">
        <v>302</v>
      </c>
      <c r="G2246">
        <v>2014</v>
      </c>
      <c r="H2246">
        <v>72494</v>
      </c>
      <c r="I2246">
        <v>12</v>
      </c>
      <c r="J2246" s="1"/>
      <c r="K2246">
        <v>0</v>
      </c>
      <c r="L2246">
        <v>784</v>
      </c>
      <c r="M2246">
        <v>92.455043000000003</v>
      </c>
      <c r="N2246">
        <v>1</v>
      </c>
      <c r="O2246" s="1" t="s">
        <v>562</v>
      </c>
      <c r="P2246">
        <v>86237.94</v>
      </c>
      <c r="Q2246">
        <v>5519.22</v>
      </c>
      <c r="R2246">
        <v>0</v>
      </c>
      <c r="S2246" s="1"/>
      <c r="T2246" s="1"/>
      <c r="U2246">
        <v>72494</v>
      </c>
      <c r="V2246">
        <v>0</v>
      </c>
      <c r="W2246">
        <v>74426</v>
      </c>
    </row>
    <row r="2247" spans="1:23" x14ac:dyDescent="0.25">
      <c r="A2247" s="1" t="s">
        <v>33</v>
      </c>
      <c r="B2247" s="1"/>
      <c r="C2247" s="1" t="s">
        <v>171</v>
      </c>
      <c r="D2247">
        <v>9517</v>
      </c>
      <c r="E2247" s="1"/>
      <c r="F2247" s="1" t="s">
        <v>302</v>
      </c>
      <c r="G2247">
        <v>2014</v>
      </c>
      <c r="H2247">
        <v>141619.92000000001</v>
      </c>
      <c r="I2247">
        <v>12</v>
      </c>
      <c r="J2247" s="1"/>
      <c r="K2247">
        <v>0</v>
      </c>
      <c r="L2247">
        <v>784</v>
      </c>
      <c r="M2247">
        <v>180.61461499999999</v>
      </c>
      <c r="N2247">
        <v>1</v>
      </c>
      <c r="O2247" s="1" t="s">
        <v>563</v>
      </c>
      <c r="P2247">
        <v>166438.66</v>
      </c>
      <c r="Q2247">
        <v>305.31</v>
      </c>
      <c r="R2247">
        <v>1</v>
      </c>
      <c r="S2247" s="1"/>
      <c r="T2247" s="1"/>
      <c r="U2247">
        <v>4059.04</v>
      </c>
      <c r="V2247">
        <v>74426</v>
      </c>
      <c r="W2247">
        <v>74427</v>
      </c>
    </row>
    <row r="2248" spans="1:23" x14ac:dyDescent="0.25">
      <c r="A2248" s="1" t="s">
        <v>33</v>
      </c>
      <c r="B2248" s="1"/>
      <c r="C2248" s="1" t="s">
        <v>171</v>
      </c>
      <c r="D2248">
        <v>9517</v>
      </c>
      <c r="E2248" s="1"/>
      <c r="F2248" s="1" t="s">
        <v>302</v>
      </c>
      <c r="G2248">
        <v>2013</v>
      </c>
      <c r="H2248">
        <v>109643.22</v>
      </c>
      <c r="I2248">
        <v>12</v>
      </c>
      <c r="J2248" s="1"/>
      <c r="K2248">
        <v>0</v>
      </c>
      <c r="L2248">
        <v>784</v>
      </c>
      <c r="M2248">
        <v>139.83321000000001</v>
      </c>
      <c r="N2248">
        <v>1</v>
      </c>
      <c r="O2248" s="1" t="s">
        <v>563</v>
      </c>
      <c r="P2248">
        <v>112361.78</v>
      </c>
      <c r="Q2248">
        <v>206.11</v>
      </c>
      <c r="R2248">
        <v>1</v>
      </c>
      <c r="S2248" s="1"/>
      <c r="T2248" s="1"/>
      <c r="U2248">
        <v>3142.54</v>
      </c>
      <c r="V2248">
        <v>74426</v>
      </c>
      <c r="W2248">
        <v>74427</v>
      </c>
    </row>
    <row r="2249" spans="1:23" x14ac:dyDescent="0.25">
      <c r="A2249" s="1" t="s">
        <v>33</v>
      </c>
      <c r="B2249" s="1"/>
      <c r="C2249" s="1" t="s">
        <v>171</v>
      </c>
      <c r="D2249">
        <v>9517</v>
      </c>
      <c r="E2249" s="1"/>
      <c r="F2249" s="1" t="s">
        <v>302</v>
      </c>
      <c r="G2249">
        <v>2013</v>
      </c>
      <c r="H2249">
        <v>80317</v>
      </c>
      <c r="I2249">
        <v>12</v>
      </c>
      <c r="J2249" s="1"/>
      <c r="K2249">
        <v>0</v>
      </c>
      <c r="L2249">
        <v>784</v>
      </c>
      <c r="M2249">
        <v>102.432087</v>
      </c>
      <c r="N2249">
        <v>1</v>
      </c>
      <c r="O2249" s="1" t="s">
        <v>562</v>
      </c>
      <c r="P2249">
        <v>83565.42</v>
      </c>
      <c r="Q2249">
        <v>5348.19</v>
      </c>
      <c r="R2249">
        <v>0</v>
      </c>
      <c r="S2249" s="1"/>
      <c r="T2249" s="1"/>
      <c r="U2249">
        <v>80317</v>
      </c>
      <c r="V2249">
        <v>0</v>
      </c>
      <c r="W2249">
        <v>74426</v>
      </c>
    </row>
    <row r="2250" spans="1:23" x14ac:dyDescent="0.25">
      <c r="A2250" s="1" t="s">
        <v>33</v>
      </c>
      <c r="B2250" s="1"/>
      <c r="C2250" s="1" t="s">
        <v>171</v>
      </c>
      <c r="D2250">
        <v>9517</v>
      </c>
      <c r="E2250" s="1"/>
      <c r="F2250" s="1" t="s">
        <v>302</v>
      </c>
      <c r="G2250">
        <v>2012</v>
      </c>
      <c r="H2250">
        <v>159334.26</v>
      </c>
      <c r="I2250">
        <v>12</v>
      </c>
      <c r="J2250" s="1"/>
      <c r="K2250">
        <v>0</v>
      </c>
      <c r="L2250">
        <v>784</v>
      </c>
      <c r="M2250">
        <v>203.20655500000001</v>
      </c>
      <c r="N2250">
        <v>1</v>
      </c>
      <c r="O2250" s="1" t="s">
        <v>563</v>
      </c>
      <c r="P2250">
        <v>167904.29</v>
      </c>
      <c r="Q2250">
        <v>890.3</v>
      </c>
      <c r="R2250">
        <v>1</v>
      </c>
      <c r="S2250" s="1"/>
      <c r="T2250" s="1"/>
      <c r="U2250">
        <v>4566.76</v>
      </c>
      <c r="V2250">
        <v>74426</v>
      </c>
      <c r="W2250">
        <v>74427</v>
      </c>
    </row>
    <row r="2251" spans="1:23" x14ac:dyDescent="0.25">
      <c r="A2251" s="1" t="s">
        <v>33</v>
      </c>
      <c r="B2251" s="1"/>
      <c r="C2251" s="1" t="s">
        <v>171</v>
      </c>
      <c r="D2251">
        <v>9517</v>
      </c>
      <c r="E2251" s="1"/>
      <c r="F2251" s="1" t="s">
        <v>302</v>
      </c>
      <c r="G2251">
        <v>2012</v>
      </c>
      <c r="H2251">
        <v>86208</v>
      </c>
      <c r="I2251">
        <v>12</v>
      </c>
      <c r="J2251" s="1"/>
      <c r="K2251">
        <v>0</v>
      </c>
      <c r="L2251">
        <v>784</v>
      </c>
      <c r="M2251">
        <v>109.94516</v>
      </c>
      <c r="N2251">
        <v>1</v>
      </c>
      <c r="O2251" s="1" t="s">
        <v>562</v>
      </c>
      <c r="P2251">
        <v>91060.98</v>
      </c>
      <c r="Q2251">
        <v>16846.28</v>
      </c>
      <c r="R2251">
        <v>0</v>
      </c>
      <c r="S2251" s="1"/>
      <c r="T2251" s="1"/>
      <c r="U2251">
        <v>86208</v>
      </c>
      <c r="V2251">
        <v>0</v>
      </c>
      <c r="W2251">
        <v>74426</v>
      </c>
    </row>
    <row r="2252" spans="1:23" x14ac:dyDescent="0.25">
      <c r="A2252" s="1" t="s">
        <v>33</v>
      </c>
      <c r="B2252" s="1"/>
      <c r="C2252" s="1" t="s">
        <v>171</v>
      </c>
      <c r="D2252">
        <v>9517</v>
      </c>
      <c r="E2252" s="1"/>
      <c r="F2252" s="1" t="s">
        <v>302</v>
      </c>
      <c r="G2252">
        <v>2011</v>
      </c>
      <c r="H2252">
        <v>88982</v>
      </c>
      <c r="I2252">
        <v>12</v>
      </c>
      <c r="J2252" s="1"/>
      <c r="K2252">
        <v>0</v>
      </c>
      <c r="L2252">
        <v>784</v>
      </c>
      <c r="M2252">
        <v>113.482974</v>
      </c>
      <c r="N2252">
        <v>1</v>
      </c>
      <c r="O2252" s="1" t="s">
        <v>562</v>
      </c>
      <c r="P2252">
        <v>97095.89</v>
      </c>
      <c r="Q2252">
        <v>17962.72</v>
      </c>
      <c r="R2252">
        <v>0</v>
      </c>
      <c r="S2252" s="1"/>
      <c r="T2252" s="1"/>
      <c r="U2252">
        <v>88982</v>
      </c>
      <c r="V2252">
        <v>0</v>
      </c>
      <c r="W2252">
        <v>74426</v>
      </c>
    </row>
    <row r="2253" spans="1:23" x14ac:dyDescent="0.25">
      <c r="A2253" s="1" t="s">
        <v>33</v>
      </c>
      <c r="B2253" s="1"/>
      <c r="C2253" s="1" t="s">
        <v>171</v>
      </c>
      <c r="D2253">
        <v>9517</v>
      </c>
      <c r="E2253" s="1"/>
      <c r="F2253" s="1" t="s">
        <v>302</v>
      </c>
      <c r="G2253">
        <v>2011</v>
      </c>
      <c r="H2253">
        <v>160100.44</v>
      </c>
      <c r="I2253">
        <v>12</v>
      </c>
      <c r="J2253" s="1"/>
      <c r="K2253">
        <v>0</v>
      </c>
      <c r="L2253">
        <v>784</v>
      </c>
      <c r="M2253">
        <v>204.18370100000001</v>
      </c>
      <c r="N2253">
        <v>1</v>
      </c>
      <c r="O2253" s="1" t="s">
        <v>563</v>
      </c>
      <c r="P2253">
        <v>170880.51</v>
      </c>
      <c r="Q2253">
        <v>906.09</v>
      </c>
      <c r="R2253">
        <v>1</v>
      </c>
      <c r="S2253" s="1"/>
      <c r="T2253" s="1"/>
      <c r="U2253">
        <v>4588.72</v>
      </c>
      <c r="V2253">
        <v>74426</v>
      </c>
      <c r="W2253">
        <v>74427</v>
      </c>
    </row>
    <row r="2254" spans="1:23" x14ac:dyDescent="0.25">
      <c r="A2254" s="1" t="s">
        <v>33</v>
      </c>
      <c r="B2254" s="1"/>
      <c r="C2254" s="1" t="s">
        <v>171</v>
      </c>
      <c r="D2254">
        <v>9517</v>
      </c>
      <c r="E2254" s="1"/>
      <c r="F2254" s="1" t="s">
        <v>302</v>
      </c>
      <c r="G2254">
        <v>2010</v>
      </c>
      <c r="H2254">
        <v>92248.19</v>
      </c>
      <c r="I2254">
        <v>12</v>
      </c>
      <c r="J2254" s="1"/>
      <c r="K2254">
        <v>0</v>
      </c>
      <c r="L2254">
        <v>784</v>
      </c>
      <c r="M2254">
        <v>117.648501</v>
      </c>
      <c r="N2254">
        <v>1</v>
      </c>
      <c r="O2254" s="1" t="s">
        <v>562</v>
      </c>
      <c r="P2254">
        <v>112673.1</v>
      </c>
      <c r="Q2254">
        <v>20844.52</v>
      </c>
      <c r="R2254">
        <v>0</v>
      </c>
      <c r="S2254" s="1"/>
      <c r="T2254" s="1"/>
      <c r="U2254">
        <v>92248.209000000003</v>
      </c>
      <c r="V2254">
        <v>0</v>
      </c>
      <c r="W2254">
        <v>74426</v>
      </c>
    </row>
    <row r="2255" spans="1:23" x14ac:dyDescent="0.25">
      <c r="A2255" s="1" t="s">
        <v>33</v>
      </c>
      <c r="B2255" s="1"/>
      <c r="C2255" s="1" t="s">
        <v>171</v>
      </c>
      <c r="D2255">
        <v>9517</v>
      </c>
      <c r="E2255" s="1"/>
      <c r="F2255" s="1" t="s">
        <v>302</v>
      </c>
      <c r="G2255">
        <v>2010</v>
      </c>
      <c r="H2255">
        <v>470358.76</v>
      </c>
      <c r="I2255">
        <v>12</v>
      </c>
      <c r="J2255" s="1"/>
      <c r="K2255">
        <v>0</v>
      </c>
      <c r="L2255">
        <v>784</v>
      </c>
      <c r="M2255">
        <v>599.87088300000005</v>
      </c>
      <c r="N2255">
        <v>1</v>
      </c>
      <c r="O2255" s="1" t="s">
        <v>563</v>
      </c>
      <c r="P2255">
        <v>574982.61</v>
      </c>
      <c r="Q2255">
        <v>3048.78</v>
      </c>
      <c r="R2255">
        <v>1</v>
      </c>
      <c r="S2255" s="1"/>
      <c r="T2255" s="1"/>
      <c r="U2255">
        <v>13481.1911</v>
      </c>
      <c r="V2255">
        <v>74426</v>
      </c>
      <c r="W2255">
        <v>74427</v>
      </c>
    </row>
    <row r="2256" spans="1:23" x14ac:dyDescent="0.25">
      <c r="A2256" s="1" t="s">
        <v>33</v>
      </c>
      <c r="B2256" s="1"/>
      <c r="C2256" s="1" t="s">
        <v>171</v>
      </c>
      <c r="D2256">
        <v>9517</v>
      </c>
      <c r="E2256" s="1"/>
      <c r="F2256" s="1" t="s">
        <v>302</v>
      </c>
      <c r="G2256">
        <v>2009</v>
      </c>
      <c r="H2256">
        <v>362409.38</v>
      </c>
      <c r="I2256">
        <v>12</v>
      </c>
      <c r="J2256" s="1"/>
      <c r="K2256">
        <v>0</v>
      </c>
      <c r="L2256">
        <v>784</v>
      </c>
      <c r="M2256">
        <v>462.19790799999998</v>
      </c>
      <c r="N2256">
        <v>1</v>
      </c>
      <c r="O2256" s="1" t="s">
        <v>563</v>
      </c>
      <c r="P2256">
        <v>528519.21</v>
      </c>
      <c r="Q2256">
        <v>2802.41</v>
      </c>
      <c r="R2256">
        <v>1</v>
      </c>
      <c r="S2256" s="1"/>
      <c r="T2256" s="1"/>
      <c r="U2256">
        <v>10387.1988</v>
      </c>
      <c r="V2256">
        <v>74426</v>
      </c>
      <c r="W2256">
        <v>74427</v>
      </c>
    </row>
    <row r="2257" spans="1:23" x14ac:dyDescent="0.25">
      <c r="A2257" s="1" t="s">
        <v>33</v>
      </c>
      <c r="B2257" s="1"/>
      <c r="C2257" s="1" t="s">
        <v>171</v>
      </c>
      <c r="D2257">
        <v>9517</v>
      </c>
      <c r="E2257" s="1"/>
      <c r="F2257" s="1" t="s">
        <v>302</v>
      </c>
      <c r="G2257">
        <v>2009</v>
      </c>
      <c r="H2257">
        <v>104998.77</v>
      </c>
      <c r="I2257">
        <v>12</v>
      </c>
      <c r="J2257" s="1"/>
      <c r="K2257">
        <v>0</v>
      </c>
      <c r="L2257">
        <v>784</v>
      </c>
      <c r="M2257">
        <v>133.90992199999999</v>
      </c>
      <c r="N2257">
        <v>1</v>
      </c>
      <c r="O2257" s="1" t="s">
        <v>562</v>
      </c>
      <c r="P2257">
        <v>141027.85</v>
      </c>
      <c r="Q2257">
        <v>26090.16</v>
      </c>
      <c r="R2257">
        <v>0</v>
      </c>
      <c r="S2257" s="1"/>
      <c r="T2257" s="1"/>
      <c r="U2257">
        <v>104998.784</v>
      </c>
      <c r="V2257">
        <v>0</v>
      </c>
      <c r="W2257">
        <v>74426</v>
      </c>
    </row>
    <row r="2258" spans="1:23" x14ac:dyDescent="0.25">
      <c r="A2258" s="1" t="s">
        <v>33</v>
      </c>
      <c r="B2258" s="1"/>
      <c r="C2258" s="1" t="s">
        <v>171</v>
      </c>
      <c r="D2258">
        <v>9517</v>
      </c>
      <c r="E2258" s="1"/>
      <c r="F2258" s="1" t="s">
        <v>302</v>
      </c>
      <c r="G2258">
        <v>2008</v>
      </c>
      <c r="H2258">
        <v>124028.36</v>
      </c>
      <c r="I2258">
        <v>12</v>
      </c>
      <c r="J2258" s="1"/>
      <c r="K2258">
        <v>0</v>
      </c>
      <c r="L2258">
        <v>784</v>
      </c>
      <c r="M2258">
        <v>158.17926199999999</v>
      </c>
      <c r="N2258">
        <v>1</v>
      </c>
      <c r="O2258" s="1" t="s">
        <v>563</v>
      </c>
      <c r="P2258">
        <v>142902.37</v>
      </c>
      <c r="Q2258">
        <v>757.7</v>
      </c>
      <c r="R2258">
        <v>1</v>
      </c>
      <c r="S2258" s="1"/>
      <c r="T2258" s="1"/>
      <c r="U2258">
        <v>3554.84</v>
      </c>
      <c r="V2258">
        <v>74426</v>
      </c>
      <c r="W2258">
        <v>74427</v>
      </c>
    </row>
    <row r="2259" spans="1:23" x14ac:dyDescent="0.25">
      <c r="A2259" s="1" t="s">
        <v>33</v>
      </c>
      <c r="B2259" s="1"/>
      <c r="C2259" s="1" t="s">
        <v>171</v>
      </c>
      <c r="D2259">
        <v>9517</v>
      </c>
      <c r="E2259" s="1"/>
      <c r="F2259" s="1" t="s">
        <v>302</v>
      </c>
      <c r="G2259">
        <v>2008</v>
      </c>
      <c r="H2259">
        <v>78901</v>
      </c>
      <c r="I2259">
        <v>12</v>
      </c>
      <c r="J2259" s="1"/>
      <c r="K2259">
        <v>0</v>
      </c>
      <c r="L2259">
        <v>784</v>
      </c>
      <c r="M2259">
        <v>100.626195</v>
      </c>
      <c r="N2259">
        <v>1</v>
      </c>
      <c r="O2259" s="1" t="s">
        <v>562</v>
      </c>
      <c r="P2259">
        <v>90696.93</v>
      </c>
      <c r="Q2259">
        <v>16778.93</v>
      </c>
      <c r="R2259">
        <v>0</v>
      </c>
      <c r="S2259" s="1"/>
      <c r="T2259" s="1"/>
      <c r="U2259">
        <v>78901</v>
      </c>
      <c r="V2259">
        <v>0</v>
      </c>
      <c r="W2259">
        <v>74426</v>
      </c>
    </row>
    <row r="2260" spans="1:23" x14ac:dyDescent="0.25">
      <c r="A2260" s="1" t="s">
        <v>33</v>
      </c>
      <c r="B2260" s="1" t="s">
        <v>72</v>
      </c>
      <c r="C2260" s="1" t="s">
        <v>172</v>
      </c>
      <c r="D2260">
        <v>5300</v>
      </c>
      <c r="E2260" s="1"/>
      <c r="F2260" s="1" t="s">
        <v>303</v>
      </c>
      <c r="G2260">
        <v>2015</v>
      </c>
      <c r="H2260">
        <v>436460</v>
      </c>
      <c r="I2260">
        <v>5</v>
      </c>
      <c r="J2260" s="1" t="s">
        <v>393</v>
      </c>
      <c r="K2260">
        <v>0</v>
      </c>
      <c r="L2260">
        <v>7375</v>
      </c>
      <c r="M2260">
        <v>59.180213999999999</v>
      </c>
      <c r="N2260">
        <v>1</v>
      </c>
      <c r="O2260" s="1" t="s">
        <v>562</v>
      </c>
      <c r="P2260">
        <v>518071.96</v>
      </c>
      <c r="Q2260">
        <v>95843312.599999994</v>
      </c>
      <c r="R2260">
        <v>0</v>
      </c>
      <c r="S2260" s="1" t="s">
        <v>825</v>
      </c>
      <c r="T2260" s="1"/>
      <c r="U2260">
        <v>436460</v>
      </c>
      <c r="V2260">
        <v>0</v>
      </c>
      <c r="W2260">
        <v>56974</v>
      </c>
    </row>
    <row r="2261" spans="1:23" x14ac:dyDescent="0.25">
      <c r="A2261" s="1" t="s">
        <v>33</v>
      </c>
      <c r="B2261" s="1" t="s">
        <v>72</v>
      </c>
      <c r="C2261" s="1" t="s">
        <v>172</v>
      </c>
      <c r="D2261">
        <v>5300</v>
      </c>
      <c r="E2261" s="1"/>
      <c r="F2261" s="1" t="s">
        <v>303</v>
      </c>
      <c r="G2261">
        <v>2015</v>
      </c>
      <c r="H2261">
        <v>564795.81999999995</v>
      </c>
      <c r="I2261">
        <v>5</v>
      </c>
      <c r="J2261" s="1" t="s">
        <v>393</v>
      </c>
      <c r="K2261">
        <v>0</v>
      </c>
      <c r="L2261">
        <v>7375</v>
      </c>
      <c r="M2261">
        <v>76.581445000000002</v>
      </c>
      <c r="N2261">
        <v>1</v>
      </c>
      <c r="O2261" s="1" t="s">
        <v>563</v>
      </c>
      <c r="P2261">
        <v>641893.48</v>
      </c>
      <c r="Q2261">
        <v>3403562.45</v>
      </c>
      <c r="R2261">
        <v>1</v>
      </c>
      <c r="S2261" s="1" t="s">
        <v>825</v>
      </c>
      <c r="T2261" s="1"/>
      <c r="U2261">
        <v>16187.9</v>
      </c>
      <c r="V2261">
        <v>0</v>
      </c>
      <c r="W2261">
        <v>56990</v>
      </c>
    </row>
    <row r="2262" spans="1:23" x14ac:dyDescent="0.25">
      <c r="A2262" s="1" t="s">
        <v>33</v>
      </c>
      <c r="B2262" s="1" t="s">
        <v>72</v>
      </c>
      <c r="C2262" s="1" t="s">
        <v>172</v>
      </c>
      <c r="D2262">
        <v>5300</v>
      </c>
      <c r="E2262" s="1"/>
      <c r="F2262" s="1" t="s">
        <v>303</v>
      </c>
      <c r="G2262">
        <v>2014</v>
      </c>
      <c r="H2262">
        <v>790621</v>
      </c>
      <c r="I2262">
        <v>12</v>
      </c>
      <c r="J2262" s="1" t="s">
        <v>393</v>
      </c>
      <c r="K2262">
        <v>0</v>
      </c>
      <c r="L2262">
        <v>7375</v>
      </c>
      <c r="M2262">
        <v>107.201393</v>
      </c>
      <c r="N2262">
        <v>1</v>
      </c>
      <c r="O2262" s="1" t="s">
        <v>562</v>
      </c>
      <c r="P2262">
        <v>1012676.02</v>
      </c>
      <c r="Q2262">
        <v>75126657.980000004</v>
      </c>
      <c r="R2262">
        <v>0</v>
      </c>
      <c r="S2262" s="1" t="s">
        <v>825</v>
      </c>
      <c r="T2262" s="1"/>
      <c r="U2262">
        <v>790620.99985999998</v>
      </c>
      <c r="V2262">
        <v>0</v>
      </c>
      <c r="W2262">
        <v>56974</v>
      </c>
    </row>
    <row r="2263" spans="1:23" x14ac:dyDescent="0.25">
      <c r="A2263" s="1" t="s">
        <v>33</v>
      </c>
      <c r="B2263" s="1" t="s">
        <v>72</v>
      </c>
      <c r="C2263" s="1" t="s">
        <v>172</v>
      </c>
      <c r="D2263">
        <v>5300</v>
      </c>
      <c r="E2263" s="1"/>
      <c r="F2263" s="1" t="s">
        <v>303</v>
      </c>
      <c r="G2263">
        <v>2014</v>
      </c>
      <c r="H2263">
        <v>900828.41</v>
      </c>
      <c r="I2263">
        <v>12</v>
      </c>
      <c r="J2263" s="1" t="s">
        <v>393</v>
      </c>
      <c r="K2263">
        <v>0</v>
      </c>
      <c r="L2263">
        <v>7375</v>
      </c>
      <c r="M2263">
        <v>122.14456800000001</v>
      </c>
      <c r="N2263">
        <v>1</v>
      </c>
      <c r="O2263" s="1" t="s">
        <v>563</v>
      </c>
      <c r="P2263">
        <v>1083814.53</v>
      </c>
      <c r="Q2263">
        <v>2419247.46</v>
      </c>
      <c r="R2263">
        <v>1</v>
      </c>
      <c r="S2263" s="1" t="s">
        <v>825</v>
      </c>
      <c r="T2263" s="1"/>
      <c r="U2263">
        <v>25819.1</v>
      </c>
      <c r="V2263">
        <v>0</v>
      </c>
      <c r="W2263">
        <v>56990</v>
      </c>
    </row>
    <row r="2264" spans="1:23" x14ac:dyDescent="0.25">
      <c r="A2264" s="1" t="s">
        <v>33</v>
      </c>
      <c r="B2264" s="1" t="s">
        <v>72</v>
      </c>
      <c r="C2264" s="1" t="s">
        <v>172</v>
      </c>
      <c r="D2264">
        <v>5300</v>
      </c>
      <c r="E2264" s="1"/>
      <c r="F2264" s="1" t="s">
        <v>303</v>
      </c>
      <c r="G2264">
        <v>2013</v>
      </c>
      <c r="H2264">
        <v>845445</v>
      </c>
      <c r="I2264">
        <v>12</v>
      </c>
      <c r="J2264" s="1" t="s">
        <v>393</v>
      </c>
      <c r="K2264">
        <v>0</v>
      </c>
      <c r="L2264">
        <v>7375</v>
      </c>
      <c r="M2264">
        <v>114.63505499999999</v>
      </c>
      <c r="N2264">
        <v>1</v>
      </c>
      <c r="O2264" s="1" t="s">
        <v>562</v>
      </c>
      <c r="P2264">
        <v>905629.67</v>
      </c>
      <c r="Q2264">
        <v>167541.49</v>
      </c>
      <c r="R2264">
        <v>0</v>
      </c>
      <c r="S2264" s="1" t="s">
        <v>825</v>
      </c>
      <c r="T2264" s="1"/>
      <c r="U2264">
        <v>845445</v>
      </c>
      <c r="V2264">
        <v>0</v>
      </c>
      <c r="W2264">
        <v>56974</v>
      </c>
    </row>
    <row r="2265" spans="1:23" x14ac:dyDescent="0.25">
      <c r="A2265" s="1" t="s">
        <v>33</v>
      </c>
      <c r="B2265" s="1" t="s">
        <v>72</v>
      </c>
      <c r="C2265" s="1" t="s">
        <v>172</v>
      </c>
      <c r="D2265">
        <v>5300</v>
      </c>
      <c r="E2265" s="1"/>
      <c r="F2265" s="1" t="s">
        <v>303</v>
      </c>
      <c r="G2265">
        <v>2013</v>
      </c>
      <c r="H2265">
        <v>854351.42</v>
      </c>
      <c r="I2265">
        <v>12</v>
      </c>
      <c r="J2265" s="1" t="s">
        <v>393</v>
      </c>
      <c r="K2265">
        <v>0</v>
      </c>
      <c r="L2265">
        <v>7375</v>
      </c>
      <c r="M2265">
        <v>115.84268899999999</v>
      </c>
      <c r="N2265">
        <v>1</v>
      </c>
      <c r="O2265" s="1" t="s">
        <v>563</v>
      </c>
      <c r="P2265">
        <v>898785.13</v>
      </c>
      <c r="Q2265">
        <v>4765.6899999999996</v>
      </c>
      <c r="R2265">
        <v>1</v>
      </c>
      <c r="S2265" s="1" t="s">
        <v>825</v>
      </c>
      <c r="T2265" s="1"/>
      <c r="U2265">
        <v>24487</v>
      </c>
      <c r="V2265">
        <v>0</v>
      </c>
      <c r="W2265">
        <v>56990</v>
      </c>
    </row>
    <row r="2266" spans="1:23" x14ac:dyDescent="0.25">
      <c r="A2266" s="1" t="s">
        <v>33</v>
      </c>
      <c r="B2266" s="1" t="s">
        <v>72</v>
      </c>
      <c r="C2266" s="1" t="s">
        <v>172</v>
      </c>
      <c r="D2266">
        <v>5300</v>
      </c>
      <c r="E2266" s="1"/>
      <c r="F2266" s="1" t="s">
        <v>303</v>
      </c>
      <c r="G2266">
        <v>2012</v>
      </c>
      <c r="H2266">
        <v>1042673.7</v>
      </c>
      <c r="I2266">
        <v>12</v>
      </c>
      <c r="J2266" s="1" t="s">
        <v>393</v>
      </c>
      <c r="K2266">
        <v>0</v>
      </c>
      <c r="L2266">
        <v>7375</v>
      </c>
      <c r="M2266">
        <v>141.377567</v>
      </c>
      <c r="N2266">
        <v>1</v>
      </c>
      <c r="O2266" s="1" t="s">
        <v>563</v>
      </c>
      <c r="P2266">
        <v>1117780.17</v>
      </c>
      <c r="Q2266">
        <v>5926.9</v>
      </c>
      <c r="R2266">
        <v>1</v>
      </c>
      <c r="S2266" s="1" t="s">
        <v>825</v>
      </c>
      <c r="T2266" s="1"/>
      <c r="U2266">
        <v>29884.6</v>
      </c>
      <c r="V2266">
        <v>0</v>
      </c>
      <c r="W2266">
        <v>56990</v>
      </c>
    </row>
    <row r="2267" spans="1:23" x14ac:dyDescent="0.25">
      <c r="A2267" s="1" t="s">
        <v>33</v>
      </c>
      <c r="B2267" s="1" t="s">
        <v>72</v>
      </c>
      <c r="C2267" s="1" t="s">
        <v>172</v>
      </c>
      <c r="D2267">
        <v>5300</v>
      </c>
      <c r="E2267" s="1"/>
      <c r="F2267" s="1" t="s">
        <v>303</v>
      </c>
      <c r="G2267">
        <v>2012</v>
      </c>
      <c r="H2267">
        <v>875725</v>
      </c>
      <c r="I2267">
        <v>12</v>
      </c>
      <c r="J2267" s="1" t="s">
        <v>393</v>
      </c>
      <c r="K2267">
        <v>0</v>
      </c>
      <c r="L2267">
        <v>7375</v>
      </c>
      <c r="M2267">
        <v>118.740762</v>
      </c>
      <c r="N2267">
        <v>1</v>
      </c>
      <c r="O2267" s="1" t="s">
        <v>562</v>
      </c>
      <c r="P2267">
        <v>946438.51</v>
      </c>
      <c r="Q2267">
        <v>175091.1</v>
      </c>
      <c r="R2267">
        <v>0</v>
      </c>
      <c r="S2267" s="1" t="s">
        <v>825</v>
      </c>
      <c r="T2267" s="1"/>
      <c r="U2267">
        <v>875725</v>
      </c>
      <c r="V2267">
        <v>0</v>
      </c>
      <c r="W2267">
        <v>56974</v>
      </c>
    </row>
    <row r="2268" spans="1:23" x14ac:dyDescent="0.25">
      <c r="A2268" s="1" t="s">
        <v>33</v>
      </c>
      <c r="B2268" s="1" t="s">
        <v>72</v>
      </c>
      <c r="C2268" s="1" t="s">
        <v>172</v>
      </c>
      <c r="D2268">
        <v>5300</v>
      </c>
      <c r="E2268" s="1"/>
      <c r="F2268" s="1" t="s">
        <v>303</v>
      </c>
      <c r="G2268">
        <v>2011</v>
      </c>
      <c r="H2268">
        <v>1041190.88</v>
      </c>
      <c r="I2268">
        <v>12</v>
      </c>
      <c r="J2268" s="1" t="s">
        <v>393</v>
      </c>
      <c r="K2268">
        <v>0</v>
      </c>
      <c r="L2268">
        <v>7375</v>
      </c>
      <c r="M2268">
        <v>141.17651000000001</v>
      </c>
      <c r="N2268">
        <v>1</v>
      </c>
      <c r="O2268" s="1" t="s">
        <v>563</v>
      </c>
      <c r="P2268">
        <v>1153637.7</v>
      </c>
      <c r="Q2268">
        <v>6117.04</v>
      </c>
      <c r="R2268">
        <v>1</v>
      </c>
      <c r="S2268" s="1" t="s">
        <v>825</v>
      </c>
      <c r="T2268" s="1"/>
      <c r="U2268">
        <v>29842.1001</v>
      </c>
      <c r="V2268">
        <v>0</v>
      </c>
      <c r="W2268">
        <v>56990</v>
      </c>
    </row>
    <row r="2269" spans="1:23" x14ac:dyDescent="0.25">
      <c r="A2269" s="1" t="s">
        <v>33</v>
      </c>
      <c r="B2269" s="1" t="s">
        <v>72</v>
      </c>
      <c r="C2269" s="1" t="s">
        <v>172</v>
      </c>
      <c r="D2269">
        <v>5300</v>
      </c>
      <c r="E2269" s="1"/>
      <c r="F2269" s="1" t="s">
        <v>303</v>
      </c>
      <c r="G2269">
        <v>2011</v>
      </c>
      <c r="H2269">
        <v>896780</v>
      </c>
      <c r="I2269">
        <v>12</v>
      </c>
      <c r="J2269" s="1" t="s">
        <v>393</v>
      </c>
      <c r="K2269">
        <v>0</v>
      </c>
      <c r="L2269">
        <v>7375</v>
      </c>
      <c r="M2269">
        <v>121.59563900000001</v>
      </c>
      <c r="N2269">
        <v>1</v>
      </c>
      <c r="O2269" s="1" t="s">
        <v>562</v>
      </c>
      <c r="P2269">
        <v>1019671.46</v>
      </c>
      <c r="Q2269">
        <v>188639.21</v>
      </c>
      <c r="R2269">
        <v>0</v>
      </c>
      <c r="S2269" s="1" t="s">
        <v>825</v>
      </c>
      <c r="T2269" s="1"/>
      <c r="U2269">
        <v>896779.99199999997</v>
      </c>
      <c r="V2269">
        <v>0</v>
      </c>
      <c r="W2269">
        <v>56974</v>
      </c>
    </row>
    <row r="2270" spans="1:23" x14ac:dyDescent="0.25">
      <c r="A2270" s="1" t="s">
        <v>33</v>
      </c>
      <c r="B2270" s="1" t="s">
        <v>72</v>
      </c>
      <c r="C2270" s="1" t="s">
        <v>172</v>
      </c>
      <c r="D2270">
        <v>5300</v>
      </c>
      <c r="E2270" s="1"/>
      <c r="F2270" s="1" t="s">
        <v>303</v>
      </c>
      <c r="G2270">
        <v>2010</v>
      </c>
      <c r="H2270">
        <v>1173849.6299999999</v>
      </c>
      <c r="I2270">
        <v>12</v>
      </c>
      <c r="J2270" s="1" t="s">
        <v>393</v>
      </c>
      <c r="K2270">
        <v>0</v>
      </c>
      <c r="L2270">
        <v>7375</v>
      </c>
      <c r="M2270">
        <v>159.163893</v>
      </c>
      <c r="N2270">
        <v>1</v>
      </c>
      <c r="O2270" s="1" t="s">
        <v>563</v>
      </c>
      <c r="P2270">
        <v>1050972.77</v>
      </c>
      <c r="Q2270">
        <v>5572.65</v>
      </c>
      <c r="R2270">
        <v>1</v>
      </c>
      <c r="S2270" s="1" t="s">
        <v>825</v>
      </c>
      <c r="T2270" s="1"/>
      <c r="U2270">
        <v>33644.300000000003</v>
      </c>
      <c r="V2270">
        <v>0</v>
      </c>
      <c r="W2270">
        <v>56990</v>
      </c>
    </row>
    <row r="2271" spans="1:23" x14ac:dyDescent="0.25">
      <c r="A2271" s="1" t="s">
        <v>33</v>
      </c>
      <c r="B2271" s="1" t="s">
        <v>72</v>
      </c>
      <c r="C2271" s="1" t="s">
        <v>172</v>
      </c>
      <c r="D2271">
        <v>5300</v>
      </c>
      <c r="E2271" s="1"/>
      <c r="F2271" s="1" t="s">
        <v>303</v>
      </c>
      <c r="G2271">
        <v>2010</v>
      </c>
      <c r="H2271">
        <v>1026830.01</v>
      </c>
      <c r="I2271">
        <v>12</v>
      </c>
      <c r="J2271" s="1" t="s">
        <v>393</v>
      </c>
      <c r="K2271">
        <v>0</v>
      </c>
      <c r="L2271">
        <v>7375</v>
      </c>
      <c r="M2271">
        <v>139.229299</v>
      </c>
      <c r="N2271">
        <v>1</v>
      </c>
      <c r="O2271" s="1" t="s">
        <v>562</v>
      </c>
      <c r="P2271">
        <v>897174.01</v>
      </c>
      <c r="Q2271">
        <v>165977.18</v>
      </c>
      <c r="R2271">
        <v>0</v>
      </c>
      <c r="S2271" s="1" t="s">
        <v>825</v>
      </c>
      <c r="T2271" s="1"/>
      <c r="U2271">
        <v>1026830.01</v>
      </c>
      <c r="V2271">
        <v>0</v>
      </c>
      <c r="W2271">
        <v>56974</v>
      </c>
    </row>
    <row r="2272" spans="1:23" x14ac:dyDescent="0.25">
      <c r="A2272" s="1" t="s">
        <v>33</v>
      </c>
      <c r="B2272" s="1" t="s">
        <v>72</v>
      </c>
      <c r="C2272" s="1" t="s">
        <v>172</v>
      </c>
      <c r="D2272">
        <v>5300</v>
      </c>
      <c r="E2272" s="1"/>
      <c r="F2272" s="1" t="s">
        <v>303</v>
      </c>
      <c r="G2272">
        <v>2009</v>
      </c>
      <c r="H2272">
        <v>887170</v>
      </c>
      <c r="I2272">
        <v>12</v>
      </c>
      <c r="J2272" s="1" t="s">
        <v>393</v>
      </c>
      <c r="K2272">
        <v>0</v>
      </c>
      <c r="L2272">
        <v>7375</v>
      </c>
      <c r="M2272">
        <v>120.29260600000001</v>
      </c>
      <c r="N2272">
        <v>1</v>
      </c>
      <c r="O2272" s="1" t="s">
        <v>562</v>
      </c>
      <c r="P2272">
        <v>966438</v>
      </c>
      <c r="Q2272">
        <v>178791.05</v>
      </c>
      <c r="R2272">
        <v>0</v>
      </c>
      <c r="S2272" s="1" t="s">
        <v>825</v>
      </c>
      <c r="T2272" s="1"/>
      <c r="U2272">
        <v>887170</v>
      </c>
      <c r="V2272">
        <v>0</v>
      </c>
      <c r="W2272">
        <v>56974</v>
      </c>
    </row>
    <row r="2273" spans="1:23" x14ac:dyDescent="0.25">
      <c r="A2273" s="1" t="s">
        <v>33</v>
      </c>
      <c r="B2273" s="1" t="s">
        <v>72</v>
      </c>
      <c r="C2273" s="1" t="s">
        <v>172</v>
      </c>
      <c r="D2273">
        <v>5300</v>
      </c>
      <c r="E2273" s="1"/>
      <c r="F2273" s="1" t="s">
        <v>303</v>
      </c>
      <c r="G2273">
        <v>2009</v>
      </c>
      <c r="H2273">
        <v>923810.46</v>
      </c>
      <c r="I2273">
        <v>12</v>
      </c>
      <c r="J2273" s="1" t="s">
        <v>393</v>
      </c>
      <c r="K2273">
        <v>0</v>
      </c>
      <c r="L2273">
        <v>7375</v>
      </c>
      <c r="M2273">
        <v>125.26073599999999</v>
      </c>
      <c r="N2273">
        <v>1</v>
      </c>
      <c r="O2273" s="1" t="s">
        <v>563</v>
      </c>
      <c r="P2273">
        <v>986834.73</v>
      </c>
      <c r="Q2273">
        <v>5232.57</v>
      </c>
      <c r="R2273">
        <v>1</v>
      </c>
      <c r="S2273" s="1" t="s">
        <v>825</v>
      </c>
      <c r="T2273" s="1"/>
      <c r="U2273">
        <v>26477.8</v>
      </c>
      <c r="V2273">
        <v>0</v>
      </c>
      <c r="W2273">
        <v>56990</v>
      </c>
    </row>
    <row r="2274" spans="1:23" x14ac:dyDescent="0.25">
      <c r="A2274" s="1" t="s">
        <v>33</v>
      </c>
      <c r="B2274" s="1" t="s">
        <v>72</v>
      </c>
      <c r="C2274" s="1" t="s">
        <v>172</v>
      </c>
      <c r="D2274">
        <v>5300</v>
      </c>
      <c r="E2274" s="1"/>
      <c r="F2274" s="1" t="s">
        <v>303</v>
      </c>
      <c r="G2274">
        <v>2008</v>
      </c>
      <c r="H2274">
        <v>902398.47</v>
      </c>
      <c r="I2274">
        <v>12</v>
      </c>
      <c r="J2274" s="1" t="s">
        <v>393</v>
      </c>
      <c r="K2274">
        <v>0</v>
      </c>
      <c r="L2274">
        <v>7375</v>
      </c>
      <c r="M2274">
        <v>122.357455</v>
      </c>
      <c r="N2274">
        <v>1</v>
      </c>
      <c r="O2274" s="1" t="s">
        <v>563</v>
      </c>
      <c r="P2274">
        <v>1079800.6100000001</v>
      </c>
      <c r="Q2274">
        <v>5725.52</v>
      </c>
      <c r="R2274">
        <v>1</v>
      </c>
      <c r="S2274" s="1" t="s">
        <v>825</v>
      </c>
      <c r="T2274" s="1"/>
      <c r="U2274">
        <v>25864.1</v>
      </c>
      <c r="V2274">
        <v>0</v>
      </c>
      <c r="W2274">
        <v>56990</v>
      </c>
    </row>
    <row r="2275" spans="1:23" x14ac:dyDescent="0.25">
      <c r="A2275" s="1" t="s">
        <v>33</v>
      </c>
      <c r="B2275" s="1" t="s">
        <v>72</v>
      </c>
      <c r="C2275" s="1" t="s">
        <v>172</v>
      </c>
      <c r="D2275">
        <v>5300</v>
      </c>
      <c r="E2275" s="1"/>
      <c r="F2275" s="1" t="s">
        <v>303</v>
      </c>
      <c r="G2275">
        <v>2008</v>
      </c>
      <c r="H2275">
        <v>842660</v>
      </c>
      <c r="I2275">
        <v>12</v>
      </c>
      <c r="J2275" s="1" t="s">
        <v>393</v>
      </c>
      <c r="K2275">
        <v>0</v>
      </c>
      <c r="L2275">
        <v>7375</v>
      </c>
      <c r="M2275">
        <v>114.25743300000001</v>
      </c>
      <c r="N2275">
        <v>1</v>
      </c>
      <c r="O2275" s="1" t="s">
        <v>562</v>
      </c>
      <c r="P2275">
        <v>1018025.54</v>
      </c>
      <c r="Q2275">
        <v>188334.74</v>
      </c>
      <c r="R2275">
        <v>0</v>
      </c>
      <c r="S2275" s="1" t="s">
        <v>825</v>
      </c>
      <c r="T2275" s="1"/>
      <c r="U2275">
        <v>842659.99699999997</v>
      </c>
      <c r="V2275">
        <v>0</v>
      </c>
      <c r="W2275">
        <v>56974</v>
      </c>
    </row>
    <row r="2276" spans="1:23" x14ac:dyDescent="0.25">
      <c r="A2276" s="1" t="s">
        <v>33</v>
      </c>
      <c r="B2276" s="1"/>
      <c r="C2276" s="1" t="s">
        <v>173</v>
      </c>
      <c r="D2276">
        <v>5271</v>
      </c>
      <c r="E2276" s="1"/>
      <c r="F2276" s="1" t="s">
        <v>173</v>
      </c>
      <c r="G2276">
        <v>2015</v>
      </c>
      <c r="H2276">
        <v>6178</v>
      </c>
      <c r="I2276">
        <v>5</v>
      </c>
      <c r="J2276" s="1" t="s">
        <v>402</v>
      </c>
      <c r="K2276">
        <v>0</v>
      </c>
      <c r="L2276">
        <v>255</v>
      </c>
      <c r="M2276">
        <v>24.217953000000001</v>
      </c>
      <c r="N2276">
        <v>1</v>
      </c>
      <c r="O2276" s="1" t="s">
        <v>562</v>
      </c>
      <c r="P2276">
        <v>7066.08</v>
      </c>
      <c r="Q2276">
        <v>1307224.8</v>
      </c>
      <c r="R2276">
        <v>0</v>
      </c>
      <c r="S2276" s="1" t="s">
        <v>826</v>
      </c>
      <c r="T2276" s="1"/>
      <c r="U2276">
        <v>6178</v>
      </c>
      <c r="V2276">
        <v>0</v>
      </c>
      <c r="W2276">
        <v>56831</v>
      </c>
    </row>
    <row r="2277" spans="1:23" x14ac:dyDescent="0.25">
      <c r="A2277" s="1" t="s">
        <v>33</v>
      </c>
      <c r="B2277" s="1"/>
      <c r="C2277" s="1" t="s">
        <v>173</v>
      </c>
      <c r="D2277">
        <v>5271</v>
      </c>
      <c r="E2277" s="1"/>
      <c r="F2277" s="1" t="s">
        <v>173</v>
      </c>
      <c r="G2277">
        <v>2015</v>
      </c>
      <c r="H2277">
        <v>9221.7800000000007</v>
      </c>
      <c r="I2277">
        <v>5</v>
      </c>
      <c r="J2277" s="1" t="s">
        <v>402</v>
      </c>
      <c r="K2277">
        <v>0</v>
      </c>
      <c r="L2277">
        <v>255</v>
      </c>
      <c r="M2277">
        <v>36.149666000000003</v>
      </c>
      <c r="N2277">
        <v>1</v>
      </c>
      <c r="O2277" s="1" t="s">
        <v>563</v>
      </c>
      <c r="P2277">
        <v>10476.469999999999</v>
      </c>
      <c r="Q2277">
        <v>55550.22</v>
      </c>
      <c r="R2277">
        <v>1</v>
      </c>
      <c r="S2277" s="1" t="s">
        <v>826</v>
      </c>
      <c r="T2277" s="1"/>
      <c r="U2277">
        <v>264.31</v>
      </c>
      <c r="V2277">
        <v>0</v>
      </c>
      <c r="W2277">
        <v>58278</v>
      </c>
    </row>
    <row r="2278" spans="1:23" x14ac:dyDescent="0.25">
      <c r="A2278" s="1" t="s">
        <v>33</v>
      </c>
      <c r="B2278" s="1"/>
      <c r="C2278" s="1" t="s">
        <v>173</v>
      </c>
      <c r="D2278">
        <v>5271</v>
      </c>
      <c r="E2278" s="1"/>
      <c r="F2278" s="1" t="s">
        <v>173</v>
      </c>
      <c r="G2278">
        <v>2014</v>
      </c>
      <c r="H2278">
        <v>9700</v>
      </c>
      <c r="I2278">
        <v>12</v>
      </c>
      <c r="J2278" s="1" t="s">
        <v>402</v>
      </c>
      <c r="K2278">
        <v>0</v>
      </c>
      <c r="L2278">
        <v>255</v>
      </c>
      <c r="M2278">
        <v>38.024304000000001</v>
      </c>
      <c r="N2278">
        <v>1</v>
      </c>
      <c r="O2278" s="1" t="s">
        <v>562</v>
      </c>
      <c r="P2278">
        <v>11899.11</v>
      </c>
      <c r="Q2278">
        <v>725648.57</v>
      </c>
      <c r="R2278">
        <v>0</v>
      </c>
      <c r="S2278" s="1" t="s">
        <v>826</v>
      </c>
      <c r="T2278" s="1"/>
      <c r="U2278">
        <v>9700</v>
      </c>
      <c r="V2278">
        <v>0</v>
      </c>
      <c r="W2278">
        <v>56831</v>
      </c>
    </row>
    <row r="2279" spans="1:23" x14ac:dyDescent="0.25">
      <c r="A2279" s="1" t="s">
        <v>33</v>
      </c>
      <c r="B2279" s="1"/>
      <c r="C2279" s="1" t="s">
        <v>173</v>
      </c>
      <c r="D2279">
        <v>5271</v>
      </c>
      <c r="E2279" s="1"/>
      <c r="F2279" s="1" t="s">
        <v>173</v>
      </c>
      <c r="G2279">
        <v>2014</v>
      </c>
      <c r="H2279">
        <v>14606.7</v>
      </c>
      <c r="I2279">
        <v>12</v>
      </c>
      <c r="J2279" s="1" t="s">
        <v>402</v>
      </c>
      <c r="K2279">
        <v>0</v>
      </c>
      <c r="L2279">
        <v>255</v>
      </c>
      <c r="M2279">
        <v>57.258721999999999</v>
      </c>
      <c r="N2279">
        <v>1</v>
      </c>
      <c r="O2279" s="1" t="s">
        <v>563</v>
      </c>
      <c r="P2279">
        <v>17737.07</v>
      </c>
      <c r="Q2279">
        <v>39649.589999999997</v>
      </c>
      <c r="R2279">
        <v>1</v>
      </c>
      <c r="S2279" s="1" t="s">
        <v>826</v>
      </c>
      <c r="T2279" s="1"/>
      <c r="U2279">
        <v>418.65</v>
      </c>
      <c r="V2279">
        <v>0</v>
      </c>
      <c r="W2279">
        <v>58278</v>
      </c>
    </row>
    <row r="2280" spans="1:23" x14ac:dyDescent="0.25">
      <c r="A2280" s="1" t="s">
        <v>33</v>
      </c>
      <c r="B2280" s="1"/>
      <c r="C2280" s="1" t="s">
        <v>173</v>
      </c>
      <c r="D2280">
        <v>5271</v>
      </c>
      <c r="E2280" s="1"/>
      <c r="F2280" s="1" t="s">
        <v>173</v>
      </c>
      <c r="G2280">
        <v>2013</v>
      </c>
      <c r="H2280">
        <v>16583.22</v>
      </c>
      <c r="I2280">
        <v>12</v>
      </c>
      <c r="J2280" s="1" t="s">
        <v>402</v>
      </c>
      <c r="K2280">
        <v>0</v>
      </c>
      <c r="L2280">
        <v>255</v>
      </c>
      <c r="M2280">
        <v>65.006742000000003</v>
      </c>
      <c r="N2280">
        <v>1</v>
      </c>
      <c r="O2280" s="1" t="s">
        <v>563</v>
      </c>
      <c r="P2280">
        <v>18059.46</v>
      </c>
      <c r="Q2280">
        <v>95.78</v>
      </c>
      <c r="R2280">
        <v>1</v>
      </c>
      <c r="S2280" s="1" t="s">
        <v>826</v>
      </c>
      <c r="T2280" s="1"/>
      <c r="U2280">
        <v>475.3</v>
      </c>
      <c r="V2280">
        <v>0</v>
      </c>
      <c r="W2280">
        <v>58278</v>
      </c>
    </row>
    <row r="2281" spans="1:23" x14ac:dyDescent="0.25">
      <c r="A2281" s="1" t="s">
        <v>33</v>
      </c>
      <c r="B2281" s="1"/>
      <c r="C2281" s="1" t="s">
        <v>173</v>
      </c>
      <c r="D2281">
        <v>5271</v>
      </c>
      <c r="E2281" s="1"/>
      <c r="F2281" s="1" t="s">
        <v>173</v>
      </c>
      <c r="G2281">
        <v>2013</v>
      </c>
      <c r="H2281">
        <v>10795</v>
      </c>
      <c r="I2281">
        <v>12</v>
      </c>
      <c r="J2281" s="1" t="s">
        <v>402</v>
      </c>
      <c r="K2281">
        <v>0</v>
      </c>
      <c r="L2281">
        <v>255</v>
      </c>
      <c r="M2281">
        <v>42.316738000000001</v>
      </c>
      <c r="N2281">
        <v>1</v>
      </c>
      <c r="O2281" s="1" t="s">
        <v>562</v>
      </c>
      <c r="P2281">
        <v>11191.66</v>
      </c>
      <c r="Q2281">
        <v>2070.46</v>
      </c>
      <c r="R2281">
        <v>0</v>
      </c>
      <c r="S2281" s="1" t="s">
        <v>826</v>
      </c>
      <c r="T2281" s="1"/>
      <c r="U2281">
        <v>10795</v>
      </c>
      <c r="V2281">
        <v>0</v>
      </c>
      <c r="W2281">
        <v>56831</v>
      </c>
    </row>
    <row r="2282" spans="1:23" x14ac:dyDescent="0.25">
      <c r="A2282" s="1" t="s">
        <v>33</v>
      </c>
      <c r="B2282" s="1"/>
      <c r="C2282" s="1" t="s">
        <v>173</v>
      </c>
      <c r="D2282">
        <v>5271</v>
      </c>
      <c r="E2282" s="1"/>
      <c r="F2282" s="1" t="s">
        <v>173</v>
      </c>
      <c r="G2282">
        <v>2012</v>
      </c>
      <c r="H2282">
        <v>22175.02</v>
      </c>
      <c r="I2282">
        <v>12</v>
      </c>
      <c r="J2282" s="1" t="s">
        <v>402</v>
      </c>
      <c r="K2282">
        <v>0</v>
      </c>
      <c r="L2282">
        <v>255</v>
      </c>
      <c r="M2282">
        <v>86.926772999999997</v>
      </c>
      <c r="N2282">
        <v>1</v>
      </c>
      <c r="O2282" s="1" t="s">
        <v>563</v>
      </c>
      <c r="P2282">
        <v>23652</v>
      </c>
      <c r="Q2282">
        <v>125.41</v>
      </c>
      <c r="R2282">
        <v>1</v>
      </c>
      <c r="S2282" s="1" t="s">
        <v>826</v>
      </c>
      <c r="T2282" s="1"/>
      <c r="U2282">
        <v>635.57000000000005</v>
      </c>
      <c r="V2282">
        <v>0</v>
      </c>
      <c r="W2282">
        <v>58278</v>
      </c>
    </row>
    <row r="2283" spans="1:23" x14ac:dyDescent="0.25">
      <c r="A2283" s="1" t="s">
        <v>33</v>
      </c>
      <c r="B2283" s="1"/>
      <c r="C2283" s="1" t="s">
        <v>173</v>
      </c>
      <c r="D2283">
        <v>5271</v>
      </c>
      <c r="E2283" s="1"/>
      <c r="F2283" s="1" t="s">
        <v>173</v>
      </c>
      <c r="G2283">
        <v>2012</v>
      </c>
      <c r="H2283">
        <v>14606</v>
      </c>
      <c r="I2283">
        <v>12</v>
      </c>
      <c r="J2283" s="1" t="s">
        <v>402</v>
      </c>
      <c r="K2283">
        <v>0</v>
      </c>
      <c r="L2283">
        <v>255</v>
      </c>
      <c r="M2283">
        <v>57.255977999999999</v>
      </c>
      <c r="N2283">
        <v>1</v>
      </c>
      <c r="O2283" s="1" t="s">
        <v>562</v>
      </c>
      <c r="P2283">
        <v>15795.3</v>
      </c>
      <c r="Q2283">
        <v>2922.13</v>
      </c>
      <c r="R2283">
        <v>0</v>
      </c>
      <c r="S2283" s="1" t="s">
        <v>826</v>
      </c>
      <c r="T2283" s="1"/>
      <c r="U2283">
        <v>14606</v>
      </c>
      <c r="V2283">
        <v>0</v>
      </c>
      <c r="W2283">
        <v>56831</v>
      </c>
    </row>
    <row r="2284" spans="1:23" x14ac:dyDescent="0.25">
      <c r="A2284" s="1" t="s">
        <v>33</v>
      </c>
      <c r="B2284" s="1"/>
      <c r="C2284" s="1" t="s">
        <v>173</v>
      </c>
      <c r="D2284">
        <v>5271</v>
      </c>
      <c r="E2284" s="1"/>
      <c r="F2284" s="1" t="s">
        <v>173</v>
      </c>
      <c r="G2284">
        <v>2011</v>
      </c>
      <c r="H2284">
        <v>13761</v>
      </c>
      <c r="I2284">
        <v>12</v>
      </c>
      <c r="J2284" s="1" t="s">
        <v>402</v>
      </c>
      <c r="K2284">
        <v>0</v>
      </c>
      <c r="L2284">
        <v>255</v>
      </c>
      <c r="M2284">
        <v>53.943550999999999</v>
      </c>
      <c r="N2284">
        <v>1</v>
      </c>
      <c r="O2284" s="1" t="s">
        <v>562</v>
      </c>
      <c r="P2284">
        <v>15833.37</v>
      </c>
      <c r="Q2284">
        <v>2929.16</v>
      </c>
      <c r="R2284">
        <v>0</v>
      </c>
      <c r="S2284" s="1" t="s">
        <v>826</v>
      </c>
      <c r="T2284" s="1"/>
      <c r="U2284">
        <v>13761</v>
      </c>
      <c r="V2284">
        <v>0</v>
      </c>
      <c r="W2284">
        <v>56831</v>
      </c>
    </row>
    <row r="2285" spans="1:23" x14ac:dyDescent="0.25">
      <c r="A2285" s="1" t="s">
        <v>33</v>
      </c>
      <c r="B2285" s="1"/>
      <c r="C2285" s="1" t="s">
        <v>173</v>
      </c>
      <c r="D2285">
        <v>5271</v>
      </c>
      <c r="E2285" s="1"/>
      <c r="F2285" s="1" t="s">
        <v>173</v>
      </c>
      <c r="G2285">
        <v>2011</v>
      </c>
      <c r="H2285">
        <v>23829.5</v>
      </c>
      <c r="I2285">
        <v>12</v>
      </c>
      <c r="J2285" s="1" t="s">
        <v>402</v>
      </c>
      <c r="K2285">
        <v>0</v>
      </c>
      <c r="L2285">
        <v>255</v>
      </c>
      <c r="M2285">
        <v>93.412386999999995</v>
      </c>
      <c r="N2285">
        <v>1</v>
      </c>
      <c r="O2285" s="1" t="s">
        <v>563</v>
      </c>
      <c r="P2285">
        <v>27709.45</v>
      </c>
      <c r="Q2285">
        <v>146.94</v>
      </c>
      <c r="R2285">
        <v>1</v>
      </c>
      <c r="S2285" s="1" t="s">
        <v>826</v>
      </c>
      <c r="T2285" s="1"/>
      <c r="U2285">
        <v>682.99</v>
      </c>
      <c r="V2285">
        <v>0</v>
      </c>
      <c r="W2285">
        <v>58278</v>
      </c>
    </row>
    <row r="2286" spans="1:23" x14ac:dyDescent="0.25">
      <c r="A2286" s="1" t="s">
        <v>33</v>
      </c>
      <c r="B2286" s="1"/>
      <c r="C2286" s="1" t="s">
        <v>173</v>
      </c>
      <c r="D2286">
        <v>5271</v>
      </c>
      <c r="E2286" s="1"/>
      <c r="F2286" s="1" t="s">
        <v>173</v>
      </c>
      <c r="G2286">
        <v>2010</v>
      </c>
      <c r="H2286">
        <v>15504</v>
      </c>
      <c r="I2286">
        <v>12</v>
      </c>
      <c r="J2286" s="1" t="s">
        <v>402</v>
      </c>
      <c r="K2286">
        <v>0</v>
      </c>
      <c r="L2286">
        <v>255</v>
      </c>
      <c r="M2286">
        <v>60.776166000000003</v>
      </c>
      <c r="N2286">
        <v>1</v>
      </c>
      <c r="O2286" s="1" t="s">
        <v>562</v>
      </c>
      <c r="P2286">
        <v>13878.19</v>
      </c>
      <c r="Q2286">
        <v>2567.46</v>
      </c>
      <c r="R2286">
        <v>0</v>
      </c>
      <c r="S2286" s="1" t="s">
        <v>826</v>
      </c>
      <c r="T2286" s="1"/>
      <c r="U2286">
        <v>15504</v>
      </c>
      <c r="V2286">
        <v>0</v>
      </c>
      <c r="W2286">
        <v>56831</v>
      </c>
    </row>
    <row r="2287" spans="1:23" x14ac:dyDescent="0.25">
      <c r="A2287" s="1" t="s">
        <v>33</v>
      </c>
      <c r="B2287" s="1"/>
      <c r="C2287" s="1" t="s">
        <v>173</v>
      </c>
      <c r="D2287">
        <v>5271</v>
      </c>
      <c r="E2287" s="1"/>
      <c r="F2287" s="1" t="s">
        <v>173</v>
      </c>
      <c r="G2287">
        <v>2010</v>
      </c>
      <c r="H2287">
        <v>26041.88</v>
      </c>
      <c r="I2287">
        <v>12</v>
      </c>
      <c r="J2287" s="1" t="s">
        <v>402</v>
      </c>
      <c r="K2287">
        <v>0</v>
      </c>
      <c r="L2287">
        <v>255</v>
      </c>
      <c r="M2287">
        <v>102.084986</v>
      </c>
      <c r="N2287">
        <v>1</v>
      </c>
      <c r="O2287" s="1" t="s">
        <v>563</v>
      </c>
      <c r="P2287">
        <v>23871.35</v>
      </c>
      <c r="Q2287">
        <v>126.58</v>
      </c>
      <c r="R2287">
        <v>1</v>
      </c>
      <c r="S2287" s="1" t="s">
        <v>826</v>
      </c>
      <c r="T2287" s="1"/>
      <c r="U2287">
        <v>746.4</v>
      </c>
      <c r="V2287">
        <v>0</v>
      </c>
      <c r="W2287">
        <v>58278</v>
      </c>
    </row>
    <row r="2288" spans="1:23" x14ac:dyDescent="0.25">
      <c r="A2288" s="1" t="s">
        <v>33</v>
      </c>
      <c r="B2288" s="1"/>
      <c r="C2288" s="1" t="s">
        <v>173</v>
      </c>
      <c r="D2288">
        <v>5271</v>
      </c>
      <c r="E2288" s="1"/>
      <c r="F2288" s="1" t="s">
        <v>173</v>
      </c>
      <c r="G2288">
        <v>2009</v>
      </c>
      <c r="H2288">
        <v>23107.63</v>
      </c>
      <c r="I2288">
        <v>12</v>
      </c>
      <c r="J2288" s="1" t="s">
        <v>402</v>
      </c>
      <c r="K2288">
        <v>0</v>
      </c>
      <c r="L2288">
        <v>255</v>
      </c>
      <c r="M2288">
        <v>90.582633999999999</v>
      </c>
      <c r="N2288">
        <v>1</v>
      </c>
      <c r="O2288" s="1" t="s">
        <v>563</v>
      </c>
      <c r="P2288">
        <v>25665.66</v>
      </c>
      <c r="Q2288">
        <v>136.07</v>
      </c>
      <c r="R2288">
        <v>1</v>
      </c>
      <c r="S2288" s="1" t="s">
        <v>826</v>
      </c>
      <c r="T2288" s="1"/>
      <c r="U2288">
        <v>662.3</v>
      </c>
      <c r="V2288">
        <v>0</v>
      </c>
      <c r="W2288">
        <v>58278</v>
      </c>
    </row>
    <row r="2289" spans="1:23" x14ac:dyDescent="0.25">
      <c r="A2289" s="1" t="s">
        <v>33</v>
      </c>
      <c r="B2289" s="1"/>
      <c r="C2289" s="1" t="s">
        <v>173</v>
      </c>
      <c r="D2289">
        <v>5271</v>
      </c>
      <c r="E2289" s="1"/>
      <c r="F2289" s="1" t="s">
        <v>173</v>
      </c>
      <c r="G2289">
        <v>2009</v>
      </c>
      <c r="H2289">
        <v>17405</v>
      </c>
      <c r="I2289">
        <v>12</v>
      </c>
      <c r="J2289" s="1" t="s">
        <v>402</v>
      </c>
      <c r="K2289">
        <v>0</v>
      </c>
      <c r="L2289">
        <v>255</v>
      </c>
      <c r="M2289">
        <v>68.228144999999998</v>
      </c>
      <c r="N2289">
        <v>1</v>
      </c>
      <c r="O2289" s="1" t="s">
        <v>562</v>
      </c>
      <c r="P2289">
        <v>18833.810000000001</v>
      </c>
      <c r="Q2289">
        <v>3484.26</v>
      </c>
      <c r="R2289">
        <v>0</v>
      </c>
      <c r="S2289" s="1" t="s">
        <v>826</v>
      </c>
      <c r="T2289" s="1"/>
      <c r="U2289">
        <v>17405</v>
      </c>
      <c r="V2289">
        <v>0</v>
      </c>
      <c r="W2289">
        <v>56831</v>
      </c>
    </row>
    <row r="2290" spans="1:23" x14ac:dyDescent="0.25">
      <c r="A2290" s="1" t="s">
        <v>33</v>
      </c>
      <c r="B2290" s="1"/>
      <c r="C2290" s="1" t="s">
        <v>173</v>
      </c>
      <c r="D2290">
        <v>5271</v>
      </c>
      <c r="E2290" s="1"/>
      <c r="F2290" s="1" t="s">
        <v>173</v>
      </c>
      <c r="G2290">
        <v>2008</v>
      </c>
      <c r="H2290">
        <v>23192.43</v>
      </c>
      <c r="I2290">
        <v>12</v>
      </c>
      <c r="J2290" s="1" t="s">
        <v>402</v>
      </c>
      <c r="K2290">
        <v>0</v>
      </c>
      <c r="L2290">
        <v>255</v>
      </c>
      <c r="M2290">
        <v>90.915052000000003</v>
      </c>
      <c r="N2290">
        <v>1</v>
      </c>
      <c r="O2290" s="1" t="s">
        <v>563</v>
      </c>
      <c r="P2290">
        <v>27424.89</v>
      </c>
      <c r="Q2290">
        <v>145.41</v>
      </c>
      <c r="R2290">
        <v>1</v>
      </c>
      <c r="S2290" s="1" t="s">
        <v>826</v>
      </c>
      <c r="T2290" s="1"/>
      <c r="U2290">
        <v>664.73</v>
      </c>
      <c r="V2290">
        <v>0</v>
      </c>
      <c r="W2290">
        <v>58278</v>
      </c>
    </row>
    <row r="2291" spans="1:23" x14ac:dyDescent="0.25">
      <c r="A2291" s="1" t="s">
        <v>33</v>
      </c>
      <c r="B2291" s="1"/>
      <c r="C2291" s="1" t="s">
        <v>173</v>
      </c>
      <c r="D2291">
        <v>5271</v>
      </c>
      <c r="E2291" s="1"/>
      <c r="F2291" s="1" t="s">
        <v>173</v>
      </c>
      <c r="G2291">
        <v>2008</v>
      </c>
      <c r="H2291">
        <v>17628</v>
      </c>
      <c r="I2291">
        <v>12</v>
      </c>
      <c r="J2291" s="1" t="s">
        <v>402</v>
      </c>
      <c r="K2291">
        <v>0</v>
      </c>
      <c r="L2291">
        <v>255</v>
      </c>
      <c r="M2291">
        <v>69.102311999999998</v>
      </c>
      <c r="N2291">
        <v>1</v>
      </c>
      <c r="O2291" s="1" t="s">
        <v>562</v>
      </c>
      <c r="P2291">
        <v>20646.14</v>
      </c>
      <c r="Q2291">
        <v>3819.55</v>
      </c>
      <c r="R2291">
        <v>0</v>
      </c>
      <c r="S2291" s="1" t="s">
        <v>826</v>
      </c>
      <c r="T2291" s="1"/>
      <c r="U2291">
        <v>17628</v>
      </c>
      <c r="V2291">
        <v>0</v>
      </c>
      <c r="W2291">
        <v>56831</v>
      </c>
    </row>
    <row r="2292" spans="1:23" x14ac:dyDescent="0.25">
      <c r="A2292" s="1" t="s">
        <v>33</v>
      </c>
      <c r="B2292" s="1" t="s">
        <v>73</v>
      </c>
      <c r="C2292" s="1" t="s">
        <v>174</v>
      </c>
      <c r="D2292">
        <v>13660</v>
      </c>
      <c r="E2292" s="1"/>
      <c r="F2292" s="1" t="s">
        <v>304</v>
      </c>
      <c r="G2292">
        <v>2015</v>
      </c>
      <c r="H2292">
        <v>12816.03</v>
      </c>
      <c r="I2292">
        <v>5</v>
      </c>
      <c r="J2292" s="1" t="s">
        <v>442</v>
      </c>
      <c r="K2292">
        <v>0</v>
      </c>
      <c r="L2292">
        <v>532</v>
      </c>
      <c r="M2292">
        <v>24.085754000000001</v>
      </c>
      <c r="N2292">
        <v>1</v>
      </c>
      <c r="O2292" s="1" t="s">
        <v>565</v>
      </c>
      <c r="P2292">
        <v>14471.21</v>
      </c>
      <c r="Q2292">
        <v>926.16</v>
      </c>
      <c r="R2292">
        <v>1</v>
      </c>
      <c r="S2292" s="1" t="s">
        <v>827</v>
      </c>
      <c r="T2292" s="1"/>
      <c r="U2292">
        <v>12.81603</v>
      </c>
      <c r="V2292">
        <v>0</v>
      </c>
      <c r="W2292">
        <v>94331</v>
      </c>
    </row>
    <row r="2293" spans="1:23" x14ac:dyDescent="0.25">
      <c r="A2293" s="1" t="s">
        <v>33</v>
      </c>
      <c r="B2293" s="1" t="s">
        <v>73</v>
      </c>
      <c r="C2293" s="1" t="s">
        <v>174</v>
      </c>
      <c r="D2293">
        <v>13660</v>
      </c>
      <c r="E2293" s="1"/>
      <c r="F2293" s="1" t="s">
        <v>304</v>
      </c>
      <c r="G2293">
        <v>2015</v>
      </c>
      <c r="H2293">
        <v>32950.300000000003</v>
      </c>
      <c r="I2293">
        <v>5</v>
      </c>
      <c r="J2293" s="1" t="s">
        <v>442</v>
      </c>
      <c r="K2293">
        <v>0</v>
      </c>
      <c r="L2293">
        <v>532</v>
      </c>
      <c r="M2293">
        <v>61.925013999999997</v>
      </c>
      <c r="N2293">
        <v>1</v>
      </c>
      <c r="O2293" s="1" t="s">
        <v>565</v>
      </c>
      <c r="P2293">
        <v>37439.769999999997</v>
      </c>
      <c r="Q2293">
        <v>2396.14</v>
      </c>
      <c r="R2293">
        <v>1</v>
      </c>
      <c r="S2293" s="1" t="s">
        <v>828</v>
      </c>
      <c r="T2293" s="1"/>
      <c r="U2293">
        <v>32.950299999999999</v>
      </c>
      <c r="V2293">
        <v>0</v>
      </c>
      <c r="W2293">
        <v>94332</v>
      </c>
    </row>
    <row r="2294" spans="1:23" x14ac:dyDescent="0.25">
      <c r="A2294" s="1" t="s">
        <v>33</v>
      </c>
      <c r="B2294" s="1" t="s">
        <v>73</v>
      </c>
      <c r="C2294" s="1" t="s">
        <v>174</v>
      </c>
      <c r="D2294">
        <v>13660</v>
      </c>
      <c r="E2294" s="1"/>
      <c r="F2294" s="1" t="s">
        <v>304</v>
      </c>
      <c r="G2294">
        <v>2014</v>
      </c>
      <c r="H2294">
        <v>14643.66</v>
      </c>
      <c r="I2294">
        <v>11</v>
      </c>
      <c r="J2294" s="1" t="s">
        <v>442</v>
      </c>
      <c r="K2294">
        <v>0</v>
      </c>
      <c r="L2294">
        <v>532</v>
      </c>
      <c r="M2294">
        <v>27.520503000000001</v>
      </c>
      <c r="N2294">
        <v>1</v>
      </c>
      <c r="O2294" s="1" t="s">
        <v>565</v>
      </c>
      <c r="P2294">
        <v>17891.5</v>
      </c>
      <c r="Q2294">
        <v>1145.05</v>
      </c>
      <c r="R2294">
        <v>1</v>
      </c>
      <c r="S2294" s="1" t="s">
        <v>827</v>
      </c>
      <c r="T2294" s="1"/>
      <c r="U2294">
        <v>14.643660000000001</v>
      </c>
      <c r="V2294">
        <v>0</v>
      </c>
      <c r="W2294">
        <v>94331</v>
      </c>
    </row>
    <row r="2295" spans="1:23" x14ac:dyDescent="0.25">
      <c r="A2295" s="1" t="s">
        <v>33</v>
      </c>
      <c r="B2295" s="1" t="s">
        <v>73</v>
      </c>
      <c r="C2295" s="1" t="s">
        <v>174</v>
      </c>
      <c r="D2295">
        <v>13660</v>
      </c>
      <c r="E2295" s="1"/>
      <c r="F2295" s="1" t="s">
        <v>304</v>
      </c>
      <c r="G2295">
        <v>2014</v>
      </c>
      <c r="H2295">
        <v>43447.32</v>
      </c>
      <c r="I2295">
        <v>11</v>
      </c>
      <c r="J2295" s="1" t="s">
        <v>442</v>
      </c>
      <c r="K2295">
        <v>0</v>
      </c>
      <c r="L2295">
        <v>532</v>
      </c>
      <c r="M2295">
        <v>81.652546000000001</v>
      </c>
      <c r="N2295">
        <v>1</v>
      </c>
      <c r="O2295" s="1" t="s">
        <v>565</v>
      </c>
      <c r="P2295">
        <v>52816.87</v>
      </c>
      <c r="Q2295">
        <v>3380.29</v>
      </c>
      <c r="R2295">
        <v>1</v>
      </c>
      <c r="S2295" s="1" t="s">
        <v>828</v>
      </c>
      <c r="T2295" s="1"/>
      <c r="U2295">
        <v>43.447319999999998</v>
      </c>
      <c r="V2295">
        <v>0</v>
      </c>
      <c r="W2295">
        <v>94332</v>
      </c>
    </row>
    <row r="2296" spans="1:23" x14ac:dyDescent="0.25">
      <c r="A2296" s="1" t="s">
        <v>33</v>
      </c>
      <c r="B2296" s="1" t="s">
        <v>73</v>
      </c>
      <c r="C2296" s="1" t="s">
        <v>174</v>
      </c>
      <c r="D2296">
        <v>13660</v>
      </c>
      <c r="E2296" s="1"/>
      <c r="F2296" s="1" t="s">
        <v>304</v>
      </c>
      <c r="G2296">
        <v>2013</v>
      </c>
      <c r="H2296">
        <v>4273.3</v>
      </c>
      <c r="I2296">
        <v>4</v>
      </c>
      <c r="J2296" s="1" t="s">
        <v>442</v>
      </c>
      <c r="K2296">
        <v>0</v>
      </c>
      <c r="L2296">
        <v>532</v>
      </c>
      <c r="M2296">
        <v>8.0310089999999992</v>
      </c>
      <c r="N2296">
        <v>1</v>
      </c>
      <c r="O2296" s="1" t="s">
        <v>565</v>
      </c>
      <c r="P2296">
        <v>5237.01</v>
      </c>
      <c r="Q2296">
        <v>335.17</v>
      </c>
      <c r="R2296">
        <v>1</v>
      </c>
      <c r="S2296" s="1" t="s">
        <v>827</v>
      </c>
      <c r="T2296" s="1"/>
      <c r="U2296">
        <v>4.2732999999999999</v>
      </c>
      <c r="V2296">
        <v>0</v>
      </c>
      <c r="W2296">
        <v>94331</v>
      </c>
    </row>
    <row r="2297" spans="1:23" x14ac:dyDescent="0.25">
      <c r="A2297" s="1" t="s">
        <v>33</v>
      </c>
      <c r="B2297" s="1" t="s">
        <v>73</v>
      </c>
      <c r="C2297" s="1" t="s">
        <v>174</v>
      </c>
      <c r="D2297">
        <v>13660</v>
      </c>
      <c r="E2297" s="1"/>
      <c r="F2297" s="1" t="s">
        <v>304</v>
      </c>
      <c r="G2297">
        <v>2013</v>
      </c>
      <c r="H2297">
        <v>16042.38</v>
      </c>
      <c r="I2297">
        <v>4</v>
      </c>
      <c r="J2297" s="1" t="s">
        <v>442</v>
      </c>
      <c r="K2297">
        <v>0</v>
      </c>
      <c r="L2297">
        <v>532</v>
      </c>
      <c r="M2297">
        <v>30.149182</v>
      </c>
      <c r="N2297">
        <v>1</v>
      </c>
      <c r="O2297" s="1" t="s">
        <v>565</v>
      </c>
      <c r="P2297">
        <v>18794.14</v>
      </c>
      <c r="Q2297">
        <v>1202.83</v>
      </c>
      <c r="R2297">
        <v>1</v>
      </c>
      <c r="S2297" s="1" t="s">
        <v>828</v>
      </c>
      <c r="T2297" s="1"/>
      <c r="U2297">
        <v>16.042380000000001</v>
      </c>
      <c r="V2297">
        <v>0</v>
      </c>
      <c r="W2297">
        <v>94332</v>
      </c>
    </row>
    <row r="2298" spans="1:23" x14ac:dyDescent="0.25">
      <c r="A2298" s="1" t="s">
        <v>33</v>
      </c>
      <c r="B2298" s="1"/>
      <c r="C2298" s="1" t="s">
        <v>175</v>
      </c>
      <c r="D2298">
        <v>14590</v>
      </c>
      <c r="E2298" s="1" t="s">
        <v>243</v>
      </c>
      <c r="F2298" s="1" t="s">
        <v>363</v>
      </c>
      <c r="G2298">
        <v>2015</v>
      </c>
      <c r="H2298">
        <v>77361.600000000006</v>
      </c>
      <c r="I2298">
        <v>5</v>
      </c>
      <c r="J2298" s="1"/>
      <c r="K2298">
        <v>0</v>
      </c>
      <c r="L2298">
        <v>1048</v>
      </c>
      <c r="M2298">
        <v>73.811277000000004</v>
      </c>
      <c r="N2298">
        <v>1</v>
      </c>
      <c r="O2298" s="1" t="s">
        <v>563</v>
      </c>
      <c r="P2298">
        <v>87396.66</v>
      </c>
      <c r="Q2298">
        <v>160.32</v>
      </c>
      <c r="R2298">
        <v>1</v>
      </c>
      <c r="S2298" s="1" t="s">
        <v>829</v>
      </c>
      <c r="T2298" s="1"/>
      <c r="U2298">
        <v>2217.3000000000002</v>
      </c>
      <c r="V2298">
        <v>76944</v>
      </c>
      <c r="W2298">
        <v>76945</v>
      </c>
    </row>
    <row r="2299" spans="1:23" x14ac:dyDescent="0.25">
      <c r="A2299" s="1" t="s">
        <v>33</v>
      </c>
      <c r="B2299" s="1"/>
      <c r="C2299" s="1" t="s">
        <v>175</v>
      </c>
      <c r="D2299">
        <v>14590</v>
      </c>
      <c r="E2299" s="1" t="s">
        <v>243</v>
      </c>
      <c r="F2299" s="1" t="s">
        <v>363</v>
      </c>
      <c r="G2299">
        <v>2015</v>
      </c>
      <c r="H2299">
        <v>72480</v>
      </c>
      <c r="I2299">
        <v>5</v>
      </c>
      <c r="J2299" s="1"/>
      <c r="K2299">
        <v>0</v>
      </c>
      <c r="L2299">
        <v>1048</v>
      </c>
      <c r="M2299">
        <v>69.153706</v>
      </c>
      <c r="N2299">
        <v>1</v>
      </c>
      <c r="O2299" s="1" t="s">
        <v>562</v>
      </c>
      <c r="P2299">
        <v>81703.149999999994</v>
      </c>
      <c r="Q2299">
        <v>5228.99</v>
      </c>
      <c r="R2299">
        <v>0</v>
      </c>
      <c r="S2299" s="1" t="s">
        <v>829</v>
      </c>
      <c r="T2299" s="1"/>
      <c r="U2299">
        <v>72480</v>
      </c>
      <c r="V2299">
        <v>0</v>
      </c>
      <c r="W2299">
        <v>76944</v>
      </c>
    </row>
    <row r="2300" spans="1:23" x14ac:dyDescent="0.25">
      <c r="A2300" s="1" t="s">
        <v>33</v>
      </c>
      <c r="B2300" s="1"/>
      <c r="C2300" s="1" t="s">
        <v>175</v>
      </c>
      <c r="D2300">
        <v>14590</v>
      </c>
      <c r="E2300" s="1" t="s">
        <v>243</v>
      </c>
      <c r="F2300" s="1" t="s">
        <v>363</v>
      </c>
      <c r="G2300">
        <v>2014</v>
      </c>
      <c r="H2300">
        <v>122250</v>
      </c>
      <c r="I2300">
        <v>12</v>
      </c>
      <c r="J2300" s="1"/>
      <c r="K2300">
        <v>0</v>
      </c>
      <c r="L2300">
        <v>1048</v>
      </c>
      <c r="M2300">
        <v>116.639633</v>
      </c>
      <c r="N2300">
        <v>1</v>
      </c>
      <c r="O2300" s="1" t="s">
        <v>562</v>
      </c>
      <c r="P2300">
        <v>151611.21</v>
      </c>
      <c r="Q2300">
        <v>9703.1200000000008</v>
      </c>
      <c r="R2300">
        <v>0</v>
      </c>
      <c r="S2300" s="1" t="s">
        <v>829</v>
      </c>
      <c r="T2300" s="1"/>
      <c r="U2300">
        <v>122250</v>
      </c>
      <c r="V2300">
        <v>0</v>
      </c>
      <c r="W2300">
        <v>76944</v>
      </c>
    </row>
    <row r="2301" spans="1:23" x14ac:dyDescent="0.25">
      <c r="A2301" s="1" t="s">
        <v>33</v>
      </c>
      <c r="B2301" s="1"/>
      <c r="C2301" s="1" t="s">
        <v>175</v>
      </c>
      <c r="D2301">
        <v>14590</v>
      </c>
      <c r="E2301" s="1" t="s">
        <v>243</v>
      </c>
      <c r="F2301" s="1" t="s">
        <v>363</v>
      </c>
      <c r="G2301">
        <v>2014</v>
      </c>
      <c r="H2301">
        <v>145606.43</v>
      </c>
      <c r="I2301">
        <v>12</v>
      </c>
      <c r="J2301" s="1"/>
      <c r="K2301">
        <v>0</v>
      </c>
      <c r="L2301">
        <v>1048</v>
      </c>
      <c r="M2301">
        <v>138.92417699999999</v>
      </c>
      <c r="N2301">
        <v>1</v>
      </c>
      <c r="O2301" s="1" t="s">
        <v>563</v>
      </c>
      <c r="P2301">
        <v>180789.15</v>
      </c>
      <c r="Q2301">
        <v>331.63</v>
      </c>
      <c r="R2301">
        <v>1</v>
      </c>
      <c r="S2301" s="1" t="s">
        <v>829</v>
      </c>
      <c r="T2301" s="1"/>
      <c r="U2301">
        <v>4173.3</v>
      </c>
      <c r="V2301">
        <v>76944</v>
      </c>
      <c r="W2301">
        <v>76945</v>
      </c>
    </row>
    <row r="2302" spans="1:23" x14ac:dyDescent="0.25">
      <c r="A2302" s="1" t="s">
        <v>33</v>
      </c>
      <c r="B2302" s="1"/>
      <c r="C2302" s="1" t="s">
        <v>175</v>
      </c>
      <c r="D2302">
        <v>14590</v>
      </c>
      <c r="E2302" s="1" t="s">
        <v>243</v>
      </c>
      <c r="F2302" s="1" t="s">
        <v>363</v>
      </c>
      <c r="G2302">
        <v>2013</v>
      </c>
      <c r="H2302">
        <v>135490</v>
      </c>
      <c r="I2302">
        <v>12</v>
      </c>
      <c r="J2302" s="1"/>
      <c r="K2302">
        <v>0</v>
      </c>
      <c r="L2302">
        <v>1048</v>
      </c>
      <c r="M2302">
        <v>129.27201600000001</v>
      </c>
      <c r="N2302">
        <v>1</v>
      </c>
      <c r="O2302" s="1" t="s">
        <v>562</v>
      </c>
      <c r="P2302">
        <v>144626</v>
      </c>
      <c r="Q2302">
        <v>9256.07</v>
      </c>
      <c r="R2302">
        <v>0</v>
      </c>
      <c r="S2302" s="1" t="s">
        <v>829</v>
      </c>
      <c r="T2302" s="1"/>
      <c r="U2302">
        <v>135490</v>
      </c>
      <c r="V2302">
        <v>0</v>
      </c>
      <c r="W2302">
        <v>76944</v>
      </c>
    </row>
    <row r="2303" spans="1:23" x14ac:dyDescent="0.25">
      <c r="A2303" s="1" t="s">
        <v>33</v>
      </c>
      <c r="B2303" s="1"/>
      <c r="C2303" s="1" t="s">
        <v>175</v>
      </c>
      <c r="D2303">
        <v>14590</v>
      </c>
      <c r="E2303" s="1" t="s">
        <v>243</v>
      </c>
      <c r="F2303" s="1" t="s">
        <v>363</v>
      </c>
      <c r="G2303">
        <v>2013</v>
      </c>
      <c r="H2303">
        <v>233592.06</v>
      </c>
      <c r="I2303">
        <v>12</v>
      </c>
      <c r="J2303" s="1"/>
      <c r="K2303">
        <v>0</v>
      </c>
      <c r="L2303">
        <v>1048</v>
      </c>
      <c r="M2303">
        <v>222.87191999999999</v>
      </c>
      <c r="N2303">
        <v>1</v>
      </c>
      <c r="O2303" s="1" t="s">
        <v>563</v>
      </c>
      <c r="P2303">
        <v>241643.64</v>
      </c>
      <c r="Q2303">
        <v>443.24</v>
      </c>
      <c r="R2303">
        <v>1</v>
      </c>
      <c r="S2303" s="1" t="s">
        <v>829</v>
      </c>
      <c r="T2303" s="1"/>
      <c r="U2303">
        <v>6695.1</v>
      </c>
      <c r="V2303">
        <v>76944</v>
      </c>
      <c r="W2303">
        <v>76945</v>
      </c>
    </row>
    <row r="2304" spans="1:23" x14ac:dyDescent="0.25">
      <c r="A2304" s="1" t="s">
        <v>33</v>
      </c>
      <c r="B2304" s="1"/>
      <c r="C2304" s="1" t="s">
        <v>175</v>
      </c>
      <c r="D2304">
        <v>14590</v>
      </c>
      <c r="E2304" s="1" t="s">
        <v>243</v>
      </c>
      <c r="F2304" s="1" t="s">
        <v>363</v>
      </c>
      <c r="G2304">
        <v>2012</v>
      </c>
      <c r="H2304">
        <v>238302.19</v>
      </c>
      <c r="I2304">
        <v>12</v>
      </c>
      <c r="J2304" s="1"/>
      <c r="K2304">
        <v>0</v>
      </c>
      <c r="L2304">
        <v>1048</v>
      </c>
      <c r="M2304">
        <v>227.36589000000001</v>
      </c>
      <c r="N2304">
        <v>1</v>
      </c>
      <c r="O2304" s="1" t="s">
        <v>563</v>
      </c>
      <c r="P2304">
        <v>263972.46999999997</v>
      </c>
      <c r="Q2304">
        <v>1399.68</v>
      </c>
      <c r="R2304">
        <v>1</v>
      </c>
      <c r="S2304" s="1" t="s">
        <v>829</v>
      </c>
      <c r="T2304" s="1"/>
      <c r="U2304">
        <v>6830.1</v>
      </c>
      <c r="V2304">
        <v>76944</v>
      </c>
      <c r="W2304">
        <v>76945</v>
      </c>
    </row>
    <row r="2305" spans="1:23" x14ac:dyDescent="0.25">
      <c r="A2305" s="1" t="s">
        <v>33</v>
      </c>
      <c r="B2305" s="1"/>
      <c r="C2305" s="1" t="s">
        <v>175</v>
      </c>
      <c r="D2305">
        <v>14590</v>
      </c>
      <c r="E2305" s="1" t="s">
        <v>243</v>
      </c>
      <c r="F2305" s="1" t="s">
        <v>363</v>
      </c>
      <c r="G2305">
        <v>2012</v>
      </c>
      <c r="H2305">
        <v>149760</v>
      </c>
      <c r="I2305">
        <v>12</v>
      </c>
      <c r="J2305" s="1"/>
      <c r="K2305">
        <v>0</v>
      </c>
      <c r="L2305">
        <v>1048</v>
      </c>
      <c r="M2305">
        <v>142.88712899999999</v>
      </c>
      <c r="N2305">
        <v>1</v>
      </c>
      <c r="O2305" s="1" t="s">
        <v>562</v>
      </c>
      <c r="P2305">
        <v>163406.82999999999</v>
      </c>
      <c r="Q2305">
        <v>30230.27</v>
      </c>
      <c r="R2305">
        <v>0</v>
      </c>
      <c r="S2305" s="1" t="s">
        <v>829</v>
      </c>
      <c r="T2305" s="1"/>
      <c r="U2305">
        <v>149760</v>
      </c>
      <c r="V2305">
        <v>0</v>
      </c>
      <c r="W2305">
        <v>76944</v>
      </c>
    </row>
    <row r="2306" spans="1:23" x14ac:dyDescent="0.25">
      <c r="A2306" s="1" t="s">
        <v>33</v>
      </c>
      <c r="B2306" s="1"/>
      <c r="C2306" s="1" t="s">
        <v>175</v>
      </c>
      <c r="D2306">
        <v>14590</v>
      </c>
      <c r="E2306" s="1" t="s">
        <v>243</v>
      </c>
      <c r="F2306" s="1" t="s">
        <v>363</v>
      </c>
      <c r="G2306">
        <v>2011</v>
      </c>
      <c r="H2306">
        <v>178301.85</v>
      </c>
      <c r="I2306">
        <v>12</v>
      </c>
      <c r="J2306" s="1"/>
      <c r="K2306">
        <v>0</v>
      </c>
      <c r="L2306">
        <v>1048</v>
      </c>
      <c r="M2306">
        <v>170.11912000000001</v>
      </c>
      <c r="N2306">
        <v>1</v>
      </c>
      <c r="O2306" s="1" t="s">
        <v>563</v>
      </c>
      <c r="P2306">
        <v>198080.21</v>
      </c>
      <c r="Q2306">
        <v>1050.29</v>
      </c>
      <c r="R2306">
        <v>1</v>
      </c>
      <c r="S2306" s="1" t="s">
        <v>829</v>
      </c>
      <c r="T2306" s="1"/>
      <c r="U2306">
        <v>5110.3999999999996</v>
      </c>
      <c r="V2306">
        <v>76944</v>
      </c>
      <c r="W2306">
        <v>76945</v>
      </c>
    </row>
    <row r="2307" spans="1:23" x14ac:dyDescent="0.25">
      <c r="A2307" s="1" t="s">
        <v>33</v>
      </c>
      <c r="B2307" s="1"/>
      <c r="C2307" s="1" t="s">
        <v>175</v>
      </c>
      <c r="D2307">
        <v>14590</v>
      </c>
      <c r="E2307" s="1" t="s">
        <v>243</v>
      </c>
      <c r="F2307" s="1" t="s">
        <v>363</v>
      </c>
      <c r="G2307">
        <v>2011</v>
      </c>
      <c r="H2307">
        <v>138140</v>
      </c>
      <c r="I2307">
        <v>12</v>
      </c>
      <c r="J2307" s="1"/>
      <c r="K2307">
        <v>0</v>
      </c>
      <c r="L2307">
        <v>1048</v>
      </c>
      <c r="M2307">
        <v>131.8004</v>
      </c>
      <c r="N2307">
        <v>1</v>
      </c>
      <c r="O2307" s="1" t="s">
        <v>562</v>
      </c>
      <c r="P2307">
        <v>153176.73000000001</v>
      </c>
      <c r="Q2307">
        <v>28337.69</v>
      </c>
      <c r="R2307">
        <v>0</v>
      </c>
      <c r="S2307" s="1" t="s">
        <v>829</v>
      </c>
      <c r="T2307" s="1"/>
      <c r="U2307">
        <v>138140</v>
      </c>
      <c r="V2307">
        <v>0</v>
      </c>
      <c r="W2307">
        <v>76944</v>
      </c>
    </row>
    <row r="2308" spans="1:23" x14ac:dyDescent="0.25">
      <c r="A2308" s="1" t="s">
        <v>33</v>
      </c>
      <c r="B2308" s="1"/>
      <c r="C2308" s="1" t="s">
        <v>175</v>
      </c>
      <c r="D2308">
        <v>14590</v>
      </c>
      <c r="E2308" s="1" t="s">
        <v>243</v>
      </c>
      <c r="F2308" s="1" t="s">
        <v>363</v>
      </c>
      <c r="G2308">
        <v>2010</v>
      </c>
      <c r="H2308">
        <v>156550</v>
      </c>
      <c r="I2308">
        <v>12</v>
      </c>
      <c r="J2308" s="1"/>
      <c r="K2308">
        <v>0</v>
      </c>
      <c r="L2308">
        <v>1048</v>
      </c>
      <c r="M2308">
        <v>149.36551800000001</v>
      </c>
      <c r="N2308">
        <v>1</v>
      </c>
      <c r="O2308" s="1" t="s">
        <v>562</v>
      </c>
      <c r="P2308">
        <v>142184.59</v>
      </c>
      <c r="Q2308">
        <v>26304.15</v>
      </c>
      <c r="R2308">
        <v>0</v>
      </c>
      <c r="S2308" s="1" t="s">
        <v>829</v>
      </c>
      <c r="T2308" s="1"/>
      <c r="U2308">
        <v>156550</v>
      </c>
      <c r="V2308">
        <v>0</v>
      </c>
      <c r="W2308">
        <v>76944</v>
      </c>
    </row>
    <row r="2309" spans="1:23" x14ac:dyDescent="0.25">
      <c r="A2309" s="1" t="s">
        <v>33</v>
      </c>
      <c r="B2309" s="1"/>
      <c r="C2309" s="1" t="s">
        <v>175</v>
      </c>
      <c r="D2309">
        <v>14590</v>
      </c>
      <c r="E2309" s="1" t="s">
        <v>243</v>
      </c>
      <c r="F2309" s="1" t="s">
        <v>363</v>
      </c>
      <c r="G2309">
        <v>2010</v>
      </c>
      <c r="H2309">
        <v>259079.18</v>
      </c>
      <c r="I2309">
        <v>12</v>
      </c>
      <c r="J2309" s="1"/>
      <c r="K2309">
        <v>0</v>
      </c>
      <c r="L2309">
        <v>1048</v>
      </c>
      <c r="M2309">
        <v>247.18937099999999</v>
      </c>
      <c r="N2309">
        <v>1</v>
      </c>
      <c r="O2309" s="1" t="s">
        <v>563</v>
      </c>
      <c r="P2309">
        <v>236151.86</v>
      </c>
      <c r="Q2309">
        <v>1252.18</v>
      </c>
      <c r="R2309">
        <v>1</v>
      </c>
      <c r="S2309" s="1" t="s">
        <v>829</v>
      </c>
      <c r="T2309" s="1"/>
      <c r="U2309">
        <v>7425.6</v>
      </c>
      <c r="V2309">
        <v>76944</v>
      </c>
      <c r="W2309">
        <v>76945</v>
      </c>
    </row>
    <row r="2310" spans="1:23" x14ac:dyDescent="0.25">
      <c r="A2310" s="1" t="s">
        <v>33</v>
      </c>
      <c r="B2310" s="1"/>
      <c r="C2310" s="1" t="s">
        <v>175</v>
      </c>
      <c r="D2310">
        <v>14590</v>
      </c>
      <c r="E2310" s="1" t="s">
        <v>243</v>
      </c>
      <c r="F2310" s="1" t="s">
        <v>363</v>
      </c>
      <c r="G2310">
        <v>2009</v>
      </c>
      <c r="H2310">
        <v>127880</v>
      </c>
      <c r="I2310">
        <v>12</v>
      </c>
      <c r="J2310" s="1"/>
      <c r="K2310">
        <v>0</v>
      </c>
      <c r="L2310">
        <v>1048</v>
      </c>
      <c r="M2310">
        <v>122.011258</v>
      </c>
      <c r="N2310">
        <v>1</v>
      </c>
      <c r="O2310" s="1" t="s">
        <v>562</v>
      </c>
      <c r="P2310">
        <v>136328.07</v>
      </c>
      <c r="Q2310">
        <v>25220.69</v>
      </c>
      <c r="R2310">
        <v>0</v>
      </c>
      <c r="S2310" s="1" t="s">
        <v>829</v>
      </c>
      <c r="T2310" s="1"/>
      <c r="U2310">
        <v>127880</v>
      </c>
      <c r="V2310">
        <v>0</v>
      </c>
      <c r="W2310">
        <v>76944</v>
      </c>
    </row>
    <row r="2311" spans="1:23" x14ac:dyDescent="0.25">
      <c r="A2311" s="1" t="s">
        <v>33</v>
      </c>
      <c r="B2311" s="1"/>
      <c r="C2311" s="1" t="s">
        <v>175</v>
      </c>
      <c r="D2311">
        <v>14590</v>
      </c>
      <c r="E2311" s="1" t="s">
        <v>243</v>
      </c>
      <c r="F2311" s="1" t="s">
        <v>363</v>
      </c>
      <c r="G2311">
        <v>2009</v>
      </c>
      <c r="H2311">
        <v>286251.52000000002</v>
      </c>
      <c r="I2311">
        <v>12</v>
      </c>
      <c r="J2311" s="1"/>
      <c r="K2311">
        <v>0</v>
      </c>
      <c r="L2311">
        <v>1048</v>
      </c>
      <c r="M2311">
        <v>273.11470200000002</v>
      </c>
      <c r="N2311">
        <v>1</v>
      </c>
      <c r="O2311" s="1" t="s">
        <v>563</v>
      </c>
      <c r="P2311">
        <v>302876.03000000003</v>
      </c>
      <c r="Q2311">
        <v>1605.96</v>
      </c>
      <c r="R2311">
        <v>1</v>
      </c>
      <c r="S2311" s="1" t="s">
        <v>829</v>
      </c>
      <c r="T2311" s="1"/>
      <c r="U2311">
        <v>8204.4</v>
      </c>
      <c r="V2311">
        <v>76944</v>
      </c>
      <c r="W2311">
        <v>76945</v>
      </c>
    </row>
    <row r="2312" spans="1:23" x14ac:dyDescent="0.25">
      <c r="A2312" s="1" t="s">
        <v>33</v>
      </c>
      <c r="B2312" s="1"/>
      <c r="C2312" s="1" t="s">
        <v>175</v>
      </c>
      <c r="D2312">
        <v>14590</v>
      </c>
      <c r="E2312" s="1" t="s">
        <v>243</v>
      </c>
      <c r="F2312" s="1" t="s">
        <v>363</v>
      </c>
      <c r="G2312">
        <v>2008</v>
      </c>
      <c r="H2312">
        <v>213045.33</v>
      </c>
      <c r="I2312">
        <v>12</v>
      </c>
      <c r="J2312" s="1"/>
      <c r="K2312">
        <v>0</v>
      </c>
      <c r="L2312">
        <v>1048</v>
      </c>
      <c r="M2312">
        <v>203.26813200000001</v>
      </c>
      <c r="N2312">
        <v>1</v>
      </c>
      <c r="O2312" s="1" t="s">
        <v>563</v>
      </c>
      <c r="P2312">
        <v>243959.08</v>
      </c>
      <c r="Q2312">
        <v>1293.56</v>
      </c>
      <c r="R2312">
        <v>1</v>
      </c>
      <c r="S2312" s="1" t="s">
        <v>829</v>
      </c>
      <c r="T2312" s="1"/>
      <c r="U2312">
        <v>6106.2</v>
      </c>
      <c r="V2312">
        <v>76944</v>
      </c>
      <c r="W2312">
        <v>76945</v>
      </c>
    </row>
    <row r="2313" spans="1:23" x14ac:dyDescent="0.25">
      <c r="A2313" s="1" t="s">
        <v>33</v>
      </c>
      <c r="B2313" s="1"/>
      <c r="C2313" s="1" t="s">
        <v>175</v>
      </c>
      <c r="D2313">
        <v>14590</v>
      </c>
      <c r="E2313" s="1" t="s">
        <v>243</v>
      </c>
      <c r="F2313" s="1" t="s">
        <v>363</v>
      </c>
      <c r="G2313">
        <v>2008</v>
      </c>
      <c r="H2313">
        <v>18208.48</v>
      </c>
      <c r="I2313">
        <v>1</v>
      </c>
      <c r="J2313" s="1" t="s">
        <v>437</v>
      </c>
      <c r="K2313">
        <v>0</v>
      </c>
      <c r="L2313">
        <v>1048</v>
      </c>
      <c r="M2313">
        <v>17.372845999999999</v>
      </c>
      <c r="N2313">
        <v>1</v>
      </c>
      <c r="O2313" s="1" t="s">
        <v>565</v>
      </c>
      <c r="P2313">
        <v>23348.68</v>
      </c>
      <c r="Q2313">
        <v>4.32</v>
      </c>
      <c r="R2313">
        <v>0</v>
      </c>
      <c r="S2313" s="1" t="s">
        <v>830</v>
      </c>
      <c r="T2313" s="1"/>
      <c r="U2313">
        <v>18.208480000000002</v>
      </c>
      <c r="V2313">
        <v>0</v>
      </c>
      <c r="W2313">
        <v>78918</v>
      </c>
    </row>
    <row r="2314" spans="1:23" x14ac:dyDescent="0.25">
      <c r="A2314" s="1" t="s">
        <v>33</v>
      </c>
      <c r="B2314" s="1"/>
      <c r="C2314" s="1" t="s">
        <v>175</v>
      </c>
      <c r="D2314">
        <v>14590</v>
      </c>
      <c r="E2314" s="1" t="s">
        <v>243</v>
      </c>
      <c r="F2314" s="1" t="s">
        <v>363</v>
      </c>
      <c r="G2314">
        <v>2008</v>
      </c>
      <c r="H2314">
        <v>100480</v>
      </c>
      <c r="I2314">
        <v>12</v>
      </c>
      <c r="J2314" s="1"/>
      <c r="K2314">
        <v>0</v>
      </c>
      <c r="L2314">
        <v>1048</v>
      </c>
      <c r="M2314">
        <v>95.868713999999997</v>
      </c>
      <c r="N2314">
        <v>1</v>
      </c>
      <c r="O2314" s="1" t="s">
        <v>562</v>
      </c>
      <c r="P2314">
        <v>114467.23</v>
      </c>
      <c r="Q2314">
        <v>21176.45</v>
      </c>
      <c r="R2314">
        <v>0</v>
      </c>
      <c r="S2314" s="1" t="s">
        <v>829</v>
      </c>
      <c r="T2314" s="1"/>
      <c r="U2314">
        <v>100480</v>
      </c>
      <c r="V2314">
        <v>0</v>
      </c>
      <c r="W2314">
        <v>76944</v>
      </c>
    </row>
    <row r="2315" spans="1:23" x14ac:dyDescent="0.25">
      <c r="A2315" s="1" t="s">
        <v>33</v>
      </c>
      <c r="B2315" s="1"/>
      <c r="C2315" s="1" t="s">
        <v>175</v>
      </c>
      <c r="D2315">
        <v>10125</v>
      </c>
      <c r="E2315" s="1"/>
      <c r="F2315" s="1" t="s">
        <v>305</v>
      </c>
      <c r="G2315">
        <v>2015</v>
      </c>
      <c r="H2315">
        <v>112680</v>
      </c>
      <c r="I2315">
        <v>5</v>
      </c>
      <c r="J2315" s="1"/>
      <c r="K2315">
        <v>0</v>
      </c>
      <c r="L2315">
        <v>2818</v>
      </c>
      <c r="M2315">
        <v>39.984386000000001</v>
      </c>
      <c r="N2315">
        <v>1</v>
      </c>
      <c r="O2315" s="1" t="s">
        <v>562</v>
      </c>
      <c r="P2315">
        <v>128666.85</v>
      </c>
      <c r="Q2315">
        <v>8234.68</v>
      </c>
      <c r="R2315">
        <v>0</v>
      </c>
      <c r="S2315" s="1" t="s">
        <v>831</v>
      </c>
      <c r="T2315" s="1"/>
      <c r="U2315">
        <v>112680</v>
      </c>
      <c r="V2315">
        <v>0</v>
      </c>
      <c r="W2315">
        <v>76943</v>
      </c>
    </row>
    <row r="2316" spans="1:23" x14ac:dyDescent="0.25">
      <c r="A2316" s="1" t="s">
        <v>33</v>
      </c>
      <c r="B2316" s="1"/>
      <c r="C2316" s="1" t="s">
        <v>175</v>
      </c>
      <c r="D2316">
        <v>10125</v>
      </c>
      <c r="E2316" s="1"/>
      <c r="F2316" s="1" t="s">
        <v>305</v>
      </c>
      <c r="G2316">
        <v>2015</v>
      </c>
      <c r="H2316">
        <v>160602.16</v>
      </c>
      <c r="I2316">
        <v>5</v>
      </c>
      <c r="J2316" s="1"/>
      <c r="K2316">
        <v>0</v>
      </c>
      <c r="L2316">
        <v>2818</v>
      </c>
      <c r="M2316">
        <v>56.989516999999999</v>
      </c>
      <c r="N2316">
        <v>1</v>
      </c>
      <c r="O2316" s="1" t="s">
        <v>563</v>
      </c>
      <c r="P2316">
        <v>184596.78</v>
      </c>
      <c r="Q2316">
        <v>338.61</v>
      </c>
      <c r="R2316">
        <v>1</v>
      </c>
      <c r="S2316" s="1" t="s">
        <v>831</v>
      </c>
      <c r="T2316" s="1"/>
      <c r="U2316">
        <v>4603.1000000000004</v>
      </c>
      <c r="V2316">
        <v>76943</v>
      </c>
      <c r="W2316">
        <v>76946</v>
      </c>
    </row>
    <row r="2317" spans="1:23" x14ac:dyDescent="0.25">
      <c r="A2317" s="1" t="s">
        <v>33</v>
      </c>
      <c r="B2317" s="1"/>
      <c r="C2317" s="1" t="s">
        <v>175</v>
      </c>
      <c r="D2317">
        <v>10125</v>
      </c>
      <c r="E2317" s="1"/>
      <c r="F2317" s="1" t="s">
        <v>305</v>
      </c>
      <c r="G2317">
        <v>2014</v>
      </c>
      <c r="H2317">
        <v>168540</v>
      </c>
      <c r="I2317">
        <v>12</v>
      </c>
      <c r="J2317" s="1"/>
      <c r="K2317">
        <v>0</v>
      </c>
      <c r="L2317">
        <v>2818</v>
      </c>
      <c r="M2317">
        <v>59.806252000000001</v>
      </c>
      <c r="N2317">
        <v>1</v>
      </c>
      <c r="O2317" s="1" t="s">
        <v>562</v>
      </c>
      <c r="P2317">
        <v>204640.45</v>
      </c>
      <c r="Q2317">
        <v>13096.99</v>
      </c>
      <c r="R2317">
        <v>0</v>
      </c>
      <c r="S2317" s="1" t="s">
        <v>831</v>
      </c>
      <c r="T2317" s="1"/>
      <c r="U2317">
        <v>168540</v>
      </c>
      <c r="V2317">
        <v>0</v>
      </c>
      <c r="W2317">
        <v>76943</v>
      </c>
    </row>
    <row r="2318" spans="1:23" x14ac:dyDescent="0.25">
      <c r="A2318" s="1" t="s">
        <v>33</v>
      </c>
      <c r="B2318" s="1"/>
      <c r="C2318" s="1" t="s">
        <v>175</v>
      </c>
      <c r="D2318">
        <v>10125</v>
      </c>
      <c r="E2318" s="1"/>
      <c r="F2318" s="1" t="s">
        <v>305</v>
      </c>
      <c r="G2318">
        <v>2014</v>
      </c>
      <c r="H2318">
        <v>229705.3</v>
      </c>
      <c r="I2318">
        <v>12</v>
      </c>
      <c r="J2318" s="1"/>
      <c r="K2318">
        <v>0</v>
      </c>
      <c r="L2318">
        <v>2818</v>
      </c>
      <c r="M2318">
        <v>81.510698000000005</v>
      </c>
      <c r="N2318">
        <v>1</v>
      </c>
      <c r="O2318" s="1" t="s">
        <v>563</v>
      </c>
      <c r="P2318">
        <v>276205.40999999997</v>
      </c>
      <c r="Q2318">
        <v>506.65</v>
      </c>
      <c r="R2318">
        <v>1</v>
      </c>
      <c r="S2318" s="1" t="s">
        <v>831</v>
      </c>
      <c r="T2318" s="1"/>
      <c r="U2318">
        <v>6583.6998999999996</v>
      </c>
      <c r="V2318">
        <v>76943</v>
      </c>
      <c r="W2318">
        <v>76946</v>
      </c>
    </row>
    <row r="2319" spans="1:23" x14ac:dyDescent="0.25">
      <c r="A2319" s="1" t="s">
        <v>33</v>
      </c>
      <c r="B2319" s="1"/>
      <c r="C2319" s="1" t="s">
        <v>175</v>
      </c>
      <c r="D2319">
        <v>10125</v>
      </c>
      <c r="E2319" s="1"/>
      <c r="F2319" s="1" t="s">
        <v>305</v>
      </c>
      <c r="G2319">
        <v>2013</v>
      </c>
      <c r="H2319">
        <v>183070</v>
      </c>
      <c r="I2319">
        <v>12</v>
      </c>
      <c r="J2319" s="1"/>
      <c r="K2319">
        <v>0</v>
      </c>
      <c r="L2319">
        <v>2818</v>
      </c>
      <c r="M2319">
        <v>64.962208000000004</v>
      </c>
      <c r="N2319">
        <v>1</v>
      </c>
      <c r="O2319" s="1" t="s">
        <v>562</v>
      </c>
      <c r="P2319">
        <v>194046.52</v>
      </c>
      <c r="Q2319">
        <v>12418.97</v>
      </c>
      <c r="R2319">
        <v>0</v>
      </c>
      <c r="S2319" s="1" t="s">
        <v>831</v>
      </c>
      <c r="T2319" s="1"/>
      <c r="U2319">
        <v>183070</v>
      </c>
      <c r="V2319">
        <v>0</v>
      </c>
      <c r="W2319">
        <v>76943</v>
      </c>
    </row>
    <row r="2320" spans="1:23" x14ac:dyDescent="0.25">
      <c r="A2320" s="1" t="s">
        <v>33</v>
      </c>
      <c r="B2320" s="1"/>
      <c r="C2320" s="1" t="s">
        <v>175</v>
      </c>
      <c r="D2320">
        <v>10125</v>
      </c>
      <c r="E2320" s="1"/>
      <c r="F2320" s="1" t="s">
        <v>305</v>
      </c>
      <c r="G2320">
        <v>2013</v>
      </c>
      <c r="H2320">
        <v>557036.30000000005</v>
      </c>
      <c r="I2320">
        <v>12</v>
      </c>
      <c r="J2320" s="1"/>
      <c r="K2320">
        <v>0</v>
      </c>
      <c r="L2320">
        <v>2818</v>
      </c>
      <c r="M2320">
        <v>197.66378</v>
      </c>
      <c r="N2320">
        <v>1</v>
      </c>
      <c r="O2320" s="1" t="s">
        <v>563</v>
      </c>
      <c r="P2320">
        <v>702245.57</v>
      </c>
      <c r="Q2320">
        <v>1288.1600000000001</v>
      </c>
      <c r="R2320">
        <v>1</v>
      </c>
      <c r="S2320" s="1" t="s">
        <v>831</v>
      </c>
      <c r="T2320" s="1"/>
      <c r="U2320">
        <v>15965.5</v>
      </c>
      <c r="V2320">
        <v>76943</v>
      </c>
      <c r="W2320">
        <v>76946</v>
      </c>
    </row>
    <row r="2321" spans="1:23" x14ac:dyDescent="0.25">
      <c r="A2321" s="1" t="s">
        <v>33</v>
      </c>
      <c r="B2321" s="1"/>
      <c r="C2321" s="1" t="s">
        <v>175</v>
      </c>
      <c r="D2321">
        <v>10125</v>
      </c>
      <c r="E2321" s="1"/>
      <c r="F2321" s="1" t="s">
        <v>305</v>
      </c>
      <c r="G2321">
        <v>2012</v>
      </c>
      <c r="H2321">
        <v>191850</v>
      </c>
      <c r="I2321">
        <v>12</v>
      </c>
      <c r="J2321" s="1"/>
      <c r="K2321">
        <v>0</v>
      </c>
      <c r="L2321">
        <v>2818</v>
      </c>
      <c r="M2321">
        <v>68.077781999999999</v>
      </c>
      <c r="N2321">
        <v>1</v>
      </c>
      <c r="O2321" s="1" t="s">
        <v>562</v>
      </c>
      <c r="P2321">
        <v>203362.34</v>
      </c>
      <c r="Q2321">
        <v>37622.03</v>
      </c>
      <c r="R2321">
        <v>0</v>
      </c>
      <c r="S2321" s="1" t="s">
        <v>831</v>
      </c>
      <c r="T2321" s="1"/>
      <c r="U2321">
        <v>191850</v>
      </c>
      <c r="V2321">
        <v>0</v>
      </c>
      <c r="W2321">
        <v>76943</v>
      </c>
    </row>
    <row r="2322" spans="1:23" x14ac:dyDescent="0.25">
      <c r="A2322" s="1" t="s">
        <v>33</v>
      </c>
      <c r="B2322" s="1"/>
      <c r="C2322" s="1" t="s">
        <v>175</v>
      </c>
      <c r="D2322">
        <v>10125</v>
      </c>
      <c r="E2322" s="1"/>
      <c r="F2322" s="1" t="s">
        <v>305</v>
      </c>
      <c r="G2322">
        <v>2012</v>
      </c>
      <c r="H2322">
        <v>541004.32999999996</v>
      </c>
      <c r="I2322">
        <v>12</v>
      </c>
      <c r="J2322" s="1"/>
      <c r="K2322">
        <v>0</v>
      </c>
      <c r="L2322">
        <v>2818</v>
      </c>
      <c r="M2322">
        <v>191.974851</v>
      </c>
      <c r="N2322">
        <v>1</v>
      </c>
      <c r="O2322" s="1" t="s">
        <v>563</v>
      </c>
      <c r="P2322">
        <v>591086.09</v>
      </c>
      <c r="Q2322">
        <v>3134.16</v>
      </c>
      <c r="R2322">
        <v>1</v>
      </c>
      <c r="S2322" s="1" t="s">
        <v>831</v>
      </c>
      <c r="T2322" s="1"/>
      <c r="U2322">
        <v>15506</v>
      </c>
      <c r="V2322">
        <v>76943</v>
      </c>
      <c r="W2322">
        <v>76946</v>
      </c>
    </row>
    <row r="2323" spans="1:23" x14ac:dyDescent="0.25">
      <c r="A2323" s="1" t="s">
        <v>33</v>
      </c>
      <c r="B2323" s="1"/>
      <c r="C2323" s="1" t="s">
        <v>175</v>
      </c>
      <c r="D2323">
        <v>10125</v>
      </c>
      <c r="E2323" s="1"/>
      <c r="F2323" s="1" t="s">
        <v>305</v>
      </c>
      <c r="G2323">
        <v>2011</v>
      </c>
      <c r="H2323">
        <v>184320</v>
      </c>
      <c r="I2323">
        <v>12</v>
      </c>
      <c r="J2323" s="1"/>
      <c r="K2323">
        <v>0</v>
      </c>
      <c r="L2323">
        <v>2818</v>
      </c>
      <c r="M2323">
        <v>65.405769000000006</v>
      </c>
      <c r="N2323">
        <v>1</v>
      </c>
      <c r="O2323" s="1" t="s">
        <v>562</v>
      </c>
      <c r="P2323">
        <v>203734.3</v>
      </c>
      <c r="Q2323">
        <v>37690.839999999997</v>
      </c>
      <c r="R2323">
        <v>0</v>
      </c>
      <c r="S2323" s="1" t="s">
        <v>831</v>
      </c>
      <c r="T2323" s="1"/>
      <c r="U2323">
        <v>184320</v>
      </c>
      <c r="V2323">
        <v>0</v>
      </c>
      <c r="W2323">
        <v>76943</v>
      </c>
    </row>
    <row r="2324" spans="1:23" x14ac:dyDescent="0.25">
      <c r="A2324" s="1" t="s">
        <v>33</v>
      </c>
      <c r="B2324" s="1"/>
      <c r="C2324" s="1" t="s">
        <v>175</v>
      </c>
      <c r="D2324">
        <v>10125</v>
      </c>
      <c r="E2324" s="1"/>
      <c r="F2324" s="1" t="s">
        <v>305</v>
      </c>
      <c r="G2324">
        <v>2011</v>
      </c>
      <c r="H2324">
        <v>255586.68</v>
      </c>
      <c r="I2324">
        <v>12</v>
      </c>
      <c r="J2324" s="1"/>
      <c r="K2324">
        <v>0</v>
      </c>
      <c r="L2324">
        <v>2818</v>
      </c>
      <c r="M2324">
        <v>90.694680000000005</v>
      </c>
      <c r="N2324">
        <v>1</v>
      </c>
      <c r="O2324" s="1" t="s">
        <v>563</v>
      </c>
      <c r="P2324">
        <v>280346.83</v>
      </c>
      <c r="Q2324">
        <v>1486.51</v>
      </c>
      <c r="R2324">
        <v>1</v>
      </c>
      <c r="S2324" s="1" t="s">
        <v>831</v>
      </c>
      <c r="T2324" s="1"/>
      <c r="U2324">
        <v>7325.5</v>
      </c>
      <c r="V2324">
        <v>76943</v>
      </c>
      <c r="W2324">
        <v>76946</v>
      </c>
    </row>
    <row r="2325" spans="1:23" x14ac:dyDescent="0.25">
      <c r="A2325" s="1" t="s">
        <v>33</v>
      </c>
      <c r="B2325" s="1"/>
      <c r="C2325" s="1" t="s">
        <v>175</v>
      </c>
      <c r="D2325">
        <v>10125</v>
      </c>
      <c r="E2325" s="1"/>
      <c r="F2325" s="1" t="s">
        <v>305</v>
      </c>
      <c r="G2325">
        <v>2010</v>
      </c>
      <c r="H2325">
        <v>251470</v>
      </c>
      <c r="I2325">
        <v>12</v>
      </c>
      <c r="J2325" s="1"/>
      <c r="K2325">
        <v>0</v>
      </c>
      <c r="L2325">
        <v>2818</v>
      </c>
      <c r="M2325">
        <v>89.233879999999999</v>
      </c>
      <c r="N2325">
        <v>1</v>
      </c>
      <c r="O2325" s="1" t="s">
        <v>562</v>
      </c>
      <c r="P2325">
        <v>227143.05</v>
      </c>
      <c r="Q2325">
        <v>42021.47</v>
      </c>
      <c r="R2325">
        <v>0</v>
      </c>
      <c r="S2325" s="1" t="s">
        <v>831</v>
      </c>
      <c r="T2325" s="1"/>
      <c r="U2325">
        <v>251470</v>
      </c>
      <c r="V2325">
        <v>0</v>
      </c>
      <c r="W2325">
        <v>76943</v>
      </c>
    </row>
    <row r="2326" spans="1:23" x14ac:dyDescent="0.25">
      <c r="A2326" s="1" t="s">
        <v>33</v>
      </c>
      <c r="B2326" s="1"/>
      <c r="C2326" s="1" t="s">
        <v>175</v>
      </c>
      <c r="D2326">
        <v>10125</v>
      </c>
      <c r="E2326" s="1"/>
      <c r="F2326" s="1" t="s">
        <v>305</v>
      </c>
      <c r="G2326">
        <v>2010</v>
      </c>
      <c r="H2326">
        <v>390680.78</v>
      </c>
      <c r="I2326">
        <v>12</v>
      </c>
      <c r="J2326" s="1"/>
      <c r="K2326">
        <v>0</v>
      </c>
      <c r="L2326">
        <v>2818</v>
      </c>
      <c r="M2326">
        <v>138.632688</v>
      </c>
      <c r="N2326">
        <v>1</v>
      </c>
      <c r="O2326" s="1" t="s">
        <v>563</v>
      </c>
      <c r="P2326">
        <v>354522.77</v>
      </c>
      <c r="Q2326">
        <v>1879.81</v>
      </c>
      <c r="R2326">
        <v>1</v>
      </c>
      <c r="S2326" s="1" t="s">
        <v>831</v>
      </c>
      <c r="T2326" s="1"/>
      <c r="U2326">
        <v>11197.5</v>
      </c>
      <c r="V2326">
        <v>76943</v>
      </c>
      <c r="W2326">
        <v>76946</v>
      </c>
    </row>
    <row r="2327" spans="1:23" x14ac:dyDescent="0.25">
      <c r="A2327" s="1" t="s">
        <v>33</v>
      </c>
      <c r="B2327" s="1"/>
      <c r="C2327" s="1" t="s">
        <v>175</v>
      </c>
      <c r="D2327">
        <v>10125</v>
      </c>
      <c r="E2327" s="1"/>
      <c r="F2327" s="1" t="s">
        <v>305</v>
      </c>
      <c r="G2327">
        <v>2009</v>
      </c>
      <c r="H2327">
        <v>191570</v>
      </c>
      <c r="I2327">
        <v>12</v>
      </c>
      <c r="J2327" s="1"/>
      <c r="K2327">
        <v>0</v>
      </c>
      <c r="L2327">
        <v>2818</v>
      </c>
      <c r="M2327">
        <v>67.978425000000001</v>
      </c>
      <c r="N2327">
        <v>1</v>
      </c>
      <c r="O2327" s="1" t="s">
        <v>562</v>
      </c>
      <c r="P2327">
        <v>203762.24</v>
      </c>
      <c r="Q2327">
        <v>37696.03</v>
      </c>
      <c r="R2327">
        <v>0</v>
      </c>
      <c r="S2327" s="1" t="s">
        <v>831</v>
      </c>
      <c r="T2327" s="1"/>
      <c r="U2327">
        <v>191570</v>
      </c>
      <c r="V2327">
        <v>0</v>
      </c>
      <c r="W2327">
        <v>76943</v>
      </c>
    </row>
    <row r="2328" spans="1:23" x14ac:dyDescent="0.25">
      <c r="A2328" s="1" t="s">
        <v>33</v>
      </c>
      <c r="B2328" s="1"/>
      <c r="C2328" s="1" t="s">
        <v>175</v>
      </c>
      <c r="D2328">
        <v>10125</v>
      </c>
      <c r="E2328" s="1"/>
      <c r="F2328" s="1" t="s">
        <v>305</v>
      </c>
      <c r="G2328">
        <v>2009</v>
      </c>
      <c r="H2328">
        <v>306222.55</v>
      </c>
      <c r="I2328">
        <v>12</v>
      </c>
      <c r="J2328" s="1"/>
      <c r="K2328">
        <v>0</v>
      </c>
      <c r="L2328">
        <v>2818</v>
      </c>
      <c r="M2328">
        <v>108.662769</v>
      </c>
      <c r="N2328">
        <v>1</v>
      </c>
      <c r="O2328" s="1" t="s">
        <v>563</v>
      </c>
      <c r="P2328">
        <v>325615.57</v>
      </c>
      <c r="Q2328">
        <v>1726.53</v>
      </c>
      <c r="R2328">
        <v>1</v>
      </c>
      <c r="S2328" s="1" t="s">
        <v>831</v>
      </c>
      <c r="T2328" s="1"/>
      <c r="U2328">
        <v>8776.7999999999993</v>
      </c>
      <c r="V2328">
        <v>76943</v>
      </c>
      <c r="W2328">
        <v>76946</v>
      </c>
    </row>
    <row r="2329" spans="1:23" x14ac:dyDescent="0.25">
      <c r="A2329" s="1" t="s">
        <v>33</v>
      </c>
      <c r="B2329" s="1"/>
      <c r="C2329" s="1" t="s">
        <v>175</v>
      </c>
      <c r="D2329">
        <v>10125</v>
      </c>
      <c r="E2329" s="1"/>
      <c r="F2329" s="1" t="s">
        <v>305</v>
      </c>
      <c r="G2329">
        <v>2008</v>
      </c>
      <c r="H2329">
        <v>23621.82</v>
      </c>
      <c r="I2329">
        <v>1</v>
      </c>
      <c r="J2329" s="1" t="s">
        <v>437</v>
      </c>
      <c r="K2329">
        <v>0</v>
      </c>
      <c r="L2329">
        <v>2818</v>
      </c>
      <c r="M2329">
        <v>8.3821790000000007</v>
      </c>
      <c r="N2329">
        <v>1</v>
      </c>
      <c r="O2329" s="1" t="s">
        <v>565</v>
      </c>
      <c r="P2329">
        <v>30382.38</v>
      </c>
      <c r="Q2329">
        <v>5.62</v>
      </c>
      <c r="R2329">
        <v>0</v>
      </c>
      <c r="S2329" s="1" t="s">
        <v>831</v>
      </c>
      <c r="T2329" s="1"/>
      <c r="U2329">
        <v>23.62182</v>
      </c>
      <c r="V2329">
        <v>0</v>
      </c>
      <c r="W2329">
        <v>78917</v>
      </c>
    </row>
    <row r="2330" spans="1:23" x14ac:dyDescent="0.25">
      <c r="A2330" s="1" t="s">
        <v>33</v>
      </c>
      <c r="B2330" s="1"/>
      <c r="C2330" s="1" t="s">
        <v>175</v>
      </c>
      <c r="D2330">
        <v>10125</v>
      </c>
      <c r="E2330" s="1"/>
      <c r="F2330" s="1" t="s">
        <v>305</v>
      </c>
      <c r="G2330">
        <v>2008</v>
      </c>
      <c r="H2330">
        <v>161580</v>
      </c>
      <c r="I2330">
        <v>12</v>
      </c>
      <c r="J2330" s="1"/>
      <c r="K2330">
        <v>0</v>
      </c>
      <c r="L2330">
        <v>2818</v>
      </c>
      <c r="M2330">
        <v>57.336503</v>
      </c>
      <c r="N2330">
        <v>1</v>
      </c>
      <c r="O2330" s="1" t="s">
        <v>562</v>
      </c>
      <c r="P2330">
        <v>186149.29</v>
      </c>
      <c r="Q2330">
        <v>34437.64</v>
      </c>
      <c r="R2330">
        <v>0</v>
      </c>
      <c r="S2330" s="1" t="s">
        <v>831</v>
      </c>
      <c r="T2330" s="1"/>
      <c r="U2330">
        <v>161580</v>
      </c>
      <c r="V2330">
        <v>0</v>
      </c>
      <c r="W2330">
        <v>76943</v>
      </c>
    </row>
    <row r="2331" spans="1:23" x14ac:dyDescent="0.25">
      <c r="A2331" s="1" t="s">
        <v>33</v>
      </c>
      <c r="B2331" s="1"/>
      <c r="C2331" s="1" t="s">
        <v>175</v>
      </c>
      <c r="D2331">
        <v>10125</v>
      </c>
      <c r="E2331" s="1"/>
      <c r="F2331" s="1" t="s">
        <v>305</v>
      </c>
      <c r="G2331">
        <v>2008</v>
      </c>
      <c r="H2331">
        <v>256835.76</v>
      </c>
      <c r="I2331">
        <v>12</v>
      </c>
      <c r="J2331" s="1"/>
      <c r="K2331">
        <v>0</v>
      </c>
      <c r="L2331">
        <v>2818</v>
      </c>
      <c r="M2331">
        <v>91.137915000000007</v>
      </c>
      <c r="N2331">
        <v>1</v>
      </c>
      <c r="O2331" s="1" t="s">
        <v>563</v>
      </c>
      <c r="P2331">
        <v>297117.98</v>
      </c>
      <c r="Q2331">
        <v>1575.42</v>
      </c>
      <c r="R2331">
        <v>1</v>
      </c>
      <c r="S2331" s="1" t="s">
        <v>831</v>
      </c>
      <c r="T2331" s="1"/>
      <c r="U2331">
        <v>7361.3</v>
      </c>
      <c r="V2331">
        <v>76943</v>
      </c>
      <c r="W2331">
        <v>76946</v>
      </c>
    </row>
    <row r="2332" spans="1:23" x14ac:dyDescent="0.25">
      <c r="A2332" s="1" t="s">
        <v>33</v>
      </c>
      <c r="B2332" s="1" t="s">
        <v>71</v>
      </c>
      <c r="C2332" s="1" t="s">
        <v>169</v>
      </c>
      <c r="D2332">
        <v>6071</v>
      </c>
      <c r="E2332" s="1"/>
      <c r="F2332" s="1" t="s">
        <v>301</v>
      </c>
      <c r="G2332">
        <v>2015</v>
      </c>
      <c r="H2332">
        <v>1620.64</v>
      </c>
      <c r="I2332">
        <v>5</v>
      </c>
      <c r="J2332" s="1" t="s">
        <v>527</v>
      </c>
      <c r="K2332">
        <v>0</v>
      </c>
      <c r="L2332">
        <v>222</v>
      </c>
      <c r="M2332">
        <v>7.2968929999999999</v>
      </c>
      <c r="N2332">
        <v>2</v>
      </c>
      <c r="O2332" s="1" t="s">
        <v>569</v>
      </c>
      <c r="P2332">
        <v>1620.64</v>
      </c>
      <c r="Q2332">
        <v>648.25</v>
      </c>
      <c r="R2332">
        <v>0</v>
      </c>
      <c r="S2332" s="1" t="s">
        <v>1032</v>
      </c>
      <c r="T2332" s="1" t="s">
        <v>1307</v>
      </c>
      <c r="U2332">
        <v>1620.6320000000001</v>
      </c>
      <c r="V2332">
        <v>0</v>
      </c>
      <c r="W2332">
        <v>60882</v>
      </c>
    </row>
    <row r="2333" spans="1:23" x14ac:dyDescent="0.25">
      <c r="A2333" s="1" t="s">
        <v>33</v>
      </c>
      <c r="B2333" s="1" t="s">
        <v>71</v>
      </c>
      <c r="C2333" s="1" t="s">
        <v>169</v>
      </c>
      <c r="D2333">
        <v>6071</v>
      </c>
      <c r="E2333" s="1"/>
      <c r="F2333" s="1" t="s">
        <v>301</v>
      </c>
      <c r="G2333">
        <v>2014</v>
      </c>
      <c r="H2333">
        <v>3774.41</v>
      </c>
      <c r="I2333">
        <v>12</v>
      </c>
      <c r="J2333" s="1" t="s">
        <v>527</v>
      </c>
      <c r="K2333">
        <v>0</v>
      </c>
      <c r="L2333">
        <v>222</v>
      </c>
      <c r="M2333">
        <v>16.994191000000001</v>
      </c>
      <c r="N2333">
        <v>2</v>
      </c>
      <c r="O2333" s="1" t="s">
        <v>569</v>
      </c>
      <c r="P2333">
        <v>3774.41</v>
      </c>
      <c r="Q2333">
        <v>1509.76</v>
      </c>
      <c r="R2333">
        <v>0</v>
      </c>
      <c r="S2333" s="1" t="s">
        <v>1032</v>
      </c>
      <c r="T2333" s="1" t="s">
        <v>1307</v>
      </c>
      <c r="U2333">
        <v>3774.4</v>
      </c>
      <c r="V2333">
        <v>0</v>
      </c>
      <c r="W2333">
        <v>60882</v>
      </c>
    </row>
    <row r="2334" spans="1:23" x14ac:dyDescent="0.25">
      <c r="A2334" s="1" t="s">
        <v>33</v>
      </c>
      <c r="B2334" s="1" t="s">
        <v>71</v>
      </c>
      <c r="C2334" s="1" t="s">
        <v>169</v>
      </c>
      <c r="D2334">
        <v>6071</v>
      </c>
      <c r="E2334" s="1"/>
      <c r="F2334" s="1" t="s">
        <v>301</v>
      </c>
      <c r="G2334">
        <v>2013</v>
      </c>
      <c r="H2334">
        <v>8235.68</v>
      </c>
      <c r="I2334">
        <v>12</v>
      </c>
      <c r="J2334" s="1" t="s">
        <v>527</v>
      </c>
      <c r="K2334">
        <v>0</v>
      </c>
      <c r="L2334">
        <v>222</v>
      </c>
      <c r="M2334">
        <v>37.080953999999998</v>
      </c>
      <c r="N2334">
        <v>2</v>
      </c>
      <c r="O2334" s="1" t="s">
        <v>569</v>
      </c>
      <c r="P2334">
        <v>8235.68</v>
      </c>
      <c r="Q2334">
        <v>3294.29</v>
      </c>
      <c r="R2334">
        <v>0</v>
      </c>
      <c r="S2334" s="1" t="s">
        <v>1032</v>
      </c>
      <c r="T2334" s="1" t="s">
        <v>1307</v>
      </c>
      <c r="U2334">
        <v>8235.69</v>
      </c>
      <c r="V2334">
        <v>0</v>
      </c>
      <c r="W2334">
        <v>60882</v>
      </c>
    </row>
    <row r="2335" spans="1:23" x14ac:dyDescent="0.25">
      <c r="A2335" s="1" t="s">
        <v>33</v>
      </c>
      <c r="B2335" s="1" t="s">
        <v>71</v>
      </c>
      <c r="C2335" s="1" t="s">
        <v>169</v>
      </c>
      <c r="D2335">
        <v>6071</v>
      </c>
      <c r="E2335" s="1"/>
      <c r="F2335" s="1" t="s">
        <v>301</v>
      </c>
      <c r="G2335">
        <v>2012</v>
      </c>
      <c r="H2335">
        <v>7026.95</v>
      </c>
      <c r="I2335">
        <v>13</v>
      </c>
      <c r="J2335" s="1" t="s">
        <v>527</v>
      </c>
      <c r="K2335">
        <v>0</v>
      </c>
      <c r="L2335">
        <v>222</v>
      </c>
      <c r="M2335">
        <v>31.638676</v>
      </c>
      <c r="N2335">
        <v>2</v>
      </c>
      <c r="O2335" s="1" t="s">
        <v>569</v>
      </c>
      <c r="P2335">
        <v>7026.95</v>
      </c>
      <c r="Q2335">
        <v>2810.79</v>
      </c>
      <c r="R2335">
        <v>0</v>
      </c>
      <c r="S2335" s="1" t="s">
        <v>1032</v>
      </c>
      <c r="T2335" s="1" t="s">
        <v>1307</v>
      </c>
      <c r="U2335">
        <v>7026.9534199999998</v>
      </c>
      <c r="V2335">
        <v>0</v>
      </c>
      <c r="W2335">
        <v>60882</v>
      </c>
    </row>
    <row r="2336" spans="1:23" x14ac:dyDescent="0.25">
      <c r="A2336" s="1" t="s">
        <v>33</v>
      </c>
      <c r="B2336" s="1" t="s">
        <v>71</v>
      </c>
      <c r="C2336" s="1" t="s">
        <v>169</v>
      </c>
      <c r="D2336">
        <v>6071</v>
      </c>
      <c r="E2336" s="1"/>
      <c r="F2336" s="1" t="s">
        <v>301</v>
      </c>
      <c r="G2336">
        <v>2011</v>
      </c>
      <c r="H2336">
        <v>4970.7299999999996</v>
      </c>
      <c r="I2336">
        <v>4</v>
      </c>
      <c r="J2336" s="1" t="s">
        <v>527</v>
      </c>
      <c r="K2336">
        <v>0</v>
      </c>
      <c r="L2336">
        <v>222</v>
      </c>
      <c r="M2336">
        <v>22.380593999999999</v>
      </c>
      <c r="N2336">
        <v>2</v>
      </c>
      <c r="O2336" s="1" t="s">
        <v>569</v>
      </c>
      <c r="P2336">
        <v>4970.7299999999996</v>
      </c>
      <c r="Q2336">
        <v>2331.27</v>
      </c>
      <c r="R2336">
        <v>0</v>
      </c>
      <c r="S2336" s="1" t="s">
        <v>1032</v>
      </c>
      <c r="T2336" s="1" t="s">
        <v>1307</v>
      </c>
      <c r="U2336">
        <v>4970.7285899999997</v>
      </c>
      <c r="V2336">
        <v>0</v>
      </c>
      <c r="W2336">
        <v>60882</v>
      </c>
    </row>
    <row r="2337" spans="1:23" x14ac:dyDescent="0.25">
      <c r="A2337" s="1" t="s">
        <v>33</v>
      </c>
      <c r="B2337" s="1" t="s">
        <v>71</v>
      </c>
      <c r="C2337" s="1" t="s">
        <v>169</v>
      </c>
      <c r="D2337">
        <v>6071</v>
      </c>
      <c r="E2337" s="1"/>
      <c r="F2337" s="1" t="s">
        <v>301</v>
      </c>
      <c r="G2337">
        <v>2010</v>
      </c>
      <c r="H2337">
        <v>8830.6200000000008</v>
      </c>
      <c r="I2337">
        <v>5</v>
      </c>
      <c r="J2337" s="1" t="s">
        <v>527</v>
      </c>
      <c r="K2337">
        <v>0</v>
      </c>
      <c r="L2337">
        <v>222</v>
      </c>
      <c r="M2337">
        <v>39.759656999999997</v>
      </c>
      <c r="N2337">
        <v>2</v>
      </c>
      <c r="O2337" s="1" t="s">
        <v>569</v>
      </c>
      <c r="P2337">
        <v>8830.6200000000008</v>
      </c>
      <c r="Q2337">
        <v>4141.5600000000004</v>
      </c>
      <c r="R2337">
        <v>0</v>
      </c>
      <c r="S2337" s="1" t="s">
        <v>1032</v>
      </c>
      <c r="T2337" s="1" t="s">
        <v>1307</v>
      </c>
      <c r="U2337">
        <v>8830.6249800000005</v>
      </c>
      <c r="V2337">
        <v>0</v>
      </c>
      <c r="W2337">
        <v>60882</v>
      </c>
    </row>
    <row r="2338" spans="1:23" x14ac:dyDescent="0.25">
      <c r="A2338" s="1" t="s">
        <v>33</v>
      </c>
      <c r="B2338" s="1" t="s">
        <v>71</v>
      </c>
      <c r="C2338" s="1" t="s">
        <v>169</v>
      </c>
      <c r="D2338">
        <v>6071</v>
      </c>
      <c r="E2338" s="1"/>
      <c r="F2338" s="1" t="s">
        <v>301</v>
      </c>
      <c r="G2338">
        <v>2009</v>
      </c>
      <c r="H2338">
        <v>4617.54</v>
      </c>
      <c r="I2338">
        <v>7</v>
      </c>
      <c r="J2338" s="1" t="s">
        <v>527</v>
      </c>
      <c r="K2338">
        <v>0</v>
      </c>
      <c r="L2338">
        <v>222</v>
      </c>
      <c r="M2338">
        <v>20.790364</v>
      </c>
      <c r="N2338">
        <v>2</v>
      </c>
      <c r="O2338" s="1" t="s">
        <v>569</v>
      </c>
      <c r="P2338">
        <v>4617.54</v>
      </c>
      <c r="Q2338">
        <v>2165.61</v>
      </c>
      <c r="R2338">
        <v>0</v>
      </c>
      <c r="S2338" s="1" t="s">
        <v>1032</v>
      </c>
      <c r="T2338" s="1" t="s">
        <v>1307</v>
      </c>
      <c r="U2338">
        <v>4617.5271599999996</v>
      </c>
      <c r="V2338">
        <v>0</v>
      </c>
      <c r="W2338">
        <v>60882</v>
      </c>
    </row>
    <row r="2339" spans="1:23" x14ac:dyDescent="0.25">
      <c r="A2339" s="1" t="s">
        <v>33</v>
      </c>
      <c r="B2339" s="1" t="s">
        <v>71</v>
      </c>
      <c r="C2339" s="1" t="s">
        <v>169</v>
      </c>
      <c r="D2339">
        <v>6071</v>
      </c>
      <c r="E2339" s="1"/>
      <c r="F2339" s="1" t="s">
        <v>301</v>
      </c>
      <c r="G2339">
        <v>2008</v>
      </c>
      <c r="H2339">
        <v>4480.91</v>
      </c>
      <c r="I2339">
        <v>6</v>
      </c>
      <c r="J2339" s="1" t="s">
        <v>527</v>
      </c>
      <c r="K2339">
        <v>0</v>
      </c>
      <c r="L2339">
        <v>222</v>
      </c>
      <c r="M2339">
        <v>20.175191000000002</v>
      </c>
      <c r="N2339">
        <v>2</v>
      </c>
      <c r="O2339" s="1" t="s">
        <v>569</v>
      </c>
      <c r="P2339">
        <v>4480.91</v>
      </c>
      <c r="Q2339">
        <v>2101.5500000000002</v>
      </c>
      <c r="R2339">
        <v>0</v>
      </c>
      <c r="S2339" s="1" t="s">
        <v>1032</v>
      </c>
      <c r="T2339" s="1" t="s">
        <v>1307</v>
      </c>
      <c r="U2339">
        <v>4480.9292100000002</v>
      </c>
      <c r="V2339">
        <v>0</v>
      </c>
      <c r="W2339">
        <v>60882</v>
      </c>
    </row>
    <row r="2340" spans="1:23" x14ac:dyDescent="0.25">
      <c r="A2340" s="1" t="s">
        <v>33</v>
      </c>
      <c r="B2340" s="1"/>
      <c r="C2340" s="1" t="s">
        <v>170</v>
      </c>
      <c r="D2340">
        <v>10191</v>
      </c>
      <c r="E2340" s="1"/>
      <c r="F2340" s="1" t="s">
        <v>170</v>
      </c>
      <c r="G2340">
        <v>2015</v>
      </c>
      <c r="H2340">
        <v>4796.0600000000004</v>
      </c>
      <c r="I2340">
        <v>5</v>
      </c>
      <c r="J2340" s="1"/>
      <c r="K2340">
        <v>0</v>
      </c>
      <c r="L2340">
        <v>711</v>
      </c>
      <c r="M2340">
        <v>6.7445639999999996</v>
      </c>
      <c r="N2340">
        <v>2</v>
      </c>
      <c r="O2340" s="1" t="s">
        <v>569</v>
      </c>
      <c r="P2340">
        <v>4796.0600000000004</v>
      </c>
      <c r="Q2340">
        <v>1438.82</v>
      </c>
      <c r="R2340">
        <v>0</v>
      </c>
      <c r="S2340" s="1"/>
      <c r="T2340" s="1"/>
      <c r="U2340">
        <v>4796.0603000000001</v>
      </c>
      <c r="V2340">
        <v>0</v>
      </c>
      <c r="W2340">
        <v>77256</v>
      </c>
    </row>
    <row r="2341" spans="1:23" x14ac:dyDescent="0.25">
      <c r="A2341" s="1" t="s">
        <v>33</v>
      </c>
      <c r="B2341" s="1"/>
      <c r="C2341" s="1" t="s">
        <v>170</v>
      </c>
      <c r="D2341">
        <v>10191</v>
      </c>
      <c r="E2341" s="1"/>
      <c r="F2341" s="1" t="s">
        <v>170</v>
      </c>
      <c r="G2341">
        <v>2014</v>
      </c>
      <c r="H2341">
        <v>18174.27</v>
      </c>
      <c r="I2341">
        <v>12</v>
      </c>
      <c r="J2341" s="1"/>
      <c r="K2341">
        <v>0</v>
      </c>
      <c r="L2341">
        <v>711</v>
      </c>
      <c r="M2341">
        <v>25.557966</v>
      </c>
      <c r="N2341">
        <v>2</v>
      </c>
      <c r="O2341" s="1" t="s">
        <v>569</v>
      </c>
      <c r="P2341">
        <v>18174.27</v>
      </c>
      <c r="Q2341">
        <v>5452.27</v>
      </c>
      <c r="R2341">
        <v>0</v>
      </c>
      <c r="S2341" s="1"/>
      <c r="T2341" s="1"/>
      <c r="U2341">
        <v>18174.269</v>
      </c>
      <c r="V2341">
        <v>0</v>
      </c>
      <c r="W2341">
        <v>77256</v>
      </c>
    </row>
    <row r="2342" spans="1:23" x14ac:dyDescent="0.25">
      <c r="A2342" s="1" t="s">
        <v>33</v>
      </c>
      <c r="B2342" s="1"/>
      <c r="C2342" s="1" t="s">
        <v>170</v>
      </c>
      <c r="D2342">
        <v>10191</v>
      </c>
      <c r="E2342" s="1"/>
      <c r="F2342" s="1" t="s">
        <v>170</v>
      </c>
      <c r="G2342">
        <v>2013</v>
      </c>
      <c r="H2342">
        <v>24268.13</v>
      </c>
      <c r="I2342">
        <v>12</v>
      </c>
      <c r="J2342" s="1"/>
      <c r="K2342">
        <v>0</v>
      </c>
      <c r="L2342">
        <v>711</v>
      </c>
      <c r="M2342">
        <v>34.127591000000002</v>
      </c>
      <c r="N2342">
        <v>2</v>
      </c>
      <c r="O2342" s="1" t="s">
        <v>569</v>
      </c>
      <c r="P2342">
        <v>24268.13</v>
      </c>
      <c r="Q2342">
        <v>7280.44</v>
      </c>
      <c r="R2342">
        <v>0</v>
      </c>
      <c r="S2342" s="1"/>
      <c r="T2342" s="1"/>
      <c r="U2342">
        <v>24268.13</v>
      </c>
      <c r="V2342">
        <v>0</v>
      </c>
      <c r="W2342">
        <v>77256</v>
      </c>
    </row>
    <row r="2343" spans="1:23" x14ac:dyDescent="0.25">
      <c r="A2343" s="1" t="s">
        <v>33</v>
      </c>
      <c r="B2343" s="1"/>
      <c r="C2343" s="1" t="s">
        <v>170</v>
      </c>
      <c r="D2343">
        <v>10191</v>
      </c>
      <c r="E2343" s="1"/>
      <c r="F2343" s="1" t="s">
        <v>170</v>
      </c>
      <c r="G2343">
        <v>2012</v>
      </c>
      <c r="H2343">
        <v>19742.47</v>
      </c>
      <c r="I2343">
        <v>12</v>
      </c>
      <c r="J2343" s="1"/>
      <c r="K2343">
        <v>0</v>
      </c>
      <c r="L2343">
        <v>711</v>
      </c>
      <c r="M2343">
        <v>27.763282</v>
      </c>
      <c r="N2343">
        <v>2</v>
      </c>
      <c r="O2343" s="1" t="s">
        <v>569</v>
      </c>
      <c r="P2343">
        <v>19742.47</v>
      </c>
      <c r="Q2343">
        <v>7896.99</v>
      </c>
      <c r="R2343">
        <v>0</v>
      </c>
      <c r="S2343" s="1"/>
      <c r="T2343" s="1"/>
      <c r="U2343">
        <v>19742.48</v>
      </c>
      <c r="V2343">
        <v>0</v>
      </c>
      <c r="W2343">
        <v>77256</v>
      </c>
    </row>
    <row r="2344" spans="1:23" x14ac:dyDescent="0.25">
      <c r="A2344" s="1" t="s">
        <v>33</v>
      </c>
      <c r="B2344" s="1"/>
      <c r="C2344" s="1" t="s">
        <v>170</v>
      </c>
      <c r="D2344">
        <v>10191</v>
      </c>
      <c r="E2344" s="1"/>
      <c r="F2344" s="1" t="s">
        <v>170</v>
      </c>
      <c r="G2344">
        <v>2011</v>
      </c>
      <c r="H2344">
        <v>14139.5</v>
      </c>
      <c r="I2344">
        <v>12</v>
      </c>
      <c r="J2344" s="1"/>
      <c r="K2344">
        <v>0</v>
      </c>
      <c r="L2344">
        <v>711</v>
      </c>
      <c r="M2344">
        <v>19.883982</v>
      </c>
      <c r="N2344">
        <v>2</v>
      </c>
      <c r="O2344" s="1" t="s">
        <v>569</v>
      </c>
      <c r="P2344">
        <v>14139.5</v>
      </c>
      <c r="Q2344">
        <v>6631.42</v>
      </c>
      <c r="R2344">
        <v>0</v>
      </c>
      <c r="S2344" s="1"/>
      <c r="T2344" s="1"/>
      <c r="U2344">
        <v>14139.499900000001</v>
      </c>
      <c r="V2344">
        <v>0</v>
      </c>
      <c r="W2344">
        <v>77256</v>
      </c>
    </row>
    <row r="2345" spans="1:23" x14ac:dyDescent="0.25">
      <c r="A2345" s="1" t="s">
        <v>33</v>
      </c>
      <c r="B2345" s="1"/>
      <c r="C2345" s="1" t="s">
        <v>170</v>
      </c>
      <c r="D2345">
        <v>10191</v>
      </c>
      <c r="E2345" s="1"/>
      <c r="F2345" s="1" t="s">
        <v>170</v>
      </c>
      <c r="G2345">
        <v>2010</v>
      </c>
      <c r="H2345">
        <v>15337.26</v>
      </c>
      <c r="I2345">
        <v>12</v>
      </c>
      <c r="J2345" s="1"/>
      <c r="K2345">
        <v>0</v>
      </c>
      <c r="L2345">
        <v>711</v>
      </c>
      <c r="M2345">
        <v>21.568358</v>
      </c>
      <c r="N2345">
        <v>2</v>
      </c>
      <c r="O2345" s="1" t="s">
        <v>569</v>
      </c>
      <c r="P2345">
        <v>15337.26</v>
      </c>
      <c r="Q2345">
        <v>7193.17</v>
      </c>
      <c r="R2345">
        <v>0</v>
      </c>
      <c r="S2345" s="1"/>
      <c r="T2345" s="1"/>
      <c r="U2345">
        <v>15337.258599999999</v>
      </c>
      <c r="V2345">
        <v>0</v>
      </c>
      <c r="W2345">
        <v>77256</v>
      </c>
    </row>
    <row r="2346" spans="1:23" x14ac:dyDescent="0.25">
      <c r="A2346" s="1" t="s">
        <v>33</v>
      </c>
      <c r="B2346" s="1"/>
      <c r="C2346" s="1" t="s">
        <v>170</v>
      </c>
      <c r="D2346">
        <v>10191</v>
      </c>
      <c r="E2346" s="1"/>
      <c r="F2346" s="1" t="s">
        <v>170</v>
      </c>
      <c r="G2346">
        <v>2009</v>
      </c>
      <c r="H2346">
        <v>15727.98</v>
      </c>
      <c r="I2346">
        <v>12</v>
      </c>
      <c r="J2346" s="1"/>
      <c r="K2346">
        <v>0</v>
      </c>
      <c r="L2346">
        <v>711</v>
      </c>
      <c r="M2346">
        <v>22.117816999999999</v>
      </c>
      <c r="N2346">
        <v>2</v>
      </c>
      <c r="O2346" s="1" t="s">
        <v>569</v>
      </c>
      <c r="P2346">
        <v>15727.98</v>
      </c>
      <c r="Q2346">
        <v>7376.43</v>
      </c>
      <c r="R2346">
        <v>0</v>
      </c>
      <c r="S2346" s="1"/>
      <c r="T2346" s="1"/>
      <c r="U2346">
        <v>15727.978999999999</v>
      </c>
      <c r="V2346">
        <v>0</v>
      </c>
      <c r="W2346">
        <v>77256</v>
      </c>
    </row>
    <row r="2347" spans="1:23" x14ac:dyDescent="0.25">
      <c r="A2347" s="1" t="s">
        <v>33</v>
      </c>
      <c r="B2347" s="1"/>
      <c r="C2347" s="1" t="s">
        <v>170</v>
      </c>
      <c r="D2347">
        <v>10191</v>
      </c>
      <c r="E2347" s="1"/>
      <c r="F2347" s="1" t="s">
        <v>170</v>
      </c>
      <c r="G2347">
        <v>2008</v>
      </c>
      <c r="H2347">
        <v>13634.12</v>
      </c>
      <c r="I2347">
        <v>12</v>
      </c>
      <c r="J2347" s="1"/>
      <c r="K2347">
        <v>0</v>
      </c>
      <c r="L2347">
        <v>711</v>
      </c>
      <c r="M2347">
        <v>19.173279999999998</v>
      </c>
      <c r="N2347">
        <v>2</v>
      </c>
      <c r="O2347" s="1" t="s">
        <v>569</v>
      </c>
      <c r="P2347">
        <v>13634.12</v>
      </c>
      <c r="Q2347">
        <v>6394.41</v>
      </c>
      <c r="R2347">
        <v>0</v>
      </c>
      <c r="S2347" s="1"/>
      <c r="T2347" s="1"/>
      <c r="U2347">
        <v>13634.12</v>
      </c>
      <c r="V2347">
        <v>0</v>
      </c>
      <c r="W2347">
        <v>77256</v>
      </c>
    </row>
    <row r="2348" spans="1:23" x14ac:dyDescent="0.25">
      <c r="A2348" s="1" t="s">
        <v>33</v>
      </c>
      <c r="B2348" s="1"/>
      <c r="C2348" s="1" t="s">
        <v>171</v>
      </c>
      <c r="D2348">
        <v>9517</v>
      </c>
      <c r="E2348" s="1"/>
      <c r="F2348" s="1" t="s">
        <v>302</v>
      </c>
      <c r="G2348">
        <v>2015</v>
      </c>
      <c r="H2348">
        <v>3976.53</v>
      </c>
      <c r="I2348">
        <v>5</v>
      </c>
      <c r="J2348" s="1"/>
      <c r="K2348">
        <v>0</v>
      </c>
      <c r="L2348">
        <v>784</v>
      </c>
      <c r="M2348">
        <v>5.0714569999999997</v>
      </c>
      <c r="N2348">
        <v>2</v>
      </c>
      <c r="O2348" s="1" t="s">
        <v>569</v>
      </c>
      <c r="P2348">
        <v>3976.53</v>
      </c>
      <c r="Q2348">
        <v>1192.95</v>
      </c>
      <c r="R2348">
        <v>0</v>
      </c>
      <c r="S2348" s="1" t="s">
        <v>1033</v>
      </c>
      <c r="T2348" s="1"/>
      <c r="U2348">
        <v>3976.5239000000001</v>
      </c>
      <c r="V2348">
        <v>0</v>
      </c>
      <c r="W2348">
        <v>74424</v>
      </c>
    </row>
    <row r="2349" spans="1:23" x14ac:dyDescent="0.25">
      <c r="A2349" s="1" t="s">
        <v>33</v>
      </c>
      <c r="B2349" s="1"/>
      <c r="C2349" s="1" t="s">
        <v>171</v>
      </c>
      <c r="D2349">
        <v>9517</v>
      </c>
      <c r="E2349" s="1"/>
      <c r="F2349" s="1" t="s">
        <v>302</v>
      </c>
      <c r="G2349">
        <v>2014</v>
      </c>
      <c r="H2349">
        <v>8617.6299999999992</v>
      </c>
      <c r="I2349">
        <v>12</v>
      </c>
      <c r="J2349" s="1"/>
      <c r="K2349">
        <v>0</v>
      </c>
      <c r="L2349">
        <v>784</v>
      </c>
      <c r="M2349">
        <v>10.990473</v>
      </c>
      <c r="N2349">
        <v>2</v>
      </c>
      <c r="O2349" s="1" t="s">
        <v>569</v>
      </c>
      <c r="P2349">
        <v>8617.6299999999992</v>
      </c>
      <c r="Q2349">
        <v>2585.27</v>
      </c>
      <c r="R2349">
        <v>0</v>
      </c>
      <c r="S2349" s="1" t="s">
        <v>1033</v>
      </c>
      <c r="T2349" s="1"/>
      <c r="U2349">
        <v>8617.6201000000001</v>
      </c>
      <c r="V2349">
        <v>0</v>
      </c>
      <c r="W2349">
        <v>74424</v>
      </c>
    </row>
    <row r="2350" spans="1:23" x14ac:dyDescent="0.25">
      <c r="A2350" s="1" t="s">
        <v>33</v>
      </c>
      <c r="B2350" s="1"/>
      <c r="C2350" s="1" t="s">
        <v>171</v>
      </c>
      <c r="D2350">
        <v>9517</v>
      </c>
      <c r="E2350" s="1"/>
      <c r="F2350" s="1" t="s">
        <v>302</v>
      </c>
      <c r="G2350">
        <v>2013</v>
      </c>
      <c r="H2350">
        <v>9634.75</v>
      </c>
      <c r="I2350">
        <v>12</v>
      </c>
      <c r="J2350" s="1"/>
      <c r="K2350">
        <v>0</v>
      </c>
      <c r="L2350">
        <v>784</v>
      </c>
      <c r="M2350">
        <v>12.287654</v>
      </c>
      <c r="N2350">
        <v>2</v>
      </c>
      <c r="O2350" s="1" t="s">
        <v>569</v>
      </c>
      <c r="P2350">
        <v>9634.75</v>
      </c>
      <c r="Q2350">
        <v>2890.46</v>
      </c>
      <c r="R2350">
        <v>0</v>
      </c>
      <c r="S2350" s="1" t="s">
        <v>1033</v>
      </c>
      <c r="T2350" s="1"/>
      <c r="U2350">
        <v>9634.7690000000002</v>
      </c>
      <c r="V2350">
        <v>0</v>
      </c>
      <c r="W2350">
        <v>74424</v>
      </c>
    </row>
    <row r="2351" spans="1:23" x14ac:dyDescent="0.25">
      <c r="A2351" s="1" t="s">
        <v>33</v>
      </c>
      <c r="B2351" s="1"/>
      <c r="C2351" s="1" t="s">
        <v>171</v>
      </c>
      <c r="D2351">
        <v>9517</v>
      </c>
      <c r="E2351" s="1"/>
      <c r="F2351" s="1" t="s">
        <v>302</v>
      </c>
      <c r="G2351">
        <v>2012</v>
      </c>
      <c r="H2351">
        <v>11652.15</v>
      </c>
      <c r="I2351">
        <v>12</v>
      </c>
      <c r="J2351" s="1"/>
      <c r="K2351">
        <v>0</v>
      </c>
      <c r="L2351">
        <v>784</v>
      </c>
      <c r="M2351">
        <v>14.86054</v>
      </c>
      <c r="N2351">
        <v>2</v>
      </c>
      <c r="O2351" s="1" t="s">
        <v>569</v>
      </c>
      <c r="P2351">
        <v>11652.15</v>
      </c>
      <c r="Q2351">
        <v>4660.8500000000004</v>
      </c>
      <c r="R2351">
        <v>0</v>
      </c>
      <c r="S2351" s="1" t="s">
        <v>1033</v>
      </c>
      <c r="T2351" s="1"/>
      <c r="U2351">
        <v>11652.1425</v>
      </c>
      <c r="V2351">
        <v>0</v>
      </c>
      <c r="W2351">
        <v>74424</v>
      </c>
    </row>
    <row r="2352" spans="1:23" x14ac:dyDescent="0.25">
      <c r="A2352" s="1" t="s">
        <v>33</v>
      </c>
      <c r="B2352" s="1"/>
      <c r="C2352" s="1" t="s">
        <v>171</v>
      </c>
      <c r="D2352">
        <v>9517</v>
      </c>
      <c r="E2352" s="1"/>
      <c r="F2352" s="1" t="s">
        <v>302</v>
      </c>
      <c r="G2352">
        <v>2011</v>
      </c>
      <c r="H2352">
        <v>10606.52</v>
      </c>
      <c r="I2352">
        <v>12</v>
      </c>
      <c r="J2352" s="1"/>
      <c r="K2352">
        <v>0</v>
      </c>
      <c r="L2352">
        <v>784</v>
      </c>
      <c r="M2352">
        <v>13.526999</v>
      </c>
      <c r="N2352">
        <v>2</v>
      </c>
      <c r="O2352" s="1" t="s">
        <v>569</v>
      </c>
      <c r="P2352">
        <v>10606.52</v>
      </c>
      <c r="Q2352">
        <v>4974.4399999999996</v>
      </c>
      <c r="R2352">
        <v>0</v>
      </c>
      <c r="S2352" s="1" t="s">
        <v>1033</v>
      </c>
      <c r="T2352" s="1"/>
      <c r="U2352">
        <v>10606.511500000001</v>
      </c>
      <c r="V2352">
        <v>0</v>
      </c>
      <c r="W2352">
        <v>74424</v>
      </c>
    </row>
    <row r="2353" spans="1:23" x14ac:dyDescent="0.25">
      <c r="A2353" s="1" t="s">
        <v>33</v>
      </c>
      <c r="B2353" s="1"/>
      <c r="C2353" s="1" t="s">
        <v>171</v>
      </c>
      <c r="D2353">
        <v>9517</v>
      </c>
      <c r="E2353" s="1"/>
      <c r="F2353" s="1" t="s">
        <v>302</v>
      </c>
      <c r="G2353">
        <v>2010</v>
      </c>
      <c r="H2353">
        <v>8894.84</v>
      </c>
      <c r="I2353">
        <v>12</v>
      </c>
      <c r="J2353" s="1"/>
      <c r="K2353">
        <v>0</v>
      </c>
      <c r="L2353">
        <v>784</v>
      </c>
      <c r="M2353">
        <v>11.344011999999999</v>
      </c>
      <c r="N2353">
        <v>2</v>
      </c>
      <c r="O2353" s="1" t="s">
        <v>569</v>
      </c>
      <c r="P2353">
        <v>8894.84</v>
      </c>
      <c r="Q2353">
        <v>4171.6499999999996</v>
      </c>
      <c r="R2353">
        <v>0</v>
      </c>
      <c r="S2353" s="1" t="s">
        <v>1033</v>
      </c>
      <c r="T2353" s="1"/>
      <c r="U2353">
        <v>8894.8215999999993</v>
      </c>
      <c r="V2353">
        <v>0</v>
      </c>
      <c r="W2353">
        <v>74424</v>
      </c>
    </row>
    <row r="2354" spans="1:23" x14ac:dyDescent="0.25">
      <c r="A2354" s="1" t="s">
        <v>33</v>
      </c>
      <c r="B2354" s="1"/>
      <c r="C2354" s="1" t="s">
        <v>171</v>
      </c>
      <c r="D2354">
        <v>9517</v>
      </c>
      <c r="E2354" s="1"/>
      <c r="F2354" s="1" t="s">
        <v>302</v>
      </c>
      <c r="G2354">
        <v>2009</v>
      </c>
      <c r="H2354">
        <v>10683.87</v>
      </c>
      <c r="I2354">
        <v>12</v>
      </c>
      <c r="J2354" s="1"/>
      <c r="K2354">
        <v>0</v>
      </c>
      <c r="L2354">
        <v>784</v>
      </c>
      <c r="M2354">
        <v>13.625647000000001</v>
      </c>
      <c r="N2354">
        <v>2</v>
      </c>
      <c r="O2354" s="1" t="s">
        <v>569</v>
      </c>
      <c r="P2354">
        <v>10683.87</v>
      </c>
      <c r="Q2354">
        <v>5010.7</v>
      </c>
      <c r="R2354">
        <v>0</v>
      </c>
      <c r="S2354" s="1" t="s">
        <v>1033</v>
      </c>
      <c r="T2354" s="1"/>
      <c r="U2354">
        <v>10683.8622</v>
      </c>
      <c r="V2354">
        <v>0</v>
      </c>
      <c r="W2354">
        <v>74424</v>
      </c>
    </row>
    <row r="2355" spans="1:23" x14ac:dyDescent="0.25">
      <c r="A2355" s="1" t="s">
        <v>33</v>
      </c>
      <c r="B2355" s="1"/>
      <c r="C2355" s="1" t="s">
        <v>171</v>
      </c>
      <c r="D2355">
        <v>9517</v>
      </c>
      <c r="E2355" s="1"/>
      <c r="F2355" s="1" t="s">
        <v>302</v>
      </c>
      <c r="G2355">
        <v>2008</v>
      </c>
      <c r="H2355">
        <v>14111.19</v>
      </c>
      <c r="I2355">
        <v>12</v>
      </c>
      <c r="J2355" s="1"/>
      <c r="K2355">
        <v>0</v>
      </c>
      <c r="L2355">
        <v>784</v>
      </c>
      <c r="M2355">
        <v>17.996670999999999</v>
      </c>
      <c r="N2355">
        <v>2</v>
      </c>
      <c r="O2355" s="1" t="s">
        <v>569</v>
      </c>
      <c r="P2355">
        <v>14111.19</v>
      </c>
      <c r="Q2355">
        <v>6618.14</v>
      </c>
      <c r="R2355">
        <v>0</v>
      </c>
      <c r="S2355" s="1" t="s">
        <v>1033</v>
      </c>
      <c r="T2355" s="1"/>
      <c r="U2355">
        <v>14111.1875</v>
      </c>
      <c r="V2355">
        <v>0</v>
      </c>
      <c r="W2355">
        <v>74424</v>
      </c>
    </row>
    <row r="2356" spans="1:23" x14ac:dyDescent="0.25">
      <c r="A2356" s="1" t="s">
        <v>33</v>
      </c>
      <c r="B2356" s="1" t="s">
        <v>72</v>
      </c>
      <c r="C2356" s="1" t="s">
        <v>172</v>
      </c>
      <c r="D2356">
        <v>5300</v>
      </c>
      <c r="E2356" s="1"/>
      <c r="F2356" s="1" t="s">
        <v>303</v>
      </c>
      <c r="G2356">
        <v>2015</v>
      </c>
      <c r="H2356">
        <v>60722.26</v>
      </c>
      <c r="I2356">
        <v>5</v>
      </c>
      <c r="J2356" s="1" t="s">
        <v>393</v>
      </c>
      <c r="K2356">
        <v>0</v>
      </c>
      <c r="L2356">
        <v>7375</v>
      </c>
      <c r="M2356">
        <v>8.2334150000000008</v>
      </c>
      <c r="N2356">
        <v>2</v>
      </c>
      <c r="O2356" s="1" t="s">
        <v>569</v>
      </c>
      <c r="P2356">
        <v>60722.26</v>
      </c>
      <c r="Q2356">
        <v>24288.9</v>
      </c>
      <c r="R2356">
        <v>0</v>
      </c>
      <c r="S2356" s="1" t="s">
        <v>1034</v>
      </c>
      <c r="T2356" s="1" t="s">
        <v>1308</v>
      </c>
      <c r="U2356">
        <v>60722.26</v>
      </c>
      <c r="V2356">
        <v>0</v>
      </c>
      <c r="W2356">
        <v>56967</v>
      </c>
    </row>
    <row r="2357" spans="1:23" x14ac:dyDescent="0.25">
      <c r="A2357" s="1" t="s">
        <v>33</v>
      </c>
      <c r="B2357" s="1" t="s">
        <v>72</v>
      </c>
      <c r="C2357" s="1" t="s">
        <v>172</v>
      </c>
      <c r="D2357">
        <v>5300</v>
      </c>
      <c r="E2357" s="1"/>
      <c r="F2357" s="1" t="s">
        <v>303</v>
      </c>
      <c r="G2357">
        <v>2014</v>
      </c>
      <c r="H2357">
        <v>175150.81</v>
      </c>
      <c r="I2357">
        <v>12</v>
      </c>
      <c r="J2357" s="1" t="s">
        <v>393</v>
      </c>
      <c r="K2357">
        <v>0</v>
      </c>
      <c r="L2357">
        <v>7375</v>
      </c>
      <c r="M2357">
        <v>23.748940000000001</v>
      </c>
      <c r="N2357">
        <v>2</v>
      </c>
      <c r="O2357" s="1" t="s">
        <v>569</v>
      </c>
      <c r="P2357">
        <v>175150.81</v>
      </c>
      <c r="Q2357">
        <v>70060.320000000007</v>
      </c>
      <c r="R2357">
        <v>0</v>
      </c>
      <c r="S2357" s="1" t="s">
        <v>1034</v>
      </c>
      <c r="T2357" s="1" t="s">
        <v>1308</v>
      </c>
      <c r="U2357">
        <v>175150.81</v>
      </c>
      <c r="V2357">
        <v>0</v>
      </c>
      <c r="W2357">
        <v>56967</v>
      </c>
    </row>
    <row r="2358" spans="1:23" x14ac:dyDescent="0.25">
      <c r="A2358" s="1" t="s">
        <v>33</v>
      </c>
      <c r="B2358" s="1" t="s">
        <v>72</v>
      </c>
      <c r="C2358" s="1" t="s">
        <v>172</v>
      </c>
      <c r="D2358">
        <v>5300</v>
      </c>
      <c r="E2358" s="1"/>
      <c r="F2358" s="1" t="s">
        <v>303</v>
      </c>
      <c r="G2358">
        <v>2013</v>
      </c>
      <c r="H2358">
        <v>284793.56</v>
      </c>
      <c r="I2358">
        <v>12</v>
      </c>
      <c r="J2358" s="1" t="s">
        <v>393</v>
      </c>
      <c r="K2358">
        <v>0</v>
      </c>
      <c r="L2358">
        <v>7375</v>
      </c>
      <c r="M2358">
        <v>38.615552000000001</v>
      </c>
      <c r="N2358">
        <v>2</v>
      </c>
      <c r="O2358" s="1" t="s">
        <v>569</v>
      </c>
      <c r="P2358">
        <v>284793.56</v>
      </c>
      <c r="Q2358">
        <v>113917.44</v>
      </c>
      <c r="R2358">
        <v>0</v>
      </c>
      <c r="S2358" s="1" t="s">
        <v>1034</v>
      </c>
      <c r="T2358" s="1" t="s">
        <v>1308</v>
      </c>
      <c r="U2358">
        <v>284793.56</v>
      </c>
      <c r="V2358">
        <v>0</v>
      </c>
      <c r="W2358">
        <v>56967</v>
      </c>
    </row>
    <row r="2359" spans="1:23" x14ac:dyDescent="0.25">
      <c r="A2359" s="1" t="s">
        <v>33</v>
      </c>
      <c r="B2359" s="1" t="s">
        <v>72</v>
      </c>
      <c r="C2359" s="1" t="s">
        <v>172</v>
      </c>
      <c r="D2359">
        <v>5300</v>
      </c>
      <c r="E2359" s="1"/>
      <c r="F2359" s="1" t="s">
        <v>303</v>
      </c>
      <c r="G2359">
        <v>2012</v>
      </c>
      <c r="H2359">
        <v>300655.03999999998</v>
      </c>
      <c r="I2359">
        <v>12</v>
      </c>
      <c r="J2359" s="1" t="s">
        <v>393</v>
      </c>
      <c r="K2359">
        <v>0</v>
      </c>
      <c r="L2359">
        <v>7375</v>
      </c>
      <c r="M2359">
        <v>40.766232000000002</v>
      </c>
      <c r="N2359">
        <v>2</v>
      </c>
      <c r="O2359" s="1" t="s">
        <v>569</v>
      </c>
      <c r="P2359">
        <v>300655.03999999998</v>
      </c>
      <c r="Q2359">
        <v>120262.01</v>
      </c>
      <c r="R2359">
        <v>0</v>
      </c>
      <c r="S2359" s="1" t="s">
        <v>1034</v>
      </c>
      <c r="T2359" s="1" t="s">
        <v>1308</v>
      </c>
      <c r="U2359">
        <v>300655.03999999998</v>
      </c>
      <c r="V2359">
        <v>0</v>
      </c>
      <c r="W2359">
        <v>56967</v>
      </c>
    </row>
    <row r="2360" spans="1:23" x14ac:dyDescent="0.25">
      <c r="A2360" s="1" t="s">
        <v>33</v>
      </c>
      <c r="B2360" s="1" t="s">
        <v>72</v>
      </c>
      <c r="C2360" s="1" t="s">
        <v>172</v>
      </c>
      <c r="D2360">
        <v>5300</v>
      </c>
      <c r="E2360" s="1"/>
      <c r="F2360" s="1" t="s">
        <v>303</v>
      </c>
      <c r="G2360">
        <v>2011</v>
      </c>
      <c r="H2360">
        <v>283081.15999999997</v>
      </c>
      <c r="I2360">
        <v>12</v>
      </c>
      <c r="J2360" s="1" t="s">
        <v>393</v>
      </c>
      <c r="K2360">
        <v>0</v>
      </c>
      <c r="L2360">
        <v>7375</v>
      </c>
      <c r="M2360">
        <v>38.383364999999998</v>
      </c>
      <c r="N2360">
        <v>2</v>
      </c>
      <c r="O2360" s="1" t="s">
        <v>569</v>
      </c>
      <c r="P2360">
        <v>283081.15999999997</v>
      </c>
      <c r="Q2360">
        <v>132765.07999999999</v>
      </c>
      <c r="R2360">
        <v>0</v>
      </c>
      <c r="S2360" s="1" t="s">
        <v>1034</v>
      </c>
      <c r="T2360" s="1" t="s">
        <v>1308</v>
      </c>
      <c r="U2360">
        <v>283081.15999999997</v>
      </c>
      <c r="V2360">
        <v>0</v>
      </c>
      <c r="W2360">
        <v>56967</v>
      </c>
    </row>
    <row r="2361" spans="1:23" x14ac:dyDescent="0.25">
      <c r="A2361" s="1" t="s">
        <v>33</v>
      </c>
      <c r="B2361" s="1" t="s">
        <v>72</v>
      </c>
      <c r="C2361" s="1" t="s">
        <v>172</v>
      </c>
      <c r="D2361">
        <v>5300</v>
      </c>
      <c r="E2361" s="1"/>
      <c r="F2361" s="1" t="s">
        <v>303</v>
      </c>
      <c r="G2361">
        <v>2010</v>
      </c>
      <c r="H2361">
        <v>322591.24</v>
      </c>
      <c r="I2361">
        <v>12</v>
      </c>
      <c r="J2361" s="1" t="s">
        <v>393</v>
      </c>
      <c r="K2361">
        <v>0</v>
      </c>
      <c r="L2361">
        <v>7375</v>
      </c>
      <c r="M2361">
        <v>43.740591000000002</v>
      </c>
      <c r="N2361">
        <v>2</v>
      </c>
      <c r="O2361" s="1" t="s">
        <v>569</v>
      </c>
      <c r="P2361">
        <v>322591.24</v>
      </c>
      <c r="Q2361">
        <v>151295.29999999999</v>
      </c>
      <c r="R2361">
        <v>0</v>
      </c>
      <c r="S2361" s="1" t="s">
        <v>1034</v>
      </c>
      <c r="T2361" s="1" t="s">
        <v>1308</v>
      </c>
      <c r="U2361">
        <v>322591.24</v>
      </c>
      <c r="V2361">
        <v>0</v>
      </c>
      <c r="W2361">
        <v>56967</v>
      </c>
    </row>
    <row r="2362" spans="1:23" x14ac:dyDescent="0.25">
      <c r="A2362" s="1" t="s">
        <v>33</v>
      </c>
      <c r="B2362" s="1" t="s">
        <v>72</v>
      </c>
      <c r="C2362" s="1" t="s">
        <v>172</v>
      </c>
      <c r="D2362">
        <v>5300</v>
      </c>
      <c r="E2362" s="1"/>
      <c r="F2362" s="1" t="s">
        <v>303</v>
      </c>
      <c r="G2362">
        <v>2009</v>
      </c>
      <c r="H2362">
        <v>311880.76</v>
      </c>
      <c r="I2362">
        <v>12</v>
      </c>
      <c r="J2362" s="1" t="s">
        <v>393</v>
      </c>
      <c r="K2362">
        <v>0</v>
      </c>
      <c r="L2362">
        <v>7375</v>
      </c>
      <c r="M2362">
        <v>42.288342999999998</v>
      </c>
      <c r="N2362">
        <v>2</v>
      </c>
      <c r="O2362" s="1" t="s">
        <v>569</v>
      </c>
      <c r="P2362">
        <v>311880.76</v>
      </c>
      <c r="Q2362">
        <v>146272.07</v>
      </c>
      <c r="R2362">
        <v>0</v>
      </c>
      <c r="S2362" s="1" t="s">
        <v>1034</v>
      </c>
      <c r="T2362" s="1" t="s">
        <v>1308</v>
      </c>
      <c r="U2362">
        <v>311880.76</v>
      </c>
      <c r="V2362">
        <v>0</v>
      </c>
      <c r="W2362">
        <v>56967</v>
      </c>
    </row>
    <row r="2363" spans="1:23" x14ac:dyDescent="0.25">
      <c r="A2363" s="1" t="s">
        <v>33</v>
      </c>
      <c r="B2363" s="1" t="s">
        <v>72</v>
      </c>
      <c r="C2363" s="1" t="s">
        <v>172</v>
      </c>
      <c r="D2363">
        <v>5300</v>
      </c>
      <c r="E2363" s="1"/>
      <c r="F2363" s="1" t="s">
        <v>303</v>
      </c>
      <c r="G2363">
        <v>2008</v>
      </c>
      <c r="H2363">
        <v>363484</v>
      </c>
      <c r="I2363">
        <v>12</v>
      </c>
      <c r="J2363" s="1" t="s">
        <v>393</v>
      </c>
      <c r="K2363">
        <v>0</v>
      </c>
      <c r="L2363">
        <v>7375</v>
      </c>
      <c r="M2363">
        <v>49.285297</v>
      </c>
      <c r="N2363">
        <v>2</v>
      </c>
      <c r="O2363" s="1" t="s">
        <v>569</v>
      </c>
      <c r="P2363">
        <v>363484</v>
      </c>
      <c r="Q2363">
        <v>170473.99</v>
      </c>
      <c r="R2363">
        <v>0</v>
      </c>
      <c r="S2363" s="1" t="s">
        <v>1034</v>
      </c>
      <c r="T2363" s="1" t="s">
        <v>1308</v>
      </c>
      <c r="U2363">
        <v>363484</v>
      </c>
      <c r="V2363">
        <v>0</v>
      </c>
      <c r="W2363">
        <v>56967</v>
      </c>
    </row>
    <row r="2364" spans="1:23" x14ac:dyDescent="0.25">
      <c r="A2364" s="1" t="s">
        <v>33</v>
      </c>
      <c r="B2364" s="1"/>
      <c r="C2364" s="1" t="s">
        <v>173</v>
      </c>
      <c r="D2364">
        <v>5271</v>
      </c>
      <c r="E2364" s="1"/>
      <c r="F2364" s="1" t="s">
        <v>173</v>
      </c>
      <c r="G2364">
        <v>2015</v>
      </c>
      <c r="H2364">
        <v>4783.09</v>
      </c>
      <c r="I2364">
        <v>5</v>
      </c>
      <c r="J2364" s="1" t="s">
        <v>402</v>
      </c>
      <c r="K2364">
        <v>0</v>
      </c>
      <c r="L2364">
        <v>255</v>
      </c>
      <c r="M2364">
        <v>18.749862</v>
      </c>
      <c r="N2364">
        <v>2</v>
      </c>
      <c r="O2364" s="1" t="s">
        <v>569</v>
      </c>
      <c r="P2364">
        <v>4783.09</v>
      </c>
      <c r="Q2364">
        <v>1434.92</v>
      </c>
      <c r="R2364">
        <v>0</v>
      </c>
      <c r="S2364" s="1" t="s">
        <v>1035</v>
      </c>
      <c r="T2364" s="1"/>
      <c r="U2364">
        <v>4783.08</v>
      </c>
      <c r="V2364">
        <v>0</v>
      </c>
      <c r="W2364">
        <v>56830</v>
      </c>
    </row>
    <row r="2365" spans="1:23" x14ac:dyDescent="0.25">
      <c r="A2365" s="1" t="s">
        <v>33</v>
      </c>
      <c r="B2365" s="1"/>
      <c r="C2365" s="1" t="s">
        <v>173</v>
      </c>
      <c r="D2365">
        <v>5271</v>
      </c>
      <c r="E2365" s="1"/>
      <c r="F2365" s="1" t="s">
        <v>173</v>
      </c>
      <c r="G2365">
        <v>2014</v>
      </c>
      <c r="H2365">
        <v>11341.11</v>
      </c>
      <c r="I2365">
        <v>12</v>
      </c>
      <c r="J2365" s="1" t="s">
        <v>402</v>
      </c>
      <c r="K2365">
        <v>0</v>
      </c>
      <c r="L2365">
        <v>255</v>
      </c>
      <c r="M2365">
        <v>44.457506000000002</v>
      </c>
      <c r="N2365">
        <v>2</v>
      </c>
      <c r="O2365" s="1" t="s">
        <v>569</v>
      </c>
      <c r="P2365">
        <v>11341.11</v>
      </c>
      <c r="Q2365">
        <v>3402.32</v>
      </c>
      <c r="R2365">
        <v>0</v>
      </c>
      <c r="S2365" s="1" t="s">
        <v>1035</v>
      </c>
      <c r="T2365" s="1"/>
      <c r="U2365">
        <v>11341.125</v>
      </c>
      <c r="V2365">
        <v>0</v>
      </c>
      <c r="W2365">
        <v>56830</v>
      </c>
    </row>
    <row r="2366" spans="1:23" x14ac:dyDescent="0.25">
      <c r="A2366" s="1" t="s">
        <v>33</v>
      </c>
      <c r="B2366" s="1"/>
      <c r="C2366" s="1" t="s">
        <v>173</v>
      </c>
      <c r="D2366">
        <v>5271</v>
      </c>
      <c r="E2366" s="1"/>
      <c r="F2366" s="1" t="s">
        <v>173</v>
      </c>
      <c r="G2366">
        <v>2013</v>
      </c>
      <c r="H2366">
        <v>10987.37</v>
      </c>
      <c r="I2366">
        <v>12</v>
      </c>
      <c r="J2366" s="1" t="s">
        <v>402</v>
      </c>
      <c r="K2366">
        <v>0</v>
      </c>
      <c r="L2366">
        <v>255</v>
      </c>
      <c r="M2366">
        <v>43.070833999999998</v>
      </c>
      <c r="N2366">
        <v>2</v>
      </c>
      <c r="O2366" s="1" t="s">
        <v>569</v>
      </c>
      <c r="P2366">
        <v>10987.37</v>
      </c>
      <c r="Q2366">
        <v>3296.18</v>
      </c>
      <c r="R2366">
        <v>0</v>
      </c>
      <c r="S2366" s="1" t="s">
        <v>1035</v>
      </c>
      <c r="T2366" s="1"/>
      <c r="U2366">
        <v>10987.365</v>
      </c>
      <c r="V2366">
        <v>0</v>
      </c>
      <c r="W2366">
        <v>56830</v>
      </c>
    </row>
    <row r="2367" spans="1:23" x14ac:dyDescent="0.25">
      <c r="A2367" s="1" t="s">
        <v>33</v>
      </c>
      <c r="B2367" s="1"/>
      <c r="C2367" s="1" t="s">
        <v>173</v>
      </c>
      <c r="D2367">
        <v>5271</v>
      </c>
      <c r="E2367" s="1"/>
      <c r="F2367" s="1" t="s">
        <v>173</v>
      </c>
      <c r="G2367">
        <v>2012</v>
      </c>
      <c r="H2367">
        <v>12506.64</v>
      </c>
      <c r="I2367">
        <v>12</v>
      </c>
      <c r="J2367" s="1" t="s">
        <v>402</v>
      </c>
      <c r="K2367">
        <v>0</v>
      </c>
      <c r="L2367">
        <v>255</v>
      </c>
      <c r="M2367">
        <v>49.026420999999999</v>
      </c>
      <c r="N2367">
        <v>2</v>
      </c>
      <c r="O2367" s="1" t="s">
        <v>569</v>
      </c>
      <c r="P2367">
        <v>12506.64</v>
      </c>
      <c r="Q2367">
        <v>5002.66</v>
      </c>
      <c r="R2367">
        <v>0</v>
      </c>
      <c r="S2367" s="1" t="s">
        <v>1035</v>
      </c>
      <c r="T2367" s="1"/>
      <c r="U2367">
        <v>12506.64</v>
      </c>
      <c r="V2367">
        <v>0</v>
      </c>
      <c r="W2367">
        <v>56830</v>
      </c>
    </row>
    <row r="2368" spans="1:23" x14ac:dyDescent="0.25">
      <c r="A2368" s="1" t="s">
        <v>33</v>
      </c>
      <c r="B2368" s="1"/>
      <c r="C2368" s="1" t="s">
        <v>173</v>
      </c>
      <c r="D2368">
        <v>5271</v>
      </c>
      <c r="E2368" s="1"/>
      <c r="F2368" s="1" t="s">
        <v>173</v>
      </c>
      <c r="G2368">
        <v>2011</v>
      </c>
      <c r="H2368">
        <v>15065.35</v>
      </c>
      <c r="I2368">
        <v>12</v>
      </c>
      <c r="J2368" s="1" t="s">
        <v>402</v>
      </c>
      <c r="K2368">
        <v>0</v>
      </c>
      <c r="L2368">
        <v>255</v>
      </c>
      <c r="M2368">
        <v>59.056643999999999</v>
      </c>
      <c r="N2368">
        <v>2</v>
      </c>
      <c r="O2368" s="1" t="s">
        <v>569</v>
      </c>
      <c r="P2368">
        <v>15065.35</v>
      </c>
      <c r="Q2368">
        <v>7065.65</v>
      </c>
      <c r="R2368">
        <v>0</v>
      </c>
      <c r="S2368" s="1" t="s">
        <v>1035</v>
      </c>
      <c r="T2368" s="1"/>
      <c r="U2368">
        <v>15065.34</v>
      </c>
      <c r="V2368">
        <v>0</v>
      </c>
      <c r="W2368">
        <v>56830</v>
      </c>
    </row>
    <row r="2369" spans="1:23" x14ac:dyDescent="0.25">
      <c r="A2369" s="1" t="s">
        <v>33</v>
      </c>
      <c r="B2369" s="1"/>
      <c r="C2369" s="1" t="s">
        <v>173</v>
      </c>
      <c r="D2369">
        <v>5271</v>
      </c>
      <c r="E2369" s="1"/>
      <c r="F2369" s="1" t="s">
        <v>173</v>
      </c>
      <c r="G2369">
        <v>2010</v>
      </c>
      <c r="H2369">
        <v>12153.38</v>
      </c>
      <c r="I2369">
        <v>12</v>
      </c>
      <c r="J2369" s="1" t="s">
        <v>402</v>
      </c>
      <c r="K2369">
        <v>0</v>
      </c>
      <c r="L2369">
        <v>255</v>
      </c>
      <c r="M2369">
        <v>47.641629999999999</v>
      </c>
      <c r="N2369">
        <v>2</v>
      </c>
      <c r="O2369" s="1" t="s">
        <v>569</v>
      </c>
      <c r="P2369">
        <v>12153.38</v>
      </c>
      <c r="Q2369">
        <v>5699.94</v>
      </c>
      <c r="R2369">
        <v>0</v>
      </c>
      <c r="S2369" s="1" t="s">
        <v>1035</v>
      </c>
      <c r="T2369" s="1"/>
      <c r="U2369">
        <v>12153.39</v>
      </c>
      <c r="V2369">
        <v>0</v>
      </c>
      <c r="W2369">
        <v>56830</v>
      </c>
    </row>
    <row r="2370" spans="1:23" x14ac:dyDescent="0.25">
      <c r="A2370" s="1" t="s">
        <v>33</v>
      </c>
      <c r="B2370" s="1"/>
      <c r="C2370" s="1" t="s">
        <v>173</v>
      </c>
      <c r="D2370">
        <v>5271</v>
      </c>
      <c r="E2370" s="1"/>
      <c r="F2370" s="1" t="s">
        <v>173</v>
      </c>
      <c r="G2370">
        <v>2009</v>
      </c>
      <c r="H2370">
        <v>11214.91</v>
      </c>
      <c r="I2370">
        <v>12</v>
      </c>
      <c r="J2370" s="1" t="s">
        <v>402</v>
      </c>
      <c r="K2370">
        <v>0</v>
      </c>
      <c r="L2370">
        <v>255</v>
      </c>
      <c r="M2370">
        <v>43.962797999999999</v>
      </c>
      <c r="N2370">
        <v>2</v>
      </c>
      <c r="O2370" s="1" t="s">
        <v>569</v>
      </c>
      <c r="P2370">
        <v>11214.91</v>
      </c>
      <c r="Q2370">
        <v>5259.78</v>
      </c>
      <c r="R2370">
        <v>0</v>
      </c>
      <c r="S2370" s="1" t="s">
        <v>1035</v>
      </c>
      <c r="T2370" s="1"/>
      <c r="U2370">
        <v>11214.9</v>
      </c>
      <c r="V2370">
        <v>0</v>
      </c>
      <c r="W2370">
        <v>56830</v>
      </c>
    </row>
    <row r="2371" spans="1:23" x14ac:dyDescent="0.25">
      <c r="A2371" s="1" t="s">
        <v>33</v>
      </c>
      <c r="B2371" s="1"/>
      <c r="C2371" s="1" t="s">
        <v>173</v>
      </c>
      <c r="D2371">
        <v>5271</v>
      </c>
      <c r="E2371" s="1"/>
      <c r="F2371" s="1" t="s">
        <v>173</v>
      </c>
      <c r="G2371">
        <v>2008</v>
      </c>
      <c r="H2371">
        <v>10926.88</v>
      </c>
      <c r="I2371">
        <v>12</v>
      </c>
      <c r="J2371" s="1" t="s">
        <v>402</v>
      </c>
      <c r="K2371">
        <v>0</v>
      </c>
      <c r="L2371">
        <v>255</v>
      </c>
      <c r="M2371">
        <v>42.833711999999998</v>
      </c>
      <c r="N2371">
        <v>2</v>
      </c>
      <c r="O2371" s="1" t="s">
        <v>569</v>
      </c>
      <c r="P2371">
        <v>10926.88</v>
      </c>
      <c r="Q2371">
        <v>5124.6899999999996</v>
      </c>
      <c r="R2371">
        <v>0</v>
      </c>
      <c r="S2371" s="1" t="s">
        <v>1035</v>
      </c>
      <c r="T2371" s="1"/>
      <c r="U2371">
        <v>10926.885</v>
      </c>
      <c r="V2371">
        <v>0</v>
      </c>
      <c r="W2371">
        <v>56830</v>
      </c>
    </row>
    <row r="2372" spans="1:23" x14ac:dyDescent="0.25">
      <c r="A2372" s="1" t="s">
        <v>33</v>
      </c>
      <c r="B2372" s="1" t="s">
        <v>73</v>
      </c>
      <c r="C2372" s="1" t="s">
        <v>174</v>
      </c>
      <c r="D2372">
        <v>13660</v>
      </c>
      <c r="E2372" s="1"/>
      <c r="F2372" s="1" t="s">
        <v>304</v>
      </c>
      <c r="G2372">
        <v>2015</v>
      </c>
      <c r="H2372">
        <v>4127.76</v>
      </c>
      <c r="I2372">
        <v>5</v>
      </c>
      <c r="J2372" s="1" t="s">
        <v>442</v>
      </c>
      <c r="K2372">
        <v>0</v>
      </c>
      <c r="L2372">
        <v>532</v>
      </c>
      <c r="M2372">
        <v>7.7574889999999996</v>
      </c>
      <c r="N2372">
        <v>2</v>
      </c>
      <c r="O2372" s="1" t="s">
        <v>569</v>
      </c>
      <c r="P2372">
        <v>4127.76</v>
      </c>
      <c r="Q2372">
        <v>1238.33</v>
      </c>
      <c r="R2372">
        <v>0</v>
      </c>
      <c r="S2372" s="1" t="s">
        <v>1036</v>
      </c>
      <c r="T2372" s="1" t="s">
        <v>1309</v>
      </c>
      <c r="U2372">
        <v>4127.7602999999999</v>
      </c>
      <c r="V2372">
        <v>0</v>
      </c>
      <c r="W2372">
        <v>91247</v>
      </c>
    </row>
    <row r="2373" spans="1:23" x14ac:dyDescent="0.25">
      <c r="A2373" s="1" t="s">
        <v>33</v>
      </c>
      <c r="B2373" s="1" t="s">
        <v>73</v>
      </c>
      <c r="C2373" s="1" t="s">
        <v>174</v>
      </c>
      <c r="D2373">
        <v>13660</v>
      </c>
      <c r="E2373" s="1"/>
      <c r="F2373" s="1" t="s">
        <v>304</v>
      </c>
      <c r="G2373">
        <v>2014</v>
      </c>
      <c r="H2373">
        <v>8007.35</v>
      </c>
      <c r="I2373">
        <v>11</v>
      </c>
      <c r="J2373" s="1" t="s">
        <v>442</v>
      </c>
      <c r="K2373">
        <v>0</v>
      </c>
      <c r="L2373">
        <v>532</v>
      </c>
      <c r="M2373">
        <v>15.048581</v>
      </c>
      <c r="N2373">
        <v>2</v>
      </c>
      <c r="O2373" s="1" t="s">
        <v>569</v>
      </c>
      <c r="P2373">
        <v>8007.35</v>
      </c>
      <c r="Q2373">
        <v>2402.21</v>
      </c>
      <c r="R2373">
        <v>0</v>
      </c>
      <c r="S2373" s="1" t="s">
        <v>1036</v>
      </c>
      <c r="T2373" s="1" t="s">
        <v>1309</v>
      </c>
      <c r="U2373">
        <v>8007.3570399999999</v>
      </c>
      <c r="V2373">
        <v>0</v>
      </c>
      <c r="W2373">
        <v>91247</v>
      </c>
    </row>
    <row r="2374" spans="1:23" x14ac:dyDescent="0.25">
      <c r="A2374" s="1" t="s">
        <v>33</v>
      </c>
      <c r="B2374" s="1" t="s">
        <v>73</v>
      </c>
      <c r="C2374" s="1" t="s">
        <v>174</v>
      </c>
      <c r="D2374">
        <v>13660</v>
      </c>
      <c r="E2374" s="1"/>
      <c r="F2374" s="1" t="s">
        <v>304</v>
      </c>
      <c r="G2374">
        <v>2013</v>
      </c>
      <c r="H2374">
        <v>7643.68</v>
      </c>
      <c r="I2374">
        <v>6</v>
      </c>
      <c r="J2374" s="1" t="s">
        <v>442</v>
      </c>
      <c r="K2374">
        <v>0</v>
      </c>
      <c r="L2374">
        <v>532</v>
      </c>
      <c r="M2374">
        <v>14.365119</v>
      </c>
      <c r="N2374">
        <v>2</v>
      </c>
      <c r="O2374" s="1" t="s">
        <v>569</v>
      </c>
      <c r="P2374">
        <v>7643.68</v>
      </c>
      <c r="Q2374">
        <v>2293.09</v>
      </c>
      <c r="R2374">
        <v>0</v>
      </c>
      <c r="S2374" s="1" t="s">
        <v>1036</v>
      </c>
      <c r="T2374" s="1" t="s">
        <v>1309</v>
      </c>
      <c r="U2374">
        <v>7643.6547600000004</v>
      </c>
      <c r="V2374">
        <v>0</v>
      </c>
      <c r="W2374">
        <v>91247</v>
      </c>
    </row>
    <row r="2375" spans="1:23" x14ac:dyDescent="0.25">
      <c r="A2375" s="1" t="s">
        <v>33</v>
      </c>
      <c r="B2375" s="1" t="s">
        <v>73</v>
      </c>
      <c r="C2375" s="1" t="s">
        <v>174</v>
      </c>
      <c r="D2375">
        <v>13660</v>
      </c>
      <c r="E2375" s="1"/>
      <c r="F2375" s="1" t="s">
        <v>304</v>
      </c>
      <c r="G2375">
        <v>2012</v>
      </c>
      <c r="H2375">
        <v>8037.29</v>
      </c>
      <c r="I2375">
        <v>3</v>
      </c>
      <c r="J2375" s="1" t="s">
        <v>442</v>
      </c>
      <c r="K2375">
        <v>0</v>
      </c>
      <c r="L2375">
        <v>532</v>
      </c>
      <c r="M2375">
        <v>15.104848</v>
      </c>
      <c r="N2375">
        <v>2</v>
      </c>
      <c r="O2375" s="1" t="s">
        <v>569</v>
      </c>
      <c r="P2375">
        <v>8037.29</v>
      </c>
      <c r="Q2375">
        <v>3214.92</v>
      </c>
      <c r="R2375">
        <v>0</v>
      </c>
      <c r="S2375" s="1" t="s">
        <v>1036</v>
      </c>
      <c r="T2375" s="1" t="s">
        <v>1309</v>
      </c>
      <c r="U2375">
        <v>8037.2933300000004</v>
      </c>
      <c r="V2375">
        <v>0</v>
      </c>
      <c r="W2375">
        <v>91247</v>
      </c>
    </row>
    <row r="2376" spans="1:23" x14ac:dyDescent="0.25">
      <c r="A2376" s="1" t="s">
        <v>33</v>
      </c>
      <c r="B2376" s="1" t="s">
        <v>73</v>
      </c>
      <c r="C2376" s="1" t="s">
        <v>174</v>
      </c>
      <c r="D2376">
        <v>13660</v>
      </c>
      <c r="E2376" s="1"/>
      <c r="F2376" s="1" t="s">
        <v>304</v>
      </c>
      <c r="G2376">
        <v>2011</v>
      </c>
      <c r="H2376">
        <v>9604.3799999999992</v>
      </c>
      <c r="I2376">
        <v>1</v>
      </c>
      <c r="J2376" s="1" t="s">
        <v>442</v>
      </c>
      <c r="K2376">
        <v>0</v>
      </c>
      <c r="L2376">
        <v>532</v>
      </c>
      <c r="M2376">
        <v>18.049952999999999</v>
      </c>
      <c r="N2376">
        <v>2</v>
      </c>
      <c r="O2376" s="1" t="s">
        <v>569</v>
      </c>
      <c r="P2376">
        <v>9604.3799999999992</v>
      </c>
      <c r="Q2376">
        <v>4504.51</v>
      </c>
      <c r="R2376">
        <v>0</v>
      </c>
      <c r="S2376" s="1" t="s">
        <v>1036</v>
      </c>
      <c r="T2376" s="1" t="s">
        <v>1309</v>
      </c>
      <c r="U2376">
        <v>9604.4035600000007</v>
      </c>
      <c r="V2376">
        <v>0</v>
      </c>
      <c r="W2376">
        <v>91247</v>
      </c>
    </row>
    <row r="2377" spans="1:23" x14ac:dyDescent="0.25">
      <c r="A2377" s="1" t="s">
        <v>33</v>
      </c>
      <c r="B2377" s="1" t="s">
        <v>73</v>
      </c>
      <c r="C2377" s="1" t="s">
        <v>174</v>
      </c>
      <c r="D2377">
        <v>13660</v>
      </c>
      <c r="E2377" s="1"/>
      <c r="F2377" s="1" t="s">
        <v>304</v>
      </c>
      <c r="G2377">
        <v>2010</v>
      </c>
      <c r="H2377">
        <v>10646.06</v>
      </c>
      <c r="I2377">
        <v>1</v>
      </c>
      <c r="J2377" s="1" t="s">
        <v>442</v>
      </c>
      <c r="K2377">
        <v>0</v>
      </c>
      <c r="L2377">
        <v>532</v>
      </c>
      <c r="M2377">
        <v>20.007629999999999</v>
      </c>
      <c r="N2377">
        <v>2</v>
      </c>
      <c r="O2377" s="1" t="s">
        <v>569</v>
      </c>
      <c r="P2377">
        <v>10646.06</v>
      </c>
      <c r="Q2377">
        <v>4992.99</v>
      </c>
      <c r="R2377">
        <v>0</v>
      </c>
      <c r="S2377" s="1" t="s">
        <v>1036</v>
      </c>
      <c r="T2377" s="1" t="s">
        <v>1309</v>
      </c>
      <c r="U2377">
        <v>10646.03926</v>
      </c>
      <c r="V2377">
        <v>0</v>
      </c>
      <c r="W2377">
        <v>91247</v>
      </c>
    </row>
    <row r="2378" spans="1:23" x14ac:dyDescent="0.25">
      <c r="A2378" s="1" t="s">
        <v>33</v>
      </c>
      <c r="B2378" s="1" t="s">
        <v>73</v>
      </c>
      <c r="C2378" s="1" t="s">
        <v>174</v>
      </c>
      <c r="D2378">
        <v>13660</v>
      </c>
      <c r="E2378" s="1"/>
      <c r="F2378" s="1" t="s">
        <v>304</v>
      </c>
      <c r="G2378">
        <v>2009</v>
      </c>
      <c r="H2378">
        <v>11660.3</v>
      </c>
      <c r="I2378">
        <v>1</v>
      </c>
      <c r="J2378" s="1" t="s">
        <v>442</v>
      </c>
      <c r="K2378">
        <v>0</v>
      </c>
      <c r="L2378">
        <v>532</v>
      </c>
      <c r="M2378">
        <v>21.913737999999999</v>
      </c>
      <c r="N2378">
        <v>2</v>
      </c>
      <c r="O2378" s="1" t="s">
        <v>569</v>
      </c>
      <c r="P2378">
        <v>11660.3</v>
      </c>
      <c r="Q2378">
        <v>5468.68</v>
      </c>
      <c r="R2378">
        <v>0</v>
      </c>
      <c r="S2378" s="1" t="s">
        <v>1036</v>
      </c>
      <c r="T2378" s="1" t="s">
        <v>1309</v>
      </c>
      <c r="U2378">
        <v>11660.28853</v>
      </c>
      <c r="V2378">
        <v>0</v>
      </c>
      <c r="W2378">
        <v>91247</v>
      </c>
    </row>
    <row r="2379" spans="1:23" x14ac:dyDescent="0.25">
      <c r="A2379" s="1" t="s">
        <v>33</v>
      </c>
      <c r="B2379" s="1" t="s">
        <v>73</v>
      </c>
      <c r="C2379" s="1" t="s">
        <v>174</v>
      </c>
      <c r="D2379">
        <v>13660</v>
      </c>
      <c r="E2379" s="1"/>
      <c r="F2379" s="1" t="s">
        <v>304</v>
      </c>
      <c r="G2379">
        <v>2008</v>
      </c>
      <c r="H2379">
        <v>12325.68</v>
      </c>
      <c r="I2379">
        <v>1</v>
      </c>
      <c r="J2379" s="1" t="s">
        <v>442</v>
      </c>
      <c r="K2379">
        <v>0</v>
      </c>
      <c r="L2379">
        <v>532</v>
      </c>
      <c r="M2379">
        <v>23.164217000000001</v>
      </c>
      <c r="N2379">
        <v>2</v>
      </c>
      <c r="O2379" s="1" t="s">
        <v>569</v>
      </c>
      <c r="P2379">
        <v>12325.68</v>
      </c>
      <c r="Q2379">
        <v>5780.75</v>
      </c>
      <c r="R2379">
        <v>0</v>
      </c>
      <c r="S2379" s="1" t="s">
        <v>1036</v>
      </c>
      <c r="T2379" s="1" t="s">
        <v>1309</v>
      </c>
      <c r="U2379">
        <v>12325.700930000001</v>
      </c>
      <c r="V2379">
        <v>0</v>
      </c>
      <c r="W2379">
        <v>91247</v>
      </c>
    </row>
    <row r="2380" spans="1:23" x14ac:dyDescent="0.25">
      <c r="A2380" s="1" t="s">
        <v>33</v>
      </c>
      <c r="B2380" s="1"/>
      <c r="C2380" s="1" t="s">
        <v>175</v>
      </c>
      <c r="D2380">
        <v>10125</v>
      </c>
      <c r="E2380" s="1"/>
      <c r="F2380" s="1" t="s">
        <v>305</v>
      </c>
      <c r="G2380">
        <v>2015</v>
      </c>
      <c r="H2380">
        <v>45760.3</v>
      </c>
      <c r="I2380">
        <v>5</v>
      </c>
      <c r="J2380" s="1"/>
      <c r="K2380">
        <v>0</v>
      </c>
      <c r="L2380">
        <v>2818</v>
      </c>
      <c r="M2380">
        <v>16.237997</v>
      </c>
      <c r="N2380">
        <v>2</v>
      </c>
      <c r="O2380" s="1" t="s">
        <v>569</v>
      </c>
      <c r="P2380">
        <v>45760.3</v>
      </c>
      <c r="Q2380">
        <v>13728.09</v>
      </c>
      <c r="R2380">
        <v>0</v>
      </c>
      <c r="S2380" s="1" t="s">
        <v>1037</v>
      </c>
      <c r="T2380" s="1" t="s">
        <v>1310</v>
      </c>
      <c r="U2380">
        <v>45760.303999999996</v>
      </c>
      <c r="V2380">
        <v>0</v>
      </c>
      <c r="W2380">
        <v>76941</v>
      </c>
    </row>
    <row r="2381" spans="1:23" x14ac:dyDescent="0.25">
      <c r="A2381" s="1" t="s">
        <v>33</v>
      </c>
      <c r="B2381" s="1"/>
      <c r="C2381" s="1" t="s">
        <v>175</v>
      </c>
      <c r="D2381">
        <v>10125</v>
      </c>
      <c r="E2381" s="1"/>
      <c r="F2381" s="1" t="s">
        <v>305</v>
      </c>
      <c r="G2381">
        <v>2014</v>
      </c>
      <c r="H2381">
        <v>114490.4</v>
      </c>
      <c r="I2381">
        <v>12</v>
      </c>
      <c r="J2381" s="1"/>
      <c r="K2381">
        <v>0</v>
      </c>
      <c r="L2381">
        <v>2818</v>
      </c>
      <c r="M2381">
        <v>40.626804999999997</v>
      </c>
      <c r="N2381">
        <v>2</v>
      </c>
      <c r="O2381" s="1" t="s">
        <v>569</v>
      </c>
      <c r="P2381">
        <v>114490.4</v>
      </c>
      <c r="Q2381">
        <v>34347.14</v>
      </c>
      <c r="R2381">
        <v>0</v>
      </c>
      <c r="S2381" s="1" t="s">
        <v>1037</v>
      </c>
      <c r="T2381" s="1" t="s">
        <v>1310</v>
      </c>
      <c r="U2381">
        <v>114490.39599999999</v>
      </c>
      <c r="V2381">
        <v>0</v>
      </c>
      <c r="W2381">
        <v>76941</v>
      </c>
    </row>
    <row r="2382" spans="1:23" x14ac:dyDescent="0.25">
      <c r="A2382" s="1" t="s">
        <v>33</v>
      </c>
      <c r="B2382" s="1"/>
      <c r="C2382" s="1" t="s">
        <v>175</v>
      </c>
      <c r="D2382">
        <v>10125</v>
      </c>
      <c r="E2382" s="1"/>
      <c r="F2382" s="1" t="s">
        <v>305</v>
      </c>
      <c r="G2382">
        <v>2014</v>
      </c>
      <c r="H2382">
        <v>4910.04</v>
      </c>
      <c r="I2382">
        <v>6</v>
      </c>
      <c r="J2382" s="1" t="s">
        <v>528</v>
      </c>
      <c r="K2382">
        <v>0</v>
      </c>
      <c r="L2382">
        <v>2818</v>
      </c>
      <c r="M2382">
        <v>1.7423219999999999</v>
      </c>
      <c r="N2382">
        <v>2</v>
      </c>
      <c r="O2382" s="1" t="s">
        <v>569</v>
      </c>
      <c r="P2382">
        <v>4910.04</v>
      </c>
      <c r="Q2382">
        <v>1473.02</v>
      </c>
      <c r="R2382">
        <v>1</v>
      </c>
      <c r="S2382" s="1" t="s">
        <v>1038</v>
      </c>
      <c r="T2382" s="1"/>
      <c r="U2382">
        <v>4910.0399900000002</v>
      </c>
      <c r="V2382">
        <v>0</v>
      </c>
      <c r="W2382">
        <v>93977</v>
      </c>
    </row>
    <row r="2383" spans="1:23" x14ac:dyDescent="0.25">
      <c r="A2383" s="1" t="s">
        <v>33</v>
      </c>
      <c r="B2383" s="1"/>
      <c r="C2383" s="1" t="s">
        <v>175</v>
      </c>
      <c r="D2383">
        <v>10125</v>
      </c>
      <c r="E2383" s="1"/>
      <c r="F2383" s="1" t="s">
        <v>305</v>
      </c>
      <c r="G2383">
        <v>2014</v>
      </c>
      <c r="H2383">
        <v>13858.84</v>
      </c>
      <c r="I2383">
        <v>6</v>
      </c>
      <c r="J2383" s="1" t="s">
        <v>528</v>
      </c>
      <c r="K2383">
        <v>0</v>
      </c>
      <c r="L2383">
        <v>2818</v>
      </c>
      <c r="M2383">
        <v>4.9177949999999999</v>
      </c>
      <c r="N2383">
        <v>2</v>
      </c>
      <c r="O2383" s="1" t="s">
        <v>569</v>
      </c>
      <c r="P2383">
        <v>13858.84</v>
      </c>
      <c r="Q2383">
        <v>4157.66</v>
      </c>
      <c r="R2383">
        <v>1</v>
      </c>
      <c r="S2383" s="1" t="s">
        <v>1039</v>
      </c>
      <c r="T2383" s="1"/>
      <c r="U2383">
        <v>13858.85</v>
      </c>
      <c r="V2383">
        <v>0</v>
      </c>
      <c r="W2383">
        <v>94453</v>
      </c>
    </row>
    <row r="2384" spans="1:23" x14ac:dyDescent="0.25">
      <c r="A2384" s="1" t="s">
        <v>33</v>
      </c>
      <c r="B2384" s="1"/>
      <c r="C2384" s="1" t="s">
        <v>175</v>
      </c>
      <c r="D2384">
        <v>10125</v>
      </c>
      <c r="E2384" s="1"/>
      <c r="F2384" s="1" t="s">
        <v>305</v>
      </c>
      <c r="G2384">
        <v>2013</v>
      </c>
      <c r="H2384">
        <v>11426.96</v>
      </c>
      <c r="I2384">
        <v>7</v>
      </c>
      <c r="J2384" s="1" t="s">
        <v>528</v>
      </c>
      <c r="K2384">
        <v>0</v>
      </c>
      <c r="L2384">
        <v>2818</v>
      </c>
      <c r="M2384">
        <v>4.0548450000000003</v>
      </c>
      <c r="N2384">
        <v>2</v>
      </c>
      <c r="O2384" s="1" t="s">
        <v>569</v>
      </c>
      <c r="P2384">
        <v>11426.96</v>
      </c>
      <c r="Q2384">
        <v>3428.11</v>
      </c>
      <c r="R2384">
        <v>1</v>
      </c>
      <c r="S2384" s="1" t="s">
        <v>1038</v>
      </c>
      <c r="T2384" s="1"/>
      <c r="U2384">
        <v>11426.96</v>
      </c>
      <c r="V2384">
        <v>0</v>
      </c>
      <c r="W2384">
        <v>93977</v>
      </c>
    </row>
    <row r="2385" spans="1:23" x14ac:dyDescent="0.25">
      <c r="A2385" s="1" t="s">
        <v>33</v>
      </c>
      <c r="B2385" s="1"/>
      <c r="C2385" s="1" t="s">
        <v>175</v>
      </c>
      <c r="D2385">
        <v>10125</v>
      </c>
      <c r="E2385" s="1"/>
      <c r="F2385" s="1" t="s">
        <v>305</v>
      </c>
      <c r="G2385">
        <v>2013</v>
      </c>
      <c r="H2385">
        <v>120473.14</v>
      </c>
      <c r="I2385">
        <v>12</v>
      </c>
      <c r="J2385" s="1"/>
      <c r="K2385">
        <v>0</v>
      </c>
      <c r="L2385">
        <v>2818</v>
      </c>
      <c r="M2385">
        <v>42.749774000000002</v>
      </c>
      <c r="N2385">
        <v>2</v>
      </c>
      <c r="O2385" s="1" t="s">
        <v>569</v>
      </c>
      <c r="P2385">
        <v>120473.14</v>
      </c>
      <c r="Q2385">
        <v>36141.94</v>
      </c>
      <c r="R2385">
        <v>0</v>
      </c>
      <c r="S2385" s="1" t="s">
        <v>1037</v>
      </c>
      <c r="T2385" s="1" t="s">
        <v>1310</v>
      </c>
      <c r="U2385">
        <v>120473.13</v>
      </c>
      <c r="V2385">
        <v>0</v>
      </c>
      <c r="W2385">
        <v>76941</v>
      </c>
    </row>
    <row r="2386" spans="1:23" x14ac:dyDescent="0.25">
      <c r="A2386" s="1" t="s">
        <v>33</v>
      </c>
      <c r="B2386" s="1"/>
      <c r="C2386" s="1" t="s">
        <v>175</v>
      </c>
      <c r="D2386">
        <v>10125</v>
      </c>
      <c r="E2386" s="1"/>
      <c r="F2386" s="1" t="s">
        <v>305</v>
      </c>
      <c r="G2386">
        <v>2013</v>
      </c>
      <c r="H2386">
        <v>19048.16</v>
      </c>
      <c r="I2386">
        <v>5</v>
      </c>
      <c r="J2386" s="1" t="s">
        <v>528</v>
      </c>
      <c r="K2386">
        <v>0</v>
      </c>
      <c r="L2386">
        <v>2818</v>
      </c>
      <c r="M2386">
        <v>6.75922</v>
      </c>
      <c r="N2386">
        <v>2</v>
      </c>
      <c r="O2386" s="1" t="s">
        <v>569</v>
      </c>
      <c r="P2386">
        <v>19048.16</v>
      </c>
      <c r="Q2386">
        <v>5714.44</v>
      </c>
      <c r="R2386">
        <v>1</v>
      </c>
      <c r="S2386" s="1" t="s">
        <v>1039</v>
      </c>
      <c r="T2386" s="1"/>
      <c r="U2386">
        <v>19048.149990000002</v>
      </c>
      <c r="V2386">
        <v>0</v>
      </c>
      <c r="W2386">
        <v>94453</v>
      </c>
    </row>
    <row r="2387" spans="1:23" x14ac:dyDescent="0.25">
      <c r="A2387" s="1" t="s">
        <v>33</v>
      </c>
      <c r="B2387" s="1"/>
      <c r="C2387" s="1" t="s">
        <v>175</v>
      </c>
      <c r="D2387">
        <v>10125</v>
      </c>
      <c r="E2387" s="1"/>
      <c r="F2387" s="1" t="s">
        <v>305</v>
      </c>
      <c r="G2387">
        <v>2012</v>
      </c>
      <c r="H2387">
        <v>224242.07</v>
      </c>
      <c r="I2387">
        <v>12</v>
      </c>
      <c r="J2387" s="1"/>
      <c r="K2387">
        <v>0</v>
      </c>
      <c r="L2387">
        <v>2818</v>
      </c>
      <c r="M2387">
        <v>79.572075999999996</v>
      </c>
      <c r="N2387">
        <v>2</v>
      </c>
      <c r="O2387" s="1" t="s">
        <v>569</v>
      </c>
      <c r="P2387">
        <v>224242.07</v>
      </c>
      <c r="Q2387">
        <v>89696.82</v>
      </c>
      <c r="R2387">
        <v>0</v>
      </c>
      <c r="S2387" s="1" t="s">
        <v>1037</v>
      </c>
      <c r="T2387" s="1" t="s">
        <v>1310</v>
      </c>
      <c r="U2387">
        <v>224242.06599999999</v>
      </c>
      <c r="V2387">
        <v>0</v>
      </c>
      <c r="W2387">
        <v>76941</v>
      </c>
    </row>
    <row r="2388" spans="1:23" x14ac:dyDescent="0.25">
      <c r="A2388" s="1" t="s">
        <v>33</v>
      </c>
      <c r="B2388" s="1"/>
      <c r="C2388" s="1" t="s">
        <v>175</v>
      </c>
      <c r="D2388">
        <v>10125</v>
      </c>
      <c r="E2388" s="1"/>
      <c r="F2388" s="1" t="s">
        <v>305</v>
      </c>
      <c r="G2388">
        <v>2011</v>
      </c>
      <c r="H2388">
        <v>220823.35</v>
      </c>
      <c r="I2388">
        <v>12</v>
      </c>
      <c r="J2388" s="1"/>
      <c r="K2388">
        <v>0</v>
      </c>
      <c r="L2388">
        <v>2818</v>
      </c>
      <c r="M2388">
        <v>78.358947000000001</v>
      </c>
      <c r="N2388">
        <v>2</v>
      </c>
      <c r="O2388" s="1" t="s">
        <v>569</v>
      </c>
      <c r="P2388">
        <v>220823.35</v>
      </c>
      <c r="Q2388">
        <v>103566.16</v>
      </c>
      <c r="R2388">
        <v>0</v>
      </c>
      <c r="S2388" s="1" t="s">
        <v>1037</v>
      </c>
      <c r="T2388" s="1" t="s">
        <v>1310</v>
      </c>
      <c r="U2388">
        <v>220823.35</v>
      </c>
      <c r="V2388">
        <v>0</v>
      </c>
      <c r="W2388">
        <v>76941</v>
      </c>
    </row>
    <row r="2389" spans="1:23" x14ac:dyDescent="0.25">
      <c r="A2389" s="1" t="s">
        <v>33</v>
      </c>
      <c r="B2389" s="1"/>
      <c r="C2389" s="1" t="s">
        <v>175</v>
      </c>
      <c r="D2389">
        <v>10125</v>
      </c>
      <c r="E2389" s="1"/>
      <c r="F2389" s="1" t="s">
        <v>305</v>
      </c>
      <c r="G2389">
        <v>2010</v>
      </c>
      <c r="H2389">
        <v>232691.51</v>
      </c>
      <c r="I2389">
        <v>12</v>
      </c>
      <c r="J2389" s="1"/>
      <c r="K2389">
        <v>0</v>
      </c>
      <c r="L2389">
        <v>2818</v>
      </c>
      <c r="M2389">
        <v>82.570352</v>
      </c>
      <c r="N2389">
        <v>2</v>
      </c>
      <c r="O2389" s="1" t="s">
        <v>569</v>
      </c>
      <c r="P2389">
        <v>232691.51</v>
      </c>
      <c r="Q2389">
        <v>109132.32</v>
      </c>
      <c r="R2389">
        <v>0</v>
      </c>
      <c r="S2389" s="1" t="s">
        <v>1037</v>
      </c>
      <c r="T2389" s="1" t="s">
        <v>1310</v>
      </c>
      <c r="U2389">
        <v>232691.51</v>
      </c>
      <c r="V2389">
        <v>0</v>
      </c>
      <c r="W2389">
        <v>76941</v>
      </c>
    </row>
    <row r="2390" spans="1:23" x14ac:dyDescent="0.25">
      <c r="A2390" s="1" t="s">
        <v>33</v>
      </c>
      <c r="B2390" s="1"/>
      <c r="C2390" s="1" t="s">
        <v>175</v>
      </c>
      <c r="D2390">
        <v>10125</v>
      </c>
      <c r="E2390" s="1"/>
      <c r="F2390" s="1" t="s">
        <v>305</v>
      </c>
      <c r="G2390">
        <v>2009</v>
      </c>
      <c r="H2390">
        <v>226076.19</v>
      </c>
      <c r="I2390">
        <v>12</v>
      </c>
      <c r="J2390" s="1"/>
      <c r="K2390">
        <v>0</v>
      </c>
      <c r="L2390">
        <v>2818</v>
      </c>
      <c r="M2390">
        <v>80.222911999999994</v>
      </c>
      <c r="N2390">
        <v>2</v>
      </c>
      <c r="O2390" s="1" t="s">
        <v>569</v>
      </c>
      <c r="P2390">
        <v>226076.19</v>
      </c>
      <c r="Q2390">
        <v>106029.74</v>
      </c>
      <c r="R2390">
        <v>0</v>
      </c>
      <c r="S2390" s="1" t="s">
        <v>1037</v>
      </c>
      <c r="T2390" s="1" t="s">
        <v>1310</v>
      </c>
      <c r="U2390">
        <v>226076.19</v>
      </c>
      <c r="V2390">
        <v>0</v>
      </c>
      <c r="W2390">
        <v>76941</v>
      </c>
    </row>
    <row r="2391" spans="1:23" x14ac:dyDescent="0.25">
      <c r="A2391" s="1" t="s">
        <v>33</v>
      </c>
      <c r="B2391" s="1"/>
      <c r="C2391" s="1" t="s">
        <v>175</v>
      </c>
      <c r="D2391">
        <v>10125</v>
      </c>
      <c r="E2391" s="1"/>
      <c r="F2391" s="1" t="s">
        <v>305</v>
      </c>
      <c r="G2391">
        <v>2008</v>
      </c>
      <c r="H2391">
        <v>158929.26999999999</v>
      </c>
      <c r="I2391">
        <v>12</v>
      </c>
      <c r="J2391" s="1"/>
      <c r="K2391">
        <v>0</v>
      </c>
      <c r="L2391">
        <v>2818</v>
      </c>
      <c r="M2391">
        <v>56.395893999999998</v>
      </c>
      <c r="N2391">
        <v>2</v>
      </c>
      <c r="O2391" s="1" t="s">
        <v>569</v>
      </c>
      <c r="P2391">
        <v>158929.26999999999</v>
      </c>
      <c r="Q2391">
        <v>74537.820000000007</v>
      </c>
      <c r="R2391">
        <v>0</v>
      </c>
      <c r="S2391" s="1" t="s">
        <v>1037</v>
      </c>
      <c r="T2391" s="1" t="s">
        <v>1310</v>
      </c>
      <c r="U2391">
        <v>158929.272</v>
      </c>
      <c r="V2391">
        <v>0</v>
      </c>
      <c r="W2391">
        <v>76941</v>
      </c>
    </row>
    <row r="2392" spans="1:23" x14ac:dyDescent="0.25">
      <c r="A2392" s="1" t="s">
        <v>33</v>
      </c>
      <c r="B2392" s="1"/>
      <c r="C2392" s="1" t="s">
        <v>175</v>
      </c>
      <c r="D2392">
        <v>10125</v>
      </c>
      <c r="E2392" s="1"/>
      <c r="F2392" s="1" t="s">
        <v>305</v>
      </c>
      <c r="G2392">
        <v>2008</v>
      </c>
      <c r="H2392">
        <v>43644</v>
      </c>
      <c r="I2392">
        <v>2</v>
      </c>
      <c r="J2392" s="1" t="s">
        <v>430</v>
      </c>
      <c r="K2392">
        <v>0</v>
      </c>
      <c r="L2392">
        <v>2818</v>
      </c>
      <c r="M2392">
        <v>15.487030000000001</v>
      </c>
      <c r="N2392">
        <v>2</v>
      </c>
      <c r="O2392" s="1" t="s">
        <v>569</v>
      </c>
      <c r="P2392">
        <v>43644</v>
      </c>
      <c r="Q2392">
        <v>20469.04</v>
      </c>
      <c r="R2392">
        <v>0</v>
      </c>
      <c r="S2392" s="1" t="s">
        <v>1040</v>
      </c>
      <c r="T2392" s="1"/>
      <c r="U2392">
        <v>43644</v>
      </c>
      <c r="V2392">
        <v>0</v>
      </c>
      <c r="W2392">
        <v>78853</v>
      </c>
    </row>
    <row r="2393" spans="1:23" x14ac:dyDescent="0.25">
      <c r="A2393" s="1" t="s">
        <v>33</v>
      </c>
      <c r="B2393" s="1"/>
      <c r="C2393" s="1" t="s">
        <v>175</v>
      </c>
      <c r="D2393">
        <v>10125</v>
      </c>
      <c r="E2393" s="1"/>
      <c r="F2393" s="1" t="s">
        <v>305</v>
      </c>
      <c r="G2393">
        <v>2008</v>
      </c>
      <c r="H2393">
        <v>26520</v>
      </c>
      <c r="I2393">
        <v>2</v>
      </c>
      <c r="J2393" s="1" t="s">
        <v>529</v>
      </c>
      <c r="K2393">
        <v>0</v>
      </c>
      <c r="L2393">
        <v>2818</v>
      </c>
      <c r="M2393">
        <v>9.4105950000000007</v>
      </c>
      <c r="N2393">
        <v>2</v>
      </c>
      <c r="O2393" s="1" t="s">
        <v>569</v>
      </c>
      <c r="P2393">
        <v>26520</v>
      </c>
      <c r="Q2393">
        <v>12437.88</v>
      </c>
      <c r="R2393">
        <v>0</v>
      </c>
      <c r="S2393" s="1" t="s">
        <v>1037</v>
      </c>
      <c r="T2393" s="1"/>
      <c r="U2393">
        <v>26520</v>
      </c>
      <c r="V2393">
        <v>0</v>
      </c>
      <c r="W2393">
        <v>78916</v>
      </c>
    </row>
    <row r="2394" spans="1:23" x14ac:dyDescent="0.25">
      <c r="A2394" s="1" t="s">
        <v>34</v>
      </c>
      <c r="B2394" s="1" t="s">
        <v>74</v>
      </c>
      <c r="C2394" s="1" t="s">
        <v>176</v>
      </c>
      <c r="D2394">
        <v>13662</v>
      </c>
      <c r="E2394" s="1"/>
      <c r="F2394" s="1" t="s">
        <v>306</v>
      </c>
      <c r="G2394">
        <v>2014</v>
      </c>
      <c r="H2394">
        <v>0.52</v>
      </c>
      <c r="I2394">
        <v>4</v>
      </c>
      <c r="J2394" s="1" t="s">
        <v>438</v>
      </c>
      <c r="K2394">
        <v>0</v>
      </c>
      <c r="L2394">
        <v>129</v>
      </c>
      <c r="M2394">
        <v>4.0270000000000002E-3</v>
      </c>
      <c r="N2394">
        <v>3</v>
      </c>
      <c r="O2394" s="1" t="s">
        <v>560</v>
      </c>
      <c r="P2394">
        <v>0.52</v>
      </c>
      <c r="Q2394">
        <v>0.41</v>
      </c>
      <c r="R2394">
        <v>0</v>
      </c>
      <c r="S2394" s="1" t="s">
        <v>656</v>
      </c>
      <c r="T2394" s="1"/>
      <c r="U2394">
        <v>0.51766000000000001</v>
      </c>
      <c r="V2394">
        <v>0</v>
      </c>
      <c r="W2394">
        <v>91252</v>
      </c>
    </row>
    <row r="2395" spans="1:23" x14ac:dyDescent="0.25">
      <c r="A2395" s="1" t="s">
        <v>34</v>
      </c>
      <c r="B2395" s="1" t="s">
        <v>74</v>
      </c>
      <c r="C2395" s="1" t="s">
        <v>176</v>
      </c>
      <c r="D2395">
        <v>13662</v>
      </c>
      <c r="E2395" s="1"/>
      <c r="F2395" s="1" t="s">
        <v>306</v>
      </c>
      <c r="G2395">
        <v>2013</v>
      </c>
      <c r="H2395">
        <v>1.1599999999999999</v>
      </c>
      <c r="I2395">
        <v>5</v>
      </c>
      <c r="J2395" s="1" t="s">
        <v>438</v>
      </c>
      <c r="K2395">
        <v>0</v>
      </c>
      <c r="L2395">
        <v>129</v>
      </c>
      <c r="M2395">
        <v>8.9849999999999999E-3</v>
      </c>
      <c r="N2395">
        <v>3</v>
      </c>
      <c r="O2395" s="1" t="s">
        <v>560</v>
      </c>
      <c r="P2395">
        <v>1.1599999999999999</v>
      </c>
      <c r="Q2395">
        <v>0.91</v>
      </c>
      <c r="R2395">
        <v>0</v>
      </c>
      <c r="S2395" s="1" t="s">
        <v>656</v>
      </c>
      <c r="T2395" s="1"/>
      <c r="U2395">
        <v>1.15676</v>
      </c>
      <c r="V2395">
        <v>0</v>
      </c>
      <c r="W2395">
        <v>91252</v>
      </c>
    </row>
    <row r="2396" spans="1:23" x14ac:dyDescent="0.25">
      <c r="A2396" s="1" t="s">
        <v>34</v>
      </c>
      <c r="B2396" s="1" t="s">
        <v>74</v>
      </c>
      <c r="C2396" s="1" t="s">
        <v>176</v>
      </c>
      <c r="D2396">
        <v>13662</v>
      </c>
      <c r="E2396" s="1"/>
      <c r="F2396" s="1" t="s">
        <v>306</v>
      </c>
      <c r="G2396">
        <v>2012</v>
      </c>
      <c r="H2396">
        <v>1.1499999999999999</v>
      </c>
      <c r="I2396">
        <v>2</v>
      </c>
      <c r="J2396" s="1" t="s">
        <v>438</v>
      </c>
      <c r="K2396">
        <v>0</v>
      </c>
      <c r="L2396">
        <v>129</v>
      </c>
      <c r="M2396">
        <v>8.907E-3</v>
      </c>
      <c r="N2396">
        <v>3</v>
      </c>
      <c r="O2396" s="1" t="s">
        <v>560</v>
      </c>
      <c r="P2396">
        <v>1.1499999999999999</v>
      </c>
      <c r="Q2396">
        <v>0.94</v>
      </c>
      <c r="R2396">
        <v>0</v>
      </c>
      <c r="S2396" s="1" t="s">
        <v>656</v>
      </c>
      <c r="T2396" s="1"/>
      <c r="U2396">
        <v>1.1620200000000001</v>
      </c>
      <c r="V2396">
        <v>0</v>
      </c>
      <c r="W2396">
        <v>91252</v>
      </c>
    </row>
    <row r="2397" spans="1:23" x14ac:dyDescent="0.25">
      <c r="A2397" s="1" t="s">
        <v>34</v>
      </c>
      <c r="B2397" s="1" t="s">
        <v>74</v>
      </c>
      <c r="C2397" s="1" t="s">
        <v>176</v>
      </c>
      <c r="D2397">
        <v>13662</v>
      </c>
      <c r="E2397" s="1"/>
      <c r="F2397" s="1" t="s">
        <v>306</v>
      </c>
      <c r="G2397">
        <v>2011</v>
      </c>
      <c r="H2397">
        <v>0.95</v>
      </c>
      <c r="I2397">
        <v>0</v>
      </c>
      <c r="J2397" s="1" t="s">
        <v>438</v>
      </c>
      <c r="K2397">
        <v>0</v>
      </c>
      <c r="L2397">
        <v>129</v>
      </c>
      <c r="M2397">
        <v>7.358E-3</v>
      </c>
      <c r="N2397">
        <v>3</v>
      </c>
      <c r="O2397" s="1" t="s">
        <v>560</v>
      </c>
      <c r="P2397">
        <v>0.95</v>
      </c>
      <c r="Q2397">
        <v>0.72</v>
      </c>
      <c r="R2397">
        <v>0</v>
      </c>
      <c r="S2397" s="1" t="s">
        <v>656</v>
      </c>
      <c r="T2397" s="1"/>
      <c r="U2397">
        <v>0.93959999999999999</v>
      </c>
      <c r="V2397">
        <v>0</v>
      </c>
      <c r="W2397">
        <v>91252</v>
      </c>
    </row>
    <row r="2398" spans="1:23" x14ac:dyDescent="0.25">
      <c r="A2398" s="1" t="s">
        <v>34</v>
      </c>
      <c r="B2398" s="1" t="s">
        <v>74</v>
      </c>
      <c r="C2398" s="1" t="s">
        <v>176</v>
      </c>
      <c r="D2398">
        <v>13662</v>
      </c>
      <c r="E2398" s="1"/>
      <c r="F2398" s="1" t="s">
        <v>306</v>
      </c>
      <c r="G2398">
        <v>2010</v>
      </c>
      <c r="H2398">
        <v>0.95</v>
      </c>
      <c r="I2398">
        <v>0</v>
      </c>
      <c r="J2398" s="1" t="s">
        <v>438</v>
      </c>
      <c r="K2398">
        <v>0</v>
      </c>
      <c r="L2398">
        <v>129</v>
      </c>
      <c r="M2398">
        <v>7.358E-3</v>
      </c>
      <c r="N2398">
        <v>3</v>
      </c>
      <c r="O2398" s="1" t="s">
        <v>560</v>
      </c>
      <c r="P2398">
        <v>0.95</v>
      </c>
      <c r="Q2398">
        <v>0.72</v>
      </c>
      <c r="R2398">
        <v>0</v>
      </c>
      <c r="S2398" s="1" t="s">
        <v>656</v>
      </c>
      <c r="T2398" s="1"/>
      <c r="U2398">
        <v>0.93959999999999999</v>
      </c>
      <c r="V2398">
        <v>0</v>
      </c>
      <c r="W2398">
        <v>91252</v>
      </c>
    </row>
    <row r="2399" spans="1:23" x14ac:dyDescent="0.25">
      <c r="A2399" s="1" t="s">
        <v>34</v>
      </c>
      <c r="B2399" s="1" t="s">
        <v>74</v>
      </c>
      <c r="C2399" s="1" t="s">
        <v>176</v>
      </c>
      <c r="D2399">
        <v>13662</v>
      </c>
      <c r="E2399" s="1"/>
      <c r="F2399" s="1" t="s">
        <v>306</v>
      </c>
      <c r="G2399">
        <v>2009</v>
      </c>
      <c r="H2399">
        <v>0.95</v>
      </c>
      <c r="I2399">
        <v>0</v>
      </c>
      <c r="J2399" s="1" t="s">
        <v>438</v>
      </c>
      <c r="K2399">
        <v>0</v>
      </c>
      <c r="L2399">
        <v>129</v>
      </c>
      <c r="M2399">
        <v>7.358E-3</v>
      </c>
      <c r="N2399">
        <v>3</v>
      </c>
      <c r="O2399" s="1" t="s">
        <v>560</v>
      </c>
      <c r="P2399">
        <v>0.95</v>
      </c>
      <c r="Q2399">
        <v>0.72</v>
      </c>
      <c r="R2399">
        <v>0</v>
      </c>
      <c r="S2399" s="1" t="s">
        <v>656</v>
      </c>
      <c r="T2399" s="1"/>
      <c r="U2399">
        <v>0.93959999999999999</v>
      </c>
      <c r="V2399">
        <v>0</v>
      </c>
      <c r="W2399">
        <v>91252</v>
      </c>
    </row>
    <row r="2400" spans="1:23" x14ac:dyDescent="0.25">
      <c r="A2400" s="1" t="s">
        <v>34</v>
      </c>
      <c r="B2400" s="1" t="s">
        <v>74</v>
      </c>
      <c r="C2400" s="1" t="s">
        <v>176</v>
      </c>
      <c r="D2400">
        <v>13662</v>
      </c>
      <c r="E2400" s="1"/>
      <c r="F2400" s="1" t="s">
        <v>306</v>
      </c>
      <c r="G2400">
        <v>2008</v>
      </c>
      <c r="H2400">
        <v>0.95</v>
      </c>
      <c r="I2400">
        <v>0</v>
      </c>
      <c r="J2400" s="1" t="s">
        <v>438</v>
      </c>
      <c r="K2400">
        <v>0</v>
      </c>
      <c r="L2400">
        <v>129</v>
      </c>
      <c r="M2400">
        <v>7.358E-3</v>
      </c>
      <c r="N2400">
        <v>3</v>
      </c>
      <c r="O2400" s="1" t="s">
        <v>560</v>
      </c>
      <c r="P2400">
        <v>0.95</v>
      </c>
      <c r="Q2400">
        <v>0.72</v>
      </c>
      <c r="R2400">
        <v>0</v>
      </c>
      <c r="S2400" s="1" t="s">
        <v>656</v>
      </c>
      <c r="T2400" s="1"/>
      <c r="U2400">
        <v>0.94216999999999995</v>
      </c>
      <c r="V2400">
        <v>0</v>
      </c>
      <c r="W2400">
        <v>91252</v>
      </c>
    </row>
    <row r="2401" spans="1:23" x14ac:dyDescent="0.25">
      <c r="A2401" s="1" t="s">
        <v>34</v>
      </c>
      <c r="B2401" s="1"/>
      <c r="C2401" s="1" t="s">
        <v>177</v>
      </c>
      <c r="D2401">
        <v>10228</v>
      </c>
      <c r="E2401" s="1"/>
      <c r="F2401" s="1" t="s">
        <v>307</v>
      </c>
      <c r="G2401">
        <v>2015</v>
      </c>
      <c r="H2401">
        <v>10.9</v>
      </c>
      <c r="I2401">
        <v>5</v>
      </c>
      <c r="J2401" s="1" t="s">
        <v>408</v>
      </c>
      <c r="K2401">
        <v>0</v>
      </c>
      <c r="L2401">
        <v>605</v>
      </c>
      <c r="M2401">
        <v>1.8013000000000001E-2</v>
      </c>
      <c r="N2401">
        <v>3</v>
      </c>
      <c r="O2401" s="1" t="s">
        <v>560</v>
      </c>
      <c r="P2401">
        <v>10.9</v>
      </c>
      <c r="Q2401">
        <v>8.7200000000000006</v>
      </c>
      <c r="R2401">
        <v>0</v>
      </c>
      <c r="S2401" s="1" t="s">
        <v>657</v>
      </c>
      <c r="T2401" s="1"/>
      <c r="U2401">
        <v>10.9</v>
      </c>
      <c r="V2401">
        <v>0</v>
      </c>
      <c r="W2401">
        <v>77474</v>
      </c>
    </row>
    <row r="2402" spans="1:23" x14ac:dyDescent="0.25">
      <c r="A2402" s="1" t="s">
        <v>34</v>
      </c>
      <c r="B2402" s="1"/>
      <c r="C2402" s="1" t="s">
        <v>177</v>
      </c>
      <c r="D2402">
        <v>10228</v>
      </c>
      <c r="E2402" s="1"/>
      <c r="F2402" s="1" t="s">
        <v>307</v>
      </c>
      <c r="G2402">
        <v>2014</v>
      </c>
      <c r="H2402">
        <v>30.27</v>
      </c>
      <c r="I2402">
        <v>5</v>
      </c>
      <c r="J2402" s="1" t="s">
        <v>408</v>
      </c>
      <c r="K2402">
        <v>0</v>
      </c>
      <c r="L2402">
        <v>605</v>
      </c>
      <c r="M2402">
        <v>5.0023999999999999E-2</v>
      </c>
      <c r="N2402">
        <v>3</v>
      </c>
      <c r="O2402" s="1" t="s">
        <v>560</v>
      </c>
      <c r="P2402">
        <v>30.27</v>
      </c>
      <c r="Q2402">
        <v>24.21</v>
      </c>
      <c r="R2402">
        <v>0</v>
      </c>
      <c r="S2402" s="1" t="s">
        <v>657</v>
      </c>
      <c r="T2402" s="1"/>
      <c r="U2402">
        <v>30.265339999999998</v>
      </c>
      <c r="V2402">
        <v>0</v>
      </c>
      <c r="W2402">
        <v>77474</v>
      </c>
    </row>
    <row r="2403" spans="1:23" x14ac:dyDescent="0.25">
      <c r="A2403" s="1" t="s">
        <v>34</v>
      </c>
      <c r="B2403" s="1"/>
      <c r="C2403" s="1" t="s">
        <v>177</v>
      </c>
      <c r="D2403">
        <v>10228</v>
      </c>
      <c r="E2403" s="1"/>
      <c r="F2403" s="1" t="s">
        <v>307</v>
      </c>
      <c r="G2403">
        <v>2013</v>
      </c>
      <c r="H2403">
        <v>34.9</v>
      </c>
      <c r="I2403">
        <v>12</v>
      </c>
      <c r="J2403" s="1" t="s">
        <v>408</v>
      </c>
      <c r="K2403">
        <v>0</v>
      </c>
      <c r="L2403">
        <v>605</v>
      </c>
      <c r="M2403">
        <v>5.7675999999999998E-2</v>
      </c>
      <c r="N2403">
        <v>3</v>
      </c>
      <c r="O2403" s="1" t="s">
        <v>560</v>
      </c>
      <c r="P2403">
        <v>34.9</v>
      </c>
      <c r="Q2403">
        <v>27.92</v>
      </c>
      <c r="R2403">
        <v>0</v>
      </c>
      <c r="S2403" s="1" t="s">
        <v>657</v>
      </c>
      <c r="T2403" s="1"/>
      <c r="U2403">
        <v>34.9</v>
      </c>
      <c r="V2403">
        <v>0</v>
      </c>
      <c r="W2403">
        <v>77474</v>
      </c>
    </row>
    <row r="2404" spans="1:23" x14ac:dyDescent="0.25">
      <c r="A2404" s="1" t="s">
        <v>34</v>
      </c>
      <c r="B2404" s="1"/>
      <c r="C2404" s="1" t="s">
        <v>177</v>
      </c>
      <c r="D2404">
        <v>10228</v>
      </c>
      <c r="E2404" s="1"/>
      <c r="F2404" s="1" t="s">
        <v>307</v>
      </c>
      <c r="G2404">
        <v>2012</v>
      </c>
      <c r="H2404">
        <v>27.2</v>
      </c>
      <c r="I2404">
        <v>12</v>
      </c>
      <c r="J2404" s="1" t="s">
        <v>408</v>
      </c>
      <c r="K2404">
        <v>0</v>
      </c>
      <c r="L2404">
        <v>605</v>
      </c>
      <c r="M2404">
        <v>4.4950999999999998E-2</v>
      </c>
      <c r="N2404">
        <v>3</v>
      </c>
      <c r="O2404" s="1" t="s">
        <v>560</v>
      </c>
      <c r="P2404">
        <v>27.2</v>
      </c>
      <c r="Q2404">
        <v>21.76</v>
      </c>
      <c r="R2404">
        <v>0</v>
      </c>
      <c r="S2404" s="1" t="s">
        <v>657</v>
      </c>
      <c r="T2404" s="1"/>
      <c r="U2404">
        <v>27.2</v>
      </c>
      <c r="V2404">
        <v>0</v>
      </c>
      <c r="W2404">
        <v>77474</v>
      </c>
    </row>
    <row r="2405" spans="1:23" x14ac:dyDescent="0.25">
      <c r="A2405" s="1" t="s">
        <v>34</v>
      </c>
      <c r="B2405" s="1"/>
      <c r="C2405" s="1" t="s">
        <v>177</v>
      </c>
      <c r="D2405">
        <v>10228</v>
      </c>
      <c r="E2405" s="1"/>
      <c r="F2405" s="1" t="s">
        <v>307</v>
      </c>
      <c r="G2405">
        <v>2011</v>
      </c>
      <c r="H2405">
        <v>27.9</v>
      </c>
      <c r="I2405">
        <v>12</v>
      </c>
      <c r="J2405" s="1" t="s">
        <v>408</v>
      </c>
      <c r="K2405">
        <v>0</v>
      </c>
      <c r="L2405">
        <v>605</v>
      </c>
      <c r="M2405">
        <v>4.6108000000000003E-2</v>
      </c>
      <c r="N2405">
        <v>3</v>
      </c>
      <c r="O2405" s="1" t="s">
        <v>560</v>
      </c>
      <c r="P2405">
        <v>27.9</v>
      </c>
      <c r="Q2405">
        <v>22.32</v>
      </c>
      <c r="R2405">
        <v>0</v>
      </c>
      <c r="S2405" s="1" t="s">
        <v>657</v>
      </c>
      <c r="T2405" s="1"/>
      <c r="U2405">
        <v>27.9</v>
      </c>
      <c r="V2405">
        <v>0</v>
      </c>
      <c r="W2405">
        <v>77474</v>
      </c>
    </row>
    <row r="2406" spans="1:23" x14ac:dyDescent="0.25">
      <c r="A2406" s="1" t="s">
        <v>34</v>
      </c>
      <c r="B2406" s="1"/>
      <c r="C2406" s="1" t="s">
        <v>177</v>
      </c>
      <c r="D2406">
        <v>10228</v>
      </c>
      <c r="E2406" s="1"/>
      <c r="F2406" s="1" t="s">
        <v>307</v>
      </c>
      <c r="G2406">
        <v>2010</v>
      </c>
      <c r="H2406">
        <v>26.7</v>
      </c>
      <c r="I2406">
        <v>12</v>
      </c>
      <c r="J2406" s="1" t="s">
        <v>408</v>
      </c>
      <c r="K2406">
        <v>0</v>
      </c>
      <c r="L2406">
        <v>605</v>
      </c>
      <c r="M2406">
        <v>4.4123999999999997E-2</v>
      </c>
      <c r="N2406">
        <v>3</v>
      </c>
      <c r="O2406" s="1" t="s">
        <v>560</v>
      </c>
      <c r="P2406">
        <v>26.7</v>
      </c>
      <c r="Q2406">
        <v>21.36</v>
      </c>
      <c r="R2406">
        <v>0</v>
      </c>
      <c r="S2406" s="1" t="s">
        <v>657</v>
      </c>
      <c r="T2406" s="1"/>
      <c r="U2406">
        <v>26.7</v>
      </c>
      <c r="V2406">
        <v>0</v>
      </c>
      <c r="W2406">
        <v>77474</v>
      </c>
    </row>
    <row r="2407" spans="1:23" x14ac:dyDescent="0.25">
      <c r="A2407" s="1" t="s">
        <v>34</v>
      </c>
      <c r="B2407" s="1"/>
      <c r="C2407" s="1" t="s">
        <v>177</v>
      </c>
      <c r="D2407">
        <v>10228</v>
      </c>
      <c r="E2407" s="1"/>
      <c r="F2407" s="1" t="s">
        <v>307</v>
      </c>
      <c r="G2407">
        <v>2009</v>
      </c>
      <c r="H2407">
        <v>32.159999999999997</v>
      </c>
      <c r="I2407">
        <v>12</v>
      </c>
      <c r="J2407" s="1" t="s">
        <v>408</v>
      </c>
      <c r="K2407">
        <v>0</v>
      </c>
      <c r="L2407">
        <v>605</v>
      </c>
      <c r="M2407">
        <v>5.3148000000000001E-2</v>
      </c>
      <c r="N2407">
        <v>3</v>
      </c>
      <c r="O2407" s="1" t="s">
        <v>560</v>
      </c>
      <c r="P2407">
        <v>32.159999999999997</v>
      </c>
      <c r="Q2407">
        <v>25.73</v>
      </c>
      <c r="R2407">
        <v>0</v>
      </c>
      <c r="S2407" s="1" t="s">
        <v>657</v>
      </c>
      <c r="T2407" s="1"/>
      <c r="U2407">
        <v>32.161619999999999</v>
      </c>
      <c r="V2407">
        <v>0</v>
      </c>
      <c r="W2407">
        <v>77474</v>
      </c>
    </row>
    <row r="2408" spans="1:23" x14ac:dyDescent="0.25">
      <c r="A2408" s="1" t="s">
        <v>34</v>
      </c>
      <c r="B2408" s="1"/>
      <c r="C2408" s="1" t="s">
        <v>177</v>
      </c>
      <c r="D2408">
        <v>10228</v>
      </c>
      <c r="E2408" s="1"/>
      <c r="F2408" s="1" t="s">
        <v>307</v>
      </c>
      <c r="G2408">
        <v>2008</v>
      </c>
      <c r="H2408">
        <v>33.119999999999997</v>
      </c>
      <c r="I2408">
        <v>6</v>
      </c>
      <c r="J2408" s="1" t="s">
        <v>408</v>
      </c>
      <c r="K2408">
        <v>0</v>
      </c>
      <c r="L2408">
        <v>605</v>
      </c>
      <c r="M2408">
        <v>5.4733999999999998E-2</v>
      </c>
      <c r="N2408">
        <v>3</v>
      </c>
      <c r="O2408" s="1" t="s">
        <v>560</v>
      </c>
      <c r="P2408">
        <v>33.119999999999997</v>
      </c>
      <c r="Q2408">
        <v>26.5</v>
      </c>
      <c r="R2408">
        <v>0</v>
      </c>
      <c r="S2408" s="1" t="s">
        <v>657</v>
      </c>
      <c r="T2408" s="1"/>
      <c r="U2408">
        <v>33.130479999999999</v>
      </c>
      <c r="V2408">
        <v>0</v>
      </c>
      <c r="W2408">
        <v>77474</v>
      </c>
    </row>
    <row r="2409" spans="1:23" x14ac:dyDescent="0.25">
      <c r="A2409" s="1" t="s">
        <v>34</v>
      </c>
      <c r="B2409" s="1"/>
      <c r="C2409" s="1" t="s">
        <v>178</v>
      </c>
      <c r="D2409">
        <v>10190</v>
      </c>
      <c r="E2409" s="1"/>
      <c r="F2409" s="1" t="s">
        <v>308</v>
      </c>
      <c r="G2409">
        <v>2015</v>
      </c>
      <c r="H2409">
        <v>26.8</v>
      </c>
      <c r="I2409">
        <v>5</v>
      </c>
      <c r="J2409" s="1" t="s">
        <v>399</v>
      </c>
      <c r="K2409">
        <v>0</v>
      </c>
      <c r="L2409">
        <v>475</v>
      </c>
      <c r="M2409">
        <v>5.6409000000000001E-2</v>
      </c>
      <c r="N2409">
        <v>3</v>
      </c>
      <c r="O2409" s="1" t="s">
        <v>560</v>
      </c>
      <c r="P2409">
        <v>26.8</v>
      </c>
      <c r="Q2409">
        <v>21.44</v>
      </c>
      <c r="R2409">
        <v>0</v>
      </c>
      <c r="S2409" s="1"/>
      <c r="T2409" s="1"/>
      <c r="U2409">
        <v>26.8</v>
      </c>
      <c r="V2409">
        <v>0</v>
      </c>
      <c r="W2409">
        <v>77252</v>
      </c>
    </row>
    <row r="2410" spans="1:23" x14ac:dyDescent="0.25">
      <c r="A2410" s="1" t="s">
        <v>34</v>
      </c>
      <c r="B2410" s="1"/>
      <c r="C2410" s="1" t="s">
        <v>178</v>
      </c>
      <c r="D2410">
        <v>10190</v>
      </c>
      <c r="E2410" s="1"/>
      <c r="F2410" s="1" t="s">
        <v>308</v>
      </c>
      <c r="G2410">
        <v>2014</v>
      </c>
      <c r="H2410">
        <v>66.2</v>
      </c>
      <c r="I2410">
        <v>12</v>
      </c>
      <c r="J2410" s="1" t="s">
        <v>399</v>
      </c>
      <c r="K2410">
        <v>0</v>
      </c>
      <c r="L2410">
        <v>475</v>
      </c>
      <c r="M2410">
        <v>0.13933899999999999</v>
      </c>
      <c r="N2410">
        <v>3</v>
      </c>
      <c r="O2410" s="1" t="s">
        <v>560</v>
      </c>
      <c r="P2410">
        <v>66.2</v>
      </c>
      <c r="Q2410">
        <v>52.96</v>
      </c>
      <c r="R2410">
        <v>0</v>
      </c>
      <c r="S2410" s="1"/>
      <c r="T2410" s="1"/>
      <c r="U2410">
        <v>66.2</v>
      </c>
      <c r="V2410">
        <v>0</v>
      </c>
      <c r="W2410">
        <v>77252</v>
      </c>
    </row>
    <row r="2411" spans="1:23" x14ac:dyDescent="0.25">
      <c r="A2411" s="1" t="s">
        <v>34</v>
      </c>
      <c r="B2411" s="1"/>
      <c r="C2411" s="1" t="s">
        <v>178</v>
      </c>
      <c r="D2411">
        <v>10190</v>
      </c>
      <c r="E2411" s="1"/>
      <c r="F2411" s="1" t="s">
        <v>308</v>
      </c>
      <c r="G2411">
        <v>2013</v>
      </c>
      <c r="H2411">
        <v>53.6</v>
      </c>
      <c r="I2411">
        <v>12</v>
      </c>
      <c r="J2411" s="1" t="s">
        <v>399</v>
      </c>
      <c r="K2411">
        <v>0</v>
      </c>
      <c r="L2411">
        <v>475</v>
      </c>
      <c r="M2411">
        <v>0.112818</v>
      </c>
      <c r="N2411">
        <v>3</v>
      </c>
      <c r="O2411" s="1" t="s">
        <v>560</v>
      </c>
      <c r="P2411">
        <v>53.6</v>
      </c>
      <c r="Q2411">
        <v>42.88</v>
      </c>
      <c r="R2411">
        <v>0</v>
      </c>
      <c r="S2411" s="1"/>
      <c r="T2411" s="1"/>
      <c r="U2411">
        <v>53.6</v>
      </c>
      <c r="V2411">
        <v>0</v>
      </c>
      <c r="W2411">
        <v>77252</v>
      </c>
    </row>
    <row r="2412" spans="1:23" x14ac:dyDescent="0.25">
      <c r="A2412" s="1" t="s">
        <v>34</v>
      </c>
      <c r="B2412" s="1"/>
      <c r="C2412" s="1" t="s">
        <v>178</v>
      </c>
      <c r="D2412">
        <v>10190</v>
      </c>
      <c r="E2412" s="1"/>
      <c r="F2412" s="1" t="s">
        <v>308</v>
      </c>
      <c r="G2412">
        <v>2012</v>
      </c>
      <c r="H2412">
        <v>50.3</v>
      </c>
      <c r="I2412">
        <v>12</v>
      </c>
      <c r="J2412" s="1" t="s">
        <v>399</v>
      </c>
      <c r="K2412">
        <v>0</v>
      </c>
      <c r="L2412">
        <v>475</v>
      </c>
      <c r="M2412">
        <v>0.10587199999999999</v>
      </c>
      <c r="N2412">
        <v>3</v>
      </c>
      <c r="O2412" s="1" t="s">
        <v>560</v>
      </c>
      <c r="P2412">
        <v>50.3</v>
      </c>
      <c r="Q2412">
        <v>40.24</v>
      </c>
      <c r="R2412">
        <v>0</v>
      </c>
      <c r="S2412" s="1"/>
      <c r="T2412" s="1"/>
      <c r="U2412">
        <v>50.3</v>
      </c>
      <c r="V2412">
        <v>0</v>
      </c>
      <c r="W2412">
        <v>77252</v>
      </c>
    </row>
    <row r="2413" spans="1:23" x14ac:dyDescent="0.25">
      <c r="A2413" s="1" t="s">
        <v>34</v>
      </c>
      <c r="B2413" s="1"/>
      <c r="C2413" s="1" t="s">
        <v>178</v>
      </c>
      <c r="D2413">
        <v>10190</v>
      </c>
      <c r="E2413" s="1"/>
      <c r="F2413" s="1" t="s">
        <v>308</v>
      </c>
      <c r="G2413">
        <v>2011</v>
      </c>
      <c r="H2413">
        <v>99.02</v>
      </c>
      <c r="I2413">
        <v>5</v>
      </c>
      <c r="J2413" s="1" t="s">
        <v>399</v>
      </c>
      <c r="K2413">
        <v>0</v>
      </c>
      <c r="L2413">
        <v>475</v>
      </c>
      <c r="M2413">
        <v>0.20841899999999999</v>
      </c>
      <c r="N2413">
        <v>3</v>
      </c>
      <c r="O2413" s="1" t="s">
        <v>560</v>
      </c>
      <c r="P2413">
        <v>99.02</v>
      </c>
      <c r="Q2413">
        <v>79.22</v>
      </c>
      <c r="R2413">
        <v>0</v>
      </c>
      <c r="S2413" s="1"/>
      <c r="T2413" s="1"/>
      <c r="U2413">
        <v>99.045460000000006</v>
      </c>
      <c r="V2413">
        <v>0</v>
      </c>
      <c r="W2413">
        <v>77252</v>
      </c>
    </row>
    <row r="2414" spans="1:23" x14ac:dyDescent="0.25">
      <c r="A2414" s="1" t="s">
        <v>34</v>
      </c>
      <c r="B2414" s="1"/>
      <c r="C2414" s="1" t="s">
        <v>178</v>
      </c>
      <c r="D2414">
        <v>10190</v>
      </c>
      <c r="E2414" s="1"/>
      <c r="F2414" s="1" t="s">
        <v>308</v>
      </c>
      <c r="G2414">
        <v>2010</v>
      </c>
      <c r="H2414">
        <v>98.74</v>
      </c>
      <c r="I2414">
        <v>4</v>
      </c>
      <c r="J2414" s="1" t="s">
        <v>399</v>
      </c>
      <c r="K2414">
        <v>0</v>
      </c>
      <c r="L2414">
        <v>475</v>
      </c>
      <c r="M2414">
        <v>0.20782900000000001</v>
      </c>
      <c r="N2414">
        <v>3</v>
      </c>
      <c r="O2414" s="1" t="s">
        <v>560</v>
      </c>
      <c r="P2414">
        <v>98.74</v>
      </c>
      <c r="Q2414">
        <v>79</v>
      </c>
      <c r="R2414">
        <v>0</v>
      </c>
      <c r="S2414" s="1"/>
      <c r="T2414" s="1"/>
      <c r="U2414">
        <v>98.723190000000002</v>
      </c>
      <c r="V2414">
        <v>0</v>
      </c>
      <c r="W2414">
        <v>77252</v>
      </c>
    </row>
    <row r="2415" spans="1:23" x14ac:dyDescent="0.25">
      <c r="A2415" s="1" t="s">
        <v>34</v>
      </c>
      <c r="B2415" s="1"/>
      <c r="C2415" s="1" t="s">
        <v>178</v>
      </c>
      <c r="D2415">
        <v>10190</v>
      </c>
      <c r="E2415" s="1"/>
      <c r="F2415" s="1" t="s">
        <v>308</v>
      </c>
      <c r="G2415">
        <v>2009</v>
      </c>
      <c r="H2415">
        <v>67.650000000000006</v>
      </c>
      <c r="I2415">
        <v>5</v>
      </c>
      <c r="J2415" s="1" t="s">
        <v>399</v>
      </c>
      <c r="K2415">
        <v>0</v>
      </c>
      <c r="L2415">
        <v>475</v>
      </c>
      <c r="M2415">
        <v>0.14239099999999999</v>
      </c>
      <c r="N2415">
        <v>3</v>
      </c>
      <c r="O2415" s="1" t="s">
        <v>560</v>
      </c>
      <c r="P2415">
        <v>67.650000000000006</v>
      </c>
      <c r="Q2415">
        <v>54.13</v>
      </c>
      <c r="R2415">
        <v>0</v>
      </c>
      <c r="S2415" s="1"/>
      <c r="T2415" s="1"/>
      <c r="U2415">
        <v>67.65992</v>
      </c>
      <c r="V2415">
        <v>0</v>
      </c>
      <c r="W2415">
        <v>77252</v>
      </c>
    </row>
    <row r="2416" spans="1:23" x14ac:dyDescent="0.25">
      <c r="A2416" s="1" t="s">
        <v>34</v>
      </c>
      <c r="B2416" s="1"/>
      <c r="C2416" s="1" t="s">
        <v>178</v>
      </c>
      <c r="D2416">
        <v>10190</v>
      </c>
      <c r="E2416" s="1"/>
      <c r="F2416" s="1" t="s">
        <v>308</v>
      </c>
      <c r="G2416">
        <v>2008</v>
      </c>
      <c r="H2416">
        <v>53.41</v>
      </c>
      <c r="I2416">
        <v>4</v>
      </c>
      <c r="J2416" s="1" t="s">
        <v>399</v>
      </c>
      <c r="K2416">
        <v>0</v>
      </c>
      <c r="L2416">
        <v>475</v>
      </c>
      <c r="M2416">
        <v>0.112418</v>
      </c>
      <c r="N2416">
        <v>3</v>
      </c>
      <c r="O2416" s="1" t="s">
        <v>560</v>
      </c>
      <c r="P2416">
        <v>53.41</v>
      </c>
      <c r="Q2416">
        <v>42.71</v>
      </c>
      <c r="R2416">
        <v>0</v>
      </c>
      <c r="S2416" s="1"/>
      <c r="T2416" s="1"/>
      <c r="U2416">
        <v>53.395600000000002</v>
      </c>
      <c r="V2416">
        <v>0</v>
      </c>
      <c r="W2416">
        <v>77252</v>
      </c>
    </row>
    <row r="2417" spans="1:23" x14ac:dyDescent="0.25">
      <c r="A2417" s="1" t="s">
        <v>34</v>
      </c>
      <c r="B2417" s="1" t="s">
        <v>95</v>
      </c>
      <c r="C2417" s="1" t="s">
        <v>226</v>
      </c>
      <c r="D2417">
        <v>5427</v>
      </c>
      <c r="E2417" s="1"/>
      <c r="F2417" s="1" t="s">
        <v>364</v>
      </c>
      <c r="G2417">
        <v>2015</v>
      </c>
      <c r="H2417">
        <v>28904.9</v>
      </c>
      <c r="I2417">
        <v>5</v>
      </c>
      <c r="J2417" s="1" t="s">
        <v>404</v>
      </c>
      <c r="K2417">
        <v>0</v>
      </c>
      <c r="L2417">
        <v>361</v>
      </c>
      <c r="M2417">
        <v>80.046801000000002</v>
      </c>
      <c r="N2417">
        <v>1</v>
      </c>
      <c r="O2417" s="1" t="s">
        <v>564</v>
      </c>
      <c r="P2417">
        <v>32767.42</v>
      </c>
      <c r="Q2417">
        <v>6929.7</v>
      </c>
      <c r="R2417">
        <v>0</v>
      </c>
      <c r="S2417" s="1" t="s">
        <v>832</v>
      </c>
      <c r="T2417" s="1" t="s">
        <v>1213</v>
      </c>
      <c r="U2417">
        <v>2676.38</v>
      </c>
      <c r="V2417">
        <v>0</v>
      </c>
      <c r="W2417">
        <v>57398</v>
      </c>
    </row>
    <row r="2418" spans="1:23" x14ac:dyDescent="0.25">
      <c r="A2418" s="1" t="s">
        <v>34</v>
      </c>
      <c r="B2418" s="1" t="s">
        <v>95</v>
      </c>
      <c r="C2418" s="1" t="s">
        <v>226</v>
      </c>
      <c r="D2418">
        <v>5427</v>
      </c>
      <c r="E2418" s="1"/>
      <c r="F2418" s="1" t="s">
        <v>364</v>
      </c>
      <c r="G2418">
        <v>2014</v>
      </c>
      <c r="H2418">
        <v>52699.79</v>
      </c>
      <c r="I2418">
        <v>12</v>
      </c>
      <c r="J2418" s="1" t="s">
        <v>404</v>
      </c>
      <c r="K2418">
        <v>0</v>
      </c>
      <c r="L2418">
        <v>361</v>
      </c>
      <c r="M2418">
        <v>145.94237000000001</v>
      </c>
      <c r="N2418">
        <v>1</v>
      </c>
      <c r="O2418" s="1" t="s">
        <v>564</v>
      </c>
      <c r="P2418">
        <v>65587.490000000005</v>
      </c>
      <c r="Q2418">
        <v>13870.53</v>
      </c>
      <c r="R2418">
        <v>0</v>
      </c>
      <c r="S2418" s="1" t="s">
        <v>832</v>
      </c>
      <c r="T2418" s="1" t="s">
        <v>1213</v>
      </c>
      <c r="U2418">
        <v>4879.6099999999997</v>
      </c>
      <c r="V2418">
        <v>0</v>
      </c>
      <c r="W2418">
        <v>57398</v>
      </c>
    </row>
    <row r="2419" spans="1:23" x14ac:dyDescent="0.25">
      <c r="A2419" s="1" t="s">
        <v>34</v>
      </c>
      <c r="B2419" s="1" t="s">
        <v>95</v>
      </c>
      <c r="C2419" s="1" t="s">
        <v>226</v>
      </c>
      <c r="D2419">
        <v>5427</v>
      </c>
      <c r="E2419" s="1"/>
      <c r="F2419" s="1" t="s">
        <v>364</v>
      </c>
      <c r="G2419">
        <v>2013</v>
      </c>
      <c r="H2419">
        <v>66414.84</v>
      </c>
      <c r="I2419">
        <v>12</v>
      </c>
      <c r="J2419" s="1" t="s">
        <v>404</v>
      </c>
      <c r="K2419">
        <v>0</v>
      </c>
      <c r="L2419">
        <v>361</v>
      </c>
      <c r="M2419">
        <v>183.923677</v>
      </c>
      <c r="N2419">
        <v>1</v>
      </c>
      <c r="O2419" s="1" t="s">
        <v>564</v>
      </c>
      <c r="P2419">
        <v>72594.86</v>
      </c>
      <c r="Q2419">
        <v>15352.47</v>
      </c>
      <c r="R2419">
        <v>0</v>
      </c>
      <c r="S2419" s="1" t="s">
        <v>832</v>
      </c>
      <c r="T2419" s="1" t="s">
        <v>1213</v>
      </c>
      <c r="U2419">
        <v>6149.52</v>
      </c>
      <c r="V2419">
        <v>0</v>
      </c>
      <c r="W2419">
        <v>57398</v>
      </c>
    </row>
    <row r="2420" spans="1:23" x14ac:dyDescent="0.25">
      <c r="A2420" s="1" t="s">
        <v>34</v>
      </c>
      <c r="B2420" s="1" t="s">
        <v>95</v>
      </c>
      <c r="C2420" s="1" t="s">
        <v>226</v>
      </c>
      <c r="D2420">
        <v>5427</v>
      </c>
      <c r="E2420" s="1"/>
      <c r="F2420" s="1" t="s">
        <v>364</v>
      </c>
      <c r="G2420">
        <v>2012</v>
      </c>
      <c r="H2420">
        <v>69631.039999999994</v>
      </c>
      <c r="I2420">
        <v>12</v>
      </c>
      <c r="J2420" s="1" t="s">
        <v>404</v>
      </c>
      <c r="K2420">
        <v>0</v>
      </c>
      <c r="L2420">
        <v>361</v>
      </c>
      <c r="M2420">
        <v>192.83035100000001</v>
      </c>
      <c r="N2420">
        <v>1</v>
      </c>
      <c r="O2420" s="1" t="s">
        <v>564</v>
      </c>
      <c r="P2420">
        <v>74780.350000000006</v>
      </c>
      <c r="Q2420">
        <v>15814.66</v>
      </c>
      <c r="R2420">
        <v>0</v>
      </c>
      <c r="S2420" s="1" t="s">
        <v>832</v>
      </c>
      <c r="T2420" s="1" t="s">
        <v>1213</v>
      </c>
      <c r="U2420">
        <v>6447.32</v>
      </c>
      <c r="V2420">
        <v>0</v>
      </c>
      <c r="W2420">
        <v>57398</v>
      </c>
    </row>
    <row r="2421" spans="1:23" x14ac:dyDescent="0.25">
      <c r="A2421" s="1" t="s">
        <v>34</v>
      </c>
      <c r="B2421" s="1" t="s">
        <v>95</v>
      </c>
      <c r="C2421" s="1" t="s">
        <v>226</v>
      </c>
      <c r="D2421">
        <v>5427</v>
      </c>
      <c r="E2421" s="1"/>
      <c r="F2421" s="1" t="s">
        <v>364</v>
      </c>
      <c r="G2421">
        <v>2011</v>
      </c>
      <c r="H2421">
        <v>62701.36</v>
      </c>
      <c r="I2421">
        <v>12</v>
      </c>
      <c r="J2421" s="1" t="s">
        <v>404</v>
      </c>
      <c r="K2421">
        <v>0</v>
      </c>
      <c r="L2421">
        <v>361</v>
      </c>
      <c r="M2421">
        <v>173.63987800000001</v>
      </c>
      <c r="N2421">
        <v>1</v>
      </c>
      <c r="O2421" s="1" t="s">
        <v>564</v>
      </c>
      <c r="P2421">
        <v>70176.509999999995</v>
      </c>
      <c r="Q2421">
        <v>14841.04</v>
      </c>
      <c r="R2421">
        <v>0</v>
      </c>
      <c r="S2421" s="1" t="s">
        <v>832</v>
      </c>
      <c r="T2421" s="1" t="s">
        <v>1213</v>
      </c>
      <c r="U2421">
        <v>5805.68</v>
      </c>
      <c r="V2421">
        <v>0</v>
      </c>
      <c r="W2421">
        <v>57398</v>
      </c>
    </row>
    <row r="2422" spans="1:23" x14ac:dyDescent="0.25">
      <c r="A2422" s="1" t="s">
        <v>34</v>
      </c>
      <c r="B2422" s="1" t="s">
        <v>95</v>
      </c>
      <c r="C2422" s="1" t="s">
        <v>226</v>
      </c>
      <c r="D2422">
        <v>5427</v>
      </c>
      <c r="E2422" s="1"/>
      <c r="F2422" s="1" t="s">
        <v>364</v>
      </c>
      <c r="G2422">
        <v>2010</v>
      </c>
      <c r="H2422">
        <v>73212.56</v>
      </c>
      <c r="I2422">
        <v>12</v>
      </c>
      <c r="J2422" s="1" t="s">
        <v>404</v>
      </c>
      <c r="K2422">
        <v>0</v>
      </c>
      <c r="L2422">
        <v>361</v>
      </c>
      <c r="M2422">
        <v>202.74871200000001</v>
      </c>
      <c r="N2422">
        <v>1</v>
      </c>
      <c r="O2422" s="1" t="s">
        <v>564</v>
      </c>
      <c r="P2422">
        <v>65866.91</v>
      </c>
      <c r="Q2422">
        <v>13929.63</v>
      </c>
      <c r="R2422">
        <v>0</v>
      </c>
      <c r="S2422" s="1" t="s">
        <v>832</v>
      </c>
      <c r="T2422" s="1" t="s">
        <v>1213</v>
      </c>
      <c r="U2422">
        <v>6778.94</v>
      </c>
      <c r="V2422">
        <v>0</v>
      </c>
      <c r="W2422">
        <v>57398</v>
      </c>
    </row>
    <row r="2423" spans="1:23" x14ac:dyDescent="0.25">
      <c r="A2423" s="1" t="s">
        <v>34</v>
      </c>
      <c r="B2423" s="1" t="s">
        <v>95</v>
      </c>
      <c r="C2423" s="1" t="s">
        <v>226</v>
      </c>
      <c r="D2423">
        <v>5427</v>
      </c>
      <c r="E2423" s="1"/>
      <c r="F2423" s="1" t="s">
        <v>364</v>
      </c>
      <c r="G2423">
        <v>2009</v>
      </c>
      <c r="H2423">
        <v>62430.68</v>
      </c>
      <c r="I2423">
        <v>12</v>
      </c>
      <c r="J2423" s="1" t="s">
        <v>404</v>
      </c>
      <c r="K2423">
        <v>0</v>
      </c>
      <c r="L2423">
        <v>361</v>
      </c>
      <c r="M2423">
        <v>172.89027899999999</v>
      </c>
      <c r="N2423">
        <v>1</v>
      </c>
      <c r="O2423" s="1" t="s">
        <v>564</v>
      </c>
      <c r="P2423">
        <v>67947.899999999994</v>
      </c>
      <c r="Q2423">
        <v>14369.74</v>
      </c>
      <c r="R2423">
        <v>0</v>
      </c>
      <c r="S2423" s="1" t="s">
        <v>832</v>
      </c>
      <c r="T2423" s="1" t="s">
        <v>1213</v>
      </c>
      <c r="U2423">
        <v>5780.62</v>
      </c>
      <c r="V2423">
        <v>0</v>
      </c>
      <c r="W2423">
        <v>57398</v>
      </c>
    </row>
    <row r="2424" spans="1:23" x14ac:dyDescent="0.25">
      <c r="A2424" s="1" t="s">
        <v>34</v>
      </c>
      <c r="B2424" s="1" t="s">
        <v>95</v>
      </c>
      <c r="C2424" s="1" t="s">
        <v>226</v>
      </c>
      <c r="D2424">
        <v>5427</v>
      </c>
      <c r="E2424" s="1"/>
      <c r="F2424" s="1" t="s">
        <v>364</v>
      </c>
      <c r="G2424">
        <v>2008</v>
      </c>
      <c r="H2424">
        <v>57226.8</v>
      </c>
      <c r="I2424">
        <v>12</v>
      </c>
      <c r="J2424" s="1" t="s">
        <v>404</v>
      </c>
      <c r="K2424">
        <v>0</v>
      </c>
      <c r="L2424">
        <v>361</v>
      </c>
      <c r="M2424">
        <v>158.47909100000001</v>
      </c>
      <c r="N2424">
        <v>1</v>
      </c>
      <c r="O2424" s="1" t="s">
        <v>564</v>
      </c>
      <c r="P2424">
        <v>66833.440000000002</v>
      </c>
      <c r="Q2424">
        <v>14134.03</v>
      </c>
      <c r="R2424">
        <v>0</v>
      </c>
      <c r="S2424" s="1" t="s">
        <v>832</v>
      </c>
      <c r="T2424" s="1" t="s">
        <v>1213</v>
      </c>
      <c r="U2424">
        <v>5298.78</v>
      </c>
      <c r="V2424">
        <v>0</v>
      </c>
      <c r="W2424">
        <v>57398</v>
      </c>
    </row>
    <row r="2425" spans="1:23" x14ac:dyDescent="0.25">
      <c r="A2425" s="1" t="s">
        <v>34</v>
      </c>
      <c r="B2425" s="1"/>
      <c r="C2425" s="1" t="s">
        <v>177</v>
      </c>
      <c r="D2425">
        <v>10228</v>
      </c>
      <c r="E2425" s="1"/>
      <c r="F2425" s="1" t="s">
        <v>307</v>
      </c>
      <c r="G2425">
        <v>2015</v>
      </c>
      <c r="H2425">
        <v>49827</v>
      </c>
      <c r="I2425">
        <v>5</v>
      </c>
      <c r="J2425" s="1"/>
      <c r="K2425">
        <v>0</v>
      </c>
      <c r="L2425">
        <v>605</v>
      </c>
      <c r="M2425">
        <v>82.345066000000003</v>
      </c>
      <c r="N2425">
        <v>1</v>
      </c>
      <c r="O2425" s="1" t="s">
        <v>562</v>
      </c>
      <c r="P2425">
        <v>56625.11</v>
      </c>
      <c r="Q2425">
        <v>3624.01</v>
      </c>
      <c r="R2425">
        <v>0</v>
      </c>
      <c r="S2425" s="1" t="s">
        <v>833</v>
      </c>
      <c r="T2425" s="1"/>
      <c r="U2425">
        <v>49827</v>
      </c>
      <c r="V2425">
        <v>0</v>
      </c>
      <c r="W2425">
        <v>90940</v>
      </c>
    </row>
    <row r="2426" spans="1:23" x14ac:dyDescent="0.25">
      <c r="A2426" s="1" t="s">
        <v>34</v>
      </c>
      <c r="B2426" s="1"/>
      <c r="C2426" s="1" t="s">
        <v>177</v>
      </c>
      <c r="D2426">
        <v>10228</v>
      </c>
      <c r="E2426" s="1"/>
      <c r="F2426" s="1" t="s">
        <v>307</v>
      </c>
      <c r="G2426">
        <v>2014</v>
      </c>
      <c r="H2426">
        <v>56355.66</v>
      </c>
      <c r="I2426">
        <v>6</v>
      </c>
      <c r="J2426" s="1"/>
      <c r="K2426">
        <v>0</v>
      </c>
      <c r="L2426">
        <v>605</v>
      </c>
      <c r="M2426">
        <v>93.134456999999998</v>
      </c>
      <c r="N2426">
        <v>1</v>
      </c>
      <c r="O2426" s="1" t="s">
        <v>562</v>
      </c>
      <c r="P2426">
        <v>67409.399999999994</v>
      </c>
      <c r="Q2426">
        <v>4314.21</v>
      </c>
      <c r="R2426">
        <v>0</v>
      </c>
      <c r="S2426" s="1" t="s">
        <v>833</v>
      </c>
      <c r="T2426" s="1"/>
      <c r="U2426">
        <v>56355.659699999997</v>
      </c>
      <c r="V2426">
        <v>0</v>
      </c>
      <c r="W2426">
        <v>90940</v>
      </c>
    </row>
    <row r="2427" spans="1:23" x14ac:dyDescent="0.25">
      <c r="A2427" s="1" t="s">
        <v>34</v>
      </c>
      <c r="B2427" s="1"/>
      <c r="C2427" s="1" t="s">
        <v>177</v>
      </c>
      <c r="D2427">
        <v>10228</v>
      </c>
      <c r="E2427" s="1"/>
      <c r="F2427" s="1" t="s">
        <v>307</v>
      </c>
      <c r="G2427">
        <v>2013</v>
      </c>
      <c r="H2427">
        <v>88741</v>
      </c>
      <c r="I2427">
        <v>12</v>
      </c>
      <c r="J2427" s="1"/>
      <c r="K2427">
        <v>0</v>
      </c>
      <c r="L2427">
        <v>605</v>
      </c>
      <c r="M2427">
        <v>146.65509800000001</v>
      </c>
      <c r="N2427">
        <v>1</v>
      </c>
      <c r="O2427" s="1" t="s">
        <v>562</v>
      </c>
      <c r="P2427">
        <v>93348.81</v>
      </c>
      <c r="Q2427">
        <v>5974.32</v>
      </c>
      <c r="R2427">
        <v>0</v>
      </c>
      <c r="S2427" s="1" t="s">
        <v>833</v>
      </c>
      <c r="T2427" s="1"/>
      <c r="U2427">
        <v>88741</v>
      </c>
      <c r="V2427">
        <v>0</v>
      </c>
      <c r="W2427">
        <v>90940</v>
      </c>
    </row>
    <row r="2428" spans="1:23" x14ac:dyDescent="0.25">
      <c r="A2428" s="1" t="s">
        <v>34</v>
      </c>
      <c r="B2428" s="1"/>
      <c r="C2428" s="1" t="s">
        <v>177</v>
      </c>
      <c r="D2428">
        <v>10228</v>
      </c>
      <c r="E2428" s="1"/>
      <c r="F2428" s="1" t="s">
        <v>307</v>
      </c>
      <c r="G2428">
        <v>2012</v>
      </c>
      <c r="H2428">
        <v>95866</v>
      </c>
      <c r="I2428">
        <v>12</v>
      </c>
      <c r="J2428" s="1"/>
      <c r="K2428">
        <v>0</v>
      </c>
      <c r="L2428">
        <v>605</v>
      </c>
      <c r="M2428">
        <v>158.43001100000001</v>
      </c>
      <c r="N2428">
        <v>1</v>
      </c>
      <c r="O2428" s="1" t="s">
        <v>562</v>
      </c>
      <c r="P2428">
        <v>101569.56</v>
      </c>
      <c r="Q2428">
        <v>18790.37</v>
      </c>
      <c r="R2428">
        <v>0</v>
      </c>
      <c r="S2428" s="1" t="s">
        <v>833</v>
      </c>
      <c r="T2428" s="1"/>
      <c r="U2428">
        <v>95866</v>
      </c>
      <c r="V2428">
        <v>0</v>
      </c>
      <c r="W2428">
        <v>90940</v>
      </c>
    </row>
    <row r="2429" spans="1:23" x14ac:dyDescent="0.25">
      <c r="A2429" s="1" t="s">
        <v>34</v>
      </c>
      <c r="B2429" s="1"/>
      <c r="C2429" s="1" t="s">
        <v>177</v>
      </c>
      <c r="D2429">
        <v>10228</v>
      </c>
      <c r="E2429" s="1"/>
      <c r="F2429" s="1" t="s">
        <v>307</v>
      </c>
      <c r="G2429">
        <v>2011</v>
      </c>
      <c r="H2429">
        <v>87084.06</v>
      </c>
      <c r="I2429">
        <v>1</v>
      </c>
      <c r="J2429" s="1" t="s">
        <v>482</v>
      </c>
      <c r="K2429">
        <v>0</v>
      </c>
      <c r="L2429">
        <v>605</v>
      </c>
      <c r="M2429">
        <v>143.91680700000001</v>
      </c>
      <c r="N2429">
        <v>1</v>
      </c>
      <c r="O2429" s="1" t="s">
        <v>565</v>
      </c>
      <c r="P2429">
        <v>104654.65</v>
      </c>
      <c r="Q2429">
        <v>19361.12</v>
      </c>
      <c r="R2429">
        <v>0</v>
      </c>
      <c r="S2429" s="1" t="s">
        <v>834</v>
      </c>
      <c r="T2429" s="1"/>
      <c r="U2429">
        <v>87.084059999999994</v>
      </c>
      <c r="V2429">
        <v>0</v>
      </c>
      <c r="W2429">
        <v>77477</v>
      </c>
    </row>
    <row r="2430" spans="1:23" x14ac:dyDescent="0.25">
      <c r="A2430" s="1" t="s">
        <v>34</v>
      </c>
      <c r="B2430" s="1"/>
      <c r="C2430" s="1" t="s">
        <v>177</v>
      </c>
      <c r="D2430">
        <v>10228</v>
      </c>
      <c r="E2430" s="1"/>
      <c r="F2430" s="1" t="s">
        <v>307</v>
      </c>
      <c r="G2430">
        <v>2010</v>
      </c>
      <c r="H2430">
        <v>92718.99</v>
      </c>
      <c r="I2430">
        <v>1</v>
      </c>
      <c r="J2430" s="1" t="s">
        <v>482</v>
      </c>
      <c r="K2430">
        <v>0</v>
      </c>
      <c r="L2430">
        <v>605</v>
      </c>
      <c r="M2430">
        <v>153.22920099999999</v>
      </c>
      <c r="N2430">
        <v>1</v>
      </c>
      <c r="O2430" s="1" t="s">
        <v>565</v>
      </c>
      <c r="P2430">
        <v>124196.63</v>
      </c>
      <c r="Q2430">
        <v>22976.36</v>
      </c>
      <c r="R2430">
        <v>0</v>
      </c>
      <c r="S2430" s="1" t="s">
        <v>834</v>
      </c>
      <c r="T2430" s="1"/>
      <c r="U2430">
        <v>92.718990000000005</v>
      </c>
      <c r="V2430">
        <v>0</v>
      </c>
      <c r="W2430">
        <v>77477</v>
      </c>
    </row>
    <row r="2431" spans="1:23" x14ac:dyDescent="0.25">
      <c r="A2431" s="1" t="s">
        <v>34</v>
      </c>
      <c r="B2431" s="1"/>
      <c r="C2431" s="1" t="s">
        <v>177</v>
      </c>
      <c r="D2431">
        <v>10228</v>
      </c>
      <c r="E2431" s="1"/>
      <c r="F2431" s="1" t="s">
        <v>307</v>
      </c>
      <c r="G2431">
        <v>2009</v>
      </c>
      <c r="H2431">
        <v>81038.06</v>
      </c>
      <c r="I2431">
        <v>19</v>
      </c>
      <c r="J2431" s="1" t="s">
        <v>482</v>
      </c>
      <c r="K2431">
        <v>0</v>
      </c>
      <c r="L2431">
        <v>605</v>
      </c>
      <c r="M2431">
        <v>133.92507000000001</v>
      </c>
      <c r="N2431">
        <v>1</v>
      </c>
      <c r="O2431" s="1" t="s">
        <v>565</v>
      </c>
      <c r="P2431">
        <v>92169.32</v>
      </c>
      <c r="Q2431">
        <v>17051.330000000002</v>
      </c>
      <c r="R2431">
        <v>0</v>
      </c>
      <c r="S2431" s="1" t="s">
        <v>834</v>
      </c>
      <c r="T2431" s="1"/>
      <c r="U2431">
        <v>81.038060000000002</v>
      </c>
      <c r="V2431">
        <v>0</v>
      </c>
      <c r="W2431">
        <v>77477</v>
      </c>
    </row>
    <row r="2432" spans="1:23" x14ac:dyDescent="0.25">
      <c r="A2432" s="1" t="s">
        <v>34</v>
      </c>
      <c r="B2432" s="1"/>
      <c r="C2432" s="1" t="s">
        <v>177</v>
      </c>
      <c r="D2432">
        <v>10228</v>
      </c>
      <c r="E2432" s="1"/>
      <c r="F2432" s="1" t="s">
        <v>307</v>
      </c>
      <c r="G2432">
        <v>2008</v>
      </c>
      <c r="H2432">
        <v>77713.37</v>
      </c>
      <c r="I2432">
        <v>17</v>
      </c>
      <c r="J2432" s="1" t="s">
        <v>482</v>
      </c>
      <c r="K2432">
        <v>0</v>
      </c>
      <c r="L2432">
        <v>605</v>
      </c>
      <c r="M2432">
        <v>128.430623</v>
      </c>
      <c r="N2432">
        <v>1</v>
      </c>
      <c r="O2432" s="1" t="s">
        <v>565</v>
      </c>
      <c r="P2432">
        <v>91545.94</v>
      </c>
      <c r="Q2432">
        <v>16936.009999999998</v>
      </c>
      <c r="R2432">
        <v>0</v>
      </c>
      <c r="S2432" s="1" t="s">
        <v>834</v>
      </c>
      <c r="T2432" s="1"/>
      <c r="U2432">
        <v>77.713369999999998</v>
      </c>
      <c r="V2432">
        <v>0</v>
      </c>
      <c r="W2432">
        <v>77477</v>
      </c>
    </row>
    <row r="2433" spans="1:23" x14ac:dyDescent="0.25">
      <c r="A2433" s="1" t="s">
        <v>34</v>
      </c>
      <c r="B2433" s="1"/>
      <c r="C2433" s="1" t="s">
        <v>178</v>
      </c>
      <c r="D2433">
        <v>10190</v>
      </c>
      <c r="E2433" s="1"/>
      <c r="F2433" s="1" t="s">
        <v>308</v>
      </c>
      <c r="G2433">
        <v>2015</v>
      </c>
      <c r="H2433">
        <v>28850.58</v>
      </c>
      <c r="I2433">
        <v>5</v>
      </c>
      <c r="J2433" s="1" t="s">
        <v>399</v>
      </c>
      <c r="K2433">
        <v>0</v>
      </c>
      <c r="L2433">
        <v>475</v>
      </c>
      <c r="M2433">
        <v>60.725278000000003</v>
      </c>
      <c r="N2433">
        <v>1</v>
      </c>
      <c r="O2433" s="1" t="s">
        <v>564</v>
      </c>
      <c r="P2433">
        <v>32299.84</v>
      </c>
      <c r="Q2433">
        <v>6830.83</v>
      </c>
      <c r="R2433">
        <v>0</v>
      </c>
      <c r="S2433" s="1"/>
      <c r="T2433" s="1" t="s">
        <v>1214</v>
      </c>
      <c r="U2433">
        <v>2671.35</v>
      </c>
      <c r="V2433">
        <v>0</v>
      </c>
      <c r="W2433">
        <v>77253</v>
      </c>
    </row>
    <row r="2434" spans="1:23" x14ac:dyDescent="0.25">
      <c r="A2434" s="1" t="s">
        <v>34</v>
      </c>
      <c r="B2434" s="1"/>
      <c r="C2434" s="1" t="s">
        <v>178</v>
      </c>
      <c r="D2434">
        <v>10190</v>
      </c>
      <c r="E2434" s="1"/>
      <c r="F2434" s="1" t="s">
        <v>308</v>
      </c>
      <c r="G2434">
        <v>2014</v>
      </c>
      <c r="H2434">
        <v>42736.35</v>
      </c>
      <c r="I2434">
        <v>12</v>
      </c>
      <c r="J2434" s="1" t="s">
        <v>399</v>
      </c>
      <c r="K2434">
        <v>0</v>
      </c>
      <c r="L2434">
        <v>475</v>
      </c>
      <c r="M2434">
        <v>89.952325000000002</v>
      </c>
      <c r="N2434">
        <v>1</v>
      </c>
      <c r="O2434" s="1" t="s">
        <v>564</v>
      </c>
      <c r="P2434">
        <v>49397.73</v>
      </c>
      <c r="Q2434">
        <v>10446.700000000001</v>
      </c>
      <c r="R2434">
        <v>0</v>
      </c>
      <c r="S2434" s="1"/>
      <c r="T2434" s="1" t="s">
        <v>1214</v>
      </c>
      <c r="U2434">
        <v>3957.07</v>
      </c>
      <c r="V2434">
        <v>0</v>
      </c>
      <c r="W2434">
        <v>77253</v>
      </c>
    </row>
    <row r="2435" spans="1:23" x14ac:dyDescent="0.25">
      <c r="A2435" s="1" t="s">
        <v>34</v>
      </c>
      <c r="B2435" s="1"/>
      <c r="C2435" s="1" t="s">
        <v>178</v>
      </c>
      <c r="D2435">
        <v>10190</v>
      </c>
      <c r="E2435" s="1"/>
      <c r="F2435" s="1" t="s">
        <v>308</v>
      </c>
      <c r="G2435">
        <v>2013</v>
      </c>
      <c r="H2435">
        <v>55348.05</v>
      </c>
      <c r="I2435">
        <v>12</v>
      </c>
      <c r="J2435" s="1" t="s">
        <v>399</v>
      </c>
      <c r="K2435">
        <v>0</v>
      </c>
      <c r="L2435">
        <v>475</v>
      </c>
      <c r="M2435">
        <v>116.49768400000001</v>
      </c>
      <c r="N2435">
        <v>1</v>
      </c>
      <c r="O2435" s="1" t="s">
        <v>564</v>
      </c>
      <c r="P2435">
        <v>57363.96</v>
      </c>
      <c r="Q2435">
        <v>12131.42</v>
      </c>
      <c r="R2435">
        <v>0</v>
      </c>
      <c r="S2435" s="1"/>
      <c r="T2435" s="1" t="s">
        <v>1214</v>
      </c>
      <c r="U2435">
        <v>5124.82</v>
      </c>
      <c r="V2435">
        <v>0</v>
      </c>
      <c r="W2435">
        <v>77253</v>
      </c>
    </row>
    <row r="2436" spans="1:23" x14ac:dyDescent="0.25">
      <c r="A2436" s="1" t="s">
        <v>34</v>
      </c>
      <c r="B2436" s="1"/>
      <c r="C2436" s="1" t="s">
        <v>178</v>
      </c>
      <c r="D2436">
        <v>10190</v>
      </c>
      <c r="E2436" s="1"/>
      <c r="F2436" s="1" t="s">
        <v>308</v>
      </c>
      <c r="G2436">
        <v>2012</v>
      </c>
      <c r="H2436">
        <v>55474.53</v>
      </c>
      <c r="I2436">
        <v>12</v>
      </c>
      <c r="J2436" s="1" t="s">
        <v>399</v>
      </c>
      <c r="K2436">
        <v>0</v>
      </c>
      <c r="L2436">
        <v>475</v>
      </c>
      <c r="M2436">
        <v>116.763902</v>
      </c>
      <c r="N2436">
        <v>1</v>
      </c>
      <c r="O2436" s="1" t="s">
        <v>564</v>
      </c>
      <c r="P2436">
        <v>58117.05</v>
      </c>
      <c r="Q2436">
        <v>12290.68</v>
      </c>
      <c r="R2436">
        <v>0</v>
      </c>
      <c r="S2436" s="1"/>
      <c r="T2436" s="1" t="s">
        <v>1214</v>
      </c>
      <c r="U2436">
        <v>5136.53</v>
      </c>
      <c r="V2436">
        <v>0</v>
      </c>
      <c r="W2436">
        <v>77253</v>
      </c>
    </row>
    <row r="2437" spans="1:23" x14ac:dyDescent="0.25">
      <c r="A2437" s="1" t="s">
        <v>34</v>
      </c>
      <c r="B2437" s="1"/>
      <c r="C2437" s="1" t="s">
        <v>178</v>
      </c>
      <c r="D2437">
        <v>10190</v>
      </c>
      <c r="E2437" s="1"/>
      <c r="F2437" s="1" t="s">
        <v>308</v>
      </c>
      <c r="G2437">
        <v>2011</v>
      </c>
      <c r="H2437">
        <v>49334.32</v>
      </c>
      <c r="I2437">
        <v>5</v>
      </c>
      <c r="J2437" s="1" t="s">
        <v>399</v>
      </c>
      <c r="K2437">
        <v>0</v>
      </c>
      <c r="L2437">
        <v>475</v>
      </c>
      <c r="M2437">
        <v>103.839865</v>
      </c>
      <c r="N2437">
        <v>1</v>
      </c>
      <c r="O2437" s="1" t="s">
        <v>564</v>
      </c>
      <c r="P2437">
        <v>54893.31</v>
      </c>
      <c r="Q2437">
        <v>11608.94</v>
      </c>
      <c r="R2437">
        <v>0</v>
      </c>
      <c r="S2437" s="1"/>
      <c r="T2437" s="1" t="s">
        <v>1214</v>
      </c>
      <c r="U2437">
        <v>4567.9915300000002</v>
      </c>
      <c r="V2437">
        <v>0</v>
      </c>
      <c r="W2437">
        <v>77253</v>
      </c>
    </row>
    <row r="2438" spans="1:23" x14ac:dyDescent="0.25">
      <c r="A2438" s="1" t="s">
        <v>34</v>
      </c>
      <c r="B2438" s="1"/>
      <c r="C2438" s="1" t="s">
        <v>178</v>
      </c>
      <c r="D2438">
        <v>10190</v>
      </c>
      <c r="E2438" s="1"/>
      <c r="F2438" s="1" t="s">
        <v>308</v>
      </c>
      <c r="G2438">
        <v>2010</v>
      </c>
      <c r="H2438">
        <v>52904.86</v>
      </c>
      <c r="I2438">
        <v>3</v>
      </c>
      <c r="J2438" s="1" t="s">
        <v>399</v>
      </c>
      <c r="K2438">
        <v>0</v>
      </c>
      <c r="L2438">
        <v>475</v>
      </c>
      <c r="M2438">
        <v>111.355209</v>
      </c>
      <c r="N2438">
        <v>1</v>
      </c>
      <c r="O2438" s="1" t="s">
        <v>564</v>
      </c>
      <c r="P2438">
        <v>48721.04</v>
      </c>
      <c r="Q2438">
        <v>10303.59</v>
      </c>
      <c r="R2438">
        <v>0</v>
      </c>
      <c r="S2438" s="1"/>
      <c r="T2438" s="1" t="s">
        <v>1214</v>
      </c>
      <c r="U2438">
        <v>4898.5980200000004</v>
      </c>
      <c r="V2438">
        <v>0</v>
      </c>
      <c r="W2438">
        <v>77253</v>
      </c>
    </row>
    <row r="2439" spans="1:23" x14ac:dyDescent="0.25">
      <c r="A2439" s="1" t="s">
        <v>34</v>
      </c>
      <c r="B2439" s="1"/>
      <c r="C2439" s="1" t="s">
        <v>178</v>
      </c>
      <c r="D2439">
        <v>10190</v>
      </c>
      <c r="E2439" s="1"/>
      <c r="F2439" s="1" t="s">
        <v>308</v>
      </c>
      <c r="G2439">
        <v>2009</v>
      </c>
      <c r="H2439">
        <v>49002.46</v>
      </c>
      <c r="I2439">
        <v>4</v>
      </c>
      <c r="J2439" s="1" t="s">
        <v>399</v>
      </c>
      <c r="K2439">
        <v>0</v>
      </c>
      <c r="L2439">
        <v>475</v>
      </c>
      <c r="M2439">
        <v>103.14135899999999</v>
      </c>
      <c r="N2439">
        <v>1</v>
      </c>
      <c r="O2439" s="1" t="s">
        <v>564</v>
      </c>
      <c r="P2439">
        <v>56985.16</v>
      </c>
      <c r="Q2439">
        <v>12051.3</v>
      </c>
      <c r="R2439">
        <v>0</v>
      </c>
      <c r="S2439" s="1"/>
      <c r="T2439" s="1" t="s">
        <v>1214</v>
      </c>
      <c r="U2439">
        <v>4537.2675799999997</v>
      </c>
      <c r="V2439">
        <v>0</v>
      </c>
      <c r="W2439">
        <v>77253</v>
      </c>
    </row>
    <row r="2440" spans="1:23" x14ac:dyDescent="0.25">
      <c r="A2440" s="1" t="s">
        <v>34</v>
      </c>
      <c r="B2440" s="1"/>
      <c r="C2440" s="1" t="s">
        <v>178</v>
      </c>
      <c r="D2440">
        <v>10190</v>
      </c>
      <c r="E2440" s="1"/>
      <c r="F2440" s="1" t="s">
        <v>308</v>
      </c>
      <c r="G2440">
        <v>2008</v>
      </c>
      <c r="H2440">
        <v>40924.75</v>
      </c>
      <c r="I2440">
        <v>4</v>
      </c>
      <c r="J2440" s="1" t="s">
        <v>399</v>
      </c>
      <c r="K2440">
        <v>0</v>
      </c>
      <c r="L2440">
        <v>475</v>
      </c>
      <c r="M2440">
        <v>86.139233000000004</v>
      </c>
      <c r="N2440">
        <v>1</v>
      </c>
      <c r="O2440" s="1" t="s">
        <v>564</v>
      </c>
      <c r="P2440">
        <v>46017.47</v>
      </c>
      <c r="Q2440">
        <v>9731.85</v>
      </c>
      <c r="R2440">
        <v>0</v>
      </c>
      <c r="S2440" s="1"/>
      <c r="T2440" s="1" t="s">
        <v>1214</v>
      </c>
      <c r="U2440">
        <v>3789.3296700000001</v>
      </c>
      <c r="V2440">
        <v>0</v>
      </c>
      <c r="W2440">
        <v>77253</v>
      </c>
    </row>
    <row r="2441" spans="1:23" x14ac:dyDescent="0.25">
      <c r="A2441" s="1" t="s">
        <v>34</v>
      </c>
      <c r="B2441" s="1" t="s">
        <v>74</v>
      </c>
      <c r="C2441" s="1" t="s">
        <v>176</v>
      </c>
      <c r="D2441">
        <v>13662</v>
      </c>
      <c r="E2441" s="1"/>
      <c r="F2441" s="1" t="s">
        <v>306</v>
      </c>
      <c r="G2441">
        <v>2015</v>
      </c>
      <c r="H2441">
        <v>10052.299999999999</v>
      </c>
      <c r="I2441">
        <v>5</v>
      </c>
      <c r="J2441" s="1" t="s">
        <v>422</v>
      </c>
      <c r="K2441">
        <v>0</v>
      </c>
      <c r="L2441">
        <v>129</v>
      </c>
      <c r="M2441">
        <v>77.864446000000001</v>
      </c>
      <c r="N2441">
        <v>2</v>
      </c>
      <c r="O2441" s="1" t="s">
        <v>569</v>
      </c>
      <c r="P2441">
        <v>10052.299999999999</v>
      </c>
      <c r="Q2441">
        <v>3015.69</v>
      </c>
      <c r="R2441">
        <v>0</v>
      </c>
      <c r="S2441" s="1" t="s">
        <v>1041</v>
      </c>
      <c r="T2441" s="1" t="s">
        <v>1311</v>
      </c>
      <c r="U2441">
        <v>10052.302</v>
      </c>
      <c r="V2441">
        <v>0</v>
      </c>
      <c r="W2441">
        <v>91251</v>
      </c>
    </row>
    <row r="2442" spans="1:23" x14ac:dyDescent="0.25">
      <c r="A2442" s="1" t="s">
        <v>34</v>
      </c>
      <c r="B2442" s="1" t="s">
        <v>74</v>
      </c>
      <c r="C2442" s="1" t="s">
        <v>176</v>
      </c>
      <c r="D2442">
        <v>13662</v>
      </c>
      <c r="E2442" s="1"/>
      <c r="F2442" s="1" t="s">
        <v>306</v>
      </c>
      <c r="G2442">
        <v>2014</v>
      </c>
      <c r="H2442">
        <v>17750.91</v>
      </c>
      <c r="I2442">
        <v>12</v>
      </c>
      <c r="J2442" s="1" t="s">
        <v>422</v>
      </c>
      <c r="K2442">
        <v>0</v>
      </c>
      <c r="L2442">
        <v>129</v>
      </c>
      <c r="M2442">
        <v>137.497366</v>
      </c>
      <c r="N2442">
        <v>2</v>
      </c>
      <c r="O2442" s="1" t="s">
        <v>569</v>
      </c>
      <c r="P2442">
        <v>17750.91</v>
      </c>
      <c r="Q2442">
        <v>5325.27</v>
      </c>
      <c r="R2442">
        <v>0</v>
      </c>
      <c r="S2442" s="1" t="s">
        <v>1041</v>
      </c>
      <c r="T2442" s="1" t="s">
        <v>1311</v>
      </c>
      <c r="U2442">
        <v>17750.8933</v>
      </c>
      <c r="V2442">
        <v>0</v>
      </c>
      <c r="W2442">
        <v>91251</v>
      </c>
    </row>
    <row r="2443" spans="1:23" x14ac:dyDescent="0.25">
      <c r="A2443" s="1" t="s">
        <v>34</v>
      </c>
      <c r="B2443" s="1" t="s">
        <v>74</v>
      </c>
      <c r="C2443" s="1" t="s">
        <v>176</v>
      </c>
      <c r="D2443">
        <v>13662</v>
      </c>
      <c r="E2443" s="1"/>
      <c r="F2443" s="1" t="s">
        <v>306</v>
      </c>
      <c r="G2443">
        <v>2013</v>
      </c>
      <c r="H2443">
        <v>20430.37</v>
      </c>
      <c r="I2443">
        <v>8</v>
      </c>
      <c r="J2443" s="1" t="s">
        <v>422</v>
      </c>
      <c r="K2443">
        <v>0</v>
      </c>
      <c r="L2443">
        <v>129</v>
      </c>
      <c r="M2443">
        <v>158.252285</v>
      </c>
      <c r="N2443">
        <v>2</v>
      </c>
      <c r="O2443" s="1" t="s">
        <v>569</v>
      </c>
      <c r="P2443">
        <v>20430.37</v>
      </c>
      <c r="Q2443">
        <v>6129.11</v>
      </c>
      <c r="R2443">
        <v>0</v>
      </c>
      <c r="S2443" s="1" t="s">
        <v>1041</v>
      </c>
      <c r="T2443" s="1" t="s">
        <v>1311</v>
      </c>
      <c r="U2443">
        <v>20430.36289</v>
      </c>
      <c r="V2443">
        <v>0</v>
      </c>
      <c r="W2443">
        <v>91251</v>
      </c>
    </row>
    <row r="2444" spans="1:23" x14ac:dyDescent="0.25">
      <c r="A2444" s="1" t="s">
        <v>34</v>
      </c>
      <c r="B2444" s="1" t="s">
        <v>74</v>
      </c>
      <c r="C2444" s="1" t="s">
        <v>176</v>
      </c>
      <c r="D2444">
        <v>13662</v>
      </c>
      <c r="E2444" s="1"/>
      <c r="F2444" s="1" t="s">
        <v>306</v>
      </c>
      <c r="G2444">
        <v>2012</v>
      </c>
      <c r="H2444">
        <v>16860.39</v>
      </c>
      <c r="I2444">
        <v>3</v>
      </c>
      <c r="J2444" s="1" t="s">
        <v>422</v>
      </c>
      <c r="K2444">
        <v>0</v>
      </c>
      <c r="L2444">
        <v>129</v>
      </c>
      <c r="M2444">
        <v>130.599457</v>
      </c>
      <c r="N2444">
        <v>2</v>
      </c>
      <c r="O2444" s="1" t="s">
        <v>569</v>
      </c>
      <c r="P2444">
        <v>16860.39</v>
      </c>
      <c r="Q2444">
        <v>6744.14</v>
      </c>
      <c r="R2444">
        <v>0</v>
      </c>
      <c r="S2444" s="1" t="s">
        <v>1041</v>
      </c>
      <c r="T2444" s="1" t="s">
        <v>1311</v>
      </c>
      <c r="U2444">
        <v>16860.37761</v>
      </c>
      <c r="V2444">
        <v>0</v>
      </c>
      <c r="W2444">
        <v>91251</v>
      </c>
    </row>
    <row r="2445" spans="1:23" x14ac:dyDescent="0.25">
      <c r="A2445" s="1" t="s">
        <v>34</v>
      </c>
      <c r="B2445" s="1" t="s">
        <v>74</v>
      </c>
      <c r="C2445" s="1" t="s">
        <v>176</v>
      </c>
      <c r="D2445">
        <v>13662</v>
      </c>
      <c r="E2445" s="1"/>
      <c r="F2445" s="1" t="s">
        <v>306</v>
      </c>
      <c r="G2445">
        <v>2011</v>
      </c>
      <c r="H2445">
        <v>22278.44</v>
      </c>
      <c r="I2445">
        <v>1</v>
      </c>
      <c r="J2445" s="1" t="s">
        <v>422</v>
      </c>
      <c r="K2445">
        <v>0</v>
      </c>
      <c r="L2445">
        <v>129</v>
      </c>
      <c r="M2445">
        <v>172.56731199999999</v>
      </c>
      <c r="N2445">
        <v>2</v>
      </c>
      <c r="O2445" s="1" t="s">
        <v>569</v>
      </c>
      <c r="P2445">
        <v>22278.44</v>
      </c>
      <c r="Q2445">
        <v>10448.59</v>
      </c>
      <c r="R2445">
        <v>0</v>
      </c>
      <c r="S2445" s="1" t="s">
        <v>1041</v>
      </c>
      <c r="T2445" s="1" t="s">
        <v>1311</v>
      </c>
      <c r="U2445">
        <v>22278.433150000001</v>
      </c>
      <c r="V2445">
        <v>0</v>
      </c>
      <c r="W2445">
        <v>91251</v>
      </c>
    </row>
    <row r="2446" spans="1:23" x14ac:dyDescent="0.25">
      <c r="A2446" s="1" t="s">
        <v>34</v>
      </c>
      <c r="B2446" s="1" t="s">
        <v>74</v>
      </c>
      <c r="C2446" s="1" t="s">
        <v>176</v>
      </c>
      <c r="D2446">
        <v>13662</v>
      </c>
      <c r="E2446" s="1"/>
      <c r="F2446" s="1" t="s">
        <v>306</v>
      </c>
      <c r="G2446">
        <v>2010</v>
      </c>
      <c r="H2446">
        <v>21263.96</v>
      </c>
      <c r="I2446">
        <v>1</v>
      </c>
      <c r="J2446" s="1" t="s">
        <v>422</v>
      </c>
      <c r="K2446">
        <v>0</v>
      </c>
      <c r="L2446">
        <v>129</v>
      </c>
      <c r="M2446">
        <v>164.709217</v>
      </c>
      <c r="N2446">
        <v>2</v>
      </c>
      <c r="O2446" s="1" t="s">
        <v>569</v>
      </c>
      <c r="P2446">
        <v>21263.96</v>
      </c>
      <c r="Q2446">
        <v>9972.7800000000007</v>
      </c>
      <c r="R2446">
        <v>0</v>
      </c>
      <c r="S2446" s="1" t="s">
        <v>1041</v>
      </c>
      <c r="T2446" s="1" t="s">
        <v>1311</v>
      </c>
      <c r="U2446">
        <v>21263.947530000001</v>
      </c>
      <c r="V2446">
        <v>0</v>
      </c>
      <c r="W2446">
        <v>91251</v>
      </c>
    </row>
    <row r="2447" spans="1:23" x14ac:dyDescent="0.25">
      <c r="A2447" s="1" t="s">
        <v>34</v>
      </c>
      <c r="B2447" s="1" t="s">
        <v>74</v>
      </c>
      <c r="C2447" s="1" t="s">
        <v>176</v>
      </c>
      <c r="D2447">
        <v>13662</v>
      </c>
      <c r="E2447" s="1"/>
      <c r="F2447" s="1" t="s">
        <v>306</v>
      </c>
      <c r="G2447">
        <v>2009</v>
      </c>
      <c r="H2447">
        <v>21438.43</v>
      </c>
      <c r="I2447">
        <v>0</v>
      </c>
      <c r="J2447" s="1" t="s">
        <v>422</v>
      </c>
      <c r="K2447">
        <v>0</v>
      </c>
      <c r="L2447">
        <v>129</v>
      </c>
      <c r="M2447">
        <v>166.06065000000001</v>
      </c>
      <c r="N2447">
        <v>2</v>
      </c>
      <c r="O2447" s="1" t="s">
        <v>569</v>
      </c>
      <c r="P2447">
        <v>21438.43</v>
      </c>
      <c r="Q2447">
        <v>10054.6</v>
      </c>
      <c r="R2447">
        <v>0</v>
      </c>
      <c r="S2447" s="1" t="s">
        <v>1041</v>
      </c>
      <c r="T2447" s="1" t="s">
        <v>1311</v>
      </c>
      <c r="U2447">
        <v>21438.415369999999</v>
      </c>
      <c r="V2447">
        <v>0</v>
      </c>
      <c r="W2447">
        <v>91251</v>
      </c>
    </row>
    <row r="2448" spans="1:23" x14ac:dyDescent="0.25">
      <c r="A2448" s="1" t="s">
        <v>34</v>
      </c>
      <c r="B2448" s="1" t="s">
        <v>74</v>
      </c>
      <c r="C2448" s="1" t="s">
        <v>176</v>
      </c>
      <c r="D2448">
        <v>13662</v>
      </c>
      <c r="E2448" s="1"/>
      <c r="F2448" s="1" t="s">
        <v>306</v>
      </c>
      <c r="G2448">
        <v>2008</v>
      </c>
      <c r="H2448">
        <v>17640.55</v>
      </c>
      <c r="I2448">
        <v>1</v>
      </c>
      <c r="J2448" s="1" t="s">
        <v>422</v>
      </c>
      <c r="K2448">
        <v>0</v>
      </c>
      <c r="L2448">
        <v>129</v>
      </c>
      <c r="M2448">
        <v>136.64252500000001</v>
      </c>
      <c r="N2448">
        <v>2</v>
      </c>
      <c r="O2448" s="1" t="s">
        <v>569</v>
      </c>
      <c r="P2448">
        <v>17640.55</v>
      </c>
      <c r="Q2448">
        <v>8273.3799999999992</v>
      </c>
      <c r="R2448">
        <v>0</v>
      </c>
      <c r="S2448" s="1" t="s">
        <v>1041</v>
      </c>
      <c r="T2448" s="1" t="s">
        <v>1311</v>
      </c>
      <c r="U2448">
        <v>17640.566019999998</v>
      </c>
      <c r="V2448">
        <v>0</v>
      </c>
      <c r="W2448">
        <v>91251</v>
      </c>
    </row>
    <row r="2449" spans="1:23" x14ac:dyDescent="0.25">
      <c r="A2449" s="1" t="s">
        <v>34</v>
      </c>
      <c r="B2449" s="1" t="s">
        <v>95</v>
      </c>
      <c r="C2449" s="1" t="s">
        <v>226</v>
      </c>
      <c r="D2449">
        <v>5427</v>
      </c>
      <c r="E2449" s="1"/>
      <c r="F2449" s="1" t="s">
        <v>364</v>
      </c>
      <c r="G2449">
        <v>2015</v>
      </c>
      <c r="H2449">
        <v>771.6</v>
      </c>
      <c r="I2449">
        <v>5</v>
      </c>
      <c r="J2449" s="1" t="s">
        <v>404</v>
      </c>
      <c r="K2449">
        <v>0</v>
      </c>
      <c r="L2449">
        <v>361</v>
      </c>
      <c r="M2449">
        <v>2.1368040000000001</v>
      </c>
      <c r="N2449">
        <v>2</v>
      </c>
      <c r="O2449" s="1" t="s">
        <v>569</v>
      </c>
      <c r="P2449">
        <v>771.6</v>
      </c>
      <c r="Q2449">
        <v>308.64</v>
      </c>
      <c r="R2449">
        <v>0</v>
      </c>
      <c r="S2449" s="1" t="s">
        <v>1042</v>
      </c>
      <c r="T2449" s="1"/>
      <c r="U2449">
        <v>771.60199999999998</v>
      </c>
      <c r="V2449">
        <v>0</v>
      </c>
      <c r="W2449">
        <v>57397</v>
      </c>
    </row>
    <row r="2450" spans="1:23" x14ac:dyDescent="0.25">
      <c r="A2450" s="1" t="s">
        <v>34</v>
      </c>
      <c r="B2450" s="1" t="s">
        <v>95</v>
      </c>
      <c r="C2450" s="1" t="s">
        <v>226</v>
      </c>
      <c r="D2450">
        <v>5427</v>
      </c>
      <c r="E2450" s="1"/>
      <c r="F2450" s="1" t="s">
        <v>364</v>
      </c>
      <c r="G2450">
        <v>2014</v>
      </c>
      <c r="H2450">
        <v>1668.59</v>
      </c>
      <c r="I2450">
        <v>12</v>
      </c>
      <c r="J2450" s="1" t="s">
        <v>404</v>
      </c>
      <c r="K2450">
        <v>0</v>
      </c>
      <c r="L2450">
        <v>361</v>
      </c>
      <c r="M2450">
        <v>4.6208520000000002</v>
      </c>
      <c r="N2450">
        <v>2</v>
      </c>
      <c r="O2450" s="1" t="s">
        <v>569</v>
      </c>
      <c r="P2450">
        <v>1668.59</v>
      </c>
      <c r="Q2450">
        <v>667.43</v>
      </c>
      <c r="R2450">
        <v>0</v>
      </c>
      <c r="S2450" s="1" t="s">
        <v>1042</v>
      </c>
      <c r="T2450" s="1"/>
      <c r="U2450">
        <v>1668.5740000000001</v>
      </c>
      <c r="V2450">
        <v>0</v>
      </c>
      <c r="W2450">
        <v>57397</v>
      </c>
    </row>
    <row r="2451" spans="1:23" x14ac:dyDescent="0.25">
      <c r="A2451" s="1" t="s">
        <v>34</v>
      </c>
      <c r="B2451" s="1" t="s">
        <v>95</v>
      </c>
      <c r="C2451" s="1" t="s">
        <v>226</v>
      </c>
      <c r="D2451">
        <v>5427</v>
      </c>
      <c r="E2451" s="1"/>
      <c r="F2451" s="1" t="s">
        <v>364</v>
      </c>
      <c r="G2451">
        <v>2013</v>
      </c>
      <c r="H2451">
        <v>2413.34</v>
      </c>
      <c r="I2451">
        <v>12</v>
      </c>
      <c r="J2451" s="1" t="s">
        <v>404</v>
      </c>
      <c r="K2451">
        <v>0</v>
      </c>
      <c r="L2451">
        <v>361</v>
      </c>
      <c r="M2451">
        <v>6.6833010000000002</v>
      </c>
      <c r="N2451">
        <v>2</v>
      </c>
      <c r="O2451" s="1" t="s">
        <v>569</v>
      </c>
      <c r="P2451">
        <v>2413.34</v>
      </c>
      <c r="Q2451">
        <v>965.33</v>
      </c>
      <c r="R2451">
        <v>0</v>
      </c>
      <c r="S2451" s="1" t="s">
        <v>1042</v>
      </c>
      <c r="T2451" s="1"/>
      <c r="U2451">
        <v>2413.34</v>
      </c>
      <c r="V2451">
        <v>0</v>
      </c>
      <c r="W2451">
        <v>57397</v>
      </c>
    </row>
    <row r="2452" spans="1:23" x14ac:dyDescent="0.25">
      <c r="A2452" s="1" t="s">
        <v>34</v>
      </c>
      <c r="B2452" s="1" t="s">
        <v>95</v>
      </c>
      <c r="C2452" s="1" t="s">
        <v>226</v>
      </c>
      <c r="D2452">
        <v>5427</v>
      </c>
      <c r="E2452" s="1"/>
      <c r="F2452" s="1" t="s">
        <v>364</v>
      </c>
      <c r="G2452">
        <v>2012</v>
      </c>
      <c r="H2452">
        <v>3369.07</v>
      </c>
      <c r="I2452">
        <v>12</v>
      </c>
      <c r="J2452" s="1" t="s">
        <v>404</v>
      </c>
      <c r="K2452">
        <v>0</v>
      </c>
      <c r="L2452">
        <v>361</v>
      </c>
      <c r="M2452">
        <v>9.3300190000000001</v>
      </c>
      <c r="N2452">
        <v>2</v>
      </c>
      <c r="O2452" s="1" t="s">
        <v>569</v>
      </c>
      <c r="P2452">
        <v>3369.07</v>
      </c>
      <c r="Q2452">
        <v>1347.63</v>
      </c>
      <c r="R2452">
        <v>0</v>
      </c>
      <c r="S2452" s="1" t="s">
        <v>1042</v>
      </c>
      <c r="T2452" s="1"/>
      <c r="U2452">
        <v>3369.078</v>
      </c>
      <c r="V2452">
        <v>0</v>
      </c>
      <c r="W2452">
        <v>57397</v>
      </c>
    </row>
    <row r="2453" spans="1:23" x14ac:dyDescent="0.25">
      <c r="A2453" s="1" t="s">
        <v>34</v>
      </c>
      <c r="B2453" s="1" t="s">
        <v>95</v>
      </c>
      <c r="C2453" s="1" t="s">
        <v>226</v>
      </c>
      <c r="D2453">
        <v>5427</v>
      </c>
      <c r="E2453" s="1"/>
      <c r="F2453" s="1" t="s">
        <v>364</v>
      </c>
      <c r="G2453">
        <v>2011</v>
      </c>
      <c r="H2453">
        <v>4068.8</v>
      </c>
      <c r="I2453">
        <v>12</v>
      </c>
      <c r="J2453" s="1" t="s">
        <v>404</v>
      </c>
      <c r="K2453">
        <v>0</v>
      </c>
      <c r="L2453">
        <v>361</v>
      </c>
      <c r="M2453">
        <v>11.267792</v>
      </c>
      <c r="N2453">
        <v>2</v>
      </c>
      <c r="O2453" s="1" t="s">
        <v>569</v>
      </c>
      <c r="P2453">
        <v>4068.8</v>
      </c>
      <c r="Q2453">
        <v>1908.28</v>
      </c>
      <c r="R2453">
        <v>0</v>
      </c>
      <c r="S2453" s="1" t="s">
        <v>1042</v>
      </c>
      <c r="T2453" s="1"/>
      <c r="U2453">
        <v>4068.7979999999998</v>
      </c>
      <c r="V2453">
        <v>0</v>
      </c>
      <c r="W2453">
        <v>57397</v>
      </c>
    </row>
    <row r="2454" spans="1:23" x14ac:dyDescent="0.25">
      <c r="A2454" s="1" t="s">
        <v>34</v>
      </c>
      <c r="B2454" s="1" t="s">
        <v>95</v>
      </c>
      <c r="C2454" s="1" t="s">
        <v>226</v>
      </c>
      <c r="D2454">
        <v>5427</v>
      </c>
      <c r="E2454" s="1"/>
      <c r="F2454" s="1" t="s">
        <v>364</v>
      </c>
      <c r="G2454">
        <v>2010</v>
      </c>
      <c r="H2454">
        <v>5728.29</v>
      </c>
      <c r="I2454">
        <v>12</v>
      </c>
      <c r="J2454" s="1" t="s">
        <v>404</v>
      </c>
      <c r="K2454">
        <v>0</v>
      </c>
      <c r="L2454">
        <v>361</v>
      </c>
      <c r="M2454">
        <v>15.863445</v>
      </c>
      <c r="N2454">
        <v>2</v>
      </c>
      <c r="O2454" s="1" t="s">
        <v>569</v>
      </c>
      <c r="P2454">
        <v>5728.29</v>
      </c>
      <c r="Q2454">
        <v>2686.57</v>
      </c>
      <c r="R2454">
        <v>0</v>
      </c>
      <c r="S2454" s="1" t="s">
        <v>1042</v>
      </c>
      <c r="T2454" s="1"/>
      <c r="U2454">
        <v>5728.2860000000001</v>
      </c>
      <c r="V2454">
        <v>0</v>
      </c>
      <c r="W2454">
        <v>57397</v>
      </c>
    </row>
    <row r="2455" spans="1:23" x14ac:dyDescent="0.25">
      <c r="A2455" s="1" t="s">
        <v>34</v>
      </c>
      <c r="B2455" s="1" t="s">
        <v>95</v>
      </c>
      <c r="C2455" s="1" t="s">
        <v>226</v>
      </c>
      <c r="D2455">
        <v>5427</v>
      </c>
      <c r="E2455" s="1"/>
      <c r="F2455" s="1" t="s">
        <v>364</v>
      </c>
      <c r="G2455">
        <v>2009</v>
      </c>
      <c r="H2455">
        <v>5952.83</v>
      </c>
      <c r="I2455">
        <v>12</v>
      </c>
      <c r="J2455" s="1" t="s">
        <v>404</v>
      </c>
      <c r="K2455">
        <v>0</v>
      </c>
      <c r="L2455">
        <v>361</v>
      </c>
      <c r="M2455">
        <v>16.485267</v>
      </c>
      <c r="N2455">
        <v>2</v>
      </c>
      <c r="O2455" s="1" t="s">
        <v>569</v>
      </c>
      <c r="P2455">
        <v>5952.83</v>
      </c>
      <c r="Q2455">
        <v>2791.87</v>
      </c>
      <c r="R2455">
        <v>0</v>
      </c>
      <c r="S2455" s="1" t="s">
        <v>1042</v>
      </c>
      <c r="T2455" s="1"/>
      <c r="U2455">
        <v>5952.83</v>
      </c>
      <c r="V2455">
        <v>0</v>
      </c>
      <c r="W2455">
        <v>57397</v>
      </c>
    </row>
    <row r="2456" spans="1:23" x14ac:dyDescent="0.25">
      <c r="A2456" s="1" t="s">
        <v>34</v>
      </c>
      <c r="B2456" s="1" t="s">
        <v>95</v>
      </c>
      <c r="C2456" s="1" t="s">
        <v>226</v>
      </c>
      <c r="D2456">
        <v>5427</v>
      </c>
      <c r="E2456" s="1"/>
      <c r="F2456" s="1" t="s">
        <v>364</v>
      </c>
      <c r="G2456">
        <v>2008</v>
      </c>
      <c r="H2456">
        <v>5755.93</v>
      </c>
      <c r="I2456">
        <v>12</v>
      </c>
      <c r="J2456" s="1" t="s">
        <v>404</v>
      </c>
      <c r="K2456">
        <v>0</v>
      </c>
      <c r="L2456">
        <v>361</v>
      </c>
      <c r="M2456">
        <v>15.939988</v>
      </c>
      <c r="N2456">
        <v>2</v>
      </c>
      <c r="O2456" s="1" t="s">
        <v>569</v>
      </c>
      <c r="P2456">
        <v>5755.93</v>
      </c>
      <c r="Q2456">
        <v>2699.53</v>
      </c>
      <c r="R2456">
        <v>0</v>
      </c>
      <c r="S2456" s="1" t="s">
        <v>1042</v>
      </c>
      <c r="T2456" s="1"/>
      <c r="U2456">
        <v>5755.924</v>
      </c>
      <c r="V2456">
        <v>0</v>
      </c>
      <c r="W2456">
        <v>57397</v>
      </c>
    </row>
    <row r="2457" spans="1:23" x14ac:dyDescent="0.25">
      <c r="A2457" s="1" t="s">
        <v>34</v>
      </c>
      <c r="B2457" s="1"/>
      <c r="C2457" s="1" t="s">
        <v>177</v>
      </c>
      <c r="D2457">
        <v>10228</v>
      </c>
      <c r="E2457" s="1"/>
      <c r="F2457" s="1" t="s">
        <v>307</v>
      </c>
      <c r="G2457">
        <v>2015</v>
      </c>
      <c r="H2457">
        <v>5129.6099999999997</v>
      </c>
      <c r="I2457">
        <v>5</v>
      </c>
      <c r="J2457" s="1"/>
      <c r="K2457">
        <v>0</v>
      </c>
      <c r="L2457">
        <v>605</v>
      </c>
      <c r="M2457">
        <v>8.4772929999999995</v>
      </c>
      <c r="N2457">
        <v>2</v>
      </c>
      <c r="O2457" s="1" t="s">
        <v>569</v>
      </c>
      <c r="P2457">
        <v>5129.6099999999997</v>
      </c>
      <c r="Q2457">
        <v>1538.87</v>
      </c>
      <c r="R2457">
        <v>0</v>
      </c>
      <c r="S2457" s="1" t="s">
        <v>1043</v>
      </c>
      <c r="T2457" s="1" t="s">
        <v>1312</v>
      </c>
      <c r="U2457">
        <v>5129.6022999999996</v>
      </c>
      <c r="V2457">
        <v>0</v>
      </c>
      <c r="W2457">
        <v>90939</v>
      </c>
    </row>
    <row r="2458" spans="1:23" x14ac:dyDescent="0.25">
      <c r="A2458" s="1" t="s">
        <v>34</v>
      </c>
      <c r="B2458" s="1"/>
      <c r="C2458" s="1" t="s">
        <v>177</v>
      </c>
      <c r="D2458">
        <v>10228</v>
      </c>
      <c r="E2458" s="1"/>
      <c r="F2458" s="1" t="s">
        <v>307</v>
      </c>
      <c r="G2458">
        <v>2014</v>
      </c>
      <c r="H2458">
        <v>5419.47</v>
      </c>
      <c r="I2458">
        <v>6</v>
      </c>
      <c r="J2458" s="1"/>
      <c r="K2458">
        <v>0</v>
      </c>
      <c r="L2458">
        <v>605</v>
      </c>
      <c r="M2458">
        <v>8.9563210000000009</v>
      </c>
      <c r="N2458">
        <v>2</v>
      </c>
      <c r="O2458" s="1" t="s">
        <v>569</v>
      </c>
      <c r="P2458">
        <v>5419.47</v>
      </c>
      <c r="Q2458">
        <v>1625.85</v>
      </c>
      <c r="R2458">
        <v>0</v>
      </c>
      <c r="S2458" s="1" t="s">
        <v>1043</v>
      </c>
      <c r="T2458" s="1" t="s">
        <v>1312</v>
      </c>
      <c r="U2458">
        <v>5419.4674999999997</v>
      </c>
      <c r="V2458">
        <v>0</v>
      </c>
      <c r="W2458">
        <v>90939</v>
      </c>
    </row>
    <row r="2459" spans="1:23" x14ac:dyDescent="0.25">
      <c r="A2459" s="1" t="s">
        <v>34</v>
      </c>
      <c r="B2459" s="1"/>
      <c r="C2459" s="1" t="s">
        <v>177</v>
      </c>
      <c r="D2459">
        <v>10228</v>
      </c>
      <c r="E2459" s="1"/>
      <c r="F2459" s="1" t="s">
        <v>307</v>
      </c>
      <c r="G2459">
        <v>2013</v>
      </c>
      <c r="H2459">
        <v>17135.84</v>
      </c>
      <c r="I2459">
        <v>12</v>
      </c>
      <c r="J2459" s="1"/>
      <c r="K2459">
        <v>0</v>
      </c>
      <c r="L2459">
        <v>605</v>
      </c>
      <c r="M2459">
        <v>28.319020999999999</v>
      </c>
      <c r="N2459">
        <v>2</v>
      </c>
      <c r="O2459" s="1" t="s">
        <v>569</v>
      </c>
      <c r="P2459">
        <v>17135.84</v>
      </c>
      <c r="Q2459">
        <v>5140.74</v>
      </c>
      <c r="R2459">
        <v>0</v>
      </c>
      <c r="S2459" s="1" t="s">
        <v>1043</v>
      </c>
      <c r="T2459" s="1" t="s">
        <v>1312</v>
      </c>
      <c r="U2459">
        <v>17135.848699999999</v>
      </c>
      <c r="V2459">
        <v>0</v>
      </c>
      <c r="W2459">
        <v>90939</v>
      </c>
    </row>
    <row r="2460" spans="1:23" x14ac:dyDescent="0.25">
      <c r="A2460" s="1" t="s">
        <v>34</v>
      </c>
      <c r="B2460" s="1"/>
      <c r="C2460" s="1" t="s">
        <v>177</v>
      </c>
      <c r="D2460">
        <v>10228</v>
      </c>
      <c r="E2460" s="1"/>
      <c r="F2460" s="1" t="s">
        <v>307</v>
      </c>
      <c r="G2460">
        <v>2012</v>
      </c>
      <c r="H2460">
        <v>14600.5</v>
      </c>
      <c r="I2460">
        <v>12</v>
      </c>
      <c r="J2460" s="1"/>
      <c r="K2460">
        <v>0</v>
      </c>
      <c r="L2460">
        <v>605</v>
      </c>
      <c r="M2460">
        <v>24.129069000000001</v>
      </c>
      <c r="N2460">
        <v>2</v>
      </c>
      <c r="O2460" s="1" t="s">
        <v>569</v>
      </c>
      <c r="P2460">
        <v>14600.5</v>
      </c>
      <c r="Q2460">
        <v>5840.19</v>
      </c>
      <c r="R2460">
        <v>0</v>
      </c>
      <c r="S2460" s="1" t="s">
        <v>1043</v>
      </c>
      <c r="T2460" s="1" t="s">
        <v>1312</v>
      </c>
      <c r="U2460">
        <v>14600.478999999999</v>
      </c>
      <c r="V2460">
        <v>0</v>
      </c>
      <c r="W2460">
        <v>90939</v>
      </c>
    </row>
    <row r="2461" spans="1:23" x14ac:dyDescent="0.25">
      <c r="A2461" s="1" t="s">
        <v>34</v>
      </c>
      <c r="B2461" s="1"/>
      <c r="C2461" s="1" t="s">
        <v>177</v>
      </c>
      <c r="D2461">
        <v>10228</v>
      </c>
      <c r="E2461" s="1"/>
      <c r="F2461" s="1" t="s">
        <v>307</v>
      </c>
      <c r="G2461">
        <v>2011</v>
      </c>
      <c r="H2461">
        <v>18779.22</v>
      </c>
      <c r="I2461">
        <v>2</v>
      </c>
      <c r="J2461" s="1" t="s">
        <v>482</v>
      </c>
      <c r="K2461">
        <v>0</v>
      </c>
      <c r="L2461">
        <v>605</v>
      </c>
      <c r="M2461">
        <v>31.034903</v>
      </c>
      <c r="N2461">
        <v>2</v>
      </c>
      <c r="O2461" s="1" t="s">
        <v>569</v>
      </c>
      <c r="P2461">
        <v>18779.22</v>
      </c>
      <c r="Q2461">
        <v>8807.48</v>
      </c>
      <c r="R2461">
        <v>0</v>
      </c>
      <c r="S2461" s="1" t="s">
        <v>1044</v>
      </c>
      <c r="T2461" s="1" t="s">
        <v>1312</v>
      </c>
      <c r="U2461">
        <v>18779.23443</v>
      </c>
      <c r="V2461">
        <v>0</v>
      </c>
      <c r="W2461">
        <v>77473</v>
      </c>
    </row>
    <row r="2462" spans="1:23" x14ac:dyDescent="0.25">
      <c r="A2462" s="1" t="s">
        <v>34</v>
      </c>
      <c r="B2462" s="1"/>
      <c r="C2462" s="1" t="s">
        <v>177</v>
      </c>
      <c r="D2462">
        <v>10228</v>
      </c>
      <c r="E2462" s="1"/>
      <c r="F2462" s="1" t="s">
        <v>307</v>
      </c>
      <c r="G2462">
        <v>2010</v>
      </c>
      <c r="H2462">
        <v>16367.15</v>
      </c>
      <c r="I2462">
        <v>8</v>
      </c>
      <c r="J2462" s="1" t="s">
        <v>482</v>
      </c>
      <c r="K2462">
        <v>0</v>
      </c>
      <c r="L2462">
        <v>605</v>
      </c>
      <c r="M2462">
        <v>27.048669</v>
      </c>
      <c r="N2462">
        <v>2</v>
      </c>
      <c r="O2462" s="1" t="s">
        <v>569</v>
      </c>
      <c r="P2462">
        <v>16367.15</v>
      </c>
      <c r="Q2462">
        <v>7676.2</v>
      </c>
      <c r="R2462">
        <v>0</v>
      </c>
      <c r="S2462" s="1" t="s">
        <v>1044</v>
      </c>
      <c r="T2462" s="1" t="s">
        <v>1312</v>
      </c>
      <c r="U2462">
        <v>16367.15019</v>
      </c>
      <c r="V2462">
        <v>0</v>
      </c>
      <c r="W2462">
        <v>77473</v>
      </c>
    </row>
    <row r="2463" spans="1:23" x14ac:dyDescent="0.25">
      <c r="A2463" s="1" t="s">
        <v>34</v>
      </c>
      <c r="B2463" s="1"/>
      <c r="C2463" s="1" t="s">
        <v>177</v>
      </c>
      <c r="D2463">
        <v>10228</v>
      </c>
      <c r="E2463" s="1"/>
      <c r="F2463" s="1" t="s">
        <v>307</v>
      </c>
      <c r="G2463">
        <v>2009</v>
      </c>
      <c r="H2463">
        <v>18189.990000000002</v>
      </c>
      <c r="I2463">
        <v>7</v>
      </c>
      <c r="J2463" s="1" t="s">
        <v>482</v>
      </c>
      <c r="K2463">
        <v>0</v>
      </c>
      <c r="L2463">
        <v>605</v>
      </c>
      <c r="M2463">
        <v>30.061129999999999</v>
      </c>
      <c r="N2463">
        <v>2</v>
      </c>
      <c r="O2463" s="1" t="s">
        <v>569</v>
      </c>
      <c r="P2463">
        <v>18189.990000000002</v>
      </c>
      <c r="Q2463">
        <v>8531.14</v>
      </c>
      <c r="R2463">
        <v>0</v>
      </c>
      <c r="S2463" s="1" t="s">
        <v>1044</v>
      </c>
      <c r="T2463" s="1" t="s">
        <v>1312</v>
      </c>
      <c r="U2463">
        <v>18189.997749999999</v>
      </c>
      <c r="V2463">
        <v>0</v>
      </c>
      <c r="W2463">
        <v>77473</v>
      </c>
    </row>
    <row r="2464" spans="1:23" x14ac:dyDescent="0.25">
      <c r="A2464" s="1" t="s">
        <v>34</v>
      </c>
      <c r="B2464" s="1"/>
      <c r="C2464" s="1" t="s">
        <v>177</v>
      </c>
      <c r="D2464">
        <v>10228</v>
      </c>
      <c r="E2464" s="1"/>
      <c r="F2464" s="1" t="s">
        <v>307</v>
      </c>
      <c r="G2464">
        <v>2008</v>
      </c>
      <c r="H2464">
        <v>18464.72</v>
      </c>
      <c r="I2464">
        <v>6</v>
      </c>
      <c r="J2464" s="1" t="s">
        <v>482</v>
      </c>
      <c r="K2464">
        <v>0</v>
      </c>
      <c r="L2464">
        <v>605</v>
      </c>
      <c r="M2464">
        <v>30.515153999999999</v>
      </c>
      <c r="N2464">
        <v>2</v>
      </c>
      <c r="O2464" s="1" t="s">
        <v>569</v>
      </c>
      <c r="P2464">
        <v>18464.72</v>
      </c>
      <c r="Q2464">
        <v>8659.9699999999993</v>
      </c>
      <c r="R2464">
        <v>0</v>
      </c>
      <c r="S2464" s="1" t="s">
        <v>1044</v>
      </c>
      <c r="T2464" s="1" t="s">
        <v>1312</v>
      </c>
      <c r="U2464">
        <v>18464.72755</v>
      </c>
      <c r="V2464">
        <v>0</v>
      </c>
      <c r="W2464">
        <v>77473</v>
      </c>
    </row>
    <row r="2465" spans="1:23" x14ac:dyDescent="0.25">
      <c r="A2465" s="1" t="s">
        <v>34</v>
      </c>
      <c r="B2465" s="1"/>
      <c r="C2465" s="1" t="s">
        <v>178</v>
      </c>
      <c r="D2465">
        <v>10190</v>
      </c>
      <c r="E2465" s="1"/>
      <c r="F2465" s="1" t="s">
        <v>308</v>
      </c>
      <c r="G2465">
        <v>2015</v>
      </c>
      <c r="H2465">
        <v>5056.97</v>
      </c>
      <c r="I2465">
        <v>5</v>
      </c>
      <c r="J2465" s="1" t="s">
        <v>399</v>
      </c>
      <c r="K2465">
        <v>0</v>
      </c>
      <c r="L2465">
        <v>475</v>
      </c>
      <c r="M2465">
        <v>10.644011000000001</v>
      </c>
      <c r="N2465">
        <v>2</v>
      </c>
      <c r="O2465" s="1" t="s">
        <v>569</v>
      </c>
      <c r="P2465">
        <v>5056.97</v>
      </c>
      <c r="Q2465">
        <v>1517.08</v>
      </c>
      <c r="R2465">
        <v>0</v>
      </c>
      <c r="S2465" s="1" t="s">
        <v>1045</v>
      </c>
      <c r="T2465" s="1" t="s">
        <v>1313</v>
      </c>
      <c r="U2465">
        <v>5056.973</v>
      </c>
      <c r="V2465">
        <v>0</v>
      </c>
      <c r="W2465">
        <v>77251</v>
      </c>
    </row>
    <row r="2466" spans="1:23" x14ac:dyDescent="0.25">
      <c r="A2466" s="1" t="s">
        <v>34</v>
      </c>
      <c r="B2466" s="1"/>
      <c r="C2466" s="1" t="s">
        <v>178</v>
      </c>
      <c r="D2466">
        <v>10190</v>
      </c>
      <c r="E2466" s="1"/>
      <c r="F2466" s="1" t="s">
        <v>308</v>
      </c>
      <c r="G2466">
        <v>2014</v>
      </c>
      <c r="H2466">
        <v>11046.97</v>
      </c>
      <c r="I2466">
        <v>12</v>
      </c>
      <c r="J2466" s="1" t="s">
        <v>399</v>
      </c>
      <c r="K2466">
        <v>0</v>
      </c>
      <c r="L2466">
        <v>475</v>
      </c>
      <c r="M2466">
        <v>23.251882999999999</v>
      </c>
      <c r="N2466">
        <v>2</v>
      </c>
      <c r="O2466" s="1" t="s">
        <v>569</v>
      </c>
      <c r="P2466">
        <v>11046.97</v>
      </c>
      <c r="Q2466">
        <v>3314.11</v>
      </c>
      <c r="R2466">
        <v>0</v>
      </c>
      <c r="S2466" s="1" t="s">
        <v>1045</v>
      </c>
      <c r="T2466" s="1" t="s">
        <v>1313</v>
      </c>
      <c r="U2466">
        <v>11046.985699999999</v>
      </c>
      <c r="V2466">
        <v>0</v>
      </c>
      <c r="W2466">
        <v>77251</v>
      </c>
    </row>
    <row r="2467" spans="1:23" x14ac:dyDescent="0.25">
      <c r="A2467" s="1" t="s">
        <v>34</v>
      </c>
      <c r="B2467" s="1"/>
      <c r="C2467" s="1" t="s">
        <v>178</v>
      </c>
      <c r="D2467">
        <v>10190</v>
      </c>
      <c r="E2467" s="1"/>
      <c r="F2467" s="1" t="s">
        <v>308</v>
      </c>
      <c r="G2467">
        <v>2013</v>
      </c>
      <c r="H2467">
        <v>11559.85</v>
      </c>
      <c r="I2467">
        <v>12</v>
      </c>
      <c r="J2467" s="1" t="s">
        <v>399</v>
      </c>
      <c r="K2467">
        <v>0</v>
      </c>
      <c r="L2467">
        <v>475</v>
      </c>
      <c r="M2467">
        <v>24.331403000000002</v>
      </c>
      <c r="N2467">
        <v>2</v>
      </c>
      <c r="O2467" s="1" t="s">
        <v>569</v>
      </c>
      <c r="P2467">
        <v>11559.85</v>
      </c>
      <c r="Q2467">
        <v>3467.96</v>
      </c>
      <c r="R2467">
        <v>0</v>
      </c>
      <c r="S2467" s="1" t="s">
        <v>1045</v>
      </c>
      <c r="T2467" s="1" t="s">
        <v>1313</v>
      </c>
      <c r="U2467">
        <v>11559.857</v>
      </c>
      <c r="V2467">
        <v>0</v>
      </c>
      <c r="W2467">
        <v>77251</v>
      </c>
    </row>
    <row r="2468" spans="1:23" x14ac:dyDescent="0.25">
      <c r="A2468" s="1" t="s">
        <v>34</v>
      </c>
      <c r="B2468" s="1"/>
      <c r="C2468" s="1" t="s">
        <v>178</v>
      </c>
      <c r="D2468">
        <v>10190</v>
      </c>
      <c r="E2468" s="1"/>
      <c r="F2468" s="1" t="s">
        <v>308</v>
      </c>
      <c r="G2468">
        <v>2012</v>
      </c>
      <c r="H2468">
        <v>11484.59</v>
      </c>
      <c r="I2468">
        <v>12</v>
      </c>
      <c r="J2468" s="1" t="s">
        <v>399</v>
      </c>
      <c r="K2468">
        <v>0</v>
      </c>
      <c r="L2468">
        <v>475</v>
      </c>
      <c r="M2468">
        <v>24.172995</v>
      </c>
      <c r="N2468">
        <v>2</v>
      </c>
      <c r="O2468" s="1" t="s">
        <v>569</v>
      </c>
      <c r="P2468">
        <v>11484.59</v>
      </c>
      <c r="Q2468">
        <v>4593.82</v>
      </c>
      <c r="R2468">
        <v>0</v>
      </c>
      <c r="S2468" s="1" t="s">
        <v>1045</v>
      </c>
      <c r="T2468" s="1" t="s">
        <v>1313</v>
      </c>
      <c r="U2468">
        <v>11484.585999999999</v>
      </c>
      <c r="V2468">
        <v>0</v>
      </c>
      <c r="W2468">
        <v>77251</v>
      </c>
    </row>
    <row r="2469" spans="1:23" x14ac:dyDescent="0.25">
      <c r="A2469" s="1" t="s">
        <v>34</v>
      </c>
      <c r="B2469" s="1"/>
      <c r="C2469" s="1" t="s">
        <v>178</v>
      </c>
      <c r="D2469">
        <v>10190</v>
      </c>
      <c r="E2469" s="1"/>
      <c r="F2469" s="1" t="s">
        <v>308</v>
      </c>
      <c r="G2469">
        <v>2011</v>
      </c>
      <c r="H2469">
        <v>13191.31</v>
      </c>
      <c r="I2469">
        <v>9</v>
      </c>
      <c r="J2469" s="1" t="s">
        <v>399</v>
      </c>
      <c r="K2469">
        <v>0</v>
      </c>
      <c r="L2469">
        <v>475</v>
      </c>
      <c r="M2469">
        <v>27.765332999999998</v>
      </c>
      <c r="N2469">
        <v>2</v>
      </c>
      <c r="O2469" s="1" t="s">
        <v>569</v>
      </c>
      <c r="P2469">
        <v>13191.31</v>
      </c>
      <c r="Q2469">
        <v>6186.72</v>
      </c>
      <c r="R2469">
        <v>0</v>
      </c>
      <c r="S2469" s="1" t="s">
        <v>1045</v>
      </c>
      <c r="T2469" s="1" t="s">
        <v>1313</v>
      </c>
      <c r="U2469">
        <v>13191.31819</v>
      </c>
      <c r="V2469">
        <v>0</v>
      </c>
      <c r="W2469">
        <v>77251</v>
      </c>
    </row>
    <row r="2470" spans="1:23" x14ac:dyDescent="0.25">
      <c r="A2470" s="1" t="s">
        <v>34</v>
      </c>
      <c r="B2470" s="1"/>
      <c r="C2470" s="1" t="s">
        <v>178</v>
      </c>
      <c r="D2470">
        <v>10190</v>
      </c>
      <c r="E2470" s="1"/>
      <c r="F2470" s="1" t="s">
        <v>308</v>
      </c>
      <c r="G2470">
        <v>2010</v>
      </c>
      <c r="H2470">
        <v>23984.53</v>
      </c>
      <c r="I2470">
        <v>4</v>
      </c>
      <c r="J2470" s="1" t="s">
        <v>399</v>
      </c>
      <c r="K2470">
        <v>0</v>
      </c>
      <c r="L2470">
        <v>475</v>
      </c>
      <c r="M2470">
        <v>50.483119000000002</v>
      </c>
      <c r="N2470">
        <v>2</v>
      </c>
      <c r="O2470" s="1" t="s">
        <v>569</v>
      </c>
      <c r="P2470">
        <v>23984.53</v>
      </c>
      <c r="Q2470">
        <v>11248.75</v>
      </c>
      <c r="R2470">
        <v>0</v>
      </c>
      <c r="S2470" s="1" t="s">
        <v>1045</v>
      </c>
      <c r="T2470" s="1" t="s">
        <v>1313</v>
      </c>
      <c r="U2470">
        <v>23984.502700000001</v>
      </c>
      <c r="V2470">
        <v>0</v>
      </c>
      <c r="W2470">
        <v>77251</v>
      </c>
    </row>
    <row r="2471" spans="1:23" x14ac:dyDescent="0.25">
      <c r="A2471" s="1" t="s">
        <v>34</v>
      </c>
      <c r="B2471" s="1"/>
      <c r="C2471" s="1" t="s">
        <v>178</v>
      </c>
      <c r="D2471">
        <v>10190</v>
      </c>
      <c r="E2471" s="1"/>
      <c r="F2471" s="1" t="s">
        <v>308</v>
      </c>
      <c r="G2471">
        <v>2009</v>
      </c>
      <c r="H2471">
        <v>25331.54</v>
      </c>
      <c r="I2471">
        <v>5</v>
      </c>
      <c r="J2471" s="1" t="s">
        <v>399</v>
      </c>
      <c r="K2471">
        <v>0</v>
      </c>
      <c r="L2471">
        <v>475</v>
      </c>
      <c r="M2471">
        <v>53.318331999999998</v>
      </c>
      <c r="N2471">
        <v>2</v>
      </c>
      <c r="O2471" s="1" t="s">
        <v>569</v>
      </c>
      <c r="P2471">
        <v>25331.54</v>
      </c>
      <c r="Q2471">
        <v>11880.48</v>
      </c>
      <c r="R2471">
        <v>0</v>
      </c>
      <c r="S2471" s="1" t="s">
        <v>1045</v>
      </c>
      <c r="T2471" s="1" t="s">
        <v>1313</v>
      </c>
      <c r="U2471">
        <v>25331.536230000002</v>
      </c>
      <c r="V2471">
        <v>0</v>
      </c>
      <c r="W2471">
        <v>77251</v>
      </c>
    </row>
    <row r="2472" spans="1:23" x14ac:dyDescent="0.25">
      <c r="A2472" s="1" t="s">
        <v>34</v>
      </c>
      <c r="B2472" s="1"/>
      <c r="C2472" s="1" t="s">
        <v>178</v>
      </c>
      <c r="D2472">
        <v>10190</v>
      </c>
      <c r="E2472" s="1"/>
      <c r="F2472" s="1" t="s">
        <v>308</v>
      </c>
      <c r="G2472">
        <v>2008</v>
      </c>
      <c r="H2472">
        <v>22919.33</v>
      </c>
      <c r="I2472">
        <v>4</v>
      </c>
      <c r="J2472" s="1" t="s">
        <v>399</v>
      </c>
      <c r="K2472">
        <v>0</v>
      </c>
      <c r="L2472">
        <v>475</v>
      </c>
      <c r="M2472">
        <v>48.241064999999999</v>
      </c>
      <c r="N2472">
        <v>2</v>
      </c>
      <c r="O2472" s="1" t="s">
        <v>569</v>
      </c>
      <c r="P2472">
        <v>22919.33</v>
      </c>
      <c r="Q2472">
        <v>10749.17</v>
      </c>
      <c r="R2472">
        <v>0</v>
      </c>
      <c r="S2472" s="1" t="s">
        <v>1045</v>
      </c>
      <c r="T2472" s="1" t="s">
        <v>1313</v>
      </c>
      <c r="U2472">
        <v>22919.32417</v>
      </c>
      <c r="V2472">
        <v>0</v>
      </c>
      <c r="W2472">
        <v>77251</v>
      </c>
    </row>
    <row r="2473" spans="1:23" x14ac:dyDescent="0.25">
      <c r="A2473" s="1" t="s">
        <v>41</v>
      </c>
      <c r="B2473" s="1"/>
      <c r="C2473" s="1" t="s">
        <v>234</v>
      </c>
      <c r="D2473">
        <v>14504</v>
      </c>
      <c r="E2473" s="1" t="s">
        <v>243</v>
      </c>
      <c r="F2473" s="1" t="s">
        <v>378</v>
      </c>
      <c r="G2473">
        <v>2014</v>
      </c>
      <c r="H2473">
        <v>4386.9399999999996</v>
      </c>
      <c r="I2473">
        <v>1</v>
      </c>
      <c r="J2473" s="1" t="s">
        <v>530</v>
      </c>
      <c r="K2473">
        <v>0</v>
      </c>
      <c r="L2473">
        <v>0</v>
      </c>
      <c r="M2473">
        <v>43869.4</v>
      </c>
      <c r="N2473">
        <v>2</v>
      </c>
      <c r="O2473" s="1" t="s">
        <v>569</v>
      </c>
      <c r="P2473">
        <v>4386.9399999999996</v>
      </c>
      <c r="Q2473">
        <v>1316.08</v>
      </c>
      <c r="R2473">
        <v>0</v>
      </c>
      <c r="S2473" s="1" t="s">
        <v>1046</v>
      </c>
      <c r="T2473" s="1"/>
      <c r="U2473">
        <v>4386.9437200000002</v>
      </c>
      <c r="V2473">
        <v>0</v>
      </c>
      <c r="W2473">
        <v>91262</v>
      </c>
    </row>
    <row r="2474" spans="1:23" x14ac:dyDescent="0.25">
      <c r="A2474" s="1" t="s">
        <v>41</v>
      </c>
      <c r="B2474" s="1"/>
      <c r="C2474" s="1" t="s">
        <v>234</v>
      </c>
      <c r="D2474">
        <v>14504</v>
      </c>
      <c r="E2474" s="1" t="s">
        <v>243</v>
      </c>
      <c r="F2474" s="1" t="s">
        <v>378</v>
      </c>
      <c r="G2474">
        <v>2013</v>
      </c>
      <c r="H2474">
        <v>20102.38</v>
      </c>
      <c r="I2474">
        <v>1</v>
      </c>
      <c r="J2474" s="1" t="s">
        <v>530</v>
      </c>
      <c r="K2474">
        <v>0</v>
      </c>
      <c r="L2474">
        <v>0</v>
      </c>
      <c r="M2474">
        <v>201023.8</v>
      </c>
      <c r="N2474">
        <v>2</v>
      </c>
      <c r="O2474" s="1" t="s">
        <v>569</v>
      </c>
      <c r="P2474">
        <v>20102.38</v>
      </c>
      <c r="Q2474">
        <v>6030.69</v>
      </c>
      <c r="R2474">
        <v>0</v>
      </c>
      <c r="S2474" s="1" t="s">
        <v>1046</v>
      </c>
      <c r="T2474" s="1"/>
      <c r="U2474">
        <v>20102.361430000001</v>
      </c>
      <c r="V2474">
        <v>0</v>
      </c>
      <c r="W2474">
        <v>91262</v>
      </c>
    </row>
    <row r="2475" spans="1:23" x14ac:dyDescent="0.25">
      <c r="A2475" s="1" t="s">
        <v>41</v>
      </c>
      <c r="B2475" s="1"/>
      <c r="C2475" s="1" t="s">
        <v>234</v>
      </c>
      <c r="D2475">
        <v>14504</v>
      </c>
      <c r="E2475" s="1" t="s">
        <v>243</v>
      </c>
      <c r="F2475" s="1" t="s">
        <v>378</v>
      </c>
      <c r="G2475">
        <v>2012</v>
      </c>
      <c r="H2475">
        <v>19442.150000000001</v>
      </c>
      <c r="I2475">
        <v>0</v>
      </c>
      <c r="J2475" s="1" t="s">
        <v>530</v>
      </c>
      <c r="K2475">
        <v>0</v>
      </c>
      <c r="L2475">
        <v>0</v>
      </c>
      <c r="M2475">
        <v>194421.5</v>
      </c>
      <c r="N2475">
        <v>2</v>
      </c>
      <c r="O2475" s="1" t="s">
        <v>569</v>
      </c>
      <c r="P2475">
        <v>19442.150000000001</v>
      </c>
      <c r="Q2475">
        <v>7776.83</v>
      </c>
      <c r="R2475">
        <v>0</v>
      </c>
      <c r="S2475" s="1" t="s">
        <v>1046</v>
      </c>
      <c r="T2475" s="1"/>
      <c r="U2475">
        <v>19442.10324</v>
      </c>
      <c r="V2475">
        <v>0</v>
      </c>
      <c r="W2475">
        <v>91262</v>
      </c>
    </row>
    <row r="2476" spans="1:23" x14ac:dyDescent="0.25">
      <c r="A2476" s="1" t="s">
        <v>41</v>
      </c>
      <c r="B2476" s="1"/>
      <c r="C2476" s="1" t="s">
        <v>234</v>
      </c>
      <c r="D2476">
        <v>14504</v>
      </c>
      <c r="E2476" s="1" t="s">
        <v>243</v>
      </c>
      <c r="F2476" s="1" t="s">
        <v>378</v>
      </c>
      <c r="G2476">
        <v>2011</v>
      </c>
      <c r="H2476">
        <v>19647.509999999998</v>
      </c>
      <c r="I2476">
        <v>1</v>
      </c>
      <c r="J2476" s="1" t="s">
        <v>530</v>
      </c>
      <c r="K2476">
        <v>0</v>
      </c>
      <c r="L2476">
        <v>0</v>
      </c>
      <c r="M2476">
        <v>196475.1</v>
      </c>
      <c r="N2476">
        <v>2</v>
      </c>
      <c r="O2476" s="1" t="s">
        <v>569</v>
      </c>
      <c r="P2476">
        <v>19647.509999999998</v>
      </c>
      <c r="Q2476">
        <v>9214.66</v>
      </c>
      <c r="R2476">
        <v>0</v>
      </c>
      <c r="S2476" s="1" t="s">
        <v>1046</v>
      </c>
      <c r="T2476" s="1"/>
      <c r="U2476">
        <v>19647.49494</v>
      </c>
      <c r="V2476">
        <v>0</v>
      </c>
      <c r="W2476">
        <v>91262</v>
      </c>
    </row>
    <row r="2477" spans="1:23" x14ac:dyDescent="0.25">
      <c r="A2477" s="1" t="s">
        <v>41</v>
      </c>
      <c r="B2477" s="1"/>
      <c r="C2477" s="1" t="s">
        <v>234</v>
      </c>
      <c r="D2477">
        <v>14504</v>
      </c>
      <c r="E2477" s="1" t="s">
        <v>243</v>
      </c>
      <c r="F2477" s="1" t="s">
        <v>378</v>
      </c>
      <c r="G2477">
        <v>2010</v>
      </c>
      <c r="H2477">
        <v>20933.96</v>
      </c>
      <c r="I2477">
        <v>1</v>
      </c>
      <c r="J2477" s="1" t="s">
        <v>530</v>
      </c>
      <c r="K2477">
        <v>0</v>
      </c>
      <c r="L2477">
        <v>0</v>
      </c>
      <c r="M2477">
        <v>209339.6</v>
      </c>
      <c r="N2477">
        <v>2</v>
      </c>
      <c r="O2477" s="1" t="s">
        <v>569</v>
      </c>
      <c r="P2477">
        <v>20933.96</v>
      </c>
      <c r="Q2477">
        <v>9818</v>
      </c>
      <c r="R2477">
        <v>0</v>
      </c>
      <c r="S2477" s="1" t="s">
        <v>1046</v>
      </c>
      <c r="T2477" s="1"/>
      <c r="U2477">
        <v>20933.979579999999</v>
      </c>
      <c r="V2477">
        <v>0</v>
      </c>
      <c r="W2477">
        <v>91262</v>
      </c>
    </row>
    <row r="2478" spans="1:23" x14ac:dyDescent="0.25">
      <c r="A2478" s="1" t="s">
        <v>41</v>
      </c>
      <c r="B2478" s="1"/>
      <c r="C2478" s="1" t="s">
        <v>234</v>
      </c>
      <c r="D2478">
        <v>14504</v>
      </c>
      <c r="E2478" s="1" t="s">
        <v>243</v>
      </c>
      <c r="F2478" s="1" t="s">
        <v>378</v>
      </c>
      <c r="G2478">
        <v>2009</v>
      </c>
      <c r="H2478">
        <v>21786.86</v>
      </c>
      <c r="I2478">
        <v>1</v>
      </c>
      <c r="J2478" s="1" t="s">
        <v>530</v>
      </c>
      <c r="K2478">
        <v>0</v>
      </c>
      <c r="L2478">
        <v>0</v>
      </c>
      <c r="M2478">
        <v>217868.6</v>
      </c>
      <c r="N2478">
        <v>2</v>
      </c>
      <c r="O2478" s="1" t="s">
        <v>569</v>
      </c>
      <c r="P2478">
        <v>21786.86</v>
      </c>
      <c r="Q2478">
        <v>10218.01</v>
      </c>
      <c r="R2478">
        <v>0</v>
      </c>
      <c r="S2478" s="1" t="s">
        <v>1046</v>
      </c>
      <c r="T2478" s="1"/>
      <c r="U2478">
        <v>21786.879079999999</v>
      </c>
      <c r="V2478">
        <v>0</v>
      </c>
      <c r="W2478">
        <v>91262</v>
      </c>
    </row>
    <row r="2479" spans="1:23" x14ac:dyDescent="0.25">
      <c r="A2479" s="1" t="s">
        <v>41</v>
      </c>
      <c r="B2479" s="1"/>
      <c r="C2479" s="1" t="s">
        <v>234</v>
      </c>
      <c r="D2479">
        <v>14504</v>
      </c>
      <c r="E2479" s="1" t="s">
        <v>243</v>
      </c>
      <c r="F2479" s="1" t="s">
        <v>378</v>
      </c>
      <c r="G2479">
        <v>2008</v>
      </c>
      <c r="H2479">
        <v>21468.46</v>
      </c>
      <c r="I2479">
        <v>4</v>
      </c>
      <c r="J2479" s="1" t="s">
        <v>530</v>
      </c>
      <c r="K2479">
        <v>0</v>
      </c>
      <c r="L2479">
        <v>0</v>
      </c>
      <c r="M2479">
        <v>214684.6</v>
      </c>
      <c r="N2479">
        <v>2</v>
      </c>
      <c r="O2479" s="1" t="s">
        <v>569</v>
      </c>
      <c r="P2479">
        <v>21468.46</v>
      </c>
      <c r="Q2479">
        <v>10068.700000000001</v>
      </c>
      <c r="R2479">
        <v>0</v>
      </c>
      <c r="S2479" s="1" t="s">
        <v>1046</v>
      </c>
      <c r="T2479" s="1"/>
      <c r="U2479">
        <v>21468.445500000002</v>
      </c>
      <c r="V2479">
        <v>0</v>
      </c>
      <c r="W2479">
        <v>91262</v>
      </c>
    </row>
    <row r="2480" spans="1:23" x14ac:dyDescent="0.25">
      <c r="A2480" s="1" t="s">
        <v>41</v>
      </c>
      <c r="B2480" s="1"/>
      <c r="C2480" s="1" t="s">
        <v>235</v>
      </c>
      <c r="D2480">
        <v>14571</v>
      </c>
      <c r="E2480" s="1" t="s">
        <v>243</v>
      </c>
      <c r="F2480" s="1" t="s">
        <v>379</v>
      </c>
      <c r="G2480">
        <v>2014</v>
      </c>
      <c r="H2480">
        <v>9438.89</v>
      </c>
      <c r="I2480">
        <v>2</v>
      </c>
      <c r="J2480" s="1" t="s">
        <v>531</v>
      </c>
      <c r="K2480">
        <v>0</v>
      </c>
      <c r="L2480">
        <v>0</v>
      </c>
      <c r="M2480">
        <v>94388.9</v>
      </c>
      <c r="N2480">
        <v>2</v>
      </c>
      <c r="O2480" s="1" t="s">
        <v>569</v>
      </c>
      <c r="P2480">
        <v>9438.89</v>
      </c>
      <c r="Q2480">
        <v>2831.65</v>
      </c>
      <c r="R2480">
        <v>0</v>
      </c>
      <c r="S2480" s="1" t="s">
        <v>1047</v>
      </c>
      <c r="T2480" s="1" t="s">
        <v>1314</v>
      </c>
      <c r="U2480">
        <v>9438.8874699999997</v>
      </c>
      <c r="V2480">
        <v>0</v>
      </c>
      <c r="W2480">
        <v>95279</v>
      </c>
    </row>
    <row r="2481" spans="1:23" x14ac:dyDescent="0.25">
      <c r="A2481" s="1" t="s">
        <v>41</v>
      </c>
      <c r="B2481" s="1"/>
      <c r="C2481" s="1" t="s">
        <v>235</v>
      </c>
      <c r="D2481">
        <v>14571</v>
      </c>
      <c r="E2481" s="1" t="s">
        <v>243</v>
      </c>
      <c r="F2481" s="1" t="s">
        <v>379</v>
      </c>
      <c r="G2481">
        <v>2013</v>
      </c>
      <c r="H2481">
        <v>11897.73</v>
      </c>
      <c r="I2481">
        <v>0</v>
      </c>
      <c r="J2481" s="1" t="s">
        <v>531</v>
      </c>
      <c r="K2481">
        <v>0</v>
      </c>
      <c r="L2481">
        <v>0</v>
      </c>
      <c r="M2481">
        <v>118977.3</v>
      </c>
      <c r="N2481">
        <v>2</v>
      </c>
      <c r="O2481" s="1" t="s">
        <v>569</v>
      </c>
      <c r="P2481">
        <v>11897.73</v>
      </c>
      <c r="Q2481">
        <v>3569.34</v>
      </c>
      <c r="R2481">
        <v>0</v>
      </c>
      <c r="S2481" s="1" t="s">
        <v>1047</v>
      </c>
      <c r="T2481" s="1" t="s">
        <v>1314</v>
      </c>
      <c r="U2481">
        <v>11897.76007</v>
      </c>
      <c r="V2481">
        <v>0</v>
      </c>
      <c r="W2481">
        <v>95279</v>
      </c>
    </row>
    <row r="2482" spans="1:23" x14ac:dyDescent="0.25">
      <c r="A2482" s="1" t="s">
        <v>41</v>
      </c>
      <c r="B2482" s="1"/>
      <c r="C2482" s="1" t="s">
        <v>235</v>
      </c>
      <c r="D2482">
        <v>14571</v>
      </c>
      <c r="E2482" s="1" t="s">
        <v>243</v>
      </c>
      <c r="F2482" s="1" t="s">
        <v>379</v>
      </c>
      <c r="G2482">
        <v>2012</v>
      </c>
      <c r="H2482">
        <v>456.35</v>
      </c>
      <c r="I2482">
        <v>1</v>
      </c>
      <c r="J2482" s="1" t="s">
        <v>531</v>
      </c>
      <c r="K2482">
        <v>0</v>
      </c>
      <c r="L2482">
        <v>0</v>
      </c>
      <c r="M2482">
        <v>4563.5</v>
      </c>
      <c r="N2482">
        <v>2</v>
      </c>
      <c r="O2482" s="1" t="s">
        <v>569</v>
      </c>
      <c r="P2482">
        <v>456.35</v>
      </c>
      <c r="Q2482">
        <v>182.54</v>
      </c>
      <c r="R2482">
        <v>0</v>
      </c>
      <c r="S2482" s="1" t="s">
        <v>1047</v>
      </c>
      <c r="T2482" s="1" t="s">
        <v>1314</v>
      </c>
      <c r="U2482">
        <v>456.35244</v>
      </c>
      <c r="V2482">
        <v>0</v>
      </c>
      <c r="W2482">
        <v>95279</v>
      </c>
    </row>
    <row r="2483" spans="1:23" x14ac:dyDescent="0.25">
      <c r="A2483" s="1" t="s">
        <v>35</v>
      </c>
      <c r="B2483" s="1" t="s">
        <v>75</v>
      </c>
      <c r="C2483" s="1" t="s">
        <v>179</v>
      </c>
      <c r="D2483">
        <v>5261</v>
      </c>
      <c r="E2483" s="1"/>
      <c r="F2483" s="1" t="s">
        <v>309</v>
      </c>
      <c r="G2483">
        <v>2015</v>
      </c>
      <c r="H2483">
        <v>41.19</v>
      </c>
      <c r="I2483">
        <v>5</v>
      </c>
      <c r="J2483" s="1" t="s">
        <v>402</v>
      </c>
      <c r="K2483">
        <v>0</v>
      </c>
      <c r="L2483">
        <v>309</v>
      </c>
      <c r="M2483">
        <v>0.13325699999999999</v>
      </c>
      <c r="N2483">
        <v>3</v>
      </c>
      <c r="O2483" s="1" t="s">
        <v>560</v>
      </c>
      <c r="P2483">
        <v>41.19</v>
      </c>
      <c r="Q2483">
        <v>32.950000000000003</v>
      </c>
      <c r="R2483">
        <v>0</v>
      </c>
      <c r="S2483" s="1" t="s">
        <v>658</v>
      </c>
      <c r="T2483" s="1"/>
      <c r="U2483">
        <v>41.194000000000003</v>
      </c>
      <c r="V2483">
        <v>0</v>
      </c>
      <c r="W2483">
        <v>56736</v>
      </c>
    </row>
    <row r="2484" spans="1:23" x14ac:dyDescent="0.25">
      <c r="A2484" s="1" t="s">
        <v>35</v>
      </c>
      <c r="B2484" s="1" t="s">
        <v>75</v>
      </c>
      <c r="C2484" s="1" t="s">
        <v>179</v>
      </c>
      <c r="D2484">
        <v>5261</v>
      </c>
      <c r="E2484" s="1"/>
      <c r="F2484" s="1" t="s">
        <v>309</v>
      </c>
      <c r="G2484">
        <v>2014</v>
      </c>
      <c r="H2484">
        <v>107.04</v>
      </c>
      <c r="I2484">
        <v>12</v>
      </c>
      <c r="J2484" s="1" t="s">
        <v>402</v>
      </c>
      <c r="K2484">
        <v>0</v>
      </c>
      <c r="L2484">
        <v>309</v>
      </c>
      <c r="M2484">
        <v>0.34629500000000002</v>
      </c>
      <c r="N2484">
        <v>3</v>
      </c>
      <c r="O2484" s="1" t="s">
        <v>560</v>
      </c>
      <c r="P2484">
        <v>107.04</v>
      </c>
      <c r="Q2484">
        <v>85.65</v>
      </c>
      <c r="R2484">
        <v>0</v>
      </c>
      <c r="S2484" s="1" t="s">
        <v>658</v>
      </c>
      <c r="T2484" s="1"/>
      <c r="U2484">
        <v>107.054</v>
      </c>
      <c r="V2484">
        <v>0</v>
      </c>
      <c r="W2484">
        <v>56736</v>
      </c>
    </row>
    <row r="2485" spans="1:23" x14ac:dyDescent="0.25">
      <c r="A2485" s="1" t="s">
        <v>35</v>
      </c>
      <c r="B2485" s="1" t="s">
        <v>75</v>
      </c>
      <c r="C2485" s="1" t="s">
        <v>179</v>
      </c>
      <c r="D2485">
        <v>5261</v>
      </c>
      <c r="E2485" s="1"/>
      <c r="F2485" s="1" t="s">
        <v>309</v>
      </c>
      <c r="G2485">
        <v>2013</v>
      </c>
      <c r="H2485">
        <v>94.37</v>
      </c>
      <c r="I2485">
        <v>12</v>
      </c>
      <c r="J2485" s="1" t="s">
        <v>402</v>
      </c>
      <c r="K2485">
        <v>0</v>
      </c>
      <c r="L2485">
        <v>309</v>
      </c>
      <c r="M2485">
        <v>0.30530499999999999</v>
      </c>
      <c r="N2485">
        <v>3</v>
      </c>
      <c r="O2485" s="1" t="s">
        <v>560</v>
      </c>
      <c r="P2485">
        <v>94.37</v>
      </c>
      <c r="Q2485">
        <v>75.5</v>
      </c>
      <c r="R2485">
        <v>0</v>
      </c>
      <c r="S2485" s="1" t="s">
        <v>658</v>
      </c>
      <c r="T2485" s="1"/>
      <c r="U2485">
        <v>94.37</v>
      </c>
      <c r="V2485">
        <v>0</v>
      </c>
      <c r="W2485">
        <v>56736</v>
      </c>
    </row>
    <row r="2486" spans="1:23" x14ac:dyDescent="0.25">
      <c r="A2486" s="1" t="s">
        <v>35</v>
      </c>
      <c r="B2486" s="1" t="s">
        <v>75</v>
      </c>
      <c r="C2486" s="1" t="s">
        <v>179</v>
      </c>
      <c r="D2486">
        <v>5261</v>
      </c>
      <c r="E2486" s="1"/>
      <c r="F2486" s="1" t="s">
        <v>309</v>
      </c>
      <c r="G2486">
        <v>2012</v>
      </c>
      <c r="H2486">
        <v>73.56</v>
      </c>
      <c r="I2486">
        <v>12</v>
      </c>
      <c r="J2486" s="1" t="s">
        <v>402</v>
      </c>
      <c r="K2486">
        <v>0</v>
      </c>
      <c r="L2486">
        <v>309</v>
      </c>
      <c r="M2486">
        <v>0.237981</v>
      </c>
      <c r="N2486">
        <v>3</v>
      </c>
      <c r="O2486" s="1" t="s">
        <v>560</v>
      </c>
      <c r="P2486">
        <v>73.56</v>
      </c>
      <c r="Q2486">
        <v>58.85</v>
      </c>
      <c r="R2486">
        <v>0</v>
      </c>
      <c r="S2486" s="1" t="s">
        <v>658</v>
      </c>
      <c r="T2486" s="1"/>
      <c r="U2486">
        <v>73.549000000000007</v>
      </c>
      <c r="V2486">
        <v>0</v>
      </c>
      <c r="W2486">
        <v>56736</v>
      </c>
    </row>
    <row r="2487" spans="1:23" x14ac:dyDescent="0.25">
      <c r="A2487" s="1" t="s">
        <v>35</v>
      </c>
      <c r="B2487" s="1" t="s">
        <v>75</v>
      </c>
      <c r="C2487" s="1" t="s">
        <v>179</v>
      </c>
      <c r="D2487">
        <v>5261</v>
      </c>
      <c r="E2487" s="1"/>
      <c r="F2487" s="1" t="s">
        <v>309</v>
      </c>
      <c r="G2487">
        <v>2011</v>
      </c>
      <c r="H2487">
        <v>59.69</v>
      </c>
      <c r="I2487">
        <v>12</v>
      </c>
      <c r="J2487" s="1" t="s">
        <v>402</v>
      </c>
      <c r="K2487">
        <v>0</v>
      </c>
      <c r="L2487">
        <v>309</v>
      </c>
      <c r="M2487">
        <v>0.193109</v>
      </c>
      <c r="N2487">
        <v>3</v>
      </c>
      <c r="O2487" s="1" t="s">
        <v>560</v>
      </c>
      <c r="P2487">
        <v>59.69</v>
      </c>
      <c r="Q2487">
        <v>47.74</v>
      </c>
      <c r="R2487">
        <v>0</v>
      </c>
      <c r="S2487" s="1" t="s">
        <v>658</v>
      </c>
      <c r="T2487" s="1"/>
      <c r="U2487">
        <v>59.683309999999999</v>
      </c>
      <c r="V2487">
        <v>0</v>
      </c>
      <c r="W2487">
        <v>56736</v>
      </c>
    </row>
    <row r="2488" spans="1:23" x14ac:dyDescent="0.25">
      <c r="A2488" s="1" t="s">
        <v>35</v>
      </c>
      <c r="B2488" s="1" t="s">
        <v>75</v>
      </c>
      <c r="C2488" s="1" t="s">
        <v>179</v>
      </c>
      <c r="D2488">
        <v>5261</v>
      </c>
      <c r="E2488" s="1"/>
      <c r="F2488" s="1" t="s">
        <v>309</v>
      </c>
      <c r="G2488">
        <v>2010</v>
      </c>
      <c r="H2488">
        <v>66.5</v>
      </c>
      <c r="I2488">
        <v>12</v>
      </c>
      <c r="J2488" s="1" t="s">
        <v>402</v>
      </c>
      <c r="K2488">
        <v>0</v>
      </c>
      <c r="L2488">
        <v>309</v>
      </c>
      <c r="M2488">
        <v>0.21514</v>
      </c>
      <c r="N2488">
        <v>3</v>
      </c>
      <c r="O2488" s="1" t="s">
        <v>560</v>
      </c>
      <c r="P2488">
        <v>66.5</v>
      </c>
      <c r="Q2488">
        <v>53.23</v>
      </c>
      <c r="R2488">
        <v>0</v>
      </c>
      <c r="S2488" s="1" t="s">
        <v>658</v>
      </c>
      <c r="T2488" s="1"/>
      <c r="U2488">
        <v>66.504710000000003</v>
      </c>
      <c r="V2488">
        <v>0</v>
      </c>
      <c r="W2488">
        <v>56736</v>
      </c>
    </row>
    <row r="2489" spans="1:23" x14ac:dyDescent="0.25">
      <c r="A2489" s="1" t="s">
        <v>35</v>
      </c>
      <c r="B2489" s="1" t="s">
        <v>75</v>
      </c>
      <c r="C2489" s="1" t="s">
        <v>179</v>
      </c>
      <c r="D2489">
        <v>5261</v>
      </c>
      <c r="E2489" s="1"/>
      <c r="F2489" s="1" t="s">
        <v>309</v>
      </c>
      <c r="G2489">
        <v>2009</v>
      </c>
      <c r="H2489">
        <v>86.99</v>
      </c>
      <c r="I2489">
        <v>12</v>
      </c>
      <c r="J2489" s="1" t="s">
        <v>402</v>
      </c>
      <c r="K2489">
        <v>0</v>
      </c>
      <c r="L2489">
        <v>309</v>
      </c>
      <c r="M2489">
        <v>0.28142899999999998</v>
      </c>
      <c r="N2489">
        <v>3</v>
      </c>
      <c r="O2489" s="1" t="s">
        <v>560</v>
      </c>
      <c r="P2489">
        <v>86.99</v>
      </c>
      <c r="Q2489">
        <v>69.58</v>
      </c>
      <c r="R2489">
        <v>0</v>
      </c>
      <c r="S2489" s="1" t="s">
        <v>658</v>
      </c>
      <c r="T2489" s="1"/>
      <c r="U2489">
        <v>86.980999999999995</v>
      </c>
      <c r="V2489">
        <v>0</v>
      </c>
      <c r="W2489">
        <v>56736</v>
      </c>
    </row>
    <row r="2490" spans="1:23" x14ac:dyDescent="0.25">
      <c r="A2490" s="1" t="s">
        <v>35</v>
      </c>
      <c r="B2490" s="1" t="s">
        <v>75</v>
      </c>
      <c r="C2490" s="1" t="s">
        <v>179</v>
      </c>
      <c r="D2490">
        <v>5261</v>
      </c>
      <c r="E2490" s="1"/>
      <c r="F2490" s="1" t="s">
        <v>309</v>
      </c>
      <c r="G2490">
        <v>2008</v>
      </c>
      <c r="H2490">
        <v>122.23</v>
      </c>
      <c r="I2490">
        <v>12</v>
      </c>
      <c r="J2490" s="1" t="s">
        <v>402</v>
      </c>
      <c r="K2490">
        <v>0</v>
      </c>
      <c r="L2490">
        <v>309</v>
      </c>
      <c r="M2490">
        <v>0.39543800000000001</v>
      </c>
      <c r="N2490">
        <v>3</v>
      </c>
      <c r="O2490" s="1" t="s">
        <v>560</v>
      </c>
      <c r="P2490">
        <v>122.23</v>
      </c>
      <c r="Q2490">
        <v>97.76</v>
      </c>
      <c r="R2490">
        <v>0</v>
      </c>
      <c r="S2490" s="1" t="s">
        <v>658</v>
      </c>
      <c r="T2490" s="1"/>
      <c r="U2490">
        <v>122.223</v>
      </c>
      <c r="V2490">
        <v>0</v>
      </c>
      <c r="W2490">
        <v>56736</v>
      </c>
    </row>
    <row r="2491" spans="1:23" x14ac:dyDescent="0.25">
      <c r="A2491" s="1" t="s">
        <v>35</v>
      </c>
      <c r="B2491" s="1"/>
      <c r="C2491" s="1" t="s">
        <v>180</v>
      </c>
      <c r="D2491">
        <v>10318</v>
      </c>
      <c r="E2491" s="1"/>
      <c r="F2491" s="1" t="s">
        <v>310</v>
      </c>
      <c r="G2491">
        <v>2015</v>
      </c>
      <c r="H2491">
        <v>9.6</v>
      </c>
      <c r="I2491">
        <v>5</v>
      </c>
      <c r="J2491" s="1" t="s">
        <v>439</v>
      </c>
      <c r="K2491">
        <v>0</v>
      </c>
      <c r="L2491">
        <v>170</v>
      </c>
      <c r="M2491">
        <v>5.6437000000000001E-2</v>
      </c>
      <c r="N2491">
        <v>3</v>
      </c>
      <c r="O2491" s="1" t="s">
        <v>560</v>
      </c>
      <c r="P2491">
        <v>9.6</v>
      </c>
      <c r="Q2491">
        <v>7.68</v>
      </c>
      <c r="R2491">
        <v>0</v>
      </c>
      <c r="S2491" s="1" t="s">
        <v>659</v>
      </c>
      <c r="T2491" s="1"/>
      <c r="U2491">
        <v>9.6</v>
      </c>
      <c r="V2491">
        <v>0</v>
      </c>
      <c r="W2491">
        <v>85095</v>
      </c>
    </row>
    <row r="2492" spans="1:23" x14ac:dyDescent="0.25">
      <c r="A2492" s="1" t="s">
        <v>35</v>
      </c>
      <c r="B2492" s="1"/>
      <c r="C2492" s="1" t="s">
        <v>180</v>
      </c>
      <c r="D2492">
        <v>10318</v>
      </c>
      <c r="E2492" s="1"/>
      <c r="F2492" s="1" t="s">
        <v>310</v>
      </c>
      <c r="G2492">
        <v>2014</v>
      </c>
      <c r="H2492">
        <v>33.5</v>
      </c>
      <c r="I2492">
        <v>12</v>
      </c>
      <c r="J2492" s="1" t="s">
        <v>439</v>
      </c>
      <c r="K2492">
        <v>0</v>
      </c>
      <c r="L2492">
        <v>170</v>
      </c>
      <c r="M2492">
        <v>0.19694200000000001</v>
      </c>
      <c r="N2492">
        <v>3</v>
      </c>
      <c r="O2492" s="1" t="s">
        <v>560</v>
      </c>
      <c r="P2492">
        <v>33.5</v>
      </c>
      <c r="Q2492">
        <v>26.8</v>
      </c>
      <c r="R2492">
        <v>0</v>
      </c>
      <c r="S2492" s="1" t="s">
        <v>659</v>
      </c>
      <c r="T2492" s="1"/>
      <c r="U2492">
        <v>33.5</v>
      </c>
      <c r="V2492">
        <v>0</v>
      </c>
      <c r="W2492">
        <v>85095</v>
      </c>
    </row>
    <row r="2493" spans="1:23" x14ac:dyDescent="0.25">
      <c r="A2493" s="1" t="s">
        <v>35</v>
      </c>
      <c r="B2493" s="1"/>
      <c r="C2493" s="1" t="s">
        <v>180</v>
      </c>
      <c r="D2493">
        <v>10318</v>
      </c>
      <c r="E2493" s="1"/>
      <c r="F2493" s="1" t="s">
        <v>310</v>
      </c>
      <c r="G2493">
        <v>2013</v>
      </c>
      <c r="H2493">
        <v>9.9</v>
      </c>
      <c r="I2493">
        <v>12</v>
      </c>
      <c r="J2493" s="1" t="s">
        <v>439</v>
      </c>
      <c r="K2493">
        <v>0</v>
      </c>
      <c r="L2493">
        <v>170</v>
      </c>
      <c r="M2493">
        <v>5.8201000000000003E-2</v>
      </c>
      <c r="N2493">
        <v>3</v>
      </c>
      <c r="O2493" s="1" t="s">
        <v>560</v>
      </c>
      <c r="P2493">
        <v>9.9</v>
      </c>
      <c r="Q2493">
        <v>7.92</v>
      </c>
      <c r="R2493">
        <v>0</v>
      </c>
      <c r="S2493" s="1" t="s">
        <v>659</v>
      </c>
      <c r="T2493" s="1"/>
      <c r="U2493">
        <v>9.9</v>
      </c>
      <c r="V2493">
        <v>0</v>
      </c>
      <c r="W2493">
        <v>85095</v>
      </c>
    </row>
    <row r="2494" spans="1:23" x14ac:dyDescent="0.25">
      <c r="A2494" s="1" t="s">
        <v>35</v>
      </c>
      <c r="B2494" s="1"/>
      <c r="C2494" s="1" t="s">
        <v>180</v>
      </c>
      <c r="D2494">
        <v>10318</v>
      </c>
      <c r="E2494" s="1"/>
      <c r="F2494" s="1" t="s">
        <v>310</v>
      </c>
      <c r="G2494">
        <v>2012</v>
      </c>
      <c r="H2494">
        <v>13.6</v>
      </c>
      <c r="I2494">
        <v>12</v>
      </c>
      <c r="J2494" s="1" t="s">
        <v>439</v>
      </c>
      <c r="K2494">
        <v>0</v>
      </c>
      <c r="L2494">
        <v>170</v>
      </c>
      <c r="M2494">
        <v>7.9951999999999995E-2</v>
      </c>
      <c r="N2494">
        <v>3</v>
      </c>
      <c r="O2494" s="1" t="s">
        <v>560</v>
      </c>
      <c r="P2494">
        <v>13.6</v>
      </c>
      <c r="Q2494">
        <v>10.88</v>
      </c>
      <c r="R2494">
        <v>0</v>
      </c>
      <c r="S2494" s="1" t="s">
        <v>659</v>
      </c>
      <c r="T2494" s="1"/>
      <c r="U2494">
        <v>13.6</v>
      </c>
      <c r="V2494">
        <v>0</v>
      </c>
      <c r="W2494">
        <v>85095</v>
      </c>
    </row>
    <row r="2495" spans="1:23" x14ac:dyDescent="0.25">
      <c r="A2495" s="1" t="s">
        <v>35</v>
      </c>
      <c r="B2495" s="1"/>
      <c r="C2495" s="1" t="s">
        <v>180</v>
      </c>
      <c r="D2495">
        <v>10318</v>
      </c>
      <c r="E2495" s="1"/>
      <c r="F2495" s="1" t="s">
        <v>310</v>
      </c>
      <c r="G2495">
        <v>2011</v>
      </c>
      <c r="H2495">
        <v>11.8</v>
      </c>
      <c r="I2495">
        <v>12</v>
      </c>
      <c r="J2495" s="1" t="s">
        <v>439</v>
      </c>
      <c r="K2495">
        <v>0</v>
      </c>
      <c r="L2495">
        <v>170</v>
      </c>
      <c r="M2495">
        <v>6.9370000000000001E-2</v>
      </c>
      <c r="N2495">
        <v>3</v>
      </c>
      <c r="O2495" s="1" t="s">
        <v>560</v>
      </c>
      <c r="P2495">
        <v>11.8</v>
      </c>
      <c r="Q2495">
        <v>9.44</v>
      </c>
      <c r="R2495">
        <v>0</v>
      </c>
      <c r="S2495" s="1" t="s">
        <v>659</v>
      </c>
      <c r="T2495" s="1"/>
      <c r="U2495">
        <v>11.8</v>
      </c>
      <c r="V2495">
        <v>0</v>
      </c>
      <c r="W2495">
        <v>85095</v>
      </c>
    </row>
    <row r="2496" spans="1:23" x14ac:dyDescent="0.25">
      <c r="A2496" s="1" t="s">
        <v>35</v>
      </c>
      <c r="B2496" s="1"/>
      <c r="C2496" s="1" t="s">
        <v>180</v>
      </c>
      <c r="D2496">
        <v>10318</v>
      </c>
      <c r="E2496" s="1"/>
      <c r="F2496" s="1" t="s">
        <v>310</v>
      </c>
      <c r="G2496">
        <v>2010</v>
      </c>
      <c r="H2496">
        <v>4.9000000000000004</v>
      </c>
      <c r="I2496">
        <v>8</v>
      </c>
      <c r="J2496" s="1" t="s">
        <v>439</v>
      </c>
      <c r="K2496">
        <v>0</v>
      </c>
      <c r="L2496">
        <v>170</v>
      </c>
      <c r="M2496">
        <v>2.8805999999999998E-2</v>
      </c>
      <c r="N2496">
        <v>3</v>
      </c>
      <c r="O2496" s="1" t="s">
        <v>560</v>
      </c>
      <c r="P2496">
        <v>4.9000000000000004</v>
      </c>
      <c r="Q2496">
        <v>3.92</v>
      </c>
      <c r="R2496">
        <v>0</v>
      </c>
      <c r="S2496" s="1" t="s">
        <v>659</v>
      </c>
      <c r="T2496" s="1"/>
      <c r="U2496">
        <v>4.9000000000000004</v>
      </c>
      <c r="V2496">
        <v>0</v>
      </c>
      <c r="W2496">
        <v>85095</v>
      </c>
    </row>
    <row r="2497" spans="1:23" x14ac:dyDescent="0.25">
      <c r="A2497" s="1" t="s">
        <v>35</v>
      </c>
      <c r="B2497" s="1"/>
      <c r="C2497" s="1" t="s">
        <v>180</v>
      </c>
      <c r="D2497">
        <v>10318</v>
      </c>
      <c r="E2497" s="1"/>
      <c r="F2497" s="1" t="s">
        <v>310</v>
      </c>
      <c r="G2497">
        <v>2009</v>
      </c>
      <c r="H2497">
        <v>11.06</v>
      </c>
      <c r="I2497">
        <v>3</v>
      </c>
      <c r="J2497" s="1" t="s">
        <v>440</v>
      </c>
      <c r="K2497">
        <v>0</v>
      </c>
      <c r="L2497">
        <v>170</v>
      </c>
      <c r="M2497">
        <v>6.5019999999999994E-2</v>
      </c>
      <c r="N2497">
        <v>3</v>
      </c>
      <c r="O2497" s="1" t="s">
        <v>560</v>
      </c>
      <c r="P2497">
        <v>11.06</v>
      </c>
      <c r="Q2497">
        <v>8.86</v>
      </c>
      <c r="R2497">
        <v>0</v>
      </c>
      <c r="S2497" s="1" t="s">
        <v>660</v>
      </c>
      <c r="T2497" s="1"/>
      <c r="U2497">
        <v>11.05645</v>
      </c>
      <c r="V2497">
        <v>0</v>
      </c>
      <c r="W2497">
        <v>77793</v>
      </c>
    </row>
    <row r="2498" spans="1:23" x14ac:dyDescent="0.25">
      <c r="A2498" s="1" t="s">
        <v>35</v>
      </c>
      <c r="B2498" s="1"/>
      <c r="C2498" s="1" t="s">
        <v>180</v>
      </c>
      <c r="D2498">
        <v>10318</v>
      </c>
      <c r="E2498" s="1"/>
      <c r="F2498" s="1" t="s">
        <v>310</v>
      </c>
      <c r="G2498">
        <v>2008</v>
      </c>
      <c r="H2498">
        <v>30.79</v>
      </c>
      <c r="I2498">
        <v>4</v>
      </c>
      <c r="J2498" s="1" t="s">
        <v>440</v>
      </c>
      <c r="K2498">
        <v>0</v>
      </c>
      <c r="L2498">
        <v>170</v>
      </c>
      <c r="M2498">
        <v>0.18101100000000001</v>
      </c>
      <c r="N2498">
        <v>3</v>
      </c>
      <c r="O2498" s="1" t="s">
        <v>560</v>
      </c>
      <c r="P2498">
        <v>30.79</v>
      </c>
      <c r="Q2498">
        <v>24.64</v>
      </c>
      <c r="R2498">
        <v>0</v>
      </c>
      <c r="S2498" s="1" t="s">
        <v>660</v>
      </c>
      <c r="T2498" s="1"/>
      <c r="U2498">
        <v>30.795999999999999</v>
      </c>
      <c r="V2498">
        <v>0</v>
      </c>
      <c r="W2498">
        <v>77793</v>
      </c>
    </row>
    <row r="2499" spans="1:23" x14ac:dyDescent="0.25">
      <c r="A2499" s="1" t="s">
        <v>35</v>
      </c>
      <c r="B2499" s="1"/>
      <c r="C2499" s="1" t="s">
        <v>181</v>
      </c>
      <c r="D2499">
        <v>10273</v>
      </c>
      <c r="E2499" s="1"/>
      <c r="F2499" s="1" t="s">
        <v>311</v>
      </c>
      <c r="G2499">
        <v>2015</v>
      </c>
      <c r="H2499">
        <v>56.19</v>
      </c>
      <c r="I2499">
        <v>5</v>
      </c>
      <c r="J2499" s="1" t="s">
        <v>399</v>
      </c>
      <c r="K2499">
        <v>0</v>
      </c>
      <c r="L2499">
        <v>400</v>
      </c>
      <c r="M2499">
        <v>0.14043900000000001</v>
      </c>
      <c r="N2499">
        <v>3</v>
      </c>
      <c r="O2499" s="1" t="s">
        <v>560</v>
      </c>
      <c r="P2499">
        <v>56.19</v>
      </c>
      <c r="Q2499">
        <v>44.96</v>
      </c>
      <c r="R2499">
        <v>0</v>
      </c>
      <c r="S2499" s="1" t="s">
        <v>661</v>
      </c>
      <c r="T2499" s="1"/>
      <c r="U2499">
        <v>56.186999999999998</v>
      </c>
      <c r="V2499">
        <v>0</v>
      </c>
      <c r="W2499">
        <v>77660</v>
      </c>
    </row>
    <row r="2500" spans="1:23" x14ac:dyDescent="0.25">
      <c r="A2500" s="1" t="s">
        <v>35</v>
      </c>
      <c r="B2500" s="1"/>
      <c r="C2500" s="1" t="s">
        <v>181</v>
      </c>
      <c r="D2500">
        <v>10273</v>
      </c>
      <c r="E2500" s="1"/>
      <c r="F2500" s="1" t="s">
        <v>311</v>
      </c>
      <c r="G2500">
        <v>2014</v>
      </c>
      <c r="H2500">
        <v>132.69</v>
      </c>
      <c r="I2500">
        <v>12</v>
      </c>
      <c r="J2500" s="1" t="s">
        <v>399</v>
      </c>
      <c r="K2500">
        <v>0</v>
      </c>
      <c r="L2500">
        <v>400</v>
      </c>
      <c r="M2500">
        <v>0.33164199999999999</v>
      </c>
      <c r="N2500">
        <v>3</v>
      </c>
      <c r="O2500" s="1" t="s">
        <v>560</v>
      </c>
      <c r="P2500">
        <v>132.69</v>
      </c>
      <c r="Q2500">
        <v>106.16</v>
      </c>
      <c r="R2500">
        <v>0</v>
      </c>
      <c r="S2500" s="1" t="s">
        <v>661</v>
      </c>
      <c r="T2500" s="1"/>
      <c r="U2500">
        <v>132.685</v>
      </c>
      <c r="V2500">
        <v>0</v>
      </c>
      <c r="W2500">
        <v>77660</v>
      </c>
    </row>
    <row r="2501" spans="1:23" x14ac:dyDescent="0.25">
      <c r="A2501" s="1" t="s">
        <v>35</v>
      </c>
      <c r="B2501" s="1"/>
      <c r="C2501" s="1" t="s">
        <v>181</v>
      </c>
      <c r="D2501">
        <v>10273</v>
      </c>
      <c r="E2501" s="1"/>
      <c r="F2501" s="1" t="s">
        <v>311</v>
      </c>
      <c r="G2501">
        <v>2013</v>
      </c>
      <c r="H2501">
        <v>127.59</v>
      </c>
      <c r="I2501">
        <v>12</v>
      </c>
      <c r="J2501" s="1" t="s">
        <v>399</v>
      </c>
      <c r="K2501">
        <v>0</v>
      </c>
      <c r="L2501">
        <v>400</v>
      </c>
      <c r="M2501">
        <v>0.31889499999999998</v>
      </c>
      <c r="N2501">
        <v>3</v>
      </c>
      <c r="O2501" s="1" t="s">
        <v>560</v>
      </c>
      <c r="P2501">
        <v>127.59</v>
      </c>
      <c r="Q2501">
        <v>102.08</v>
      </c>
      <c r="R2501">
        <v>0</v>
      </c>
      <c r="S2501" s="1" t="s">
        <v>661</v>
      </c>
      <c r="T2501" s="1"/>
      <c r="U2501">
        <v>127.61225</v>
      </c>
      <c r="V2501">
        <v>0</v>
      </c>
      <c r="W2501">
        <v>77660</v>
      </c>
    </row>
    <row r="2502" spans="1:23" x14ac:dyDescent="0.25">
      <c r="A2502" s="1" t="s">
        <v>35</v>
      </c>
      <c r="B2502" s="1"/>
      <c r="C2502" s="1" t="s">
        <v>181</v>
      </c>
      <c r="D2502">
        <v>10273</v>
      </c>
      <c r="E2502" s="1"/>
      <c r="F2502" s="1" t="s">
        <v>311</v>
      </c>
      <c r="G2502">
        <v>2012</v>
      </c>
      <c r="H2502">
        <v>180.3</v>
      </c>
      <c r="I2502">
        <v>12</v>
      </c>
      <c r="J2502" s="1" t="s">
        <v>399</v>
      </c>
      <c r="K2502">
        <v>0</v>
      </c>
      <c r="L2502">
        <v>400</v>
      </c>
      <c r="M2502">
        <v>0.45063700000000001</v>
      </c>
      <c r="N2502">
        <v>3</v>
      </c>
      <c r="O2502" s="1" t="s">
        <v>560</v>
      </c>
      <c r="P2502">
        <v>180.3</v>
      </c>
      <c r="Q2502">
        <v>144.22</v>
      </c>
      <c r="R2502">
        <v>0</v>
      </c>
      <c r="S2502" s="1" t="s">
        <v>661</v>
      </c>
      <c r="T2502" s="1"/>
      <c r="U2502">
        <v>180.28675000000001</v>
      </c>
      <c r="V2502">
        <v>0</v>
      </c>
      <c r="W2502">
        <v>77660</v>
      </c>
    </row>
    <row r="2503" spans="1:23" x14ac:dyDescent="0.25">
      <c r="A2503" s="1" t="s">
        <v>35</v>
      </c>
      <c r="B2503" s="1"/>
      <c r="C2503" s="1" t="s">
        <v>181</v>
      </c>
      <c r="D2503">
        <v>10273</v>
      </c>
      <c r="E2503" s="1"/>
      <c r="F2503" s="1" t="s">
        <v>311</v>
      </c>
      <c r="G2503">
        <v>2011</v>
      </c>
      <c r="H2503">
        <v>185.69</v>
      </c>
      <c r="I2503">
        <v>13</v>
      </c>
      <c r="J2503" s="1" t="s">
        <v>399</v>
      </c>
      <c r="K2503">
        <v>0</v>
      </c>
      <c r="L2503">
        <v>400</v>
      </c>
      <c r="M2503">
        <v>0.46410800000000002</v>
      </c>
      <c r="N2503">
        <v>3</v>
      </c>
      <c r="O2503" s="1" t="s">
        <v>560</v>
      </c>
      <c r="P2503">
        <v>185.69</v>
      </c>
      <c r="Q2503">
        <v>148.57</v>
      </c>
      <c r="R2503">
        <v>0</v>
      </c>
      <c r="S2503" s="1" t="s">
        <v>661</v>
      </c>
      <c r="T2503" s="1"/>
      <c r="U2503">
        <v>185.70023</v>
      </c>
      <c r="V2503">
        <v>0</v>
      </c>
      <c r="W2503">
        <v>77660</v>
      </c>
    </row>
    <row r="2504" spans="1:23" x14ac:dyDescent="0.25">
      <c r="A2504" s="1" t="s">
        <v>35</v>
      </c>
      <c r="B2504" s="1"/>
      <c r="C2504" s="1" t="s">
        <v>181</v>
      </c>
      <c r="D2504">
        <v>10273</v>
      </c>
      <c r="E2504" s="1"/>
      <c r="F2504" s="1" t="s">
        <v>311</v>
      </c>
      <c r="G2504">
        <v>2010</v>
      </c>
      <c r="H2504">
        <v>209.82</v>
      </c>
      <c r="I2504">
        <v>11</v>
      </c>
      <c r="J2504" s="1" t="s">
        <v>399</v>
      </c>
      <c r="K2504">
        <v>0</v>
      </c>
      <c r="L2504">
        <v>400</v>
      </c>
      <c r="M2504">
        <v>0.52441800000000005</v>
      </c>
      <c r="N2504">
        <v>3</v>
      </c>
      <c r="O2504" s="1" t="s">
        <v>560</v>
      </c>
      <c r="P2504">
        <v>209.82</v>
      </c>
      <c r="Q2504">
        <v>167.85</v>
      </c>
      <c r="R2504">
        <v>0</v>
      </c>
      <c r="S2504" s="1" t="s">
        <v>661</v>
      </c>
      <c r="T2504" s="1"/>
      <c r="U2504">
        <v>209.82435000000001</v>
      </c>
      <c r="V2504">
        <v>0</v>
      </c>
      <c r="W2504">
        <v>77660</v>
      </c>
    </row>
    <row r="2505" spans="1:23" x14ac:dyDescent="0.25">
      <c r="A2505" s="1" t="s">
        <v>35</v>
      </c>
      <c r="B2505" s="1"/>
      <c r="C2505" s="1" t="s">
        <v>181</v>
      </c>
      <c r="D2505">
        <v>10273</v>
      </c>
      <c r="E2505" s="1"/>
      <c r="F2505" s="1" t="s">
        <v>311</v>
      </c>
      <c r="G2505">
        <v>2009</v>
      </c>
      <c r="H2505">
        <v>202.35</v>
      </c>
      <c r="I2505">
        <v>12</v>
      </c>
      <c r="J2505" s="1" t="s">
        <v>399</v>
      </c>
      <c r="K2505">
        <v>0</v>
      </c>
      <c r="L2505">
        <v>400</v>
      </c>
      <c r="M2505">
        <v>0.50574799999999998</v>
      </c>
      <c r="N2505">
        <v>3</v>
      </c>
      <c r="O2505" s="1" t="s">
        <v>560</v>
      </c>
      <c r="P2505">
        <v>202.35</v>
      </c>
      <c r="Q2505">
        <v>161.9</v>
      </c>
      <c r="R2505">
        <v>0</v>
      </c>
      <c r="S2505" s="1" t="s">
        <v>661</v>
      </c>
      <c r="T2505" s="1"/>
      <c r="U2505">
        <v>202.37559999999999</v>
      </c>
      <c r="V2505">
        <v>0</v>
      </c>
      <c r="W2505">
        <v>77660</v>
      </c>
    </row>
    <row r="2506" spans="1:23" x14ac:dyDescent="0.25">
      <c r="A2506" s="1" t="s">
        <v>35</v>
      </c>
      <c r="B2506" s="1"/>
      <c r="C2506" s="1" t="s">
        <v>181</v>
      </c>
      <c r="D2506">
        <v>10273</v>
      </c>
      <c r="E2506" s="1"/>
      <c r="F2506" s="1" t="s">
        <v>311</v>
      </c>
      <c r="G2506">
        <v>2008</v>
      </c>
      <c r="H2506">
        <v>170.6</v>
      </c>
      <c r="I2506">
        <v>6</v>
      </c>
      <c r="J2506" s="1" t="s">
        <v>399</v>
      </c>
      <c r="K2506">
        <v>0</v>
      </c>
      <c r="L2506">
        <v>400</v>
      </c>
      <c r="M2506">
        <v>0.42639300000000002</v>
      </c>
      <c r="N2506">
        <v>3</v>
      </c>
      <c r="O2506" s="1" t="s">
        <v>560</v>
      </c>
      <c r="P2506">
        <v>170.6</v>
      </c>
      <c r="Q2506">
        <v>136.46</v>
      </c>
      <c r="R2506">
        <v>0</v>
      </c>
      <c r="S2506" s="1" t="s">
        <v>661</v>
      </c>
      <c r="T2506" s="1"/>
      <c r="U2506">
        <v>170.58335</v>
      </c>
      <c r="V2506">
        <v>0</v>
      </c>
      <c r="W2506">
        <v>77660</v>
      </c>
    </row>
    <row r="2507" spans="1:23" x14ac:dyDescent="0.25">
      <c r="A2507" s="1" t="s">
        <v>35</v>
      </c>
      <c r="B2507" s="1"/>
      <c r="C2507" s="1" t="s">
        <v>182</v>
      </c>
      <c r="D2507">
        <v>10182</v>
      </c>
      <c r="E2507" s="1"/>
      <c r="F2507" s="1" t="s">
        <v>312</v>
      </c>
      <c r="G2507">
        <v>2015</v>
      </c>
      <c r="H2507">
        <v>24.03</v>
      </c>
      <c r="I2507">
        <v>5</v>
      </c>
      <c r="J2507" s="1" t="s">
        <v>441</v>
      </c>
      <c r="K2507">
        <v>0</v>
      </c>
      <c r="L2507">
        <v>152</v>
      </c>
      <c r="M2507">
        <v>0.15798799999999999</v>
      </c>
      <c r="N2507">
        <v>3</v>
      </c>
      <c r="O2507" s="1" t="s">
        <v>560</v>
      </c>
      <c r="P2507">
        <v>24.03</v>
      </c>
      <c r="Q2507">
        <v>19.239999999999998</v>
      </c>
      <c r="R2507">
        <v>0</v>
      </c>
      <c r="S2507" s="1" t="s">
        <v>662</v>
      </c>
      <c r="T2507" s="1"/>
      <c r="U2507">
        <v>24.032</v>
      </c>
      <c r="V2507">
        <v>0</v>
      </c>
      <c r="W2507">
        <v>77234</v>
      </c>
    </row>
    <row r="2508" spans="1:23" x14ac:dyDescent="0.25">
      <c r="A2508" s="1" t="s">
        <v>35</v>
      </c>
      <c r="B2508" s="1"/>
      <c r="C2508" s="1" t="s">
        <v>182</v>
      </c>
      <c r="D2508">
        <v>10182</v>
      </c>
      <c r="E2508" s="1"/>
      <c r="F2508" s="1" t="s">
        <v>312</v>
      </c>
      <c r="G2508">
        <v>2014</v>
      </c>
      <c r="H2508">
        <v>34.54</v>
      </c>
      <c r="I2508">
        <v>12</v>
      </c>
      <c r="J2508" s="1" t="s">
        <v>441</v>
      </c>
      <c r="K2508">
        <v>0</v>
      </c>
      <c r="L2508">
        <v>152</v>
      </c>
      <c r="M2508">
        <v>0.22708700000000001</v>
      </c>
      <c r="N2508">
        <v>3</v>
      </c>
      <c r="O2508" s="1" t="s">
        <v>560</v>
      </c>
      <c r="P2508">
        <v>34.54</v>
      </c>
      <c r="Q2508">
        <v>27.65</v>
      </c>
      <c r="R2508">
        <v>0</v>
      </c>
      <c r="S2508" s="1" t="s">
        <v>662</v>
      </c>
      <c r="T2508" s="1"/>
      <c r="U2508">
        <v>34.551000000000002</v>
      </c>
      <c r="V2508">
        <v>0</v>
      </c>
      <c r="W2508">
        <v>77234</v>
      </c>
    </row>
    <row r="2509" spans="1:23" x14ac:dyDescent="0.25">
      <c r="A2509" s="1" t="s">
        <v>35</v>
      </c>
      <c r="B2509" s="1"/>
      <c r="C2509" s="1" t="s">
        <v>182</v>
      </c>
      <c r="D2509">
        <v>10182</v>
      </c>
      <c r="E2509" s="1"/>
      <c r="F2509" s="1" t="s">
        <v>312</v>
      </c>
      <c r="G2509">
        <v>2013</v>
      </c>
      <c r="H2509">
        <v>24.69</v>
      </c>
      <c r="I2509">
        <v>7</v>
      </c>
      <c r="J2509" s="1" t="s">
        <v>441</v>
      </c>
      <c r="K2509">
        <v>0</v>
      </c>
      <c r="L2509">
        <v>152</v>
      </c>
      <c r="M2509">
        <v>0.162327</v>
      </c>
      <c r="N2509">
        <v>3</v>
      </c>
      <c r="O2509" s="1" t="s">
        <v>560</v>
      </c>
      <c r="P2509">
        <v>24.69</v>
      </c>
      <c r="Q2509">
        <v>19.760000000000002</v>
      </c>
      <c r="R2509">
        <v>0</v>
      </c>
      <c r="S2509" s="1" t="s">
        <v>662</v>
      </c>
      <c r="T2509" s="1"/>
      <c r="U2509">
        <v>24.693819999999999</v>
      </c>
      <c r="V2509">
        <v>0</v>
      </c>
      <c r="W2509">
        <v>77234</v>
      </c>
    </row>
    <row r="2510" spans="1:23" x14ac:dyDescent="0.25">
      <c r="A2510" s="1" t="s">
        <v>35</v>
      </c>
      <c r="B2510" s="1"/>
      <c r="C2510" s="1" t="s">
        <v>182</v>
      </c>
      <c r="D2510">
        <v>10182</v>
      </c>
      <c r="E2510" s="1"/>
      <c r="F2510" s="1" t="s">
        <v>312</v>
      </c>
      <c r="G2510">
        <v>2012</v>
      </c>
      <c r="H2510">
        <v>40.85</v>
      </c>
      <c r="I2510">
        <v>4</v>
      </c>
      <c r="J2510" s="1" t="s">
        <v>441</v>
      </c>
      <c r="K2510">
        <v>0</v>
      </c>
      <c r="L2510">
        <v>152</v>
      </c>
      <c r="M2510">
        <v>0.26857300000000001</v>
      </c>
      <c r="N2510">
        <v>3</v>
      </c>
      <c r="O2510" s="1" t="s">
        <v>560</v>
      </c>
      <c r="P2510">
        <v>40.85</v>
      </c>
      <c r="Q2510">
        <v>32.69</v>
      </c>
      <c r="R2510">
        <v>0</v>
      </c>
      <c r="S2510" s="1" t="s">
        <v>662</v>
      </c>
      <c r="T2510" s="1"/>
      <c r="U2510">
        <v>40.868670000000002</v>
      </c>
      <c r="V2510">
        <v>0</v>
      </c>
      <c r="W2510">
        <v>77234</v>
      </c>
    </row>
    <row r="2511" spans="1:23" x14ac:dyDescent="0.25">
      <c r="A2511" s="1" t="s">
        <v>35</v>
      </c>
      <c r="B2511" s="1"/>
      <c r="C2511" s="1" t="s">
        <v>182</v>
      </c>
      <c r="D2511">
        <v>10182</v>
      </c>
      <c r="E2511" s="1"/>
      <c r="F2511" s="1" t="s">
        <v>312</v>
      </c>
      <c r="G2511">
        <v>2011</v>
      </c>
      <c r="H2511">
        <v>41.8</v>
      </c>
      <c r="I2511">
        <v>3</v>
      </c>
      <c r="J2511" s="1" t="s">
        <v>441</v>
      </c>
      <c r="K2511">
        <v>0</v>
      </c>
      <c r="L2511">
        <v>152</v>
      </c>
      <c r="M2511">
        <v>0.27481899999999998</v>
      </c>
      <c r="N2511">
        <v>3</v>
      </c>
      <c r="O2511" s="1" t="s">
        <v>560</v>
      </c>
      <c r="P2511">
        <v>41.8</v>
      </c>
      <c r="Q2511">
        <v>33.43</v>
      </c>
      <c r="R2511">
        <v>0</v>
      </c>
      <c r="S2511" s="1" t="s">
        <v>662</v>
      </c>
      <c r="T2511" s="1"/>
      <c r="U2511">
        <v>41.801130000000001</v>
      </c>
      <c r="V2511">
        <v>0</v>
      </c>
      <c r="W2511">
        <v>77234</v>
      </c>
    </row>
    <row r="2512" spans="1:23" x14ac:dyDescent="0.25">
      <c r="A2512" s="1" t="s">
        <v>35</v>
      </c>
      <c r="B2512" s="1"/>
      <c r="C2512" s="1" t="s">
        <v>182</v>
      </c>
      <c r="D2512">
        <v>10182</v>
      </c>
      <c r="E2512" s="1"/>
      <c r="F2512" s="1" t="s">
        <v>312</v>
      </c>
      <c r="G2512">
        <v>2010</v>
      </c>
      <c r="H2512">
        <v>50.49</v>
      </c>
      <c r="I2512">
        <v>3</v>
      </c>
      <c r="J2512" s="1" t="s">
        <v>441</v>
      </c>
      <c r="K2512">
        <v>0</v>
      </c>
      <c r="L2512">
        <v>152</v>
      </c>
      <c r="M2512">
        <v>0.33195200000000002</v>
      </c>
      <c r="N2512">
        <v>3</v>
      </c>
      <c r="O2512" s="1" t="s">
        <v>560</v>
      </c>
      <c r="P2512">
        <v>50.49</v>
      </c>
      <c r="Q2512">
        <v>40.409999999999997</v>
      </c>
      <c r="R2512">
        <v>0</v>
      </c>
      <c r="S2512" s="1" t="s">
        <v>662</v>
      </c>
      <c r="T2512" s="1"/>
      <c r="U2512">
        <v>50.486170000000001</v>
      </c>
      <c r="V2512">
        <v>0</v>
      </c>
      <c r="W2512">
        <v>77234</v>
      </c>
    </row>
    <row r="2513" spans="1:23" x14ac:dyDescent="0.25">
      <c r="A2513" s="1" t="s">
        <v>35</v>
      </c>
      <c r="B2513" s="1"/>
      <c r="C2513" s="1" t="s">
        <v>182</v>
      </c>
      <c r="D2513">
        <v>10182</v>
      </c>
      <c r="E2513" s="1"/>
      <c r="F2513" s="1" t="s">
        <v>312</v>
      </c>
      <c r="G2513">
        <v>2009</v>
      </c>
      <c r="H2513">
        <v>109.32</v>
      </c>
      <c r="I2513">
        <v>3</v>
      </c>
      <c r="J2513" s="1" t="s">
        <v>441</v>
      </c>
      <c r="K2513">
        <v>0</v>
      </c>
      <c r="L2513">
        <v>152</v>
      </c>
      <c r="M2513">
        <v>0.71873699999999996</v>
      </c>
      <c r="N2513">
        <v>3</v>
      </c>
      <c r="O2513" s="1" t="s">
        <v>560</v>
      </c>
      <c r="P2513">
        <v>109.32</v>
      </c>
      <c r="Q2513">
        <v>87.46</v>
      </c>
      <c r="R2513">
        <v>0</v>
      </c>
      <c r="S2513" s="1" t="s">
        <v>662</v>
      </c>
      <c r="T2513" s="1"/>
      <c r="U2513">
        <v>109.30643999999999</v>
      </c>
      <c r="V2513">
        <v>0</v>
      </c>
      <c r="W2513">
        <v>77234</v>
      </c>
    </row>
    <row r="2514" spans="1:23" x14ac:dyDescent="0.25">
      <c r="A2514" s="1" t="s">
        <v>35</v>
      </c>
      <c r="B2514" s="1"/>
      <c r="C2514" s="1" t="s">
        <v>182</v>
      </c>
      <c r="D2514">
        <v>10182</v>
      </c>
      <c r="E2514" s="1"/>
      <c r="F2514" s="1" t="s">
        <v>312</v>
      </c>
      <c r="G2514">
        <v>2008</v>
      </c>
      <c r="H2514">
        <v>139.53</v>
      </c>
      <c r="I2514">
        <v>7</v>
      </c>
      <c r="J2514" s="1" t="s">
        <v>441</v>
      </c>
      <c r="K2514">
        <v>0</v>
      </c>
      <c r="L2514">
        <v>152</v>
      </c>
      <c r="M2514">
        <v>0.91735699999999998</v>
      </c>
      <c r="N2514">
        <v>3</v>
      </c>
      <c r="O2514" s="1" t="s">
        <v>560</v>
      </c>
      <c r="P2514">
        <v>139.53</v>
      </c>
      <c r="Q2514">
        <v>111.62</v>
      </c>
      <c r="R2514">
        <v>0</v>
      </c>
      <c r="S2514" s="1" t="s">
        <v>662</v>
      </c>
      <c r="T2514" s="1"/>
      <c r="U2514">
        <v>139.51407</v>
      </c>
      <c r="V2514">
        <v>0</v>
      </c>
      <c r="W2514">
        <v>77234</v>
      </c>
    </row>
    <row r="2515" spans="1:23" x14ac:dyDescent="0.25">
      <c r="A2515" s="1" t="s">
        <v>35</v>
      </c>
      <c r="B2515" s="1" t="s">
        <v>73</v>
      </c>
      <c r="C2515" s="1" t="s">
        <v>174</v>
      </c>
      <c r="D2515">
        <v>14495</v>
      </c>
      <c r="E2515" s="1" t="s">
        <v>243</v>
      </c>
      <c r="F2515" s="1" t="s">
        <v>313</v>
      </c>
      <c r="G2515">
        <v>2015</v>
      </c>
      <c r="H2515">
        <v>114.2</v>
      </c>
      <c r="I2515">
        <v>5</v>
      </c>
      <c r="J2515" s="1" t="s">
        <v>442</v>
      </c>
      <c r="K2515">
        <v>0</v>
      </c>
      <c r="L2515">
        <v>878</v>
      </c>
      <c r="M2515">
        <v>0.130053</v>
      </c>
      <c r="N2515">
        <v>3</v>
      </c>
      <c r="O2515" s="1" t="s">
        <v>560</v>
      </c>
      <c r="P2515">
        <v>114.2</v>
      </c>
      <c r="Q2515">
        <v>91.36</v>
      </c>
      <c r="R2515">
        <v>0</v>
      </c>
      <c r="S2515" s="1" t="s">
        <v>663</v>
      </c>
      <c r="T2515" s="1"/>
      <c r="U2515">
        <v>114.2</v>
      </c>
      <c r="V2515">
        <v>0</v>
      </c>
      <c r="W2515">
        <v>94941</v>
      </c>
    </row>
    <row r="2516" spans="1:23" x14ac:dyDescent="0.25">
      <c r="A2516" s="1" t="s">
        <v>35</v>
      </c>
      <c r="B2516" s="1" t="s">
        <v>73</v>
      </c>
      <c r="C2516" s="1" t="s">
        <v>174</v>
      </c>
      <c r="D2516">
        <v>14495</v>
      </c>
      <c r="E2516" s="1" t="s">
        <v>243</v>
      </c>
      <c r="F2516" s="1" t="s">
        <v>313</v>
      </c>
      <c r="G2516">
        <v>2014</v>
      </c>
      <c r="H2516">
        <v>177.1</v>
      </c>
      <c r="I2516">
        <v>12</v>
      </c>
      <c r="J2516" s="1" t="s">
        <v>442</v>
      </c>
      <c r="K2516">
        <v>0</v>
      </c>
      <c r="L2516">
        <v>878</v>
      </c>
      <c r="M2516">
        <v>0.201685</v>
      </c>
      <c r="N2516">
        <v>3</v>
      </c>
      <c r="O2516" s="1" t="s">
        <v>560</v>
      </c>
      <c r="P2516">
        <v>177.1</v>
      </c>
      <c r="Q2516">
        <v>141.68</v>
      </c>
      <c r="R2516">
        <v>0</v>
      </c>
      <c r="S2516" s="1" t="s">
        <v>663</v>
      </c>
      <c r="T2516" s="1"/>
      <c r="U2516">
        <v>177.09762000000001</v>
      </c>
      <c r="V2516">
        <v>0</v>
      </c>
      <c r="W2516">
        <v>94941</v>
      </c>
    </row>
    <row r="2517" spans="1:23" x14ac:dyDescent="0.25">
      <c r="A2517" s="1" t="s">
        <v>35</v>
      </c>
      <c r="B2517" s="1" t="s">
        <v>73</v>
      </c>
      <c r="C2517" s="1" t="s">
        <v>174</v>
      </c>
      <c r="D2517">
        <v>14495</v>
      </c>
      <c r="E2517" s="1" t="s">
        <v>243</v>
      </c>
      <c r="F2517" s="1" t="s">
        <v>313</v>
      </c>
      <c r="G2517">
        <v>2013</v>
      </c>
      <c r="H2517">
        <v>65.7</v>
      </c>
      <c r="I2517">
        <v>2</v>
      </c>
      <c r="J2517" s="1" t="s">
        <v>442</v>
      </c>
      <c r="K2517">
        <v>0</v>
      </c>
      <c r="L2517">
        <v>878</v>
      </c>
      <c r="M2517">
        <v>7.4819999999999998E-2</v>
      </c>
      <c r="N2517">
        <v>3</v>
      </c>
      <c r="O2517" s="1" t="s">
        <v>560</v>
      </c>
      <c r="P2517">
        <v>65.7</v>
      </c>
      <c r="Q2517">
        <v>52.56</v>
      </c>
      <c r="R2517">
        <v>0</v>
      </c>
      <c r="S2517" s="1" t="s">
        <v>663</v>
      </c>
      <c r="T2517" s="1"/>
      <c r="U2517">
        <v>65.702380000000005</v>
      </c>
      <c r="V2517">
        <v>0</v>
      </c>
      <c r="W2517">
        <v>94941</v>
      </c>
    </row>
    <row r="2518" spans="1:23" x14ac:dyDescent="0.25">
      <c r="A2518" s="1" t="s">
        <v>35</v>
      </c>
      <c r="B2518" s="1"/>
      <c r="C2518" s="1" t="s">
        <v>183</v>
      </c>
      <c r="D2518">
        <v>10270</v>
      </c>
      <c r="E2518" s="1"/>
      <c r="F2518" s="1" t="s">
        <v>183</v>
      </c>
      <c r="G2518">
        <v>2015</v>
      </c>
      <c r="H2518">
        <v>1.62</v>
      </c>
      <c r="I2518">
        <v>5</v>
      </c>
      <c r="J2518" s="1" t="s">
        <v>443</v>
      </c>
      <c r="K2518">
        <v>0</v>
      </c>
      <c r="L2518">
        <v>96</v>
      </c>
      <c r="M2518">
        <v>1.6857E-2</v>
      </c>
      <c r="N2518">
        <v>3</v>
      </c>
      <c r="O2518" s="1" t="s">
        <v>560</v>
      </c>
      <c r="P2518">
        <v>1.62</v>
      </c>
      <c r="Q2518">
        <v>1.29</v>
      </c>
      <c r="R2518">
        <v>0</v>
      </c>
      <c r="S2518" s="1" t="s">
        <v>664</v>
      </c>
      <c r="T2518" s="1"/>
      <c r="U2518">
        <v>1.6140000000000001</v>
      </c>
      <c r="V2518">
        <v>0</v>
      </c>
      <c r="W2518">
        <v>77651</v>
      </c>
    </row>
    <row r="2519" spans="1:23" x14ac:dyDescent="0.25">
      <c r="A2519" s="1" t="s">
        <v>35</v>
      </c>
      <c r="B2519" s="1"/>
      <c r="C2519" s="1" t="s">
        <v>183</v>
      </c>
      <c r="D2519">
        <v>10270</v>
      </c>
      <c r="E2519" s="1"/>
      <c r="F2519" s="1" t="s">
        <v>183</v>
      </c>
      <c r="G2519">
        <v>2014</v>
      </c>
      <c r="H2519">
        <v>7.68</v>
      </c>
      <c r="I2519">
        <v>12</v>
      </c>
      <c r="J2519" s="1" t="s">
        <v>443</v>
      </c>
      <c r="K2519">
        <v>0</v>
      </c>
      <c r="L2519">
        <v>96</v>
      </c>
      <c r="M2519">
        <v>7.9916000000000001E-2</v>
      </c>
      <c r="N2519">
        <v>3</v>
      </c>
      <c r="O2519" s="1" t="s">
        <v>560</v>
      </c>
      <c r="P2519">
        <v>7.68</v>
      </c>
      <c r="Q2519">
        <v>6.14</v>
      </c>
      <c r="R2519">
        <v>0</v>
      </c>
      <c r="S2519" s="1" t="s">
        <v>664</v>
      </c>
      <c r="T2519" s="1"/>
      <c r="U2519">
        <v>7.665</v>
      </c>
      <c r="V2519">
        <v>0</v>
      </c>
      <c r="W2519">
        <v>77651</v>
      </c>
    </row>
    <row r="2520" spans="1:23" x14ac:dyDescent="0.25">
      <c r="A2520" s="1" t="s">
        <v>35</v>
      </c>
      <c r="B2520" s="1"/>
      <c r="C2520" s="1" t="s">
        <v>183</v>
      </c>
      <c r="D2520">
        <v>10270</v>
      </c>
      <c r="E2520" s="1"/>
      <c r="F2520" s="1" t="s">
        <v>183</v>
      </c>
      <c r="G2520">
        <v>2013</v>
      </c>
      <c r="H2520">
        <v>20.95</v>
      </c>
      <c r="I2520">
        <v>12</v>
      </c>
      <c r="J2520" s="1" t="s">
        <v>443</v>
      </c>
      <c r="K2520">
        <v>0</v>
      </c>
      <c r="L2520">
        <v>96</v>
      </c>
      <c r="M2520">
        <v>0.218002</v>
      </c>
      <c r="N2520">
        <v>3</v>
      </c>
      <c r="O2520" s="1" t="s">
        <v>560</v>
      </c>
      <c r="P2520">
        <v>20.95</v>
      </c>
      <c r="Q2520">
        <v>16.760000000000002</v>
      </c>
      <c r="R2520">
        <v>0</v>
      </c>
      <c r="S2520" s="1" t="s">
        <v>664</v>
      </c>
      <c r="T2520" s="1"/>
      <c r="U2520">
        <v>20.957999999999998</v>
      </c>
      <c r="V2520">
        <v>0</v>
      </c>
      <c r="W2520">
        <v>77651</v>
      </c>
    </row>
    <row r="2521" spans="1:23" x14ac:dyDescent="0.25">
      <c r="A2521" s="1" t="s">
        <v>35</v>
      </c>
      <c r="B2521" s="1"/>
      <c r="C2521" s="1" t="s">
        <v>183</v>
      </c>
      <c r="D2521">
        <v>10270</v>
      </c>
      <c r="E2521" s="1"/>
      <c r="F2521" s="1" t="s">
        <v>183</v>
      </c>
      <c r="G2521">
        <v>2012</v>
      </c>
      <c r="H2521">
        <v>11.07</v>
      </c>
      <c r="I2521">
        <v>13</v>
      </c>
      <c r="J2521" s="1" t="s">
        <v>443</v>
      </c>
      <c r="K2521">
        <v>0</v>
      </c>
      <c r="L2521">
        <v>96</v>
      </c>
      <c r="M2521">
        <v>0.115192</v>
      </c>
      <c r="N2521">
        <v>3</v>
      </c>
      <c r="O2521" s="1" t="s">
        <v>560</v>
      </c>
      <c r="P2521">
        <v>11.07</v>
      </c>
      <c r="Q2521">
        <v>8.86</v>
      </c>
      <c r="R2521">
        <v>0</v>
      </c>
      <c r="S2521" s="1" t="s">
        <v>664</v>
      </c>
      <c r="T2521" s="1"/>
      <c r="U2521">
        <v>11.074999999999999</v>
      </c>
      <c r="V2521">
        <v>0</v>
      </c>
      <c r="W2521">
        <v>77651</v>
      </c>
    </row>
    <row r="2522" spans="1:23" x14ac:dyDescent="0.25">
      <c r="A2522" s="1" t="s">
        <v>35</v>
      </c>
      <c r="B2522" s="1"/>
      <c r="C2522" s="1" t="s">
        <v>183</v>
      </c>
      <c r="D2522">
        <v>10270</v>
      </c>
      <c r="E2522" s="1"/>
      <c r="F2522" s="1" t="s">
        <v>183</v>
      </c>
      <c r="G2522">
        <v>2011</v>
      </c>
      <c r="H2522">
        <v>39</v>
      </c>
      <c r="I2522">
        <v>6</v>
      </c>
      <c r="J2522" s="1" t="s">
        <v>443</v>
      </c>
      <c r="K2522">
        <v>0</v>
      </c>
      <c r="L2522">
        <v>96</v>
      </c>
      <c r="M2522">
        <v>0.40582699999999999</v>
      </c>
      <c r="N2522">
        <v>3</v>
      </c>
      <c r="O2522" s="1" t="s">
        <v>560</v>
      </c>
      <c r="P2522">
        <v>39</v>
      </c>
      <c r="Q2522">
        <v>31.2</v>
      </c>
      <c r="R2522">
        <v>0</v>
      </c>
      <c r="S2522" s="1" t="s">
        <v>664</v>
      </c>
      <c r="T2522" s="1"/>
      <c r="U2522">
        <v>39</v>
      </c>
      <c r="V2522">
        <v>0</v>
      </c>
      <c r="W2522">
        <v>77651</v>
      </c>
    </row>
    <row r="2523" spans="1:23" x14ac:dyDescent="0.25">
      <c r="A2523" s="1" t="s">
        <v>35</v>
      </c>
      <c r="B2523" s="1"/>
      <c r="C2523" s="1" t="s">
        <v>183</v>
      </c>
      <c r="D2523">
        <v>10270</v>
      </c>
      <c r="E2523" s="1"/>
      <c r="F2523" s="1" t="s">
        <v>183</v>
      </c>
      <c r="G2523">
        <v>2010</v>
      </c>
      <c r="H2523">
        <v>0</v>
      </c>
      <c r="I2523">
        <v>2</v>
      </c>
      <c r="J2523" s="1" t="s">
        <v>443</v>
      </c>
      <c r="K2523">
        <v>0</v>
      </c>
      <c r="L2523">
        <v>96</v>
      </c>
      <c r="M2523">
        <v>0</v>
      </c>
      <c r="N2523">
        <v>3</v>
      </c>
      <c r="O2523" s="1" t="s">
        <v>560</v>
      </c>
      <c r="P2523">
        <v>0</v>
      </c>
      <c r="Q2523">
        <v>0</v>
      </c>
      <c r="R2523">
        <v>0</v>
      </c>
      <c r="S2523" s="1" t="s">
        <v>664</v>
      </c>
      <c r="T2523" s="1"/>
      <c r="U2523">
        <v>0</v>
      </c>
      <c r="V2523">
        <v>0</v>
      </c>
      <c r="W2523">
        <v>77651</v>
      </c>
    </row>
    <row r="2524" spans="1:23" x14ac:dyDescent="0.25">
      <c r="A2524" s="1" t="s">
        <v>35</v>
      </c>
      <c r="B2524" s="1"/>
      <c r="C2524" s="1" t="s">
        <v>183</v>
      </c>
      <c r="D2524">
        <v>10270</v>
      </c>
      <c r="E2524" s="1"/>
      <c r="F2524" s="1" t="s">
        <v>183</v>
      </c>
      <c r="G2524">
        <v>2009</v>
      </c>
      <c r="H2524">
        <v>12.24</v>
      </c>
      <c r="I2524">
        <v>5</v>
      </c>
      <c r="J2524" s="1" t="s">
        <v>443</v>
      </c>
      <c r="K2524">
        <v>0</v>
      </c>
      <c r="L2524">
        <v>96</v>
      </c>
      <c r="M2524">
        <v>0.12736700000000001</v>
      </c>
      <c r="N2524">
        <v>3</v>
      </c>
      <c r="O2524" s="1" t="s">
        <v>560</v>
      </c>
      <c r="P2524">
        <v>12.24</v>
      </c>
      <c r="Q2524">
        <v>9.8000000000000007</v>
      </c>
      <c r="R2524">
        <v>0</v>
      </c>
      <c r="S2524" s="1" t="s">
        <v>664</v>
      </c>
      <c r="T2524" s="1"/>
      <c r="U2524">
        <v>12.242430000000001</v>
      </c>
      <c r="V2524">
        <v>0</v>
      </c>
      <c r="W2524">
        <v>77651</v>
      </c>
    </row>
    <row r="2525" spans="1:23" x14ac:dyDescent="0.25">
      <c r="A2525" s="1" t="s">
        <v>35</v>
      </c>
      <c r="B2525" s="1"/>
      <c r="C2525" s="1" t="s">
        <v>183</v>
      </c>
      <c r="D2525">
        <v>10270</v>
      </c>
      <c r="E2525" s="1"/>
      <c r="F2525" s="1" t="s">
        <v>183</v>
      </c>
      <c r="G2525">
        <v>2008</v>
      </c>
      <c r="H2525">
        <v>35.67</v>
      </c>
      <c r="I2525">
        <v>6</v>
      </c>
      <c r="J2525" s="1" t="s">
        <v>443</v>
      </c>
      <c r="K2525">
        <v>0</v>
      </c>
      <c r="L2525">
        <v>96</v>
      </c>
      <c r="M2525">
        <v>0.37117499999999998</v>
      </c>
      <c r="N2525">
        <v>3</v>
      </c>
      <c r="O2525" s="1" t="s">
        <v>560</v>
      </c>
      <c r="P2525">
        <v>35.67</v>
      </c>
      <c r="Q2525">
        <v>28.52</v>
      </c>
      <c r="R2525">
        <v>0</v>
      </c>
      <c r="S2525" s="1" t="s">
        <v>664</v>
      </c>
      <c r="T2525" s="1"/>
      <c r="U2525">
        <v>35.658659999999998</v>
      </c>
      <c r="V2525">
        <v>0</v>
      </c>
      <c r="W2525">
        <v>77651</v>
      </c>
    </row>
    <row r="2526" spans="1:23" x14ac:dyDescent="0.25">
      <c r="A2526" s="1" t="s">
        <v>35</v>
      </c>
      <c r="B2526" s="1" t="s">
        <v>76</v>
      </c>
      <c r="C2526" s="1" t="s">
        <v>184</v>
      </c>
      <c r="D2526">
        <v>5270</v>
      </c>
      <c r="E2526" s="1"/>
      <c r="F2526" s="1" t="s">
        <v>314</v>
      </c>
      <c r="G2526">
        <v>2015</v>
      </c>
      <c r="H2526">
        <v>172.54</v>
      </c>
      <c r="I2526">
        <v>5</v>
      </c>
      <c r="J2526" s="1" t="s">
        <v>444</v>
      </c>
      <c r="K2526">
        <v>0</v>
      </c>
      <c r="L2526">
        <v>2625</v>
      </c>
      <c r="M2526">
        <v>6.5726999999999994E-2</v>
      </c>
      <c r="N2526">
        <v>3</v>
      </c>
      <c r="O2526" s="1" t="s">
        <v>560</v>
      </c>
      <c r="P2526">
        <v>172.54</v>
      </c>
      <c r="Q2526">
        <v>138.03</v>
      </c>
      <c r="R2526">
        <v>0</v>
      </c>
      <c r="S2526" s="1" t="s">
        <v>665</v>
      </c>
      <c r="T2526" s="1"/>
      <c r="U2526">
        <v>172.541</v>
      </c>
      <c r="V2526">
        <v>0</v>
      </c>
      <c r="W2526">
        <v>56824</v>
      </c>
    </row>
    <row r="2527" spans="1:23" x14ac:dyDescent="0.25">
      <c r="A2527" s="1" t="s">
        <v>35</v>
      </c>
      <c r="B2527" s="1" t="s">
        <v>76</v>
      </c>
      <c r="C2527" s="1" t="s">
        <v>184</v>
      </c>
      <c r="D2527">
        <v>5270</v>
      </c>
      <c r="E2527" s="1"/>
      <c r="F2527" s="1" t="s">
        <v>314</v>
      </c>
      <c r="G2527">
        <v>2014</v>
      </c>
      <c r="H2527">
        <v>435.6</v>
      </c>
      <c r="I2527">
        <v>12</v>
      </c>
      <c r="J2527" s="1" t="s">
        <v>444</v>
      </c>
      <c r="K2527">
        <v>0</v>
      </c>
      <c r="L2527">
        <v>2625</v>
      </c>
      <c r="M2527">
        <v>0.165936</v>
      </c>
      <c r="N2527">
        <v>3</v>
      </c>
      <c r="O2527" s="1" t="s">
        <v>560</v>
      </c>
      <c r="P2527">
        <v>435.6</v>
      </c>
      <c r="Q2527">
        <v>348.47</v>
      </c>
      <c r="R2527">
        <v>0</v>
      </c>
      <c r="S2527" s="1" t="s">
        <v>665</v>
      </c>
      <c r="T2527" s="1"/>
      <c r="U2527">
        <v>435.59800000000001</v>
      </c>
      <c r="V2527">
        <v>0</v>
      </c>
      <c r="W2527">
        <v>56824</v>
      </c>
    </row>
    <row r="2528" spans="1:23" x14ac:dyDescent="0.25">
      <c r="A2528" s="1" t="s">
        <v>35</v>
      </c>
      <c r="B2528" s="1" t="s">
        <v>76</v>
      </c>
      <c r="C2528" s="1" t="s">
        <v>184</v>
      </c>
      <c r="D2528">
        <v>5270</v>
      </c>
      <c r="E2528" s="1"/>
      <c r="F2528" s="1" t="s">
        <v>314</v>
      </c>
      <c r="G2528">
        <v>2013</v>
      </c>
      <c r="H2528">
        <v>462.96</v>
      </c>
      <c r="I2528">
        <v>12</v>
      </c>
      <c r="J2528" s="1" t="s">
        <v>444</v>
      </c>
      <c r="K2528">
        <v>0</v>
      </c>
      <c r="L2528">
        <v>2625</v>
      </c>
      <c r="M2528">
        <v>0.17635799999999999</v>
      </c>
      <c r="N2528">
        <v>3</v>
      </c>
      <c r="O2528" s="1" t="s">
        <v>560</v>
      </c>
      <c r="P2528">
        <v>462.96</v>
      </c>
      <c r="Q2528">
        <v>370.36</v>
      </c>
      <c r="R2528">
        <v>0</v>
      </c>
      <c r="S2528" s="1" t="s">
        <v>665</v>
      </c>
      <c r="T2528" s="1"/>
      <c r="U2528">
        <v>462.94799999999998</v>
      </c>
      <c r="V2528">
        <v>0</v>
      </c>
      <c r="W2528">
        <v>56824</v>
      </c>
    </row>
    <row r="2529" spans="1:23" x14ac:dyDescent="0.25">
      <c r="A2529" s="1" t="s">
        <v>35</v>
      </c>
      <c r="B2529" s="1" t="s">
        <v>76</v>
      </c>
      <c r="C2529" s="1" t="s">
        <v>184</v>
      </c>
      <c r="D2529">
        <v>5270</v>
      </c>
      <c r="E2529" s="1"/>
      <c r="F2529" s="1" t="s">
        <v>314</v>
      </c>
      <c r="G2529">
        <v>2012</v>
      </c>
      <c r="H2529">
        <v>443.41</v>
      </c>
      <c r="I2529">
        <v>12</v>
      </c>
      <c r="J2529" s="1" t="s">
        <v>444</v>
      </c>
      <c r="K2529">
        <v>0</v>
      </c>
      <c r="L2529">
        <v>2625</v>
      </c>
      <c r="M2529">
        <v>0.16891100000000001</v>
      </c>
      <c r="N2529">
        <v>3</v>
      </c>
      <c r="O2529" s="1" t="s">
        <v>560</v>
      </c>
      <c r="P2529">
        <v>443.41</v>
      </c>
      <c r="Q2529">
        <v>354.73</v>
      </c>
      <c r="R2529">
        <v>0</v>
      </c>
      <c r="S2529" s="1" t="s">
        <v>665</v>
      </c>
      <c r="T2529" s="1"/>
      <c r="U2529">
        <v>443.40199999999999</v>
      </c>
      <c r="V2529">
        <v>0</v>
      </c>
      <c r="W2529">
        <v>56824</v>
      </c>
    </row>
    <row r="2530" spans="1:23" x14ac:dyDescent="0.25">
      <c r="A2530" s="1" t="s">
        <v>35</v>
      </c>
      <c r="B2530" s="1" t="s">
        <v>76</v>
      </c>
      <c r="C2530" s="1" t="s">
        <v>184</v>
      </c>
      <c r="D2530">
        <v>5270</v>
      </c>
      <c r="E2530" s="1"/>
      <c r="F2530" s="1" t="s">
        <v>314</v>
      </c>
      <c r="G2530">
        <v>2011</v>
      </c>
      <c r="H2530">
        <v>419.84</v>
      </c>
      <c r="I2530">
        <v>12</v>
      </c>
      <c r="J2530" s="1" t="s">
        <v>444</v>
      </c>
      <c r="K2530">
        <v>0</v>
      </c>
      <c r="L2530">
        <v>2625</v>
      </c>
      <c r="M2530">
        <v>0.15993199999999999</v>
      </c>
      <c r="N2530">
        <v>3</v>
      </c>
      <c r="O2530" s="1" t="s">
        <v>560</v>
      </c>
      <c r="P2530">
        <v>419.84</v>
      </c>
      <c r="Q2530">
        <v>335.89</v>
      </c>
      <c r="R2530">
        <v>0</v>
      </c>
      <c r="S2530" s="1" t="s">
        <v>665</v>
      </c>
      <c r="T2530" s="1"/>
      <c r="U2530">
        <v>419.84800000000001</v>
      </c>
      <c r="V2530">
        <v>0</v>
      </c>
      <c r="W2530">
        <v>56824</v>
      </c>
    </row>
    <row r="2531" spans="1:23" x14ac:dyDescent="0.25">
      <c r="A2531" s="1" t="s">
        <v>35</v>
      </c>
      <c r="B2531" s="1" t="s">
        <v>76</v>
      </c>
      <c r="C2531" s="1" t="s">
        <v>184</v>
      </c>
      <c r="D2531">
        <v>5270</v>
      </c>
      <c r="E2531" s="1"/>
      <c r="F2531" s="1" t="s">
        <v>314</v>
      </c>
      <c r="G2531">
        <v>2010</v>
      </c>
      <c r="H2531">
        <v>413.32</v>
      </c>
      <c r="I2531">
        <v>13</v>
      </c>
      <c r="J2531" s="1" t="s">
        <v>444</v>
      </c>
      <c r="K2531">
        <v>0</v>
      </c>
      <c r="L2531">
        <v>2625</v>
      </c>
      <c r="M2531">
        <v>0.15744900000000001</v>
      </c>
      <c r="N2531">
        <v>3</v>
      </c>
      <c r="O2531" s="1" t="s">
        <v>560</v>
      </c>
      <c r="P2531">
        <v>413.32</v>
      </c>
      <c r="Q2531">
        <v>330.68</v>
      </c>
      <c r="R2531">
        <v>0</v>
      </c>
      <c r="S2531" s="1" t="s">
        <v>665</v>
      </c>
      <c r="T2531" s="1"/>
      <c r="U2531">
        <v>413.33389</v>
      </c>
      <c r="V2531">
        <v>0</v>
      </c>
      <c r="W2531">
        <v>56824</v>
      </c>
    </row>
    <row r="2532" spans="1:23" x14ac:dyDescent="0.25">
      <c r="A2532" s="1" t="s">
        <v>35</v>
      </c>
      <c r="B2532" s="1" t="s">
        <v>76</v>
      </c>
      <c r="C2532" s="1" t="s">
        <v>184</v>
      </c>
      <c r="D2532">
        <v>5270</v>
      </c>
      <c r="E2532" s="1"/>
      <c r="F2532" s="1" t="s">
        <v>314</v>
      </c>
      <c r="G2532">
        <v>2009</v>
      </c>
      <c r="H2532">
        <v>456.04</v>
      </c>
      <c r="I2532">
        <v>12</v>
      </c>
      <c r="J2532" s="1" t="s">
        <v>444</v>
      </c>
      <c r="K2532">
        <v>0</v>
      </c>
      <c r="L2532">
        <v>2625</v>
      </c>
      <c r="M2532">
        <v>0.17372199999999999</v>
      </c>
      <c r="N2532">
        <v>3</v>
      </c>
      <c r="O2532" s="1" t="s">
        <v>560</v>
      </c>
      <c r="P2532">
        <v>456.04</v>
      </c>
      <c r="Q2532">
        <v>364.85</v>
      </c>
      <c r="R2532">
        <v>0</v>
      </c>
      <c r="S2532" s="1" t="s">
        <v>665</v>
      </c>
      <c r="T2532" s="1"/>
      <c r="U2532">
        <v>456.03811000000002</v>
      </c>
      <c r="V2532">
        <v>0</v>
      </c>
      <c r="W2532">
        <v>56824</v>
      </c>
    </row>
    <row r="2533" spans="1:23" x14ac:dyDescent="0.25">
      <c r="A2533" s="1" t="s">
        <v>35</v>
      </c>
      <c r="B2533" s="1" t="s">
        <v>76</v>
      </c>
      <c r="C2533" s="1" t="s">
        <v>184</v>
      </c>
      <c r="D2533">
        <v>5270</v>
      </c>
      <c r="E2533" s="1"/>
      <c r="F2533" s="1" t="s">
        <v>314</v>
      </c>
      <c r="G2533">
        <v>2008</v>
      </c>
      <c r="H2533">
        <v>425</v>
      </c>
      <c r="I2533">
        <v>12</v>
      </c>
      <c r="J2533" s="1" t="s">
        <v>444</v>
      </c>
      <c r="K2533">
        <v>0</v>
      </c>
      <c r="L2533">
        <v>2625</v>
      </c>
      <c r="M2533">
        <v>0.16189799999999999</v>
      </c>
      <c r="N2533">
        <v>3</v>
      </c>
      <c r="O2533" s="1" t="s">
        <v>560</v>
      </c>
      <c r="P2533">
        <v>425</v>
      </c>
      <c r="Q2533">
        <v>339.98</v>
      </c>
      <c r="R2533">
        <v>0</v>
      </c>
      <c r="S2533" s="1" t="s">
        <v>665</v>
      </c>
      <c r="T2533" s="1"/>
      <c r="U2533">
        <v>425.00700000000001</v>
      </c>
      <c r="V2533">
        <v>0</v>
      </c>
      <c r="W2533">
        <v>56824</v>
      </c>
    </row>
    <row r="2534" spans="1:23" x14ac:dyDescent="0.25">
      <c r="A2534" s="1" t="s">
        <v>35</v>
      </c>
      <c r="B2534" s="1" t="s">
        <v>75</v>
      </c>
      <c r="C2534" s="1" t="s">
        <v>179</v>
      </c>
      <c r="D2534">
        <v>5261</v>
      </c>
      <c r="E2534" s="1"/>
      <c r="F2534" s="1" t="s">
        <v>309</v>
      </c>
      <c r="G2534">
        <v>2015</v>
      </c>
      <c r="H2534">
        <v>17995.82</v>
      </c>
      <c r="I2534">
        <v>5</v>
      </c>
      <c r="J2534" s="1" t="s">
        <v>402</v>
      </c>
      <c r="K2534">
        <v>0</v>
      </c>
      <c r="L2534">
        <v>309</v>
      </c>
      <c r="M2534">
        <v>58.220058000000002</v>
      </c>
      <c r="N2534">
        <v>1</v>
      </c>
      <c r="O2534" s="1" t="s">
        <v>564</v>
      </c>
      <c r="P2534">
        <v>19591.68</v>
      </c>
      <c r="Q2534">
        <v>4143.2700000000004</v>
      </c>
      <c r="R2534">
        <v>0</v>
      </c>
      <c r="S2534" s="1" t="s">
        <v>835</v>
      </c>
      <c r="T2534" s="1" t="s">
        <v>1215</v>
      </c>
      <c r="U2534">
        <v>1666.28</v>
      </c>
      <c r="V2534">
        <v>0</v>
      </c>
      <c r="W2534">
        <v>56735</v>
      </c>
    </row>
    <row r="2535" spans="1:23" x14ac:dyDescent="0.25">
      <c r="A2535" s="1" t="s">
        <v>35</v>
      </c>
      <c r="B2535" s="1" t="s">
        <v>75</v>
      </c>
      <c r="C2535" s="1" t="s">
        <v>179</v>
      </c>
      <c r="D2535">
        <v>5261</v>
      </c>
      <c r="E2535" s="1"/>
      <c r="F2535" s="1" t="s">
        <v>309</v>
      </c>
      <c r="G2535">
        <v>2014</v>
      </c>
      <c r="H2535">
        <v>34795.86</v>
      </c>
      <c r="I2535">
        <v>12</v>
      </c>
      <c r="J2535" s="1" t="s">
        <v>402</v>
      </c>
      <c r="K2535">
        <v>0</v>
      </c>
      <c r="L2535">
        <v>309</v>
      </c>
      <c r="M2535">
        <v>112.57153</v>
      </c>
      <c r="N2535">
        <v>1</v>
      </c>
      <c r="O2535" s="1" t="s">
        <v>564</v>
      </c>
      <c r="P2535">
        <v>40475.97</v>
      </c>
      <c r="Q2535">
        <v>8559.92</v>
      </c>
      <c r="R2535">
        <v>0</v>
      </c>
      <c r="S2535" s="1" t="s">
        <v>835</v>
      </c>
      <c r="T2535" s="1" t="s">
        <v>1215</v>
      </c>
      <c r="U2535">
        <v>3221.84</v>
      </c>
      <c r="V2535">
        <v>0</v>
      </c>
      <c r="W2535">
        <v>56735</v>
      </c>
    </row>
    <row r="2536" spans="1:23" x14ac:dyDescent="0.25">
      <c r="A2536" s="1" t="s">
        <v>35</v>
      </c>
      <c r="B2536" s="1" t="s">
        <v>75</v>
      </c>
      <c r="C2536" s="1" t="s">
        <v>179</v>
      </c>
      <c r="D2536">
        <v>5261</v>
      </c>
      <c r="E2536" s="1"/>
      <c r="F2536" s="1" t="s">
        <v>309</v>
      </c>
      <c r="G2536">
        <v>2013</v>
      </c>
      <c r="H2536">
        <v>42339.57</v>
      </c>
      <c r="I2536">
        <v>12</v>
      </c>
      <c r="J2536" s="1" t="s">
        <v>402</v>
      </c>
      <c r="K2536">
        <v>0</v>
      </c>
      <c r="L2536">
        <v>309</v>
      </c>
      <c r="M2536">
        <v>136.976933</v>
      </c>
      <c r="N2536">
        <v>1</v>
      </c>
      <c r="O2536" s="1" t="s">
        <v>564</v>
      </c>
      <c r="P2536">
        <v>43306.74</v>
      </c>
      <c r="Q2536">
        <v>9158.59</v>
      </c>
      <c r="R2536">
        <v>0</v>
      </c>
      <c r="S2536" s="1" t="s">
        <v>835</v>
      </c>
      <c r="T2536" s="1" t="s">
        <v>1215</v>
      </c>
      <c r="U2536">
        <v>3920.33</v>
      </c>
      <c r="V2536">
        <v>0</v>
      </c>
      <c r="W2536">
        <v>56735</v>
      </c>
    </row>
    <row r="2537" spans="1:23" x14ac:dyDescent="0.25">
      <c r="A2537" s="1" t="s">
        <v>35</v>
      </c>
      <c r="B2537" s="1" t="s">
        <v>75</v>
      </c>
      <c r="C2537" s="1" t="s">
        <v>179</v>
      </c>
      <c r="D2537">
        <v>5261</v>
      </c>
      <c r="E2537" s="1"/>
      <c r="F2537" s="1" t="s">
        <v>309</v>
      </c>
      <c r="G2537">
        <v>2012</v>
      </c>
      <c r="H2537">
        <v>45062.8</v>
      </c>
      <c r="I2537">
        <v>12</v>
      </c>
      <c r="J2537" s="1" t="s">
        <v>402</v>
      </c>
      <c r="K2537">
        <v>0</v>
      </c>
      <c r="L2537">
        <v>309</v>
      </c>
      <c r="M2537">
        <v>145.78712300000001</v>
      </c>
      <c r="N2537">
        <v>1</v>
      </c>
      <c r="O2537" s="1" t="s">
        <v>564</v>
      </c>
      <c r="P2537">
        <v>46687.96</v>
      </c>
      <c r="Q2537">
        <v>9873.6299999999992</v>
      </c>
      <c r="R2537">
        <v>0</v>
      </c>
      <c r="S2537" s="1" t="s">
        <v>835</v>
      </c>
      <c r="T2537" s="1" t="s">
        <v>1215</v>
      </c>
      <c r="U2537">
        <v>4172.4799999999996</v>
      </c>
      <c r="V2537">
        <v>0</v>
      </c>
      <c r="W2537">
        <v>56735</v>
      </c>
    </row>
    <row r="2538" spans="1:23" x14ac:dyDescent="0.25">
      <c r="A2538" s="1" t="s">
        <v>35</v>
      </c>
      <c r="B2538" s="1" t="s">
        <v>75</v>
      </c>
      <c r="C2538" s="1" t="s">
        <v>179</v>
      </c>
      <c r="D2538">
        <v>5261</v>
      </c>
      <c r="E2538" s="1"/>
      <c r="F2538" s="1" t="s">
        <v>309</v>
      </c>
      <c r="G2538">
        <v>2011</v>
      </c>
      <c r="H2538">
        <v>41182.379999999997</v>
      </c>
      <c r="I2538">
        <v>12</v>
      </c>
      <c r="J2538" s="1" t="s">
        <v>402</v>
      </c>
      <c r="K2538">
        <v>0</v>
      </c>
      <c r="L2538">
        <v>309</v>
      </c>
      <c r="M2538">
        <v>133.233193</v>
      </c>
      <c r="N2538">
        <v>1</v>
      </c>
      <c r="O2538" s="1" t="s">
        <v>564</v>
      </c>
      <c r="P2538">
        <v>43953.8</v>
      </c>
      <c r="Q2538">
        <v>9295.42</v>
      </c>
      <c r="R2538">
        <v>0</v>
      </c>
      <c r="S2538" s="1" t="s">
        <v>835</v>
      </c>
      <c r="T2538" s="1" t="s">
        <v>1215</v>
      </c>
      <c r="U2538">
        <v>3813.1824000000001</v>
      </c>
      <c r="V2538">
        <v>0</v>
      </c>
      <c r="W2538">
        <v>56735</v>
      </c>
    </row>
    <row r="2539" spans="1:23" x14ac:dyDescent="0.25">
      <c r="A2539" s="1" t="s">
        <v>35</v>
      </c>
      <c r="B2539" s="1" t="s">
        <v>75</v>
      </c>
      <c r="C2539" s="1" t="s">
        <v>179</v>
      </c>
      <c r="D2539">
        <v>5261</v>
      </c>
      <c r="E2539" s="1"/>
      <c r="F2539" s="1" t="s">
        <v>309</v>
      </c>
      <c r="G2539">
        <v>2010</v>
      </c>
      <c r="H2539">
        <v>44491.22</v>
      </c>
      <c r="I2539">
        <v>12</v>
      </c>
      <c r="J2539" s="1" t="s">
        <v>402</v>
      </c>
      <c r="K2539">
        <v>0</v>
      </c>
      <c r="L2539">
        <v>309</v>
      </c>
      <c r="M2539">
        <v>143.93794800000001</v>
      </c>
      <c r="N2539">
        <v>1</v>
      </c>
      <c r="O2539" s="1" t="s">
        <v>564</v>
      </c>
      <c r="P2539">
        <v>54097.98</v>
      </c>
      <c r="Q2539">
        <v>11440.72</v>
      </c>
      <c r="R2539">
        <v>0</v>
      </c>
      <c r="S2539" s="1" t="s">
        <v>835</v>
      </c>
      <c r="T2539" s="1" t="s">
        <v>1215</v>
      </c>
      <c r="U2539">
        <v>4119.5577999999996</v>
      </c>
      <c r="V2539">
        <v>0</v>
      </c>
      <c r="W2539">
        <v>56735</v>
      </c>
    </row>
    <row r="2540" spans="1:23" x14ac:dyDescent="0.25">
      <c r="A2540" s="1" t="s">
        <v>35</v>
      </c>
      <c r="B2540" s="1" t="s">
        <v>75</v>
      </c>
      <c r="C2540" s="1" t="s">
        <v>179</v>
      </c>
      <c r="D2540">
        <v>5261</v>
      </c>
      <c r="E2540" s="1"/>
      <c r="F2540" s="1" t="s">
        <v>309</v>
      </c>
      <c r="G2540">
        <v>2009</v>
      </c>
      <c r="H2540">
        <v>36598.29</v>
      </c>
      <c r="I2540">
        <v>12</v>
      </c>
      <c r="J2540" s="1" t="s">
        <v>402</v>
      </c>
      <c r="K2540">
        <v>0</v>
      </c>
      <c r="L2540">
        <v>309</v>
      </c>
      <c r="M2540">
        <v>118.402749</v>
      </c>
      <c r="N2540">
        <v>1</v>
      </c>
      <c r="O2540" s="1" t="s">
        <v>564</v>
      </c>
      <c r="P2540">
        <v>38641.339999999997</v>
      </c>
      <c r="Q2540">
        <v>8171.93</v>
      </c>
      <c r="R2540">
        <v>0</v>
      </c>
      <c r="S2540" s="1" t="s">
        <v>835</v>
      </c>
      <c r="T2540" s="1" t="s">
        <v>1215</v>
      </c>
      <c r="U2540">
        <v>3388.73</v>
      </c>
      <c r="V2540">
        <v>0</v>
      </c>
      <c r="W2540">
        <v>56735</v>
      </c>
    </row>
    <row r="2541" spans="1:23" x14ac:dyDescent="0.25">
      <c r="A2541" s="1" t="s">
        <v>35</v>
      </c>
      <c r="B2541" s="1" t="s">
        <v>75</v>
      </c>
      <c r="C2541" s="1" t="s">
        <v>179</v>
      </c>
      <c r="D2541">
        <v>5261</v>
      </c>
      <c r="E2541" s="1"/>
      <c r="F2541" s="1" t="s">
        <v>309</v>
      </c>
      <c r="G2541">
        <v>2008</v>
      </c>
      <c r="H2541">
        <v>46266.34</v>
      </c>
      <c r="I2541">
        <v>12</v>
      </c>
      <c r="J2541" s="1" t="s">
        <v>402</v>
      </c>
      <c r="K2541">
        <v>0</v>
      </c>
      <c r="L2541">
        <v>309</v>
      </c>
      <c r="M2541">
        <v>149.680815</v>
      </c>
      <c r="N2541">
        <v>1</v>
      </c>
      <c r="O2541" s="1" t="s">
        <v>564</v>
      </c>
      <c r="P2541">
        <v>51333.81</v>
      </c>
      <c r="Q2541">
        <v>10856.13</v>
      </c>
      <c r="R2541">
        <v>0</v>
      </c>
      <c r="S2541" s="1" t="s">
        <v>835</v>
      </c>
      <c r="T2541" s="1" t="s">
        <v>1215</v>
      </c>
      <c r="U2541">
        <v>4283.92</v>
      </c>
      <c r="V2541">
        <v>0</v>
      </c>
      <c r="W2541">
        <v>56735</v>
      </c>
    </row>
    <row r="2542" spans="1:23" x14ac:dyDescent="0.25">
      <c r="A2542" s="1" t="s">
        <v>35</v>
      </c>
      <c r="B2542" s="1"/>
      <c r="C2542" s="1" t="s">
        <v>180</v>
      </c>
      <c r="D2542">
        <v>10318</v>
      </c>
      <c r="E2542" s="1"/>
      <c r="F2542" s="1" t="s">
        <v>310</v>
      </c>
      <c r="G2542">
        <v>2015</v>
      </c>
      <c r="H2542">
        <v>17088</v>
      </c>
      <c r="I2542">
        <v>5</v>
      </c>
      <c r="J2542" s="1" t="s">
        <v>422</v>
      </c>
      <c r="K2542">
        <v>0</v>
      </c>
      <c r="L2542">
        <v>170</v>
      </c>
      <c r="M2542">
        <v>100.45855299999999</v>
      </c>
      <c r="N2542">
        <v>1</v>
      </c>
      <c r="O2542" s="1" t="s">
        <v>562</v>
      </c>
      <c r="P2542">
        <v>19247.29</v>
      </c>
      <c r="Q2542">
        <v>1231.83</v>
      </c>
      <c r="R2542">
        <v>0</v>
      </c>
      <c r="S2542" s="1" t="s">
        <v>836</v>
      </c>
      <c r="T2542" s="1"/>
      <c r="U2542">
        <v>17088</v>
      </c>
      <c r="V2542">
        <v>0</v>
      </c>
      <c r="W2542">
        <v>95104</v>
      </c>
    </row>
    <row r="2543" spans="1:23" x14ac:dyDescent="0.25">
      <c r="A2543" s="1" t="s">
        <v>35</v>
      </c>
      <c r="B2543" s="1"/>
      <c r="C2543" s="1" t="s">
        <v>180</v>
      </c>
      <c r="D2543">
        <v>10318</v>
      </c>
      <c r="E2543" s="1"/>
      <c r="F2543" s="1" t="s">
        <v>310</v>
      </c>
      <c r="G2543">
        <v>2015</v>
      </c>
      <c r="H2543">
        <v>0</v>
      </c>
      <c r="I2543">
        <v>5</v>
      </c>
      <c r="J2543" s="1" t="s">
        <v>405</v>
      </c>
      <c r="K2543">
        <v>0</v>
      </c>
      <c r="L2543">
        <v>170</v>
      </c>
      <c r="M2543">
        <v>0</v>
      </c>
      <c r="N2543">
        <v>1</v>
      </c>
      <c r="O2543" s="1" t="s">
        <v>564</v>
      </c>
      <c r="P2543">
        <v>0</v>
      </c>
      <c r="Q2543">
        <v>0</v>
      </c>
      <c r="R2543">
        <v>0</v>
      </c>
      <c r="S2543" s="1" t="s">
        <v>810</v>
      </c>
      <c r="T2543" s="1" t="s">
        <v>1216</v>
      </c>
      <c r="U2543">
        <v>0</v>
      </c>
      <c r="V2543">
        <v>0</v>
      </c>
      <c r="W2543">
        <v>77794</v>
      </c>
    </row>
    <row r="2544" spans="1:23" x14ac:dyDescent="0.25">
      <c r="A2544" s="1" t="s">
        <v>35</v>
      </c>
      <c r="B2544" s="1"/>
      <c r="C2544" s="1" t="s">
        <v>180</v>
      </c>
      <c r="D2544">
        <v>10318</v>
      </c>
      <c r="E2544" s="1"/>
      <c r="F2544" s="1" t="s">
        <v>310</v>
      </c>
      <c r="G2544">
        <v>2014</v>
      </c>
      <c r="H2544">
        <v>25040</v>
      </c>
      <c r="I2544">
        <v>12</v>
      </c>
      <c r="J2544" s="1" t="s">
        <v>422</v>
      </c>
      <c r="K2544">
        <v>0</v>
      </c>
      <c r="L2544">
        <v>170</v>
      </c>
      <c r="M2544">
        <v>147.20752400000001</v>
      </c>
      <c r="N2544">
        <v>1</v>
      </c>
      <c r="O2544" s="1" t="s">
        <v>562</v>
      </c>
      <c r="P2544">
        <v>29877.1</v>
      </c>
      <c r="Q2544">
        <v>1912.13</v>
      </c>
      <c r="R2544">
        <v>0</v>
      </c>
      <c r="S2544" s="1" t="s">
        <v>836</v>
      </c>
      <c r="T2544" s="1"/>
      <c r="U2544">
        <v>25039.999800000001</v>
      </c>
      <c r="V2544">
        <v>0</v>
      </c>
      <c r="W2544">
        <v>95104</v>
      </c>
    </row>
    <row r="2545" spans="1:23" x14ac:dyDescent="0.25">
      <c r="A2545" s="1" t="s">
        <v>35</v>
      </c>
      <c r="B2545" s="1"/>
      <c r="C2545" s="1" t="s">
        <v>180</v>
      </c>
      <c r="D2545">
        <v>10318</v>
      </c>
      <c r="E2545" s="1"/>
      <c r="F2545" s="1" t="s">
        <v>310</v>
      </c>
      <c r="G2545">
        <v>2014</v>
      </c>
      <c r="H2545">
        <v>0</v>
      </c>
      <c r="I2545">
        <v>12</v>
      </c>
      <c r="J2545" s="1" t="s">
        <v>405</v>
      </c>
      <c r="K2545">
        <v>0</v>
      </c>
      <c r="L2545">
        <v>170</v>
      </c>
      <c r="M2545">
        <v>0</v>
      </c>
      <c r="N2545">
        <v>1</v>
      </c>
      <c r="O2545" s="1" t="s">
        <v>564</v>
      </c>
      <c r="P2545">
        <v>0</v>
      </c>
      <c r="Q2545">
        <v>0</v>
      </c>
      <c r="R2545">
        <v>0</v>
      </c>
      <c r="S2545" s="1" t="s">
        <v>810</v>
      </c>
      <c r="T2545" s="1" t="s">
        <v>1216</v>
      </c>
      <c r="U2545">
        <v>0</v>
      </c>
      <c r="V2545">
        <v>0</v>
      </c>
      <c r="W2545">
        <v>77794</v>
      </c>
    </row>
    <row r="2546" spans="1:23" x14ac:dyDescent="0.25">
      <c r="A2546" s="1" t="s">
        <v>35</v>
      </c>
      <c r="B2546" s="1"/>
      <c r="C2546" s="1" t="s">
        <v>180</v>
      </c>
      <c r="D2546">
        <v>10318</v>
      </c>
      <c r="E2546" s="1"/>
      <c r="F2546" s="1" t="s">
        <v>310</v>
      </c>
      <c r="G2546">
        <v>2013</v>
      </c>
      <c r="H2546">
        <v>4971</v>
      </c>
      <c r="I2546">
        <v>3</v>
      </c>
      <c r="J2546" s="1" t="s">
        <v>422</v>
      </c>
      <c r="K2546">
        <v>0</v>
      </c>
      <c r="L2546">
        <v>170</v>
      </c>
      <c r="M2546">
        <v>29.223984999999999</v>
      </c>
      <c r="N2546">
        <v>1</v>
      </c>
      <c r="O2546" s="1" t="s">
        <v>562</v>
      </c>
      <c r="P2546">
        <v>5686.6</v>
      </c>
      <c r="Q2546">
        <v>363.94</v>
      </c>
      <c r="R2546">
        <v>0</v>
      </c>
      <c r="S2546" s="1" t="s">
        <v>836</v>
      </c>
      <c r="T2546" s="1"/>
      <c r="U2546">
        <v>4971</v>
      </c>
      <c r="V2546">
        <v>0</v>
      </c>
      <c r="W2546">
        <v>95104</v>
      </c>
    </row>
    <row r="2547" spans="1:23" x14ac:dyDescent="0.25">
      <c r="A2547" s="1" t="s">
        <v>35</v>
      </c>
      <c r="B2547" s="1"/>
      <c r="C2547" s="1" t="s">
        <v>180</v>
      </c>
      <c r="D2547">
        <v>10318</v>
      </c>
      <c r="E2547" s="1"/>
      <c r="F2547" s="1" t="s">
        <v>310</v>
      </c>
      <c r="G2547">
        <v>2013</v>
      </c>
      <c r="H2547">
        <v>21800.76</v>
      </c>
      <c r="I2547">
        <v>12</v>
      </c>
      <c r="J2547" s="1" t="s">
        <v>405</v>
      </c>
      <c r="K2547">
        <v>0</v>
      </c>
      <c r="L2547">
        <v>170</v>
      </c>
      <c r="M2547">
        <v>128.16437300000001</v>
      </c>
      <c r="N2547">
        <v>1</v>
      </c>
      <c r="O2547" s="1" t="s">
        <v>564</v>
      </c>
      <c r="P2547">
        <v>21875.47</v>
      </c>
      <c r="Q2547">
        <v>4626.25</v>
      </c>
      <c r="R2547">
        <v>0</v>
      </c>
      <c r="S2547" s="1" t="s">
        <v>810</v>
      </c>
      <c r="T2547" s="1" t="s">
        <v>1216</v>
      </c>
      <c r="U2547">
        <v>2018.59</v>
      </c>
      <c r="V2547">
        <v>0</v>
      </c>
      <c r="W2547">
        <v>77794</v>
      </c>
    </row>
    <row r="2548" spans="1:23" x14ac:dyDescent="0.25">
      <c r="A2548" s="1" t="s">
        <v>35</v>
      </c>
      <c r="B2548" s="1"/>
      <c r="C2548" s="1" t="s">
        <v>180</v>
      </c>
      <c r="D2548">
        <v>10318</v>
      </c>
      <c r="E2548" s="1"/>
      <c r="F2548" s="1" t="s">
        <v>310</v>
      </c>
      <c r="G2548">
        <v>2012</v>
      </c>
      <c r="H2548">
        <v>29988.79</v>
      </c>
      <c r="I2548">
        <v>12</v>
      </c>
      <c r="J2548" s="1" t="s">
        <v>405</v>
      </c>
      <c r="K2548">
        <v>0</v>
      </c>
      <c r="L2548">
        <v>170</v>
      </c>
      <c r="M2548">
        <v>176.30094</v>
      </c>
      <c r="N2548">
        <v>1</v>
      </c>
      <c r="O2548" s="1" t="s">
        <v>564</v>
      </c>
      <c r="P2548">
        <v>31540.18</v>
      </c>
      <c r="Q2548">
        <v>6670.16</v>
      </c>
      <c r="R2548">
        <v>0</v>
      </c>
      <c r="S2548" s="1" t="s">
        <v>810</v>
      </c>
      <c r="T2548" s="1" t="s">
        <v>1216</v>
      </c>
      <c r="U2548">
        <v>2776.74</v>
      </c>
      <c r="V2548">
        <v>0</v>
      </c>
      <c r="W2548">
        <v>77794</v>
      </c>
    </row>
    <row r="2549" spans="1:23" x14ac:dyDescent="0.25">
      <c r="A2549" s="1" t="s">
        <v>35</v>
      </c>
      <c r="B2549" s="1"/>
      <c r="C2549" s="1" t="s">
        <v>180</v>
      </c>
      <c r="D2549">
        <v>10318</v>
      </c>
      <c r="E2549" s="1"/>
      <c r="F2549" s="1" t="s">
        <v>310</v>
      </c>
      <c r="G2549">
        <v>2011</v>
      </c>
      <c r="H2549">
        <v>27484.38</v>
      </c>
      <c r="I2549">
        <v>12</v>
      </c>
      <c r="J2549" s="1" t="s">
        <v>405</v>
      </c>
      <c r="K2549">
        <v>0</v>
      </c>
      <c r="L2549">
        <v>170</v>
      </c>
      <c r="M2549">
        <v>161.577777</v>
      </c>
      <c r="N2549">
        <v>1</v>
      </c>
      <c r="O2549" s="1" t="s">
        <v>564</v>
      </c>
      <c r="P2549">
        <v>30089.39</v>
      </c>
      <c r="Q2549">
        <v>6363.35</v>
      </c>
      <c r="R2549">
        <v>0</v>
      </c>
      <c r="S2549" s="1" t="s">
        <v>810</v>
      </c>
      <c r="T2549" s="1" t="s">
        <v>1216</v>
      </c>
      <c r="U2549">
        <v>2544.85</v>
      </c>
      <c r="V2549">
        <v>0</v>
      </c>
      <c r="W2549">
        <v>77794</v>
      </c>
    </row>
    <row r="2550" spans="1:23" x14ac:dyDescent="0.25">
      <c r="A2550" s="1" t="s">
        <v>35</v>
      </c>
      <c r="B2550" s="1"/>
      <c r="C2550" s="1" t="s">
        <v>180</v>
      </c>
      <c r="D2550">
        <v>10318</v>
      </c>
      <c r="E2550" s="1"/>
      <c r="F2550" s="1" t="s">
        <v>310</v>
      </c>
      <c r="G2550">
        <v>2010</v>
      </c>
      <c r="H2550">
        <v>26191.759999999998</v>
      </c>
      <c r="I2550">
        <v>7</v>
      </c>
      <c r="J2550" s="1" t="s">
        <v>405</v>
      </c>
      <c r="K2550">
        <v>0</v>
      </c>
      <c r="L2550">
        <v>170</v>
      </c>
      <c r="M2550">
        <v>153.9786</v>
      </c>
      <c r="N2550">
        <v>1</v>
      </c>
      <c r="O2550" s="1" t="s">
        <v>564</v>
      </c>
      <c r="P2550">
        <v>24242.62</v>
      </c>
      <c r="Q2550">
        <v>5126.8500000000004</v>
      </c>
      <c r="R2550">
        <v>0</v>
      </c>
      <c r="S2550" s="1" t="s">
        <v>810</v>
      </c>
      <c r="T2550" s="1" t="s">
        <v>1216</v>
      </c>
      <c r="U2550">
        <v>2425.16212</v>
      </c>
      <c r="V2550">
        <v>0</v>
      </c>
      <c r="W2550">
        <v>77794</v>
      </c>
    </row>
    <row r="2551" spans="1:23" x14ac:dyDescent="0.25">
      <c r="A2551" s="1" t="s">
        <v>35</v>
      </c>
      <c r="B2551" s="1"/>
      <c r="C2551" s="1" t="s">
        <v>180</v>
      </c>
      <c r="D2551">
        <v>10318</v>
      </c>
      <c r="E2551" s="1"/>
      <c r="F2551" s="1" t="s">
        <v>310</v>
      </c>
      <c r="G2551">
        <v>2009</v>
      </c>
      <c r="H2551">
        <v>32773.46</v>
      </c>
      <c r="I2551">
        <v>2</v>
      </c>
      <c r="J2551" s="1" t="s">
        <v>405</v>
      </c>
      <c r="K2551">
        <v>0</v>
      </c>
      <c r="L2551">
        <v>170</v>
      </c>
      <c r="M2551">
        <v>192.67172199999999</v>
      </c>
      <c r="N2551">
        <v>1</v>
      </c>
      <c r="O2551" s="1" t="s">
        <v>564</v>
      </c>
      <c r="P2551">
        <v>44780.6</v>
      </c>
      <c r="Q2551">
        <v>9470.26</v>
      </c>
      <c r="R2551">
        <v>0</v>
      </c>
      <c r="S2551" s="1" t="s">
        <v>810</v>
      </c>
      <c r="T2551" s="1" t="s">
        <v>1216</v>
      </c>
      <c r="U2551">
        <v>3034.5788699999998</v>
      </c>
      <c r="V2551">
        <v>0</v>
      </c>
      <c r="W2551">
        <v>77794</v>
      </c>
    </row>
    <row r="2552" spans="1:23" x14ac:dyDescent="0.25">
      <c r="A2552" s="1" t="s">
        <v>35</v>
      </c>
      <c r="B2552" s="1"/>
      <c r="C2552" s="1" t="s">
        <v>180</v>
      </c>
      <c r="D2552">
        <v>10318</v>
      </c>
      <c r="E2552" s="1"/>
      <c r="F2552" s="1" t="s">
        <v>310</v>
      </c>
      <c r="G2552">
        <v>2008</v>
      </c>
      <c r="H2552">
        <v>15695.95</v>
      </c>
      <c r="I2552">
        <v>3</v>
      </c>
      <c r="J2552" s="1" t="s">
        <v>405</v>
      </c>
      <c r="K2552">
        <v>0</v>
      </c>
      <c r="L2552">
        <v>170</v>
      </c>
      <c r="M2552">
        <v>92.274838000000003</v>
      </c>
      <c r="N2552">
        <v>1</v>
      </c>
      <c r="O2552" s="1" t="s">
        <v>564</v>
      </c>
      <c r="P2552">
        <v>17194.79</v>
      </c>
      <c r="Q2552">
        <v>3636.39</v>
      </c>
      <c r="R2552">
        <v>0</v>
      </c>
      <c r="S2552" s="1" t="s">
        <v>810</v>
      </c>
      <c r="T2552" s="1" t="s">
        <v>1216</v>
      </c>
      <c r="U2552">
        <v>1453.3278600000001</v>
      </c>
      <c r="V2552">
        <v>0</v>
      </c>
      <c r="W2552">
        <v>77794</v>
      </c>
    </row>
    <row r="2553" spans="1:23" x14ac:dyDescent="0.25">
      <c r="A2553" s="1" t="s">
        <v>35</v>
      </c>
      <c r="B2553" s="1"/>
      <c r="C2553" s="1" t="s">
        <v>181</v>
      </c>
      <c r="D2553">
        <v>10273</v>
      </c>
      <c r="E2553" s="1"/>
      <c r="F2553" s="1" t="s">
        <v>311</v>
      </c>
      <c r="G2553">
        <v>2015</v>
      </c>
      <c r="H2553">
        <v>25588</v>
      </c>
      <c r="I2553">
        <v>5</v>
      </c>
      <c r="J2553" s="1" t="s">
        <v>459</v>
      </c>
      <c r="K2553">
        <v>0</v>
      </c>
      <c r="L2553">
        <v>400</v>
      </c>
      <c r="M2553">
        <v>63.954011000000001</v>
      </c>
      <c r="N2553">
        <v>1</v>
      </c>
      <c r="O2553" s="1" t="s">
        <v>562</v>
      </c>
      <c r="P2553">
        <v>28964.15</v>
      </c>
      <c r="Q2553">
        <v>1853.7</v>
      </c>
      <c r="R2553">
        <v>0</v>
      </c>
      <c r="S2553" s="1" t="s">
        <v>837</v>
      </c>
      <c r="T2553" s="1"/>
      <c r="U2553">
        <v>25588</v>
      </c>
      <c r="V2553">
        <v>0</v>
      </c>
      <c r="W2553">
        <v>77661</v>
      </c>
    </row>
    <row r="2554" spans="1:23" x14ac:dyDescent="0.25">
      <c r="A2554" s="1" t="s">
        <v>35</v>
      </c>
      <c r="B2554" s="1"/>
      <c r="C2554" s="1" t="s">
        <v>181</v>
      </c>
      <c r="D2554">
        <v>10273</v>
      </c>
      <c r="E2554" s="1"/>
      <c r="F2554" s="1" t="s">
        <v>311</v>
      </c>
      <c r="G2554">
        <v>2014</v>
      </c>
      <c r="H2554">
        <v>43733</v>
      </c>
      <c r="I2554">
        <v>12</v>
      </c>
      <c r="J2554" s="1" t="s">
        <v>459</v>
      </c>
      <c r="K2554">
        <v>0</v>
      </c>
      <c r="L2554">
        <v>400</v>
      </c>
      <c r="M2554">
        <v>109.305173</v>
      </c>
      <c r="N2554">
        <v>1</v>
      </c>
      <c r="O2554" s="1" t="s">
        <v>562</v>
      </c>
      <c r="P2554">
        <v>52607.78</v>
      </c>
      <c r="Q2554">
        <v>3366.9</v>
      </c>
      <c r="R2554">
        <v>0</v>
      </c>
      <c r="S2554" s="1" t="s">
        <v>837</v>
      </c>
      <c r="T2554" s="1"/>
      <c r="U2554">
        <v>43733</v>
      </c>
      <c r="V2554">
        <v>0</v>
      </c>
      <c r="W2554">
        <v>77661</v>
      </c>
    </row>
    <row r="2555" spans="1:23" x14ac:dyDescent="0.25">
      <c r="A2555" s="1" t="s">
        <v>35</v>
      </c>
      <c r="B2555" s="1"/>
      <c r="C2555" s="1" t="s">
        <v>181</v>
      </c>
      <c r="D2555">
        <v>10273</v>
      </c>
      <c r="E2555" s="1"/>
      <c r="F2555" s="1" t="s">
        <v>311</v>
      </c>
      <c r="G2555">
        <v>2013</v>
      </c>
      <c r="H2555">
        <v>51975.13</v>
      </c>
      <c r="I2555">
        <v>12</v>
      </c>
      <c r="J2555" s="1" t="s">
        <v>459</v>
      </c>
      <c r="K2555">
        <v>0</v>
      </c>
      <c r="L2555">
        <v>400</v>
      </c>
      <c r="M2555">
        <v>129.905348</v>
      </c>
      <c r="N2555">
        <v>1</v>
      </c>
      <c r="O2555" s="1" t="s">
        <v>562</v>
      </c>
      <c r="P2555">
        <v>54449.69</v>
      </c>
      <c r="Q2555">
        <v>3484.79</v>
      </c>
      <c r="R2555">
        <v>0</v>
      </c>
      <c r="S2555" s="1" t="s">
        <v>837</v>
      </c>
      <c r="T2555" s="1"/>
      <c r="U2555">
        <v>51975.125</v>
      </c>
      <c r="V2555">
        <v>0</v>
      </c>
      <c r="W2555">
        <v>77661</v>
      </c>
    </row>
    <row r="2556" spans="1:23" x14ac:dyDescent="0.25">
      <c r="A2556" s="1" t="s">
        <v>35</v>
      </c>
      <c r="B2556" s="1"/>
      <c r="C2556" s="1" t="s">
        <v>181</v>
      </c>
      <c r="D2556">
        <v>10273</v>
      </c>
      <c r="E2556" s="1"/>
      <c r="F2556" s="1" t="s">
        <v>311</v>
      </c>
      <c r="G2556">
        <v>2012</v>
      </c>
      <c r="H2556">
        <v>54507.76</v>
      </c>
      <c r="I2556">
        <v>14</v>
      </c>
      <c r="J2556" s="1" t="s">
        <v>459</v>
      </c>
      <c r="K2556">
        <v>0</v>
      </c>
      <c r="L2556">
        <v>400</v>
      </c>
      <c r="M2556">
        <v>136.23534100000001</v>
      </c>
      <c r="N2556">
        <v>1</v>
      </c>
      <c r="O2556" s="1" t="s">
        <v>562</v>
      </c>
      <c r="P2556">
        <v>57532.12</v>
      </c>
      <c r="Q2556">
        <v>10643.43</v>
      </c>
      <c r="R2556">
        <v>0</v>
      </c>
      <c r="S2556" s="1" t="s">
        <v>837</v>
      </c>
      <c r="T2556" s="1"/>
      <c r="U2556">
        <v>54507.763890000002</v>
      </c>
      <c r="V2556">
        <v>0</v>
      </c>
      <c r="W2556">
        <v>77661</v>
      </c>
    </row>
    <row r="2557" spans="1:23" x14ac:dyDescent="0.25">
      <c r="A2557" s="1" t="s">
        <v>35</v>
      </c>
      <c r="B2557" s="1"/>
      <c r="C2557" s="1" t="s">
        <v>181</v>
      </c>
      <c r="D2557">
        <v>10273</v>
      </c>
      <c r="E2557" s="1"/>
      <c r="F2557" s="1" t="s">
        <v>311</v>
      </c>
      <c r="G2557">
        <v>2011</v>
      </c>
      <c r="H2557">
        <v>51290.03</v>
      </c>
      <c r="I2557">
        <v>12</v>
      </c>
      <c r="J2557" s="1" t="s">
        <v>459</v>
      </c>
      <c r="K2557">
        <v>0</v>
      </c>
      <c r="L2557">
        <v>400</v>
      </c>
      <c r="M2557">
        <v>128.193026</v>
      </c>
      <c r="N2557">
        <v>1</v>
      </c>
      <c r="O2557" s="1" t="s">
        <v>562</v>
      </c>
      <c r="P2557">
        <v>56308.53</v>
      </c>
      <c r="Q2557">
        <v>10417.08</v>
      </c>
      <c r="R2557">
        <v>0</v>
      </c>
      <c r="S2557" s="1" t="s">
        <v>837</v>
      </c>
      <c r="T2557" s="1"/>
      <c r="U2557">
        <v>51290.02779</v>
      </c>
      <c r="V2557">
        <v>0</v>
      </c>
      <c r="W2557">
        <v>77661</v>
      </c>
    </row>
    <row r="2558" spans="1:23" x14ac:dyDescent="0.25">
      <c r="A2558" s="1" t="s">
        <v>35</v>
      </c>
      <c r="B2558" s="1"/>
      <c r="C2558" s="1" t="s">
        <v>181</v>
      </c>
      <c r="D2558">
        <v>10273</v>
      </c>
      <c r="E2558" s="1"/>
      <c r="F2558" s="1" t="s">
        <v>311</v>
      </c>
      <c r="G2558">
        <v>2010</v>
      </c>
      <c r="H2558">
        <v>58095.51</v>
      </c>
      <c r="I2558">
        <v>11</v>
      </c>
      <c r="J2558" s="1" t="s">
        <v>459</v>
      </c>
      <c r="K2558">
        <v>0</v>
      </c>
      <c r="L2558">
        <v>400</v>
      </c>
      <c r="M2558">
        <v>145.202474</v>
      </c>
      <c r="N2558">
        <v>1</v>
      </c>
      <c r="O2558" s="1" t="s">
        <v>562</v>
      </c>
      <c r="P2558">
        <v>52733.45</v>
      </c>
      <c r="Q2558">
        <v>9755.7000000000007</v>
      </c>
      <c r="R2558">
        <v>0</v>
      </c>
      <c r="S2558" s="1" t="s">
        <v>837</v>
      </c>
      <c r="T2558" s="1"/>
      <c r="U2558">
        <v>58095.511919999997</v>
      </c>
      <c r="V2558">
        <v>0</v>
      </c>
      <c r="W2558">
        <v>77661</v>
      </c>
    </row>
    <row r="2559" spans="1:23" x14ac:dyDescent="0.25">
      <c r="A2559" s="1" t="s">
        <v>35</v>
      </c>
      <c r="B2559" s="1"/>
      <c r="C2559" s="1" t="s">
        <v>181</v>
      </c>
      <c r="D2559">
        <v>10273</v>
      </c>
      <c r="E2559" s="1"/>
      <c r="F2559" s="1" t="s">
        <v>311</v>
      </c>
      <c r="G2559">
        <v>2009</v>
      </c>
      <c r="H2559">
        <v>47735.12</v>
      </c>
      <c r="I2559">
        <v>12</v>
      </c>
      <c r="J2559" s="1" t="s">
        <v>459</v>
      </c>
      <c r="K2559">
        <v>0</v>
      </c>
      <c r="L2559">
        <v>400</v>
      </c>
      <c r="M2559">
        <v>119.307973</v>
      </c>
      <c r="N2559">
        <v>1</v>
      </c>
      <c r="O2559" s="1" t="s">
        <v>562</v>
      </c>
      <c r="P2559">
        <v>51214.65</v>
      </c>
      <c r="Q2559">
        <v>9474.73</v>
      </c>
      <c r="R2559">
        <v>0</v>
      </c>
      <c r="S2559" s="1" t="s">
        <v>837</v>
      </c>
      <c r="T2559" s="1"/>
      <c r="U2559">
        <v>47735.114289999998</v>
      </c>
      <c r="V2559">
        <v>0</v>
      </c>
      <c r="W2559">
        <v>77661</v>
      </c>
    </row>
    <row r="2560" spans="1:23" x14ac:dyDescent="0.25">
      <c r="A2560" s="1" t="s">
        <v>35</v>
      </c>
      <c r="B2560" s="1"/>
      <c r="C2560" s="1" t="s">
        <v>181</v>
      </c>
      <c r="D2560">
        <v>10273</v>
      </c>
      <c r="E2560" s="1"/>
      <c r="F2560" s="1" t="s">
        <v>311</v>
      </c>
      <c r="G2560">
        <v>2008</v>
      </c>
      <c r="H2560">
        <v>45137.43</v>
      </c>
      <c r="I2560">
        <v>6</v>
      </c>
      <c r="J2560" s="1" t="s">
        <v>459</v>
      </c>
      <c r="K2560">
        <v>0</v>
      </c>
      <c r="L2560">
        <v>400</v>
      </c>
      <c r="M2560">
        <v>112.815371</v>
      </c>
      <c r="N2560">
        <v>1</v>
      </c>
      <c r="O2560" s="1" t="s">
        <v>562</v>
      </c>
      <c r="P2560">
        <v>52105.87</v>
      </c>
      <c r="Q2560">
        <v>9639.6</v>
      </c>
      <c r="R2560">
        <v>0</v>
      </c>
      <c r="S2560" s="1" t="s">
        <v>837</v>
      </c>
      <c r="T2560" s="1"/>
      <c r="U2560">
        <v>45137.435160000001</v>
      </c>
      <c r="V2560">
        <v>0</v>
      </c>
      <c r="W2560">
        <v>77661</v>
      </c>
    </row>
    <row r="2561" spans="1:23" x14ac:dyDescent="0.25">
      <c r="A2561" s="1" t="s">
        <v>35</v>
      </c>
      <c r="B2561" s="1"/>
      <c r="C2561" s="1" t="s">
        <v>182</v>
      </c>
      <c r="D2561">
        <v>10182</v>
      </c>
      <c r="E2561" s="1"/>
      <c r="F2561" s="1" t="s">
        <v>312</v>
      </c>
      <c r="G2561">
        <v>2015</v>
      </c>
      <c r="H2561">
        <v>16257</v>
      </c>
      <c r="I2561">
        <v>5</v>
      </c>
      <c r="J2561" s="1" t="s">
        <v>471</v>
      </c>
      <c r="K2561">
        <v>0</v>
      </c>
      <c r="L2561">
        <v>152</v>
      </c>
      <c r="M2561">
        <v>106.883629</v>
      </c>
      <c r="N2561">
        <v>1</v>
      </c>
      <c r="O2561" s="1" t="s">
        <v>562</v>
      </c>
      <c r="P2561">
        <v>18500.64</v>
      </c>
      <c r="Q2561">
        <v>1184.05</v>
      </c>
      <c r="R2561">
        <v>0</v>
      </c>
      <c r="S2561" s="1" t="s">
        <v>838</v>
      </c>
      <c r="T2561" s="1"/>
      <c r="U2561">
        <v>16257</v>
      </c>
      <c r="V2561">
        <v>0</v>
      </c>
      <c r="W2561">
        <v>77235</v>
      </c>
    </row>
    <row r="2562" spans="1:23" x14ac:dyDescent="0.25">
      <c r="A2562" s="1" t="s">
        <v>35</v>
      </c>
      <c r="B2562" s="1"/>
      <c r="C2562" s="1" t="s">
        <v>182</v>
      </c>
      <c r="D2562">
        <v>10182</v>
      </c>
      <c r="E2562" s="1"/>
      <c r="F2562" s="1" t="s">
        <v>312</v>
      </c>
      <c r="G2562">
        <v>2014</v>
      </c>
      <c r="H2562">
        <v>22586.12</v>
      </c>
      <c r="I2562">
        <v>12</v>
      </c>
      <c r="J2562" s="1" t="s">
        <v>471</v>
      </c>
      <c r="K2562">
        <v>0</v>
      </c>
      <c r="L2562">
        <v>152</v>
      </c>
      <c r="M2562">
        <v>148.49520000000001</v>
      </c>
      <c r="N2562">
        <v>1</v>
      </c>
      <c r="O2562" s="1" t="s">
        <v>562</v>
      </c>
      <c r="P2562">
        <v>27136.25</v>
      </c>
      <c r="Q2562">
        <v>1736.73</v>
      </c>
      <c r="R2562">
        <v>0</v>
      </c>
      <c r="S2562" s="1" t="s">
        <v>838</v>
      </c>
      <c r="T2562" s="1"/>
      <c r="U2562">
        <v>22586.118200000001</v>
      </c>
      <c r="V2562">
        <v>0</v>
      </c>
      <c r="W2562">
        <v>77235</v>
      </c>
    </row>
    <row r="2563" spans="1:23" x14ac:dyDescent="0.25">
      <c r="A2563" s="1" t="s">
        <v>35</v>
      </c>
      <c r="B2563" s="1"/>
      <c r="C2563" s="1" t="s">
        <v>182</v>
      </c>
      <c r="D2563">
        <v>10182</v>
      </c>
      <c r="E2563" s="1"/>
      <c r="F2563" s="1" t="s">
        <v>312</v>
      </c>
      <c r="G2563">
        <v>2013</v>
      </c>
      <c r="H2563">
        <v>26941.67</v>
      </c>
      <c r="I2563">
        <v>8</v>
      </c>
      <c r="J2563" s="1" t="s">
        <v>471</v>
      </c>
      <c r="K2563">
        <v>0</v>
      </c>
      <c r="L2563">
        <v>152</v>
      </c>
      <c r="M2563">
        <v>177.13129499999999</v>
      </c>
      <c r="N2563">
        <v>1</v>
      </c>
      <c r="O2563" s="1" t="s">
        <v>562</v>
      </c>
      <c r="P2563">
        <v>30034.55</v>
      </c>
      <c r="Q2563">
        <v>1922.22</v>
      </c>
      <c r="R2563">
        <v>0</v>
      </c>
      <c r="S2563" s="1" t="s">
        <v>838</v>
      </c>
      <c r="T2563" s="1"/>
      <c r="U2563">
        <v>26941.666659999999</v>
      </c>
      <c r="V2563">
        <v>0</v>
      </c>
      <c r="W2563">
        <v>77235</v>
      </c>
    </row>
    <row r="2564" spans="1:23" x14ac:dyDescent="0.25">
      <c r="A2564" s="1" t="s">
        <v>35</v>
      </c>
      <c r="B2564" s="1"/>
      <c r="C2564" s="1" t="s">
        <v>182</v>
      </c>
      <c r="D2564">
        <v>10182</v>
      </c>
      <c r="E2564" s="1"/>
      <c r="F2564" s="1" t="s">
        <v>312</v>
      </c>
      <c r="G2564">
        <v>2012</v>
      </c>
      <c r="H2564">
        <v>27738.11</v>
      </c>
      <c r="I2564">
        <v>3</v>
      </c>
      <c r="J2564" s="1" t="s">
        <v>471</v>
      </c>
      <c r="K2564">
        <v>0</v>
      </c>
      <c r="L2564">
        <v>152</v>
      </c>
      <c r="M2564">
        <v>182.36758699999999</v>
      </c>
      <c r="N2564">
        <v>1</v>
      </c>
      <c r="O2564" s="1" t="s">
        <v>562</v>
      </c>
      <c r="P2564">
        <v>30663.3</v>
      </c>
      <c r="Q2564">
        <v>5672.71</v>
      </c>
      <c r="R2564">
        <v>0</v>
      </c>
      <c r="S2564" s="1" t="s">
        <v>838</v>
      </c>
      <c r="T2564" s="1"/>
      <c r="U2564">
        <v>27738.108319999999</v>
      </c>
      <c r="V2564">
        <v>0</v>
      </c>
      <c r="W2564">
        <v>77235</v>
      </c>
    </row>
    <row r="2565" spans="1:23" x14ac:dyDescent="0.25">
      <c r="A2565" s="1" t="s">
        <v>35</v>
      </c>
      <c r="B2565" s="1"/>
      <c r="C2565" s="1" t="s">
        <v>182</v>
      </c>
      <c r="D2565">
        <v>10182</v>
      </c>
      <c r="E2565" s="1"/>
      <c r="F2565" s="1" t="s">
        <v>312</v>
      </c>
      <c r="G2565">
        <v>2011</v>
      </c>
      <c r="H2565">
        <v>30201.86</v>
      </c>
      <c r="I2565">
        <v>3</v>
      </c>
      <c r="J2565" s="1" t="s">
        <v>471</v>
      </c>
      <c r="K2565">
        <v>0</v>
      </c>
      <c r="L2565">
        <v>152</v>
      </c>
      <c r="M2565">
        <v>198.565811</v>
      </c>
      <c r="N2565">
        <v>1</v>
      </c>
      <c r="O2565" s="1" t="s">
        <v>562</v>
      </c>
      <c r="P2565">
        <v>36383.31</v>
      </c>
      <c r="Q2565">
        <v>6730.91</v>
      </c>
      <c r="R2565">
        <v>0</v>
      </c>
      <c r="S2565" s="1" t="s">
        <v>838</v>
      </c>
      <c r="T2565" s="1"/>
      <c r="U2565">
        <v>30201.83712</v>
      </c>
      <c r="V2565">
        <v>0</v>
      </c>
      <c r="W2565">
        <v>77235</v>
      </c>
    </row>
    <row r="2566" spans="1:23" x14ac:dyDescent="0.25">
      <c r="A2566" s="1" t="s">
        <v>35</v>
      </c>
      <c r="B2566" s="1"/>
      <c r="C2566" s="1" t="s">
        <v>182</v>
      </c>
      <c r="D2566">
        <v>10182</v>
      </c>
      <c r="E2566" s="1"/>
      <c r="F2566" s="1" t="s">
        <v>312</v>
      </c>
      <c r="G2566">
        <v>2010</v>
      </c>
      <c r="H2566">
        <v>30805.29</v>
      </c>
      <c r="I2566">
        <v>3</v>
      </c>
      <c r="J2566" s="1" t="s">
        <v>471</v>
      </c>
      <c r="K2566">
        <v>0</v>
      </c>
      <c r="L2566">
        <v>152</v>
      </c>
      <c r="M2566">
        <v>202.53313600000001</v>
      </c>
      <c r="N2566">
        <v>1</v>
      </c>
      <c r="O2566" s="1" t="s">
        <v>562</v>
      </c>
      <c r="P2566">
        <v>29917.4</v>
      </c>
      <c r="Q2566">
        <v>5534.71</v>
      </c>
      <c r="R2566">
        <v>0</v>
      </c>
      <c r="S2566" s="1" t="s">
        <v>838</v>
      </c>
      <c r="T2566" s="1"/>
      <c r="U2566">
        <v>30805.309639999999</v>
      </c>
      <c r="V2566">
        <v>0</v>
      </c>
      <c r="W2566">
        <v>77235</v>
      </c>
    </row>
    <row r="2567" spans="1:23" x14ac:dyDescent="0.25">
      <c r="A2567" s="1" t="s">
        <v>35</v>
      </c>
      <c r="B2567" s="1"/>
      <c r="C2567" s="1" t="s">
        <v>182</v>
      </c>
      <c r="D2567">
        <v>10182</v>
      </c>
      <c r="E2567" s="1"/>
      <c r="F2567" s="1" t="s">
        <v>312</v>
      </c>
      <c r="G2567">
        <v>2009</v>
      </c>
      <c r="H2567">
        <v>27137.75</v>
      </c>
      <c r="I2567">
        <v>3</v>
      </c>
      <c r="J2567" s="1" t="s">
        <v>471</v>
      </c>
      <c r="K2567">
        <v>0</v>
      </c>
      <c r="L2567">
        <v>152</v>
      </c>
      <c r="M2567">
        <v>178.420447</v>
      </c>
      <c r="N2567">
        <v>1</v>
      </c>
      <c r="O2567" s="1" t="s">
        <v>562</v>
      </c>
      <c r="P2567">
        <v>30137.09</v>
      </c>
      <c r="Q2567">
        <v>5575.37</v>
      </c>
      <c r="R2567">
        <v>0</v>
      </c>
      <c r="S2567" s="1" t="s">
        <v>838</v>
      </c>
      <c r="T2567" s="1"/>
      <c r="U2567">
        <v>27137.75952</v>
      </c>
      <c r="V2567">
        <v>0</v>
      </c>
      <c r="W2567">
        <v>77235</v>
      </c>
    </row>
    <row r="2568" spans="1:23" x14ac:dyDescent="0.25">
      <c r="A2568" s="1" t="s">
        <v>35</v>
      </c>
      <c r="B2568" s="1"/>
      <c r="C2568" s="1" t="s">
        <v>182</v>
      </c>
      <c r="D2568">
        <v>10182</v>
      </c>
      <c r="E2568" s="1"/>
      <c r="F2568" s="1" t="s">
        <v>312</v>
      </c>
      <c r="G2568">
        <v>2008</v>
      </c>
      <c r="H2568">
        <v>25124.15</v>
      </c>
      <c r="I2568">
        <v>7</v>
      </c>
      <c r="J2568" s="1" t="s">
        <v>471</v>
      </c>
      <c r="K2568">
        <v>0</v>
      </c>
      <c r="L2568">
        <v>152</v>
      </c>
      <c r="M2568">
        <v>165.18178800000001</v>
      </c>
      <c r="N2568">
        <v>1</v>
      </c>
      <c r="O2568" s="1" t="s">
        <v>562</v>
      </c>
      <c r="P2568">
        <v>29728.16</v>
      </c>
      <c r="Q2568">
        <v>5499.71</v>
      </c>
      <c r="R2568">
        <v>0</v>
      </c>
      <c r="S2568" s="1" t="s">
        <v>838</v>
      </c>
      <c r="T2568" s="1"/>
      <c r="U2568">
        <v>25124.153539999999</v>
      </c>
      <c r="V2568">
        <v>0</v>
      </c>
      <c r="W2568">
        <v>77235</v>
      </c>
    </row>
    <row r="2569" spans="1:23" x14ac:dyDescent="0.25">
      <c r="A2569" s="1" t="s">
        <v>35</v>
      </c>
      <c r="B2569" s="1" t="s">
        <v>73</v>
      </c>
      <c r="C2569" s="1" t="s">
        <v>174</v>
      </c>
      <c r="D2569">
        <v>14495</v>
      </c>
      <c r="E2569" s="1" t="s">
        <v>243</v>
      </c>
      <c r="F2569" s="1" t="s">
        <v>313</v>
      </c>
      <c r="G2569">
        <v>2015</v>
      </c>
      <c r="H2569">
        <v>59252.09</v>
      </c>
      <c r="I2569">
        <v>5</v>
      </c>
      <c r="J2569" s="1" t="s">
        <v>442</v>
      </c>
      <c r="K2569">
        <v>0</v>
      </c>
      <c r="L2569">
        <v>878</v>
      </c>
      <c r="M2569">
        <v>67.477609999999999</v>
      </c>
      <c r="N2569">
        <v>1</v>
      </c>
      <c r="O2569" s="1" t="s">
        <v>562</v>
      </c>
      <c r="P2569">
        <v>65974.600000000006</v>
      </c>
      <c r="Q2569">
        <v>4222.3900000000003</v>
      </c>
      <c r="R2569">
        <v>0</v>
      </c>
      <c r="S2569" s="1" t="s">
        <v>839</v>
      </c>
      <c r="T2569" s="1"/>
      <c r="U2569">
        <v>59252.084999999999</v>
      </c>
      <c r="V2569">
        <v>0</v>
      </c>
      <c r="W2569">
        <v>95930</v>
      </c>
    </row>
    <row r="2570" spans="1:23" x14ac:dyDescent="0.25">
      <c r="A2570" s="1" t="s">
        <v>35</v>
      </c>
      <c r="B2570" s="1" t="s">
        <v>73</v>
      </c>
      <c r="C2570" s="1" t="s">
        <v>174</v>
      </c>
      <c r="D2570">
        <v>14495</v>
      </c>
      <c r="E2570" s="1" t="s">
        <v>243</v>
      </c>
      <c r="F2570" s="1" t="s">
        <v>313</v>
      </c>
      <c r="G2570">
        <v>2014</v>
      </c>
      <c r="H2570">
        <v>29030</v>
      </c>
      <c r="I2570">
        <v>2</v>
      </c>
      <c r="J2570" s="1" t="s">
        <v>489</v>
      </c>
      <c r="K2570">
        <v>0</v>
      </c>
      <c r="L2570">
        <v>878</v>
      </c>
      <c r="M2570">
        <v>33.060015</v>
      </c>
      <c r="N2570">
        <v>1</v>
      </c>
      <c r="O2570" s="1" t="s">
        <v>564</v>
      </c>
      <c r="P2570">
        <v>34334.26</v>
      </c>
      <c r="Q2570">
        <v>7261.06</v>
      </c>
      <c r="R2570">
        <v>0</v>
      </c>
      <c r="S2570" s="1" t="s">
        <v>840</v>
      </c>
      <c r="T2570" s="1"/>
      <c r="U2570">
        <v>2687.9629500000001</v>
      </c>
      <c r="V2570">
        <v>0</v>
      </c>
      <c r="W2570">
        <v>94939</v>
      </c>
    </row>
    <row r="2571" spans="1:23" x14ac:dyDescent="0.25">
      <c r="A2571" s="1" t="s">
        <v>35</v>
      </c>
      <c r="B2571" s="1" t="s">
        <v>73</v>
      </c>
      <c r="C2571" s="1" t="s">
        <v>174</v>
      </c>
      <c r="D2571">
        <v>14495</v>
      </c>
      <c r="E2571" s="1" t="s">
        <v>243</v>
      </c>
      <c r="F2571" s="1" t="s">
        <v>313</v>
      </c>
      <c r="G2571">
        <v>2014</v>
      </c>
      <c r="H2571">
        <v>47348.91</v>
      </c>
      <c r="I2571">
        <v>12</v>
      </c>
      <c r="J2571" s="1" t="s">
        <v>442</v>
      </c>
      <c r="K2571">
        <v>0</v>
      </c>
      <c r="L2571">
        <v>878</v>
      </c>
      <c r="M2571">
        <v>53.922001999999999</v>
      </c>
      <c r="N2571">
        <v>1</v>
      </c>
      <c r="O2571" s="1" t="s">
        <v>562</v>
      </c>
      <c r="P2571">
        <v>56460.83</v>
      </c>
      <c r="Q2571">
        <v>3613.49</v>
      </c>
      <c r="R2571">
        <v>0</v>
      </c>
      <c r="S2571" s="1" t="s">
        <v>839</v>
      </c>
      <c r="T2571" s="1"/>
      <c r="U2571">
        <v>47348.91</v>
      </c>
      <c r="V2571">
        <v>0</v>
      </c>
      <c r="W2571">
        <v>95930</v>
      </c>
    </row>
    <row r="2572" spans="1:23" x14ac:dyDescent="0.25">
      <c r="A2572" s="1" t="s">
        <v>35</v>
      </c>
      <c r="B2572" s="1" t="s">
        <v>73</v>
      </c>
      <c r="C2572" s="1" t="s">
        <v>174</v>
      </c>
      <c r="D2572">
        <v>14495</v>
      </c>
      <c r="E2572" s="1" t="s">
        <v>243</v>
      </c>
      <c r="F2572" s="1" t="s">
        <v>313</v>
      </c>
      <c r="G2572">
        <v>2013</v>
      </c>
      <c r="H2572">
        <v>28382.799999999999</v>
      </c>
      <c r="I2572">
        <v>2</v>
      </c>
      <c r="J2572" s="1" t="s">
        <v>489</v>
      </c>
      <c r="K2572">
        <v>0</v>
      </c>
      <c r="L2572">
        <v>878</v>
      </c>
      <c r="M2572">
        <v>32.322969999999998</v>
      </c>
      <c r="N2572">
        <v>1</v>
      </c>
      <c r="O2572" s="1" t="s">
        <v>564</v>
      </c>
      <c r="P2572">
        <v>32340.240000000002</v>
      </c>
      <c r="Q2572">
        <v>6839.36</v>
      </c>
      <c r="R2572">
        <v>0</v>
      </c>
      <c r="S2572" s="1" t="s">
        <v>840</v>
      </c>
      <c r="T2572" s="1"/>
      <c r="U2572">
        <v>2628.03703</v>
      </c>
      <c r="V2572">
        <v>0</v>
      </c>
      <c r="W2572">
        <v>94939</v>
      </c>
    </row>
    <row r="2573" spans="1:23" x14ac:dyDescent="0.25">
      <c r="A2573" s="1" t="s">
        <v>35</v>
      </c>
      <c r="B2573" s="1"/>
      <c r="C2573" s="1" t="s">
        <v>183</v>
      </c>
      <c r="D2573">
        <v>10270</v>
      </c>
      <c r="E2573" s="1"/>
      <c r="F2573" s="1" t="s">
        <v>183</v>
      </c>
      <c r="G2573">
        <v>2015</v>
      </c>
      <c r="H2573">
        <v>6028.99</v>
      </c>
      <c r="I2573">
        <v>5</v>
      </c>
      <c r="J2573" s="1" t="s">
        <v>459</v>
      </c>
      <c r="K2573">
        <v>0</v>
      </c>
      <c r="L2573">
        <v>96</v>
      </c>
      <c r="M2573">
        <v>62.736628000000003</v>
      </c>
      <c r="N2573">
        <v>1</v>
      </c>
      <c r="O2573" s="1" t="s">
        <v>562</v>
      </c>
      <c r="P2573">
        <v>6863.09</v>
      </c>
      <c r="Q2573">
        <v>439.24</v>
      </c>
      <c r="R2573">
        <v>0</v>
      </c>
      <c r="S2573" s="1" t="s">
        <v>841</v>
      </c>
      <c r="T2573" s="1"/>
      <c r="U2573">
        <v>6029.0001000000002</v>
      </c>
      <c r="V2573">
        <v>0</v>
      </c>
      <c r="W2573">
        <v>77652</v>
      </c>
    </row>
    <row r="2574" spans="1:23" x14ac:dyDescent="0.25">
      <c r="A2574" s="1" t="s">
        <v>35</v>
      </c>
      <c r="B2574" s="1"/>
      <c r="C2574" s="1" t="s">
        <v>183</v>
      </c>
      <c r="D2574">
        <v>10270</v>
      </c>
      <c r="E2574" s="1"/>
      <c r="F2574" s="1" t="s">
        <v>183</v>
      </c>
      <c r="G2574">
        <v>2014</v>
      </c>
      <c r="H2574">
        <v>9095</v>
      </c>
      <c r="I2574">
        <v>12</v>
      </c>
      <c r="J2574" s="1" t="s">
        <v>459</v>
      </c>
      <c r="K2574">
        <v>0</v>
      </c>
      <c r="L2574">
        <v>96</v>
      </c>
      <c r="M2574">
        <v>94.640997999999996</v>
      </c>
      <c r="N2574">
        <v>1</v>
      </c>
      <c r="O2574" s="1" t="s">
        <v>562</v>
      </c>
      <c r="P2574">
        <v>10897.12</v>
      </c>
      <c r="Q2574">
        <v>697.42</v>
      </c>
      <c r="R2574">
        <v>0</v>
      </c>
      <c r="S2574" s="1" t="s">
        <v>841</v>
      </c>
      <c r="T2574" s="1"/>
      <c r="U2574">
        <v>9095</v>
      </c>
      <c r="V2574">
        <v>0</v>
      </c>
      <c r="W2574">
        <v>77652</v>
      </c>
    </row>
    <row r="2575" spans="1:23" x14ac:dyDescent="0.25">
      <c r="A2575" s="1" t="s">
        <v>35</v>
      </c>
      <c r="B2575" s="1"/>
      <c r="C2575" s="1" t="s">
        <v>183</v>
      </c>
      <c r="D2575">
        <v>10270</v>
      </c>
      <c r="E2575" s="1"/>
      <c r="F2575" s="1" t="s">
        <v>183</v>
      </c>
      <c r="G2575">
        <v>2013</v>
      </c>
      <c r="H2575">
        <v>12545</v>
      </c>
      <c r="I2575">
        <v>12</v>
      </c>
      <c r="J2575" s="1" t="s">
        <v>459</v>
      </c>
      <c r="K2575">
        <v>0</v>
      </c>
      <c r="L2575">
        <v>96</v>
      </c>
      <c r="M2575">
        <v>130.54110299999999</v>
      </c>
      <c r="N2575">
        <v>1</v>
      </c>
      <c r="O2575" s="1" t="s">
        <v>562</v>
      </c>
      <c r="P2575">
        <v>13166.5</v>
      </c>
      <c r="Q2575">
        <v>842.66</v>
      </c>
      <c r="R2575">
        <v>0</v>
      </c>
      <c r="S2575" s="1" t="s">
        <v>841</v>
      </c>
      <c r="T2575" s="1"/>
      <c r="U2575">
        <v>12544.999</v>
      </c>
      <c r="V2575">
        <v>0</v>
      </c>
      <c r="W2575">
        <v>77652</v>
      </c>
    </row>
    <row r="2576" spans="1:23" x14ac:dyDescent="0.25">
      <c r="A2576" s="1" t="s">
        <v>35</v>
      </c>
      <c r="B2576" s="1"/>
      <c r="C2576" s="1" t="s">
        <v>183</v>
      </c>
      <c r="D2576">
        <v>10270</v>
      </c>
      <c r="E2576" s="1"/>
      <c r="F2576" s="1" t="s">
        <v>183</v>
      </c>
      <c r="G2576">
        <v>2012</v>
      </c>
      <c r="H2576">
        <v>11926</v>
      </c>
      <c r="I2576">
        <v>14</v>
      </c>
      <c r="J2576" s="1" t="s">
        <v>459</v>
      </c>
      <c r="K2576">
        <v>0</v>
      </c>
      <c r="L2576">
        <v>96</v>
      </c>
      <c r="M2576">
        <v>124.099895</v>
      </c>
      <c r="N2576">
        <v>1</v>
      </c>
      <c r="O2576" s="1" t="s">
        <v>562</v>
      </c>
      <c r="P2576">
        <v>12436.01</v>
      </c>
      <c r="Q2576">
        <v>2300.66</v>
      </c>
      <c r="R2576">
        <v>0</v>
      </c>
      <c r="S2576" s="1" t="s">
        <v>841</v>
      </c>
      <c r="T2576" s="1"/>
      <c r="U2576">
        <v>11926.0003</v>
      </c>
      <c r="V2576">
        <v>0</v>
      </c>
      <c r="W2576">
        <v>77652</v>
      </c>
    </row>
    <row r="2577" spans="1:23" x14ac:dyDescent="0.25">
      <c r="A2577" s="1" t="s">
        <v>35</v>
      </c>
      <c r="B2577" s="1"/>
      <c r="C2577" s="1" t="s">
        <v>183</v>
      </c>
      <c r="D2577">
        <v>10270</v>
      </c>
      <c r="E2577" s="1"/>
      <c r="F2577" s="1" t="s">
        <v>183</v>
      </c>
      <c r="G2577">
        <v>2011</v>
      </c>
      <c r="H2577">
        <v>0</v>
      </c>
      <c r="I2577">
        <v>3</v>
      </c>
      <c r="J2577" s="1" t="s">
        <v>459</v>
      </c>
      <c r="K2577">
        <v>0</v>
      </c>
      <c r="L2577">
        <v>96</v>
      </c>
      <c r="M2577">
        <v>0</v>
      </c>
      <c r="N2577">
        <v>1</v>
      </c>
      <c r="O2577" s="1" t="s">
        <v>562</v>
      </c>
      <c r="P2577">
        <v>0</v>
      </c>
      <c r="Q2577">
        <v>0</v>
      </c>
      <c r="R2577">
        <v>0</v>
      </c>
      <c r="S2577" s="1" t="s">
        <v>841</v>
      </c>
      <c r="T2577" s="1"/>
      <c r="U2577">
        <v>0</v>
      </c>
      <c r="V2577">
        <v>0</v>
      </c>
      <c r="W2577">
        <v>77652</v>
      </c>
    </row>
    <row r="2578" spans="1:23" x14ac:dyDescent="0.25">
      <c r="A2578" s="1" t="s">
        <v>35</v>
      </c>
      <c r="B2578" s="1"/>
      <c r="C2578" s="1" t="s">
        <v>183</v>
      </c>
      <c r="D2578">
        <v>10270</v>
      </c>
      <c r="E2578" s="1"/>
      <c r="F2578" s="1" t="s">
        <v>183</v>
      </c>
      <c r="G2578">
        <v>2010</v>
      </c>
      <c r="H2578">
        <v>4286.8599999999997</v>
      </c>
      <c r="I2578">
        <v>2</v>
      </c>
      <c r="J2578" s="1" t="s">
        <v>459</v>
      </c>
      <c r="K2578">
        <v>0</v>
      </c>
      <c r="L2578">
        <v>96</v>
      </c>
      <c r="M2578">
        <v>44.608324000000003</v>
      </c>
      <c r="N2578">
        <v>1</v>
      </c>
      <c r="O2578" s="1" t="s">
        <v>562</v>
      </c>
      <c r="P2578">
        <v>4014.79</v>
      </c>
      <c r="Q2578">
        <v>742.74</v>
      </c>
      <c r="R2578">
        <v>0</v>
      </c>
      <c r="S2578" s="1" t="s">
        <v>841</v>
      </c>
      <c r="T2578" s="1"/>
      <c r="U2578">
        <v>4286.8636200000001</v>
      </c>
      <c r="V2578">
        <v>0</v>
      </c>
      <c r="W2578">
        <v>77652</v>
      </c>
    </row>
    <row r="2579" spans="1:23" x14ac:dyDescent="0.25">
      <c r="A2579" s="1" t="s">
        <v>35</v>
      </c>
      <c r="B2579" s="1"/>
      <c r="C2579" s="1" t="s">
        <v>183</v>
      </c>
      <c r="D2579">
        <v>10270</v>
      </c>
      <c r="E2579" s="1"/>
      <c r="F2579" s="1" t="s">
        <v>183</v>
      </c>
      <c r="G2579">
        <v>2009</v>
      </c>
      <c r="H2579">
        <v>13655.17</v>
      </c>
      <c r="I2579">
        <v>5</v>
      </c>
      <c r="J2579" s="1" t="s">
        <v>459</v>
      </c>
      <c r="K2579">
        <v>0</v>
      </c>
      <c r="L2579">
        <v>96</v>
      </c>
      <c r="M2579">
        <v>142.09334000000001</v>
      </c>
      <c r="N2579">
        <v>1</v>
      </c>
      <c r="O2579" s="1" t="s">
        <v>562</v>
      </c>
      <c r="P2579">
        <v>18307.63</v>
      </c>
      <c r="Q2579">
        <v>3386.91</v>
      </c>
      <c r="R2579">
        <v>0</v>
      </c>
      <c r="S2579" s="1" t="s">
        <v>841</v>
      </c>
      <c r="T2579" s="1"/>
      <c r="U2579">
        <v>13655.166660000001</v>
      </c>
      <c r="V2579">
        <v>0</v>
      </c>
      <c r="W2579">
        <v>77652</v>
      </c>
    </row>
    <row r="2580" spans="1:23" x14ac:dyDescent="0.25">
      <c r="A2580" s="1" t="s">
        <v>35</v>
      </c>
      <c r="B2580" s="1"/>
      <c r="C2580" s="1" t="s">
        <v>183</v>
      </c>
      <c r="D2580">
        <v>10270</v>
      </c>
      <c r="E2580" s="1"/>
      <c r="F2580" s="1" t="s">
        <v>183</v>
      </c>
      <c r="G2580">
        <v>2008</v>
      </c>
      <c r="H2580">
        <v>18313.32</v>
      </c>
      <c r="I2580">
        <v>6</v>
      </c>
      <c r="J2580" s="1" t="s">
        <v>459</v>
      </c>
      <c r="K2580">
        <v>0</v>
      </c>
      <c r="L2580">
        <v>96</v>
      </c>
      <c r="M2580">
        <v>190.56524400000001</v>
      </c>
      <c r="N2580">
        <v>1</v>
      </c>
      <c r="O2580" s="1" t="s">
        <v>562</v>
      </c>
      <c r="P2580">
        <v>21474.1</v>
      </c>
      <c r="Q2580">
        <v>3972.7</v>
      </c>
      <c r="R2580">
        <v>0</v>
      </c>
      <c r="S2580" s="1" t="s">
        <v>841</v>
      </c>
      <c r="T2580" s="1"/>
      <c r="U2580">
        <v>18313.332330000001</v>
      </c>
      <c r="V2580">
        <v>0</v>
      </c>
      <c r="W2580">
        <v>77652</v>
      </c>
    </row>
    <row r="2581" spans="1:23" x14ac:dyDescent="0.25">
      <c r="A2581" s="1" t="s">
        <v>35</v>
      </c>
      <c r="B2581" s="1" t="s">
        <v>76</v>
      </c>
      <c r="C2581" s="1" t="s">
        <v>184</v>
      </c>
      <c r="D2581">
        <v>5270</v>
      </c>
      <c r="E2581" s="1"/>
      <c r="F2581" s="1" t="s">
        <v>314</v>
      </c>
      <c r="G2581">
        <v>2015</v>
      </c>
      <c r="H2581">
        <v>91121.76</v>
      </c>
      <c r="I2581">
        <v>5</v>
      </c>
      <c r="J2581" s="1"/>
      <c r="K2581">
        <v>0</v>
      </c>
      <c r="L2581">
        <v>2625</v>
      </c>
      <c r="M2581">
        <v>34.711728999999998</v>
      </c>
      <c r="N2581">
        <v>1</v>
      </c>
      <c r="O2581" s="1" t="s">
        <v>564</v>
      </c>
      <c r="P2581">
        <v>103011.38</v>
      </c>
      <c r="Q2581">
        <v>21785</v>
      </c>
      <c r="R2581">
        <v>0</v>
      </c>
      <c r="S2581" s="1" t="s">
        <v>842</v>
      </c>
      <c r="T2581" s="1" t="s">
        <v>1217</v>
      </c>
      <c r="U2581">
        <v>8437.2000000000007</v>
      </c>
      <c r="V2581">
        <v>0</v>
      </c>
      <c r="W2581">
        <v>56823</v>
      </c>
    </row>
    <row r="2582" spans="1:23" x14ac:dyDescent="0.25">
      <c r="A2582" s="1" t="s">
        <v>35</v>
      </c>
      <c r="B2582" s="1" t="s">
        <v>76</v>
      </c>
      <c r="C2582" s="1" t="s">
        <v>184</v>
      </c>
      <c r="D2582">
        <v>5270</v>
      </c>
      <c r="E2582" s="1"/>
      <c r="F2582" s="1" t="s">
        <v>314</v>
      </c>
      <c r="G2582">
        <v>2014</v>
      </c>
      <c r="H2582">
        <v>130268.52</v>
      </c>
      <c r="I2582">
        <v>12</v>
      </c>
      <c r="J2582" s="1"/>
      <c r="K2582">
        <v>0</v>
      </c>
      <c r="L2582">
        <v>2625</v>
      </c>
      <c r="M2582">
        <v>49.624212</v>
      </c>
      <c r="N2582">
        <v>1</v>
      </c>
      <c r="O2582" s="1" t="s">
        <v>564</v>
      </c>
      <c r="P2582">
        <v>153760.47</v>
      </c>
      <c r="Q2582">
        <v>32517.51</v>
      </c>
      <c r="R2582">
        <v>0</v>
      </c>
      <c r="S2582" s="1" t="s">
        <v>842</v>
      </c>
      <c r="T2582" s="1" t="s">
        <v>1217</v>
      </c>
      <c r="U2582">
        <v>12061.9</v>
      </c>
      <c r="V2582">
        <v>0</v>
      </c>
      <c r="W2582">
        <v>56823</v>
      </c>
    </row>
    <row r="2583" spans="1:23" x14ac:dyDescent="0.25">
      <c r="A2583" s="1" t="s">
        <v>35</v>
      </c>
      <c r="B2583" s="1" t="s">
        <v>76</v>
      </c>
      <c r="C2583" s="1" t="s">
        <v>184</v>
      </c>
      <c r="D2583">
        <v>5270</v>
      </c>
      <c r="E2583" s="1"/>
      <c r="F2583" s="1" t="s">
        <v>314</v>
      </c>
      <c r="G2583">
        <v>2013</v>
      </c>
      <c r="H2583">
        <v>193376.16</v>
      </c>
      <c r="I2583">
        <v>12</v>
      </c>
      <c r="J2583" s="1"/>
      <c r="K2583">
        <v>0</v>
      </c>
      <c r="L2583">
        <v>2625</v>
      </c>
      <c r="M2583">
        <v>73.664302000000006</v>
      </c>
      <c r="N2583">
        <v>1</v>
      </c>
      <c r="O2583" s="1" t="s">
        <v>564</v>
      </c>
      <c r="P2583">
        <v>196678.85</v>
      </c>
      <c r="Q2583">
        <v>41593.94</v>
      </c>
      <c r="R2583">
        <v>0</v>
      </c>
      <c r="S2583" s="1" t="s">
        <v>842</v>
      </c>
      <c r="T2583" s="1" t="s">
        <v>1217</v>
      </c>
      <c r="U2583">
        <v>17905.2</v>
      </c>
      <c r="V2583">
        <v>0</v>
      </c>
      <c r="W2583">
        <v>56823</v>
      </c>
    </row>
    <row r="2584" spans="1:23" x14ac:dyDescent="0.25">
      <c r="A2584" s="1" t="s">
        <v>35</v>
      </c>
      <c r="B2584" s="1" t="s">
        <v>76</v>
      </c>
      <c r="C2584" s="1" t="s">
        <v>184</v>
      </c>
      <c r="D2584">
        <v>5270</v>
      </c>
      <c r="E2584" s="1"/>
      <c r="F2584" s="1" t="s">
        <v>314</v>
      </c>
      <c r="G2584">
        <v>2012</v>
      </c>
      <c r="H2584">
        <v>208537.2</v>
      </c>
      <c r="I2584">
        <v>12</v>
      </c>
      <c r="J2584" s="1"/>
      <c r="K2584">
        <v>0</v>
      </c>
      <c r="L2584">
        <v>2625</v>
      </c>
      <c r="M2584">
        <v>79.439716000000004</v>
      </c>
      <c r="N2584">
        <v>1</v>
      </c>
      <c r="O2584" s="1" t="s">
        <v>564</v>
      </c>
      <c r="P2584">
        <v>218475.82</v>
      </c>
      <c r="Q2584">
        <v>46203.59</v>
      </c>
      <c r="R2584">
        <v>0</v>
      </c>
      <c r="S2584" s="1" t="s">
        <v>842</v>
      </c>
      <c r="T2584" s="1" t="s">
        <v>1217</v>
      </c>
      <c r="U2584">
        <v>19309</v>
      </c>
      <c r="V2584">
        <v>0</v>
      </c>
      <c r="W2584">
        <v>56823</v>
      </c>
    </row>
    <row r="2585" spans="1:23" x14ac:dyDescent="0.25">
      <c r="A2585" s="1" t="s">
        <v>35</v>
      </c>
      <c r="B2585" s="1" t="s">
        <v>76</v>
      </c>
      <c r="C2585" s="1" t="s">
        <v>184</v>
      </c>
      <c r="D2585">
        <v>5270</v>
      </c>
      <c r="E2585" s="1"/>
      <c r="F2585" s="1" t="s">
        <v>314</v>
      </c>
      <c r="G2585">
        <v>2011</v>
      </c>
      <c r="H2585">
        <v>184970.52</v>
      </c>
      <c r="I2585">
        <v>12</v>
      </c>
      <c r="J2585" s="1"/>
      <c r="K2585">
        <v>0</v>
      </c>
      <c r="L2585">
        <v>2625</v>
      </c>
      <c r="M2585">
        <v>70.462275000000005</v>
      </c>
      <c r="N2585">
        <v>1</v>
      </c>
      <c r="O2585" s="1" t="s">
        <v>564</v>
      </c>
      <c r="P2585">
        <v>199823.44</v>
      </c>
      <c r="Q2585">
        <v>42258.96</v>
      </c>
      <c r="R2585">
        <v>0</v>
      </c>
      <c r="S2585" s="1" t="s">
        <v>842</v>
      </c>
      <c r="T2585" s="1" t="s">
        <v>1217</v>
      </c>
      <c r="U2585">
        <v>17126.900000000001</v>
      </c>
      <c r="V2585">
        <v>0</v>
      </c>
      <c r="W2585">
        <v>56823</v>
      </c>
    </row>
    <row r="2586" spans="1:23" x14ac:dyDescent="0.25">
      <c r="A2586" s="1" t="s">
        <v>35</v>
      </c>
      <c r="B2586" s="1" t="s">
        <v>76</v>
      </c>
      <c r="C2586" s="1" t="s">
        <v>184</v>
      </c>
      <c r="D2586">
        <v>5270</v>
      </c>
      <c r="E2586" s="1"/>
      <c r="F2586" s="1" t="s">
        <v>314</v>
      </c>
      <c r="G2586">
        <v>2010</v>
      </c>
      <c r="H2586">
        <v>228034.39</v>
      </c>
      <c r="I2586">
        <v>12</v>
      </c>
      <c r="J2586" s="1"/>
      <c r="K2586">
        <v>0</v>
      </c>
      <c r="L2586">
        <v>2625</v>
      </c>
      <c r="M2586">
        <v>86.866934000000001</v>
      </c>
      <c r="N2586">
        <v>1</v>
      </c>
      <c r="O2586" s="1" t="s">
        <v>564</v>
      </c>
      <c r="P2586">
        <v>208446.02</v>
      </c>
      <c r="Q2586">
        <v>44082.47</v>
      </c>
      <c r="R2586">
        <v>0</v>
      </c>
      <c r="S2586" s="1" t="s">
        <v>842</v>
      </c>
      <c r="T2586" s="1" t="s">
        <v>1217</v>
      </c>
      <c r="U2586">
        <v>21114.294999999998</v>
      </c>
      <c r="V2586">
        <v>0</v>
      </c>
      <c r="W2586">
        <v>56823</v>
      </c>
    </row>
    <row r="2587" spans="1:23" x14ac:dyDescent="0.25">
      <c r="A2587" s="1" t="s">
        <v>35</v>
      </c>
      <c r="B2587" s="1" t="s">
        <v>76</v>
      </c>
      <c r="C2587" s="1" t="s">
        <v>184</v>
      </c>
      <c r="D2587">
        <v>5270</v>
      </c>
      <c r="E2587" s="1"/>
      <c r="F2587" s="1" t="s">
        <v>314</v>
      </c>
      <c r="G2587">
        <v>2009</v>
      </c>
      <c r="H2587">
        <v>238522.36</v>
      </c>
      <c r="I2587">
        <v>12</v>
      </c>
      <c r="J2587" s="1"/>
      <c r="K2587">
        <v>0</v>
      </c>
      <c r="L2587">
        <v>2625</v>
      </c>
      <c r="M2587">
        <v>90.862199000000004</v>
      </c>
      <c r="N2587">
        <v>1</v>
      </c>
      <c r="O2587" s="1" t="s">
        <v>564</v>
      </c>
      <c r="P2587">
        <v>252563.28</v>
      </c>
      <c r="Q2587">
        <v>53412.46</v>
      </c>
      <c r="R2587">
        <v>0</v>
      </c>
      <c r="S2587" s="1" t="s">
        <v>842</v>
      </c>
      <c r="T2587" s="1" t="s">
        <v>1217</v>
      </c>
      <c r="U2587">
        <v>22085.403999999999</v>
      </c>
      <c r="V2587">
        <v>0</v>
      </c>
      <c r="W2587">
        <v>56823</v>
      </c>
    </row>
    <row r="2588" spans="1:23" x14ac:dyDescent="0.25">
      <c r="A2588" s="1" t="s">
        <v>35</v>
      </c>
      <c r="B2588" s="1" t="s">
        <v>76</v>
      </c>
      <c r="C2588" s="1" t="s">
        <v>184</v>
      </c>
      <c r="D2588">
        <v>5270</v>
      </c>
      <c r="E2588" s="1"/>
      <c r="F2588" s="1" t="s">
        <v>314</v>
      </c>
      <c r="G2588">
        <v>2008</v>
      </c>
      <c r="H2588">
        <v>212943.6</v>
      </c>
      <c r="I2588">
        <v>12</v>
      </c>
      <c r="J2588" s="1"/>
      <c r="K2588">
        <v>0</v>
      </c>
      <c r="L2588">
        <v>2625</v>
      </c>
      <c r="M2588">
        <v>81.118280999999996</v>
      </c>
      <c r="N2588">
        <v>1</v>
      </c>
      <c r="O2588" s="1" t="s">
        <v>564</v>
      </c>
      <c r="P2588">
        <v>249460.13</v>
      </c>
      <c r="Q2588">
        <v>52756.19</v>
      </c>
      <c r="R2588">
        <v>0</v>
      </c>
      <c r="S2588" s="1" t="s">
        <v>842</v>
      </c>
      <c r="T2588" s="1" t="s">
        <v>1217</v>
      </c>
      <c r="U2588">
        <v>19716.999899999999</v>
      </c>
      <c r="V2588">
        <v>0</v>
      </c>
      <c r="W2588">
        <v>56823</v>
      </c>
    </row>
    <row r="2589" spans="1:23" x14ac:dyDescent="0.25">
      <c r="A2589" s="1" t="s">
        <v>35</v>
      </c>
      <c r="B2589" s="1" t="s">
        <v>75</v>
      </c>
      <c r="C2589" s="1" t="s">
        <v>179</v>
      </c>
      <c r="D2589">
        <v>5261</v>
      </c>
      <c r="E2589" s="1"/>
      <c r="F2589" s="1" t="s">
        <v>309</v>
      </c>
      <c r="G2589">
        <v>2015</v>
      </c>
      <c r="H2589">
        <v>2337.4499999999998</v>
      </c>
      <c r="I2589">
        <v>5</v>
      </c>
      <c r="J2589" s="1" t="s">
        <v>402</v>
      </c>
      <c r="K2589">
        <v>0</v>
      </c>
      <c r="L2589">
        <v>309</v>
      </c>
      <c r="M2589">
        <v>7.5621150000000004</v>
      </c>
      <c r="N2589">
        <v>2</v>
      </c>
      <c r="O2589" s="1" t="s">
        <v>569</v>
      </c>
      <c r="P2589">
        <v>2337.4499999999998</v>
      </c>
      <c r="Q2589">
        <v>934.97</v>
      </c>
      <c r="R2589">
        <v>0</v>
      </c>
      <c r="S2589" s="1" t="s">
        <v>1048</v>
      </c>
      <c r="T2589" s="1"/>
      <c r="U2589">
        <v>2337.4499999999998</v>
      </c>
      <c r="V2589">
        <v>0</v>
      </c>
      <c r="W2589">
        <v>56734</v>
      </c>
    </row>
    <row r="2590" spans="1:23" x14ac:dyDescent="0.25">
      <c r="A2590" s="1" t="s">
        <v>35</v>
      </c>
      <c r="B2590" s="1" t="s">
        <v>75</v>
      </c>
      <c r="C2590" s="1" t="s">
        <v>179</v>
      </c>
      <c r="D2590">
        <v>5261</v>
      </c>
      <c r="E2590" s="1"/>
      <c r="F2590" s="1" t="s">
        <v>309</v>
      </c>
      <c r="G2590">
        <v>2014</v>
      </c>
      <c r="H2590">
        <v>5612.98</v>
      </c>
      <c r="I2590">
        <v>12</v>
      </c>
      <c r="J2590" s="1" t="s">
        <v>402</v>
      </c>
      <c r="K2590">
        <v>0</v>
      </c>
      <c r="L2590">
        <v>309</v>
      </c>
      <c r="M2590">
        <v>18.159106999999999</v>
      </c>
      <c r="N2590">
        <v>2</v>
      </c>
      <c r="O2590" s="1" t="s">
        <v>569</v>
      </c>
      <c r="P2590">
        <v>5612.98</v>
      </c>
      <c r="Q2590">
        <v>2245.1999999999998</v>
      </c>
      <c r="R2590">
        <v>0</v>
      </c>
      <c r="S2590" s="1" t="s">
        <v>1048</v>
      </c>
      <c r="T2590" s="1"/>
      <c r="U2590">
        <v>5612.98</v>
      </c>
      <c r="V2590">
        <v>0</v>
      </c>
      <c r="W2590">
        <v>56734</v>
      </c>
    </row>
    <row r="2591" spans="1:23" x14ac:dyDescent="0.25">
      <c r="A2591" s="1" t="s">
        <v>35</v>
      </c>
      <c r="B2591" s="1" t="s">
        <v>75</v>
      </c>
      <c r="C2591" s="1" t="s">
        <v>179</v>
      </c>
      <c r="D2591">
        <v>5261</v>
      </c>
      <c r="E2591" s="1"/>
      <c r="F2591" s="1" t="s">
        <v>309</v>
      </c>
      <c r="G2591">
        <v>2013</v>
      </c>
      <c r="H2591">
        <v>7678.83</v>
      </c>
      <c r="I2591">
        <v>12</v>
      </c>
      <c r="J2591" s="1" t="s">
        <v>402</v>
      </c>
      <c r="K2591">
        <v>0</v>
      </c>
      <c r="L2591">
        <v>309</v>
      </c>
      <c r="M2591">
        <v>24.842542000000002</v>
      </c>
      <c r="N2591">
        <v>2</v>
      </c>
      <c r="O2591" s="1" t="s">
        <v>569</v>
      </c>
      <c r="P2591">
        <v>7678.83</v>
      </c>
      <c r="Q2591">
        <v>3071.54</v>
      </c>
      <c r="R2591">
        <v>0</v>
      </c>
      <c r="S2591" s="1" t="s">
        <v>1048</v>
      </c>
      <c r="T2591" s="1"/>
      <c r="U2591">
        <v>7678.83</v>
      </c>
      <c r="V2591">
        <v>0</v>
      </c>
      <c r="W2591">
        <v>56734</v>
      </c>
    </row>
    <row r="2592" spans="1:23" x14ac:dyDescent="0.25">
      <c r="A2592" s="1" t="s">
        <v>35</v>
      </c>
      <c r="B2592" s="1" t="s">
        <v>75</v>
      </c>
      <c r="C2592" s="1" t="s">
        <v>179</v>
      </c>
      <c r="D2592">
        <v>5261</v>
      </c>
      <c r="E2592" s="1"/>
      <c r="F2592" s="1" t="s">
        <v>309</v>
      </c>
      <c r="G2592">
        <v>2012</v>
      </c>
      <c r="H2592">
        <v>6262.72</v>
      </c>
      <c r="I2592">
        <v>12</v>
      </c>
      <c r="J2592" s="1" t="s">
        <v>402</v>
      </c>
      <c r="K2592">
        <v>0</v>
      </c>
      <c r="L2592">
        <v>309</v>
      </c>
      <c r="M2592">
        <v>20.261144999999999</v>
      </c>
      <c r="N2592">
        <v>2</v>
      </c>
      <c r="O2592" s="1" t="s">
        <v>569</v>
      </c>
      <c r="P2592">
        <v>6262.72</v>
      </c>
      <c r="Q2592">
        <v>2505.09</v>
      </c>
      <c r="R2592">
        <v>0</v>
      </c>
      <c r="S2592" s="1" t="s">
        <v>1048</v>
      </c>
      <c r="T2592" s="1"/>
      <c r="U2592">
        <v>6262.72</v>
      </c>
      <c r="V2592">
        <v>0</v>
      </c>
      <c r="W2592">
        <v>56734</v>
      </c>
    </row>
    <row r="2593" spans="1:23" x14ac:dyDescent="0.25">
      <c r="A2593" s="1" t="s">
        <v>35</v>
      </c>
      <c r="B2593" s="1" t="s">
        <v>75</v>
      </c>
      <c r="C2593" s="1" t="s">
        <v>179</v>
      </c>
      <c r="D2593">
        <v>5261</v>
      </c>
      <c r="E2593" s="1"/>
      <c r="F2593" s="1" t="s">
        <v>309</v>
      </c>
      <c r="G2593">
        <v>2011</v>
      </c>
      <c r="H2593">
        <v>7450.22</v>
      </c>
      <c r="I2593">
        <v>12</v>
      </c>
      <c r="J2593" s="1" t="s">
        <v>402</v>
      </c>
      <c r="K2593">
        <v>0</v>
      </c>
      <c r="L2593">
        <v>309</v>
      </c>
      <c r="M2593">
        <v>24.102944000000001</v>
      </c>
      <c r="N2593">
        <v>2</v>
      </c>
      <c r="O2593" s="1" t="s">
        <v>569</v>
      </c>
      <c r="P2593">
        <v>7450.22</v>
      </c>
      <c r="Q2593">
        <v>3494.15</v>
      </c>
      <c r="R2593">
        <v>0</v>
      </c>
      <c r="S2593" s="1" t="s">
        <v>1048</v>
      </c>
      <c r="T2593" s="1"/>
      <c r="U2593">
        <v>7450.2169999999996</v>
      </c>
      <c r="V2593">
        <v>0</v>
      </c>
      <c r="W2593">
        <v>56734</v>
      </c>
    </row>
    <row r="2594" spans="1:23" x14ac:dyDescent="0.25">
      <c r="A2594" s="1" t="s">
        <v>35</v>
      </c>
      <c r="B2594" s="1" t="s">
        <v>75</v>
      </c>
      <c r="C2594" s="1" t="s">
        <v>179</v>
      </c>
      <c r="D2594">
        <v>5261</v>
      </c>
      <c r="E2594" s="1"/>
      <c r="F2594" s="1" t="s">
        <v>309</v>
      </c>
      <c r="G2594">
        <v>2010</v>
      </c>
      <c r="H2594">
        <v>8039.65</v>
      </c>
      <c r="I2594">
        <v>12</v>
      </c>
      <c r="J2594" s="1" t="s">
        <v>402</v>
      </c>
      <c r="K2594">
        <v>0</v>
      </c>
      <c r="L2594">
        <v>309</v>
      </c>
      <c r="M2594">
        <v>26.009867</v>
      </c>
      <c r="N2594">
        <v>2</v>
      </c>
      <c r="O2594" s="1" t="s">
        <v>569</v>
      </c>
      <c r="P2594">
        <v>8039.65</v>
      </c>
      <c r="Q2594">
        <v>3770.6</v>
      </c>
      <c r="R2594">
        <v>0</v>
      </c>
      <c r="S2594" s="1" t="s">
        <v>1048</v>
      </c>
      <c r="T2594" s="1"/>
      <c r="U2594">
        <v>8039.6630999999998</v>
      </c>
      <c r="V2594">
        <v>0</v>
      </c>
      <c r="W2594">
        <v>56734</v>
      </c>
    </row>
    <row r="2595" spans="1:23" x14ac:dyDescent="0.25">
      <c r="A2595" s="1" t="s">
        <v>35</v>
      </c>
      <c r="B2595" s="1" t="s">
        <v>75</v>
      </c>
      <c r="C2595" s="1" t="s">
        <v>179</v>
      </c>
      <c r="D2595">
        <v>5261</v>
      </c>
      <c r="E2595" s="1"/>
      <c r="F2595" s="1" t="s">
        <v>309</v>
      </c>
      <c r="G2595">
        <v>2009</v>
      </c>
      <c r="H2595">
        <v>4633.5</v>
      </c>
      <c r="I2595">
        <v>12</v>
      </c>
      <c r="J2595" s="1" t="s">
        <v>402</v>
      </c>
      <c r="K2595">
        <v>0</v>
      </c>
      <c r="L2595">
        <v>309</v>
      </c>
      <c r="M2595">
        <v>14.990294</v>
      </c>
      <c r="N2595">
        <v>2</v>
      </c>
      <c r="O2595" s="1" t="s">
        <v>569</v>
      </c>
      <c r="P2595">
        <v>4633.5</v>
      </c>
      <c r="Q2595">
        <v>2173.12</v>
      </c>
      <c r="R2595">
        <v>0</v>
      </c>
      <c r="S2595" s="1" t="s">
        <v>1048</v>
      </c>
      <c r="T2595" s="1"/>
      <c r="U2595">
        <v>4633.5</v>
      </c>
      <c r="V2595">
        <v>0</v>
      </c>
      <c r="W2595">
        <v>56734</v>
      </c>
    </row>
    <row r="2596" spans="1:23" x14ac:dyDescent="0.25">
      <c r="A2596" s="1" t="s">
        <v>35</v>
      </c>
      <c r="B2596" s="1" t="s">
        <v>75</v>
      </c>
      <c r="C2596" s="1" t="s">
        <v>179</v>
      </c>
      <c r="D2596">
        <v>5261</v>
      </c>
      <c r="E2596" s="1"/>
      <c r="F2596" s="1" t="s">
        <v>309</v>
      </c>
      <c r="G2596">
        <v>2008</v>
      </c>
      <c r="H2596">
        <v>6491.98</v>
      </c>
      <c r="I2596">
        <v>12</v>
      </c>
      <c r="J2596" s="1" t="s">
        <v>402</v>
      </c>
      <c r="K2596">
        <v>0</v>
      </c>
      <c r="L2596">
        <v>309</v>
      </c>
      <c r="M2596">
        <v>21.002846000000002</v>
      </c>
      <c r="N2596">
        <v>2</v>
      </c>
      <c r="O2596" s="1" t="s">
        <v>569</v>
      </c>
      <c r="P2596">
        <v>6491.98</v>
      </c>
      <c r="Q2596">
        <v>3044.75</v>
      </c>
      <c r="R2596">
        <v>0</v>
      </c>
      <c r="S2596" s="1" t="s">
        <v>1048</v>
      </c>
      <c r="T2596" s="1"/>
      <c r="U2596">
        <v>6491.98</v>
      </c>
      <c r="V2596">
        <v>0</v>
      </c>
      <c r="W2596">
        <v>56734</v>
      </c>
    </row>
    <row r="2597" spans="1:23" x14ac:dyDescent="0.25">
      <c r="A2597" s="1" t="s">
        <v>35</v>
      </c>
      <c r="B2597" s="1"/>
      <c r="C2597" s="1" t="s">
        <v>180</v>
      </c>
      <c r="D2597">
        <v>10318</v>
      </c>
      <c r="E2597" s="1"/>
      <c r="F2597" s="1" t="s">
        <v>310</v>
      </c>
      <c r="G2597">
        <v>2015</v>
      </c>
      <c r="H2597">
        <v>1129.6500000000001</v>
      </c>
      <c r="I2597">
        <v>5</v>
      </c>
      <c r="J2597" s="1" t="s">
        <v>532</v>
      </c>
      <c r="K2597">
        <v>0</v>
      </c>
      <c r="L2597">
        <v>170</v>
      </c>
      <c r="M2597">
        <v>6.6410929999999997</v>
      </c>
      <c r="N2597">
        <v>2</v>
      </c>
      <c r="O2597" s="1" t="s">
        <v>569</v>
      </c>
      <c r="P2597">
        <v>1129.6500000000001</v>
      </c>
      <c r="Q2597">
        <v>338.89</v>
      </c>
      <c r="R2597">
        <v>0</v>
      </c>
      <c r="S2597" s="1" t="s">
        <v>1049</v>
      </c>
      <c r="T2597" s="1" t="s">
        <v>1315</v>
      </c>
      <c r="U2597">
        <v>1129.652</v>
      </c>
      <c r="V2597">
        <v>0</v>
      </c>
      <c r="W2597">
        <v>77792</v>
      </c>
    </row>
    <row r="2598" spans="1:23" x14ac:dyDescent="0.25">
      <c r="A2598" s="1" t="s">
        <v>35</v>
      </c>
      <c r="B2598" s="1"/>
      <c r="C2598" s="1" t="s">
        <v>180</v>
      </c>
      <c r="D2598">
        <v>10318</v>
      </c>
      <c r="E2598" s="1"/>
      <c r="F2598" s="1" t="s">
        <v>310</v>
      </c>
      <c r="G2598">
        <v>2014</v>
      </c>
      <c r="H2598">
        <v>2551.34</v>
      </c>
      <c r="I2598">
        <v>12</v>
      </c>
      <c r="J2598" s="1" t="s">
        <v>532</v>
      </c>
      <c r="K2598">
        <v>0</v>
      </c>
      <c r="L2598">
        <v>170</v>
      </c>
      <c r="M2598">
        <v>14.999059000000001</v>
      </c>
      <c r="N2598">
        <v>2</v>
      </c>
      <c r="O2598" s="1" t="s">
        <v>569</v>
      </c>
      <c r="P2598">
        <v>2551.34</v>
      </c>
      <c r="Q2598">
        <v>765.4</v>
      </c>
      <c r="R2598">
        <v>0</v>
      </c>
      <c r="S2598" s="1" t="s">
        <v>1049</v>
      </c>
      <c r="T2598" s="1" t="s">
        <v>1315</v>
      </c>
      <c r="U2598">
        <v>2551.3609999999999</v>
      </c>
      <c r="V2598">
        <v>0</v>
      </c>
      <c r="W2598">
        <v>77792</v>
      </c>
    </row>
    <row r="2599" spans="1:23" x14ac:dyDescent="0.25">
      <c r="A2599" s="1" t="s">
        <v>35</v>
      </c>
      <c r="B2599" s="1"/>
      <c r="C2599" s="1" t="s">
        <v>180</v>
      </c>
      <c r="D2599">
        <v>10318</v>
      </c>
      <c r="E2599" s="1"/>
      <c r="F2599" s="1" t="s">
        <v>310</v>
      </c>
      <c r="G2599">
        <v>2013</v>
      </c>
      <c r="H2599">
        <v>2488.9499999999998</v>
      </c>
      <c r="I2599">
        <v>12</v>
      </c>
      <c r="J2599" s="1" t="s">
        <v>532</v>
      </c>
      <c r="K2599">
        <v>0</v>
      </c>
      <c r="L2599">
        <v>170</v>
      </c>
      <c r="M2599">
        <v>14.632275</v>
      </c>
      <c r="N2599">
        <v>2</v>
      </c>
      <c r="O2599" s="1" t="s">
        <v>569</v>
      </c>
      <c r="P2599">
        <v>2488.9499999999998</v>
      </c>
      <c r="Q2599">
        <v>746.69</v>
      </c>
      <c r="R2599">
        <v>0</v>
      </c>
      <c r="S2599" s="1" t="s">
        <v>1049</v>
      </c>
      <c r="T2599" s="1" t="s">
        <v>1315</v>
      </c>
      <c r="U2599">
        <v>2488.9360000000001</v>
      </c>
      <c r="V2599">
        <v>0</v>
      </c>
      <c r="W2599">
        <v>77792</v>
      </c>
    </row>
    <row r="2600" spans="1:23" x14ac:dyDescent="0.25">
      <c r="A2600" s="1" t="s">
        <v>35</v>
      </c>
      <c r="B2600" s="1"/>
      <c r="C2600" s="1" t="s">
        <v>180</v>
      </c>
      <c r="D2600">
        <v>10318</v>
      </c>
      <c r="E2600" s="1"/>
      <c r="F2600" s="1" t="s">
        <v>310</v>
      </c>
      <c r="G2600">
        <v>2012</v>
      </c>
      <c r="H2600">
        <v>2415.71</v>
      </c>
      <c r="I2600">
        <v>12</v>
      </c>
      <c r="J2600" s="1" t="s">
        <v>532</v>
      </c>
      <c r="K2600">
        <v>0</v>
      </c>
      <c r="L2600">
        <v>170</v>
      </c>
      <c r="M2600">
        <v>14.201703999999999</v>
      </c>
      <c r="N2600">
        <v>2</v>
      </c>
      <c r="O2600" s="1" t="s">
        <v>569</v>
      </c>
      <c r="P2600">
        <v>2415.71</v>
      </c>
      <c r="Q2600">
        <v>966.29</v>
      </c>
      <c r="R2600">
        <v>0</v>
      </c>
      <c r="S2600" s="1" t="s">
        <v>1049</v>
      </c>
      <c r="T2600" s="1" t="s">
        <v>1315</v>
      </c>
      <c r="U2600">
        <v>2415.7240000000002</v>
      </c>
      <c r="V2600">
        <v>0</v>
      </c>
      <c r="W2600">
        <v>77792</v>
      </c>
    </row>
    <row r="2601" spans="1:23" x14ac:dyDescent="0.25">
      <c r="A2601" s="1" t="s">
        <v>35</v>
      </c>
      <c r="B2601" s="1"/>
      <c r="C2601" s="1" t="s">
        <v>180</v>
      </c>
      <c r="D2601">
        <v>10318</v>
      </c>
      <c r="E2601" s="1"/>
      <c r="F2601" s="1" t="s">
        <v>310</v>
      </c>
      <c r="G2601">
        <v>2011</v>
      </c>
      <c r="H2601">
        <v>2692.88</v>
      </c>
      <c r="I2601">
        <v>12</v>
      </c>
      <c r="J2601" s="1" t="s">
        <v>532</v>
      </c>
      <c r="K2601">
        <v>0</v>
      </c>
      <c r="L2601">
        <v>170</v>
      </c>
      <c r="M2601">
        <v>15.831158</v>
      </c>
      <c r="N2601">
        <v>2</v>
      </c>
      <c r="O2601" s="1" t="s">
        <v>569</v>
      </c>
      <c r="P2601">
        <v>2692.88</v>
      </c>
      <c r="Q2601">
        <v>1262.97</v>
      </c>
      <c r="R2601">
        <v>0</v>
      </c>
      <c r="S2601" s="1" t="s">
        <v>1049</v>
      </c>
      <c r="T2601" s="1" t="s">
        <v>1315</v>
      </c>
      <c r="U2601">
        <v>2692.8850000000002</v>
      </c>
      <c r="V2601">
        <v>0</v>
      </c>
      <c r="W2601">
        <v>77792</v>
      </c>
    </row>
    <row r="2602" spans="1:23" x14ac:dyDescent="0.25">
      <c r="A2602" s="1" t="s">
        <v>35</v>
      </c>
      <c r="B2602" s="1"/>
      <c r="C2602" s="1" t="s">
        <v>180</v>
      </c>
      <c r="D2602">
        <v>10318</v>
      </c>
      <c r="E2602" s="1"/>
      <c r="F2602" s="1" t="s">
        <v>310</v>
      </c>
      <c r="G2602">
        <v>2010</v>
      </c>
      <c r="H2602">
        <v>2472.4699999999998</v>
      </c>
      <c r="I2602">
        <v>9</v>
      </c>
      <c r="J2602" s="1" t="s">
        <v>532</v>
      </c>
      <c r="K2602">
        <v>0</v>
      </c>
      <c r="L2602">
        <v>170</v>
      </c>
      <c r="M2602">
        <v>14.53539</v>
      </c>
      <c r="N2602">
        <v>2</v>
      </c>
      <c r="O2602" s="1" t="s">
        <v>569</v>
      </c>
      <c r="P2602">
        <v>2472.4699999999998</v>
      </c>
      <c r="Q2602">
        <v>1159.5899999999999</v>
      </c>
      <c r="R2602">
        <v>0</v>
      </c>
      <c r="S2602" s="1" t="s">
        <v>1049</v>
      </c>
      <c r="T2602" s="1" t="s">
        <v>1315</v>
      </c>
      <c r="U2602">
        <v>2472.4736800000001</v>
      </c>
      <c r="V2602">
        <v>0</v>
      </c>
      <c r="W2602">
        <v>77792</v>
      </c>
    </row>
    <row r="2603" spans="1:23" x14ac:dyDescent="0.25">
      <c r="A2603" s="1" t="s">
        <v>35</v>
      </c>
      <c r="B2603" s="1"/>
      <c r="C2603" s="1" t="s">
        <v>180</v>
      </c>
      <c r="D2603">
        <v>10318</v>
      </c>
      <c r="E2603" s="1"/>
      <c r="F2603" s="1" t="s">
        <v>310</v>
      </c>
      <c r="G2603">
        <v>2009</v>
      </c>
      <c r="H2603">
        <v>2464.35</v>
      </c>
      <c r="I2603">
        <v>4</v>
      </c>
      <c r="J2603" s="1" t="s">
        <v>532</v>
      </c>
      <c r="K2603">
        <v>0</v>
      </c>
      <c r="L2603">
        <v>170</v>
      </c>
      <c r="M2603">
        <v>14.487653999999999</v>
      </c>
      <c r="N2603">
        <v>2</v>
      </c>
      <c r="O2603" s="1" t="s">
        <v>569</v>
      </c>
      <c r="P2603">
        <v>2464.35</v>
      </c>
      <c r="Q2603">
        <v>1155.77</v>
      </c>
      <c r="R2603">
        <v>0</v>
      </c>
      <c r="S2603" s="1" t="s">
        <v>1049</v>
      </c>
      <c r="T2603" s="1" t="s">
        <v>1315</v>
      </c>
      <c r="U2603">
        <v>2464.3424500000001</v>
      </c>
      <c r="V2603">
        <v>0</v>
      </c>
      <c r="W2603">
        <v>77792</v>
      </c>
    </row>
    <row r="2604" spans="1:23" x14ac:dyDescent="0.25">
      <c r="A2604" s="1" t="s">
        <v>35</v>
      </c>
      <c r="B2604" s="1"/>
      <c r="C2604" s="1" t="s">
        <v>180</v>
      </c>
      <c r="D2604">
        <v>10318</v>
      </c>
      <c r="E2604" s="1"/>
      <c r="F2604" s="1" t="s">
        <v>310</v>
      </c>
      <c r="G2604">
        <v>2008</v>
      </c>
      <c r="H2604">
        <v>2529.15</v>
      </c>
      <c r="I2604">
        <v>3</v>
      </c>
      <c r="J2604" s="1" t="s">
        <v>532</v>
      </c>
      <c r="K2604">
        <v>0</v>
      </c>
      <c r="L2604">
        <v>170</v>
      </c>
      <c r="M2604">
        <v>14.868606</v>
      </c>
      <c r="N2604">
        <v>2</v>
      </c>
      <c r="O2604" s="1" t="s">
        <v>569</v>
      </c>
      <c r="P2604">
        <v>2529.15</v>
      </c>
      <c r="Q2604">
        <v>1186.1400000000001</v>
      </c>
      <c r="R2604">
        <v>0</v>
      </c>
      <c r="S2604" s="1" t="s">
        <v>1049</v>
      </c>
      <c r="T2604" s="1" t="s">
        <v>1315</v>
      </c>
      <c r="U2604">
        <v>2529.1252899999999</v>
      </c>
      <c r="V2604">
        <v>0</v>
      </c>
      <c r="W2604">
        <v>77792</v>
      </c>
    </row>
    <row r="2605" spans="1:23" x14ac:dyDescent="0.25">
      <c r="A2605" s="1" t="s">
        <v>35</v>
      </c>
      <c r="B2605" s="1"/>
      <c r="C2605" s="1" t="s">
        <v>181</v>
      </c>
      <c r="D2605">
        <v>10273</v>
      </c>
      <c r="E2605" s="1"/>
      <c r="F2605" s="1" t="s">
        <v>311</v>
      </c>
      <c r="G2605">
        <v>2015</v>
      </c>
      <c r="H2605">
        <v>5256.14</v>
      </c>
      <c r="I2605">
        <v>5</v>
      </c>
      <c r="J2605" s="1" t="s">
        <v>399</v>
      </c>
      <c r="K2605">
        <v>0</v>
      </c>
      <c r="L2605">
        <v>400</v>
      </c>
      <c r="M2605">
        <v>13.137065</v>
      </c>
      <c r="N2605">
        <v>2</v>
      </c>
      <c r="O2605" s="1" t="s">
        <v>569</v>
      </c>
      <c r="P2605">
        <v>5256.14</v>
      </c>
      <c r="Q2605">
        <v>1576.85</v>
      </c>
      <c r="R2605">
        <v>0</v>
      </c>
      <c r="S2605" s="1" t="s">
        <v>1050</v>
      </c>
      <c r="T2605" s="1" t="s">
        <v>1316</v>
      </c>
      <c r="U2605">
        <v>5256.1437999999998</v>
      </c>
      <c r="V2605">
        <v>0</v>
      </c>
      <c r="W2605">
        <v>77659</v>
      </c>
    </row>
    <row r="2606" spans="1:23" x14ac:dyDescent="0.25">
      <c r="A2606" s="1" t="s">
        <v>35</v>
      </c>
      <c r="B2606" s="1"/>
      <c r="C2606" s="1" t="s">
        <v>181</v>
      </c>
      <c r="D2606">
        <v>10273</v>
      </c>
      <c r="E2606" s="1"/>
      <c r="F2606" s="1" t="s">
        <v>311</v>
      </c>
      <c r="G2606">
        <v>2014</v>
      </c>
      <c r="H2606">
        <v>15782.48</v>
      </c>
      <c r="I2606">
        <v>12</v>
      </c>
      <c r="J2606" s="1" t="s">
        <v>399</v>
      </c>
      <c r="K2606">
        <v>0</v>
      </c>
      <c r="L2606">
        <v>400</v>
      </c>
      <c r="M2606">
        <v>39.446337999999997</v>
      </c>
      <c r="N2606">
        <v>2</v>
      </c>
      <c r="O2606" s="1" t="s">
        <v>569</v>
      </c>
      <c r="P2606">
        <v>15782.48</v>
      </c>
      <c r="Q2606">
        <v>4734.76</v>
      </c>
      <c r="R2606">
        <v>0</v>
      </c>
      <c r="S2606" s="1" t="s">
        <v>1050</v>
      </c>
      <c r="T2606" s="1" t="s">
        <v>1316</v>
      </c>
      <c r="U2606">
        <v>15782.4881</v>
      </c>
      <c r="V2606">
        <v>0</v>
      </c>
      <c r="W2606">
        <v>77659</v>
      </c>
    </row>
    <row r="2607" spans="1:23" x14ac:dyDescent="0.25">
      <c r="A2607" s="1" t="s">
        <v>35</v>
      </c>
      <c r="B2607" s="1"/>
      <c r="C2607" s="1" t="s">
        <v>181</v>
      </c>
      <c r="D2607">
        <v>10273</v>
      </c>
      <c r="E2607" s="1"/>
      <c r="F2607" s="1" t="s">
        <v>311</v>
      </c>
      <c r="G2607">
        <v>2013</v>
      </c>
      <c r="H2607">
        <v>14268.89</v>
      </c>
      <c r="I2607">
        <v>12</v>
      </c>
      <c r="J2607" s="1" t="s">
        <v>399</v>
      </c>
      <c r="K2607">
        <v>0</v>
      </c>
      <c r="L2607">
        <v>400</v>
      </c>
      <c r="M2607">
        <v>35.663308999999998</v>
      </c>
      <c r="N2607">
        <v>2</v>
      </c>
      <c r="O2607" s="1" t="s">
        <v>569</v>
      </c>
      <c r="P2607">
        <v>14268.89</v>
      </c>
      <c r="Q2607">
        <v>4280.68</v>
      </c>
      <c r="R2607">
        <v>0</v>
      </c>
      <c r="S2607" s="1" t="s">
        <v>1050</v>
      </c>
      <c r="T2607" s="1" t="s">
        <v>1316</v>
      </c>
      <c r="U2607">
        <v>14268.880999999999</v>
      </c>
      <c r="V2607">
        <v>0</v>
      </c>
      <c r="W2607">
        <v>77659</v>
      </c>
    </row>
    <row r="2608" spans="1:23" x14ac:dyDescent="0.25">
      <c r="A2608" s="1" t="s">
        <v>35</v>
      </c>
      <c r="B2608" s="1"/>
      <c r="C2608" s="1" t="s">
        <v>181</v>
      </c>
      <c r="D2608">
        <v>10273</v>
      </c>
      <c r="E2608" s="1"/>
      <c r="F2608" s="1" t="s">
        <v>311</v>
      </c>
      <c r="G2608">
        <v>2012</v>
      </c>
      <c r="H2608">
        <v>13766.87</v>
      </c>
      <c r="I2608">
        <v>12</v>
      </c>
      <c r="J2608" s="1" t="s">
        <v>399</v>
      </c>
      <c r="K2608">
        <v>0</v>
      </c>
      <c r="L2608">
        <v>400</v>
      </c>
      <c r="M2608">
        <v>34.408571999999999</v>
      </c>
      <c r="N2608">
        <v>2</v>
      </c>
      <c r="O2608" s="1" t="s">
        <v>569</v>
      </c>
      <c r="P2608">
        <v>13766.87</v>
      </c>
      <c r="Q2608">
        <v>5506.74</v>
      </c>
      <c r="R2608">
        <v>0</v>
      </c>
      <c r="S2608" s="1" t="s">
        <v>1050</v>
      </c>
      <c r="T2608" s="1" t="s">
        <v>1316</v>
      </c>
      <c r="U2608">
        <v>13766.870999999999</v>
      </c>
      <c r="V2608">
        <v>0</v>
      </c>
      <c r="W2608">
        <v>77659</v>
      </c>
    </row>
    <row r="2609" spans="1:23" x14ac:dyDescent="0.25">
      <c r="A2609" s="1" t="s">
        <v>35</v>
      </c>
      <c r="B2609" s="1"/>
      <c r="C2609" s="1" t="s">
        <v>181</v>
      </c>
      <c r="D2609">
        <v>10273</v>
      </c>
      <c r="E2609" s="1"/>
      <c r="F2609" s="1" t="s">
        <v>311</v>
      </c>
      <c r="G2609">
        <v>2011</v>
      </c>
      <c r="H2609">
        <v>17283.87</v>
      </c>
      <c r="I2609">
        <v>15</v>
      </c>
      <c r="J2609" s="1" t="s">
        <v>399</v>
      </c>
      <c r="K2609">
        <v>0</v>
      </c>
      <c r="L2609">
        <v>400</v>
      </c>
      <c r="M2609">
        <v>43.198875000000001</v>
      </c>
      <c r="N2609">
        <v>2</v>
      </c>
      <c r="O2609" s="1" t="s">
        <v>569</v>
      </c>
      <c r="P2609">
        <v>17283.87</v>
      </c>
      <c r="Q2609">
        <v>8106.16</v>
      </c>
      <c r="R2609">
        <v>0</v>
      </c>
      <c r="S2609" s="1" t="s">
        <v>1050</v>
      </c>
      <c r="T2609" s="1" t="s">
        <v>1316</v>
      </c>
      <c r="U2609">
        <v>17283.87499</v>
      </c>
      <c r="V2609">
        <v>0</v>
      </c>
      <c r="W2609">
        <v>77659</v>
      </c>
    </row>
    <row r="2610" spans="1:23" x14ac:dyDescent="0.25">
      <c r="A2610" s="1" t="s">
        <v>35</v>
      </c>
      <c r="B2610" s="1"/>
      <c r="C2610" s="1" t="s">
        <v>181</v>
      </c>
      <c r="D2610">
        <v>10273</v>
      </c>
      <c r="E2610" s="1"/>
      <c r="F2610" s="1" t="s">
        <v>311</v>
      </c>
      <c r="G2610">
        <v>2010</v>
      </c>
      <c r="H2610">
        <v>18704.16</v>
      </c>
      <c r="I2610">
        <v>11</v>
      </c>
      <c r="J2610" s="1" t="s">
        <v>399</v>
      </c>
      <c r="K2610">
        <v>0</v>
      </c>
      <c r="L2610">
        <v>400</v>
      </c>
      <c r="M2610">
        <v>46.748711999999998</v>
      </c>
      <c r="N2610">
        <v>2</v>
      </c>
      <c r="O2610" s="1" t="s">
        <v>569</v>
      </c>
      <c r="P2610">
        <v>18704.16</v>
      </c>
      <c r="Q2610">
        <v>8772.23</v>
      </c>
      <c r="R2610">
        <v>0</v>
      </c>
      <c r="S2610" s="1" t="s">
        <v>1050</v>
      </c>
      <c r="T2610" s="1" t="s">
        <v>1316</v>
      </c>
      <c r="U2610">
        <v>18704.153579999998</v>
      </c>
      <c r="V2610">
        <v>0</v>
      </c>
      <c r="W2610">
        <v>77659</v>
      </c>
    </row>
    <row r="2611" spans="1:23" x14ac:dyDescent="0.25">
      <c r="A2611" s="1" t="s">
        <v>35</v>
      </c>
      <c r="B2611" s="1"/>
      <c r="C2611" s="1" t="s">
        <v>181</v>
      </c>
      <c r="D2611">
        <v>10273</v>
      </c>
      <c r="E2611" s="1"/>
      <c r="F2611" s="1" t="s">
        <v>311</v>
      </c>
      <c r="G2611">
        <v>2009</v>
      </c>
      <c r="H2611">
        <v>17244.75</v>
      </c>
      <c r="I2611">
        <v>12</v>
      </c>
      <c r="J2611" s="1" t="s">
        <v>399</v>
      </c>
      <c r="K2611">
        <v>0</v>
      </c>
      <c r="L2611">
        <v>400</v>
      </c>
      <c r="M2611">
        <v>43.101098999999998</v>
      </c>
      <c r="N2611">
        <v>2</v>
      </c>
      <c r="O2611" s="1" t="s">
        <v>569</v>
      </c>
      <c r="P2611">
        <v>17244.75</v>
      </c>
      <c r="Q2611">
        <v>8087.8</v>
      </c>
      <c r="R2611">
        <v>0</v>
      </c>
      <c r="S2611" s="1" t="s">
        <v>1050</v>
      </c>
      <c r="T2611" s="1" t="s">
        <v>1316</v>
      </c>
      <c r="U2611">
        <v>17244.742849999999</v>
      </c>
      <c r="V2611">
        <v>0</v>
      </c>
      <c r="W2611">
        <v>77659</v>
      </c>
    </row>
    <row r="2612" spans="1:23" x14ac:dyDescent="0.25">
      <c r="A2612" s="1" t="s">
        <v>35</v>
      </c>
      <c r="B2612" s="1"/>
      <c r="C2612" s="1" t="s">
        <v>181</v>
      </c>
      <c r="D2612">
        <v>10273</v>
      </c>
      <c r="E2612" s="1"/>
      <c r="F2612" s="1" t="s">
        <v>311</v>
      </c>
      <c r="G2612">
        <v>2008</v>
      </c>
      <c r="H2612">
        <v>16763.87</v>
      </c>
      <c r="I2612">
        <v>5</v>
      </c>
      <c r="J2612" s="1" t="s">
        <v>399</v>
      </c>
      <c r="K2612">
        <v>0</v>
      </c>
      <c r="L2612">
        <v>400</v>
      </c>
      <c r="M2612">
        <v>41.8992</v>
      </c>
      <c r="N2612">
        <v>2</v>
      </c>
      <c r="O2612" s="1" t="s">
        <v>569</v>
      </c>
      <c r="P2612">
        <v>16763.87</v>
      </c>
      <c r="Q2612">
        <v>7862.26</v>
      </c>
      <c r="R2612">
        <v>0</v>
      </c>
      <c r="S2612" s="1" t="s">
        <v>1050</v>
      </c>
      <c r="T2612" s="1" t="s">
        <v>1316</v>
      </c>
      <c r="U2612">
        <v>16763.86764</v>
      </c>
      <c r="V2612">
        <v>0</v>
      </c>
      <c r="W2612">
        <v>77659</v>
      </c>
    </row>
    <row r="2613" spans="1:23" x14ac:dyDescent="0.25">
      <c r="A2613" s="1" t="s">
        <v>35</v>
      </c>
      <c r="B2613" s="1"/>
      <c r="C2613" s="1" t="s">
        <v>236</v>
      </c>
      <c r="D2613">
        <v>5945</v>
      </c>
      <c r="E2613" s="1"/>
      <c r="F2613" s="1" t="s">
        <v>236</v>
      </c>
      <c r="G2613">
        <v>2015</v>
      </c>
      <c r="H2613">
        <v>6304.62</v>
      </c>
      <c r="I2613">
        <v>5</v>
      </c>
      <c r="J2613" s="1"/>
      <c r="K2613">
        <v>0</v>
      </c>
      <c r="L2613">
        <v>506</v>
      </c>
      <c r="M2613">
        <v>12.457261000000001</v>
      </c>
      <c r="N2613">
        <v>2</v>
      </c>
      <c r="O2613" s="1" t="s">
        <v>569</v>
      </c>
      <c r="P2613">
        <v>6304.62</v>
      </c>
      <c r="Q2613">
        <v>1891.38</v>
      </c>
      <c r="R2613">
        <v>0</v>
      </c>
      <c r="S2613" s="1" t="s">
        <v>1051</v>
      </c>
      <c r="T2613" s="1"/>
      <c r="U2613">
        <v>6304.6081000000004</v>
      </c>
      <c r="V2613">
        <v>0</v>
      </c>
      <c r="W2613">
        <v>94151</v>
      </c>
    </row>
    <row r="2614" spans="1:23" x14ac:dyDescent="0.25">
      <c r="A2614" s="1" t="s">
        <v>35</v>
      </c>
      <c r="B2614" s="1"/>
      <c r="C2614" s="1" t="s">
        <v>236</v>
      </c>
      <c r="D2614">
        <v>5945</v>
      </c>
      <c r="E2614" s="1"/>
      <c r="F2614" s="1" t="s">
        <v>236</v>
      </c>
      <c r="G2614">
        <v>2014</v>
      </c>
      <c r="H2614">
        <v>15928.36</v>
      </c>
      <c r="I2614">
        <v>12</v>
      </c>
      <c r="J2614" s="1"/>
      <c r="K2614">
        <v>0</v>
      </c>
      <c r="L2614">
        <v>506</v>
      </c>
      <c r="M2614">
        <v>31.472752</v>
      </c>
      <c r="N2614">
        <v>2</v>
      </c>
      <c r="O2614" s="1" t="s">
        <v>569</v>
      </c>
      <c r="P2614">
        <v>15928.36</v>
      </c>
      <c r="Q2614">
        <v>4778.5</v>
      </c>
      <c r="R2614">
        <v>0</v>
      </c>
      <c r="S2614" s="1" t="s">
        <v>1051</v>
      </c>
      <c r="T2614" s="1"/>
      <c r="U2614">
        <v>15928.3511</v>
      </c>
      <c r="V2614">
        <v>0</v>
      </c>
      <c r="W2614">
        <v>94151</v>
      </c>
    </row>
    <row r="2615" spans="1:23" x14ac:dyDescent="0.25">
      <c r="A2615" s="1" t="s">
        <v>35</v>
      </c>
      <c r="B2615" s="1"/>
      <c r="C2615" s="1" t="s">
        <v>236</v>
      </c>
      <c r="D2615">
        <v>5945</v>
      </c>
      <c r="E2615" s="1"/>
      <c r="F2615" s="1" t="s">
        <v>236</v>
      </c>
      <c r="G2615">
        <v>2013</v>
      </c>
      <c r="H2615">
        <v>3595.39</v>
      </c>
      <c r="I2615">
        <v>2</v>
      </c>
      <c r="J2615" s="1" t="s">
        <v>533</v>
      </c>
      <c r="K2615">
        <v>0</v>
      </c>
      <c r="L2615">
        <v>506</v>
      </c>
      <c r="M2615">
        <v>7.1041090000000002</v>
      </c>
      <c r="N2615">
        <v>2</v>
      </c>
      <c r="O2615" s="1" t="s">
        <v>569</v>
      </c>
      <c r="P2615">
        <v>3595.39</v>
      </c>
      <c r="Q2615">
        <v>1078.6099999999999</v>
      </c>
      <c r="R2615">
        <v>0</v>
      </c>
      <c r="S2615" s="1" t="s">
        <v>1052</v>
      </c>
      <c r="T2615" s="1" t="s">
        <v>1317</v>
      </c>
      <c r="U2615">
        <v>3595.3846100000001</v>
      </c>
      <c r="V2615">
        <v>0</v>
      </c>
      <c r="W2615">
        <v>86355</v>
      </c>
    </row>
    <row r="2616" spans="1:23" x14ac:dyDescent="0.25">
      <c r="A2616" s="1" t="s">
        <v>35</v>
      </c>
      <c r="B2616" s="1"/>
      <c r="C2616" s="1" t="s">
        <v>236</v>
      </c>
      <c r="D2616">
        <v>5945</v>
      </c>
      <c r="E2616" s="1"/>
      <c r="F2616" s="1" t="s">
        <v>236</v>
      </c>
      <c r="G2616">
        <v>2013</v>
      </c>
      <c r="H2616">
        <v>13531.29</v>
      </c>
      <c r="I2616">
        <v>10</v>
      </c>
      <c r="J2616" s="1"/>
      <c r="K2616">
        <v>0</v>
      </c>
      <c r="L2616">
        <v>506</v>
      </c>
      <c r="M2616">
        <v>26.736395000000002</v>
      </c>
      <c r="N2616">
        <v>2</v>
      </c>
      <c r="O2616" s="1" t="s">
        <v>569</v>
      </c>
      <c r="P2616">
        <v>13531.29</v>
      </c>
      <c r="Q2616">
        <v>4059.41</v>
      </c>
      <c r="R2616">
        <v>0</v>
      </c>
      <c r="S2616" s="1" t="s">
        <v>1051</v>
      </c>
      <c r="T2616" s="1"/>
      <c r="U2616">
        <v>13531.284</v>
      </c>
      <c r="V2616">
        <v>0</v>
      </c>
      <c r="W2616">
        <v>94151</v>
      </c>
    </row>
    <row r="2617" spans="1:23" x14ac:dyDescent="0.25">
      <c r="A2617" s="1" t="s">
        <v>35</v>
      </c>
      <c r="B2617" s="1"/>
      <c r="C2617" s="1" t="s">
        <v>236</v>
      </c>
      <c r="D2617">
        <v>5945</v>
      </c>
      <c r="E2617" s="1"/>
      <c r="F2617" s="1" t="s">
        <v>236</v>
      </c>
      <c r="G2617">
        <v>2012</v>
      </c>
      <c r="H2617">
        <v>11120.27</v>
      </c>
      <c r="I2617">
        <v>2</v>
      </c>
      <c r="J2617" s="1" t="s">
        <v>533</v>
      </c>
      <c r="K2617">
        <v>0</v>
      </c>
      <c r="L2617">
        <v>506</v>
      </c>
      <c r="M2617">
        <v>21.972474999999999</v>
      </c>
      <c r="N2617">
        <v>2</v>
      </c>
      <c r="O2617" s="1" t="s">
        <v>569</v>
      </c>
      <c r="P2617">
        <v>11120.27</v>
      </c>
      <c r="Q2617">
        <v>4448.1000000000004</v>
      </c>
      <c r="R2617">
        <v>0</v>
      </c>
      <c r="S2617" s="1" t="s">
        <v>1052</v>
      </c>
      <c r="T2617" s="1" t="s">
        <v>1317</v>
      </c>
      <c r="U2617">
        <v>11120.267540000001</v>
      </c>
      <c r="V2617">
        <v>0</v>
      </c>
      <c r="W2617">
        <v>86355</v>
      </c>
    </row>
    <row r="2618" spans="1:23" x14ac:dyDescent="0.25">
      <c r="A2618" s="1" t="s">
        <v>35</v>
      </c>
      <c r="B2618" s="1"/>
      <c r="C2618" s="1" t="s">
        <v>236</v>
      </c>
      <c r="D2618">
        <v>5945</v>
      </c>
      <c r="E2618" s="1"/>
      <c r="F2618" s="1" t="s">
        <v>236</v>
      </c>
      <c r="G2618">
        <v>2011</v>
      </c>
      <c r="H2618">
        <v>13130.54</v>
      </c>
      <c r="I2618">
        <v>8</v>
      </c>
      <c r="J2618" s="1" t="s">
        <v>533</v>
      </c>
      <c r="K2618">
        <v>0</v>
      </c>
      <c r="L2618">
        <v>506</v>
      </c>
      <c r="M2618">
        <v>25.944555999999999</v>
      </c>
      <c r="N2618">
        <v>2</v>
      </c>
      <c r="O2618" s="1" t="s">
        <v>569</v>
      </c>
      <c r="P2618">
        <v>13130.54</v>
      </c>
      <c r="Q2618">
        <v>6158.22</v>
      </c>
      <c r="R2618">
        <v>0</v>
      </c>
      <c r="S2618" s="1" t="s">
        <v>1052</v>
      </c>
      <c r="T2618" s="1" t="s">
        <v>1317</v>
      </c>
      <c r="U2618">
        <v>13130.554700000001</v>
      </c>
      <c r="V2618">
        <v>0</v>
      </c>
      <c r="W2618">
        <v>86355</v>
      </c>
    </row>
    <row r="2619" spans="1:23" x14ac:dyDescent="0.25">
      <c r="A2619" s="1" t="s">
        <v>35</v>
      </c>
      <c r="B2619" s="1"/>
      <c r="C2619" s="1" t="s">
        <v>236</v>
      </c>
      <c r="D2619">
        <v>5945</v>
      </c>
      <c r="E2619" s="1"/>
      <c r="F2619" s="1" t="s">
        <v>236</v>
      </c>
      <c r="G2619">
        <v>2010</v>
      </c>
      <c r="H2619">
        <v>11831.76</v>
      </c>
      <c r="I2619">
        <v>10</v>
      </c>
      <c r="J2619" s="1" t="s">
        <v>534</v>
      </c>
      <c r="K2619">
        <v>0</v>
      </c>
      <c r="L2619">
        <v>506</v>
      </c>
      <c r="M2619">
        <v>23.378304</v>
      </c>
      <c r="N2619">
        <v>2</v>
      </c>
      <c r="O2619" s="1" t="s">
        <v>569</v>
      </c>
      <c r="P2619">
        <v>11831.76</v>
      </c>
      <c r="Q2619">
        <v>5549.11</v>
      </c>
      <c r="R2619">
        <v>0</v>
      </c>
      <c r="S2619" s="1" t="s">
        <v>1053</v>
      </c>
      <c r="T2619" s="1"/>
      <c r="U2619">
        <v>11831.764709999999</v>
      </c>
      <c r="V2619">
        <v>0</v>
      </c>
      <c r="W2619">
        <v>76512</v>
      </c>
    </row>
    <row r="2620" spans="1:23" x14ac:dyDescent="0.25">
      <c r="A2620" s="1" t="s">
        <v>35</v>
      </c>
      <c r="B2620" s="1"/>
      <c r="C2620" s="1" t="s">
        <v>236</v>
      </c>
      <c r="D2620">
        <v>5945</v>
      </c>
      <c r="E2620" s="1"/>
      <c r="F2620" s="1" t="s">
        <v>236</v>
      </c>
      <c r="G2620">
        <v>2010</v>
      </c>
      <c r="H2620">
        <v>5273.79</v>
      </c>
      <c r="I2620">
        <v>3</v>
      </c>
      <c r="J2620" s="1" t="s">
        <v>533</v>
      </c>
      <c r="K2620">
        <v>0</v>
      </c>
      <c r="L2620">
        <v>506</v>
      </c>
      <c r="M2620">
        <v>10.420450000000001</v>
      </c>
      <c r="N2620">
        <v>2</v>
      </c>
      <c r="O2620" s="1" t="s">
        <v>569</v>
      </c>
      <c r="P2620">
        <v>5273.79</v>
      </c>
      <c r="Q2620">
        <v>2473.41</v>
      </c>
      <c r="R2620">
        <v>0</v>
      </c>
      <c r="S2620" s="1" t="s">
        <v>1052</v>
      </c>
      <c r="T2620" s="1" t="s">
        <v>1317</v>
      </c>
      <c r="U2620">
        <v>5273.7931099999996</v>
      </c>
      <c r="V2620">
        <v>0</v>
      </c>
      <c r="W2620">
        <v>86355</v>
      </c>
    </row>
    <row r="2621" spans="1:23" x14ac:dyDescent="0.25">
      <c r="A2621" s="1" t="s">
        <v>35</v>
      </c>
      <c r="B2621" s="1"/>
      <c r="C2621" s="1" t="s">
        <v>236</v>
      </c>
      <c r="D2621">
        <v>5945</v>
      </c>
      <c r="E2621" s="1"/>
      <c r="F2621" s="1" t="s">
        <v>236</v>
      </c>
      <c r="G2621">
        <v>2009</v>
      </c>
      <c r="H2621">
        <v>17816.810000000001</v>
      </c>
      <c r="I2621">
        <v>7</v>
      </c>
      <c r="J2621" s="1" t="s">
        <v>534</v>
      </c>
      <c r="K2621">
        <v>0</v>
      </c>
      <c r="L2621">
        <v>506</v>
      </c>
      <c r="M2621">
        <v>35.204129000000002</v>
      </c>
      <c r="N2621">
        <v>2</v>
      </c>
      <c r="O2621" s="1" t="s">
        <v>569</v>
      </c>
      <c r="P2621">
        <v>17816.810000000001</v>
      </c>
      <c r="Q2621">
        <v>8356.07</v>
      </c>
      <c r="R2621">
        <v>0</v>
      </c>
      <c r="S2621" s="1" t="s">
        <v>1053</v>
      </c>
      <c r="T2621" s="1"/>
      <c r="U2621">
        <v>17816.80672</v>
      </c>
      <c r="V2621">
        <v>0</v>
      </c>
      <c r="W2621">
        <v>76512</v>
      </c>
    </row>
    <row r="2622" spans="1:23" x14ac:dyDescent="0.25">
      <c r="A2622" s="1" t="s">
        <v>35</v>
      </c>
      <c r="B2622" s="1"/>
      <c r="C2622" s="1" t="s">
        <v>236</v>
      </c>
      <c r="D2622">
        <v>5945</v>
      </c>
      <c r="E2622" s="1"/>
      <c r="F2622" s="1" t="s">
        <v>236</v>
      </c>
      <c r="G2622">
        <v>2008</v>
      </c>
      <c r="H2622">
        <v>899.17</v>
      </c>
      <c r="I2622">
        <v>2</v>
      </c>
      <c r="J2622" s="1" t="s">
        <v>535</v>
      </c>
      <c r="K2622">
        <v>0</v>
      </c>
      <c r="L2622">
        <v>506</v>
      </c>
      <c r="M2622">
        <v>1.776664</v>
      </c>
      <c r="N2622">
        <v>2</v>
      </c>
      <c r="O2622" s="1" t="s">
        <v>569</v>
      </c>
      <c r="P2622">
        <v>899.17</v>
      </c>
      <c r="Q2622">
        <v>421.71</v>
      </c>
      <c r="R2622">
        <v>0</v>
      </c>
      <c r="S2622" s="1" t="s">
        <v>1054</v>
      </c>
      <c r="T2622" s="1"/>
      <c r="U2622">
        <v>899.16666999999995</v>
      </c>
      <c r="V2622">
        <v>0</v>
      </c>
      <c r="W2622">
        <v>59953</v>
      </c>
    </row>
    <row r="2623" spans="1:23" x14ac:dyDescent="0.25">
      <c r="A2623" s="1" t="s">
        <v>35</v>
      </c>
      <c r="B2623" s="1"/>
      <c r="C2623" s="1" t="s">
        <v>236</v>
      </c>
      <c r="D2623">
        <v>5945</v>
      </c>
      <c r="E2623" s="1"/>
      <c r="F2623" s="1" t="s">
        <v>236</v>
      </c>
      <c r="G2623">
        <v>2008</v>
      </c>
      <c r="H2623">
        <v>16851.45</v>
      </c>
      <c r="I2623">
        <v>8</v>
      </c>
      <c r="J2623" s="1" t="s">
        <v>534</v>
      </c>
      <c r="K2623">
        <v>0</v>
      </c>
      <c r="L2623">
        <v>506</v>
      </c>
      <c r="M2623">
        <v>33.296680000000002</v>
      </c>
      <c r="N2623">
        <v>2</v>
      </c>
      <c r="O2623" s="1" t="s">
        <v>569</v>
      </c>
      <c r="P2623">
        <v>16851.45</v>
      </c>
      <c r="Q2623">
        <v>7903.32</v>
      </c>
      <c r="R2623">
        <v>0</v>
      </c>
      <c r="S2623" s="1" t="s">
        <v>1053</v>
      </c>
      <c r="T2623" s="1"/>
      <c r="U2623">
        <v>16851.42857</v>
      </c>
      <c r="V2623">
        <v>0</v>
      </c>
      <c r="W2623">
        <v>76512</v>
      </c>
    </row>
    <row r="2624" spans="1:23" x14ac:dyDescent="0.25">
      <c r="A2624" s="1" t="s">
        <v>35</v>
      </c>
      <c r="B2624" s="1"/>
      <c r="C2624" s="1" t="s">
        <v>182</v>
      </c>
      <c r="D2624">
        <v>10182</v>
      </c>
      <c r="E2624" s="1"/>
      <c r="F2624" s="1" t="s">
        <v>312</v>
      </c>
      <c r="G2624">
        <v>2015</v>
      </c>
      <c r="H2624">
        <v>1495.2</v>
      </c>
      <c r="I2624">
        <v>5</v>
      </c>
      <c r="J2624" s="1" t="s">
        <v>441</v>
      </c>
      <c r="K2624">
        <v>0</v>
      </c>
      <c r="L2624">
        <v>152</v>
      </c>
      <c r="M2624">
        <v>9.8303740000000008</v>
      </c>
      <c r="N2624">
        <v>2</v>
      </c>
      <c r="O2624" s="1" t="s">
        <v>569</v>
      </c>
      <c r="P2624">
        <v>1495.2</v>
      </c>
      <c r="Q2624">
        <v>448.55</v>
      </c>
      <c r="R2624">
        <v>0</v>
      </c>
      <c r="S2624" s="1" t="s">
        <v>1055</v>
      </c>
      <c r="T2624" s="1" t="s">
        <v>1318</v>
      </c>
      <c r="U2624">
        <v>1495.2</v>
      </c>
      <c r="V2624">
        <v>0</v>
      </c>
      <c r="W2624">
        <v>77233</v>
      </c>
    </row>
    <row r="2625" spans="1:23" x14ac:dyDescent="0.25">
      <c r="A2625" s="1" t="s">
        <v>35</v>
      </c>
      <c r="B2625" s="1"/>
      <c r="C2625" s="1" t="s">
        <v>182</v>
      </c>
      <c r="D2625">
        <v>10182</v>
      </c>
      <c r="E2625" s="1"/>
      <c r="F2625" s="1" t="s">
        <v>312</v>
      </c>
      <c r="G2625">
        <v>2014</v>
      </c>
      <c r="H2625">
        <v>2294.0500000000002</v>
      </c>
      <c r="I2625">
        <v>10</v>
      </c>
      <c r="J2625" s="1" t="s">
        <v>441</v>
      </c>
      <c r="K2625">
        <v>0</v>
      </c>
      <c r="L2625">
        <v>152</v>
      </c>
      <c r="M2625">
        <v>15.082511</v>
      </c>
      <c r="N2625">
        <v>2</v>
      </c>
      <c r="O2625" s="1" t="s">
        <v>569</v>
      </c>
      <c r="P2625">
        <v>2294.0500000000002</v>
      </c>
      <c r="Q2625">
        <v>688.23</v>
      </c>
      <c r="R2625">
        <v>0</v>
      </c>
      <c r="S2625" s="1" t="s">
        <v>1055</v>
      </c>
      <c r="T2625" s="1" t="s">
        <v>1318</v>
      </c>
      <c r="U2625">
        <v>2294.0551999999998</v>
      </c>
      <c r="V2625">
        <v>0</v>
      </c>
      <c r="W2625">
        <v>77233</v>
      </c>
    </row>
    <row r="2626" spans="1:23" x14ac:dyDescent="0.25">
      <c r="A2626" s="1" t="s">
        <v>35</v>
      </c>
      <c r="B2626" s="1"/>
      <c r="C2626" s="1" t="s">
        <v>182</v>
      </c>
      <c r="D2626">
        <v>10182</v>
      </c>
      <c r="E2626" s="1"/>
      <c r="F2626" s="1" t="s">
        <v>312</v>
      </c>
      <c r="G2626">
        <v>2013</v>
      </c>
      <c r="H2626">
        <v>3271.8</v>
      </c>
      <c r="I2626">
        <v>10</v>
      </c>
      <c r="J2626" s="1" t="s">
        <v>441</v>
      </c>
      <c r="K2626">
        <v>0</v>
      </c>
      <c r="L2626">
        <v>152</v>
      </c>
      <c r="M2626">
        <v>21.510847999999999</v>
      </c>
      <c r="N2626">
        <v>2</v>
      </c>
      <c r="O2626" s="1" t="s">
        <v>569</v>
      </c>
      <c r="P2626">
        <v>3271.8</v>
      </c>
      <c r="Q2626">
        <v>981.54</v>
      </c>
      <c r="R2626">
        <v>0</v>
      </c>
      <c r="S2626" s="1" t="s">
        <v>1055</v>
      </c>
      <c r="T2626" s="1" t="s">
        <v>1318</v>
      </c>
      <c r="U2626">
        <v>3271.8</v>
      </c>
      <c r="V2626">
        <v>0</v>
      </c>
      <c r="W2626">
        <v>77233</v>
      </c>
    </row>
    <row r="2627" spans="1:23" x14ac:dyDescent="0.25">
      <c r="A2627" s="1" t="s">
        <v>35</v>
      </c>
      <c r="B2627" s="1"/>
      <c r="C2627" s="1" t="s">
        <v>182</v>
      </c>
      <c r="D2627">
        <v>10182</v>
      </c>
      <c r="E2627" s="1"/>
      <c r="F2627" s="1" t="s">
        <v>312</v>
      </c>
      <c r="G2627">
        <v>2012</v>
      </c>
      <c r="H2627">
        <v>6183.44</v>
      </c>
      <c r="I2627">
        <v>4</v>
      </c>
      <c r="J2627" s="1" t="s">
        <v>441</v>
      </c>
      <c r="K2627">
        <v>0</v>
      </c>
      <c r="L2627">
        <v>152</v>
      </c>
      <c r="M2627">
        <v>40.653779999999998</v>
      </c>
      <c r="N2627">
        <v>2</v>
      </c>
      <c r="O2627" s="1" t="s">
        <v>569</v>
      </c>
      <c r="P2627">
        <v>6183.44</v>
      </c>
      <c r="Q2627">
        <v>2473.38</v>
      </c>
      <c r="R2627">
        <v>0</v>
      </c>
      <c r="S2627" s="1" t="s">
        <v>1055</v>
      </c>
      <c r="T2627" s="1" t="s">
        <v>1318</v>
      </c>
      <c r="U2627">
        <v>6183.45</v>
      </c>
      <c r="V2627">
        <v>0</v>
      </c>
      <c r="W2627">
        <v>77233</v>
      </c>
    </row>
    <row r="2628" spans="1:23" x14ac:dyDescent="0.25">
      <c r="A2628" s="1" t="s">
        <v>35</v>
      </c>
      <c r="B2628" s="1"/>
      <c r="C2628" s="1" t="s">
        <v>182</v>
      </c>
      <c r="D2628">
        <v>10182</v>
      </c>
      <c r="E2628" s="1"/>
      <c r="F2628" s="1" t="s">
        <v>312</v>
      </c>
      <c r="G2628">
        <v>2011</v>
      </c>
      <c r="H2628">
        <v>4949.09</v>
      </c>
      <c r="I2628">
        <v>3</v>
      </c>
      <c r="J2628" s="1" t="s">
        <v>441</v>
      </c>
      <c r="K2628">
        <v>0</v>
      </c>
      <c r="L2628">
        <v>152</v>
      </c>
      <c r="M2628">
        <v>32.538395000000001</v>
      </c>
      <c r="N2628">
        <v>2</v>
      </c>
      <c r="O2628" s="1" t="s">
        <v>569</v>
      </c>
      <c r="P2628">
        <v>4949.09</v>
      </c>
      <c r="Q2628">
        <v>2321.12</v>
      </c>
      <c r="R2628">
        <v>0</v>
      </c>
      <c r="S2628" s="1" t="s">
        <v>1055</v>
      </c>
      <c r="T2628" s="1" t="s">
        <v>1318</v>
      </c>
      <c r="U2628">
        <v>4949.0833400000001</v>
      </c>
      <c r="V2628">
        <v>0</v>
      </c>
      <c r="W2628">
        <v>77233</v>
      </c>
    </row>
    <row r="2629" spans="1:23" x14ac:dyDescent="0.25">
      <c r="A2629" s="1" t="s">
        <v>35</v>
      </c>
      <c r="B2629" s="1"/>
      <c r="C2629" s="1" t="s">
        <v>182</v>
      </c>
      <c r="D2629">
        <v>10182</v>
      </c>
      <c r="E2629" s="1"/>
      <c r="F2629" s="1" t="s">
        <v>312</v>
      </c>
      <c r="G2629">
        <v>2010</v>
      </c>
      <c r="H2629">
        <v>4452.71</v>
      </c>
      <c r="I2629">
        <v>3</v>
      </c>
      <c r="J2629" s="1" t="s">
        <v>441</v>
      </c>
      <c r="K2629">
        <v>0</v>
      </c>
      <c r="L2629">
        <v>152</v>
      </c>
      <c r="M2629">
        <v>29.274884</v>
      </c>
      <c r="N2629">
        <v>2</v>
      </c>
      <c r="O2629" s="1" t="s">
        <v>569</v>
      </c>
      <c r="P2629">
        <v>4452.71</v>
      </c>
      <c r="Q2629">
        <v>2088.33</v>
      </c>
      <c r="R2629">
        <v>0</v>
      </c>
      <c r="S2629" s="1" t="s">
        <v>1055</v>
      </c>
      <c r="T2629" s="1" t="s">
        <v>1318</v>
      </c>
      <c r="U2629">
        <v>4452.7062100000003</v>
      </c>
      <c r="V2629">
        <v>0</v>
      </c>
      <c r="W2629">
        <v>77233</v>
      </c>
    </row>
    <row r="2630" spans="1:23" x14ac:dyDescent="0.25">
      <c r="A2630" s="1" t="s">
        <v>35</v>
      </c>
      <c r="B2630" s="1"/>
      <c r="C2630" s="1" t="s">
        <v>182</v>
      </c>
      <c r="D2630">
        <v>10182</v>
      </c>
      <c r="E2630" s="1"/>
      <c r="F2630" s="1" t="s">
        <v>312</v>
      </c>
      <c r="G2630">
        <v>2009</v>
      </c>
      <c r="H2630">
        <v>5549.41</v>
      </c>
      <c r="I2630">
        <v>3</v>
      </c>
      <c r="J2630" s="1" t="s">
        <v>441</v>
      </c>
      <c r="K2630">
        <v>0</v>
      </c>
      <c r="L2630">
        <v>152</v>
      </c>
      <c r="M2630">
        <v>36.485272000000002</v>
      </c>
      <c r="N2630">
        <v>2</v>
      </c>
      <c r="O2630" s="1" t="s">
        <v>569</v>
      </c>
      <c r="P2630">
        <v>5549.41</v>
      </c>
      <c r="Q2630">
        <v>2602.65</v>
      </c>
      <c r="R2630">
        <v>0</v>
      </c>
      <c r="S2630" s="1" t="s">
        <v>1055</v>
      </c>
      <c r="T2630" s="1" t="s">
        <v>1318</v>
      </c>
      <c r="U2630">
        <v>5549.39797</v>
      </c>
      <c r="V2630">
        <v>0</v>
      </c>
      <c r="W2630">
        <v>77233</v>
      </c>
    </row>
    <row r="2631" spans="1:23" x14ac:dyDescent="0.25">
      <c r="A2631" s="1" t="s">
        <v>35</v>
      </c>
      <c r="B2631" s="1"/>
      <c r="C2631" s="1" t="s">
        <v>182</v>
      </c>
      <c r="D2631">
        <v>10182</v>
      </c>
      <c r="E2631" s="1"/>
      <c r="F2631" s="1" t="s">
        <v>312</v>
      </c>
      <c r="G2631">
        <v>2008</v>
      </c>
      <c r="H2631">
        <v>6334.28</v>
      </c>
      <c r="I2631">
        <v>7</v>
      </c>
      <c r="J2631" s="1" t="s">
        <v>441</v>
      </c>
      <c r="K2631">
        <v>0</v>
      </c>
      <c r="L2631">
        <v>152</v>
      </c>
      <c r="M2631">
        <v>41.645496000000001</v>
      </c>
      <c r="N2631">
        <v>2</v>
      </c>
      <c r="O2631" s="1" t="s">
        <v>569</v>
      </c>
      <c r="P2631">
        <v>6334.28</v>
      </c>
      <c r="Q2631">
        <v>2970.76</v>
      </c>
      <c r="R2631">
        <v>0</v>
      </c>
      <c r="S2631" s="1" t="s">
        <v>1055</v>
      </c>
      <c r="T2631" s="1" t="s">
        <v>1318</v>
      </c>
      <c r="U2631">
        <v>6334.2767899999999</v>
      </c>
      <c r="V2631">
        <v>0</v>
      </c>
      <c r="W2631">
        <v>77233</v>
      </c>
    </row>
    <row r="2632" spans="1:23" x14ac:dyDescent="0.25">
      <c r="A2632" s="1" t="s">
        <v>35</v>
      </c>
      <c r="B2632" s="1" t="s">
        <v>73</v>
      </c>
      <c r="C2632" s="1" t="s">
        <v>174</v>
      </c>
      <c r="D2632">
        <v>14495</v>
      </c>
      <c r="E2632" s="1" t="s">
        <v>243</v>
      </c>
      <c r="F2632" s="1" t="s">
        <v>313</v>
      </c>
      <c r="G2632">
        <v>2015</v>
      </c>
      <c r="H2632">
        <v>12929.01</v>
      </c>
      <c r="I2632">
        <v>5</v>
      </c>
      <c r="J2632" s="1"/>
      <c r="K2632">
        <v>0</v>
      </c>
      <c r="L2632">
        <v>878</v>
      </c>
      <c r="M2632">
        <v>14.723846</v>
      </c>
      <c r="N2632">
        <v>2</v>
      </c>
      <c r="O2632" s="1" t="s">
        <v>569</v>
      </c>
      <c r="P2632">
        <v>12929.01</v>
      </c>
      <c r="Q2632">
        <v>3878.72</v>
      </c>
      <c r="R2632">
        <v>0</v>
      </c>
      <c r="S2632" s="1" t="s">
        <v>1056</v>
      </c>
      <c r="T2632" s="1"/>
      <c r="U2632">
        <v>12929.025</v>
      </c>
      <c r="V2632">
        <v>0</v>
      </c>
      <c r="W2632">
        <v>96151</v>
      </c>
    </row>
    <row r="2633" spans="1:23" x14ac:dyDescent="0.25">
      <c r="A2633" s="1" t="s">
        <v>35</v>
      </c>
      <c r="B2633" s="1" t="s">
        <v>73</v>
      </c>
      <c r="C2633" s="1" t="s">
        <v>174</v>
      </c>
      <c r="D2633">
        <v>14495</v>
      </c>
      <c r="E2633" s="1" t="s">
        <v>243</v>
      </c>
      <c r="F2633" s="1" t="s">
        <v>313</v>
      </c>
      <c r="G2633">
        <v>2014</v>
      </c>
      <c r="H2633">
        <v>2772.75</v>
      </c>
      <c r="I2633">
        <v>3</v>
      </c>
      <c r="J2633" s="1" t="s">
        <v>536</v>
      </c>
      <c r="K2633">
        <v>0</v>
      </c>
      <c r="L2633">
        <v>878</v>
      </c>
      <c r="M2633">
        <v>3.1576689999999998</v>
      </c>
      <c r="N2633">
        <v>2</v>
      </c>
      <c r="O2633" s="1" t="s">
        <v>569</v>
      </c>
      <c r="P2633">
        <v>2772.75</v>
      </c>
      <c r="Q2633">
        <v>831.83</v>
      </c>
      <c r="R2633">
        <v>0</v>
      </c>
      <c r="S2633" s="1" t="s">
        <v>1057</v>
      </c>
      <c r="T2633" s="1"/>
      <c r="U2633">
        <v>2772.75</v>
      </c>
      <c r="V2633">
        <v>0</v>
      </c>
      <c r="W2633">
        <v>94940</v>
      </c>
    </row>
    <row r="2634" spans="1:23" x14ac:dyDescent="0.25">
      <c r="A2634" s="1" t="s">
        <v>35</v>
      </c>
      <c r="B2634" s="1" t="s">
        <v>73</v>
      </c>
      <c r="C2634" s="1" t="s">
        <v>174</v>
      </c>
      <c r="D2634">
        <v>14495</v>
      </c>
      <c r="E2634" s="1" t="s">
        <v>243</v>
      </c>
      <c r="F2634" s="1" t="s">
        <v>313</v>
      </c>
      <c r="G2634">
        <v>2014</v>
      </c>
      <c r="H2634">
        <v>660</v>
      </c>
      <c r="I2634">
        <v>3</v>
      </c>
      <c r="J2634" s="1" t="s">
        <v>537</v>
      </c>
      <c r="K2634">
        <v>0</v>
      </c>
      <c r="L2634">
        <v>878</v>
      </c>
      <c r="M2634">
        <v>0.75162200000000001</v>
      </c>
      <c r="N2634">
        <v>2</v>
      </c>
      <c r="O2634" s="1" t="s">
        <v>569</v>
      </c>
      <c r="P2634">
        <v>660</v>
      </c>
      <c r="Q2634">
        <v>198</v>
      </c>
      <c r="R2634">
        <v>0</v>
      </c>
      <c r="S2634" s="1" t="s">
        <v>1056</v>
      </c>
      <c r="T2634" s="1"/>
      <c r="U2634">
        <v>660</v>
      </c>
      <c r="V2634">
        <v>0</v>
      </c>
      <c r="W2634">
        <v>96076</v>
      </c>
    </row>
    <row r="2635" spans="1:23" x14ac:dyDescent="0.25">
      <c r="A2635" s="1" t="s">
        <v>35</v>
      </c>
      <c r="B2635" s="1" t="s">
        <v>73</v>
      </c>
      <c r="C2635" s="1" t="s">
        <v>174</v>
      </c>
      <c r="D2635">
        <v>14495</v>
      </c>
      <c r="E2635" s="1" t="s">
        <v>243</v>
      </c>
      <c r="F2635" s="1" t="s">
        <v>313</v>
      </c>
      <c r="G2635">
        <v>2014</v>
      </c>
      <c r="H2635">
        <v>16465.150000000001</v>
      </c>
      <c r="I2635">
        <v>8</v>
      </c>
      <c r="J2635" s="1"/>
      <c r="K2635">
        <v>0</v>
      </c>
      <c r="L2635">
        <v>878</v>
      </c>
      <c r="M2635">
        <v>18.750882000000001</v>
      </c>
      <c r="N2635">
        <v>2</v>
      </c>
      <c r="O2635" s="1" t="s">
        <v>569</v>
      </c>
      <c r="P2635">
        <v>16465.150000000001</v>
      </c>
      <c r="Q2635">
        <v>4939.54</v>
      </c>
      <c r="R2635">
        <v>0</v>
      </c>
      <c r="S2635" s="1" t="s">
        <v>1056</v>
      </c>
      <c r="T2635" s="1"/>
      <c r="U2635">
        <v>16465.13</v>
      </c>
      <c r="V2635">
        <v>0</v>
      </c>
      <c r="W2635">
        <v>96151</v>
      </c>
    </row>
    <row r="2636" spans="1:23" x14ac:dyDescent="0.25">
      <c r="A2636" s="1" t="s">
        <v>35</v>
      </c>
      <c r="B2636" s="1" t="s">
        <v>73</v>
      </c>
      <c r="C2636" s="1" t="s">
        <v>174</v>
      </c>
      <c r="D2636">
        <v>14495</v>
      </c>
      <c r="E2636" s="1" t="s">
        <v>243</v>
      </c>
      <c r="F2636" s="1" t="s">
        <v>313</v>
      </c>
      <c r="G2636">
        <v>2013</v>
      </c>
      <c r="H2636">
        <v>1997.25</v>
      </c>
      <c r="I2636">
        <v>2</v>
      </c>
      <c r="J2636" s="1" t="s">
        <v>536</v>
      </c>
      <c r="K2636">
        <v>0</v>
      </c>
      <c r="L2636">
        <v>878</v>
      </c>
      <c r="M2636">
        <v>2.2745129999999998</v>
      </c>
      <c r="N2636">
        <v>2</v>
      </c>
      <c r="O2636" s="1" t="s">
        <v>569</v>
      </c>
      <c r="P2636">
        <v>1997.25</v>
      </c>
      <c r="Q2636">
        <v>599.17999999999995</v>
      </c>
      <c r="R2636">
        <v>0</v>
      </c>
      <c r="S2636" s="1" t="s">
        <v>1057</v>
      </c>
      <c r="T2636" s="1"/>
      <c r="U2636">
        <v>1997.25</v>
      </c>
      <c r="V2636">
        <v>0</v>
      </c>
      <c r="W2636">
        <v>94940</v>
      </c>
    </row>
    <row r="2637" spans="1:23" x14ac:dyDescent="0.25">
      <c r="A2637" s="1" t="s">
        <v>35</v>
      </c>
      <c r="B2637" s="1"/>
      <c r="C2637" s="1" t="s">
        <v>183</v>
      </c>
      <c r="D2637">
        <v>10270</v>
      </c>
      <c r="E2637" s="1"/>
      <c r="F2637" s="1" t="s">
        <v>183</v>
      </c>
      <c r="G2637">
        <v>2015</v>
      </c>
      <c r="H2637">
        <v>338.28</v>
      </c>
      <c r="I2637">
        <v>5</v>
      </c>
      <c r="J2637" s="1" t="s">
        <v>443</v>
      </c>
      <c r="K2637">
        <v>0</v>
      </c>
      <c r="L2637">
        <v>96</v>
      </c>
      <c r="M2637">
        <v>3.5200830000000001</v>
      </c>
      <c r="N2637">
        <v>2</v>
      </c>
      <c r="O2637" s="1" t="s">
        <v>569</v>
      </c>
      <c r="P2637">
        <v>338.28</v>
      </c>
      <c r="Q2637">
        <v>101.49</v>
      </c>
      <c r="R2637">
        <v>0</v>
      </c>
      <c r="S2637" s="1" t="s">
        <v>1058</v>
      </c>
      <c r="T2637" s="1" t="s">
        <v>1319</v>
      </c>
      <c r="U2637">
        <v>338.28399000000002</v>
      </c>
      <c r="V2637">
        <v>0</v>
      </c>
      <c r="W2637">
        <v>77650</v>
      </c>
    </row>
    <row r="2638" spans="1:23" x14ac:dyDescent="0.25">
      <c r="A2638" s="1" t="s">
        <v>35</v>
      </c>
      <c r="B2638" s="1"/>
      <c r="C2638" s="1" t="s">
        <v>183</v>
      </c>
      <c r="D2638">
        <v>10270</v>
      </c>
      <c r="E2638" s="1"/>
      <c r="F2638" s="1" t="s">
        <v>183</v>
      </c>
      <c r="G2638">
        <v>2014</v>
      </c>
      <c r="H2638">
        <v>1539.18</v>
      </c>
      <c r="I2638">
        <v>12</v>
      </c>
      <c r="J2638" s="1" t="s">
        <v>443</v>
      </c>
      <c r="K2638">
        <v>0</v>
      </c>
      <c r="L2638">
        <v>96</v>
      </c>
      <c r="M2638">
        <v>16.016441</v>
      </c>
      <c r="N2638">
        <v>2</v>
      </c>
      <c r="O2638" s="1" t="s">
        <v>569</v>
      </c>
      <c r="P2638">
        <v>1539.18</v>
      </c>
      <c r="Q2638">
        <v>461.73</v>
      </c>
      <c r="R2638">
        <v>0</v>
      </c>
      <c r="S2638" s="1" t="s">
        <v>1058</v>
      </c>
      <c r="T2638" s="1" t="s">
        <v>1319</v>
      </c>
      <c r="U2638">
        <v>1539.1780000000001</v>
      </c>
      <c r="V2638">
        <v>0</v>
      </c>
      <c r="W2638">
        <v>77650</v>
      </c>
    </row>
    <row r="2639" spans="1:23" x14ac:dyDescent="0.25">
      <c r="A2639" s="1" t="s">
        <v>35</v>
      </c>
      <c r="B2639" s="1"/>
      <c r="C2639" s="1" t="s">
        <v>183</v>
      </c>
      <c r="D2639">
        <v>10270</v>
      </c>
      <c r="E2639" s="1"/>
      <c r="F2639" s="1" t="s">
        <v>183</v>
      </c>
      <c r="G2639">
        <v>2013</v>
      </c>
      <c r="H2639">
        <v>1822.05</v>
      </c>
      <c r="I2639">
        <v>12</v>
      </c>
      <c r="J2639" s="1" t="s">
        <v>443</v>
      </c>
      <c r="K2639">
        <v>0</v>
      </c>
      <c r="L2639">
        <v>96</v>
      </c>
      <c r="M2639">
        <v>18.959937</v>
      </c>
      <c r="N2639">
        <v>2</v>
      </c>
      <c r="O2639" s="1" t="s">
        <v>569</v>
      </c>
      <c r="P2639">
        <v>1822.05</v>
      </c>
      <c r="Q2639">
        <v>546.63</v>
      </c>
      <c r="R2639">
        <v>0</v>
      </c>
      <c r="S2639" s="1" t="s">
        <v>1058</v>
      </c>
      <c r="T2639" s="1" t="s">
        <v>1319</v>
      </c>
      <c r="U2639">
        <v>1822.0608999999999</v>
      </c>
      <c r="V2639">
        <v>0</v>
      </c>
      <c r="W2639">
        <v>77650</v>
      </c>
    </row>
    <row r="2640" spans="1:23" x14ac:dyDescent="0.25">
      <c r="A2640" s="1" t="s">
        <v>35</v>
      </c>
      <c r="B2640" s="1"/>
      <c r="C2640" s="1" t="s">
        <v>183</v>
      </c>
      <c r="D2640">
        <v>10270</v>
      </c>
      <c r="E2640" s="1"/>
      <c r="F2640" s="1" t="s">
        <v>183</v>
      </c>
      <c r="G2640">
        <v>2012</v>
      </c>
      <c r="H2640">
        <v>1682.01</v>
      </c>
      <c r="I2640">
        <v>15</v>
      </c>
      <c r="J2640" s="1" t="s">
        <v>443</v>
      </c>
      <c r="K2640">
        <v>0</v>
      </c>
      <c r="L2640">
        <v>96</v>
      </c>
      <c r="M2640">
        <v>17.502704999999999</v>
      </c>
      <c r="N2640">
        <v>2</v>
      </c>
      <c r="O2640" s="1" t="s">
        <v>569</v>
      </c>
      <c r="P2640">
        <v>1682.01</v>
      </c>
      <c r="Q2640">
        <v>672.82</v>
      </c>
      <c r="R2640">
        <v>0</v>
      </c>
      <c r="S2640" s="1" t="s">
        <v>1058</v>
      </c>
      <c r="T2640" s="1" t="s">
        <v>1319</v>
      </c>
      <c r="U2640">
        <v>1682.00443</v>
      </c>
      <c r="V2640">
        <v>0</v>
      </c>
      <c r="W2640">
        <v>77650</v>
      </c>
    </row>
    <row r="2641" spans="1:23" x14ac:dyDescent="0.25">
      <c r="A2641" s="1" t="s">
        <v>35</v>
      </c>
      <c r="B2641" s="1"/>
      <c r="C2641" s="1" t="s">
        <v>183</v>
      </c>
      <c r="D2641">
        <v>10270</v>
      </c>
      <c r="E2641" s="1"/>
      <c r="F2641" s="1" t="s">
        <v>183</v>
      </c>
      <c r="G2641">
        <v>2011</v>
      </c>
      <c r="H2641">
        <v>647.4</v>
      </c>
      <c r="I2641">
        <v>5</v>
      </c>
      <c r="J2641" s="1" t="s">
        <v>443</v>
      </c>
      <c r="K2641">
        <v>0</v>
      </c>
      <c r="L2641">
        <v>96</v>
      </c>
      <c r="M2641">
        <v>6.7367319999999999</v>
      </c>
      <c r="N2641">
        <v>2</v>
      </c>
      <c r="O2641" s="1" t="s">
        <v>569</v>
      </c>
      <c r="P2641">
        <v>647.4</v>
      </c>
      <c r="Q2641">
        <v>303.63</v>
      </c>
      <c r="R2641">
        <v>0</v>
      </c>
      <c r="S2641" s="1" t="s">
        <v>1058</v>
      </c>
      <c r="T2641" s="1" t="s">
        <v>1319</v>
      </c>
      <c r="U2641">
        <v>647.42854999999997</v>
      </c>
      <c r="V2641">
        <v>0</v>
      </c>
      <c r="W2641">
        <v>77650</v>
      </c>
    </row>
    <row r="2642" spans="1:23" x14ac:dyDescent="0.25">
      <c r="A2642" s="1" t="s">
        <v>35</v>
      </c>
      <c r="B2642" s="1"/>
      <c r="C2642" s="1" t="s">
        <v>183</v>
      </c>
      <c r="D2642">
        <v>10270</v>
      </c>
      <c r="E2642" s="1"/>
      <c r="F2642" s="1" t="s">
        <v>183</v>
      </c>
      <c r="G2642">
        <v>2010</v>
      </c>
      <c r="H2642">
        <v>278.43</v>
      </c>
      <c r="I2642">
        <v>2</v>
      </c>
      <c r="J2642" s="1" t="s">
        <v>443</v>
      </c>
      <c r="K2642">
        <v>0</v>
      </c>
      <c r="L2642">
        <v>96</v>
      </c>
      <c r="M2642">
        <v>2.897294</v>
      </c>
      <c r="N2642">
        <v>2</v>
      </c>
      <c r="O2642" s="1" t="s">
        <v>569</v>
      </c>
      <c r="P2642">
        <v>278.43</v>
      </c>
      <c r="Q2642">
        <v>130.57</v>
      </c>
      <c r="R2642">
        <v>0</v>
      </c>
      <c r="S2642" s="1" t="s">
        <v>1058</v>
      </c>
      <c r="T2642" s="1" t="s">
        <v>1319</v>
      </c>
      <c r="U2642">
        <v>278.40908000000002</v>
      </c>
      <c r="V2642">
        <v>0</v>
      </c>
      <c r="W2642">
        <v>77650</v>
      </c>
    </row>
    <row r="2643" spans="1:23" x14ac:dyDescent="0.25">
      <c r="A2643" s="1" t="s">
        <v>35</v>
      </c>
      <c r="B2643" s="1"/>
      <c r="C2643" s="1" t="s">
        <v>183</v>
      </c>
      <c r="D2643">
        <v>10270</v>
      </c>
      <c r="E2643" s="1"/>
      <c r="F2643" s="1" t="s">
        <v>183</v>
      </c>
      <c r="G2643">
        <v>2009</v>
      </c>
      <c r="H2643">
        <v>1330.54</v>
      </c>
      <c r="I2643">
        <v>5</v>
      </c>
      <c r="J2643" s="1" t="s">
        <v>443</v>
      </c>
      <c r="K2643">
        <v>0</v>
      </c>
      <c r="L2643">
        <v>96</v>
      </c>
      <c r="M2643">
        <v>13.845369</v>
      </c>
      <c r="N2643">
        <v>2</v>
      </c>
      <c r="O2643" s="1" t="s">
        <v>569</v>
      </c>
      <c r="P2643">
        <v>1330.54</v>
      </c>
      <c r="Q2643">
        <v>624</v>
      </c>
      <c r="R2643">
        <v>0</v>
      </c>
      <c r="S2643" s="1" t="s">
        <v>1058</v>
      </c>
      <c r="T2643" s="1" t="s">
        <v>1319</v>
      </c>
      <c r="U2643">
        <v>1330.4999800000001</v>
      </c>
      <c r="V2643">
        <v>0</v>
      </c>
      <c r="W2643">
        <v>77650</v>
      </c>
    </row>
    <row r="2644" spans="1:23" x14ac:dyDescent="0.25">
      <c r="A2644" s="1" t="s">
        <v>35</v>
      </c>
      <c r="B2644" s="1"/>
      <c r="C2644" s="1" t="s">
        <v>183</v>
      </c>
      <c r="D2644">
        <v>10270</v>
      </c>
      <c r="E2644" s="1"/>
      <c r="F2644" s="1" t="s">
        <v>183</v>
      </c>
      <c r="G2644">
        <v>2008</v>
      </c>
      <c r="H2644">
        <v>2421.84</v>
      </c>
      <c r="I2644">
        <v>6</v>
      </c>
      <c r="J2644" s="1" t="s">
        <v>443</v>
      </c>
      <c r="K2644">
        <v>0</v>
      </c>
      <c r="L2644">
        <v>96</v>
      </c>
      <c r="M2644">
        <v>25.201248</v>
      </c>
      <c r="N2644">
        <v>2</v>
      </c>
      <c r="O2644" s="1" t="s">
        <v>569</v>
      </c>
      <c r="P2644">
        <v>2421.84</v>
      </c>
      <c r="Q2644">
        <v>1135.8399999999999</v>
      </c>
      <c r="R2644">
        <v>0</v>
      </c>
      <c r="S2644" s="1" t="s">
        <v>1058</v>
      </c>
      <c r="T2644" s="1" t="s">
        <v>1319</v>
      </c>
      <c r="U2644">
        <v>2421.8271599999998</v>
      </c>
      <c r="V2644">
        <v>0</v>
      </c>
      <c r="W2644">
        <v>77650</v>
      </c>
    </row>
    <row r="2645" spans="1:23" x14ac:dyDescent="0.25">
      <c r="A2645" s="1" t="s">
        <v>35</v>
      </c>
      <c r="B2645" s="1" t="s">
        <v>76</v>
      </c>
      <c r="C2645" s="1" t="s">
        <v>184</v>
      </c>
      <c r="D2645">
        <v>5270</v>
      </c>
      <c r="E2645" s="1"/>
      <c r="F2645" s="1" t="s">
        <v>314</v>
      </c>
      <c r="G2645">
        <v>2015</v>
      </c>
      <c r="H2645">
        <v>24763.38</v>
      </c>
      <c r="I2645">
        <v>5</v>
      </c>
      <c r="J2645" s="1"/>
      <c r="K2645">
        <v>0</v>
      </c>
      <c r="L2645">
        <v>2625</v>
      </c>
      <c r="M2645">
        <v>9.4333089999999995</v>
      </c>
      <c r="N2645">
        <v>2</v>
      </c>
      <c r="O2645" s="1" t="s">
        <v>569</v>
      </c>
      <c r="P2645">
        <v>24763.38</v>
      </c>
      <c r="Q2645">
        <v>9905.35</v>
      </c>
      <c r="R2645">
        <v>0</v>
      </c>
      <c r="S2645" s="1" t="s">
        <v>1059</v>
      </c>
      <c r="T2645" s="1"/>
      <c r="U2645">
        <v>24763.38</v>
      </c>
      <c r="V2645">
        <v>0</v>
      </c>
      <c r="W2645">
        <v>56822</v>
      </c>
    </row>
    <row r="2646" spans="1:23" x14ac:dyDescent="0.25">
      <c r="A2646" s="1" t="s">
        <v>35</v>
      </c>
      <c r="B2646" s="1" t="s">
        <v>76</v>
      </c>
      <c r="C2646" s="1" t="s">
        <v>184</v>
      </c>
      <c r="D2646">
        <v>5270</v>
      </c>
      <c r="E2646" s="1"/>
      <c r="F2646" s="1" t="s">
        <v>314</v>
      </c>
      <c r="G2646">
        <v>2014</v>
      </c>
      <c r="H2646">
        <v>66480.53</v>
      </c>
      <c r="I2646">
        <v>12</v>
      </c>
      <c r="J2646" s="1"/>
      <c r="K2646">
        <v>0</v>
      </c>
      <c r="L2646">
        <v>2625</v>
      </c>
      <c r="M2646">
        <v>25.324950999999999</v>
      </c>
      <c r="N2646">
        <v>2</v>
      </c>
      <c r="O2646" s="1" t="s">
        <v>569</v>
      </c>
      <c r="P2646">
        <v>66480.53</v>
      </c>
      <c r="Q2646">
        <v>26592.2</v>
      </c>
      <c r="R2646">
        <v>0</v>
      </c>
      <c r="S2646" s="1" t="s">
        <v>1059</v>
      </c>
      <c r="T2646" s="1"/>
      <c r="U2646">
        <v>66480.528000000006</v>
      </c>
      <c r="V2646">
        <v>0</v>
      </c>
      <c r="W2646">
        <v>56822</v>
      </c>
    </row>
    <row r="2647" spans="1:23" x14ac:dyDescent="0.25">
      <c r="A2647" s="1" t="s">
        <v>35</v>
      </c>
      <c r="B2647" s="1" t="s">
        <v>76</v>
      </c>
      <c r="C2647" s="1" t="s">
        <v>184</v>
      </c>
      <c r="D2647">
        <v>5270</v>
      </c>
      <c r="E2647" s="1"/>
      <c r="F2647" s="1" t="s">
        <v>314</v>
      </c>
      <c r="G2647">
        <v>2013</v>
      </c>
      <c r="H2647">
        <v>84407.34</v>
      </c>
      <c r="I2647">
        <v>12</v>
      </c>
      <c r="J2647" s="1"/>
      <c r="K2647">
        <v>0</v>
      </c>
      <c r="L2647">
        <v>2625</v>
      </c>
      <c r="M2647">
        <v>32.153951999999997</v>
      </c>
      <c r="N2647">
        <v>2</v>
      </c>
      <c r="O2647" s="1" t="s">
        <v>569</v>
      </c>
      <c r="P2647">
        <v>84407.34</v>
      </c>
      <c r="Q2647">
        <v>33762.949999999997</v>
      </c>
      <c r="R2647">
        <v>0</v>
      </c>
      <c r="S2647" s="1" t="s">
        <v>1059</v>
      </c>
      <c r="T2647" s="1"/>
      <c r="U2647">
        <v>84407.34</v>
      </c>
      <c r="V2647">
        <v>0</v>
      </c>
      <c r="W2647">
        <v>56822</v>
      </c>
    </row>
    <row r="2648" spans="1:23" x14ac:dyDescent="0.25">
      <c r="A2648" s="1" t="s">
        <v>35</v>
      </c>
      <c r="B2648" s="1" t="s">
        <v>76</v>
      </c>
      <c r="C2648" s="1" t="s">
        <v>184</v>
      </c>
      <c r="D2648">
        <v>5270</v>
      </c>
      <c r="E2648" s="1"/>
      <c r="F2648" s="1" t="s">
        <v>314</v>
      </c>
      <c r="G2648">
        <v>2012</v>
      </c>
      <c r="H2648">
        <v>83311.740000000005</v>
      </c>
      <c r="I2648">
        <v>12</v>
      </c>
      <c r="J2648" s="1"/>
      <c r="K2648">
        <v>0</v>
      </c>
      <c r="L2648">
        <v>2625</v>
      </c>
      <c r="M2648">
        <v>31.736595999999999</v>
      </c>
      <c r="N2648">
        <v>2</v>
      </c>
      <c r="O2648" s="1" t="s">
        <v>569</v>
      </c>
      <c r="P2648">
        <v>83311.740000000005</v>
      </c>
      <c r="Q2648">
        <v>33324.69</v>
      </c>
      <c r="R2648">
        <v>0</v>
      </c>
      <c r="S2648" s="1" t="s">
        <v>1059</v>
      </c>
      <c r="T2648" s="1"/>
      <c r="U2648">
        <v>83311.740000000005</v>
      </c>
      <c r="V2648">
        <v>0</v>
      </c>
      <c r="W2648">
        <v>56822</v>
      </c>
    </row>
    <row r="2649" spans="1:23" x14ac:dyDescent="0.25">
      <c r="A2649" s="1" t="s">
        <v>35</v>
      </c>
      <c r="B2649" s="1" t="s">
        <v>76</v>
      </c>
      <c r="C2649" s="1" t="s">
        <v>184</v>
      </c>
      <c r="D2649">
        <v>5270</v>
      </c>
      <c r="E2649" s="1"/>
      <c r="F2649" s="1" t="s">
        <v>314</v>
      </c>
      <c r="G2649">
        <v>2011</v>
      </c>
      <c r="H2649">
        <v>88346.52</v>
      </c>
      <c r="I2649">
        <v>12</v>
      </c>
      <c r="J2649" s="1"/>
      <c r="K2649">
        <v>0</v>
      </c>
      <c r="L2649">
        <v>2625</v>
      </c>
      <c r="M2649">
        <v>33.654535000000003</v>
      </c>
      <c r="N2649">
        <v>2</v>
      </c>
      <c r="O2649" s="1" t="s">
        <v>569</v>
      </c>
      <c r="P2649">
        <v>88346.52</v>
      </c>
      <c r="Q2649">
        <v>41434.519999999997</v>
      </c>
      <c r="R2649">
        <v>0</v>
      </c>
      <c r="S2649" s="1" t="s">
        <v>1059</v>
      </c>
      <c r="T2649" s="1"/>
      <c r="U2649">
        <v>88346.52</v>
      </c>
      <c r="V2649">
        <v>0</v>
      </c>
      <c r="W2649">
        <v>56822</v>
      </c>
    </row>
    <row r="2650" spans="1:23" x14ac:dyDescent="0.25">
      <c r="A2650" s="1" t="s">
        <v>35</v>
      </c>
      <c r="B2650" s="1" t="s">
        <v>76</v>
      </c>
      <c r="C2650" s="1" t="s">
        <v>184</v>
      </c>
      <c r="D2650">
        <v>5270</v>
      </c>
      <c r="E2650" s="1"/>
      <c r="F2650" s="1" t="s">
        <v>314</v>
      </c>
      <c r="G2650">
        <v>2010</v>
      </c>
      <c r="H2650">
        <v>89047.83</v>
      </c>
      <c r="I2650">
        <v>12</v>
      </c>
      <c r="J2650" s="1"/>
      <c r="K2650">
        <v>0</v>
      </c>
      <c r="L2650">
        <v>2625</v>
      </c>
      <c r="M2650">
        <v>33.921689999999998</v>
      </c>
      <c r="N2650">
        <v>2</v>
      </c>
      <c r="O2650" s="1" t="s">
        <v>569</v>
      </c>
      <c r="P2650">
        <v>89047.83</v>
      </c>
      <c r="Q2650">
        <v>41763.449999999997</v>
      </c>
      <c r="R2650">
        <v>0</v>
      </c>
      <c r="S2650" s="1" t="s">
        <v>1059</v>
      </c>
      <c r="T2650" s="1"/>
      <c r="U2650">
        <v>89047.831999999995</v>
      </c>
      <c r="V2650">
        <v>0</v>
      </c>
      <c r="W2650">
        <v>56822</v>
      </c>
    </row>
    <row r="2651" spans="1:23" x14ac:dyDescent="0.25">
      <c r="A2651" s="1" t="s">
        <v>35</v>
      </c>
      <c r="B2651" s="1" t="s">
        <v>76</v>
      </c>
      <c r="C2651" s="1" t="s">
        <v>184</v>
      </c>
      <c r="D2651">
        <v>5270</v>
      </c>
      <c r="E2651" s="1"/>
      <c r="F2651" s="1" t="s">
        <v>314</v>
      </c>
      <c r="G2651">
        <v>2009</v>
      </c>
      <c r="H2651">
        <v>96922.37</v>
      </c>
      <c r="I2651">
        <v>12</v>
      </c>
      <c r="J2651" s="1"/>
      <c r="K2651">
        <v>0</v>
      </c>
      <c r="L2651">
        <v>2625</v>
      </c>
      <c r="M2651">
        <v>36.921401000000003</v>
      </c>
      <c r="N2651">
        <v>2</v>
      </c>
      <c r="O2651" s="1" t="s">
        <v>569</v>
      </c>
      <c r="P2651">
        <v>96922.37</v>
      </c>
      <c r="Q2651">
        <v>45456.6</v>
      </c>
      <c r="R2651">
        <v>0</v>
      </c>
      <c r="S2651" s="1" t="s">
        <v>1059</v>
      </c>
      <c r="T2651" s="1"/>
      <c r="U2651">
        <v>96922.366999999998</v>
      </c>
      <c r="V2651">
        <v>0</v>
      </c>
      <c r="W2651">
        <v>56822</v>
      </c>
    </row>
    <row r="2652" spans="1:23" x14ac:dyDescent="0.25">
      <c r="A2652" s="1" t="s">
        <v>35</v>
      </c>
      <c r="B2652" s="1" t="s">
        <v>76</v>
      </c>
      <c r="C2652" s="1" t="s">
        <v>184</v>
      </c>
      <c r="D2652">
        <v>5270</v>
      </c>
      <c r="E2652" s="1"/>
      <c r="F2652" s="1" t="s">
        <v>314</v>
      </c>
      <c r="G2652">
        <v>2008</v>
      </c>
      <c r="H2652">
        <v>87653.03</v>
      </c>
      <c r="I2652">
        <v>12</v>
      </c>
      <c r="J2652" s="1"/>
      <c r="K2652">
        <v>0</v>
      </c>
      <c r="L2652">
        <v>2625</v>
      </c>
      <c r="M2652">
        <v>33.390357999999999</v>
      </c>
      <c r="N2652">
        <v>2</v>
      </c>
      <c r="O2652" s="1" t="s">
        <v>569</v>
      </c>
      <c r="P2652">
        <v>87653.03</v>
      </c>
      <c r="Q2652">
        <v>41109.279999999999</v>
      </c>
      <c r="R2652">
        <v>0</v>
      </c>
      <c r="S2652" s="1" t="s">
        <v>1059</v>
      </c>
      <c r="T2652" s="1"/>
      <c r="U2652">
        <v>87653.02</v>
      </c>
      <c r="V2652">
        <v>0</v>
      </c>
      <c r="W2652">
        <v>56822</v>
      </c>
    </row>
    <row r="2653" spans="1:23" x14ac:dyDescent="0.25">
      <c r="A2653" s="1" t="s">
        <v>35</v>
      </c>
      <c r="B2653" s="1"/>
      <c r="C2653" s="1" t="s">
        <v>237</v>
      </c>
      <c r="D2653">
        <v>5946</v>
      </c>
      <c r="E2653" s="1"/>
      <c r="F2653" s="1" t="s">
        <v>380</v>
      </c>
      <c r="G2653">
        <v>2015</v>
      </c>
      <c r="H2653">
        <v>7544.98</v>
      </c>
      <c r="I2653">
        <v>5</v>
      </c>
      <c r="J2653" s="1" t="s">
        <v>426</v>
      </c>
      <c r="K2653">
        <v>0</v>
      </c>
      <c r="L2653">
        <v>393</v>
      </c>
      <c r="M2653">
        <v>19.193538</v>
      </c>
      <c r="N2653">
        <v>2</v>
      </c>
      <c r="O2653" s="1" t="s">
        <v>569</v>
      </c>
      <c r="P2653">
        <v>7544.98</v>
      </c>
      <c r="Q2653">
        <v>3017.99</v>
      </c>
      <c r="R2653">
        <v>0</v>
      </c>
      <c r="S2653" s="1" t="s">
        <v>1060</v>
      </c>
      <c r="T2653" s="1" t="s">
        <v>1320</v>
      </c>
      <c r="U2653">
        <v>7544.9719999999998</v>
      </c>
      <c r="V2653">
        <v>0</v>
      </c>
      <c r="W2653">
        <v>59956</v>
      </c>
    </row>
    <row r="2654" spans="1:23" x14ac:dyDescent="0.25">
      <c r="A2654" s="1" t="s">
        <v>35</v>
      </c>
      <c r="B2654" s="1"/>
      <c r="C2654" s="1" t="s">
        <v>237</v>
      </c>
      <c r="D2654">
        <v>5946</v>
      </c>
      <c r="E2654" s="1"/>
      <c r="F2654" s="1" t="s">
        <v>380</v>
      </c>
      <c r="G2654">
        <v>2014</v>
      </c>
      <c r="H2654">
        <v>18186.66</v>
      </c>
      <c r="I2654">
        <v>12</v>
      </c>
      <c r="J2654" s="1" t="s">
        <v>426</v>
      </c>
      <c r="K2654">
        <v>0</v>
      </c>
      <c r="L2654">
        <v>393</v>
      </c>
      <c r="M2654">
        <v>46.264716</v>
      </c>
      <c r="N2654">
        <v>2</v>
      </c>
      <c r="O2654" s="1" t="s">
        <v>569</v>
      </c>
      <c r="P2654">
        <v>18186.66</v>
      </c>
      <c r="Q2654">
        <v>7274.67</v>
      </c>
      <c r="R2654">
        <v>0</v>
      </c>
      <c r="S2654" s="1" t="s">
        <v>1060</v>
      </c>
      <c r="T2654" s="1" t="s">
        <v>1320</v>
      </c>
      <c r="U2654">
        <v>18186.680400000001</v>
      </c>
      <c r="V2654">
        <v>0</v>
      </c>
      <c r="W2654">
        <v>59956</v>
      </c>
    </row>
    <row r="2655" spans="1:23" x14ac:dyDescent="0.25">
      <c r="A2655" s="1" t="s">
        <v>35</v>
      </c>
      <c r="B2655" s="1"/>
      <c r="C2655" s="1" t="s">
        <v>237</v>
      </c>
      <c r="D2655">
        <v>5946</v>
      </c>
      <c r="E2655" s="1"/>
      <c r="F2655" s="1" t="s">
        <v>380</v>
      </c>
      <c r="G2655">
        <v>2013</v>
      </c>
      <c r="H2655">
        <v>18661.39</v>
      </c>
      <c r="I2655">
        <v>12</v>
      </c>
      <c r="J2655" s="1" t="s">
        <v>426</v>
      </c>
      <c r="K2655">
        <v>0</v>
      </c>
      <c r="L2655">
        <v>393</v>
      </c>
      <c r="M2655">
        <v>47.472372999999997</v>
      </c>
      <c r="N2655">
        <v>2</v>
      </c>
      <c r="O2655" s="1" t="s">
        <v>569</v>
      </c>
      <c r="P2655">
        <v>18661.39</v>
      </c>
      <c r="Q2655">
        <v>7464.57</v>
      </c>
      <c r="R2655">
        <v>0</v>
      </c>
      <c r="S2655" s="1" t="s">
        <v>1060</v>
      </c>
      <c r="T2655" s="1" t="s">
        <v>1320</v>
      </c>
      <c r="U2655">
        <v>18661.407999999999</v>
      </c>
      <c r="V2655">
        <v>0</v>
      </c>
      <c r="W2655">
        <v>59956</v>
      </c>
    </row>
    <row r="2656" spans="1:23" x14ac:dyDescent="0.25">
      <c r="A2656" s="1" t="s">
        <v>35</v>
      </c>
      <c r="B2656" s="1"/>
      <c r="C2656" s="1" t="s">
        <v>237</v>
      </c>
      <c r="D2656">
        <v>5946</v>
      </c>
      <c r="E2656" s="1"/>
      <c r="F2656" s="1" t="s">
        <v>380</v>
      </c>
      <c r="G2656">
        <v>2012</v>
      </c>
      <c r="H2656">
        <v>13943.42</v>
      </c>
      <c r="I2656">
        <v>12</v>
      </c>
      <c r="J2656" s="1" t="s">
        <v>426</v>
      </c>
      <c r="K2656">
        <v>0</v>
      </c>
      <c r="L2656">
        <v>393</v>
      </c>
      <c r="M2656">
        <v>35.470413999999998</v>
      </c>
      <c r="N2656">
        <v>2</v>
      </c>
      <c r="O2656" s="1" t="s">
        <v>569</v>
      </c>
      <c r="P2656">
        <v>13943.42</v>
      </c>
      <c r="Q2656">
        <v>5577.38</v>
      </c>
      <c r="R2656">
        <v>0</v>
      </c>
      <c r="S2656" s="1" t="s">
        <v>1060</v>
      </c>
      <c r="T2656" s="1" t="s">
        <v>1320</v>
      </c>
      <c r="U2656">
        <v>13943.423000000001</v>
      </c>
      <c r="V2656">
        <v>0</v>
      </c>
      <c r="W2656">
        <v>59956</v>
      </c>
    </row>
    <row r="2657" spans="1:23" x14ac:dyDescent="0.25">
      <c r="A2657" s="1" t="s">
        <v>35</v>
      </c>
      <c r="B2657" s="1"/>
      <c r="C2657" s="1" t="s">
        <v>237</v>
      </c>
      <c r="D2657">
        <v>5946</v>
      </c>
      <c r="E2657" s="1"/>
      <c r="F2657" s="1" t="s">
        <v>380</v>
      </c>
      <c r="G2657">
        <v>2011</v>
      </c>
      <c r="H2657">
        <v>15651.75</v>
      </c>
      <c r="I2657">
        <v>13</v>
      </c>
      <c r="J2657" s="1" t="s">
        <v>426</v>
      </c>
      <c r="K2657">
        <v>0</v>
      </c>
      <c r="L2657">
        <v>393</v>
      </c>
      <c r="M2657">
        <v>39.816203999999999</v>
      </c>
      <c r="N2657">
        <v>2</v>
      </c>
      <c r="O2657" s="1" t="s">
        <v>569</v>
      </c>
      <c r="P2657">
        <v>15651.75</v>
      </c>
      <c r="Q2657">
        <v>7340.67</v>
      </c>
      <c r="R2657">
        <v>0</v>
      </c>
      <c r="S2657" s="1" t="s">
        <v>1060</v>
      </c>
      <c r="T2657" s="1" t="s">
        <v>1320</v>
      </c>
      <c r="U2657">
        <v>15651.74014</v>
      </c>
      <c r="V2657">
        <v>0</v>
      </c>
      <c r="W2657">
        <v>59956</v>
      </c>
    </row>
    <row r="2658" spans="1:23" x14ac:dyDescent="0.25">
      <c r="A2658" s="1" t="s">
        <v>35</v>
      </c>
      <c r="B2658" s="1"/>
      <c r="C2658" s="1" t="s">
        <v>237</v>
      </c>
      <c r="D2658">
        <v>5946</v>
      </c>
      <c r="E2658" s="1"/>
      <c r="F2658" s="1" t="s">
        <v>380</v>
      </c>
      <c r="G2658">
        <v>2010</v>
      </c>
      <c r="H2658">
        <v>3673.65</v>
      </c>
      <c r="I2658">
        <v>8</v>
      </c>
      <c r="J2658" s="1" t="s">
        <v>426</v>
      </c>
      <c r="K2658">
        <v>0</v>
      </c>
      <c r="L2658">
        <v>393</v>
      </c>
      <c r="M2658">
        <v>9.3453309999999998</v>
      </c>
      <c r="N2658">
        <v>2</v>
      </c>
      <c r="O2658" s="1" t="s">
        <v>569</v>
      </c>
      <c r="P2658">
        <v>3673.65</v>
      </c>
      <c r="Q2658">
        <v>1722.93</v>
      </c>
      <c r="R2658">
        <v>0</v>
      </c>
      <c r="S2658" s="1" t="s">
        <v>1060</v>
      </c>
      <c r="T2658" s="1" t="s">
        <v>1320</v>
      </c>
      <c r="U2658">
        <v>3673.64284</v>
      </c>
      <c r="V2658">
        <v>0</v>
      </c>
      <c r="W2658">
        <v>59956</v>
      </c>
    </row>
    <row r="2659" spans="1:23" x14ac:dyDescent="0.25">
      <c r="A2659" s="1" t="s">
        <v>35</v>
      </c>
      <c r="B2659" s="1"/>
      <c r="C2659" s="1" t="s">
        <v>237</v>
      </c>
      <c r="D2659">
        <v>5946</v>
      </c>
      <c r="E2659" s="1"/>
      <c r="F2659" s="1" t="s">
        <v>380</v>
      </c>
      <c r="G2659">
        <v>2009</v>
      </c>
      <c r="H2659">
        <v>3440.4</v>
      </c>
      <c r="I2659">
        <v>2</v>
      </c>
      <c r="J2659" s="1" t="s">
        <v>426</v>
      </c>
      <c r="K2659">
        <v>0</v>
      </c>
      <c r="L2659">
        <v>393</v>
      </c>
      <c r="M2659">
        <v>8.7519709999999993</v>
      </c>
      <c r="N2659">
        <v>2</v>
      </c>
      <c r="O2659" s="1" t="s">
        <v>569</v>
      </c>
      <c r="P2659">
        <v>3440.4</v>
      </c>
      <c r="Q2659">
        <v>1613.54</v>
      </c>
      <c r="R2659">
        <v>0</v>
      </c>
      <c r="S2659" s="1" t="s">
        <v>1060</v>
      </c>
      <c r="T2659" s="1" t="s">
        <v>1320</v>
      </c>
      <c r="U2659">
        <v>3440.3986599999998</v>
      </c>
      <c r="V2659">
        <v>0</v>
      </c>
      <c r="W2659">
        <v>59956</v>
      </c>
    </row>
    <row r="2660" spans="1:23" x14ac:dyDescent="0.25">
      <c r="A2660" s="1" t="s">
        <v>35</v>
      </c>
      <c r="B2660" s="1"/>
      <c r="C2660" s="1" t="s">
        <v>237</v>
      </c>
      <c r="D2660">
        <v>5946</v>
      </c>
      <c r="E2660" s="1"/>
      <c r="F2660" s="1" t="s">
        <v>380</v>
      </c>
      <c r="G2660">
        <v>2008</v>
      </c>
      <c r="H2660">
        <v>8039.72</v>
      </c>
      <c r="I2660">
        <v>9</v>
      </c>
      <c r="J2660" s="1" t="s">
        <v>426</v>
      </c>
      <c r="K2660">
        <v>0</v>
      </c>
      <c r="L2660">
        <v>393</v>
      </c>
      <c r="M2660">
        <v>20.452097999999999</v>
      </c>
      <c r="N2660">
        <v>2</v>
      </c>
      <c r="O2660" s="1" t="s">
        <v>569</v>
      </c>
      <c r="P2660">
        <v>8039.72</v>
      </c>
      <c r="Q2660">
        <v>3770.63</v>
      </c>
      <c r="R2660">
        <v>0</v>
      </c>
      <c r="S2660" s="1" t="s">
        <v>1060</v>
      </c>
      <c r="T2660" s="1" t="s">
        <v>1320</v>
      </c>
      <c r="U2660">
        <v>8039.7218400000002</v>
      </c>
      <c r="V2660">
        <v>0</v>
      </c>
      <c r="W2660">
        <v>59956</v>
      </c>
    </row>
    <row r="2661" spans="1:23" x14ac:dyDescent="0.25">
      <c r="A2661" s="1" t="s">
        <v>36</v>
      </c>
      <c r="B2661" s="1" t="s">
        <v>77</v>
      </c>
      <c r="C2661" s="1" t="s">
        <v>185</v>
      </c>
      <c r="D2661">
        <v>13870</v>
      </c>
      <c r="E2661" s="1" t="s">
        <v>243</v>
      </c>
      <c r="F2661" s="1" t="s">
        <v>315</v>
      </c>
      <c r="G2661">
        <v>2015</v>
      </c>
      <c r="H2661">
        <v>923.58</v>
      </c>
      <c r="I2661">
        <v>5</v>
      </c>
      <c r="J2661" s="1" t="s">
        <v>445</v>
      </c>
      <c r="K2661">
        <v>0</v>
      </c>
      <c r="L2661">
        <v>1104</v>
      </c>
      <c r="M2661">
        <v>0.83650000000000002</v>
      </c>
      <c r="N2661">
        <v>3</v>
      </c>
      <c r="O2661" s="1" t="s">
        <v>560</v>
      </c>
      <c r="P2661">
        <v>923.58</v>
      </c>
      <c r="Q2661">
        <v>738.86</v>
      </c>
      <c r="R2661">
        <v>0</v>
      </c>
      <c r="S2661" s="1" t="s">
        <v>666</v>
      </c>
      <c r="T2661" s="1"/>
      <c r="U2661">
        <v>923.58600000000001</v>
      </c>
      <c r="V2661">
        <v>0</v>
      </c>
      <c r="W2661">
        <v>92221</v>
      </c>
    </row>
    <row r="2662" spans="1:23" x14ac:dyDescent="0.25">
      <c r="A2662" s="1" t="s">
        <v>36</v>
      </c>
      <c r="B2662" s="1" t="s">
        <v>77</v>
      </c>
      <c r="C2662" s="1" t="s">
        <v>185</v>
      </c>
      <c r="D2662">
        <v>13870</v>
      </c>
      <c r="E2662" s="1" t="s">
        <v>243</v>
      </c>
      <c r="F2662" s="1" t="s">
        <v>315</v>
      </c>
      <c r="G2662">
        <v>2014</v>
      </c>
      <c r="H2662">
        <v>2445.0700000000002</v>
      </c>
      <c r="I2662">
        <v>12</v>
      </c>
      <c r="J2662" s="1" t="s">
        <v>445</v>
      </c>
      <c r="K2662">
        <v>0</v>
      </c>
      <c r="L2662">
        <v>1104</v>
      </c>
      <c r="M2662">
        <v>2.2145359999999998</v>
      </c>
      <c r="N2662">
        <v>3</v>
      </c>
      <c r="O2662" s="1" t="s">
        <v>560</v>
      </c>
      <c r="P2662">
        <v>2445.0700000000002</v>
      </c>
      <c r="Q2662">
        <v>1956.05</v>
      </c>
      <c r="R2662">
        <v>0</v>
      </c>
      <c r="S2662" s="1" t="s">
        <v>666</v>
      </c>
      <c r="T2662" s="1"/>
      <c r="U2662">
        <v>2445.0709999999999</v>
      </c>
      <c r="V2662">
        <v>0</v>
      </c>
      <c r="W2662">
        <v>92221</v>
      </c>
    </row>
    <row r="2663" spans="1:23" x14ac:dyDescent="0.25">
      <c r="A2663" s="1" t="s">
        <v>36</v>
      </c>
      <c r="B2663" s="1" t="s">
        <v>77</v>
      </c>
      <c r="C2663" s="1" t="s">
        <v>185</v>
      </c>
      <c r="D2663">
        <v>13870</v>
      </c>
      <c r="E2663" s="1" t="s">
        <v>243</v>
      </c>
      <c r="F2663" s="1" t="s">
        <v>315</v>
      </c>
      <c r="G2663">
        <v>2013</v>
      </c>
      <c r="H2663">
        <v>2207.9299999999998</v>
      </c>
      <c r="I2663">
        <v>11</v>
      </c>
      <c r="J2663" s="1" t="s">
        <v>445</v>
      </c>
      <c r="K2663">
        <v>0</v>
      </c>
      <c r="L2663">
        <v>1104</v>
      </c>
      <c r="M2663">
        <v>1.9997549999999999</v>
      </c>
      <c r="N2663">
        <v>3</v>
      </c>
      <c r="O2663" s="1" t="s">
        <v>560</v>
      </c>
      <c r="P2663">
        <v>2207.9299999999998</v>
      </c>
      <c r="Q2663">
        <v>1766.33</v>
      </c>
      <c r="R2663">
        <v>0</v>
      </c>
      <c r="S2663" s="1" t="s">
        <v>666</v>
      </c>
      <c r="T2663" s="1"/>
      <c r="U2663">
        <v>2207.9195</v>
      </c>
      <c r="V2663">
        <v>0</v>
      </c>
      <c r="W2663">
        <v>92221</v>
      </c>
    </row>
    <row r="2664" spans="1:23" x14ac:dyDescent="0.25">
      <c r="A2664" s="1" t="s">
        <v>36</v>
      </c>
      <c r="B2664" s="1" t="s">
        <v>77</v>
      </c>
      <c r="C2664" s="1" t="s">
        <v>185</v>
      </c>
      <c r="D2664">
        <v>13870</v>
      </c>
      <c r="E2664" s="1" t="s">
        <v>243</v>
      </c>
      <c r="F2664" s="1" t="s">
        <v>315</v>
      </c>
      <c r="G2664">
        <v>2012</v>
      </c>
      <c r="H2664">
        <v>2434.6799999999998</v>
      </c>
      <c r="I2664">
        <v>1</v>
      </c>
      <c r="J2664" s="1" t="s">
        <v>445</v>
      </c>
      <c r="K2664">
        <v>0</v>
      </c>
      <c r="L2664">
        <v>1104</v>
      </c>
      <c r="M2664">
        <v>2.2051259999999999</v>
      </c>
      <c r="N2664">
        <v>3</v>
      </c>
      <c r="O2664" s="1" t="s">
        <v>560</v>
      </c>
      <c r="P2664">
        <v>2434.6799999999998</v>
      </c>
      <c r="Q2664">
        <v>1947.77</v>
      </c>
      <c r="R2664">
        <v>0</v>
      </c>
      <c r="S2664" s="1" t="s">
        <v>666</v>
      </c>
      <c r="T2664" s="1"/>
      <c r="U2664">
        <v>2434.6618600000002</v>
      </c>
      <c r="V2664">
        <v>0</v>
      </c>
      <c r="W2664">
        <v>92221</v>
      </c>
    </row>
    <row r="2665" spans="1:23" x14ac:dyDescent="0.25">
      <c r="A2665" s="1" t="s">
        <v>36</v>
      </c>
      <c r="B2665" s="1" t="s">
        <v>77</v>
      </c>
      <c r="C2665" s="1" t="s">
        <v>185</v>
      </c>
      <c r="D2665">
        <v>13870</v>
      </c>
      <c r="E2665" s="1" t="s">
        <v>243</v>
      </c>
      <c r="F2665" s="1" t="s">
        <v>315</v>
      </c>
      <c r="G2665">
        <v>2011</v>
      </c>
      <c r="H2665">
        <v>2392.27</v>
      </c>
      <c r="I2665">
        <v>1</v>
      </c>
      <c r="J2665" s="1" t="s">
        <v>445</v>
      </c>
      <c r="K2665">
        <v>0</v>
      </c>
      <c r="L2665">
        <v>1104</v>
      </c>
      <c r="M2665">
        <v>2.1667139999999998</v>
      </c>
      <c r="N2665">
        <v>3</v>
      </c>
      <c r="O2665" s="1" t="s">
        <v>560</v>
      </c>
      <c r="P2665">
        <v>2392.27</v>
      </c>
      <c r="Q2665">
        <v>1913.86</v>
      </c>
      <c r="R2665">
        <v>0</v>
      </c>
      <c r="S2665" s="1" t="s">
        <v>666</v>
      </c>
      <c r="T2665" s="1"/>
      <c r="U2665">
        <v>2392.2749600000002</v>
      </c>
      <c r="V2665">
        <v>0</v>
      </c>
      <c r="W2665">
        <v>92221</v>
      </c>
    </row>
    <row r="2666" spans="1:23" x14ac:dyDescent="0.25">
      <c r="A2666" s="1" t="s">
        <v>36</v>
      </c>
      <c r="B2666" s="1" t="s">
        <v>77</v>
      </c>
      <c r="C2666" s="1" t="s">
        <v>185</v>
      </c>
      <c r="D2666">
        <v>13870</v>
      </c>
      <c r="E2666" s="1" t="s">
        <v>243</v>
      </c>
      <c r="F2666" s="1" t="s">
        <v>315</v>
      </c>
      <c r="G2666">
        <v>2010</v>
      </c>
      <c r="H2666">
        <v>2458.3200000000002</v>
      </c>
      <c r="I2666">
        <v>3</v>
      </c>
      <c r="J2666" s="1" t="s">
        <v>445</v>
      </c>
      <c r="K2666">
        <v>0</v>
      </c>
      <c r="L2666">
        <v>1104</v>
      </c>
      <c r="M2666">
        <v>2.226537</v>
      </c>
      <c r="N2666">
        <v>3</v>
      </c>
      <c r="O2666" s="1" t="s">
        <v>560</v>
      </c>
      <c r="P2666">
        <v>2458.3200000000002</v>
      </c>
      <c r="Q2666">
        <v>1966.67</v>
      </c>
      <c r="R2666">
        <v>0</v>
      </c>
      <c r="S2666" s="1" t="s">
        <v>666</v>
      </c>
      <c r="T2666" s="1"/>
      <c r="U2666">
        <v>2458.3286899999998</v>
      </c>
      <c r="V2666">
        <v>0</v>
      </c>
      <c r="W2666">
        <v>92221</v>
      </c>
    </row>
    <row r="2667" spans="1:23" x14ac:dyDescent="0.25">
      <c r="A2667" s="1" t="s">
        <v>36</v>
      </c>
      <c r="B2667" s="1" t="s">
        <v>77</v>
      </c>
      <c r="C2667" s="1" t="s">
        <v>185</v>
      </c>
      <c r="D2667">
        <v>13870</v>
      </c>
      <c r="E2667" s="1" t="s">
        <v>243</v>
      </c>
      <c r="F2667" s="1" t="s">
        <v>315</v>
      </c>
      <c r="G2667">
        <v>2009</v>
      </c>
      <c r="H2667">
        <v>2471.64</v>
      </c>
      <c r="I2667">
        <v>0</v>
      </c>
      <c r="J2667" s="1" t="s">
        <v>445</v>
      </c>
      <c r="K2667">
        <v>0</v>
      </c>
      <c r="L2667">
        <v>1104</v>
      </c>
      <c r="M2667">
        <v>2.2386010000000001</v>
      </c>
      <c r="N2667">
        <v>3</v>
      </c>
      <c r="O2667" s="1" t="s">
        <v>560</v>
      </c>
      <c r="P2667">
        <v>2471.64</v>
      </c>
      <c r="Q2667">
        <v>1977.34</v>
      </c>
      <c r="R2667">
        <v>0</v>
      </c>
      <c r="S2667" s="1" t="s">
        <v>666</v>
      </c>
      <c r="T2667" s="1"/>
      <c r="U2667">
        <v>2471.6307099999999</v>
      </c>
      <c r="V2667">
        <v>0</v>
      </c>
      <c r="W2667">
        <v>92221</v>
      </c>
    </row>
    <row r="2668" spans="1:23" x14ac:dyDescent="0.25">
      <c r="A2668" s="1" t="s">
        <v>36</v>
      </c>
      <c r="B2668" s="1" t="s">
        <v>77</v>
      </c>
      <c r="C2668" s="1" t="s">
        <v>185</v>
      </c>
      <c r="D2668">
        <v>13870</v>
      </c>
      <c r="E2668" s="1" t="s">
        <v>243</v>
      </c>
      <c r="F2668" s="1" t="s">
        <v>315</v>
      </c>
      <c r="G2668">
        <v>2008</v>
      </c>
      <c r="H2668">
        <v>2478.42</v>
      </c>
      <c r="I2668">
        <v>1</v>
      </c>
      <c r="J2668" s="1" t="s">
        <v>445</v>
      </c>
      <c r="K2668">
        <v>0</v>
      </c>
      <c r="L2668">
        <v>1104</v>
      </c>
      <c r="M2668">
        <v>2.244742</v>
      </c>
      <c r="N2668">
        <v>3</v>
      </c>
      <c r="O2668" s="1" t="s">
        <v>560</v>
      </c>
      <c r="P2668">
        <v>2478.42</v>
      </c>
      <c r="Q2668">
        <v>1982.76</v>
      </c>
      <c r="R2668">
        <v>0</v>
      </c>
      <c r="S2668" s="1" t="s">
        <v>666</v>
      </c>
      <c r="T2668" s="1"/>
      <c r="U2668">
        <v>2478.4023000000002</v>
      </c>
      <c r="V2668">
        <v>0</v>
      </c>
      <c r="W2668">
        <v>92221</v>
      </c>
    </row>
    <row r="2669" spans="1:23" x14ac:dyDescent="0.25">
      <c r="A2669" s="1" t="s">
        <v>36</v>
      </c>
      <c r="B2669" s="1" t="s">
        <v>78</v>
      </c>
      <c r="C2669" s="1" t="s">
        <v>186</v>
      </c>
      <c r="D2669">
        <v>13266</v>
      </c>
      <c r="E2669" s="1" t="s">
        <v>243</v>
      </c>
      <c r="F2669" s="1" t="s">
        <v>316</v>
      </c>
      <c r="G2669">
        <v>2015</v>
      </c>
      <c r="H2669">
        <v>436.32</v>
      </c>
      <c r="I2669">
        <v>5</v>
      </c>
      <c r="J2669" s="1" t="s">
        <v>446</v>
      </c>
      <c r="K2669">
        <v>0</v>
      </c>
      <c r="L2669">
        <v>1357</v>
      </c>
      <c r="M2669">
        <v>0.32150899999999999</v>
      </c>
      <c r="N2669">
        <v>3</v>
      </c>
      <c r="O2669" s="1" t="s">
        <v>560</v>
      </c>
      <c r="P2669">
        <v>436.32</v>
      </c>
      <c r="Q2669">
        <v>349.07</v>
      </c>
      <c r="R2669">
        <v>0</v>
      </c>
      <c r="S2669" s="1" t="s">
        <v>667</v>
      </c>
      <c r="T2669" s="1"/>
      <c r="U2669">
        <v>436.32812999999999</v>
      </c>
      <c r="V2669">
        <v>0</v>
      </c>
      <c r="W2669">
        <v>89187</v>
      </c>
    </row>
    <row r="2670" spans="1:23" x14ac:dyDescent="0.25">
      <c r="A2670" s="1" t="s">
        <v>36</v>
      </c>
      <c r="B2670" s="1" t="s">
        <v>78</v>
      </c>
      <c r="C2670" s="1" t="s">
        <v>186</v>
      </c>
      <c r="D2670">
        <v>13266</v>
      </c>
      <c r="E2670" s="1" t="s">
        <v>243</v>
      </c>
      <c r="F2670" s="1" t="s">
        <v>316</v>
      </c>
      <c r="G2670">
        <v>2014</v>
      </c>
      <c r="H2670">
        <v>1199.45</v>
      </c>
      <c r="I2670">
        <v>12</v>
      </c>
      <c r="J2670" s="1" t="s">
        <v>446</v>
      </c>
      <c r="K2670">
        <v>0</v>
      </c>
      <c r="L2670">
        <v>1357</v>
      </c>
      <c r="M2670">
        <v>0.88383299999999998</v>
      </c>
      <c r="N2670">
        <v>3</v>
      </c>
      <c r="O2670" s="1" t="s">
        <v>560</v>
      </c>
      <c r="P2670">
        <v>1199.45</v>
      </c>
      <c r="Q2670">
        <v>959.56</v>
      </c>
      <c r="R2670">
        <v>0</v>
      </c>
      <c r="S2670" s="1" t="s">
        <v>667</v>
      </c>
      <c r="T2670" s="1"/>
      <c r="U2670">
        <v>1199.44093</v>
      </c>
      <c r="V2670">
        <v>0</v>
      </c>
      <c r="W2670">
        <v>89187</v>
      </c>
    </row>
    <row r="2671" spans="1:23" x14ac:dyDescent="0.25">
      <c r="A2671" s="1" t="s">
        <v>36</v>
      </c>
      <c r="B2671" s="1" t="s">
        <v>78</v>
      </c>
      <c r="C2671" s="1" t="s">
        <v>186</v>
      </c>
      <c r="D2671">
        <v>13266</v>
      </c>
      <c r="E2671" s="1" t="s">
        <v>243</v>
      </c>
      <c r="F2671" s="1" t="s">
        <v>316</v>
      </c>
      <c r="G2671">
        <v>2013</v>
      </c>
      <c r="H2671">
        <v>1170.3699999999999</v>
      </c>
      <c r="I2671">
        <v>12</v>
      </c>
      <c r="J2671" s="1" t="s">
        <v>446</v>
      </c>
      <c r="K2671">
        <v>0</v>
      </c>
      <c r="L2671">
        <v>1357</v>
      </c>
      <c r="M2671">
        <v>0.86240499999999998</v>
      </c>
      <c r="N2671">
        <v>3</v>
      </c>
      <c r="O2671" s="1" t="s">
        <v>560</v>
      </c>
      <c r="P2671">
        <v>1170.3699999999999</v>
      </c>
      <c r="Q2671">
        <v>936.3</v>
      </c>
      <c r="R2671">
        <v>0</v>
      </c>
      <c r="S2671" s="1" t="s">
        <v>667</v>
      </c>
      <c r="T2671" s="1"/>
      <c r="U2671">
        <v>1170.37967</v>
      </c>
      <c r="V2671">
        <v>0</v>
      </c>
      <c r="W2671">
        <v>89187</v>
      </c>
    </row>
    <row r="2672" spans="1:23" x14ac:dyDescent="0.25">
      <c r="A2672" s="1" t="s">
        <v>36</v>
      </c>
      <c r="B2672" s="1" t="s">
        <v>78</v>
      </c>
      <c r="C2672" s="1" t="s">
        <v>186</v>
      </c>
      <c r="D2672">
        <v>13266</v>
      </c>
      <c r="E2672" s="1" t="s">
        <v>243</v>
      </c>
      <c r="F2672" s="1" t="s">
        <v>316</v>
      </c>
      <c r="G2672">
        <v>2012</v>
      </c>
      <c r="H2672">
        <v>972.37</v>
      </c>
      <c r="I2672">
        <v>13</v>
      </c>
      <c r="J2672" s="1" t="s">
        <v>446</v>
      </c>
      <c r="K2672">
        <v>0</v>
      </c>
      <c r="L2672">
        <v>1357</v>
      </c>
      <c r="M2672">
        <v>0.71650499999999995</v>
      </c>
      <c r="N2672">
        <v>3</v>
      </c>
      <c r="O2672" s="1" t="s">
        <v>560</v>
      </c>
      <c r="P2672">
        <v>972.37</v>
      </c>
      <c r="Q2672">
        <v>777.87</v>
      </c>
      <c r="R2672">
        <v>0</v>
      </c>
      <c r="S2672" s="1" t="s">
        <v>667</v>
      </c>
      <c r="T2672" s="1"/>
      <c r="U2672">
        <v>972.36532999999997</v>
      </c>
      <c r="V2672">
        <v>0</v>
      </c>
      <c r="W2672">
        <v>89187</v>
      </c>
    </row>
    <row r="2673" spans="1:23" x14ac:dyDescent="0.25">
      <c r="A2673" s="1" t="s">
        <v>36</v>
      </c>
      <c r="B2673" s="1" t="s">
        <v>78</v>
      </c>
      <c r="C2673" s="1" t="s">
        <v>186</v>
      </c>
      <c r="D2673">
        <v>13266</v>
      </c>
      <c r="E2673" s="1" t="s">
        <v>243</v>
      </c>
      <c r="F2673" s="1" t="s">
        <v>316</v>
      </c>
      <c r="G2673">
        <v>2011</v>
      </c>
      <c r="H2673">
        <v>999.98</v>
      </c>
      <c r="I2673">
        <v>1</v>
      </c>
      <c r="J2673" s="1" t="s">
        <v>446</v>
      </c>
      <c r="K2673">
        <v>0</v>
      </c>
      <c r="L2673">
        <v>1357</v>
      </c>
      <c r="M2673">
        <v>0.73685</v>
      </c>
      <c r="N2673">
        <v>3</v>
      </c>
      <c r="O2673" s="1" t="s">
        <v>560</v>
      </c>
      <c r="P2673">
        <v>999.98</v>
      </c>
      <c r="Q2673">
        <v>800.02</v>
      </c>
      <c r="R2673">
        <v>0</v>
      </c>
      <c r="S2673" s="1" t="s">
        <v>667</v>
      </c>
      <c r="T2673" s="1"/>
      <c r="U2673">
        <v>1000.0000199999999</v>
      </c>
      <c r="V2673">
        <v>0</v>
      </c>
      <c r="W2673">
        <v>89187</v>
      </c>
    </row>
    <row r="2674" spans="1:23" x14ac:dyDescent="0.25">
      <c r="A2674" s="1" t="s">
        <v>36</v>
      </c>
      <c r="B2674" s="1" t="s">
        <v>78</v>
      </c>
      <c r="C2674" s="1" t="s">
        <v>186</v>
      </c>
      <c r="D2674">
        <v>13266</v>
      </c>
      <c r="E2674" s="1" t="s">
        <v>243</v>
      </c>
      <c r="F2674" s="1" t="s">
        <v>316</v>
      </c>
      <c r="G2674">
        <v>2010</v>
      </c>
      <c r="H2674">
        <v>999.98</v>
      </c>
      <c r="I2674">
        <v>1</v>
      </c>
      <c r="J2674" s="1" t="s">
        <v>446</v>
      </c>
      <c r="K2674">
        <v>0</v>
      </c>
      <c r="L2674">
        <v>1357</v>
      </c>
      <c r="M2674">
        <v>0.73685</v>
      </c>
      <c r="N2674">
        <v>3</v>
      </c>
      <c r="O2674" s="1" t="s">
        <v>560</v>
      </c>
      <c r="P2674">
        <v>999.98</v>
      </c>
      <c r="Q2674">
        <v>800.02</v>
      </c>
      <c r="R2674">
        <v>0</v>
      </c>
      <c r="S2674" s="1" t="s">
        <v>667</v>
      </c>
      <c r="T2674" s="1"/>
      <c r="U2674">
        <v>1000.0000199999999</v>
      </c>
      <c r="V2674">
        <v>0</v>
      </c>
      <c r="W2674">
        <v>89187</v>
      </c>
    </row>
    <row r="2675" spans="1:23" x14ac:dyDescent="0.25">
      <c r="A2675" s="1" t="s">
        <v>36</v>
      </c>
      <c r="B2675" s="1" t="s">
        <v>78</v>
      </c>
      <c r="C2675" s="1" t="s">
        <v>186</v>
      </c>
      <c r="D2675">
        <v>13266</v>
      </c>
      <c r="E2675" s="1" t="s">
        <v>243</v>
      </c>
      <c r="F2675" s="1" t="s">
        <v>316</v>
      </c>
      <c r="G2675">
        <v>2009</v>
      </c>
      <c r="H2675">
        <v>999.98</v>
      </c>
      <c r="I2675">
        <v>1</v>
      </c>
      <c r="J2675" s="1" t="s">
        <v>446</v>
      </c>
      <c r="K2675">
        <v>0</v>
      </c>
      <c r="L2675">
        <v>1357</v>
      </c>
      <c r="M2675">
        <v>0.73685</v>
      </c>
      <c r="N2675">
        <v>3</v>
      </c>
      <c r="O2675" s="1" t="s">
        <v>560</v>
      </c>
      <c r="P2675">
        <v>999.98</v>
      </c>
      <c r="Q2675">
        <v>800.02</v>
      </c>
      <c r="R2675">
        <v>0</v>
      </c>
      <c r="S2675" s="1" t="s">
        <v>667</v>
      </c>
      <c r="T2675" s="1"/>
      <c r="U2675">
        <v>1000.0000199999999</v>
      </c>
      <c r="V2675">
        <v>0</v>
      </c>
      <c r="W2675">
        <v>89187</v>
      </c>
    </row>
    <row r="2676" spans="1:23" x14ac:dyDescent="0.25">
      <c r="A2676" s="1" t="s">
        <v>36</v>
      </c>
      <c r="B2676" s="1" t="s">
        <v>78</v>
      </c>
      <c r="C2676" s="1" t="s">
        <v>186</v>
      </c>
      <c r="D2676">
        <v>13266</v>
      </c>
      <c r="E2676" s="1" t="s">
        <v>243</v>
      </c>
      <c r="F2676" s="1" t="s">
        <v>316</v>
      </c>
      <c r="G2676">
        <v>2008</v>
      </c>
      <c r="H2676">
        <v>1000.01</v>
      </c>
      <c r="I2676">
        <v>1</v>
      </c>
      <c r="J2676" s="1" t="s">
        <v>446</v>
      </c>
      <c r="K2676">
        <v>0</v>
      </c>
      <c r="L2676">
        <v>1357</v>
      </c>
      <c r="M2676">
        <v>0.73687199999999997</v>
      </c>
      <c r="N2676">
        <v>3</v>
      </c>
      <c r="O2676" s="1" t="s">
        <v>560</v>
      </c>
      <c r="P2676">
        <v>1000.01</v>
      </c>
      <c r="Q2676">
        <v>799.99</v>
      </c>
      <c r="R2676">
        <v>0</v>
      </c>
      <c r="S2676" s="1" t="s">
        <v>667</v>
      </c>
      <c r="T2676" s="1"/>
      <c r="U2676">
        <v>999.99995999999999</v>
      </c>
      <c r="V2676">
        <v>0</v>
      </c>
      <c r="W2676">
        <v>89187</v>
      </c>
    </row>
    <row r="2677" spans="1:23" x14ac:dyDescent="0.25">
      <c r="A2677" s="1" t="s">
        <v>36</v>
      </c>
      <c r="B2677" s="1"/>
      <c r="C2677" s="1" t="s">
        <v>187</v>
      </c>
      <c r="D2677">
        <v>10323</v>
      </c>
      <c r="E2677" s="1"/>
      <c r="F2677" s="1" t="s">
        <v>187</v>
      </c>
      <c r="G2677">
        <v>2015</v>
      </c>
      <c r="H2677">
        <v>359.6</v>
      </c>
      <c r="I2677">
        <v>5</v>
      </c>
      <c r="J2677" s="1" t="s">
        <v>405</v>
      </c>
      <c r="K2677">
        <v>0</v>
      </c>
      <c r="L2677">
        <v>2114</v>
      </c>
      <c r="M2677">
        <v>0.170096</v>
      </c>
      <c r="N2677">
        <v>3</v>
      </c>
      <c r="O2677" s="1" t="s">
        <v>560</v>
      </c>
      <c r="P2677">
        <v>359.6</v>
      </c>
      <c r="Q2677">
        <v>287.68</v>
      </c>
      <c r="R2677">
        <v>0</v>
      </c>
      <c r="S2677" s="1" t="s">
        <v>668</v>
      </c>
      <c r="T2677" s="1"/>
      <c r="U2677">
        <v>359.6</v>
      </c>
      <c r="V2677">
        <v>0</v>
      </c>
      <c r="W2677">
        <v>77830</v>
      </c>
    </row>
    <row r="2678" spans="1:23" x14ac:dyDescent="0.25">
      <c r="A2678" s="1" t="s">
        <v>36</v>
      </c>
      <c r="B2678" s="1"/>
      <c r="C2678" s="1" t="s">
        <v>187</v>
      </c>
      <c r="D2678">
        <v>10323</v>
      </c>
      <c r="E2678" s="1"/>
      <c r="F2678" s="1" t="s">
        <v>187</v>
      </c>
      <c r="G2678">
        <v>2014</v>
      </c>
      <c r="H2678">
        <v>1052.5999999999999</v>
      </c>
      <c r="I2678">
        <v>12</v>
      </c>
      <c r="J2678" s="1" t="s">
        <v>405</v>
      </c>
      <c r="K2678">
        <v>0</v>
      </c>
      <c r="L2678">
        <v>2114</v>
      </c>
      <c r="M2678">
        <v>0.49789499999999998</v>
      </c>
      <c r="N2678">
        <v>3</v>
      </c>
      <c r="O2678" s="1" t="s">
        <v>560</v>
      </c>
      <c r="P2678">
        <v>1052.5999999999999</v>
      </c>
      <c r="Q2678">
        <v>842.08</v>
      </c>
      <c r="R2678">
        <v>0</v>
      </c>
      <c r="S2678" s="1" t="s">
        <v>668</v>
      </c>
      <c r="T2678" s="1"/>
      <c r="U2678">
        <v>1052.5999999999999</v>
      </c>
      <c r="V2678">
        <v>0</v>
      </c>
      <c r="W2678">
        <v>77830</v>
      </c>
    </row>
    <row r="2679" spans="1:23" x14ac:dyDescent="0.25">
      <c r="A2679" s="1" t="s">
        <v>36</v>
      </c>
      <c r="B2679" s="1"/>
      <c r="C2679" s="1" t="s">
        <v>187</v>
      </c>
      <c r="D2679">
        <v>10323</v>
      </c>
      <c r="E2679" s="1"/>
      <c r="F2679" s="1" t="s">
        <v>187</v>
      </c>
      <c r="G2679">
        <v>2013</v>
      </c>
      <c r="H2679">
        <v>1070.9000000000001</v>
      </c>
      <c r="I2679">
        <v>12</v>
      </c>
      <c r="J2679" s="1" t="s">
        <v>405</v>
      </c>
      <c r="K2679">
        <v>0</v>
      </c>
      <c r="L2679">
        <v>2114</v>
      </c>
      <c r="M2679">
        <v>0.50655099999999997</v>
      </c>
      <c r="N2679">
        <v>3</v>
      </c>
      <c r="O2679" s="1" t="s">
        <v>560</v>
      </c>
      <c r="P2679">
        <v>1070.9000000000001</v>
      </c>
      <c r="Q2679">
        <v>856.72</v>
      </c>
      <c r="R2679">
        <v>0</v>
      </c>
      <c r="S2679" s="1" t="s">
        <v>668</v>
      </c>
      <c r="T2679" s="1"/>
      <c r="U2679">
        <v>1070.9000000000001</v>
      </c>
      <c r="V2679">
        <v>0</v>
      </c>
      <c r="W2679">
        <v>77830</v>
      </c>
    </row>
    <row r="2680" spans="1:23" x14ac:dyDescent="0.25">
      <c r="A2680" s="1" t="s">
        <v>36</v>
      </c>
      <c r="B2680" s="1"/>
      <c r="C2680" s="1" t="s">
        <v>187</v>
      </c>
      <c r="D2680">
        <v>10323</v>
      </c>
      <c r="E2680" s="1"/>
      <c r="F2680" s="1" t="s">
        <v>187</v>
      </c>
      <c r="G2680">
        <v>2012</v>
      </c>
      <c r="H2680">
        <v>1213.0999999999999</v>
      </c>
      <c r="I2680">
        <v>12</v>
      </c>
      <c r="J2680" s="1" t="s">
        <v>405</v>
      </c>
      <c r="K2680">
        <v>0</v>
      </c>
      <c r="L2680">
        <v>2114</v>
      </c>
      <c r="M2680">
        <v>0.57381300000000002</v>
      </c>
      <c r="N2680">
        <v>3</v>
      </c>
      <c r="O2680" s="1" t="s">
        <v>560</v>
      </c>
      <c r="P2680">
        <v>1213.0999999999999</v>
      </c>
      <c r="Q2680">
        <v>970.48</v>
      </c>
      <c r="R2680">
        <v>0</v>
      </c>
      <c r="S2680" s="1" t="s">
        <v>668</v>
      </c>
      <c r="T2680" s="1"/>
      <c r="U2680">
        <v>1213.0999999999999</v>
      </c>
      <c r="V2680">
        <v>0</v>
      </c>
      <c r="W2680">
        <v>77830</v>
      </c>
    </row>
    <row r="2681" spans="1:23" x14ac:dyDescent="0.25">
      <c r="A2681" s="1" t="s">
        <v>36</v>
      </c>
      <c r="B2681" s="1"/>
      <c r="C2681" s="1" t="s">
        <v>187</v>
      </c>
      <c r="D2681">
        <v>10323</v>
      </c>
      <c r="E2681" s="1"/>
      <c r="F2681" s="1" t="s">
        <v>187</v>
      </c>
      <c r="G2681">
        <v>2011</v>
      </c>
      <c r="H2681">
        <v>1283.2</v>
      </c>
      <c r="I2681">
        <v>12</v>
      </c>
      <c r="J2681" s="1" t="s">
        <v>405</v>
      </c>
      <c r="K2681">
        <v>0</v>
      </c>
      <c r="L2681">
        <v>2114</v>
      </c>
      <c r="M2681">
        <v>0.60697199999999996</v>
      </c>
      <c r="N2681">
        <v>3</v>
      </c>
      <c r="O2681" s="1" t="s">
        <v>560</v>
      </c>
      <c r="P2681">
        <v>1283.2</v>
      </c>
      <c r="Q2681">
        <v>1026.56</v>
      </c>
      <c r="R2681">
        <v>0</v>
      </c>
      <c r="S2681" s="1" t="s">
        <v>668</v>
      </c>
      <c r="T2681" s="1"/>
      <c r="U2681">
        <v>1283.2</v>
      </c>
      <c r="V2681">
        <v>0</v>
      </c>
      <c r="W2681">
        <v>77830</v>
      </c>
    </row>
    <row r="2682" spans="1:23" x14ac:dyDescent="0.25">
      <c r="A2682" s="1" t="s">
        <v>36</v>
      </c>
      <c r="B2682" s="1"/>
      <c r="C2682" s="1" t="s">
        <v>187</v>
      </c>
      <c r="D2682">
        <v>10323</v>
      </c>
      <c r="E2682" s="1"/>
      <c r="F2682" s="1" t="s">
        <v>187</v>
      </c>
      <c r="G2682">
        <v>2010</v>
      </c>
      <c r="H2682">
        <v>1998.63</v>
      </c>
      <c r="I2682">
        <v>4</v>
      </c>
      <c r="J2682" s="1" t="s">
        <v>405</v>
      </c>
      <c r="K2682">
        <v>0</v>
      </c>
      <c r="L2682">
        <v>2114</v>
      </c>
      <c r="M2682">
        <v>0.94538100000000003</v>
      </c>
      <c r="N2682">
        <v>3</v>
      </c>
      <c r="O2682" s="1" t="s">
        <v>560</v>
      </c>
      <c r="P2682">
        <v>1998.63</v>
      </c>
      <c r="Q2682">
        <v>1598.9</v>
      </c>
      <c r="R2682">
        <v>0</v>
      </c>
      <c r="S2682" s="1" t="s">
        <v>668</v>
      </c>
      <c r="T2682" s="1"/>
      <c r="U2682">
        <v>1998.6327799999999</v>
      </c>
      <c r="V2682">
        <v>0</v>
      </c>
      <c r="W2682">
        <v>77830</v>
      </c>
    </row>
    <row r="2683" spans="1:23" x14ac:dyDescent="0.25">
      <c r="A2683" s="1" t="s">
        <v>36</v>
      </c>
      <c r="B2683" s="1"/>
      <c r="C2683" s="1" t="s">
        <v>187</v>
      </c>
      <c r="D2683">
        <v>10323</v>
      </c>
      <c r="E2683" s="1"/>
      <c r="F2683" s="1" t="s">
        <v>187</v>
      </c>
      <c r="G2683">
        <v>2009</v>
      </c>
      <c r="H2683">
        <v>1877.8</v>
      </c>
      <c r="I2683">
        <v>7</v>
      </c>
      <c r="J2683" s="1" t="s">
        <v>405</v>
      </c>
      <c r="K2683">
        <v>0</v>
      </c>
      <c r="L2683">
        <v>2114</v>
      </c>
      <c r="M2683">
        <v>0.88822599999999996</v>
      </c>
      <c r="N2683">
        <v>3</v>
      </c>
      <c r="O2683" s="1" t="s">
        <v>560</v>
      </c>
      <c r="P2683">
        <v>1877.8</v>
      </c>
      <c r="Q2683">
        <v>1502.24</v>
      </c>
      <c r="R2683">
        <v>0</v>
      </c>
      <c r="S2683" s="1" t="s">
        <v>668</v>
      </c>
      <c r="T2683" s="1"/>
      <c r="U2683">
        <v>1877.8005499999999</v>
      </c>
      <c r="V2683">
        <v>0</v>
      </c>
      <c r="W2683">
        <v>77830</v>
      </c>
    </row>
    <row r="2684" spans="1:23" x14ac:dyDescent="0.25">
      <c r="A2684" s="1" t="s">
        <v>36</v>
      </c>
      <c r="B2684" s="1"/>
      <c r="C2684" s="1" t="s">
        <v>187</v>
      </c>
      <c r="D2684">
        <v>10323</v>
      </c>
      <c r="E2684" s="1"/>
      <c r="F2684" s="1" t="s">
        <v>187</v>
      </c>
      <c r="G2684">
        <v>2008</v>
      </c>
      <c r="H2684">
        <v>1318.19</v>
      </c>
      <c r="I2684">
        <v>14</v>
      </c>
      <c r="J2684" s="1" t="s">
        <v>405</v>
      </c>
      <c r="K2684">
        <v>0</v>
      </c>
      <c r="L2684">
        <v>2114</v>
      </c>
      <c r="M2684">
        <v>0.62352300000000005</v>
      </c>
      <c r="N2684">
        <v>3</v>
      </c>
      <c r="O2684" s="1" t="s">
        <v>560</v>
      </c>
      <c r="P2684">
        <v>1318.19</v>
      </c>
      <c r="Q2684">
        <v>1054.53</v>
      </c>
      <c r="R2684">
        <v>0</v>
      </c>
      <c r="S2684" s="1" t="s">
        <v>668</v>
      </c>
      <c r="T2684" s="1"/>
      <c r="U2684">
        <v>1318.18281</v>
      </c>
      <c r="V2684">
        <v>0</v>
      </c>
      <c r="W2684">
        <v>77830</v>
      </c>
    </row>
    <row r="2685" spans="1:23" x14ac:dyDescent="0.25">
      <c r="A2685" s="1" t="s">
        <v>36</v>
      </c>
      <c r="B2685" s="1" t="s">
        <v>79</v>
      </c>
      <c r="C2685" s="1" t="s">
        <v>188</v>
      </c>
      <c r="D2685">
        <v>13869</v>
      </c>
      <c r="E2685" s="1" t="s">
        <v>79</v>
      </c>
      <c r="F2685" s="1" t="s">
        <v>317</v>
      </c>
      <c r="G2685">
        <v>2015</v>
      </c>
      <c r="H2685">
        <v>609.16</v>
      </c>
      <c r="I2685">
        <v>5</v>
      </c>
      <c r="J2685" s="1" t="s">
        <v>445</v>
      </c>
      <c r="K2685">
        <v>0</v>
      </c>
      <c r="L2685">
        <v>11569</v>
      </c>
      <c r="M2685">
        <v>5.2653999999999999E-2</v>
      </c>
      <c r="N2685">
        <v>3</v>
      </c>
      <c r="O2685" s="1" t="s">
        <v>560</v>
      </c>
      <c r="P2685">
        <v>609.16</v>
      </c>
      <c r="Q2685">
        <v>487.32</v>
      </c>
      <c r="R2685">
        <v>0</v>
      </c>
      <c r="S2685" s="1" t="s">
        <v>669</v>
      </c>
      <c r="T2685" s="1"/>
      <c r="U2685">
        <v>609.15200000000004</v>
      </c>
      <c r="V2685">
        <v>0</v>
      </c>
      <c r="W2685">
        <v>92219</v>
      </c>
    </row>
    <row r="2686" spans="1:23" x14ac:dyDescent="0.25">
      <c r="A2686" s="1" t="s">
        <v>36</v>
      </c>
      <c r="B2686" s="1" t="s">
        <v>79</v>
      </c>
      <c r="C2686" s="1" t="s">
        <v>188</v>
      </c>
      <c r="D2686">
        <v>13869</v>
      </c>
      <c r="E2686" s="1" t="s">
        <v>79</v>
      </c>
      <c r="F2686" s="1" t="s">
        <v>317</v>
      </c>
      <c r="G2686">
        <v>2014</v>
      </c>
      <c r="H2686">
        <v>1593.18</v>
      </c>
      <c r="I2686">
        <v>12</v>
      </c>
      <c r="J2686" s="1" t="s">
        <v>445</v>
      </c>
      <c r="K2686">
        <v>0</v>
      </c>
      <c r="L2686">
        <v>11569</v>
      </c>
      <c r="M2686">
        <v>0.137709</v>
      </c>
      <c r="N2686">
        <v>3</v>
      </c>
      <c r="O2686" s="1" t="s">
        <v>560</v>
      </c>
      <c r="P2686">
        <v>1593.18</v>
      </c>
      <c r="Q2686">
        <v>1274.56</v>
      </c>
      <c r="R2686">
        <v>0</v>
      </c>
      <c r="S2686" s="1" t="s">
        <v>669</v>
      </c>
      <c r="T2686" s="1"/>
      <c r="U2686">
        <v>1593.1869999999999</v>
      </c>
      <c r="V2686">
        <v>0</v>
      </c>
      <c r="W2686">
        <v>92219</v>
      </c>
    </row>
    <row r="2687" spans="1:23" x14ac:dyDescent="0.25">
      <c r="A2687" s="1" t="s">
        <v>36</v>
      </c>
      <c r="B2687" s="1" t="s">
        <v>79</v>
      </c>
      <c r="C2687" s="1" t="s">
        <v>188</v>
      </c>
      <c r="D2687">
        <v>13869</v>
      </c>
      <c r="E2687" s="1" t="s">
        <v>79</v>
      </c>
      <c r="F2687" s="1" t="s">
        <v>317</v>
      </c>
      <c r="G2687">
        <v>2013</v>
      </c>
      <c r="H2687">
        <v>1620.92</v>
      </c>
      <c r="I2687">
        <v>11</v>
      </c>
      <c r="J2687" s="1" t="s">
        <v>445</v>
      </c>
      <c r="K2687">
        <v>0</v>
      </c>
      <c r="L2687">
        <v>11569</v>
      </c>
      <c r="M2687">
        <v>0.14010700000000001</v>
      </c>
      <c r="N2687">
        <v>3</v>
      </c>
      <c r="O2687" s="1" t="s">
        <v>560</v>
      </c>
      <c r="P2687">
        <v>1620.92</v>
      </c>
      <c r="Q2687">
        <v>1296.74</v>
      </c>
      <c r="R2687">
        <v>0</v>
      </c>
      <c r="S2687" s="1" t="s">
        <v>669</v>
      </c>
      <c r="T2687" s="1"/>
      <c r="U2687">
        <v>1620.9269999999999</v>
      </c>
      <c r="V2687">
        <v>0</v>
      </c>
      <c r="W2687">
        <v>92219</v>
      </c>
    </row>
    <row r="2688" spans="1:23" x14ac:dyDescent="0.25">
      <c r="A2688" s="1" t="s">
        <v>36</v>
      </c>
      <c r="B2688" s="1" t="s">
        <v>79</v>
      </c>
      <c r="C2688" s="1" t="s">
        <v>188</v>
      </c>
      <c r="D2688">
        <v>13869</v>
      </c>
      <c r="E2688" s="1" t="s">
        <v>79</v>
      </c>
      <c r="F2688" s="1" t="s">
        <v>317</v>
      </c>
      <c r="G2688">
        <v>2012</v>
      </c>
      <c r="H2688">
        <v>1856</v>
      </c>
      <c r="I2688">
        <v>1</v>
      </c>
      <c r="J2688" s="1" t="s">
        <v>445</v>
      </c>
      <c r="K2688">
        <v>0</v>
      </c>
      <c r="L2688">
        <v>11569</v>
      </c>
      <c r="M2688">
        <v>0.16042699999999999</v>
      </c>
      <c r="N2688">
        <v>3</v>
      </c>
      <c r="O2688" s="1" t="s">
        <v>560</v>
      </c>
      <c r="P2688">
        <v>1856</v>
      </c>
      <c r="Q2688">
        <v>1484.82</v>
      </c>
      <c r="R2688">
        <v>0</v>
      </c>
      <c r="S2688" s="1" t="s">
        <v>669</v>
      </c>
      <c r="T2688" s="1"/>
      <c r="U2688">
        <v>1856.01722</v>
      </c>
      <c r="V2688">
        <v>0</v>
      </c>
      <c r="W2688">
        <v>92219</v>
      </c>
    </row>
    <row r="2689" spans="1:23" x14ac:dyDescent="0.25">
      <c r="A2689" s="1" t="s">
        <v>36</v>
      </c>
      <c r="B2689" s="1" t="s">
        <v>79</v>
      </c>
      <c r="C2689" s="1" t="s">
        <v>188</v>
      </c>
      <c r="D2689">
        <v>13869</v>
      </c>
      <c r="E2689" s="1" t="s">
        <v>79</v>
      </c>
      <c r="F2689" s="1" t="s">
        <v>317</v>
      </c>
      <c r="G2689">
        <v>2011</v>
      </c>
      <c r="H2689">
        <v>1624.98</v>
      </c>
      <c r="I2689">
        <v>1</v>
      </c>
      <c r="J2689" s="1" t="s">
        <v>445</v>
      </c>
      <c r="K2689">
        <v>0</v>
      </c>
      <c r="L2689">
        <v>11569</v>
      </c>
      <c r="M2689">
        <v>0.140458</v>
      </c>
      <c r="N2689">
        <v>3</v>
      </c>
      <c r="O2689" s="1" t="s">
        <v>560</v>
      </c>
      <c r="P2689">
        <v>1624.98</v>
      </c>
      <c r="Q2689">
        <v>1300.04</v>
      </c>
      <c r="R2689">
        <v>0</v>
      </c>
      <c r="S2689" s="1" t="s">
        <v>669</v>
      </c>
      <c r="T2689" s="1"/>
      <c r="U2689">
        <v>1625.01151</v>
      </c>
      <c r="V2689">
        <v>0</v>
      </c>
      <c r="W2689">
        <v>92219</v>
      </c>
    </row>
    <row r="2690" spans="1:23" x14ac:dyDescent="0.25">
      <c r="A2690" s="1" t="s">
        <v>36</v>
      </c>
      <c r="B2690" s="1" t="s">
        <v>79</v>
      </c>
      <c r="C2690" s="1" t="s">
        <v>188</v>
      </c>
      <c r="D2690">
        <v>13869</v>
      </c>
      <c r="E2690" s="1" t="s">
        <v>79</v>
      </c>
      <c r="F2690" s="1" t="s">
        <v>317</v>
      </c>
      <c r="G2690">
        <v>2010</v>
      </c>
      <c r="H2690">
        <v>1627.41</v>
      </c>
      <c r="I2690">
        <v>1</v>
      </c>
      <c r="J2690" s="1" t="s">
        <v>445</v>
      </c>
      <c r="K2690">
        <v>0</v>
      </c>
      <c r="L2690">
        <v>11569</v>
      </c>
      <c r="M2690">
        <v>0.14066799999999999</v>
      </c>
      <c r="N2690">
        <v>3</v>
      </c>
      <c r="O2690" s="1" t="s">
        <v>560</v>
      </c>
      <c r="P2690">
        <v>1627.41</v>
      </c>
      <c r="Q2690">
        <v>1301.92</v>
      </c>
      <c r="R2690">
        <v>0</v>
      </c>
      <c r="S2690" s="1" t="s">
        <v>669</v>
      </c>
      <c r="T2690" s="1"/>
      <c r="U2690">
        <v>1627.4328399999999</v>
      </c>
      <c r="V2690">
        <v>0</v>
      </c>
      <c r="W2690">
        <v>92219</v>
      </c>
    </row>
    <row r="2691" spans="1:23" x14ac:dyDescent="0.25">
      <c r="A2691" s="1" t="s">
        <v>36</v>
      </c>
      <c r="B2691" s="1" t="s">
        <v>79</v>
      </c>
      <c r="C2691" s="1" t="s">
        <v>188</v>
      </c>
      <c r="D2691">
        <v>13869</v>
      </c>
      <c r="E2691" s="1" t="s">
        <v>79</v>
      </c>
      <c r="F2691" s="1" t="s">
        <v>317</v>
      </c>
      <c r="G2691">
        <v>2009</v>
      </c>
      <c r="H2691">
        <v>1490.88</v>
      </c>
      <c r="I2691">
        <v>1</v>
      </c>
      <c r="J2691" s="1" t="s">
        <v>445</v>
      </c>
      <c r="K2691">
        <v>0</v>
      </c>
      <c r="L2691">
        <v>11569</v>
      </c>
      <c r="M2691">
        <v>0.12886700000000001</v>
      </c>
      <c r="N2691">
        <v>3</v>
      </c>
      <c r="O2691" s="1" t="s">
        <v>560</v>
      </c>
      <c r="P2691">
        <v>1490.88</v>
      </c>
      <c r="Q2691">
        <v>1192.69</v>
      </c>
      <c r="R2691">
        <v>0</v>
      </c>
      <c r="S2691" s="1" t="s">
        <v>669</v>
      </c>
      <c r="T2691" s="1"/>
      <c r="U2691">
        <v>1490.8716899999999</v>
      </c>
      <c r="V2691">
        <v>0</v>
      </c>
      <c r="W2691">
        <v>92219</v>
      </c>
    </row>
    <row r="2692" spans="1:23" x14ac:dyDescent="0.25">
      <c r="A2692" s="1" t="s">
        <v>36</v>
      </c>
      <c r="B2692" s="1" t="s">
        <v>79</v>
      </c>
      <c r="C2692" s="1" t="s">
        <v>188</v>
      </c>
      <c r="D2692">
        <v>13869</v>
      </c>
      <c r="E2692" s="1" t="s">
        <v>79</v>
      </c>
      <c r="F2692" s="1" t="s">
        <v>317</v>
      </c>
      <c r="G2692">
        <v>2008</v>
      </c>
      <c r="H2692">
        <v>450.17</v>
      </c>
      <c r="I2692">
        <v>1</v>
      </c>
      <c r="J2692" s="1" t="s">
        <v>445</v>
      </c>
      <c r="K2692">
        <v>0</v>
      </c>
      <c r="L2692">
        <v>11569</v>
      </c>
      <c r="M2692">
        <v>3.8911000000000001E-2</v>
      </c>
      <c r="N2692">
        <v>3</v>
      </c>
      <c r="O2692" s="1" t="s">
        <v>560</v>
      </c>
      <c r="P2692">
        <v>450.17</v>
      </c>
      <c r="Q2692">
        <v>360.13</v>
      </c>
      <c r="R2692">
        <v>0</v>
      </c>
      <c r="S2692" s="1" t="s">
        <v>669</v>
      </c>
      <c r="T2692" s="1"/>
      <c r="U2692">
        <v>450.16667000000001</v>
      </c>
      <c r="V2692">
        <v>0</v>
      </c>
      <c r="W2692">
        <v>92219</v>
      </c>
    </row>
    <row r="2693" spans="1:23" x14ac:dyDescent="0.25">
      <c r="A2693" s="1" t="s">
        <v>36</v>
      </c>
      <c r="B2693" s="1"/>
      <c r="C2693" s="1" t="s">
        <v>189</v>
      </c>
      <c r="D2693">
        <v>9520</v>
      </c>
      <c r="E2693" s="1"/>
      <c r="F2693" s="1" t="s">
        <v>318</v>
      </c>
      <c r="G2693">
        <v>2015</v>
      </c>
      <c r="H2693">
        <v>188.6</v>
      </c>
      <c r="I2693">
        <v>5</v>
      </c>
      <c r="J2693" s="1"/>
      <c r="K2693">
        <v>0</v>
      </c>
      <c r="L2693">
        <v>1935</v>
      </c>
      <c r="M2693">
        <v>9.7461999999999993E-2</v>
      </c>
      <c r="N2693">
        <v>3</v>
      </c>
      <c r="O2693" s="1" t="s">
        <v>560</v>
      </c>
      <c r="P2693">
        <v>188.6</v>
      </c>
      <c r="Q2693">
        <v>150.88999999999999</v>
      </c>
      <c r="R2693">
        <v>0</v>
      </c>
      <c r="S2693" s="1" t="s">
        <v>670</v>
      </c>
      <c r="T2693" s="1"/>
      <c r="U2693">
        <v>188.60900000000001</v>
      </c>
      <c r="V2693">
        <v>0</v>
      </c>
      <c r="W2693">
        <v>74435</v>
      </c>
    </row>
    <row r="2694" spans="1:23" x14ac:dyDescent="0.25">
      <c r="A2694" s="1" t="s">
        <v>36</v>
      </c>
      <c r="B2694" s="1"/>
      <c r="C2694" s="1" t="s">
        <v>189</v>
      </c>
      <c r="D2694">
        <v>9520</v>
      </c>
      <c r="E2694" s="1"/>
      <c r="F2694" s="1" t="s">
        <v>318</v>
      </c>
      <c r="G2694">
        <v>2015</v>
      </c>
      <c r="H2694">
        <v>47.43</v>
      </c>
      <c r="I2694">
        <v>5</v>
      </c>
      <c r="J2694" s="1"/>
      <c r="K2694">
        <v>0</v>
      </c>
      <c r="L2694">
        <v>1935</v>
      </c>
      <c r="M2694">
        <v>2.4510000000000001E-2</v>
      </c>
      <c r="N2694">
        <v>3</v>
      </c>
      <c r="O2694" s="1" t="s">
        <v>560</v>
      </c>
      <c r="P2694">
        <v>47.43</v>
      </c>
      <c r="Q2694">
        <v>0</v>
      </c>
      <c r="R2694">
        <v>1</v>
      </c>
      <c r="S2694" s="1" t="s">
        <v>634</v>
      </c>
      <c r="T2694" s="1"/>
      <c r="U2694">
        <v>47.433</v>
      </c>
      <c r="V2694">
        <v>0</v>
      </c>
      <c r="W2694">
        <v>74436</v>
      </c>
    </row>
    <row r="2695" spans="1:23" x14ac:dyDescent="0.25">
      <c r="A2695" s="1" t="s">
        <v>36</v>
      </c>
      <c r="B2695" s="1"/>
      <c r="C2695" s="1" t="s">
        <v>189</v>
      </c>
      <c r="D2695">
        <v>9520</v>
      </c>
      <c r="E2695" s="1"/>
      <c r="F2695" s="1" t="s">
        <v>318</v>
      </c>
      <c r="G2695">
        <v>2014</v>
      </c>
      <c r="H2695">
        <v>458.1</v>
      </c>
      <c r="I2695">
        <v>12</v>
      </c>
      <c r="J2695" s="1"/>
      <c r="K2695">
        <v>0</v>
      </c>
      <c r="L2695">
        <v>1935</v>
      </c>
      <c r="M2695">
        <v>0.236731</v>
      </c>
      <c r="N2695">
        <v>3</v>
      </c>
      <c r="O2695" s="1" t="s">
        <v>560</v>
      </c>
      <c r="P2695">
        <v>458.1</v>
      </c>
      <c r="Q2695">
        <v>366.48</v>
      </c>
      <c r="R2695">
        <v>0</v>
      </c>
      <c r="S2695" s="1" t="s">
        <v>670</v>
      </c>
      <c r="T2695" s="1"/>
      <c r="U2695">
        <v>458.10599999999999</v>
      </c>
      <c r="V2695">
        <v>0</v>
      </c>
      <c r="W2695">
        <v>74435</v>
      </c>
    </row>
    <row r="2696" spans="1:23" x14ac:dyDescent="0.25">
      <c r="A2696" s="1" t="s">
        <v>36</v>
      </c>
      <c r="B2696" s="1"/>
      <c r="C2696" s="1" t="s">
        <v>189</v>
      </c>
      <c r="D2696">
        <v>9520</v>
      </c>
      <c r="E2696" s="1"/>
      <c r="F2696" s="1" t="s">
        <v>318</v>
      </c>
      <c r="G2696">
        <v>2014</v>
      </c>
      <c r="H2696">
        <v>125.5</v>
      </c>
      <c r="I2696">
        <v>12</v>
      </c>
      <c r="J2696" s="1"/>
      <c r="K2696">
        <v>0</v>
      </c>
      <c r="L2696">
        <v>1935</v>
      </c>
      <c r="M2696">
        <v>6.4853999999999995E-2</v>
      </c>
      <c r="N2696">
        <v>3</v>
      </c>
      <c r="O2696" s="1" t="s">
        <v>560</v>
      </c>
      <c r="P2696">
        <v>125.5</v>
      </c>
      <c r="Q2696">
        <v>0</v>
      </c>
      <c r="R2696">
        <v>1</v>
      </c>
      <c r="S2696" s="1" t="s">
        <v>634</v>
      </c>
      <c r="T2696" s="1"/>
      <c r="U2696">
        <v>125.51600000000001</v>
      </c>
      <c r="V2696">
        <v>0</v>
      </c>
      <c r="W2696">
        <v>74436</v>
      </c>
    </row>
    <row r="2697" spans="1:23" x14ac:dyDescent="0.25">
      <c r="A2697" s="1" t="s">
        <v>36</v>
      </c>
      <c r="B2697" s="1"/>
      <c r="C2697" s="1" t="s">
        <v>189</v>
      </c>
      <c r="D2697">
        <v>9520</v>
      </c>
      <c r="E2697" s="1"/>
      <c r="F2697" s="1" t="s">
        <v>318</v>
      </c>
      <c r="G2697">
        <v>2013</v>
      </c>
      <c r="H2697">
        <v>421.75</v>
      </c>
      <c r="I2697">
        <v>12</v>
      </c>
      <c r="J2697" s="1"/>
      <c r="K2697">
        <v>0</v>
      </c>
      <c r="L2697">
        <v>1935</v>
      </c>
      <c r="M2697">
        <v>0.217947</v>
      </c>
      <c r="N2697">
        <v>3</v>
      </c>
      <c r="O2697" s="1" t="s">
        <v>560</v>
      </c>
      <c r="P2697">
        <v>421.75</v>
      </c>
      <c r="Q2697">
        <v>337.42</v>
      </c>
      <c r="R2697">
        <v>0</v>
      </c>
      <c r="S2697" s="1" t="s">
        <v>670</v>
      </c>
      <c r="T2697" s="1"/>
      <c r="U2697">
        <v>421.76100000000002</v>
      </c>
      <c r="V2697">
        <v>0</v>
      </c>
      <c r="W2697">
        <v>74435</v>
      </c>
    </row>
    <row r="2698" spans="1:23" x14ac:dyDescent="0.25">
      <c r="A2698" s="1" t="s">
        <v>36</v>
      </c>
      <c r="B2698" s="1"/>
      <c r="C2698" s="1" t="s">
        <v>189</v>
      </c>
      <c r="D2698">
        <v>9520</v>
      </c>
      <c r="E2698" s="1"/>
      <c r="F2698" s="1" t="s">
        <v>318</v>
      </c>
      <c r="G2698">
        <v>2013</v>
      </c>
      <c r="H2698">
        <v>127.17</v>
      </c>
      <c r="I2698">
        <v>12</v>
      </c>
      <c r="J2698" s="1"/>
      <c r="K2698">
        <v>0</v>
      </c>
      <c r="L2698">
        <v>1935</v>
      </c>
      <c r="M2698">
        <v>6.5716999999999998E-2</v>
      </c>
      <c r="N2698">
        <v>3</v>
      </c>
      <c r="O2698" s="1" t="s">
        <v>560</v>
      </c>
      <c r="P2698">
        <v>127.17</v>
      </c>
      <c r="Q2698">
        <v>0</v>
      </c>
      <c r="R2698">
        <v>1</v>
      </c>
      <c r="S2698" s="1" t="s">
        <v>634</v>
      </c>
      <c r="T2698" s="1"/>
      <c r="U2698">
        <v>127.17</v>
      </c>
      <c r="V2698">
        <v>0</v>
      </c>
      <c r="W2698">
        <v>74436</v>
      </c>
    </row>
    <row r="2699" spans="1:23" x14ac:dyDescent="0.25">
      <c r="A2699" s="1" t="s">
        <v>36</v>
      </c>
      <c r="B2699" s="1"/>
      <c r="C2699" s="1" t="s">
        <v>189</v>
      </c>
      <c r="D2699">
        <v>9520</v>
      </c>
      <c r="E2699" s="1"/>
      <c r="F2699" s="1" t="s">
        <v>318</v>
      </c>
      <c r="G2699">
        <v>2012</v>
      </c>
      <c r="H2699">
        <v>482.34</v>
      </c>
      <c r="I2699">
        <v>12</v>
      </c>
      <c r="J2699" s="1"/>
      <c r="K2699">
        <v>0</v>
      </c>
      <c r="L2699">
        <v>1935</v>
      </c>
      <c r="M2699">
        <v>0.24925800000000001</v>
      </c>
      <c r="N2699">
        <v>3</v>
      </c>
      <c r="O2699" s="1" t="s">
        <v>560</v>
      </c>
      <c r="P2699">
        <v>482.34</v>
      </c>
      <c r="Q2699">
        <v>385.89</v>
      </c>
      <c r="R2699">
        <v>0</v>
      </c>
      <c r="S2699" s="1" t="s">
        <v>670</v>
      </c>
      <c r="T2699" s="1"/>
      <c r="U2699">
        <v>482.35500000000002</v>
      </c>
      <c r="V2699">
        <v>0</v>
      </c>
      <c r="W2699">
        <v>74435</v>
      </c>
    </row>
    <row r="2700" spans="1:23" x14ac:dyDescent="0.25">
      <c r="A2700" s="1" t="s">
        <v>36</v>
      </c>
      <c r="B2700" s="1"/>
      <c r="C2700" s="1" t="s">
        <v>189</v>
      </c>
      <c r="D2700">
        <v>9520</v>
      </c>
      <c r="E2700" s="1"/>
      <c r="F2700" s="1" t="s">
        <v>318</v>
      </c>
      <c r="G2700">
        <v>2012</v>
      </c>
      <c r="H2700">
        <v>134.83000000000001</v>
      </c>
      <c r="I2700">
        <v>12</v>
      </c>
      <c r="J2700" s="1"/>
      <c r="K2700">
        <v>0</v>
      </c>
      <c r="L2700">
        <v>1935</v>
      </c>
      <c r="M2700">
        <v>6.9675000000000001E-2</v>
      </c>
      <c r="N2700">
        <v>3</v>
      </c>
      <c r="O2700" s="1" t="s">
        <v>560</v>
      </c>
      <c r="P2700">
        <v>134.83000000000001</v>
      </c>
      <c r="Q2700">
        <v>0</v>
      </c>
      <c r="R2700">
        <v>1</v>
      </c>
      <c r="S2700" s="1" t="s">
        <v>634</v>
      </c>
      <c r="T2700" s="1"/>
      <c r="U2700">
        <v>134.828</v>
      </c>
      <c r="V2700">
        <v>0</v>
      </c>
      <c r="W2700">
        <v>74436</v>
      </c>
    </row>
    <row r="2701" spans="1:23" x14ac:dyDescent="0.25">
      <c r="A2701" s="1" t="s">
        <v>36</v>
      </c>
      <c r="B2701" s="1"/>
      <c r="C2701" s="1" t="s">
        <v>189</v>
      </c>
      <c r="D2701">
        <v>9520</v>
      </c>
      <c r="E2701" s="1"/>
      <c r="F2701" s="1" t="s">
        <v>318</v>
      </c>
      <c r="G2701">
        <v>2011</v>
      </c>
      <c r="H2701">
        <v>617.49</v>
      </c>
      <c r="I2701">
        <v>12</v>
      </c>
      <c r="J2701" s="1"/>
      <c r="K2701">
        <v>0</v>
      </c>
      <c r="L2701">
        <v>1935</v>
      </c>
      <c r="M2701">
        <v>0.31909900000000002</v>
      </c>
      <c r="N2701">
        <v>3</v>
      </c>
      <c r="O2701" s="1" t="s">
        <v>560</v>
      </c>
      <c r="P2701">
        <v>617.49</v>
      </c>
      <c r="Q2701">
        <v>493.95</v>
      </c>
      <c r="R2701">
        <v>0</v>
      </c>
      <c r="S2701" s="1" t="s">
        <v>670</v>
      </c>
      <c r="T2701" s="1"/>
      <c r="U2701">
        <v>617.46199999999999</v>
      </c>
      <c r="V2701">
        <v>0</v>
      </c>
      <c r="W2701">
        <v>74435</v>
      </c>
    </row>
    <row r="2702" spans="1:23" x14ac:dyDescent="0.25">
      <c r="A2702" s="1" t="s">
        <v>36</v>
      </c>
      <c r="B2702" s="1"/>
      <c r="C2702" s="1" t="s">
        <v>189</v>
      </c>
      <c r="D2702">
        <v>9520</v>
      </c>
      <c r="E2702" s="1"/>
      <c r="F2702" s="1" t="s">
        <v>318</v>
      </c>
      <c r="G2702">
        <v>2011</v>
      </c>
      <c r="H2702">
        <v>131.03</v>
      </c>
      <c r="I2702">
        <v>12</v>
      </c>
      <c r="J2702" s="1"/>
      <c r="K2702">
        <v>0</v>
      </c>
      <c r="L2702">
        <v>1935</v>
      </c>
      <c r="M2702">
        <v>6.7711999999999994E-2</v>
      </c>
      <c r="N2702">
        <v>3</v>
      </c>
      <c r="O2702" s="1" t="s">
        <v>560</v>
      </c>
      <c r="P2702">
        <v>131.03</v>
      </c>
      <c r="Q2702">
        <v>0</v>
      </c>
      <c r="R2702">
        <v>1</v>
      </c>
      <c r="S2702" s="1" t="s">
        <v>634</v>
      </c>
      <c r="T2702" s="1"/>
      <c r="U2702">
        <v>131.017</v>
      </c>
      <c r="V2702">
        <v>0</v>
      </c>
      <c r="W2702">
        <v>74436</v>
      </c>
    </row>
    <row r="2703" spans="1:23" x14ac:dyDescent="0.25">
      <c r="A2703" s="1" t="s">
        <v>36</v>
      </c>
      <c r="B2703" s="1"/>
      <c r="C2703" s="1" t="s">
        <v>189</v>
      </c>
      <c r="D2703">
        <v>9520</v>
      </c>
      <c r="E2703" s="1"/>
      <c r="F2703" s="1" t="s">
        <v>318</v>
      </c>
      <c r="G2703">
        <v>2010</v>
      </c>
      <c r="H2703">
        <v>737.76</v>
      </c>
      <c r="I2703">
        <v>12</v>
      </c>
      <c r="J2703" s="1"/>
      <c r="K2703">
        <v>0</v>
      </c>
      <c r="L2703">
        <v>1935</v>
      </c>
      <c r="M2703">
        <v>0.38125100000000001</v>
      </c>
      <c r="N2703">
        <v>3</v>
      </c>
      <c r="O2703" s="1" t="s">
        <v>560</v>
      </c>
      <c r="P2703">
        <v>737.76</v>
      </c>
      <c r="Q2703">
        <v>590.20000000000005</v>
      </c>
      <c r="R2703">
        <v>0</v>
      </c>
      <c r="S2703" s="1" t="s">
        <v>670</v>
      </c>
      <c r="T2703" s="1"/>
      <c r="U2703">
        <v>737.74599999999998</v>
      </c>
      <c r="V2703">
        <v>0</v>
      </c>
      <c r="W2703">
        <v>74435</v>
      </c>
    </row>
    <row r="2704" spans="1:23" x14ac:dyDescent="0.25">
      <c r="A2704" s="1" t="s">
        <v>36</v>
      </c>
      <c r="B2704" s="1"/>
      <c r="C2704" s="1" t="s">
        <v>189</v>
      </c>
      <c r="D2704">
        <v>9520</v>
      </c>
      <c r="E2704" s="1"/>
      <c r="F2704" s="1" t="s">
        <v>318</v>
      </c>
      <c r="G2704">
        <v>2010</v>
      </c>
      <c r="H2704">
        <v>0</v>
      </c>
      <c r="I2704">
        <v>12</v>
      </c>
      <c r="J2704" s="1"/>
      <c r="K2704">
        <v>0</v>
      </c>
      <c r="L2704">
        <v>1935</v>
      </c>
      <c r="M2704">
        <v>0</v>
      </c>
      <c r="N2704">
        <v>3</v>
      </c>
      <c r="O2704" s="1" t="s">
        <v>560</v>
      </c>
      <c r="P2704">
        <v>0</v>
      </c>
      <c r="Q2704">
        <v>0</v>
      </c>
      <c r="R2704">
        <v>1</v>
      </c>
      <c r="S2704" s="1" t="s">
        <v>634</v>
      </c>
      <c r="T2704" s="1"/>
      <c r="U2704">
        <v>0</v>
      </c>
      <c r="V2704">
        <v>0</v>
      </c>
      <c r="W2704">
        <v>74436</v>
      </c>
    </row>
    <row r="2705" spans="1:23" x14ac:dyDescent="0.25">
      <c r="A2705" s="1" t="s">
        <v>36</v>
      </c>
      <c r="B2705" s="1"/>
      <c r="C2705" s="1" t="s">
        <v>189</v>
      </c>
      <c r="D2705">
        <v>9520</v>
      </c>
      <c r="E2705" s="1"/>
      <c r="F2705" s="1" t="s">
        <v>318</v>
      </c>
      <c r="G2705">
        <v>2009</v>
      </c>
      <c r="H2705">
        <v>598.30999999999995</v>
      </c>
      <c r="I2705">
        <v>12</v>
      </c>
      <c r="J2705" s="1"/>
      <c r="K2705">
        <v>0</v>
      </c>
      <c r="L2705">
        <v>1935</v>
      </c>
      <c r="M2705">
        <v>0.30918800000000002</v>
      </c>
      <c r="N2705">
        <v>3</v>
      </c>
      <c r="O2705" s="1" t="s">
        <v>560</v>
      </c>
      <c r="P2705">
        <v>598.30999999999995</v>
      </c>
      <c r="Q2705">
        <v>478.65</v>
      </c>
      <c r="R2705">
        <v>0</v>
      </c>
      <c r="S2705" s="1" t="s">
        <v>670</v>
      </c>
      <c r="T2705" s="1"/>
      <c r="U2705">
        <v>598.29899999999998</v>
      </c>
      <c r="V2705">
        <v>0</v>
      </c>
      <c r="W2705">
        <v>74435</v>
      </c>
    </row>
    <row r="2706" spans="1:23" x14ac:dyDescent="0.25">
      <c r="A2706" s="1" t="s">
        <v>36</v>
      </c>
      <c r="B2706" s="1"/>
      <c r="C2706" s="1" t="s">
        <v>189</v>
      </c>
      <c r="D2706">
        <v>9520</v>
      </c>
      <c r="E2706" s="1"/>
      <c r="F2706" s="1" t="s">
        <v>318</v>
      </c>
      <c r="G2706">
        <v>2009</v>
      </c>
      <c r="H2706">
        <v>67.790000000000006</v>
      </c>
      <c r="I2706">
        <v>12</v>
      </c>
      <c r="J2706" s="1"/>
      <c r="K2706">
        <v>0</v>
      </c>
      <c r="L2706">
        <v>1935</v>
      </c>
      <c r="M2706">
        <v>3.5031E-2</v>
      </c>
      <c r="N2706">
        <v>3</v>
      </c>
      <c r="O2706" s="1" t="s">
        <v>560</v>
      </c>
      <c r="P2706">
        <v>67.790000000000006</v>
      </c>
      <c r="Q2706">
        <v>0</v>
      </c>
      <c r="R2706">
        <v>1</v>
      </c>
      <c r="S2706" s="1" t="s">
        <v>634</v>
      </c>
      <c r="T2706" s="1"/>
      <c r="U2706">
        <v>67.795000000000002</v>
      </c>
      <c r="V2706">
        <v>0</v>
      </c>
      <c r="W2706">
        <v>74436</v>
      </c>
    </row>
    <row r="2707" spans="1:23" x14ac:dyDescent="0.25">
      <c r="A2707" s="1" t="s">
        <v>36</v>
      </c>
      <c r="B2707" s="1"/>
      <c r="C2707" s="1" t="s">
        <v>189</v>
      </c>
      <c r="D2707">
        <v>9520</v>
      </c>
      <c r="E2707" s="1"/>
      <c r="F2707" s="1" t="s">
        <v>318</v>
      </c>
      <c r="G2707">
        <v>2008</v>
      </c>
      <c r="H2707">
        <v>565.35</v>
      </c>
      <c r="I2707">
        <v>12</v>
      </c>
      <c r="J2707" s="1"/>
      <c r="K2707">
        <v>0</v>
      </c>
      <c r="L2707">
        <v>1935</v>
      </c>
      <c r="M2707">
        <v>0.292155</v>
      </c>
      <c r="N2707">
        <v>3</v>
      </c>
      <c r="O2707" s="1" t="s">
        <v>560</v>
      </c>
      <c r="P2707">
        <v>565.35</v>
      </c>
      <c r="Q2707">
        <v>452.27</v>
      </c>
      <c r="R2707">
        <v>0</v>
      </c>
      <c r="S2707" s="1" t="s">
        <v>670</v>
      </c>
      <c r="T2707" s="1"/>
      <c r="U2707">
        <v>565.35500000000002</v>
      </c>
      <c r="V2707">
        <v>0</v>
      </c>
      <c r="W2707">
        <v>74435</v>
      </c>
    </row>
    <row r="2708" spans="1:23" x14ac:dyDescent="0.25">
      <c r="A2708" s="1" t="s">
        <v>36</v>
      </c>
      <c r="B2708" s="1"/>
      <c r="C2708" s="1" t="s">
        <v>189</v>
      </c>
      <c r="D2708">
        <v>9520</v>
      </c>
      <c r="E2708" s="1"/>
      <c r="F2708" s="1" t="s">
        <v>318</v>
      </c>
      <c r="G2708">
        <v>2008</v>
      </c>
      <c r="H2708">
        <v>177.98</v>
      </c>
      <c r="I2708">
        <v>12</v>
      </c>
      <c r="J2708" s="1"/>
      <c r="K2708">
        <v>0</v>
      </c>
      <c r="L2708">
        <v>1935</v>
      </c>
      <c r="M2708">
        <v>9.1974E-2</v>
      </c>
      <c r="N2708">
        <v>3</v>
      </c>
      <c r="O2708" s="1" t="s">
        <v>560</v>
      </c>
      <c r="P2708">
        <v>177.98</v>
      </c>
      <c r="Q2708">
        <v>0</v>
      </c>
      <c r="R2708">
        <v>1</v>
      </c>
      <c r="S2708" s="1" t="s">
        <v>634</v>
      </c>
      <c r="T2708" s="1"/>
      <c r="U2708">
        <v>177.98599999999999</v>
      </c>
      <c r="V2708">
        <v>0</v>
      </c>
      <c r="W2708">
        <v>74436</v>
      </c>
    </row>
    <row r="2709" spans="1:23" x14ac:dyDescent="0.25">
      <c r="A2709" s="1" t="s">
        <v>36</v>
      </c>
      <c r="B2709" s="1" t="s">
        <v>80</v>
      </c>
      <c r="C2709" s="1" t="s">
        <v>190</v>
      </c>
      <c r="D2709">
        <v>13297</v>
      </c>
      <c r="E2709" s="1" t="s">
        <v>244</v>
      </c>
      <c r="F2709" s="1" t="s">
        <v>190</v>
      </c>
      <c r="G2709">
        <v>2015</v>
      </c>
      <c r="H2709">
        <v>397.94</v>
      </c>
      <c r="I2709">
        <v>5</v>
      </c>
      <c r="J2709" s="1" t="s">
        <v>426</v>
      </c>
      <c r="K2709">
        <v>0</v>
      </c>
      <c r="L2709">
        <v>1571</v>
      </c>
      <c r="M2709">
        <v>0.25328699999999998</v>
      </c>
      <c r="N2709">
        <v>3</v>
      </c>
      <c r="O2709" s="1" t="s">
        <v>560</v>
      </c>
      <c r="P2709">
        <v>397.94</v>
      </c>
      <c r="Q2709">
        <v>318.36</v>
      </c>
      <c r="R2709">
        <v>0</v>
      </c>
      <c r="S2709" s="1" t="s">
        <v>671</v>
      </c>
      <c r="T2709" s="1"/>
      <c r="U2709">
        <v>397.94540999999998</v>
      </c>
      <c r="V2709">
        <v>0</v>
      </c>
      <c r="W2709">
        <v>89295</v>
      </c>
    </row>
    <row r="2710" spans="1:23" x14ac:dyDescent="0.25">
      <c r="A2710" s="1" t="s">
        <v>36</v>
      </c>
      <c r="B2710" s="1" t="s">
        <v>80</v>
      </c>
      <c r="C2710" s="1" t="s">
        <v>190</v>
      </c>
      <c r="D2710">
        <v>13297</v>
      </c>
      <c r="E2710" s="1" t="s">
        <v>244</v>
      </c>
      <c r="F2710" s="1" t="s">
        <v>190</v>
      </c>
      <c r="G2710">
        <v>2014</v>
      </c>
      <c r="H2710">
        <v>1017.12</v>
      </c>
      <c r="I2710">
        <v>12</v>
      </c>
      <c r="J2710" s="1" t="s">
        <v>426</v>
      </c>
      <c r="K2710">
        <v>0</v>
      </c>
      <c r="L2710">
        <v>1571</v>
      </c>
      <c r="M2710">
        <v>0.647393</v>
      </c>
      <c r="N2710">
        <v>3</v>
      </c>
      <c r="O2710" s="1" t="s">
        <v>560</v>
      </c>
      <c r="P2710">
        <v>1017.12</v>
      </c>
      <c r="Q2710">
        <v>813.7</v>
      </c>
      <c r="R2710">
        <v>0</v>
      </c>
      <c r="S2710" s="1" t="s">
        <v>671</v>
      </c>
      <c r="T2710" s="1"/>
      <c r="U2710">
        <v>1017.1238</v>
      </c>
      <c r="V2710">
        <v>0</v>
      </c>
      <c r="W2710">
        <v>89295</v>
      </c>
    </row>
    <row r="2711" spans="1:23" x14ac:dyDescent="0.25">
      <c r="A2711" s="1" t="s">
        <v>36</v>
      </c>
      <c r="B2711" s="1" t="s">
        <v>80</v>
      </c>
      <c r="C2711" s="1" t="s">
        <v>190</v>
      </c>
      <c r="D2711">
        <v>13297</v>
      </c>
      <c r="E2711" s="1" t="s">
        <v>244</v>
      </c>
      <c r="F2711" s="1" t="s">
        <v>190</v>
      </c>
      <c r="G2711">
        <v>2013</v>
      </c>
      <c r="H2711">
        <v>1027.5899999999999</v>
      </c>
      <c r="I2711">
        <v>12</v>
      </c>
      <c r="J2711" s="1" t="s">
        <v>426</v>
      </c>
      <c r="K2711">
        <v>0</v>
      </c>
      <c r="L2711">
        <v>1571</v>
      </c>
      <c r="M2711">
        <v>0.654057</v>
      </c>
      <c r="N2711">
        <v>3</v>
      </c>
      <c r="O2711" s="1" t="s">
        <v>560</v>
      </c>
      <c r="P2711">
        <v>1027.5899999999999</v>
      </c>
      <c r="Q2711">
        <v>822.07</v>
      </c>
      <c r="R2711">
        <v>0</v>
      </c>
      <c r="S2711" s="1" t="s">
        <v>671</v>
      </c>
      <c r="T2711" s="1"/>
      <c r="U2711">
        <v>1027.57925</v>
      </c>
      <c r="V2711">
        <v>0</v>
      </c>
      <c r="W2711">
        <v>89295</v>
      </c>
    </row>
    <row r="2712" spans="1:23" x14ac:dyDescent="0.25">
      <c r="A2712" s="1" t="s">
        <v>36</v>
      </c>
      <c r="B2712" s="1" t="s">
        <v>80</v>
      </c>
      <c r="C2712" s="1" t="s">
        <v>190</v>
      </c>
      <c r="D2712">
        <v>13297</v>
      </c>
      <c r="E2712" s="1" t="s">
        <v>244</v>
      </c>
      <c r="F2712" s="1" t="s">
        <v>190</v>
      </c>
      <c r="G2712">
        <v>2012</v>
      </c>
      <c r="H2712">
        <v>1135.97</v>
      </c>
      <c r="I2712">
        <v>12</v>
      </c>
      <c r="J2712" s="1" t="s">
        <v>426</v>
      </c>
      <c r="K2712">
        <v>0</v>
      </c>
      <c r="L2712">
        <v>1571</v>
      </c>
      <c r="M2712">
        <v>0.72304100000000004</v>
      </c>
      <c r="N2712">
        <v>3</v>
      </c>
      <c r="O2712" s="1" t="s">
        <v>560</v>
      </c>
      <c r="P2712">
        <v>1135.97</v>
      </c>
      <c r="Q2712">
        <v>908.78</v>
      </c>
      <c r="R2712">
        <v>0</v>
      </c>
      <c r="S2712" s="1" t="s">
        <v>671</v>
      </c>
      <c r="T2712" s="1"/>
      <c r="U2712">
        <v>1135.97271</v>
      </c>
      <c r="V2712">
        <v>0</v>
      </c>
      <c r="W2712">
        <v>89295</v>
      </c>
    </row>
    <row r="2713" spans="1:23" x14ac:dyDescent="0.25">
      <c r="A2713" s="1" t="s">
        <v>36</v>
      </c>
      <c r="B2713" s="1" t="s">
        <v>80</v>
      </c>
      <c r="C2713" s="1" t="s">
        <v>190</v>
      </c>
      <c r="D2713">
        <v>13297</v>
      </c>
      <c r="E2713" s="1" t="s">
        <v>244</v>
      </c>
      <c r="F2713" s="1" t="s">
        <v>190</v>
      </c>
      <c r="G2713">
        <v>2011</v>
      </c>
      <c r="H2713">
        <v>1437.95</v>
      </c>
      <c r="I2713">
        <v>4</v>
      </c>
      <c r="J2713" s="1" t="s">
        <v>426</v>
      </c>
      <c r="K2713">
        <v>0</v>
      </c>
      <c r="L2713">
        <v>1571</v>
      </c>
      <c r="M2713">
        <v>0.91525000000000001</v>
      </c>
      <c r="N2713">
        <v>3</v>
      </c>
      <c r="O2713" s="1" t="s">
        <v>560</v>
      </c>
      <c r="P2713">
        <v>1437.95</v>
      </c>
      <c r="Q2713">
        <v>1150.3599999999999</v>
      </c>
      <c r="R2713">
        <v>0</v>
      </c>
      <c r="S2713" s="1" t="s">
        <v>671</v>
      </c>
      <c r="T2713" s="1"/>
      <c r="U2713">
        <v>1437.94073</v>
      </c>
      <c r="V2713">
        <v>0</v>
      </c>
      <c r="W2713">
        <v>89295</v>
      </c>
    </row>
    <row r="2714" spans="1:23" x14ac:dyDescent="0.25">
      <c r="A2714" s="1" t="s">
        <v>36</v>
      </c>
      <c r="B2714" s="1" t="s">
        <v>80</v>
      </c>
      <c r="C2714" s="1" t="s">
        <v>190</v>
      </c>
      <c r="D2714">
        <v>13297</v>
      </c>
      <c r="E2714" s="1" t="s">
        <v>244</v>
      </c>
      <c r="F2714" s="1" t="s">
        <v>190</v>
      </c>
      <c r="G2714">
        <v>2010</v>
      </c>
      <c r="H2714">
        <v>1232.3</v>
      </c>
      <c r="I2714">
        <v>1</v>
      </c>
      <c r="J2714" s="1" t="s">
        <v>426</v>
      </c>
      <c r="K2714">
        <v>0</v>
      </c>
      <c r="L2714">
        <v>1571</v>
      </c>
      <c r="M2714">
        <v>0.784354</v>
      </c>
      <c r="N2714">
        <v>3</v>
      </c>
      <c r="O2714" s="1" t="s">
        <v>560</v>
      </c>
      <c r="P2714">
        <v>1232.3</v>
      </c>
      <c r="Q2714">
        <v>985.83</v>
      </c>
      <c r="R2714">
        <v>0</v>
      </c>
      <c r="S2714" s="1" t="s">
        <v>671</v>
      </c>
      <c r="T2714" s="1"/>
      <c r="U2714">
        <v>1232.2992200000001</v>
      </c>
      <c r="V2714">
        <v>0</v>
      </c>
      <c r="W2714">
        <v>89295</v>
      </c>
    </row>
    <row r="2715" spans="1:23" x14ac:dyDescent="0.25">
      <c r="A2715" s="1" t="s">
        <v>36</v>
      </c>
      <c r="B2715" s="1" t="s">
        <v>80</v>
      </c>
      <c r="C2715" s="1" t="s">
        <v>190</v>
      </c>
      <c r="D2715">
        <v>13297</v>
      </c>
      <c r="E2715" s="1" t="s">
        <v>244</v>
      </c>
      <c r="F2715" s="1" t="s">
        <v>190</v>
      </c>
      <c r="G2715">
        <v>2009</v>
      </c>
      <c r="H2715">
        <v>1206.97</v>
      </c>
      <c r="I2715">
        <v>1</v>
      </c>
      <c r="J2715" s="1" t="s">
        <v>426</v>
      </c>
      <c r="K2715">
        <v>0</v>
      </c>
      <c r="L2715">
        <v>1571</v>
      </c>
      <c r="M2715">
        <v>0.76823200000000003</v>
      </c>
      <c r="N2715">
        <v>3</v>
      </c>
      <c r="O2715" s="1" t="s">
        <v>560</v>
      </c>
      <c r="P2715">
        <v>1206.97</v>
      </c>
      <c r="Q2715">
        <v>965.61</v>
      </c>
      <c r="R2715">
        <v>0</v>
      </c>
      <c r="S2715" s="1" t="s">
        <v>671</v>
      </c>
      <c r="T2715" s="1"/>
      <c r="U2715">
        <v>1206.9921200000001</v>
      </c>
      <c r="V2715">
        <v>0</v>
      </c>
      <c r="W2715">
        <v>89295</v>
      </c>
    </row>
    <row r="2716" spans="1:23" x14ac:dyDescent="0.25">
      <c r="A2716" s="1" t="s">
        <v>36</v>
      </c>
      <c r="B2716" s="1" t="s">
        <v>80</v>
      </c>
      <c r="C2716" s="1" t="s">
        <v>190</v>
      </c>
      <c r="D2716">
        <v>13297</v>
      </c>
      <c r="E2716" s="1" t="s">
        <v>244</v>
      </c>
      <c r="F2716" s="1" t="s">
        <v>190</v>
      </c>
      <c r="G2716">
        <v>2008</v>
      </c>
      <c r="H2716">
        <v>1189.1099999999999</v>
      </c>
      <c r="I2716">
        <v>2</v>
      </c>
      <c r="J2716" s="1" t="s">
        <v>426</v>
      </c>
      <c r="K2716">
        <v>0</v>
      </c>
      <c r="L2716">
        <v>1571</v>
      </c>
      <c r="M2716">
        <v>0.75686399999999998</v>
      </c>
      <c r="N2716">
        <v>3</v>
      </c>
      <c r="O2716" s="1" t="s">
        <v>560</v>
      </c>
      <c r="P2716">
        <v>1189.1099999999999</v>
      </c>
      <c r="Q2716">
        <v>951.32</v>
      </c>
      <c r="R2716">
        <v>0</v>
      </c>
      <c r="S2716" s="1" t="s">
        <v>671</v>
      </c>
      <c r="T2716" s="1"/>
      <c r="U2716">
        <v>1189.1256599999999</v>
      </c>
      <c r="V2716">
        <v>0</v>
      </c>
      <c r="W2716">
        <v>89295</v>
      </c>
    </row>
    <row r="2717" spans="1:23" x14ac:dyDescent="0.25">
      <c r="A2717" s="1" t="s">
        <v>36</v>
      </c>
      <c r="B2717" s="1" t="s">
        <v>77</v>
      </c>
      <c r="C2717" s="1" t="s">
        <v>185</v>
      </c>
      <c r="D2717">
        <v>13870</v>
      </c>
      <c r="E2717" s="1" t="s">
        <v>243</v>
      </c>
      <c r="F2717" s="1" t="s">
        <v>315</v>
      </c>
      <c r="G2717">
        <v>2015</v>
      </c>
      <c r="H2717">
        <v>42528.639999999999</v>
      </c>
      <c r="I2717">
        <v>5</v>
      </c>
      <c r="J2717" s="1" t="s">
        <v>445</v>
      </c>
      <c r="K2717">
        <v>0</v>
      </c>
      <c r="L2717">
        <v>1104</v>
      </c>
      <c r="M2717">
        <v>38.518828999999997</v>
      </c>
      <c r="N2717">
        <v>1</v>
      </c>
      <c r="O2717" s="1" t="s">
        <v>566</v>
      </c>
      <c r="P2717">
        <v>45050.37</v>
      </c>
      <c r="Q2717">
        <v>9187.06</v>
      </c>
      <c r="R2717">
        <v>0</v>
      </c>
      <c r="S2717" s="1" t="s">
        <v>843</v>
      </c>
      <c r="T2717" s="1"/>
      <c r="U2717">
        <v>3797.2</v>
      </c>
      <c r="V2717">
        <v>0</v>
      </c>
      <c r="W2717">
        <v>92669</v>
      </c>
    </row>
    <row r="2718" spans="1:23" x14ac:dyDescent="0.25">
      <c r="A2718" s="1" t="s">
        <v>36</v>
      </c>
      <c r="B2718" s="1" t="s">
        <v>77</v>
      </c>
      <c r="C2718" s="1" t="s">
        <v>185</v>
      </c>
      <c r="D2718">
        <v>13870</v>
      </c>
      <c r="E2718" s="1" t="s">
        <v>243</v>
      </c>
      <c r="F2718" s="1" t="s">
        <v>315</v>
      </c>
      <c r="G2718">
        <v>2014</v>
      </c>
      <c r="H2718">
        <v>133791.84</v>
      </c>
      <c r="I2718">
        <v>12</v>
      </c>
      <c r="J2718" s="1" t="s">
        <v>445</v>
      </c>
      <c r="K2718">
        <v>0</v>
      </c>
      <c r="L2718">
        <v>1104</v>
      </c>
      <c r="M2718">
        <v>121.177284</v>
      </c>
      <c r="N2718">
        <v>1</v>
      </c>
      <c r="O2718" s="1" t="s">
        <v>566</v>
      </c>
      <c r="P2718">
        <v>158956.34</v>
      </c>
      <c r="Q2718">
        <v>32415.75</v>
      </c>
      <c r="R2718">
        <v>0</v>
      </c>
      <c r="S2718" s="1" t="s">
        <v>843</v>
      </c>
      <c r="T2718" s="1"/>
      <c r="U2718">
        <v>11945.7</v>
      </c>
      <c r="V2718">
        <v>0</v>
      </c>
      <c r="W2718">
        <v>92669</v>
      </c>
    </row>
    <row r="2719" spans="1:23" x14ac:dyDescent="0.25">
      <c r="A2719" s="1" t="s">
        <v>36</v>
      </c>
      <c r="B2719" s="1" t="s">
        <v>77</v>
      </c>
      <c r="C2719" s="1" t="s">
        <v>185</v>
      </c>
      <c r="D2719">
        <v>13870</v>
      </c>
      <c r="E2719" s="1" t="s">
        <v>243</v>
      </c>
      <c r="F2719" s="1" t="s">
        <v>315</v>
      </c>
      <c r="G2719">
        <v>2013</v>
      </c>
      <c r="H2719">
        <v>291992.34000000003</v>
      </c>
      <c r="I2719">
        <v>10</v>
      </c>
      <c r="J2719" s="1" t="s">
        <v>445</v>
      </c>
      <c r="K2719">
        <v>0</v>
      </c>
      <c r="L2719">
        <v>1104</v>
      </c>
      <c r="M2719">
        <v>264.46186</v>
      </c>
      <c r="N2719">
        <v>1</v>
      </c>
      <c r="O2719" s="1" t="s">
        <v>566</v>
      </c>
      <c r="P2719">
        <v>306769.46999999997</v>
      </c>
      <c r="Q2719">
        <v>62559.06</v>
      </c>
      <c r="R2719">
        <v>0</v>
      </c>
      <c r="S2719" s="1" t="s">
        <v>843</v>
      </c>
      <c r="T2719" s="1"/>
      <c r="U2719">
        <v>26070.745459999998</v>
      </c>
      <c r="V2719">
        <v>0</v>
      </c>
      <c r="W2719">
        <v>92669</v>
      </c>
    </row>
    <row r="2720" spans="1:23" x14ac:dyDescent="0.25">
      <c r="A2720" s="1" t="s">
        <v>36</v>
      </c>
      <c r="B2720" s="1" t="s">
        <v>77</v>
      </c>
      <c r="C2720" s="1" t="s">
        <v>185</v>
      </c>
      <c r="D2720">
        <v>13870</v>
      </c>
      <c r="E2720" s="1" t="s">
        <v>243</v>
      </c>
      <c r="F2720" s="1" t="s">
        <v>315</v>
      </c>
      <c r="G2720">
        <v>2012</v>
      </c>
      <c r="H2720">
        <v>491387.66</v>
      </c>
      <c r="I2720">
        <v>3</v>
      </c>
      <c r="J2720" s="1" t="s">
        <v>445</v>
      </c>
      <c r="K2720">
        <v>0</v>
      </c>
      <c r="L2720">
        <v>1104</v>
      </c>
      <c r="M2720">
        <v>445.05720400000001</v>
      </c>
      <c r="N2720">
        <v>1</v>
      </c>
      <c r="O2720" s="1" t="s">
        <v>566</v>
      </c>
      <c r="P2720">
        <v>543535.74</v>
      </c>
      <c r="Q2720">
        <v>110842.48</v>
      </c>
      <c r="R2720">
        <v>0</v>
      </c>
      <c r="S2720" s="1" t="s">
        <v>843</v>
      </c>
      <c r="T2720" s="1"/>
      <c r="U2720">
        <v>43873.898990000002</v>
      </c>
      <c r="V2720">
        <v>0</v>
      </c>
      <c r="W2720">
        <v>92669</v>
      </c>
    </row>
    <row r="2721" spans="1:23" x14ac:dyDescent="0.25">
      <c r="A2721" s="1" t="s">
        <v>36</v>
      </c>
      <c r="B2721" s="1" t="s">
        <v>77</v>
      </c>
      <c r="C2721" s="1" t="s">
        <v>185</v>
      </c>
      <c r="D2721">
        <v>13870</v>
      </c>
      <c r="E2721" s="1" t="s">
        <v>243</v>
      </c>
      <c r="F2721" s="1" t="s">
        <v>315</v>
      </c>
      <c r="G2721">
        <v>2011</v>
      </c>
      <c r="H2721">
        <v>436345.22</v>
      </c>
      <c r="I2721">
        <v>1</v>
      </c>
      <c r="J2721" s="1" t="s">
        <v>445</v>
      </c>
      <c r="K2721">
        <v>0</v>
      </c>
      <c r="L2721">
        <v>1104</v>
      </c>
      <c r="M2721">
        <v>395.20443799999998</v>
      </c>
      <c r="N2721">
        <v>1</v>
      </c>
      <c r="O2721" s="1" t="s">
        <v>566</v>
      </c>
      <c r="P2721">
        <v>505382.52</v>
      </c>
      <c r="Q2721">
        <v>103061.91</v>
      </c>
      <c r="R2721">
        <v>0</v>
      </c>
      <c r="S2721" s="1" t="s">
        <v>843</v>
      </c>
      <c r="T2721" s="1"/>
      <c r="U2721">
        <v>38959.392140000004</v>
      </c>
      <c r="V2721">
        <v>0</v>
      </c>
      <c r="W2721">
        <v>92669</v>
      </c>
    </row>
    <row r="2722" spans="1:23" x14ac:dyDescent="0.25">
      <c r="A2722" s="1" t="s">
        <v>36</v>
      </c>
      <c r="B2722" s="1" t="s">
        <v>77</v>
      </c>
      <c r="C2722" s="1" t="s">
        <v>185</v>
      </c>
      <c r="D2722">
        <v>13870</v>
      </c>
      <c r="E2722" s="1" t="s">
        <v>243</v>
      </c>
      <c r="F2722" s="1" t="s">
        <v>315</v>
      </c>
      <c r="G2722">
        <v>2010</v>
      </c>
      <c r="H2722">
        <v>488307.68</v>
      </c>
      <c r="I2722">
        <v>1</v>
      </c>
      <c r="J2722" s="1" t="s">
        <v>445</v>
      </c>
      <c r="K2722">
        <v>0</v>
      </c>
      <c r="L2722">
        <v>1104</v>
      </c>
      <c r="M2722">
        <v>442.26762000000002</v>
      </c>
      <c r="N2722">
        <v>1</v>
      </c>
      <c r="O2722" s="1" t="s">
        <v>566</v>
      </c>
      <c r="P2722">
        <v>636520.61</v>
      </c>
      <c r="Q2722">
        <v>129804.73</v>
      </c>
      <c r="R2722">
        <v>0</v>
      </c>
      <c r="S2722" s="1" t="s">
        <v>843</v>
      </c>
      <c r="T2722" s="1"/>
      <c r="U2722">
        <v>43598.899310000001</v>
      </c>
      <c r="V2722">
        <v>0</v>
      </c>
      <c r="W2722">
        <v>92669</v>
      </c>
    </row>
    <row r="2723" spans="1:23" x14ac:dyDescent="0.25">
      <c r="A2723" s="1" t="s">
        <v>36</v>
      </c>
      <c r="B2723" s="1" t="s">
        <v>77</v>
      </c>
      <c r="C2723" s="1" t="s">
        <v>185</v>
      </c>
      <c r="D2723">
        <v>13870</v>
      </c>
      <c r="E2723" s="1" t="s">
        <v>243</v>
      </c>
      <c r="F2723" s="1" t="s">
        <v>315</v>
      </c>
      <c r="G2723">
        <v>2009</v>
      </c>
      <c r="H2723">
        <v>475182.12</v>
      </c>
      <c r="I2723">
        <v>1</v>
      </c>
      <c r="J2723" s="1" t="s">
        <v>445</v>
      </c>
      <c r="K2723">
        <v>0</v>
      </c>
      <c r="L2723">
        <v>1104</v>
      </c>
      <c r="M2723">
        <v>430.37960299999997</v>
      </c>
      <c r="N2723">
        <v>1</v>
      </c>
      <c r="O2723" s="1" t="s">
        <v>566</v>
      </c>
      <c r="P2723">
        <v>676099.28</v>
      </c>
      <c r="Q2723">
        <v>137875.96</v>
      </c>
      <c r="R2723">
        <v>0</v>
      </c>
      <c r="S2723" s="1" t="s">
        <v>843</v>
      </c>
      <c r="T2723" s="1"/>
      <c r="U2723">
        <v>42426.975189999997</v>
      </c>
      <c r="V2723">
        <v>0</v>
      </c>
      <c r="W2723">
        <v>92669</v>
      </c>
    </row>
    <row r="2724" spans="1:23" x14ac:dyDescent="0.25">
      <c r="A2724" s="1" t="s">
        <v>36</v>
      </c>
      <c r="B2724" s="1" t="s">
        <v>77</v>
      </c>
      <c r="C2724" s="1" t="s">
        <v>185</v>
      </c>
      <c r="D2724">
        <v>13870</v>
      </c>
      <c r="E2724" s="1" t="s">
        <v>243</v>
      </c>
      <c r="F2724" s="1" t="s">
        <v>315</v>
      </c>
      <c r="G2724">
        <v>2008</v>
      </c>
      <c r="H2724">
        <v>462852.97</v>
      </c>
      <c r="I2724">
        <v>1</v>
      </c>
      <c r="J2724" s="1" t="s">
        <v>445</v>
      </c>
      <c r="K2724">
        <v>0</v>
      </c>
      <c r="L2724">
        <v>1104</v>
      </c>
      <c r="M2724">
        <v>419.21290599999998</v>
      </c>
      <c r="N2724">
        <v>1</v>
      </c>
      <c r="O2724" s="1" t="s">
        <v>566</v>
      </c>
      <c r="P2724">
        <v>582026.59</v>
      </c>
      <c r="Q2724">
        <v>118691.84</v>
      </c>
      <c r="R2724">
        <v>0</v>
      </c>
      <c r="S2724" s="1" t="s">
        <v>843</v>
      </c>
      <c r="T2724" s="1"/>
      <c r="U2724">
        <v>41326.159910000002</v>
      </c>
      <c r="V2724">
        <v>0</v>
      </c>
      <c r="W2724">
        <v>92669</v>
      </c>
    </row>
    <row r="2725" spans="1:23" x14ac:dyDescent="0.25">
      <c r="A2725" s="1" t="s">
        <v>36</v>
      </c>
      <c r="B2725" s="1" t="s">
        <v>78</v>
      </c>
      <c r="C2725" s="1" t="s">
        <v>186</v>
      </c>
      <c r="D2725">
        <v>13266</v>
      </c>
      <c r="E2725" s="1" t="s">
        <v>243</v>
      </c>
      <c r="F2725" s="1" t="s">
        <v>316</v>
      </c>
      <c r="G2725">
        <v>2015</v>
      </c>
      <c r="H2725">
        <v>148205.57999999999</v>
      </c>
      <c r="I2725">
        <v>5</v>
      </c>
      <c r="J2725" s="1" t="s">
        <v>443</v>
      </c>
      <c r="K2725">
        <v>0</v>
      </c>
      <c r="L2725">
        <v>1357</v>
      </c>
      <c r="M2725">
        <v>109.20756</v>
      </c>
      <c r="N2725">
        <v>1</v>
      </c>
      <c r="O2725" s="1" t="s">
        <v>564</v>
      </c>
      <c r="P2725">
        <v>167624.51</v>
      </c>
      <c r="Q2725">
        <v>35449.480000000003</v>
      </c>
      <c r="R2725">
        <v>0</v>
      </c>
      <c r="S2725" s="1" t="s">
        <v>844</v>
      </c>
      <c r="T2725" s="1"/>
      <c r="U2725">
        <v>13722.739</v>
      </c>
      <c r="V2725">
        <v>0</v>
      </c>
      <c r="W2725">
        <v>90993</v>
      </c>
    </row>
    <row r="2726" spans="1:23" x14ac:dyDescent="0.25">
      <c r="A2726" s="1" t="s">
        <v>36</v>
      </c>
      <c r="B2726" s="1" t="s">
        <v>78</v>
      </c>
      <c r="C2726" s="1" t="s">
        <v>186</v>
      </c>
      <c r="D2726">
        <v>13266</v>
      </c>
      <c r="E2726" s="1" t="s">
        <v>243</v>
      </c>
      <c r="F2726" s="1" t="s">
        <v>316</v>
      </c>
      <c r="G2726">
        <v>2014</v>
      </c>
      <c r="H2726">
        <v>259967.44</v>
      </c>
      <c r="I2726">
        <v>12</v>
      </c>
      <c r="J2726" s="1" t="s">
        <v>443</v>
      </c>
      <c r="K2726">
        <v>0</v>
      </c>
      <c r="L2726">
        <v>1357</v>
      </c>
      <c r="M2726">
        <v>191.56100499999999</v>
      </c>
      <c r="N2726">
        <v>1</v>
      </c>
      <c r="O2726" s="1" t="s">
        <v>564</v>
      </c>
      <c r="P2726">
        <v>312957.95</v>
      </c>
      <c r="Q2726">
        <v>66184.820000000007</v>
      </c>
      <c r="R2726">
        <v>0</v>
      </c>
      <c r="S2726" s="1" t="s">
        <v>844</v>
      </c>
      <c r="T2726" s="1"/>
      <c r="U2726">
        <v>24071.06</v>
      </c>
      <c r="V2726">
        <v>0</v>
      </c>
      <c r="W2726">
        <v>90993</v>
      </c>
    </row>
    <row r="2727" spans="1:23" x14ac:dyDescent="0.25">
      <c r="A2727" s="1" t="s">
        <v>36</v>
      </c>
      <c r="B2727" s="1" t="s">
        <v>78</v>
      </c>
      <c r="C2727" s="1" t="s">
        <v>186</v>
      </c>
      <c r="D2727">
        <v>13266</v>
      </c>
      <c r="E2727" s="1" t="s">
        <v>243</v>
      </c>
      <c r="F2727" s="1" t="s">
        <v>316</v>
      </c>
      <c r="G2727">
        <v>2013</v>
      </c>
      <c r="H2727">
        <v>299163.53999999998</v>
      </c>
      <c r="I2727">
        <v>12</v>
      </c>
      <c r="J2727" s="1" t="s">
        <v>443</v>
      </c>
      <c r="K2727">
        <v>0</v>
      </c>
      <c r="L2727">
        <v>1357</v>
      </c>
      <c r="M2727">
        <v>220.443253</v>
      </c>
      <c r="N2727">
        <v>1</v>
      </c>
      <c r="O2727" s="1" t="s">
        <v>564</v>
      </c>
      <c r="P2727">
        <v>327720.38</v>
      </c>
      <c r="Q2727">
        <v>69306.81</v>
      </c>
      <c r="R2727">
        <v>0</v>
      </c>
      <c r="S2727" s="1" t="s">
        <v>844</v>
      </c>
      <c r="T2727" s="1"/>
      <c r="U2727">
        <v>27700.328000000001</v>
      </c>
      <c r="V2727">
        <v>0</v>
      </c>
      <c r="W2727">
        <v>90993</v>
      </c>
    </row>
    <row r="2728" spans="1:23" x14ac:dyDescent="0.25">
      <c r="A2728" s="1" t="s">
        <v>36</v>
      </c>
      <c r="B2728" s="1" t="s">
        <v>78</v>
      </c>
      <c r="C2728" s="1" t="s">
        <v>186</v>
      </c>
      <c r="D2728">
        <v>13266</v>
      </c>
      <c r="E2728" s="1" t="s">
        <v>243</v>
      </c>
      <c r="F2728" s="1" t="s">
        <v>316</v>
      </c>
      <c r="G2728">
        <v>2012</v>
      </c>
      <c r="H2728">
        <v>276513.65999999997</v>
      </c>
      <c r="I2728">
        <v>13</v>
      </c>
      <c r="J2728" s="1" t="s">
        <v>443</v>
      </c>
      <c r="K2728">
        <v>0</v>
      </c>
      <c r="L2728">
        <v>1357</v>
      </c>
      <c r="M2728">
        <v>203.75334100000001</v>
      </c>
      <c r="N2728">
        <v>1</v>
      </c>
      <c r="O2728" s="1" t="s">
        <v>564</v>
      </c>
      <c r="P2728">
        <v>291866.88</v>
      </c>
      <c r="Q2728">
        <v>61724.42</v>
      </c>
      <c r="R2728">
        <v>0</v>
      </c>
      <c r="S2728" s="1" t="s">
        <v>844</v>
      </c>
      <c r="T2728" s="1"/>
      <c r="U2728">
        <v>25603.116399999999</v>
      </c>
      <c r="V2728">
        <v>0</v>
      </c>
      <c r="W2728">
        <v>90993</v>
      </c>
    </row>
    <row r="2729" spans="1:23" x14ac:dyDescent="0.25">
      <c r="A2729" s="1" t="s">
        <v>36</v>
      </c>
      <c r="B2729" s="1" t="s">
        <v>78</v>
      </c>
      <c r="C2729" s="1" t="s">
        <v>186</v>
      </c>
      <c r="D2729">
        <v>13266</v>
      </c>
      <c r="E2729" s="1" t="s">
        <v>243</v>
      </c>
      <c r="F2729" s="1" t="s">
        <v>316</v>
      </c>
      <c r="G2729">
        <v>2011</v>
      </c>
      <c r="H2729">
        <v>302309.58</v>
      </c>
      <c r="I2729">
        <v>1</v>
      </c>
      <c r="J2729" s="1" t="s">
        <v>443</v>
      </c>
      <c r="K2729">
        <v>0</v>
      </c>
      <c r="L2729">
        <v>1357</v>
      </c>
      <c r="M2729">
        <v>222.761461</v>
      </c>
      <c r="N2729">
        <v>1</v>
      </c>
      <c r="O2729" s="1" t="s">
        <v>564</v>
      </c>
      <c r="P2729">
        <v>356607.2</v>
      </c>
      <c r="Q2729">
        <v>75415.83</v>
      </c>
      <c r="R2729">
        <v>0</v>
      </c>
      <c r="S2729" s="1" t="s">
        <v>844</v>
      </c>
      <c r="T2729" s="1"/>
      <c r="U2729">
        <v>27991.627240000002</v>
      </c>
      <c r="V2729">
        <v>0</v>
      </c>
      <c r="W2729">
        <v>90993</v>
      </c>
    </row>
    <row r="2730" spans="1:23" x14ac:dyDescent="0.25">
      <c r="A2730" s="1" t="s">
        <v>36</v>
      </c>
      <c r="B2730" s="1" t="s">
        <v>78</v>
      </c>
      <c r="C2730" s="1" t="s">
        <v>186</v>
      </c>
      <c r="D2730">
        <v>13266</v>
      </c>
      <c r="E2730" s="1" t="s">
        <v>243</v>
      </c>
      <c r="F2730" s="1" t="s">
        <v>316</v>
      </c>
      <c r="G2730">
        <v>2010</v>
      </c>
      <c r="H2730">
        <v>302665.8</v>
      </c>
      <c r="I2730">
        <v>3</v>
      </c>
      <c r="J2730" s="1" t="s">
        <v>443</v>
      </c>
      <c r="K2730">
        <v>0</v>
      </c>
      <c r="L2730">
        <v>1357</v>
      </c>
      <c r="M2730">
        <v>223.02394799999999</v>
      </c>
      <c r="N2730">
        <v>1</v>
      </c>
      <c r="O2730" s="1" t="s">
        <v>564</v>
      </c>
      <c r="P2730">
        <v>328223.05</v>
      </c>
      <c r="Q2730">
        <v>69413.100000000006</v>
      </c>
      <c r="R2730">
        <v>0</v>
      </c>
      <c r="S2730" s="1" t="s">
        <v>844</v>
      </c>
      <c r="T2730" s="1"/>
      <c r="U2730">
        <v>28024.612939999999</v>
      </c>
      <c r="V2730">
        <v>0</v>
      </c>
      <c r="W2730">
        <v>90993</v>
      </c>
    </row>
    <row r="2731" spans="1:23" x14ac:dyDescent="0.25">
      <c r="A2731" s="1" t="s">
        <v>36</v>
      </c>
      <c r="B2731" s="1" t="s">
        <v>78</v>
      </c>
      <c r="C2731" s="1" t="s">
        <v>186</v>
      </c>
      <c r="D2731">
        <v>13266</v>
      </c>
      <c r="E2731" s="1" t="s">
        <v>243</v>
      </c>
      <c r="F2731" s="1" t="s">
        <v>316</v>
      </c>
      <c r="G2731">
        <v>2009</v>
      </c>
      <c r="H2731">
        <v>363212.9</v>
      </c>
      <c r="I2731">
        <v>1</v>
      </c>
      <c r="J2731" s="1" t="s">
        <v>443</v>
      </c>
      <c r="K2731">
        <v>0</v>
      </c>
      <c r="L2731">
        <v>1357</v>
      </c>
      <c r="M2731">
        <v>267.63900899999999</v>
      </c>
      <c r="N2731">
        <v>1</v>
      </c>
      <c r="O2731" s="1" t="s">
        <v>564</v>
      </c>
      <c r="P2731">
        <v>545781.23</v>
      </c>
      <c r="Q2731">
        <v>115422.61</v>
      </c>
      <c r="R2731">
        <v>0</v>
      </c>
      <c r="S2731" s="1" t="s">
        <v>844</v>
      </c>
      <c r="T2731" s="1"/>
      <c r="U2731">
        <v>33630.824670000002</v>
      </c>
      <c r="V2731">
        <v>0</v>
      </c>
      <c r="W2731">
        <v>90993</v>
      </c>
    </row>
    <row r="2732" spans="1:23" x14ac:dyDescent="0.25">
      <c r="A2732" s="1" t="s">
        <v>36</v>
      </c>
      <c r="B2732" s="1" t="s">
        <v>78</v>
      </c>
      <c r="C2732" s="1" t="s">
        <v>186</v>
      </c>
      <c r="D2732">
        <v>13266</v>
      </c>
      <c r="E2732" s="1" t="s">
        <v>243</v>
      </c>
      <c r="F2732" s="1" t="s">
        <v>316</v>
      </c>
      <c r="G2732">
        <v>2008</v>
      </c>
      <c r="H2732">
        <v>328403.09999999998</v>
      </c>
      <c r="I2732">
        <v>1</v>
      </c>
      <c r="J2732" s="1" t="s">
        <v>443</v>
      </c>
      <c r="K2732">
        <v>0</v>
      </c>
      <c r="L2732">
        <v>1357</v>
      </c>
      <c r="M2732">
        <v>241.98887300000001</v>
      </c>
      <c r="N2732">
        <v>1</v>
      </c>
      <c r="O2732" s="1" t="s">
        <v>564</v>
      </c>
      <c r="P2732">
        <v>426158.84</v>
      </c>
      <c r="Q2732">
        <v>90124.71</v>
      </c>
      <c r="R2732">
        <v>0</v>
      </c>
      <c r="S2732" s="1" t="s">
        <v>844</v>
      </c>
      <c r="T2732" s="1"/>
      <c r="U2732">
        <v>30407.69339</v>
      </c>
      <c r="V2732">
        <v>0</v>
      </c>
      <c r="W2732">
        <v>90993</v>
      </c>
    </row>
    <row r="2733" spans="1:23" x14ac:dyDescent="0.25">
      <c r="A2733" s="1" t="s">
        <v>36</v>
      </c>
      <c r="B2733" s="1"/>
      <c r="C2733" s="1" t="s">
        <v>187</v>
      </c>
      <c r="D2733">
        <v>10323</v>
      </c>
      <c r="E2733" s="1"/>
      <c r="F2733" s="1" t="s">
        <v>187</v>
      </c>
      <c r="G2733">
        <v>2015</v>
      </c>
      <c r="H2733">
        <v>143415.79</v>
      </c>
      <c r="I2733">
        <v>5</v>
      </c>
      <c r="J2733" s="1" t="s">
        <v>482</v>
      </c>
      <c r="K2733">
        <v>0</v>
      </c>
      <c r="L2733">
        <v>2114</v>
      </c>
      <c r="M2733">
        <v>67.837750999999997</v>
      </c>
      <c r="N2733">
        <v>1</v>
      </c>
      <c r="O2733" s="1" t="s">
        <v>564</v>
      </c>
      <c r="P2733">
        <v>160429.20000000001</v>
      </c>
      <c r="Q2733">
        <v>33927.800000000003</v>
      </c>
      <c r="R2733">
        <v>0</v>
      </c>
      <c r="S2733" s="1" t="s">
        <v>845</v>
      </c>
      <c r="T2733" s="1" t="s">
        <v>1218</v>
      </c>
      <c r="U2733">
        <v>13279.24</v>
      </c>
      <c r="V2733">
        <v>0</v>
      </c>
      <c r="W2733">
        <v>77831</v>
      </c>
    </row>
    <row r="2734" spans="1:23" x14ac:dyDescent="0.25">
      <c r="A2734" s="1" t="s">
        <v>36</v>
      </c>
      <c r="B2734" s="1"/>
      <c r="C2734" s="1" t="s">
        <v>187</v>
      </c>
      <c r="D2734">
        <v>10323</v>
      </c>
      <c r="E2734" s="1"/>
      <c r="F2734" s="1" t="s">
        <v>187</v>
      </c>
      <c r="G2734">
        <v>2014</v>
      </c>
      <c r="H2734">
        <v>278683.52000000002</v>
      </c>
      <c r="I2734">
        <v>12</v>
      </c>
      <c r="J2734" s="1" t="s">
        <v>482</v>
      </c>
      <c r="K2734">
        <v>0</v>
      </c>
      <c r="L2734">
        <v>2114</v>
      </c>
      <c r="M2734">
        <v>131.82135099999999</v>
      </c>
      <c r="N2734">
        <v>1</v>
      </c>
      <c r="O2734" s="1" t="s">
        <v>564</v>
      </c>
      <c r="P2734">
        <v>326354.89</v>
      </c>
      <c r="Q2734">
        <v>69018.009999999995</v>
      </c>
      <c r="R2734">
        <v>0</v>
      </c>
      <c r="S2734" s="1" t="s">
        <v>845</v>
      </c>
      <c r="T2734" s="1" t="s">
        <v>1218</v>
      </c>
      <c r="U2734">
        <v>25804.03</v>
      </c>
      <c r="V2734">
        <v>0</v>
      </c>
      <c r="W2734">
        <v>77831</v>
      </c>
    </row>
    <row r="2735" spans="1:23" x14ac:dyDescent="0.25">
      <c r="A2735" s="1" t="s">
        <v>36</v>
      </c>
      <c r="B2735" s="1"/>
      <c r="C2735" s="1" t="s">
        <v>187</v>
      </c>
      <c r="D2735">
        <v>10323</v>
      </c>
      <c r="E2735" s="1"/>
      <c r="F2735" s="1" t="s">
        <v>187</v>
      </c>
      <c r="G2735">
        <v>2013</v>
      </c>
      <c r="H2735">
        <v>308481.81</v>
      </c>
      <c r="I2735">
        <v>12</v>
      </c>
      <c r="J2735" s="1" t="s">
        <v>482</v>
      </c>
      <c r="K2735">
        <v>0</v>
      </c>
      <c r="L2735">
        <v>2114</v>
      </c>
      <c r="M2735">
        <v>145.91637499999999</v>
      </c>
      <c r="N2735">
        <v>1</v>
      </c>
      <c r="O2735" s="1" t="s">
        <v>564</v>
      </c>
      <c r="P2735">
        <v>322722.94</v>
      </c>
      <c r="Q2735">
        <v>68249.929999999993</v>
      </c>
      <c r="R2735">
        <v>0</v>
      </c>
      <c r="S2735" s="1" t="s">
        <v>845</v>
      </c>
      <c r="T2735" s="1" t="s">
        <v>1218</v>
      </c>
      <c r="U2735">
        <v>28563.13</v>
      </c>
      <c r="V2735">
        <v>0</v>
      </c>
      <c r="W2735">
        <v>77831</v>
      </c>
    </row>
    <row r="2736" spans="1:23" x14ac:dyDescent="0.25">
      <c r="A2736" s="1" t="s">
        <v>36</v>
      </c>
      <c r="B2736" s="1"/>
      <c r="C2736" s="1" t="s">
        <v>187</v>
      </c>
      <c r="D2736">
        <v>10323</v>
      </c>
      <c r="E2736" s="1"/>
      <c r="F2736" s="1" t="s">
        <v>187</v>
      </c>
      <c r="G2736">
        <v>2012</v>
      </c>
      <c r="H2736">
        <v>306165.95</v>
      </c>
      <c r="I2736">
        <v>12</v>
      </c>
      <c r="J2736" s="1" t="s">
        <v>482</v>
      </c>
      <c r="K2736">
        <v>0</v>
      </c>
      <c r="L2736">
        <v>2114</v>
      </c>
      <c r="M2736">
        <v>144.82094000000001</v>
      </c>
      <c r="N2736">
        <v>1</v>
      </c>
      <c r="O2736" s="1" t="s">
        <v>564</v>
      </c>
      <c r="P2736">
        <v>318106.82</v>
      </c>
      <c r="Q2736">
        <v>67273.69</v>
      </c>
      <c r="R2736">
        <v>0</v>
      </c>
      <c r="S2736" s="1" t="s">
        <v>845</v>
      </c>
      <c r="T2736" s="1" t="s">
        <v>1218</v>
      </c>
      <c r="U2736">
        <v>28348.7</v>
      </c>
      <c r="V2736">
        <v>0</v>
      </c>
      <c r="W2736">
        <v>77831</v>
      </c>
    </row>
    <row r="2737" spans="1:23" x14ac:dyDescent="0.25">
      <c r="A2737" s="1" t="s">
        <v>36</v>
      </c>
      <c r="B2737" s="1"/>
      <c r="C2737" s="1" t="s">
        <v>187</v>
      </c>
      <c r="D2737">
        <v>10323</v>
      </c>
      <c r="E2737" s="1"/>
      <c r="F2737" s="1" t="s">
        <v>187</v>
      </c>
      <c r="G2737">
        <v>2011</v>
      </c>
      <c r="H2737">
        <v>309152.52</v>
      </c>
      <c r="I2737">
        <v>8</v>
      </c>
      <c r="J2737" s="1" t="s">
        <v>482</v>
      </c>
      <c r="K2737">
        <v>0</v>
      </c>
      <c r="L2737">
        <v>2114</v>
      </c>
      <c r="M2737">
        <v>146.233631</v>
      </c>
      <c r="N2737">
        <v>1</v>
      </c>
      <c r="O2737" s="1" t="s">
        <v>564</v>
      </c>
      <c r="P2737">
        <v>335380.55</v>
      </c>
      <c r="Q2737">
        <v>70926.789999999994</v>
      </c>
      <c r="R2737">
        <v>0</v>
      </c>
      <c r="S2737" s="1" t="s">
        <v>845</v>
      </c>
      <c r="T2737" s="1" t="s">
        <v>1218</v>
      </c>
      <c r="U2737">
        <v>28625.23331</v>
      </c>
      <c r="V2737">
        <v>0</v>
      </c>
      <c r="W2737">
        <v>77831</v>
      </c>
    </row>
    <row r="2738" spans="1:23" x14ac:dyDescent="0.25">
      <c r="A2738" s="1" t="s">
        <v>36</v>
      </c>
      <c r="B2738" s="1"/>
      <c r="C2738" s="1" t="s">
        <v>187</v>
      </c>
      <c r="D2738">
        <v>10323</v>
      </c>
      <c r="E2738" s="1"/>
      <c r="F2738" s="1" t="s">
        <v>187</v>
      </c>
      <c r="G2738">
        <v>2010</v>
      </c>
      <c r="H2738">
        <v>297275.75</v>
      </c>
      <c r="I2738">
        <v>5</v>
      </c>
      <c r="J2738" s="1" t="s">
        <v>482</v>
      </c>
      <c r="K2738">
        <v>0</v>
      </c>
      <c r="L2738">
        <v>2114</v>
      </c>
      <c r="M2738">
        <v>140.615746</v>
      </c>
      <c r="N2738">
        <v>1</v>
      </c>
      <c r="O2738" s="1" t="s">
        <v>564</v>
      </c>
      <c r="P2738">
        <v>274848.5</v>
      </c>
      <c r="Q2738">
        <v>58125.36</v>
      </c>
      <c r="R2738">
        <v>0</v>
      </c>
      <c r="S2738" s="1" t="s">
        <v>845</v>
      </c>
      <c r="T2738" s="1" t="s">
        <v>1218</v>
      </c>
      <c r="U2738">
        <v>27525.533329999998</v>
      </c>
      <c r="V2738">
        <v>0</v>
      </c>
      <c r="W2738">
        <v>77831</v>
      </c>
    </row>
    <row r="2739" spans="1:23" x14ac:dyDescent="0.25">
      <c r="A2739" s="1" t="s">
        <v>36</v>
      </c>
      <c r="B2739" s="1"/>
      <c r="C2739" s="1" t="s">
        <v>187</v>
      </c>
      <c r="D2739">
        <v>10323</v>
      </c>
      <c r="E2739" s="1"/>
      <c r="F2739" s="1" t="s">
        <v>187</v>
      </c>
      <c r="G2739">
        <v>2009</v>
      </c>
      <c r="H2739">
        <v>283348.93</v>
      </c>
      <c r="I2739">
        <v>7</v>
      </c>
      <c r="J2739" s="1" t="s">
        <v>482</v>
      </c>
      <c r="K2739">
        <v>0</v>
      </c>
      <c r="L2739">
        <v>2114</v>
      </c>
      <c r="M2739">
        <v>134.02815799999999</v>
      </c>
      <c r="N2739">
        <v>1</v>
      </c>
      <c r="O2739" s="1" t="s">
        <v>564</v>
      </c>
      <c r="P2739">
        <v>380042.69</v>
      </c>
      <c r="Q2739">
        <v>80371.990000000005</v>
      </c>
      <c r="R2739">
        <v>0</v>
      </c>
      <c r="S2739" s="1" t="s">
        <v>845</v>
      </c>
      <c r="T2739" s="1" t="s">
        <v>1218</v>
      </c>
      <c r="U2739">
        <v>26236.011129999999</v>
      </c>
      <c r="V2739">
        <v>0</v>
      </c>
      <c r="W2739">
        <v>77831</v>
      </c>
    </row>
    <row r="2740" spans="1:23" x14ac:dyDescent="0.25">
      <c r="A2740" s="1" t="s">
        <v>36</v>
      </c>
      <c r="B2740" s="1"/>
      <c r="C2740" s="1" t="s">
        <v>187</v>
      </c>
      <c r="D2740">
        <v>10323</v>
      </c>
      <c r="E2740" s="1"/>
      <c r="F2740" s="1" t="s">
        <v>187</v>
      </c>
      <c r="G2740">
        <v>2008</v>
      </c>
      <c r="H2740">
        <v>266704.56</v>
      </c>
      <c r="I2740">
        <v>12</v>
      </c>
      <c r="J2740" s="1" t="s">
        <v>482</v>
      </c>
      <c r="K2740">
        <v>0</v>
      </c>
      <c r="L2740">
        <v>2114</v>
      </c>
      <c r="M2740">
        <v>126.155129</v>
      </c>
      <c r="N2740">
        <v>1</v>
      </c>
      <c r="O2740" s="1" t="s">
        <v>564</v>
      </c>
      <c r="P2740">
        <v>297984.33</v>
      </c>
      <c r="Q2740">
        <v>63018.15</v>
      </c>
      <c r="R2740">
        <v>0</v>
      </c>
      <c r="S2740" s="1" t="s">
        <v>845</v>
      </c>
      <c r="T2740" s="1" t="s">
        <v>1218</v>
      </c>
      <c r="U2740">
        <v>24694.86738</v>
      </c>
      <c r="V2740">
        <v>0</v>
      </c>
      <c r="W2740">
        <v>77831</v>
      </c>
    </row>
    <row r="2741" spans="1:23" x14ac:dyDescent="0.25">
      <c r="A2741" s="1" t="s">
        <v>36</v>
      </c>
      <c r="B2741" s="1" t="s">
        <v>79</v>
      </c>
      <c r="C2741" s="1" t="s">
        <v>188</v>
      </c>
      <c r="D2741">
        <v>13869</v>
      </c>
      <c r="E2741" s="1" t="s">
        <v>79</v>
      </c>
      <c r="F2741" s="1" t="s">
        <v>317</v>
      </c>
      <c r="G2741">
        <v>2015</v>
      </c>
      <c r="H2741">
        <v>122180</v>
      </c>
      <c r="I2741">
        <v>5</v>
      </c>
      <c r="J2741" s="1" t="s">
        <v>445</v>
      </c>
      <c r="K2741">
        <v>0</v>
      </c>
      <c r="L2741">
        <v>11569</v>
      </c>
      <c r="M2741">
        <v>10.560890000000001</v>
      </c>
      <c r="N2741">
        <v>1</v>
      </c>
      <c r="O2741" s="1" t="s">
        <v>565</v>
      </c>
      <c r="P2741">
        <v>137693.22</v>
      </c>
      <c r="Q2741">
        <v>8812.36</v>
      </c>
      <c r="R2741">
        <v>0</v>
      </c>
      <c r="S2741" s="1" t="s">
        <v>846</v>
      </c>
      <c r="T2741" s="1"/>
      <c r="U2741">
        <v>122.18</v>
      </c>
      <c r="V2741">
        <v>0</v>
      </c>
      <c r="W2741">
        <v>93836</v>
      </c>
    </row>
    <row r="2742" spans="1:23" x14ac:dyDescent="0.25">
      <c r="A2742" s="1" t="s">
        <v>36</v>
      </c>
      <c r="B2742" s="1" t="s">
        <v>79</v>
      </c>
      <c r="C2742" s="1" t="s">
        <v>188</v>
      </c>
      <c r="D2742">
        <v>13869</v>
      </c>
      <c r="E2742" s="1" t="s">
        <v>79</v>
      </c>
      <c r="F2742" s="1" t="s">
        <v>317</v>
      </c>
      <c r="G2742">
        <v>2014</v>
      </c>
      <c r="H2742">
        <v>180060</v>
      </c>
      <c r="I2742">
        <v>12</v>
      </c>
      <c r="J2742" s="1" t="s">
        <v>445</v>
      </c>
      <c r="K2742">
        <v>0</v>
      </c>
      <c r="L2742">
        <v>11569</v>
      </c>
      <c r="M2742">
        <v>15.563872</v>
      </c>
      <c r="N2742">
        <v>1</v>
      </c>
      <c r="O2742" s="1" t="s">
        <v>565</v>
      </c>
      <c r="P2742">
        <v>212357.7</v>
      </c>
      <c r="Q2742">
        <v>13590.89</v>
      </c>
      <c r="R2742">
        <v>0</v>
      </c>
      <c r="S2742" s="1" t="s">
        <v>846</v>
      </c>
      <c r="T2742" s="1"/>
      <c r="U2742">
        <v>180.06</v>
      </c>
      <c r="V2742">
        <v>0</v>
      </c>
      <c r="W2742">
        <v>93836</v>
      </c>
    </row>
    <row r="2743" spans="1:23" x14ac:dyDescent="0.25">
      <c r="A2743" s="1" t="s">
        <v>36</v>
      </c>
      <c r="B2743" s="1" t="s">
        <v>79</v>
      </c>
      <c r="C2743" s="1" t="s">
        <v>188</v>
      </c>
      <c r="D2743">
        <v>13869</v>
      </c>
      <c r="E2743" s="1" t="s">
        <v>79</v>
      </c>
      <c r="F2743" s="1" t="s">
        <v>317</v>
      </c>
      <c r="G2743">
        <v>2013</v>
      </c>
      <c r="H2743">
        <v>194113.12</v>
      </c>
      <c r="I2743">
        <v>11</v>
      </c>
      <c r="J2743" s="1" t="s">
        <v>445</v>
      </c>
      <c r="K2743">
        <v>0</v>
      </c>
      <c r="L2743">
        <v>11569</v>
      </c>
      <c r="M2743">
        <v>16.778583999999999</v>
      </c>
      <c r="N2743">
        <v>1</v>
      </c>
      <c r="O2743" s="1" t="s">
        <v>565</v>
      </c>
      <c r="P2743">
        <v>203997.98</v>
      </c>
      <c r="Q2743">
        <v>13055.87</v>
      </c>
      <c r="R2743">
        <v>0</v>
      </c>
      <c r="S2743" s="1" t="s">
        <v>846</v>
      </c>
      <c r="T2743" s="1"/>
      <c r="U2743">
        <v>194.11312000000001</v>
      </c>
      <c r="V2743">
        <v>0</v>
      </c>
      <c r="W2743">
        <v>93836</v>
      </c>
    </row>
    <row r="2744" spans="1:23" x14ac:dyDescent="0.25">
      <c r="A2744" s="1" t="s">
        <v>36</v>
      </c>
      <c r="B2744" s="1" t="s">
        <v>79</v>
      </c>
      <c r="C2744" s="1" t="s">
        <v>188</v>
      </c>
      <c r="D2744">
        <v>13869</v>
      </c>
      <c r="E2744" s="1" t="s">
        <v>79</v>
      </c>
      <c r="F2744" s="1" t="s">
        <v>317</v>
      </c>
      <c r="G2744">
        <v>2012</v>
      </c>
      <c r="H2744">
        <v>253349.34</v>
      </c>
      <c r="I2744">
        <v>1</v>
      </c>
      <c r="J2744" s="1" t="s">
        <v>445</v>
      </c>
      <c r="K2744">
        <v>0</v>
      </c>
      <c r="L2744">
        <v>11569</v>
      </c>
      <c r="M2744">
        <v>21.898793999999999</v>
      </c>
      <c r="N2744">
        <v>1</v>
      </c>
      <c r="O2744" s="1" t="s">
        <v>565</v>
      </c>
      <c r="P2744">
        <v>273634.02</v>
      </c>
      <c r="Q2744">
        <v>50622.3</v>
      </c>
      <c r="R2744">
        <v>0</v>
      </c>
      <c r="S2744" s="1" t="s">
        <v>846</v>
      </c>
      <c r="T2744" s="1"/>
      <c r="U2744">
        <v>253.34934000000001</v>
      </c>
      <c r="V2744">
        <v>0</v>
      </c>
      <c r="W2744">
        <v>93836</v>
      </c>
    </row>
    <row r="2745" spans="1:23" x14ac:dyDescent="0.25">
      <c r="A2745" s="1" t="s">
        <v>36</v>
      </c>
      <c r="B2745" s="1" t="s">
        <v>79</v>
      </c>
      <c r="C2745" s="1" t="s">
        <v>188</v>
      </c>
      <c r="D2745">
        <v>13869</v>
      </c>
      <c r="E2745" s="1" t="s">
        <v>79</v>
      </c>
      <c r="F2745" s="1" t="s">
        <v>317</v>
      </c>
      <c r="G2745">
        <v>2011</v>
      </c>
      <c r="H2745">
        <v>240458.48</v>
      </c>
      <c r="I2745">
        <v>1</v>
      </c>
      <c r="J2745" s="1" t="s">
        <v>445</v>
      </c>
      <c r="K2745">
        <v>0</v>
      </c>
      <c r="L2745">
        <v>11569</v>
      </c>
      <c r="M2745">
        <v>20.784545000000001</v>
      </c>
      <c r="N2745">
        <v>1</v>
      </c>
      <c r="O2745" s="1" t="s">
        <v>565</v>
      </c>
      <c r="P2745">
        <v>280015.58</v>
      </c>
      <c r="Q2745">
        <v>51802.879999999997</v>
      </c>
      <c r="R2745">
        <v>0</v>
      </c>
      <c r="S2745" s="1" t="s">
        <v>846</v>
      </c>
      <c r="T2745" s="1"/>
      <c r="U2745">
        <v>240.45848000000001</v>
      </c>
      <c r="V2745">
        <v>0</v>
      </c>
      <c r="W2745">
        <v>93836</v>
      </c>
    </row>
    <row r="2746" spans="1:23" x14ac:dyDescent="0.25">
      <c r="A2746" s="1" t="s">
        <v>36</v>
      </c>
      <c r="B2746" s="1" t="s">
        <v>79</v>
      </c>
      <c r="C2746" s="1" t="s">
        <v>188</v>
      </c>
      <c r="D2746">
        <v>13869</v>
      </c>
      <c r="E2746" s="1" t="s">
        <v>79</v>
      </c>
      <c r="F2746" s="1" t="s">
        <v>317</v>
      </c>
      <c r="G2746">
        <v>2010</v>
      </c>
      <c r="H2746">
        <v>255452.05</v>
      </c>
      <c r="I2746">
        <v>1</v>
      </c>
      <c r="J2746" s="1" t="s">
        <v>445</v>
      </c>
      <c r="K2746">
        <v>0</v>
      </c>
      <c r="L2746">
        <v>11569</v>
      </c>
      <c r="M2746">
        <v>22.080545999999998</v>
      </c>
      <c r="N2746">
        <v>1</v>
      </c>
      <c r="O2746" s="1" t="s">
        <v>565</v>
      </c>
      <c r="P2746">
        <v>333548.14</v>
      </c>
      <c r="Q2746">
        <v>61706.41</v>
      </c>
      <c r="R2746">
        <v>0</v>
      </c>
      <c r="S2746" s="1" t="s">
        <v>846</v>
      </c>
      <c r="T2746" s="1"/>
      <c r="U2746">
        <v>255.45205000000001</v>
      </c>
      <c r="V2746">
        <v>0</v>
      </c>
      <c r="W2746">
        <v>93836</v>
      </c>
    </row>
    <row r="2747" spans="1:23" x14ac:dyDescent="0.25">
      <c r="A2747" s="1" t="s">
        <v>36</v>
      </c>
      <c r="B2747" s="1" t="s">
        <v>79</v>
      </c>
      <c r="C2747" s="1" t="s">
        <v>188</v>
      </c>
      <c r="D2747">
        <v>13869</v>
      </c>
      <c r="E2747" s="1" t="s">
        <v>79</v>
      </c>
      <c r="F2747" s="1" t="s">
        <v>317</v>
      </c>
      <c r="G2747">
        <v>2009</v>
      </c>
      <c r="H2747">
        <v>230628.6</v>
      </c>
      <c r="I2747">
        <v>1</v>
      </c>
      <c r="J2747" s="1" t="s">
        <v>445</v>
      </c>
      <c r="K2747">
        <v>0</v>
      </c>
      <c r="L2747">
        <v>11569</v>
      </c>
      <c r="M2747">
        <v>19.934878000000001</v>
      </c>
      <c r="N2747">
        <v>1</v>
      </c>
      <c r="O2747" s="1" t="s">
        <v>565</v>
      </c>
      <c r="P2747">
        <v>321579.90999999997</v>
      </c>
      <c r="Q2747">
        <v>59492.29</v>
      </c>
      <c r="R2747">
        <v>0</v>
      </c>
      <c r="S2747" s="1" t="s">
        <v>846</v>
      </c>
      <c r="T2747" s="1"/>
      <c r="U2747">
        <v>230.62860000000001</v>
      </c>
      <c r="V2747">
        <v>0</v>
      </c>
      <c r="W2747">
        <v>93836</v>
      </c>
    </row>
    <row r="2748" spans="1:23" x14ac:dyDescent="0.25">
      <c r="A2748" s="1" t="s">
        <v>36</v>
      </c>
      <c r="B2748" s="1" t="s">
        <v>79</v>
      </c>
      <c r="C2748" s="1" t="s">
        <v>188</v>
      </c>
      <c r="D2748">
        <v>13869</v>
      </c>
      <c r="E2748" s="1" t="s">
        <v>79</v>
      </c>
      <c r="F2748" s="1" t="s">
        <v>317</v>
      </c>
      <c r="G2748">
        <v>2008</v>
      </c>
      <c r="H2748">
        <v>66108.39</v>
      </c>
      <c r="I2748">
        <v>2</v>
      </c>
      <c r="J2748" s="1" t="s">
        <v>445</v>
      </c>
      <c r="K2748">
        <v>0</v>
      </c>
      <c r="L2748">
        <v>11569</v>
      </c>
      <c r="M2748">
        <v>5.7142200000000001</v>
      </c>
      <c r="N2748">
        <v>1</v>
      </c>
      <c r="O2748" s="1" t="s">
        <v>565</v>
      </c>
      <c r="P2748">
        <v>69064.22</v>
      </c>
      <c r="Q2748">
        <v>12776.9</v>
      </c>
      <c r="R2748">
        <v>0</v>
      </c>
      <c r="S2748" s="1" t="s">
        <v>846</v>
      </c>
      <c r="T2748" s="1"/>
      <c r="U2748">
        <v>66.10839</v>
      </c>
      <c r="V2748">
        <v>0</v>
      </c>
      <c r="W2748">
        <v>93836</v>
      </c>
    </row>
    <row r="2749" spans="1:23" x14ac:dyDescent="0.25">
      <c r="A2749" s="1" t="s">
        <v>36</v>
      </c>
      <c r="B2749" s="1"/>
      <c r="C2749" s="1" t="s">
        <v>189</v>
      </c>
      <c r="D2749">
        <v>9520</v>
      </c>
      <c r="E2749" s="1"/>
      <c r="F2749" s="1" t="s">
        <v>318</v>
      </c>
      <c r="G2749">
        <v>2015</v>
      </c>
      <c r="H2749">
        <v>61450</v>
      </c>
      <c r="I2749">
        <v>5</v>
      </c>
      <c r="J2749" s="1"/>
      <c r="K2749">
        <v>0</v>
      </c>
      <c r="L2749">
        <v>1935</v>
      </c>
      <c r="M2749">
        <v>31.755464</v>
      </c>
      <c r="N2749">
        <v>1</v>
      </c>
      <c r="O2749" s="1" t="s">
        <v>562</v>
      </c>
      <c r="P2749">
        <v>69486.259999999995</v>
      </c>
      <c r="Q2749">
        <v>4447.13</v>
      </c>
      <c r="R2749">
        <v>0</v>
      </c>
      <c r="S2749" s="1" t="s">
        <v>847</v>
      </c>
      <c r="T2749" s="1"/>
      <c r="U2749">
        <v>61450</v>
      </c>
      <c r="V2749">
        <v>0</v>
      </c>
      <c r="W2749">
        <v>74437</v>
      </c>
    </row>
    <row r="2750" spans="1:23" x14ac:dyDescent="0.25">
      <c r="A2750" s="1" t="s">
        <v>36</v>
      </c>
      <c r="B2750" s="1"/>
      <c r="C2750" s="1" t="s">
        <v>189</v>
      </c>
      <c r="D2750">
        <v>9520</v>
      </c>
      <c r="E2750" s="1"/>
      <c r="F2750" s="1" t="s">
        <v>318</v>
      </c>
      <c r="G2750">
        <v>2015</v>
      </c>
      <c r="H2750">
        <v>78802.55</v>
      </c>
      <c r="I2750">
        <v>5</v>
      </c>
      <c r="J2750" s="1"/>
      <c r="K2750">
        <v>0</v>
      </c>
      <c r="L2750">
        <v>1935</v>
      </c>
      <c r="M2750">
        <v>40.722726999999999</v>
      </c>
      <c r="N2750">
        <v>1</v>
      </c>
      <c r="O2750" s="1" t="s">
        <v>563</v>
      </c>
      <c r="P2750">
        <v>89035.08</v>
      </c>
      <c r="Q2750">
        <v>163.32</v>
      </c>
      <c r="R2750">
        <v>1</v>
      </c>
      <c r="S2750" s="1" t="s">
        <v>847</v>
      </c>
      <c r="T2750" s="1"/>
      <c r="U2750">
        <v>2258.6</v>
      </c>
      <c r="V2750">
        <v>74437</v>
      </c>
      <c r="W2750">
        <v>74438</v>
      </c>
    </row>
    <row r="2751" spans="1:23" x14ac:dyDescent="0.25">
      <c r="A2751" s="1" t="s">
        <v>36</v>
      </c>
      <c r="B2751" s="1"/>
      <c r="C2751" s="1" t="s">
        <v>189</v>
      </c>
      <c r="D2751">
        <v>9520</v>
      </c>
      <c r="E2751" s="1"/>
      <c r="F2751" s="1" t="s">
        <v>318</v>
      </c>
      <c r="G2751">
        <v>2014</v>
      </c>
      <c r="H2751">
        <v>110660</v>
      </c>
      <c r="I2751">
        <v>12</v>
      </c>
      <c r="J2751" s="1"/>
      <c r="K2751">
        <v>0</v>
      </c>
      <c r="L2751">
        <v>1935</v>
      </c>
      <c r="M2751">
        <v>57.185675000000003</v>
      </c>
      <c r="N2751">
        <v>1</v>
      </c>
      <c r="O2751" s="1" t="s">
        <v>562</v>
      </c>
      <c r="P2751">
        <v>131436.28</v>
      </c>
      <c r="Q2751">
        <v>8411.93</v>
      </c>
      <c r="R2751">
        <v>0</v>
      </c>
      <c r="S2751" s="1" t="s">
        <v>847</v>
      </c>
      <c r="T2751" s="1"/>
      <c r="U2751">
        <v>110660</v>
      </c>
      <c r="V2751">
        <v>0</v>
      </c>
      <c r="W2751">
        <v>74437</v>
      </c>
    </row>
    <row r="2752" spans="1:23" x14ac:dyDescent="0.25">
      <c r="A2752" s="1" t="s">
        <v>36</v>
      </c>
      <c r="B2752" s="1"/>
      <c r="C2752" s="1" t="s">
        <v>189</v>
      </c>
      <c r="D2752">
        <v>9520</v>
      </c>
      <c r="E2752" s="1"/>
      <c r="F2752" s="1" t="s">
        <v>318</v>
      </c>
      <c r="G2752">
        <v>2014</v>
      </c>
      <c r="H2752">
        <v>148547.69</v>
      </c>
      <c r="I2752">
        <v>12</v>
      </c>
      <c r="J2752" s="1"/>
      <c r="K2752">
        <v>0</v>
      </c>
      <c r="L2752">
        <v>1935</v>
      </c>
      <c r="M2752">
        <v>76.764864000000003</v>
      </c>
      <c r="N2752">
        <v>1</v>
      </c>
      <c r="O2752" s="1" t="s">
        <v>563</v>
      </c>
      <c r="P2752">
        <v>175358.79</v>
      </c>
      <c r="Q2752">
        <v>321.64999999999998</v>
      </c>
      <c r="R2752">
        <v>1</v>
      </c>
      <c r="S2752" s="1" t="s">
        <v>847</v>
      </c>
      <c r="T2752" s="1"/>
      <c r="U2752">
        <v>4257.6000000000004</v>
      </c>
      <c r="V2752">
        <v>74437</v>
      </c>
      <c r="W2752">
        <v>74438</v>
      </c>
    </row>
    <row r="2753" spans="1:23" x14ac:dyDescent="0.25">
      <c r="A2753" s="1" t="s">
        <v>36</v>
      </c>
      <c r="B2753" s="1"/>
      <c r="C2753" s="1" t="s">
        <v>189</v>
      </c>
      <c r="D2753">
        <v>9520</v>
      </c>
      <c r="E2753" s="1"/>
      <c r="F2753" s="1" t="s">
        <v>318</v>
      </c>
      <c r="G2753">
        <v>2013</v>
      </c>
      <c r="H2753">
        <v>141660</v>
      </c>
      <c r="I2753">
        <v>12</v>
      </c>
      <c r="J2753" s="1"/>
      <c r="K2753">
        <v>0</v>
      </c>
      <c r="L2753">
        <v>1935</v>
      </c>
      <c r="M2753">
        <v>73.205518999999995</v>
      </c>
      <c r="N2753">
        <v>1</v>
      </c>
      <c r="O2753" s="1" t="s">
        <v>562</v>
      </c>
      <c r="P2753">
        <v>147707.17000000001</v>
      </c>
      <c r="Q2753">
        <v>9453.25</v>
      </c>
      <c r="R2753">
        <v>0</v>
      </c>
      <c r="S2753" s="1" t="s">
        <v>847</v>
      </c>
      <c r="T2753" s="1"/>
      <c r="U2753">
        <v>141660</v>
      </c>
      <c r="V2753">
        <v>0</v>
      </c>
      <c r="W2753">
        <v>74437</v>
      </c>
    </row>
    <row r="2754" spans="1:23" x14ac:dyDescent="0.25">
      <c r="A2754" s="1" t="s">
        <v>36</v>
      </c>
      <c r="B2754" s="1"/>
      <c r="C2754" s="1" t="s">
        <v>189</v>
      </c>
      <c r="D2754">
        <v>9520</v>
      </c>
      <c r="E2754" s="1"/>
      <c r="F2754" s="1" t="s">
        <v>318</v>
      </c>
      <c r="G2754">
        <v>2013</v>
      </c>
      <c r="H2754">
        <v>189979.51999999999</v>
      </c>
      <c r="I2754">
        <v>12</v>
      </c>
      <c r="J2754" s="1"/>
      <c r="K2754">
        <v>0</v>
      </c>
      <c r="L2754">
        <v>1935</v>
      </c>
      <c r="M2754">
        <v>98.175556</v>
      </c>
      <c r="N2754">
        <v>1</v>
      </c>
      <c r="O2754" s="1" t="s">
        <v>563</v>
      </c>
      <c r="P2754">
        <v>201897.65</v>
      </c>
      <c r="Q2754">
        <v>370.36</v>
      </c>
      <c r="R2754">
        <v>1</v>
      </c>
      <c r="S2754" s="1" t="s">
        <v>847</v>
      </c>
      <c r="T2754" s="1"/>
      <c r="U2754">
        <v>5445.1</v>
      </c>
      <c r="V2754">
        <v>74437</v>
      </c>
      <c r="W2754">
        <v>74438</v>
      </c>
    </row>
    <row r="2755" spans="1:23" x14ac:dyDescent="0.25">
      <c r="A2755" s="1" t="s">
        <v>36</v>
      </c>
      <c r="B2755" s="1"/>
      <c r="C2755" s="1" t="s">
        <v>189</v>
      </c>
      <c r="D2755">
        <v>9520</v>
      </c>
      <c r="E2755" s="1"/>
      <c r="F2755" s="1" t="s">
        <v>318</v>
      </c>
      <c r="G2755">
        <v>2012</v>
      </c>
      <c r="H2755">
        <v>145040</v>
      </c>
      <c r="I2755">
        <v>12</v>
      </c>
      <c r="J2755" s="1"/>
      <c r="K2755">
        <v>0</v>
      </c>
      <c r="L2755">
        <v>1935</v>
      </c>
      <c r="M2755">
        <v>74.952197999999996</v>
      </c>
      <c r="N2755">
        <v>1</v>
      </c>
      <c r="O2755" s="1" t="s">
        <v>562</v>
      </c>
      <c r="P2755">
        <v>152554.06</v>
      </c>
      <c r="Q2755">
        <v>28222.5</v>
      </c>
      <c r="R2755">
        <v>0</v>
      </c>
      <c r="S2755" s="1" t="s">
        <v>847</v>
      </c>
      <c r="T2755" s="1"/>
      <c r="U2755">
        <v>145040</v>
      </c>
      <c r="V2755">
        <v>0</v>
      </c>
      <c r="W2755">
        <v>74437</v>
      </c>
    </row>
    <row r="2756" spans="1:23" x14ac:dyDescent="0.25">
      <c r="A2756" s="1" t="s">
        <v>36</v>
      </c>
      <c r="B2756" s="1"/>
      <c r="C2756" s="1" t="s">
        <v>189</v>
      </c>
      <c r="D2756">
        <v>9520</v>
      </c>
      <c r="E2756" s="1"/>
      <c r="F2756" s="1" t="s">
        <v>318</v>
      </c>
      <c r="G2756">
        <v>2012</v>
      </c>
      <c r="H2756">
        <v>173431.22</v>
      </c>
      <c r="I2756">
        <v>12</v>
      </c>
      <c r="J2756" s="1"/>
      <c r="K2756">
        <v>0</v>
      </c>
      <c r="L2756">
        <v>1935</v>
      </c>
      <c r="M2756">
        <v>89.623904999999993</v>
      </c>
      <c r="N2756">
        <v>1</v>
      </c>
      <c r="O2756" s="1" t="s">
        <v>563</v>
      </c>
      <c r="P2756">
        <v>182074.68</v>
      </c>
      <c r="Q2756">
        <v>965.42</v>
      </c>
      <c r="R2756">
        <v>1</v>
      </c>
      <c r="S2756" s="1" t="s">
        <v>847</v>
      </c>
      <c r="T2756" s="1"/>
      <c r="U2756">
        <v>4970.8</v>
      </c>
      <c r="V2756">
        <v>74437</v>
      </c>
      <c r="W2756">
        <v>74438</v>
      </c>
    </row>
    <row r="2757" spans="1:23" x14ac:dyDescent="0.25">
      <c r="A2757" s="1" t="s">
        <v>36</v>
      </c>
      <c r="B2757" s="1"/>
      <c r="C2757" s="1" t="s">
        <v>189</v>
      </c>
      <c r="D2757">
        <v>9520</v>
      </c>
      <c r="E2757" s="1"/>
      <c r="F2757" s="1" t="s">
        <v>318</v>
      </c>
      <c r="G2757">
        <v>2011</v>
      </c>
      <c r="H2757">
        <v>168382.62</v>
      </c>
      <c r="I2757">
        <v>12</v>
      </c>
      <c r="J2757" s="1"/>
      <c r="K2757">
        <v>0</v>
      </c>
      <c r="L2757">
        <v>1935</v>
      </c>
      <c r="M2757">
        <v>87.014944</v>
      </c>
      <c r="N2757">
        <v>1</v>
      </c>
      <c r="O2757" s="1" t="s">
        <v>563</v>
      </c>
      <c r="P2757">
        <v>182574.42</v>
      </c>
      <c r="Q2757">
        <v>968.08</v>
      </c>
      <c r="R2757">
        <v>1</v>
      </c>
      <c r="S2757" s="1" t="s">
        <v>847</v>
      </c>
      <c r="T2757" s="1"/>
      <c r="U2757">
        <v>4826.1000000000004</v>
      </c>
      <c r="V2757">
        <v>74437</v>
      </c>
      <c r="W2757">
        <v>74438</v>
      </c>
    </row>
    <row r="2758" spans="1:23" x14ac:dyDescent="0.25">
      <c r="A2758" s="1" t="s">
        <v>36</v>
      </c>
      <c r="B2758" s="1"/>
      <c r="C2758" s="1" t="s">
        <v>189</v>
      </c>
      <c r="D2758">
        <v>9520</v>
      </c>
      <c r="E2758" s="1"/>
      <c r="F2758" s="1" t="s">
        <v>318</v>
      </c>
      <c r="G2758">
        <v>2011</v>
      </c>
      <c r="H2758">
        <v>134260</v>
      </c>
      <c r="I2758">
        <v>12</v>
      </c>
      <c r="J2758" s="1"/>
      <c r="K2758">
        <v>0</v>
      </c>
      <c r="L2758">
        <v>1935</v>
      </c>
      <c r="M2758">
        <v>69.381427000000002</v>
      </c>
      <c r="N2758">
        <v>1</v>
      </c>
      <c r="O2758" s="1" t="s">
        <v>562</v>
      </c>
      <c r="P2758">
        <v>145544.67000000001</v>
      </c>
      <c r="Q2758">
        <v>26925.75</v>
      </c>
      <c r="R2758">
        <v>0</v>
      </c>
      <c r="S2758" s="1" t="s">
        <v>847</v>
      </c>
      <c r="T2758" s="1"/>
      <c r="U2758">
        <v>134260</v>
      </c>
      <c r="V2758">
        <v>0</v>
      </c>
      <c r="W2758">
        <v>74437</v>
      </c>
    </row>
    <row r="2759" spans="1:23" x14ac:dyDescent="0.25">
      <c r="A2759" s="1" t="s">
        <v>36</v>
      </c>
      <c r="B2759" s="1"/>
      <c r="C2759" s="1" t="s">
        <v>189</v>
      </c>
      <c r="D2759">
        <v>9520</v>
      </c>
      <c r="E2759" s="1"/>
      <c r="F2759" s="1" t="s">
        <v>318</v>
      </c>
      <c r="G2759">
        <v>2010</v>
      </c>
      <c r="H2759">
        <v>212794.09</v>
      </c>
      <c r="I2759">
        <v>12</v>
      </c>
      <c r="J2759" s="1"/>
      <c r="K2759">
        <v>0</v>
      </c>
      <c r="L2759">
        <v>1935</v>
      </c>
      <c r="M2759">
        <v>109.965422</v>
      </c>
      <c r="N2759">
        <v>1</v>
      </c>
      <c r="O2759" s="1" t="s">
        <v>563</v>
      </c>
      <c r="P2759">
        <v>194395.38</v>
      </c>
      <c r="Q2759">
        <v>1030.76</v>
      </c>
      <c r="R2759">
        <v>1</v>
      </c>
      <c r="S2759" s="1" t="s">
        <v>847</v>
      </c>
      <c r="T2759" s="1"/>
      <c r="U2759">
        <v>6099</v>
      </c>
      <c r="V2759">
        <v>74437</v>
      </c>
      <c r="W2759">
        <v>74438</v>
      </c>
    </row>
    <row r="2760" spans="1:23" x14ac:dyDescent="0.25">
      <c r="A2760" s="1" t="s">
        <v>36</v>
      </c>
      <c r="B2760" s="1"/>
      <c r="C2760" s="1" t="s">
        <v>189</v>
      </c>
      <c r="D2760">
        <v>9520</v>
      </c>
      <c r="E2760" s="1"/>
      <c r="F2760" s="1" t="s">
        <v>318</v>
      </c>
      <c r="G2760">
        <v>2010</v>
      </c>
      <c r="H2760">
        <v>169800</v>
      </c>
      <c r="I2760">
        <v>12</v>
      </c>
      <c r="J2760" s="1"/>
      <c r="K2760">
        <v>0</v>
      </c>
      <c r="L2760">
        <v>1935</v>
      </c>
      <c r="M2760">
        <v>87.747403000000006</v>
      </c>
      <c r="N2760">
        <v>1</v>
      </c>
      <c r="O2760" s="1" t="s">
        <v>562</v>
      </c>
      <c r="P2760">
        <v>154440.67000000001</v>
      </c>
      <c r="Q2760">
        <v>28571.53</v>
      </c>
      <c r="R2760">
        <v>0</v>
      </c>
      <c r="S2760" s="1" t="s">
        <v>847</v>
      </c>
      <c r="T2760" s="1"/>
      <c r="U2760">
        <v>169800</v>
      </c>
      <c r="V2760">
        <v>0</v>
      </c>
      <c r="W2760">
        <v>74437</v>
      </c>
    </row>
    <row r="2761" spans="1:23" x14ac:dyDescent="0.25">
      <c r="A2761" s="1" t="s">
        <v>36</v>
      </c>
      <c r="B2761" s="1"/>
      <c r="C2761" s="1" t="s">
        <v>189</v>
      </c>
      <c r="D2761">
        <v>9520</v>
      </c>
      <c r="E2761" s="1"/>
      <c r="F2761" s="1" t="s">
        <v>318</v>
      </c>
      <c r="G2761">
        <v>2009</v>
      </c>
      <c r="H2761">
        <v>128630</v>
      </c>
      <c r="I2761">
        <v>12</v>
      </c>
      <c r="J2761" s="1"/>
      <c r="K2761">
        <v>0</v>
      </c>
      <c r="L2761">
        <v>1935</v>
      </c>
      <c r="M2761">
        <v>66.472015999999996</v>
      </c>
      <c r="N2761">
        <v>1</v>
      </c>
      <c r="O2761" s="1" t="s">
        <v>562</v>
      </c>
      <c r="P2761">
        <v>134845.35999999999</v>
      </c>
      <c r="Q2761">
        <v>24946.38</v>
      </c>
      <c r="R2761">
        <v>0</v>
      </c>
      <c r="S2761" s="1" t="s">
        <v>847</v>
      </c>
      <c r="T2761" s="1"/>
      <c r="U2761">
        <v>128630</v>
      </c>
      <c r="V2761">
        <v>0</v>
      </c>
      <c r="W2761">
        <v>74437</v>
      </c>
    </row>
    <row r="2762" spans="1:23" x14ac:dyDescent="0.25">
      <c r="A2762" s="1" t="s">
        <v>36</v>
      </c>
      <c r="B2762" s="1"/>
      <c r="C2762" s="1" t="s">
        <v>189</v>
      </c>
      <c r="D2762">
        <v>9520</v>
      </c>
      <c r="E2762" s="1"/>
      <c r="F2762" s="1" t="s">
        <v>318</v>
      </c>
      <c r="G2762">
        <v>2009</v>
      </c>
      <c r="H2762">
        <v>169837.55</v>
      </c>
      <c r="I2762">
        <v>12</v>
      </c>
      <c r="J2762" s="1"/>
      <c r="K2762">
        <v>0</v>
      </c>
      <c r="L2762">
        <v>1935</v>
      </c>
      <c r="M2762">
        <v>87.766807</v>
      </c>
      <c r="N2762">
        <v>1</v>
      </c>
      <c r="O2762" s="1" t="s">
        <v>563</v>
      </c>
      <c r="P2762">
        <v>246455.24</v>
      </c>
      <c r="Q2762">
        <v>1306.79</v>
      </c>
      <c r="R2762">
        <v>1</v>
      </c>
      <c r="S2762" s="1" t="s">
        <v>847</v>
      </c>
      <c r="T2762" s="1"/>
      <c r="U2762">
        <v>4867.8</v>
      </c>
      <c r="V2762">
        <v>74437</v>
      </c>
      <c r="W2762">
        <v>74438</v>
      </c>
    </row>
    <row r="2763" spans="1:23" x14ac:dyDescent="0.25">
      <c r="A2763" s="1" t="s">
        <v>36</v>
      </c>
      <c r="B2763" s="1"/>
      <c r="C2763" s="1" t="s">
        <v>189</v>
      </c>
      <c r="D2763">
        <v>9520</v>
      </c>
      <c r="E2763" s="1"/>
      <c r="F2763" s="1" t="s">
        <v>318</v>
      </c>
      <c r="G2763">
        <v>2008</v>
      </c>
      <c r="H2763">
        <v>111150</v>
      </c>
      <c r="I2763">
        <v>12</v>
      </c>
      <c r="J2763" s="1"/>
      <c r="K2763">
        <v>0</v>
      </c>
      <c r="L2763">
        <v>1935</v>
      </c>
      <c r="M2763">
        <v>57.438892000000003</v>
      </c>
      <c r="N2763">
        <v>1</v>
      </c>
      <c r="O2763" s="1" t="s">
        <v>562</v>
      </c>
      <c r="P2763">
        <v>128041.38</v>
      </c>
      <c r="Q2763">
        <v>23687.65</v>
      </c>
      <c r="R2763">
        <v>0</v>
      </c>
      <c r="S2763" s="1" t="s">
        <v>847</v>
      </c>
      <c r="T2763" s="1"/>
      <c r="U2763">
        <v>111150</v>
      </c>
      <c r="V2763">
        <v>0</v>
      </c>
      <c r="W2763">
        <v>74437</v>
      </c>
    </row>
    <row r="2764" spans="1:23" x14ac:dyDescent="0.25">
      <c r="A2764" s="1" t="s">
        <v>36</v>
      </c>
      <c r="B2764" s="1"/>
      <c r="C2764" s="1" t="s">
        <v>189</v>
      </c>
      <c r="D2764">
        <v>9520</v>
      </c>
      <c r="E2764" s="1"/>
      <c r="F2764" s="1" t="s">
        <v>318</v>
      </c>
      <c r="G2764">
        <v>2008</v>
      </c>
      <c r="H2764">
        <v>132742.5</v>
      </c>
      <c r="I2764">
        <v>12</v>
      </c>
      <c r="J2764" s="1"/>
      <c r="K2764">
        <v>0</v>
      </c>
      <c r="L2764">
        <v>1935</v>
      </c>
      <c r="M2764">
        <v>68.597229999999996</v>
      </c>
      <c r="N2764">
        <v>1</v>
      </c>
      <c r="O2764" s="1" t="s">
        <v>563</v>
      </c>
      <c r="P2764">
        <v>156053.45000000001</v>
      </c>
      <c r="Q2764">
        <v>827.45</v>
      </c>
      <c r="R2764">
        <v>1</v>
      </c>
      <c r="S2764" s="1" t="s">
        <v>847</v>
      </c>
      <c r="T2764" s="1"/>
      <c r="U2764">
        <v>3804.6</v>
      </c>
      <c r="V2764">
        <v>74437</v>
      </c>
      <c r="W2764">
        <v>74438</v>
      </c>
    </row>
    <row r="2765" spans="1:23" x14ac:dyDescent="0.25">
      <c r="A2765" s="1" t="s">
        <v>36</v>
      </c>
      <c r="B2765" s="1" t="s">
        <v>80</v>
      </c>
      <c r="C2765" s="1" t="s">
        <v>190</v>
      </c>
      <c r="D2765">
        <v>13297</v>
      </c>
      <c r="E2765" s="1" t="s">
        <v>244</v>
      </c>
      <c r="F2765" s="1" t="s">
        <v>190</v>
      </c>
      <c r="G2765">
        <v>2015</v>
      </c>
      <c r="H2765">
        <v>107940.61</v>
      </c>
      <c r="I2765">
        <v>5</v>
      </c>
      <c r="J2765" s="1"/>
      <c r="K2765">
        <v>0</v>
      </c>
      <c r="L2765">
        <v>1571</v>
      </c>
      <c r="M2765">
        <v>68.703844000000004</v>
      </c>
      <c r="N2765">
        <v>1</v>
      </c>
      <c r="O2765" s="1" t="s">
        <v>562</v>
      </c>
      <c r="P2765">
        <v>121564.82</v>
      </c>
      <c r="Q2765">
        <v>7780.15</v>
      </c>
      <c r="R2765">
        <v>0</v>
      </c>
      <c r="S2765" s="1" t="s">
        <v>848</v>
      </c>
      <c r="T2765" s="1"/>
      <c r="U2765">
        <v>107940.61</v>
      </c>
      <c r="V2765">
        <v>0</v>
      </c>
      <c r="W2765">
        <v>90962</v>
      </c>
    </row>
    <row r="2766" spans="1:23" x14ac:dyDescent="0.25">
      <c r="A2766" s="1" t="s">
        <v>36</v>
      </c>
      <c r="B2766" s="1" t="s">
        <v>80</v>
      </c>
      <c r="C2766" s="1" t="s">
        <v>190</v>
      </c>
      <c r="D2766">
        <v>13297</v>
      </c>
      <c r="E2766" s="1" t="s">
        <v>244</v>
      </c>
      <c r="F2766" s="1" t="s">
        <v>190</v>
      </c>
      <c r="G2766">
        <v>2014</v>
      </c>
      <c r="H2766">
        <v>201130.01</v>
      </c>
      <c r="I2766">
        <v>12</v>
      </c>
      <c r="J2766" s="1"/>
      <c r="K2766">
        <v>0</v>
      </c>
      <c r="L2766">
        <v>1571</v>
      </c>
      <c r="M2766">
        <v>128.01859200000001</v>
      </c>
      <c r="N2766">
        <v>1</v>
      </c>
      <c r="O2766" s="1" t="s">
        <v>562</v>
      </c>
      <c r="P2766">
        <v>237543.7</v>
      </c>
      <c r="Q2766">
        <v>15202.78</v>
      </c>
      <c r="R2766">
        <v>0</v>
      </c>
      <c r="S2766" s="1" t="s">
        <v>848</v>
      </c>
      <c r="T2766" s="1"/>
      <c r="U2766">
        <v>201130.01</v>
      </c>
      <c r="V2766">
        <v>0</v>
      </c>
      <c r="W2766">
        <v>90962</v>
      </c>
    </row>
    <row r="2767" spans="1:23" x14ac:dyDescent="0.25">
      <c r="A2767" s="1" t="s">
        <v>36</v>
      </c>
      <c r="B2767" s="1" t="s">
        <v>80</v>
      </c>
      <c r="C2767" s="1" t="s">
        <v>190</v>
      </c>
      <c r="D2767">
        <v>13297</v>
      </c>
      <c r="E2767" s="1" t="s">
        <v>244</v>
      </c>
      <c r="F2767" s="1" t="s">
        <v>190</v>
      </c>
      <c r="G2767">
        <v>2013</v>
      </c>
      <c r="H2767">
        <v>232419.67</v>
      </c>
      <c r="I2767">
        <v>12</v>
      </c>
      <c r="J2767" s="1"/>
      <c r="K2767">
        <v>0</v>
      </c>
      <c r="L2767">
        <v>1571</v>
      </c>
      <c r="M2767">
        <v>147.934358</v>
      </c>
      <c r="N2767">
        <v>1</v>
      </c>
      <c r="O2767" s="1" t="s">
        <v>562</v>
      </c>
      <c r="P2767">
        <v>243500.19</v>
      </c>
      <c r="Q2767">
        <v>15584.01</v>
      </c>
      <c r="R2767">
        <v>0</v>
      </c>
      <c r="S2767" s="1" t="s">
        <v>848</v>
      </c>
      <c r="T2767" s="1"/>
      <c r="U2767">
        <v>232419.67</v>
      </c>
      <c r="V2767">
        <v>0</v>
      </c>
      <c r="W2767">
        <v>90962</v>
      </c>
    </row>
    <row r="2768" spans="1:23" x14ac:dyDescent="0.25">
      <c r="A2768" s="1" t="s">
        <v>36</v>
      </c>
      <c r="B2768" s="1" t="s">
        <v>80</v>
      </c>
      <c r="C2768" s="1" t="s">
        <v>190</v>
      </c>
      <c r="D2768">
        <v>13297</v>
      </c>
      <c r="E2768" s="1" t="s">
        <v>244</v>
      </c>
      <c r="F2768" s="1" t="s">
        <v>190</v>
      </c>
      <c r="G2768">
        <v>2012</v>
      </c>
      <c r="H2768">
        <v>245651.37</v>
      </c>
      <c r="I2768">
        <v>12</v>
      </c>
      <c r="J2768" s="1"/>
      <c r="K2768">
        <v>0</v>
      </c>
      <c r="L2768">
        <v>1571</v>
      </c>
      <c r="M2768">
        <v>156.356291</v>
      </c>
      <c r="N2768">
        <v>1</v>
      </c>
      <c r="O2768" s="1" t="s">
        <v>562</v>
      </c>
      <c r="P2768">
        <v>258012.75</v>
      </c>
      <c r="Q2768">
        <v>47732.35</v>
      </c>
      <c r="R2768">
        <v>0</v>
      </c>
      <c r="S2768" s="1" t="s">
        <v>848</v>
      </c>
      <c r="T2768" s="1"/>
      <c r="U2768">
        <v>245651.37299999999</v>
      </c>
      <c r="V2768">
        <v>0</v>
      </c>
      <c r="W2768">
        <v>90962</v>
      </c>
    </row>
    <row r="2769" spans="1:23" x14ac:dyDescent="0.25">
      <c r="A2769" s="1" t="s">
        <v>36</v>
      </c>
      <c r="B2769" s="1" t="s">
        <v>80</v>
      </c>
      <c r="C2769" s="1" t="s">
        <v>190</v>
      </c>
      <c r="D2769">
        <v>13297</v>
      </c>
      <c r="E2769" s="1" t="s">
        <v>244</v>
      </c>
      <c r="F2769" s="1" t="s">
        <v>190</v>
      </c>
      <c r="G2769">
        <v>2011</v>
      </c>
      <c r="H2769">
        <v>30878.33</v>
      </c>
      <c r="I2769">
        <v>1</v>
      </c>
      <c r="J2769" s="1"/>
      <c r="K2769">
        <v>0</v>
      </c>
      <c r="L2769">
        <v>1571</v>
      </c>
      <c r="M2769">
        <v>19.653955</v>
      </c>
      <c r="N2769">
        <v>1</v>
      </c>
      <c r="O2769" s="1" t="s">
        <v>562</v>
      </c>
      <c r="P2769">
        <v>35488.11</v>
      </c>
      <c r="Q2769">
        <v>6565.3</v>
      </c>
      <c r="R2769">
        <v>0</v>
      </c>
      <c r="S2769" s="1" t="s">
        <v>848</v>
      </c>
      <c r="T2769" s="1"/>
      <c r="U2769">
        <v>30878.33</v>
      </c>
      <c r="V2769">
        <v>0</v>
      </c>
      <c r="W2769">
        <v>90962</v>
      </c>
    </row>
    <row r="2770" spans="1:23" x14ac:dyDescent="0.25">
      <c r="A2770" s="1" t="s">
        <v>36</v>
      </c>
      <c r="B2770" s="1" t="s">
        <v>80</v>
      </c>
      <c r="C2770" s="1" t="s">
        <v>190</v>
      </c>
      <c r="D2770">
        <v>13297</v>
      </c>
      <c r="E2770" s="1" t="s">
        <v>244</v>
      </c>
      <c r="F2770" s="1" t="s">
        <v>190</v>
      </c>
      <c r="G2770">
        <v>2011</v>
      </c>
      <c r="H2770">
        <v>234636.59</v>
      </c>
      <c r="I2770">
        <v>5</v>
      </c>
      <c r="J2770" s="1" t="s">
        <v>490</v>
      </c>
      <c r="K2770">
        <v>0</v>
      </c>
      <c r="L2770">
        <v>1571</v>
      </c>
      <c r="M2770">
        <v>149.34541999999999</v>
      </c>
      <c r="N2770">
        <v>1</v>
      </c>
      <c r="O2770" s="1" t="s">
        <v>565</v>
      </c>
      <c r="P2770">
        <v>273358.31</v>
      </c>
      <c r="Q2770">
        <v>50571.29</v>
      </c>
      <c r="R2770">
        <v>0</v>
      </c>
      <c r="S2770" s="1" t="s">
        <v>848</v>
      </c>
      <c r="T2770" s="1"/>
      <c r="U2770">
        <v>234.63659000000001</v>
      </c>
      <c r="V2770">
        <v>0</v>
      </c>
      <c r="W2770">
        <v>89458</v>
      </c>
    </row>
    <row r="2771" spans="1:23" x14ac:dyDescent="0.25">
      <c r="A2771" s="1" t="s">
        <v>36</v>
      </c>
      <c r="B2771" s="1" t="s">
        <v>80</v>
      </c>
      <c r="C2771" s="1" t="s">
        <v>190</v>
      </c>
      <c r="D2771">
        <v>13297</v>
      </c>
      <c r="E2771" s="1" t="s">
        <v>244</v>
      </c>
      <c r="F2771" s="1" t="s">
        <v>190</v>
      </c>
      <c r="G2771">
        <v>2010</v>
      </c>
      <c r="H2771">
        <v>307106.57</v>
      </c>
      <c r="I2771">
        <v>1</v>
      </c>
      <c r="J2771" s="1" t="s">
        <v>490</v>
      </c>
      <c r="K2771">
        <v>0</v>
      </c>
      <c r="L2771">
        <v>1571</v>
      </c>
      <c r="M2771">
        <v>195.47232500000001</v>
      </c>
      <c r="N2771">
        <v>1</v>
      </c>
      <c r="O2771" s="1" t="s">
        <v>565</v>
      </c>
      <c r="P2771">
        <v>401613.68</v>
      </c>
      <c r="Q2771">
        <v>74298.53</v>
      </c>
      <c r="R2771">
        <v>0</v>
      </c>
      <c r="S2771" s="1" t="s">
        <v>848</v>
      </c>
      <c r="T2771" s="1"/>
      <c r="U2771">
        <v>307.10656999999998</v>
      </c>
      <c r="V2771">
        <v>0</v>
      </c>
      <c r="W2771">
        <v>89458</v>
      </c>
    </row>
    <row r="2772" spans="1:23" x14ac:dyDescent="0.25">
      <c r="A2772" s="1" t="s">
        <v>36</v>
      </c>
      <c r="B2772" s="1" t="s">
        <v>80</v>
      </c>
      <c r="C2772" s="1" t="s">
        <v>190</v>
      </c>
      <c r="D2772">
        <v>13297</v>
      </c>
      <c r="E2772" s="1" t="s">
        <v>244</v>
      </c>
      <c r="F2772" s="1" t="s">
        <v>190</v>
      </c>
      <c r="G2772">
        <v>2009</v>
      </c>
      <c r="H2772">
        <v>246217.34</v>
      </c>
      <c r="I2772">
        <v>1</v>
      </c>
      <c r="J2772" s="1" t="s">
        <v>490</v>
      </c>
      <c r="K2772">
        <v>0</v>
      </c>
      <c r="L2772">
        <v>1571</v>
      </c>
      <c r="M2772">
        <v>156.71652900000001</v>
      </c>
      <c r="N2772">
        <v>1</v>
      </c>
      <c r="O2772" s="1" t="s">
        <v>565</v>
      </c>
      <c r="P2772">
        <v>356864.75</v>
      </c>
      <c r="Q2772">
        <v>66019.97</v>
      </c>
      <c r="R2772">
        <v>0</v>
      </c>
      <c r="S2772" s="1" t="s">
        <v>848</v>
      </c>
      <c r="T2772" s="1"/>
      <c r="U2772">
        <v>246.21734000000001</v>
      </c>
      <c r="V2772">
        <v>0</v>
      </c>
      <c r="W2772">
        <v>89458</v>
      </c>
    </row>
    <row r="2773" spans="1:23" x14ac:dyDescent="0.25">
      <c r="A2773" s="1" t="s">
        <v>36</v>
      </c>
      <c r="B2773" s="1" t="s">
        <v>80</v>
      </c>
      <c r="C2773" s="1" t="s">
        <v>190</v>
      </c>
      <c r="D2773">
        <v>13297</v>
      </c>
      <c r="E2773" s="1" t="s">
        <v>244</v>
      </c>
      <c r="F2773" s="1" t="s">
        <v>190</v>
      </c>
      <c r="G2773">
        <v>2008</v>
      </c>
      <c r="H2773">
        <v>258469.56</v>
      </c>
      <c r="I2773">
        <v>1</v>
      </c>
      <c r="J2773" s="1" t="s">
        <v>490</v>
      </c>
      <c r="K2773">
        <v>0</v>
      </c>
      <c r="L2773">
        <v>1571</v>
      </c>
      <c r="M2773">
        <v>164.515027</v>
      </c>
      <c r="N2773">
        <v>1</v>
      </c>
      <c r="O2773" s="1" t="s">
        <v>565</v>
      </c>
      <c r="P2773">
        <v>337982.56</v>
      </c>
      <c r="Q2773">
        <v>62526.75</v>
      </c>
      <c r="R2773">
        <v>0</v>
      </c>
      <c r="S2773" s="1" t="s">
        <v>848</v>
      </c>
      <c r="T2773" s="1"/>
      <c r="U2773">
        <v>258.46956</v>
      </c>
      <c r="V2773">
        <v>0</v>
      </c>
      <c r="W2773">
        <v>89458</v>
      </c>
    </row>
    <row r="2774" spans="1:23" x14ac:dyDescent="0.25">
      <c r="A2774" s="1" t="s">
        <v>36</v>
      </c>
      <c r="B2774" s="1" t="s">
        <v>77</v>
      </c>
      <c r="C2774" s="1" t="s">
        <v>185</v>
      </c>
      <c r="D2774">
        <v>13870</v>
      </c>
      <c r="E2774" s="1" t="s">
        <v>243</v>
      </c>
      <c r="F2774" s="1" t="s">
        <v>315</v>
      </c>
      <c r="G2774">
        <v>2015</v>
      </c>
      <c r="H2774">
        <v>26394.959999999999</v>
      </c>
      <c r="I2774">
        <v>5</v>
      </c>
      <c r="J2774" s="1"/>
      <c r="K2774">
        <v>0</v>
      </c>
      <c r="L2774">
        <v>1104</v>
      </c>
      <c r="M2774">
        <v>23.906312</v>
      </c>
      <c r="N2774">
        <v>2</v>
      </c>
      <c r="O2774" s="1" t="s">
        <v>569</v>
      </c>
      <c r="P2774">
        <v>26394.959999999999</v>
      </c>
      <c r="Q2774">
        <v>7918.49</v>
      </c>
      <c r="R2774">
        <v>0</v>
      </c>
      <c r="S2774" s="1" t="s">
        <v>1061</v>
      </c>
      <c r="T2774" s="1"/>
      <c r="U2774">
        <v>26394.954000000002</v>
      </c>
      <c r="V2774">
        <v>0</v>
      </c>
      <c r="W2774">
        <v>94115</v>
      </c>
    </row>
    <row r="2775" spans="1:23" x14ac:dyDescent="0.25">
      <c r="A2775" s="1" t="s">
        <v>36</v>
      </c>
      <c r="B2775" s="1" t="s">
        <v>77</v>
      </c>
      <c r="C2775" s="1" t="s">
        <v>185</v>
      </c>
      <c r="D2775">
        <v>13870</v>
      </c>
      <c r="E2775" s="1" t="s">
        <v>243</v>
      </c>
      <c r="F2775" s="1" t="s">
        <v>315</v>
      </c>
      <c r="G2775">
        <v>2014</v>
      </c>
      <c r="H2775">
        <v>63094.03</v>
      </c>
      <c r="I2775">
        <v>12</v>
      </c>
      <c r="J2775" s="1"/>
      <c r="K2775">
        <v>0</v>
      </c>
      <c r="L2775">
        <v>1104</v>
      </c>
      <c r="M2775">
        <v>57.145212999999998</v>
      </c>
      <c r="N2775">
        <v>2</v>
      </c>
      <c r="O2775" s="1" t="s">
        <v>569</v>
      </c>
      <c r="P2775">
        <v>63094.03</v>
      </c>
      <c r="Q2775">
        <v>18928.22</v>
      </c>
      <c r="R2775">
        <v>0</v>
      </c>
      <c r="S2775" s="1" t="s">
        <v>1061</v>
      </c>
      <c r="T2775" s="1"/>
      <c r="U2775">
        <v>63094.031999999999</v>
      </c>
      <c r="V2775">
        <v>0</v>
      </c>
      <c r="W2775">
        <v>94115</v>
      </c>
    </row>
    <row r="2776" spans="1:23" x14ac:dyDescent="0.25">
      <c r="A2776" s="1" t="s">
        <v>36</v>
      </c>
      <c r="B2776" s="1" t="s">
        <v>77</v>
      </c>
      <c r="C2776" s="1" t="s">
        <v>185</v>
      </c>
      <c r="D2776">
        <v>13870</v>
      </c>
      <c r="E2776" s="1" t="s">
        <v>243</v>
      </c>
      <c r="F2776" s="1" t="s">
        <v>315</v>
      </c>
      <c r="G2776">
        <v>2013</v>
      </c>
      <c r="H2776">
        <v>44687.08</v>
      </c>
      <c r="I2776">
        <v>9</v>
      </c>
      <c r="J2776" s="1"/>
      <c r="K2776">
        <v>0</v>
      </c>
      <c r="L2776">
        <v>1104</v>
      </c>
      <c r="M2776">
        <v>40.473761000000003</v>
      </c>
      <c r="N2776">
        <v>2</v>
      </c>
      <c r="O2776" s="1" t="s">
        <v>569</v>
      </c>
      <c r="P2776">
        <v>44687.08</v>
      </c>
      <c r="Q2776">
        <v>13406.12</v>
      </c>
      <c r="R2776">
        <v>0</v>
      </c>
      <c r="S2776" s="1" t="s">
        <v>1061</v>
      </c>
      <c r="T2776" s="1"/>
      <c r="U2776">
        <v>44687.088000000003</v>
      </c>
      <c r="V2776">
        <v>0</v>
      </c>
      <c r="W2776">
        <v>94115</v>
      </c>
    </row>
    <row r="2777" spans="1:23" x14ac:dyDescent="0.25">
      <c r="A2777" s="1" t="s">
        <v>36</v>
      </c>
      <c r="B2777" s="1" t="s">
        <v>77</v>
      </c>
      <c r="C2777" s="1" t="s">
        <v>185</v>
      </c>
      <c r="D2777">
        <v>13870</v>
      </c>
      <c r="E2777" s="1" t="s">
        <v>243</v>
      </c>
      <c r="F2777" s="1" t="s">
        <v>315</v>
      </c>
      <c r="G2777">
        <v>2013</v>
      </c>
      <c r="H2777">
        <v>15396.8</v>
      </c>
      <c r="I2777">
        <v>1</v>
      </c>
      <c r="J2777" s="1" t="s">
        <v>445</v>
      </c>
      <c r="K2777">
        <v>0</v>
      </c>
      <c r="L2777">
        <v>1104</v>
      </c>
      <c r="M2777">
        <v>13.945112999999999</v>
      </c>
      <c r="N2777">
        <v>2</v>
      </c>
      <c r="O2777" s="1" t="s">
        <v>569</v>
      </c>
      <c r="P2777">
        <v>15396.8</v>
      </c>
      <c r="Q2777">
        <v>4619.04</v>
      </c>
      <c r="R2777">
        <v>0</v>
      </c>
      <c r="S2777" s="1" t="s">
        <v>1061</v>
      </c>
      <c r="T2777" s="1" t="s">
        <v>1321</v>
      </c>
      <c r="U2777">
        <v>15396.796340000001</v>
      </c>
      <c r="V2777">
        <v>0</v>
      </c>
      <c r="W2777">
        <v>92220</v>
      </c>
    </row>
    <row r="2778" spans="1:23" x14ac:dyDescent="0.25">
      <c r="A2778" s="1" t="s">
        <v>36</v>
      </c>
      <c r="B2778" s="1" t="s">
        <v>77</v>
      </c>
      <c r="C2778" s="1" t="s">
        <v>185</v>
      </c>
      <c r="D2778">
        <v>13870</v>
      </c>
      <c r="E2778" s="1" t="s">
        <v>243</v>
      </c>
      <c r="F2778" s="1" t="s">
        <v>315</v>
      </c>
      <c r="G2778">
        <v>2012</v>
      </c>
      <c r="H2778">
        <v>63332.81</v>
      </c>
      <c r="I2778">
        <v>1</v>
      </c>
      <c r="J2778" s="1" t="s">
        <v>445</v>
      </c>
      <c r="K2778">
        <v>0</v>
      </c>
      <c r="L2778">
        <v>1104</v>
      </c>
      <c r="M2778">
        <v>57.361479000000003</v>
      </c>
      <c r="N2778">
        <v>2</v>
      </c>
      <c r="O2778" s="1" t="s">
        <v>569</v>
      </c>
      <c r="P2778">
        <v>63332.81</v>
      </c>
      <c r="Q2778">
        <v>25333.1</v>
      </c>
      <c r="R2778">
        <v>0</v>
      </c>
      <c r="S2778" s="1" t="s">
        <v>1061</v>
      </c>
      <c r="T2778" s="1" t="s">
        <v>1321</v>
      </c>
      <c r="U2778">
        <v>63332.816910000001</v>
      </c>
      <c r="V2778">
        <v>0</v>
      </c>
      <c r="W2778">
        <v>92220</v>
      </c>
    </row>
    <row r="2779" spans="1:23" x14ac:dyDescent="0.25">
      <c r="A2779" s="1" t="s">
        <v>36</v>
      </c>
      <c r="B2779" s="1" t="s">
        <v>77</v>
      </c>
      <c r="C2779" s="1" t="s">
        <v>185</v>
      </c>
      <c r="D2779">
        <v>13870</v>
      </c>
      <c r="E2779" s="1" t="s">
        <v>243</v>
      </c>
      <c r="F2779" s="1" t="s">
        <v>315</v>
      </c>
      <c r="G2779">
        <v>2011</v>
      </c>
      <c r="H2779">
        <v>63921.13</v>
      </c>
      <c r="I2779">
        <v>1</v>
      </c>
      <c r="J2779" s="1" t="s">
        <v>445</v>
      </c>
      <c r="K2779">
        <v>0</v>
      </c>
      <c r="L2779">
        <v>1104</v>
      </c>
      <c r="M2779">
        <v>57.894329999999997</v>
      </c>
      <c r="N2779">
        <v>2</v>
      </c>
      <c r="O2779" s="1" t="s">
        <v>569</v>
      </c>
      <c r="P2779">
        <v>63921.13</v>
      </c>
      <c r="Q2779">
        <v>29979.01</v>
      </c>
      <c r="R2779">
        <v>0</v>
      </c>
      <c r="S2779" s="1" t="s">
        <v>1061</v>
      </c>
      <c r="T2779" s="1" t="s">
        <v>1321</v>
      </c>
      <c r="U2779">
        <v>63921.136720000002</v>
      </c>
      <c r="V2779">
        <v>0</v>
      </c>
      <c r="W2779">
        <v>92220</v>
      </c>
    </row>
    <row r="2780" spans="1:23" x14ac:dyDescent="0.25">
      <c r="A2780" s="1" t="s">
        <v>36</v>
      </c>
      <c r="B2780" s="1" t="s">
        <v>77</v>
      </c>
      <c r="C2780" s="1" t="s">
        <v>185</v>
      </c>
      <c r="D2780">
        <v>13870</v>
      </c>
      <c r="E2780" s="1" t="s">
        <v>243</v>
      </c>
      <c r="F2780" s="1" t="s">
        <v>315</v>
      </c>
      <c r="G2780">
        <v>2010</v>
      </c>
      <c r="H2780">
        <v>64759.38</v>
      </c>
      <c r="I2780">
        <v>5</v>
      </c>
      <c r="J2780" s="1" t="s">
        <v>445</v>
      </c>
      <c r="K2780">
        <v>0</v>
      </c>
      <c r="L2780">
        <v>1104</v>
      </c>
      <c r="M2780">
        <v>58.653545000000001</v>
      </c>
      <c r="N2780">
        <v>2</v>
      </c>
      <c r="O2780" s="1" t="s">
        <v>569</v>
      </c>
      <c r="P2780">
        <v>64759.38</v>
      </c>
      <c r="Q2780">
        <v>30372.15</v>
      </c>
      <c r="R2780">
        <v>0</v>
      </c>
      <c r="S2780" s="1" t="s">
        <v>1061</v>
      </c>
      <c r="T2780" s="1" t="s">
        <v>1321</v>
      </c>
      <c r="U2780">
        <v>64759.38697</v>
      </c>
      <c r="V2780">
        <v>0</v>
      </c>
      <c r="W2780">
        <v>92220</v>
      </c>
    </row>
    <row r="2781" spans="1:23" x14ac:dyDescent="0.25">
      <c r="A2781" s="1" t="s">
        <v>36</v>
      </c>
      <c r="B2781" s="1" t="s">
        <v>77</v>
      </c>
      <c r="C2781" s="1" t="s">
        <v>185</v>
      </c>
      <c r="D2781">
        <v>13870</v>
      </c>
      <c r="E2781" s="1" t="s">
        <v>243</v>
      </c>
      <c r="F2781" s="1" t="s">
        <v>315</v>
      </c>
      <c r="G2781">
        <v>2009</v>
      </c>
      <c r="H2781">
        <v>69390.03</v>
      </c>
      <c r="I2781">
        <v>1</v>
      </c>
      <c r="J2781" s="1" t="s">
        <v>445</v>
      </c>
      <c r="K2781">
        <v>0</v>
      </c>
      <c r="L2781">
        <v>1104</v>
      </c>
      <c r="M2781">
        <v>62.847594999999998</v>
      </c>
      <c r="N2781">
        <v>2</v>
      </c>
      <c r="O2781" s="1" t="s">
        <v>569</v>
      </c>
      <c r="P2781">
        <v>69390.03</v>
      </c>
      <c r="Q2781">
        <v>32543.919999999998</v>
      </c>
      <c r="R2781">
        <v>0</v>
      </c>
      <c r="S2781" s="1" t="s">
        <v>1061</v>
      </c>
      <c r="T2781" s="1" t="s">
        <v>1321</v>
      </c>
      <c r="U2781">
        <v>69390.015700000004</v>
      </c>
      <c r="V2781">
        <v>0</v>
      </c>
      <c r="W2781">
        <v>92220</v>
      </c>
    </row>
    <row r="2782" spans="1:23" x14ac:dyDescent="0.25">
      <c r="A2782" s="1" t="s">
        <v>36</v>
      </c>
      <c r="B2782" s="1" t="s">
        <v>77</v>
      </c>
      <c r="C2782" s="1" t="s">
        <v>185</v>
      </c>
      <c r="D2782">
        <v>13870</v>
      </c>
      <c r="E2782" s="1" t="s">
        <v>243</v>
      </c>
      <c r="F2782" s="1" t="s">
        <v>315</v>
      </c>
      <c r="G2782">
        <v>2008</v>
      </c>
      <c r="H2782">
        <v>62679.81</v>
      </c>
      <c r="I2782">
        <v>1</v>
      </c>
      <c r="J2782" s="1" t="s">
        <v>445</v>
      </c>
      <c r="K2782">
        <v>0</v>
      </c>
      <c r="L2782">
        <v>1104</v>
      </c>
      <c r="M2782">
        <v>56.770048000000003</v>
      </c>
      <c r="N2782">
        <v>2</v>
      </c>
      <c r="O2782" s="1" t="s">
        <v>569</v>
      </c>
      <c r="P2782">
        <v>62679.81</v>
      </c>
      <c r="Q2782">
        <v>29396.82</v>
      </c>
      <c r="R2782">
        <v>0</v>
      </c>
      <c r="S2782" s="1" t="s">
        <v>1061</v>
      </c>
      <c r="T2782" s="1" t="s">
        <v>1321</v>
      </c>
      <c r="U2782">
        <v>62679.84734</v>
      </c>
      <c r="V2782">
        <v>0</v>
      </c>
      <c r="W2782">
        <v>92220</v>
      </c>
    </row>
    <row r="2783" spans="1:23" x14ac:dyDescent="0.25">
      <c r="A2783" s="1" t="s">
        <v>36</v>
      </c>
      <c r="B2783" s="1" t="s">
        <v>78</v>
      </c>
      <c r="C2783" s="1" t="s">
        <v>186</v>
      </c>
      <c r="D2783">
        <v>13266</v>
      </c>
      <c r="E2783" s="1" t="s">
        <v>243</v>
      </c>
      <c r="F2783" s="1" t="s">
        <v>316</v>
      </c>
      <c r="G2783">
        <v>2015</v>
      </c>
      <c r="H2783">
        <v>56732.05</v>
      </c>
      <c r="I2783">
        <v>5</v>
      </c>
      <c r="J2783" s="1"/>
      <c r="K2783">
        <v>0</v>
      </c>
      <c r="L2783">
        <v>1357</v>
      </c>
      <c r="M2783">
        <v>41.803882999999999</v>
      </c>
      <c r="N2783">
        <v>2</v>
      </c>
      <c r="O2783" s="1" t="s">
        <v>569</v>
      </c>
      <c r="P2783">
        <v>56732.05</v>
      </c>
      <c r="Q2783">
        <v>17019.61</v>
      </c>
      <c r="R2783">
        <v>0</v>
      </c>
      <c r="S2783" s="1" t="s">
        <v>1062</v>
      </c>
      <c r="T2783" s="1"/>
      <c r="U2783">
        <v>56732.05</v>
      </c>
      <c r="V2783">
        <v>0</v>
      </c>
      <c r="W2783">
        <v>93520</v>
      </c>
    </row>
    <row r="2784" spans="1:23" x14ac:dyDescent="0.25">
      <c r="A2784" s="1" t="s">
        <v>36</v>
      </c>
      <c r="B2784" s="1" t="s">
        <v>78</v>
      </c>
      <c r="C2784" s="1" t="s">
        <v>186</v>
      </c>
      <c r="D2784">
        <v>13266</v>
      </c>
      <c r="E2784" s="1" t="s">
        <v>243</v>
      </c>
      <c r="F2784" s="1" t="s">
        <v>316</v>
      </c>
      <c r="G2784">
        <v>2014</v>
      </c>
      <c r="H2784">
        <v>145977.14000000001</v>
      </c>
      <c r="I2784">
        <v>12</v>
      </c>
      <c r="J2784" s="1"/>
      <c r="K2784">
        <v>0</v>
      </c>
      <c r="L2784">
        <v>1357</v>
      </c>
      <c r="M2784">
        <v>107.565499</v>
      </c>
      <c r="N2784">
        <v>2</v>
      </c>
      <c r="O2784" s="1" t="s">
        <v>569</v>
      </c>
      <c r="P2784">
        <v>145977.14000000001</v>
      </c>
      <c r="Q2784">
        <v>43793.14</v>
      </c>
      <c r="R2784">
        <v>0</v>
      </c>
      <c r="S2784" s="1" t="s">
        <v>1062</v>
      </c>
      <c r="T2784" s="1"/>
      <c r="U2784">
        <v>145977.14000000001</v>
      </c>
      <c r="V2784">
        <v>0</v>
      </c>
      <c r="W2784">
        <v>93520</v>
      </c>
    </row>
    <row r="2785" spans="1:23" x14ac:dyDescent="0.25">
      <c r="A2785" s="1" t="s">
        <v>36</v>
      </c>
      <c r="B2785" s="1" t="s">
        <v>78</v>
      </c>
      <c r="C2785" s="1" t="s">
        <v>186</v>
      </c>
      <c r="D2785">
        <v>13266</v>
      </c>
      <c r="E2785" s="1" t="s">
        <v>243</v>
      </c>
      <c r="F2785" s="1" t="s">
        <v>316</v>
      </c>
      <c r="G2785">
        <v>2013</v>
      </c>
      <c r="H2785">
        <v>146223.15</v>
      </c>
      <c r="I2785">
        <v>12</v>
      </c>
      <c r="J2785" s="1"/>
      <c r="K2785">
        <v>0</v>
      </c>
      <c r="L2785">
        <v>1357</v>
      </c>
      <c r="M2785">
        <v>107.746776</v>
      </c>
      <c r="N2785">
        <v>2</v>
      </c>
      <c r="O2785" s="1" t="s">
        <v>569</v>
      </c>
      <c r="P2785">
        <v>146223.15</v>
      </c>
      <c r="Q2785">
        <v>43866.95</v>
      </c>
      <c r="R2785">
        <v>0</v>
      </c>
      <c r="S2785" s="1" t="s">
        <v>1062</v>
      </c>
      <c r="T2785" s="1"/>
      <c r="U2785">
        <v>146223.15</v>
      </c>
      <c r="V2785">
        <v>0</v>
      </c>
      <c r="W2785">
        <v>93520</v>
      </c>
    </row>
    <row r="2786" spans="1:23" x14ac:dyDescent="0.25">
      <c r="A2786" s="1" t="s">
        <v>36</v>
      </c>
      <c r="B2786" s="1" t="s">
        <v>78</v>
      </c>
      <c r="C2786" s="1" t="s">
        <v>186</v>
      </c>
      <c r="D2786">
        <v>13266</v>
      </c>
      <c r="E2786" s="1" t="s">
        <v>243</v>
      </c>
      <c r="F2786" s="1" t="s">
        <v>316</v>
      </c>
      <c r="G2786">
        <v>2012</v>
      </c>
      <c r="H2786">
        <v>152088.21</v>
      </c>
      <c r="I2786">
        <v>12</v>
      </c>
      <c r="J2786" s="1"/>
      <c r="K2786">
        <v>0</v>
      </c>
      <c r="L2786">
        <v>1357</v>
      </c>
      <c r="M2786">
        <v>112.068535</v>
      </c>
      <c r="N2786">
        <v>2</v>
      </c>
      <c r="O2786" s="1" t="s">
        <v>569</v>
      </c>
      <c r="P2786">
        <v>152088.21</v>
      </c>
      <c r="Q2786">
        <v>60835.28</v>
      </c>
      <c r="R2786">
        <v>0</v>
      </c>
      <c r="S2786" s="1" t="s">
        <v>1062</v>
      </c>
      <c r="T2786" s="1"/>
      <c r="U2786">
        <v>152088.21</v>
      </c>
      <c r="V2786">
        <v>0</v>
      </c>
      <c r="W2786">
        <v>93520</v>
      </c>
    </row>
    <row r="2787" spans="1:23" x14ac:dyDescent="0.25">
      <c r="A2787" s="1" t="s">
        <v>36</v>
      </c>
      <c r="B2787" s="1" t="s">
        <v>78</v>
      </c>
      <c r="C2787" s="1" t="s">
        <v>186</v>
      </c>
      <c r="D2787">
        <v>13266</v>
      </c>
      <c r="E2787" s="1" t="s">
        <v>243</v>
      </c>
      <c r="F2787" s="1" t="s">
        <v>316</v>
      </c>
      <c r="G2787">
        <v>2011</v>
      </c>
      <c r="H2787">
        <v>139013.6</v>
      </c>
      <c r="I2787">
        <v>2</v>
      </c>
      <c r="J2787" s="1" t="s">
        <v>457</v>
      </c>
      <c r="K2787">
        <v>0</v>
      </c>
      <c r="L2787">
        <v>1357</v>
      </c>
      <c r="M2787">
        <v>102.434308</v>
      </c>
      <c r="N2787">
        <v>2</v>
      </c>
      <c r="O2787" s="1" t="s">
        <v>569</v>
      </c>
      <c r="P2787">
        <v>139013.6</v>
      </c>
      <c r="Q2787">
        <v>65197.38</v>
      </c>
      <c r="R2787">
        <v>0</v>
      </c>
      <c r="S2787" s="1" t="s">
        <v>1062</v>
      </c>
      <c r="T2787" s="1" t="s">
        <v>1322</v>
      </c>
      <c r="U2787">
        <v>139013.63808</v>
      </c>
      <c r="V2787">
        <v>0</v>
      </c>
      <c r="W2787">
        <v>89186</v>
      </c>
    </row>
    <row r="2788" spans="1:23" x14ac:dyDescent="0.25">
      <c r="A2788" s="1" t="s">
        <v>36</v>
      </c>
      <c r="B2788" s="1" t="s">
        <v>78</v>
      </c>
      <c r="C2788" s="1" t="s">
        <v>186</v>
      </c>
      <c r="D2788">
        <v>13266</v>
      </c>
      <c r="E2788" s="1" t="s">
        <v>243</v>
      </c>
      <c r="F2788" s="1" t="s">
        <v>316</v>
      </c>
      <c r="G2788">
        <v>2011</v>
      </c>
      <c r="H2788">
        <v>12583.73</v>
      </c>
      <c r="I2788">
        <v>1</v>
      </c>
      <c r="J2788" s="1"/>
      <c r="K2788">
        <v>0</v>
      </c>
      <c r="L2788">
        <v>1357</v>
      </c>
      <c r="M2788">
        <v>9.2725139999999993</v>
      </c>
      <c r="N2788">
        <v>2</v>
      </c>
      <c r="O2788" s="1" t="s">
        <v>569</v>
      </c>
      <c r="P2788">
        <v>12583.73</v>
      </c>
      <c r="Q2788">
        <v>5901.77</v>
      </c>
      <c r="R2788">
        <v>0</v>
      </c>
      <c r="S2788" s="1" t="s">
        <v>1062</v>
      </c>
      <c r="T2788" s="1"/>
      <c r="U2788">
        <v>12583.73</v>
      </c>
      <c r="V2788">
        <v>0</v>
      </c>
      <c r="W2788">
        <v>93520</v>
      </c>
    </row>
    <row r="2789" spans="1:23" x14ac:dyDescent="0.25">
      <c r="A2789" s="1" t="s">
        <v>36</v>
      </c>
      <c r="B2789" s="1" t="s">
        <v>78</v>
      </c>
      <c r="C2789" s="1" t="s">
        <v>186</v>
      </c>
      <c r="D2789">
        <v>13266</v>
      </c>
      <c r="E2789" s="1" t="s">
        <v>243</v>
      </c>
      <c r="F2789" s="1" t="s">
        <v>316</v>
      </c>
      <c r="G2789">
        <v>2010</v>
      </c>
      <c r="H2789">
        <v>158033.66</v>
      </c>
      <c r="I2789">
        <v>1</v>
      </c>
      <c r="J2789" s="1" t="s">
        <v>457</v>
      </c>
      <c r="K2789">
        <v>0</v>
      </c>
      <c r="L2789">
        <v>1357</v>
      </c>
      <c r="M2789">
        <v>116.449532</v>
      </c>
      <c r="N2789">
        <v>2</v>
      </c>
      <c r="O2789" s="1" t="s">
        <v>569</v>
      </c>
      <c r="P2789">
        <v>158033.66</v>
      </c>
      <c r="Q2789">
        <v>74117.78</v>
      </c>
      <c r="R2789">
        <v>0</v>
      </c>
      <c r="S2789" s="1" t="s">
        <v>1062</v>
      </c>
      <c r="T2789" s="1" t="s">
        <v>1322</v>
      </c>
      <c r="U2789">
        <v>158033.67363</v>
      </c>
      <c r="V2789">
        <v>0</v>
      </c>
      <c r="W2789">
        <v>89186</v>
      </c>
    </row>
    <row r="2790" spans="1:23" x14ac:dyDescent="0.25">
      <c r="A2790" s="1" t="s">
        <v>36</v>
      </c>
      <c r="B2790" s="1" t="s">
        <v>78</v>
      </c>
      <c r="C2790" s="1" t="s">
        <v>186</v>
      </c>
      <c r="D2790">
        <v>13266</v>
      </c>
      <c r="E2790" s="1" t="s">
        <v>243</v>
      </c>
      <c r="F2790" s="1" t="s">
        <v>316</v>
      </c>
      <c r="G2790">
        <v>2009</v>
      </c>
      <c r="H2790">
        <v>151931.51</v>
      </c>
      <c r="I2790">
        <v>1</v>
      </c>
      <c r="J2790" s="1" t="s">
        <v>457</v>
      </c>
      <c r="K2790">
        <v>0</v>
      </c>
      <c r="L2790">
        <v>1357</v>
      </c>
      <c r="M2790">
        <v>111.953069</v>
      </c>
      <c r="N2790">
        <v>2</v>
      </c>
      <c r="O2790" s="1" t="s">
        <v>569</v>
      </c>
      <c r="P2790">
        <v>151931.51</v>
      </c>
      <c r="Q2790">
        <v>71255.89</v>
      </c>
      <c r="R2790">
        <v>0</v>
      </c>
      <c r="S2790" s="1" t="s">
        <v>1062</v>
      </c>
      <c r="T2790" s="1" t="s">
        <v>1322</v>
      </c>
      <c r="U2790">
        <v>151931.53448999999</v>
      </c>
      <c r="V2790">
        <v>0</v>
      </c>
      <c r="W2790">
        <v>89186</v>
      </c>
    </row>
    <row r="2791" spans="1:23" x14ac:dyDescent="0.25">
      <c r="A2791" s="1" t="s">
        <v>36</v>
      </c>
      <c r="B2791" s="1" t="s">
        <v>78</v>
      </c>
      <c r="C2791" s="1" t="s">
        <v>186</v>
      </c>
      <c r="D2791">
        <v>13266</v>
      </c>
      <c r="E2791" s="1" t="s">
        <v>243</v>
      </c>
      <c r="F2791" s="1" t="s">
        <v>316</v>
      </c>
      <c r="G2791">
        <v>2008</v>
      </c>
      <c r="H2791">
        <v>146941.92000000001</v>
      </c>
      <c r="I2791">
        <v>0</v>
      </c>
      <c r="J2791" s="1" t="s">
        <v>457</v>
      </c>
      <c r="K2791">
        <v>0</v>
      </c>
      <c r="L2791">
        <v>1357</v>
      </c>
      <c r="M2791">
        <v>108.27641199999999</v>
      </c>
      <c r="N2791">
        <v>2</v>
      </c>
      <c r="O2791" s="1" t="s">
        <v>569</v>
      </c>
      <c r="P2791">
        <v>146941.92000000001</v>
      </c>
      <c r="Q2791">
        <v>68915.77</v>
      </c>
      <c r="R2791">
        <v>0</v>
      </c>
      <c r="S2791" s="1" t="s">
        <v>1062</v>
      </c>
      <c r="T2791" s="1" t="s">
        <v>1322</v>
      </c>
      <c r="U2791">
        <v>146941.96158</v>
      </c>
      <c r="V2791">
        <v>0</v>
      </c>
      <c r="W2791">
        <v>89186</v>
      </c>
    </row>
    <row r="2792" spans="1:23" x14ac:dyDescent="0.25">
      <c r="A2792" s="1" t="s">
        <v>36</v>
      </c>
      <c r="B2792" s="1"/>
      <c r="C2792" s="1" t="s">
        <v>187</v>
      </c>
      <c r="D2792">
        <v>10323</v>
      </c>
      <c r="E2792" s="1"/>
      <c r="F2792" s="1" t="s">
        <v>187</v>
      </c>
      <c r="G2792">
        <v>2015</v>
      </c>
      <c r="H2792">
        <v>36754.76</v>
      </c>
      <c r="I2792">
        <v>5</v>
      </c>
      <c r="J2792" s="1" t="s">
        <v>538</v>
      </c>
      <c r="K2792">
        <v>0</v>
      </c>
      <c r="L2792">
        <v>2114</v>
      </c>
      <c r="M2792">
        <v>17.385535000000001</v>
      </c>
      <c r="N2792">
        <v>2</v>
      </c>
      <c r="O2792" s="1" t="s">
        <v>569</v>
      </c>
      <c r="P2792">
        <v>36754.76</v>
      </c>
      <c r="Q2792">
        <v>11026.44</v>
      </c>
      <c r="R2792">
        <v>0</v>
      </c>
      <c r="S2792" s="1" t="s">
        <v>1063</v>
      </c>
      <c r="T2792" s="1" t="s">
        <v>1323</v>
      </c>
      <c r="U2792">
        <v>36754.764000000003</v>
      </c>
      <c r="V2792">
        <v>0</v>
      </c>
      <c r="W2792">
        <v>84599</v>
      </c>
    </row>
    <row r="2793" spans="1:23" x14ac:dyDescent="0.25">
      <c r="A2793" s="1" t="s">
        <v>36</v>
      </c>
      <c r="B2793" s="1"/>
      <c r="C2793" s="1" t="s">
        <v>187</v>
      </c>
      <c r="D2793">
        <v>10323</v>
      </c>
      <c r="E2793" s="1"/>
      <c r="F2793" s="1" t="s">
        <v>187</v>
      </c>
      <c r="G2793">
        <v>2014</v>
      </c>
      <c r="H2793">
        <v>99310.27</v>
      </c>
      <c r="I2793">
        <v>12</v>
      </c>
      <c r="J2793" s="1" t="s">
        <v>538</v>
      </c>
      <c r="K2793">
        <v>0</v>
      </c>
      <c r="L2793">
        <v>2114</v>
      </c>
      <c r="M2793">
        <v>46.975199000000003</v>
      </c>
      <c r="N2793">
        <v>2</v>
      </c>
      <c r="O2793" s="1" t="s">
        <v>569</v>
      </c>
      <c r="P2793">
        <v>99310.27</v>
      </c>
      <c r="Q2793">
        <v>29793.1</v>
      </c>
      <c r="R2793">
        <v>0</v>
      </c>
      <c r="S2793" s="1" t="s">
        <v>1063</v>
      </c>
      <c r="T2793" s="1" t="s">
        <v>1323</v>
      </c>
      <c r="U2793">
        <v>99310.284</v>
      </c>
      <c r="V2793">
        <v>0</v>
      </c>
      <c r="W2793">
        <v>84599</v>
      </c>
    </row>
    <row r="2794" spans="1:23" x14ac:dyDescent="0.25">
      <c r="A2794" s="1" t="s">
        <v>36</v>
      </c>
      <c r="B2794" s="1"/>
      <c r="C2794" s="1" t="s">
        <v>187</v>
      </c>
      <c r="D2794">
        <v>10323</v>
      </c>
      <c r="E2794" s="1"/>
      <c r="F2794" s="1" t="s">
        <v>187</v>
      </c>
      <c r="G2794">
        <v>2013</v>
      </c>
      <c r="H2794">
        <v>99690.32</v>
      </c>
      <c r="I2794">
        <v>12</v>
      </c>
      <c r="J2794" s="1" t="s">
        <v>538</v>
      </c>
      <c r="K2794">
        <v>0</v>
      </c>
      <c r="L2794">
        <v>2114</v>
      </c>
      <c r="M2794">
        <v>47.154969000000001</v>
      </c>
      <c r="N2794">
        <v>2</v>
      </c>
      <c r="O2794" s="1" t="s">
        <v>569</v>
      </c>
      <c r="P2794">
        <v>99690.32</v>
      </c>
      <c r="Q2794">
        <v>29907.1</v>
      </c>
      <c r="R2794">
        <v>0</v>
      </c>
      <c r="S2794" s="1" t="s">
        <v>1063</v>
      </c>
      <c r="T2794" s="1" t="s">
        <v>1323</v>
      </c>
      <c r="U2794">
        <v>99690.323999999993</v>
      </c>
      <c r="V2794">
        <v>0</v>
      </c>
      <c r="W2794">
        <v>84599</v>
      </c>
    </row>
    <row r="2795" spans="1:23" x14ac:dyDescent="0.25">
      <c r="A2795" s="1" t="s">
        <v>36</v>
      </c>
      <c r="B2795" s="1"/>
      <c r="C2795" s="1" t="s">
        <v>187</v>
      </c>
      <c r="D2795">
        <v>10323</v>
      </c>
      <c r="E2795" s="1"/>
      <c r="F2795" s="1" t="s">
        <v>187</v>
      </c>
      <c r="G2795">
        <v>2012</v>
      </c>
      <c r="H2795">
        <v>96503.58</v>
      </c>
      <c r="I2795">
        <v>12</v>
      </c>
      <c r="J2795" s="1" t="s">
        <v>538</v>
      </c>
      <c r="K2795">
        <v>0</v>
      </c>
      <c r="L2795">
        <v>2114</v>
      </c>
      <c r="M2795">
        <v>45.647593999999998</v>
      </c>
      <c r="N2795">
        <v>2</v>
      </c>
      <c r="O2795" s="1" t="s">
        <v>569</v>
      </c>
      <c r="P2795">
        <v>96503.58</v>
      </c>
      <c r="Q2795">
        <v>38601.440000000002</v>
      </c>
      <c r="R2795">
        <v>0</v>
      </c>
      <c r="S2795" s="1" t="s">
        <v>1063</v>
      </c>
      <c r="T2795" s="1" t="s">
        <v>1323</v>
      </c>
      <c r="U2795">
        <v>96503.592000000004</v>
      </c>
      <c r="V2795">
        <v>0</v>
      </c>
      <c r="W2795">
        <v>84599</v>
      </c>
    </row>
    <row r="2796" spans="1:23" x14ac:dyDescent="0.25">
      <c r="A2796" s="1" t="s">
        <v>36</v>
      </c>
      <c r="B2796" s="1"/>
      <c r="C2796" s="1" t="s">
        <v>187</v>
      </c>
      <c r="D2796">
        <v>10323</v>
      </c>
      <c r="E2796" s="1"/>
      <c r="F2796" s="1" t="s">
        <v>187</v>
      </c>
      <c r="G2796">
        <v>2011</v>
      </c>
      <c r="H2796">
        <v>102465.44</v>
      </c>
      <c r="I2796">
        <v>12</v>
      </c>
      <c r="J2796" s="1" t="s">
        <v>538</v>
      </c>
      <c r="K2796">
        <v>0</v>
      </c>
      <c r="L2796">
        <v>2114</v>
      </c>
      <c r="M2796">
        <v>48.467641</v>
      </c>
      <c r="N2796">
        <v>2</v>
      </c>
      <c r="O2796" s="1" t="s">
        <v>569</v>
      </c>
      <c r="P2796">
        <v>102465.44</v>
      </c>
      <c r="Q2796">
        <v>48056.3</v>
      </c>
      <c r="R2796">
        <v>0</v>
      </c>
      <c r="S2796" s="1" t="s">
        <v>1063</v>
      </c>
      <c r="T2796" s="1" t="s">
        <v>1323</v>
      </c>
      <c r="U2796">
        <v>102465.442</v>
      </c>
      <c r="V2796">
        <v>0</v>
      </c>
      <c r="W2796">
        <v>84599</v>
      </c>
    </row>
    <row r="2797" spans="1:23" x14ac:dyDescent="0.25">
      <c r="A2797" s="1" t="s">
        <v>36</v>
      </c>
      <c r="B2797" s="1"/>
      <c r="C2797" s="1" t="s">
        <v>187</v>
      </c>
      <c r="D2797">
        <v>10323</v>
      </c>
      <c r="E2797" s="1"/>
      <c r="F2797" s="1" t="s">
        <v>187</v>
      </c>
      <c r="G2797">
        <v>2010</v>
      </c>
      <c r="H2797">
        <v>99969.58</v>
      </c>
      <c r="I2797">
        <v>12</v>
      </c>
      <c r="J2797" s="1" t="s">
        <v>538</v>
      </c>
      <c r="K2797">
        <v>0</v>
      </c>
      <c r="L2797">
        <v>2114</v>
      </c>
      <c r="M2797">
        <v>47.287063000000003</v>
      </c>
      <c r="N2797">
        <v>2</v>
      </c>
      <c r="O2797" s="1" t="s">
        <v>569</v>
      </c>
      <c r="P2797">
        <v>99969.58</v>
      </c>
      <c r="Q2797">
        <v>46885.74</v>
      </c>
      <c r="R2797">
        <v>0</v>
      </c>
      <c r="S2797" s="1" t="s">
        <v>1063</v>
      </c>
      <c r="T2797" s="1" t="s">
        <v>1323</v>
      </c>
      <c r="U2797">
        <v>99969.591310000003</v>
      </c>
      <c r="V2797">
        <v>0</v>
      </c>
      <c r="W2797">
        <v>84599</v>
      </c>
    </row>
    <row r="2798" spans="1:23" x14ac:dyDescent="0.25">
      <c r="A2798" s="1" t="s">
        <v>36</v>
      </c>
      <c r="B2798" s="1"/>
      <c r="C2798" s="1" t="s">
        <v>187</v>
      </c>
      <c r="D2798">
        <v>10323</v>
      </c>
      <c r="E2798" s="1"/>
      <c r="F2798" s="1" t="s">
        <v>187</v>
      </c>
      <c r="G2798">
        <v>2009</v>
      </c>
      <c r="H2798">
        <v>82447.22</v>
      </c>
      <c r="I2798">
        <v>8</v>
      </c>
      <c r="J2798" s="1" t="s">
        <v>539</v>
      </c>
      <c r="K2798">
        <v>0</v>
      </c>
      <c r="L2798">
        <v>2114</v>
      </c>
      <c r="M2798">
        <v>38.998731999999997</v>
      </c>
      <c r="N2798">
        <v>2</v>
      </c>
      <c r="O2798" s="1" t="s">
        <v>569</v>
      </c>
      <c r="P2798">
        <v>82447.22</v>
      </c>
      <c r="Q2798">
        <v>38667.74</v>
      </c>
      <c r="R2798">
        <v>0</v>
      </c>
      <c r="S2798" s="1" t="s">
        <v>1064</v>
      </c>
      <c r="T2798" s="1"/>
      <c r="U2798">
        <v>82447.222229999999</v>
      </c>
      <c r="V2798">
        <v>0</v>
      </c>
      <c r="W2798">
        <v>77829</v>
      </c>
    </row>
    <row r="2799" spans="1:23" x14ac:dyDescent="0.25">
      <c r="A2799" s="1" t="s">
        <v>36</v>
      </c>
      <c r="B2799" s="1"/>
      <c r="C2799" s="1" t="s">
        <v>187</v>
      </c>
      <c r="D2799">
        <v>10323</v>
      </c>
      <c r="E2799" s="1"/>
      <c r="F2799" s="1" t="s">
        <v>187</v>
      </c>
      <c r="G2799">
        <v>2009</v>
      </c>
      <c r="H2799">
        <v>7666.93</v>
      </c>
      <c r="I2799">
        <v>1</v>
      </c>
      <c r="J2799" s="1" t="s">
        <v>538</v>
      </c>
      <c r="K2799">
        <v>0</v>
      </c>
      <c r="L2799">
        <v>2114</v>
      </c>
      <c r="M2799">
        <v>3.6265689999999999</v>
      </c>
      <c r="N2799">
        <v>2</v>
      </c>
      <c r="O2799" s="1" t="s">
        <v>569</v>
      </c>
      <c r="P2799">
        <v>7666.93</v>
      </c>
      <c r="Q2799">
        <v>3595.8</v>
      </c>
      <c r="R2799">
        <v>0</v>
      </c>
      <c r="S2799" s="1" t="s">
        <v>1063</v>
      </c>
      <c r="T2799" s="1" t="s">
        <v>1323</v>
      </c>
      <c r="U2799">
        <v>7666.9306900000001</v>
      </c>
      <c r="V2799">
        <v>0</v>
      </c>
      <c r="W2799">
        <v>84599</v>
      </c>
    </row>
    <row r="2800" spans="1:23" x14ac:dyDescent="0.25">
      <c r="A2800" s="1" t="s">
        <v>36</v>
      </c>
      <c r="B2800" s="1"/>
      <c r="C2800" s="1" t="s">
        <v>187</v>
      </c>
      <c r="D2800">
        <v>10323</v>
      </c>
      <c r="E2800" s="1"/>
      <c r="F2800" s="1" t="s">
        <v>187</v>
      </c>
      <c r="G2800">
        <v>2008</v>
      </c>
      <c r="H2800">
        <v>114924.07</v>
      </c>
      <c r="I2800">
        <v>12</v>
      </c>
      <c r="J2800" s="1" t="s">
        <v>539</v>
      </c>
      <c r="K2800">
        <v>0</v>
      </c>
      <c r="L2800">
        <v>2114</v>
      </c>
      <c r="M2800">
        <v>54.360753000000003</v>
      </c>
      <c r="N2800">
        <v>2</v>
      </c>
      <c r="O2800" s="1" t="s">
        <v>569</v>
      </c>
      <c r="P2800">
        <v>114924.07</v>
      </c>
      <c r="Q2800">
        <v>53899.38</v>
      </c>
      <c r="R2800">
        <v>0</v>
      </c>
      <c r="S2800" s="1" t="s">
        <v>1064</v>
      </c>
      <c r="T2800" s="1"/>
      <c r="U2800">
        <v>114924.0681</v>
      </c>
      <c r="V2800">
        <v>0</v>
      </c>
      <c r="W2800">
        <v>77829</v>
      </c>
    </row>
    <row r="2801" spans="1:23" x14ac:dyDescent="0.25">
      <c r="A2801" s="1" t="s">
        <v>36</v>
      </c>
      <c r="B2801" s="1" t="s">
        <v>79</v>
      </c>
      <c r="C2801" s="1" t="s">
        <v>188</v>
      </c>
      <c r="D2801">
        <v>13869</v>
      </c>
      <c r="E2801" s="1" t="s">
        <v>79</v>
      </c>
      <c r="F2801" s="1" t="s">
        <v>317</v>
      </c>
      <c r="G2801">
        <v>2015</v>
      </c>
      <c r="H2801">
        <v>247343.13</v>
      </c>
      <c r="I2801">
        <v>5</v>
      </c>
      <c r="J2801" s="1" t="s">
        <v>445</v>
      </c>
      <c r="K2801">
        <v>0</v>
      </c>
      <c r="L2801">
        <v>11569</v>
      </c>
      <c r="M2801">
        <v>21.379633999999999</v>
      </c>
      <c r="N2801">
        <v>2</v>
      </c>
      <c r="O2801" s="1" t="s">
        <v>569</v>
      </c>
      <c r="P2801">
        <v>247343.13</v>
      </c>
      <c r="Q2801">
        <v>74202.95</v>
      </c>
      <c r="R2801">
        <v>0</v>
      </c>
      <c r="S2801" s="1" t="s">
        <v>1065</v>
      </c>
      <c r="T2801" s="1" t="s">
        <v>1324</v>
      </c>
      <c r="U2801">
        <v>247343.13</v>
      </c>
      <c r="V2801">
        <v>0</v>
      </c>
      <c r="W2801">
        <v>92218</v>
      </c>
    </row>
    <row r="2802" spans="1:23" x14ac:dyDescent="0.25">
      <c r="A2802" s="1" t="s">
        <v>36</v>
      </c>
      <c r="B2802" s="1" t="s">
        <v>79</v>
      </c>
      <c r="C2802" s="1" t="s">
        <v>188</v>
      </c>
      <c r="D2802">
        <v>13869</v>
      </c>
      <c r="E2802" s="1" t="s">
        <v>79</v>
      </c>
      <c r="F2802" s="1" t="s">
        <v>317</v>
      </c>
      <c r="G2802">
        <v>2014</v>
      </c>
      <c r="H2802">
        <v>611997.68000000005</v>
      </c>
      <c r="I2802">
        <v>12</v>
      </c>
      <c r="J2802" s="1" t="s">
        <v>445</v>
      </c>
      <c r="K2802">
        <v>0</v>
      </c>
      <c r="L2802">
        <v>11569</v>
      </c>
      <c r="M2802">
        <v>52.899332999999999</v>
      </c>
      <c r="N2802">
        <v>2</v>
      </c>
      <c r="O2802" s="1" t="s">
        <v>569</v>
      </c>
      <c r="P2802">
        <v>611997.68000000005</v>
      </c>
      <c r="Q2802">
        <v>183599.31</v>
      </c>
      <c r="R2802">
        <v>0</v>
      </c>
      <c r="S2802" s="1" t="s">
        <v>1065</v>
      </c>
      <c r="T2802" s="1" t="s">
        <v>1324</v>
      </c>
      <c r="U2802">
        <v>611997.68000000005</v>
      </c>
      <c r="V2802">
        <v>0</v>
      </c>
      <c r="W2802">
        <v>92218</v>
      </c>
    </row>
    <row r="2803" spans="1:23" x14ac:dyDescent="0.25">
      <c r="A2803" s="1" t="s">
        <v>36</v>
      </c>
      <c r="B2803" s="1" t="s">
        <v>79</v>
      </c>
      <c r="C2803" s="1" t="s">
        <v>188</v>
      </c>
      <c r="D2803">
        <v>13869</v>
      </c>
      <c r="E2803" s="1" t="s">
        <v>79</v>
      </c>
      <c r="F2803" s="1" t="s">
        <v>317</v>
      </c>
      <c r="G2803">
        <v>2013</v>
      </c>
      <c r="H2803">
        <v>501064.93</v>
      </c>
      <c r="I2803">
        <v>11</v>
      </c>
      <c r="J2803" s="1" t="s">
        <v>445</v>
      </c>
      <c r="K2803">
        <v>0</v>
      </c>
      <c r="L2803">
        <v>11569</v>
      </c>
      <c r="M2803">
        <v>43.310623</v>
      </c>
      <c r="N2803">
        <v>2</v>
      </c>
      <c r="O2803" s="1" t="s">
        <v>569</v>
      </c>
      <c r="P2803">
        <v>501064.93</v>
      </c>
      <c r="Q2803">
        <v>150319.49</v>
      </c>
      <c r="R2803">
        <v>0</v>
      </c>
      <c r="S2803" s="1" t="s">
        <v>1065</v>
      </c>
      <c r="T2803" s="1" t="s">
        <v>1324</v>
      </c>
      <c r="U2803">
        <v>501064.93</v>
      </c>
      <c r="V2803">
        <v>0</v>
      </c>
      <c r="W2803">
        <v>92218</v>
      </c>
    </row>
    <row r="2804" spans="1:23" x14ac:dyDescent="0.25">
      <c r="A2804" s="1" t="s">
        <v>36</v>
      </c>
      <c r="B2804" s="1" t="s">
        <v>79</v>
      </c>
      <c r="C2804" s="1" t="s">
        <v>188</v>
      </c>
      <c r="D2804">
        <v>13869</v>
      </c>
      <c r="E2804" s="1" t="s">
        <v>79</v>
      </c>
      <c r="F2804" s="1" t="s">
        <v>317</v>
      </c>
      <c r="G2804">
        <v>2013</v>
      </c>
      <c r="H2804">
        <v>114054.19</v>
      </c>
      <c r="I2804">
        <v>1</v>
      </c>
      <c r="J2804" s="1" t="s">
        <v>540</v>
      </c>
      <c r="K2804">
        <v>0</v>
      </c>
      <c r="L2804">
        <v>11569</v>
      </c>
      <c r="M2804">
        <v>9.8585180000000001</v>
      </c>
      <c r="N2804">
        <v>2</v>
      </c>
      <c r="O2804" s="1" t="s">
        <v>569</v>
      </c>
      <c r="P2804">
        <v>114054.19</v>
      </c>
      <c r="Q2804">
        <v>34216.26</v>
      </c>
      <c r="R2804">
        <v>0</v>
      </c>
      <c r="S2804" s="1" t="s">
        <v>577</v>
      </c>
      <c r="T2804" s="1"/>
      <c r="U2804">
        <v>114054.19355</v>
      </c>
      <c r="V2804">
        <v>0</v>
      </c>
      <c r="W2804">
        <v>94101</v>
      </c>
    </row>
    <row r="2805" spans="1:23" x14ac:dyDescent="0.25">
      <c r="A2805" s="1" t="s">
        <v>36</v>
      </c>
      <c r="B2805" s="1" t="s">
        <v>79</v>
      </c>
      <c r="C2805" s="1" t="s">
        <v>188</v>
      </c>
      <c r="D2805">
        <v>13869</v>
      </c>
      <c r="E2805" s="1" t="s">
        <v>79</v>
      </c>
      <c r="F2805" s="1" t="s">
        <v>317</v>
      </c>
      <c r="G2805">
        <v>2012</v>
      </c>
      <c r="H2805">
        <v>640848.92000000004</v>
      </c>
      <c r="I2805">
        <v>1</v>
      </c>
      <c r="J2805" s="1" t="s">
        <v>540</v>
      </c>
      <c r="K2805">
        <v>0</v>
      </c>
      <c r="L2805">
        <v>11569</v>
      </c>
      <c r="M2805">
        <v>55.393152000000001</v>
      </c>
      <c r="N2805">
        <v>2</v>
      </c>
      <c r="O2805" s="1" t="s">
        <v>569</v>
      </c>
      <c r="P2805">
        <v>640848.92000000004</v>
      </c>
      <c r="Q2805">
        <v>256339.57</v>
      </c>
      <c r="R2805">
        <v>0</v>
      </c>
      <c r="S2805" s="1" t="s">
        <v>577</v>
      </c>
      <c r="T2805" s="1"/>
      <c r="U2805">
        <v>640848.92434000003</v>
      </c>
      <c r="V2805">
        <v>0</v>
      </c>
      <c r="W2805">
        <v>94101</v>
      </c>
    </row>
    <row r="2806" spans="1:23" x14ac:dyDescent="0.25">
      <c r="A2806" s="1" t="s">
        <v>36</v>
      </c>
      <c r="B2806" s="1" t="s">
        <v>79</v>
      </c>
      <c r="C2806" s="1" t="s">
        <v>188</v>
      </c>
      <c r="D2806">
        <v>13869</v>
      </c>
      <c r="E2806" s="1" t="s">
        <v>79</v>
      </c>
      <c r="F2806" s="1" t="s">
        <v>317</v>
      </c>
      <c r="G2806">
        <v>2011</v>
      </c>
      <c r="H2806">
        <v>20180.77</v>
      </c>
      <c r="I2806">
        <v>1</v>
      </c>
      <c r="J2806" s="1" t="s">
        <v>541</v>
      </c>
      <c r="K2806">
        <v>0</v>
      </c>
      <c r="L2806">
        <v>11569</v>
      </c>
      <c r="M2806">
        <v>1.7443679999999999</v>
      </c>
      <c r="N2806">
        <v>2</v>
      </c>
      <c r="O2806" s="1" t="s">
        <v>569</v>
      </c>
      <c r="P2806">
        <v>20180.77</v>
      </c>
      <c r="Q2806">
        <v>9464.7800000000007</v>
      </c>
      <c r="R2806">
        <v>0</v>
      </c>
      <c r="S2806" s="1" t="s">
        <v>577</v>
      </c>
      <c r="T2806" s="1"/>
      <c r="U2806">
        <v>20180.769230000002</v>
      </c>
      <c r="V2806">
        <v>0</v>
      </c>
      <c r="W2806">
        <v>94102</v>
      </c>
    </row>
    <row r="2807" spans="1:23" x14ac:dyDescent="0.25">
      <c r="A2807" s="1" t="s">
        <v>36</v>
      </c>
      <c r="B2807" s="1" t="s">
        <v>79</v>
      </c>
      <c r="C2807" s="1" t="s">
        <v>188</v>
      </c>
      <c r="D2807">
        <v>13869</v>
      </c>
      <c r="E2807" s="1" t="s">
        <v>79</v>
      </c>
      <c r="F2807" s="1" t="s">
        <v>317</v>
      </c>
      <c r="G2807">
        <v>2011</v>
      </c>
      <c r="H2807">
        <v>613576.9</v>
      </c>
      <c r="I2807">
        <v>2</v>
      </c>
      <c r="J2807" s="1" t="s">
        <v>540</v>
      </c>
      <c r="K2807">
        <v>0</v>
      </c>
      <c r="L2807">
        <v>11569</v>
      </c>
      <c r="M2807">
        <v>53.035836000000003</v>
      </c>
      <c r="N2807">
        <v>2</v>
      </c>
      <c r="O2807" s="1" t="s">
        <v>569</v>
      </c>
      <c r="P2807">
        <v>613576.9</v>
      </c>
      <c r="Q2807">
        <v>287767.55</v>
      </c>
      <c r="R2807">
        <v>0</v>
      </c>
      <c r="S2807" s="1" t="s">
        <v>577</v>
      </c>
      <c r="T2807" s="1"/>
      <c r="U2807">
        <v>613576.88214999996</v>
      </c>
      <c r="V2807">
        <v>0</v>
      </c>
      <c r="W2807">
        <v>94101</v>
      </c>
    </row>
    <row r="2808" spans="1:23" x14ac:dyDescent="0.25">
      <c r="A2808" s="1" t="s">
        <v>36</v>
      </c>
      <c r="B2808" s="1" t="s">
        <v>79</v>
      </c>
      <c r="C2808" s="1" t="s">
        <v>188</v>
      </c>
      <c r="D2808">
        <v>13869</v>
      </c>
      <c r="E2808" s="1" t="s">
        <v>79</v>
      </c>
      <c r="F2808" s="1" t="s">
        <v>317</v>
      </c>
      <c r="G2808">
        <v>2010</v>
      </c>
      <c r="H2808">
        <v>695505.5</v>
      </c>
      <c r="I2808">
        <v>1</v>
      </c>
      <c r="J2808" s="1" t="s">
        <v>541</v>
      </c>
      <c r="K2808">
        <v>0</v>
      </c>
      <c r="L2808">
        <v>11569</v>
      </c>
      <c r="M2808">
        <v>60.117511</v>
      </c>
      <c r="N2808">
        <v>2</v>
      </c>
      <c r="O2808" s="1" t="s">
        <v>569</v>
      </c>
      <c r="P2808">
        <v>695505.5</v>
      </c>
      <c r="Q2808">
        <v>326192.11</v>
      </c>
      <c r="R2808">
        <v>0</v>
      </c>
      <c r="S2808" s="1" t="s">
        <v>577</v>
      </c>
      <c r="T2808" s="1"/>
      <c r="U2808">
        <v>695505.53212999995</v>
      </c>
      <c r="V2808">
        <v>0</v>
      </c>
      <c r="W2808">
        <v>94102</v>
      </c>
    </row>
    <row r="2809" spans="1:23" x14ac:dyDescent="0.25">
      <c r="A2809" s="1" t="s">
        <v>36</v>
      </c>
      <c r="B2809" s="1" t="s">
        <v>79</v>
      </c>
      <c r="C2809" s="1" t="s">
        <v>188</v>
      </c>
      <c r="D2809">
        <v>13869</v>
      </c>
      <c r="E2809" s="1" t="s">
        <v>79</v>
      </c>
      <c r="F2809" s="1" t="s">
        <v>317</v>
      </c>
      <c r="G2809">
        <v>2009</v>
      </c>
      <c r="H2809">
        <v>656511.49</v>
      </c>
      <c r="I2809">
        <v>1</v>
      </c>
      <c r="J2809" s="1" t="s">
        <v>541</v>
      </c>
      <c r="K2809">
        <v>0</v>
      </c>
      <c r="L2809">
        <v>11569</v>
      </c>
      <c r="M2809">
        <v>56.746980000000001</v>
      </c>
      <c r="N2809">
        <v>2</v>
      </c>
      <c r="O2809" s="1" t="s">
        <v>569</v>
      </c>
      <c r="P2809">
        <v>656511.49</v>
      </c>
      <c r="Q2809">
        <v>307903.90000000002</v>
      </c>
      <c r="R2809">
        <v>0</v>
      </c>
      <c r="S2809" s="1" t="s">
        <v>577</v>
      </c>
      <c r="T2809" s="1"/>
      <c r="U2809">
        <v>656511.50687000004</v>
      </c>
      <c r="V2809">
        <v>0</v>
      </c>
      <c r="W2809">
        <v>94102</v>
      </c>
    </row>
    <row r="2810" spans="1:23" x14ac:dyDescent="0.25">
      <c r="A2810" s="1" t="s">
        <v>36</v>
      </c>
      <c r="B2810" s="1" t="s">
        <v>79</v>
      </c>
      <c r="C2810" s="1" t="s">
        <v>188</v>
      </c>
      <c r="D2810">
        <v>13869</v>
      </c>
      <c r="E2810" s="1" t="s">
        <v>79</v>
      </c>
      <c r="F2810" s="1" t="s">
        <v>317</v>
      </c>
      <c r="G2810">
        <v>2008</v>
      </c>
      <c r="H2810">
        <v>647921.81000000006</v>
      </c>
      <c r="I2810">
        <v>1</v>
      </c>
      <c r="J2810" s="1" t="s">
        <v>541</v>
      </c>
      <c r="K2810">
        <v>0</v>
      </c>
      <c r="L2810">
        <v>11569</v>
      </c>
      <c r="M2810">
        <v>56.004511999999998</v>
      </c>
      <c r="N2810">
        <v>2</v>
      </c>
      <c r="O2810" s="1" t="s">
        <v>569</v>
      </c>
      <c r="P2810">
        <v>647921.81000000006</v>
      </c>
      <c r="Q2810">
        <v>303875.34999999998</v>
      </c>
      <c r="R2810">
        <v>0</v>
      </c>
      <c r="S2810" s="1" t="s">
        <v>577</v>
      </c>
      <c r="T2810" s="1"/>
      <c r="U2810">
        <v>647921.84857000003</v>
      </c>
      <c r="V2810">
        <v>0</v>
      </c>
      <c r="W2810">
        <v>94102</v>
      </c>
    </row>
    <row r="2811" spans="1:23" x14ac:dyDescent="0.25">
      <c r="A2811" s="1" t="s">
        <v>36</v>
      </c>
      <c r="B2811" s="1"/>
      <c r="C2811" s="1" t="s">
        <v>189</v>
      </c>
      <c r="D2811">
        <v>9951</v>
      </c>
      <c r="E2811" s="1"/>
      <c r="F2811" s="1" t="s">
        <v>381</v>
      </c>
      <c r="G2811">
        <v>2014</v>
      </c>
      <c r="H2811">
        <v>3402.05</v>
      </c>
      <c r="I2811">
        <v>3</v>
      </c>
      <c r="J2811" s="1" t="s">
        <v>414</v>
      </c>
      <c r="K2811">
        <v>0</v>
      </c>
      <c r="L2811">
        <v>0</v>
      </c>
      <c r="M2811">
        <v>34020.5</v>
      </c>
      <c r="N2811">
        <v>2</v>
      </c>
      <c r="O2811" s="1" t="s">
        <v>569</v>
      </c>
      <c r="P2811">
        <v>3402.05</v>
      </c>
      <c r="Q2811">
        <v>1020.61</v>
      </c>
      <c r="R2811">
        <v>0</v>
      </c>
      <c r="S2811" s="1" t="s">
        <v>1066</v>
      </c>
      <c r="T2811" s="1" t="s">
        <v>1325</v>
      </c>
      <c r="U2811">
        <v>3402.0581499999998</v>
      </c>
      <c r="V2811">
        <v>0</v>
      </c>
      <c r="W2811">
        <v>76303</v>
      </c>
    </row>
    <row r="2812" spans="1:23" x14ac:dyDescent="0.25">
      <c r="A2812" s="1" t="s">
        <v>36</v>
      </c>
      <c r="B2812" s="1"/>
      <c r="C2812" s="1" t="s">
        <v>189</v>
      </c>
      <c r="D2812">
        <v>9951</v>
      </c>
      <c r="E2812" s="1"/>
      <c r="F2812" s="1" t="s">
        <v>381</v>
      </c>
      <c r="G2812">
        <v>2013</v>
      </c>
      <c r="H2812">
        <v>3635.68</v>
      </c>
      <c r="I2812">
        <v>7</v>
      </c>
      <c r="J2812" s="1" t="s">
        <v>414</v>
      </c>
      <c r="K2812">
        <v>0</v>
      </c>
      <c r="L2812">
        <v>0</v>
      </c>
      <c r="M2812">
        <v>36356.800000000003</v>
      </c>
      <c r="N2812">
        <v>2</v>
      </c>
      <c r="O2812" s="1" t="s">
        <v>569</v>
      </c>
      <c r="P2812">
        <v>3635.68</v>
      </c>
      <c r="Q2812">
        <v>1090.7</v>
      </c>
      <c r="R2812">
        <v>0</v>
      </c>
      <c r="S2812" s="1" t="s">
        <v>1066</v>
      </c>
      <c r="T2812" s="1" t="s">
        <v>1325</v>
      </c>
      <c r="U2812">
        <v>3635.6618400000002</v>
      </c>
      <c r="V2812">
        <v>0</v>
      </c>
      <c r="W2812">
        <v>76303</v>
      </c>
    </row>
    <row r="2813" spans="1:23" x14ac:dyDescent="0.25">
      <c r="A2813" s="1" t="s">
        <v>36</v>
      </c>
      <c r="B2813" s="1"/>
      <c r="C2813" s="1" t="s">
        <v>189</v>
      </c>
      <c r="D2813">
        <v>9951</v>
      </c>
      <c r="E2813" s="1"/>
      <c r="F2813" s="1" t="s">
        <v>381</v>
      </c>
      <c r="G2813">
        <v>2012</v>
      </c>
      <c r="H2813">
        <v>4167.2299999999996</v>
      </c>
      <c r="I2813">
        <v>5</v>
      </c>
      <c r="J2813" s="1" t="s">
        <v>414</v>
      </c>
      <c r="K2813">
        <v>0</v>
      </c>
      <c r="L2813">
        <v>0</v>
      </c>
      <c r="M2813">
        <v>41672.300000000003</v>
      </c>
      <c r="N2813">
        <v>2</v>
      </c>
      <c r="O2813" s="1" t="s">
        <v>569</v>
      </c>
      <c r="P2813">
        <v>4167.2299999999996</v>
      </c>
      <c r="Q2813">
        <v>1666.89</v>
      </c>
      <c r="R2813">
        <v>0</v>
      </c>
      <c r="S2813" s="1" t="s">
        <v>1066</v>
      </c>
      <c r="T2813" s="1" t="s">
        <v>1325</v>
      </c>
      <c r="U2813">
        <v>4167.2211600000001</v>
      </c>
      <c r="V2813">
        <v>0</v>
      </c>
      <c r="W2813">
        <v>76303</v>
      </c>
    </row>
    <row r="2814" spans="1:23" x14ac:dyDescent="0.25">
      <c r="A2814" s="1" t="s">
        <v>36</v>
      </c>
      <c r="B2814" s="1"/>
      <c r="C2814" s="1" t="s">
        <v>189</v>
      </c>
      <c r="D2814">
        <v>9951</v>
      </c>
      <c r="E2814" s="1"/>
      <c r="F2814" s="1" t="s">
        <v>381</v>
      </c>
      <c r="G2814">
        <v>2011</v>
      </c>
      <c r="H2814">
        <v>4095.25</v>
      </c>
      <c r="I2814">
        <v>4</v>
      </c>
      <c r="J2814" s="1" t="s">
        <v>414</v>
      </c>
      <c r="K2814">
        <v>0</v>
      </c>
      <c r="L2814">
        <v>0</v>
      </c>
      <c r="M2814">
        <v>40952.5</v>
      </c>
      <c r="N2814">
        <v>2</v>
      </c>
      <c r="O2814" s="1" t="s">
        <v>569</v>
      </c>
      <c r="P2814">
        <v>4095.25</v>
      </c>
      <c r="Q2814">
        <v>1920.68</v>
      </c>
      <c r="R2814">
        <v>0</v>
      </c>
      <c r="S2814" s="1" t="s">
        <v>1066</v>
      </c>
      <c r="T2814" s="1" t="s">
        <v>1325</v>
      </c>
      <c r="U2814">
        <v>4095.2352999999998</v>
      </c>
      <c r="V2814">
        <v>0</v>
      </c>
      <c r="W2814">
        <v>76303</v>
      </c>
    </row>
    <row r="2815" spans="1:23" x14ac:dyDescent="0.25">
      <c r="A2815" s="1" t="s">
        <v>36</v>
      </c>
      <c r="B2815" s="1"/>
      <c r="C2815" s="1" t="s">
        <v>189</v>
      </c>
      <c r="D2815">
        <v>9951</v>
      </c>
      <c r="E2815" s="1"/>
      <c r="F2815" s="1" t="s">
        <v>381</v>
      </c>
      <c r="G2815">
        <v>2010</v>
      </c>
      <c r="H2815">
        <v>3534.62</v>
      </c>
      <c r="I2815">
        <v>4</v>
      </c>
      <c r="J2815" s="1" t="s">
        <v>414</v>
      </c>
      <c r="K2815">
        <v>0</v>
      </c>
      <c r="L2815">
        <v>0</v>
      </c>
      <c r="M2815">
        <v>35346.199999999997</v>
      </c>
      <c r="N2815">
        <v>2</v>
      </c>
      <c r="O2815" s="1" t="s">
        <v>569</v>
      </c>
      <c r="P2815">
        <v>3534.62</v>
      </c>
      <c r="Q2815">
        <v>1657.75</v>
      </c>
      <c r="R2815">
        <v>0</v>
      </c>
      <c r="S2815" s="1" t="s">
        <v>1066</v>
      </c>
      <c r="T2815" s="1" t="s">
        <v>1325</v>
      </c>
      <c r="U2815">
        <v>3534.6261399999999</v>
      </c>
      <c r="V2815">
        <v>0</v>
      </c>
      <c r="W2815">
        <v>76303</v>
      </c>
    </row>
    <row r="2816" spans="1:23" x14ac:dyDescent="0.25">
      <c r="A2816" s="1" t="s">
        <v>36</v>
      </c>
      <c r="B2816" s="1"/>
      <c r="C2816" s="1" t="s">
        <v>189</v>
      </c>
      <c r="D2816">
        <v>9951</v>
      </c>
      <c r="E2816" s="1"/>
      <c r="F2816" s="1" t="s">
        <v>381</v>
      </c>
      <c r="G2816">
        <v>2009</v>
      </c>
      <c r="H2816">
        <v>3401.52</v>
      </c>
      <c r="I2816">
        <v>7</v>
      </c>
      <c r="J2816" s="1" t="s">
        <v>414</v>
      </c>
      <c r="K2816">
        <v>0</v>
      </c>
      <c r="L2816">
        <v>0</v>
      </c>
      <c r="M2816">
        <v>34015.199999999997</v>
      </c>
      <c r="N2816">
        <v>2</v>
      </c>
      <c r="O2816" s="1" t="s">
        <v>569</v>
      </c>
      <c r="P2816">
        <v>3401.52</v>
      </c>
      <c r="Q2816">
        <v>1595.32</v>
      </c>
      <c r="R2816">
        <v>0</v>
      </c>
      <c r="S2816" s="1" t="s">
        <v>1066</v>
      </c>
      <c r="T2816" s="1" t="s">
        <v>1325</v>
      </c>
      <c r="U2816">
        <v>3401.5307200000002</v>
      </c>
      <c r="V2816">
        <v>0</v>
      </c>
      <c r="W2816">
        <v>76303</v>
      </c>
    </row>
    <row r="2817" spans="1:23" x14ac:dyDescent="0.25">
      <c r="A2817" s="1" t="s">
        <v>36</v>
      </c>
      <c r="B2817" s="1"/>
      <c r="C2817" s="1" t="s">
        <v>189</v>
      </c>
      <c r="D2817">
        <v>9951</v>
      </c>
      <c r="E2817" s="1"/>
      <c r="F2817" s="1" t="s">
        <v>381</v>
      </c>
      <c r="G2817">
        <v>2008</v>
      </c>
      <c r="H2817">
        <v>3328.23</v>
      </c>
      <c r="I2817">
        <v>9</v>
      </c>
      <c r="J2817" s="1" t="s">
        <v>414</v>
      </c>
      <c r="K2817">
        <v>0</v>
      </c>
      <c r="L2817">
        <v>0</v>
      </c>
      <c r="M2817">
        <v>33282.300000000003</v>
      </c>
      <c r="N2817">
        <v>2</v>
      </c>
      <c r="O2817" s="1" t="s">
        <v>569</v>
      </c>
      <c r="P2817">
        <v>3328.23</v>
      </c>
      <c r="Q2817">
        <v>1560.94</v>
      </c>
      <c r="R2817">
        <v>0</v>
      </c>
      <c r="S2817" s="1" t="s">
        <v>1066</v>
      </c>
      <c r="T2817" s="1" t="s">
        <v>1325</v>
      </c>
      <c r="U2817">
        <v>3328.21506</v>
      </c>
      <c r="V2817">
        <v>0</v>
      </c>
      <c r="W2817">
        <v>76303</v>
      </c>
    </row>
    <row r="2818" spans="1:23" x14ac:dyDescent="0.25">
      <c r="A2818" s="1" t="s">
        <v>36</v>
      </c>
      <c r="B2818" s="1"/>
      <c r="C2818" s="1" t="s">
        <v>189</v>
      </c>
      <c r="D2818">
        <v>9520</v>
      </c>
      <c r="E2818" s="1"/>
      <c r="F2818" s="1" t="s">
        <v>318</v>
      </c>
      <c r="G2818">
        <v>2015</v>
      </c>
      <c r="H2818">
        <v>27557.58</v>
      </c>
      <c r="I2818">
        <v>5</v>
      </c>
      <c r="J2818" s="1"/>
      <c r="K2818">
        <v>0</v>
      </c>
      <c r="L2818">
        <v>1935</v>
      </c>
      <c r="M2818">
        <v>14.240907</v>
      </c>
      <c r="N2818">
        <v>2</v>
      </c>
      <c r="O2818" s="1" t="s">
        <v>569</v>
      </c>
      <c r="P2818">
        <v>27557.58</v>
      </c>
      <c r="Q2818">
        <v>8267.26</v>
      </c>
      <c r="R2818">
        <v>0</v>
      </c>
      <c r="S2818" s="1" t="s">
        <v>1067</v>
      </c>
      <c r="T2818" s="1" t="s">
        <v>1326</v>
      </c>
      <c r="U2818">
        <v>27557.58</v>
      </c>
      <c r="V2818">
        <v>0</v>
      </c>
      <c r="W2818">
        <v>74434</v>
      </c>
    </row>
    <row r="2819" spans="1:23" x14ac:dyDescent="0.25">
      <c r="A2819" s="1" t="s">
        <v>36</v>
      </c>
      <c r="B2819" s="1"/>
      <c r="C2819" s="1" t="s">
        <v>189</v>
      </c>
      <c r="D2819">
        <v>9520</v>
      </c>
      <c r="E2819" s="1"/>
      <c r="F2819" s="1" t="s">
        <v>318</v>
      </c>
      <c r="G2819">
        <v>2014</v>
      </c>
      <c r="H2819">
        <v>69134.87</v>
      </c>
      <c r="I2819">
        <v>12</v>
      </c>
      <c r="J2819" s="1"/>
      <c r="K2819">
        <v>0</v>
      </c>
      <c r="L2819">
        <v>1935</v>
      </c>
      <c r="M2819">
        <v>35.726768</v>
      </c>
      <c r="N2819">
        <v>2</v>
      </c>
      <c r="O2819" s="1" t="s">
        <v>569</v>
      </c>
      <c r="P2819">
        <v>69134.87</v>
      </c>
      <c r="Q2819">
        <v>20740.45</v>
      </c>
      <c r="R2819">
        <v>0</v>
      </c>
      <c r="S2819" s="1" t="s">
        <v>1067</v>
      </c>
      <c r="T2819" s="1" t="s">
        <v>1326</v>
      </c>
      <c r="U2819">
        <v>69134.868000000002</v>
      </c>
      <c r="V2819">
        <v>0</v>
      </c>
      <c r="W2819">
        <v>74434</v>
      </c>
    </row>
    <row r="2820" spans="1:23" x14ac:dyDescent="0.25">
      <c r="A2820" s="1" t="s">
        <v>36</v>
      </c>
      <c r="B2820" s="1"/>
      <c r="C2820" s="1" t="s">
        <v>189</v>
      </c>
      <c r="D2820">
        <v>9520</v>
      </c>
      <c r="E2820" s="1"/>
      <c r="F2820" s="1" t="s">
        <v>318</v>
      </c>
      <c r="G2820">
        <v>2013</v>
      </c>
      <c r="H2820">
        <v>76199.72</v>
      </c>
      <c r="I2820">
        <v>12</v>
      </c>
      <c r="J2820" s="1"/>
      <c r="K2820">
        <v>0</v>
      </c>
      <c r="L2820">
        <v>1935</v>
      </c>
      <c r="M2820">
        <v>39.377665</v>
      </c>
      <c r="N2820">
        <v>2</v>
      </c>
      <c r="O2820" s="1" t="s">
        <v>569</v>
      </c>
      <c r="P2820">
        <v>76199.72</v>
      </c>
      <c r="Q2820">
        <v>22859.919999999998</v>
      </c>
      <c r="R2820">
        <v>0</v>
      </c>
      <c r="S2820" s="1" t="s">
        <v>1067</v>
      </c>
      <c r="T2820" s="1" t="s">
        <v>1326</v>
      </c>
      <c r="U2820">
        <v>76199.717999999993</v>
      </c>
      <c r="V2820">
        <v>0</v>
      </c>
      <c r="W2820">
        <v>74434</v>
      </c>
    </row>
    <row r="2821" spans="1:23" x14ac:dyDescent="0.25">
      <c r="A2821" s="1" t="s">
        <v>36</v>
      </c>
      <c r="B2821" s="1"/>
      <c r="C2821" s="1" t="s">
        <v>189</v>
      </c>
      <c r="D2821">
        <v>9520</v>
      </c>
      <c r="E2821" s="1"/>
      <c r="F2821" s="1" t="s">
        <v>318</v>
      </c>
      <c r="G2821">
        <v>2012</v>
      </c>
      <c r="H2821">
        <v>83634.899999999994</v>
      </c>
      <c r="I2821">
        <v>12</v>
      </c>
      <c r="J2821" s="1"/>
      <c r="K2821">
        <v>0</v>
      </c>
      <c r="L2821">
        <v>1935</v>
      </c>
      <c r="M2821">
        <v>43.219935999999997</v>
      </c>
      <c r="N2821">
        <v>2</v>
      </c>
      <c r="O2821" s="1" t="s">
        <v>569</v>
      </c>
      <c r="P2821">
        <v>83634.899999999994</v>
      </c>
      <c r="Q2821">
        <v>33453.96</v>
      </c>
      <c r="R2821">
        <v>0</v>
      </c>
      <c r="S2821" s="1" t="s">
        <v>1067</v>
      </c>
      <c r="T2821" s="1" t="s">
        <v>1326</v>
      </c>
      <c r="U2821">
        <v>83634.906000000003</v>
      </c>
      <c r="V2821">
        <v>0</v>
      </c>
      <c r="W2821">
        <v>74434</v>
      </c>
    </row>
    <row r="2822" spans="1:23" x14ac:dyDescent="0.25">
      <c r="A2822" s="1" t="s">
        <v>36</v>
      </c>
      <c r="B2822" s="1"/>
      <c r="C2822" s="1" t="s">
        <v>189</v>
      </c>
      <c r="D2822">
        <v>9520</v>
      </c>
      <c r="E2822" s="1"/>
      <c r="F2822" s="1" t="s">
        <v>318</v>
      </c>
      <c r="G2822">
        <v>2011</v>
      </c>
      <c r="H2822">
        <v>77189.97</v>
      </c>
      <c r="I2822">
        <v>12</v>
      </c>
      <c r="J2822" s="1"/>
      <c r="K2822">
        <v>0</v>
      </c>
      <c r="L2822">
        <v>1935</v>
      </c>
      <c r="M2822">
        <v>39.889395</v>
      </c>
      <c r="N2822">
        <v>2</v>
      </c>
      <c r="O2822" s="1" t="s">
        <v>569</v>
      </c>
      <c r="P2822">
        <v>77189.97</v>
      </c>
      <c r="Q2822">
        <v>36202.080000000002</v>
      </c>
      <c r="R2822">
        <v>0</v>
      </c>
      <c r="S2822" s="1" t="s">
        <v>1067</v>
      </c>
      <c r="T2822" s="1" t="s">
        <v>1326</v>
      </c>
      <c r="U2822">
        <v>77189.964000000007</v>
      </c>
      <c r="V2822">
        <v>0</v>
      </c>
      <c r="W2822">
        <v>74434</v>
      </c>
    </row>
    <row r="2823" spans="1:23" x14ac:dyDescent="0.25">
      <c r="A2823" s="1" t="s">
        <v>36</v>
      </c>
      <c r="B2823" s="1"/>
      <c r="C2823" s="1" t="s">
        <v>189</v>
      </c>
      <c r="D2823">
        <v>9520</v>
      </c>
      <c r="E2823" s="1"/>
      <c r="F2823" s="1" t="s">
        <v>318</v>
      </c>
      <c r="G2823">
        <v>2010</v>
      </c>
      <c r="H2823">
        <v>84537.99</v>
      </c>
      <c r="I2823">
        <v>12</v>
      </c>
      <c r="J2823" s="1"/>
      <c r="K2823">
        <v>0</v>
      </c>
      <c r="L2823">
        <v>1935</v>
      </c>
      <c r="M2823">
        <v>43.686625999999997</v>
      </c>
      <c r="N2823">
        <v>2</v>
      </c>
      <c r="O2823" s="1" t="s">
        <v>569</v>
      </c>
      <c r="P2823">
        <v>84537.99</v>
      </c>
      <c r="Q2823">
        <v>39648.32</v>
      </c>
      <c r="R2823">
        <v>0</v>
      </c>
      <c r="S2823" s="1" t="s">
        <v>1067</v>
      </c>
      <c r="T2823" s="1" t="s">
        <v>1326</v>
      </c>
      <c r="U2823">
        <v>84537.983999999997</v>
      </c>
      <c r="V2823">
        <v>0</v>
      </c>
      <c r="W2823">
        <v>74434</v>
      </c>
    </row>
    <row r="2824" spans="1:23" x14ac:dyDescent="0.25">
      <c r="A2824" s="1" t="s">
        <v>36</v>
      </c>
      <c r="B2824" s="1"/>
      <c r="C2824" s="1" t="s">
        <v>189</v>
      </c>
      <c r="D2824">
        <v>9520</v>
      </c>
      <c r="E2824" s="1"/>
      <c r="F2824" s="1" t="s">
        <v>318</v>
      </c>
      <c r="G2824">
        <v>2009</v>
      </c>
      <c r="H2824">
        <v>84442.43</v>
      </c>
      <c r="I2824">
        <v>12</v>
      </c>
      <c r="J2824" s="1"/>
      <c r="K2824">
        <v>0</v>
      </c>
      <c r="L2824">
        <v>1935</v>
      </c>
      <c r="M2824">
        <v>43.637242999999998</v>
      </c>
      <c r="N2824">
        <v>2</v>
      </c>
      <c r="O2824" s="1" t="s">
        <v>569</v>
      </c>
      <c r="P2824">
        <v>84442.43</v>
      </c>
      <c r="Q2824">
        <v>39603.5</v>
      </c>
      <c r="R2824">
        <v>0</v>
      </c>
      <c r="S2824" s="1" t="s">
        <v>1067</v>
      </c>
      <c r="T2824" s="1" t="s">
        <v>1326</v>
      </c>
      <c r="U2824">
        <v>84442.422000000006</v>
      </c>
      <c r="V2824">
        <v>0</v>
      </c>
      <c r="W2824">
        <v>74434</v>
      </c>
    </row>
    <row r="2825" spans="1:23" x14ac:dyDescent="0.25">
      <c r="A2825" s="1" t="s">
        <v>36</v>
      </c>
      <c r="B2825" s="1"/>
      <c r="C2825" s="1" t="s">
        <v>189</v>
      </c>
      <c r="D2825">
        <v>9520</v>
      </c>
      <c r="E2825" s="1"/>
      <c r="F2825" s="1" t="s">
        <v>318</v>
      </c>
      <c r="G2825">
        <v>2008</v>
      </c>
      <c r="H2825">
        <v>90784.09</v>
      </c>
      <c r="I2825">
        <v>12</v>
      </c>
      <c r="J2825" s="1"/>
      <c r="K2825">
        <v>0</v>
      </c>
      <c r="L2825">
        <v>1935</v>
      </c>
      <c r="M2825">
        <v>46.914417</v>
      </c>
      <c r="N2825">
        <v>2</v>
      </c>
      <c r="O2825" s="1" t="s">
        <v>569</v>
      </c>
      <c r="P2825">
        <v>90784.09</v>
      </c>
      <c r="Q2825">
        <v>42577.74</v>
      </c>
      <c r="R2825">
        <v>0</v>
      </c>
      <c r="S2825" s="1" t="s">
        <v>1067</v>
      </c>
      <c r="T2825" s="1" t="s">
        <v>1326</v>
      </c>
      <c r="U2825">
        <v>90784.092000000004</v>
      </c>
      <c r="V2825">
        <v>0</v>
      </c>
      <c r="W2825">
        <v>74434</v>
      </c>
    </row>
    <row r="2826" spans="1:23" x14ac:dyDescent="0.25">
      <c r="A2826" s="1" t="s">
        <v>36</v>
      </c>
      <c r="B2826" s="1"/>
      <c r="C2826" s="1" t="s">
        <v>189</v>
      </c>
      <c r="D2826">
        <v>10149</v>
      </c>
      <c r="E2826" s="1"/>
      <c r="F2826" s="1" t="s">
        <v>382</v>
      </c>
      <c r="G2826">
        <v>2014</v>
      </c>
      <c r="H2826">
        <v>593.02</v>
      </c>
      <c r="I2826">
        <v>2</v>
      </c>
      <c r="J2826" s="1" t="s">
        <v>542</v>
      </c>
      <c r="K2826">
        <v>0</v>
      </c>
      <c r="L2826">
        <v>0</v>
      </c>
      <c r="M2826">
        <v>5930.2</v>
      </c>
      <c r="N2826">
        <v>2</v>
      </c>
      <c r="O2826" s="1" t="s">
        <v>569</v>
      </c>
      <c r="P2826">
        <v>593.02</v>
      </c>
      <c r="Q2826">
        <v>177.9</v>
      </c>
      <c r="R2826">
        <v>0</v>
      </c>
      <c r="S2826" s="1"/>
      <c r="T2826" s="1"/>
      <c r="U2826">
        <v>593.02327000000002</v>
      </c>
      <c r="V2826">
        <v>0</v>
      </c>
      <c r="W2826">
        <v>77092</v>
      </c>
    </row>
    <row r="2827" spans="1:23" x14ac:dyDescent="0.25">
      <c r="A2827" s="1" t="s">
        <v>36</v>
      </c>
      <c r="B2827" s="1"/>
      <c r="C2827" s="1" t="s">
        <v>189</v>
      </c>
      <c r="D2827">
        <v>10149</v>
      </c>
      <c r="E2827" s="1"/>
      <c r="F2827" s="1" t="s">
        <v>382</v>
      </c>
      <c r="G2827">
        <v>2013</v>
      </c>
      <c r="H2827">
        <v>1221.8</v>
      </c>
      <c r="I2827">
        <v>7</v>
      </c>
      <c r="J2827" s="1" t="s">
        <v>542</v>
      </c>
      <c r="K2827">
        <v>0</v>
      </c>
      <c r="L2827">
        <v>0</v>
      </c>
      <c r="M2827">
        <v>12218</v>
      </c>
      <c r="N2827">
        <v>2</v>
      </c>
      <c r="O2827" s="1" t="s">
        <v>569</v>
      </c>
      <c r="P2827">
        <v>1221.8</v>
      </c>
      <c r="Q2827">
        <v>366.55</v>
      </c>
      <c r="R2827">
        <v>0</v>
      </c>
      <c r="S2827" s="1"/>
      <c r="T2827" s="1"/>
      <c r="U2827">
        <v>1221.79306</v>
      </c>
      <c r="V2827">
        <v>0</v>
      </c>
      <c r="W2827">
        <v>77092</v>
      </c>
    </row>
    <row r="2828" spans="1:23" x14ac:dyDescent="0.25">
      <c r="A2828" s="1" t="s">
        <v>36</v>
      </c>
      <c r="B2828" s="1"/>
      <c r="C2828" s="1" t="s">
        <v>189</v>
      </c>
      <c r="D2828">
        <v>10149</v>
      </c>
      <c r="E2828" s="1"/>
      <c r="F2828" s="1" t="s">
        <v>382</v>
      </c>
      <c r="G2828">
        <v>2012</v>
      </c>
      <c r="H2828">
        <v>1258.6600000000001</v>
      </c>
      <c r="I2828">
        <v>5</v>
      </c>
      <c r="J2828" s="1" t="s">
        <v>542</v>
      </c>
      <c r="K2828">
        <v>0</v>
      </c>
      <c r="L2828">
        <v>0</v>
      </c>
      <c r="M2828">
        <v>12586.6</v>
      </c>
      <c r="N2828">
        <v>2</v>
      </c>
      <c r="O2828" s="1" t="s">
        <v>569</v>
      </c>
      <c r="P2828">
        <v>1258.6600000000001</v>
      </c>
      <c r="Q2828">
        <v>503.47</v>
      </c>
      <c r="R2828">
        <v>0</v>
      </c>
      <c r="S2828" s="1"/>
      <c r="T2828" s="1"/>
      <c r="U2828">
        <v>1258.65428</v>
      </c>
      <c r="V2828">
        <v>0</v>
      </c>
      <c r="W2828">
        <v>77092</v>
      </c>
    </row>
    <row r="2829" spans="1:23" x14ac:dyDescent="0.25">
      <c r="A2829" s="1" t="s">
        <v>36</v>
      </c>
      <c r="B2829" s="1"/>
      <c r="C2829" s="1" t="s">
        <v>189</v>
      </c>
      <c r="D2829">
        <v>10149</v>
      </c>
      <c r="E2829" s="1"/>
      <c r="F2829" s="1" t="s">
        <v>382</v>
      </c>
      <c r="G2829">
        <v>2011</v>
      </c>
      <c r="H2829">
        <v>1394.38</v>
      </c>
      <c r="I2829">
        <v>4</v>
      </c>
      <c r="J2829" s="1" t="s">
        <v>542</v>
      </c>
      <c r="K2829">
        <v>0</v>
      </c>
      <c r="L2829">
        <v>0</v>
      </c>
      <c r="M2829">
        <v>13943.8</v>
      </c>
      <c r="N2829">
        <v>2</v>
      </c>
      <c r="O2829" s="1" t="s">
        <v>569</v>
      </c>
      <c r="P2829">
        <v>1394.38</v>
      </c>
      <c r="Q2829">
        <v>653.97</v>
      </c>
      <c r="R2829">
        <v>0</v>
      </c>
      <c r="S2829" s="1"/>
      <c r="T2829" s="1"/>
      <c r="U2829">
        <v>1394.3725300000001</v>
      </c>
      <c r="V2829">
        <v>0</v>
      </c>
      <c r="W2829">
        <v>77092</v>
      </c>
    </row>
    <row r="2830" spans="1:23" x14ac:dyDescent="0.25">
      <c r="A2830" s="1" t="s">
        <v>36</v>
      </c>
      <c r="B2830" s="1"/>
      <c r="C2830" s="1" t="s">
        <v>189</v>
      </c>
      <c r="D2830">
        <v>10149</v>
      </c>
      <c r="E2830" s="1"/>
      <c r="F2830" s="1" t="s">
        <v>382</v>
      </c>
      <c r="G2830">
        <v>2010</v>
      </c>
      <c r="H2830">
        <v>1477.35</v>
      </c>
      <c r="I2830">
        <v>4</v>
      </c>
      <c r="J2830" s="1" t="s">
        <v>542</v>
      </c>
      <c r="K2830">
        <v>0</v>
      </c>
      <c r="L2830">
        <v>0</v>
      </c>
      <c r="M2830">
        <v>14773.5</v>
      </c>
      <c r="N2830">
        <v>2</v>
      </c>
      <c r="O2830" s="1" t="s">
        <v>569</v>
      </c>
      <c r="P2830">
        <v>1477.35</v>
      </c>
      <c r="Q2830">
        <v>692.87</v>
      </c>
      <c r="R2830">
        <v>0</v>
      </c>
      <c r="S2830" s="1"/>
      <c r="T2830" s="1"/>
      <c r="U2830">
        <v>1477.3410699999999</v>
      </c>
      <c r="V2830">
        <v>0</v>
      </c>
      <c r="W2830">
        <v>77092</v>
      </c>
    </row>
    <row r="2831" spans="1:23" x14ac:dyDescent="0.25">
      <c r="A2831" s="1" t="s">
        <v>36</v>
      </c>
      <c r="B2831" s="1"/>
      <c r="C2831" s="1" t="s">
        <v>189</v>
      </c>
      <c r="D2831">
        <v>10149</v>
      </c>
      <c r="E2831" s="1"/>
      <c r="F2831" s="1" t="s">
        <v>382</v>
      </c>
      <c r="G2831">
        <v>2009</v>
      </c>
      <c r="H2831">
        <v>1439.16</v>
      </c>
      <c r="I2831">
        <v>7</v>
      </c>
      <c r="J2831" s="1" t="s">
        <v>542</v>
      </c>
      <c r="K2831">
        <v>0</v>
      </c>
      <c r="L2831">
        <v>0</v>
      </c>
      <c r="M2831">
        <v>14391.6</v>
      </c>
      <c r="N2831">
        <v>2</v>
      </c>
      <c r="O2831" s="1" t="s">
        <v>569</v>
      </c>
      <c r="P2831">
        <v>1439.16</v>
      </c>
      <c r="Q2831">
        <v>674.98</v>
      </c>
      <c r="R2831">
        <v>0</v>
      </c>
      <c r="S2831" s="1"/>
      <c r="T2831" s="1"/>
      <c r="U2831">
        <v>1439.14913</v>
      </c>
      <c r="V2831">
        <v>0</v>
      </c>
      <c r="W2831">
        <v>77092</v>
      </c>
    </row>
    <row r="2832" spans="1:23" x14ac:dyDescent="0.25">
      <c r="A2832" s="1" t="s">
        <v>36</v>
      </c>
      <c r="B2832" s="1"/>
      <c r="C2832" s="1" t="s">
        <v>189</v>
      </c>
      <c r="D2832">
        <v>10149</v>
      </c>
      <c r="E2832" s="1"/>
      <c r="F2832" s="1" t="s">
        <v>382</v>
      </c>
      <c r="G2832">
        <v>2008</v>
      </c>
      <c r="H2832">
        <v>1130.1300000000001</v>
      </c>
      <c r="I2832">
        <v>9</v>
      </c>
      <c r="J2832" s="1" t="s">
        <v>542</v>
      </c>
      <c r="K2832">
        <v>0</v>
      </c>
      <c r="L2832">
        <v>0</v>
      </c>
      <c r="M2832">
        <v>11301.3</v>
      </c>
      <c r="N2832">
        <v>2</v>
      </c>
      <c r="O2832" s="1" t="s">
        <v>569</v>
      </c>
      <c r="P2832">
        <v>1130.1300000000001</v>
      </c>
      <c r="Q2832">
        <v>530.03</v>
      </c>
      <c r="R2832">
        <v>0</v>
      </c>
      <c r="S2832" s="1"/>
      <c r="T2832" s="1"/>
      <c r="U2832">
        <v>1130.1182799999999</v>
      </c>
      <c r="V2832">
        <v>0</v>
      </c>
      <c r="W2832">
        <v>77092</v>
      </c>
    </row>
    <row r="2833" spans="1:23" x14ac:dyDescent="0.25">
      <c r="A2833" s="1" t="s">
        <v>36</v>
      </c>
      <c r="B2833" s="1"/>
      <c r="C2833" s="1" t="s">
        <v>189</v>
      </c>
      <c r="D2833">
        <v>14012</v>
      </c>
      <c r="E2833" s="1" t="s">
        <v>243</v>
      </c>
      <c r="F2833" s="1" t="s">
        <v>383</v>
      </c>
      <c r="G2833">
        <v>2014</v>
      </c>
      <c r="H2833">
        <v>498.56</v>
      </c>
      <c r="I2833">
        <v>2</v>
      </c>
      <c r="J2833" s="1" t="s">
        <v>542</v>
      </c>
      <c r="K2833">
        <v>0</v>
      </c>
      <c r="L2833">
        <v>73</v>
      </c>
      <c r="M2833">
        <v>6.820246</v>
      </c>
      <c r="N2833">
        <v>2</v>
      </c>
      <c r="O2833" s="1" t="s">
        <v>569</v>
      </c>
      <c r="P2833">
        <v>498.56</v>
      </c>
      <c r="Q2833">
        <v>149.56</v>
      </c>
      <c r="R2833">
        <v>0</v>
      </c>
      <c r="S2833" s="1" t="s">
        <v>1068</v>
      </c>
      <c r="T2833" s="1" t="s">
        <v>1327</v>
      </c>
      <c r="U2833">
        <v>498.54545000000002</v>
      </c>
      <c r="V2833">
        <v>0</v>
      </c>
      <c r="W2833">
        <v>93107</v>
      </c>
    </row>
    <row r="2834" spans="1:23" x14ac:dyDescent="0.25">
      <c r="A2834" s="1" t="s">
        <v>36</v>
      </c>
      <c r="B2834" s="1"/>
      <c r="C2834" s="1" t="s">
        <v>189</v>
      </c>
      <c r="D2834">
        <v>14012</v>
      </c>
      <c r="E2834" s="1" t="s">
        <v>243</v>
      </c>
      <c r="F2834" s="1" t="s">
        <v>383</v>
      </c>
      <c r="G2834">
        <v>2013</v>
      </c>
      <c r="H2834">
        <v>964.65</v>
      </c>
      <c r="I2834">
        <v>7</v>
      </c>
      <c r="J2834" s="1" t="s">
        <v>542</v>
      </c>
      <c r="K2834">
        <v>0</v>
      </c>
      <c r="L2834">
        <v>73</v>
      </c>
      <c r="M2834">
        <v>13.196306</v>
      </c>
      <c r="N2834">
        <v>2</v>
      </c>
      <c r="O2834" s="1" t="s">
        <v>569</v>
      </c>
      <c r="P2834">
        <v>964.65</v>
      </c>
      <c r="Q2834">
        <v>289.39999999999998</v>
      </c>
      <c r="R2834">
        <v>0</v>
      </c>
      <c r="S2834" s="1" t="s">
        <v>1068</v>
      </c>
      <c r="T2834" s="1" t="s">
        <v>1327</v>
      </c>
      <c r="U2834">
        <v>964.63823000000002</v>
      </c>
      <c r="V2834">
        <v>0</v>
      </c>
      <c r="W2834">
        <v>93107</v>
      </c>
    </row>
    <row r="2835" spans="1:23" x14ac:dyDescent="0.25">
      <c r="A2835" s="1" t="s">
        <v>36</v>
      </c>
      <c r="B2835" s="1"/>
      <c r="C2835" s="1" t="s">
        <v>189</v>
      </c>
      <c r="D2835">
        <v>14012</v>
      </c>
      <c r="E2835" s="1" t="s">
        <v>243</v>
      </c>
      <c r="F2835" s="1" t="s">
        <v>383</v>
      </c>
      <c r="G2835">
        <v>2012</v>
      </c>
      <c r="H2835">
        <v>861.73</v>
      </c>
      <c r="I2835">
        <v>2</v>
      </c>
      <c r="J2835" s="1" t="s">
        <v>542</v>
      </c>
      <c r="K2835">
        <v>0</v>
      </c>
      <c r="L2835">
        <v>73</v>
      </c>
      <c r="M2835">
        <v>11.788372000000001</v>
      </c>
      <c r="N2835">
        <v>2</v>
      </c>
      <c r="O2835" s="1" t="s">
        <v>569</v>
      </c>
      <c r="P2835">
        <v>861.73</v>
      </c>
      <c r="Q2835">
        <v>344.68</v>
      </c>
      <c r="R2835">
        <v>0</v>
      </c>
      <c r="S2835" s="1" t="s">
        <v>1068</v>
      </c>
      <c r="T2835" s="1" t="s">
        <v>1327</v>
      </c>
      <c r="U2835">
        <v>861.70024000000001</v>
      </c>
      <c r="V2835">
        <v>0</v>
      </c>
      <c r="W2835">
        <v>93107</v>
      </c>
    </row>
    <row r="2836" spans="1:23" x14ac:dyDescent="0.25">
      <c r="A2836" s="1" t="s">
        <v>36</v>
      </c>
      <c r="B2836" s="1"/>
      <c r="C2836" s="1" t="s">
        <v>189</v>
      </c>
      <c r="D2836">
        <v>14012</v>
      </c>
      <c r="E2836" s="1" t="s">
        <v>243</v>
      </c>
      <c r="F2836" s="1" t="s">
        <v>383</v>
      </c>
      <c r="G2836">
        <v>2011</v>
      </c>
      <c r="H2836">
        <v>877.86</v>
      </c>
      <c r="I2836">
        <v>0</v>
      </c>
      <c r="J2836" s="1" t="s">
        <v>542</v>
      </c>
      <c r="K2836">
        <v>0</v>
      </c>
      <c r="L2836">
        <v>73</v>
      </c>
      <c r="M2836">
        <v>12.009028000000001</v>
      </c>
      <c r="N2836">
        <v>2</v>
      </c>
      <c r="O2836" s="1" t="s">
        <v>569</v>
      </c>
      <c r="P2836">
        <v>877.86</v>
      </c>
      <c r="Q2836">
        <v>411.73</v>
      </c>
      <c r="R2836">
        <v>0</v>
      </c>
      <c r="S2836" s="1" t="s">
        <v>1068</v>
      </c>
      <c r="T2836" s="1" t="s">
        <v>1327</v>
      </c>
      <c r="U2836">
        <v>877.82983999999999</v>
      </c>
      <c r="V2836">
        <v>0</v>
      </c>
      <c r="W2836">
        <v>93107</v>
      </c>
    </row>
    <row r="2837" spans="1:23" x14ac:dyDescent="0.25">
      <c r="A2837" s="1" t="s">
        <v>36</v>
      </c>
      <c r="B2837" s="1"/>
      <c r="C2837" s="1" t="s">
        <v>189</v>
      </c>
      <c r="D2837">
        <v>14012</v>
      </c>
      <c r="E2837" s="1" t="s">
        <v>243</v>
      </c>
      <c r="F2837" s="1" t="s">
        <v>383</v>
      </c>
      <c r="G2837">
        <v>2010</v>
      </c>
      <c r="H2837">
        <v>1393.39</v>
      </c>
      <c r="I2837">
        <v>1</v>
      </c>
      <c r="J2837" s="1" t="s">
        <v>542</v>
      </c>
      <c r="K2837">
        <v>0</v>
      </c>
      <c r="L2837">
        <v>73</v>
      </c>
      <c r="M2837">
        <v>19.061422</v>
      </c>
      <c r="N2837">
        <v>2</v>
      </c>
      <c r="O2837" s="1" t="s">
        <v>569</v>
      </c>
      <c r="P2837">
        <v>1393.39</v>
      </c>
      <c r="Q2837">
        <v>653.54</v>
      </c>
      <c r="R2837">
        <v>0</v>
      </c>
      <c r="S2837" s="1" t="s">
        <v>1068</v>
      </c>
      <c r="T2837" s="1" t="s">
        <v>1327</v>
      </c>
      <c r="U2837">
        <v>1393.3958600000001</v>
      </c>
      <c r="V2837">
        <v>0</v>
      </c>
      <c r="W2837">
        <v>93107</v>
      </c>
    </row>
    <row r="2838" spans="1:23" x14ac:dyDescent="0.25">
      <c r="A2838" s="1" t="s">
        <v>36</v>
      </c>
      <c r="B2838" s="1"/>
      <c r="C2838" s="1" t="s">
        <v>189</v>
      </c>
      <c r="D2838">
        <v>14012</v>
      </c>
      <c r="E2838" s="1" t="s">
        <v>243</v>
      </c>
      <c r="F2838" s="1" t="s">
        <v>383</v>
      </c>
      <c r="G2838">
        <v>2009</v>
      </c>
      <c r="H2838">
        <v>1197.0899999999999</v>
      </c>
      <c r="I2838">
        <v>1</v>
      </c>
      <c r="J2838" s="1" t="s">
        <v>542</v>
      </c>
      <c r="K2838">
        <v>0</v>
      </c>
      <c r="L2838">
        <v>73</v>
      </c>
      <c r="M2838">
        <v>16.376059999999999</v>
      </c>
      <c r="N2838">
        <v>2</v>
      </c>
      <c r="O2838" s="1" t="s">
        <v>569</v>
      </c>
      <c r="P2838">
        <v>1197.0899999999999</v>
      </c>
      <c r="Q2838">
        <v>561.48</v>
      </c>
      <c r="R2838">
        <v>0</v>
      </c>
      <c r="S2838" s="1" t="s">
        <v>1068</v>
      </c>
      <c r="T2838" s="1" t="s">
        <v>1327</v>
      </c>
      <c r="U2838">
        <v>1197.12706</v>
      </c>
      <c r="V2838">
        <v>0</v>
      </c>
      <c r="W2838">
        <v>93107</v>
      </c>
    </row>
    <row r="2839" spans="1:23" x14ac:dyDescent="0.25">
      <c r="A2839" s="1" t="s">
        <v>36</v>
      </c>
      <c r="B2839" s="1"/>
      <c r="C2839" s="1" t="s">
        <v>189</v>
      </c>
      <c r="D2839">
        <v>14012</v>
      </c>
      <c r="E2839" s="1" t="s">
        <v>243</v>
      </c>
      <c r="F2839" s="1" t="s">
        <v>383</v>
      </c>
      <c r="G2839">
        <v>2008</v>
      </c>
      <c r="H2839">
        <v>1061.4000000000001</v>
      </c>
      <c r="I2839">
        <v>0</v>
      </c>
      <c r="J2839" s="1" t="s">
        <v>542</v>
      </c>
      <c r="K2839">
        <v>0</v>
      </c>
      <c r="L2839">
        <v>73</v>
      </c>
      <c r="M2839">
        <v>14.519835</v>
      </c>
      <c r="N2839">
        <v>2</v>
      </c>
      <c r="O2839" s="1" t="s">
        <v>569</v>
      </c>
      <c r="P2839">
        <v>1061.4000000000001</v>
      </c>
      <c r="Q2839">
        <v>497.83</v>
      </c>
      <c r="R2839">
        <v>0</v>
      </c>
      <c r="S2839" s="1" t="s">
        <v>1068</v>
      </c>
      <c r="T2839" s="1" t="s">
        <v>1327</v>
      </c>
      <c r="U2839">
        <v>1061.4500499999999</v>
      </c>
      <c r="V2839">
        <v>0</v>
      </c>
      <c r="W2839">
        <v>93107</v>
      </c>
    </row>
    <row r="2840" spans="1:23" x14ac:dyDescent="0.25">
      <c r="A2840" s="1" t="s">
        <v>36</v>
      </c>
      <c r="B2840" s="1" t="s">
        <v>80</v>
      </c>
      <c r="C2840" s="1" t="s">
        <v>190</v>
      </c>
      <c r="D2840">
        <v>13297</v>
      </c>
      <c r="E2840" s="1" t="s">
        <v>244</v>
      </c>
      <c r="F2840" s="1" t="s">
        <v>190</v>
      </c>
      <c r="G2840">
        <v>2015</v>
      </c>
      <c r="H2840">
        <v>23829.47</v>
      </c>
      <c r="I2840">
        <v>5</v>
      </c>
      <c r="J2840" s="1"/>
      <c r="K2840">
        <v>0</v>
      </c>
      <c r="L2840">
        <v>1571</v>
      </c>
      <c r="M2840">
        <v>15.167379</v>
      </c>
      <c r="N2840">
        <v>2</v>
      </c>
      <c r="O2840" s="1" t="s">
        <v>569</v>
      </c>
      <c r="P2840">
        <v>23829.47</v>
      </c>
      <c r="Q2840">
        <v>7148.85</v>
      </c>
      <c r="R2840">
        <v>0</v>
      </c>
      <c r="S2840" s="1" t="s">
        <v>1069</v>
      </c>
      <c r="T2840" s="1"/>
      <c r="U2840">
        <v>23829.474999999999</v>
      </c>
      <c r="V2840">
        <v>0</v>
      </c>
      <c r="W2840">
        <v>90963</v>
      </c>
    </row>
    <row r="2841" spans="1:23" x14ac:dyDescent="0.25">
      <c r="A2841" s="1" t="s">
        <v>36</v>
      </c>
      <c r="B2841" s="1" t="s">
        <v>80</v>
      </c>
      <c r="C2841" s="1" t="s">
        <v>190</v>
      </c>
      <c r="D2841">
        <v>13297</v>
      </c>
      <c r="E2841" s="1" t="s">
        <v>244</v>
      </c>
      <c r="F2841" s="1" t="s">
        <v>190</v>
      </c>
      <c r="G2841">
        <v>2014</v>
      </c>
      <c r="H2841">
        <v>61434.17</v>
      </c>
      <c r="I2841">
        <v>12</v>
      </c>
      <c r="J2841" s="1"/>
      <c r="K2841">
        <v>0</v>
      </c>
      <c r="L2841">
        <v>1571</v>
      </c>
      <c r="M2841">
        <v>39.102646999999997</v>
      </c>
      <c r="N2841">
        <v>2</v>
      </c>
      <c r="O2841" s="1" t="s">
        <v>569</v>
      </c>
      <c r="P2841">
        <v>61434.17</v>
      </c>
      <c r="Q2841">
        <v>18430.240000000002</v>
      </c>
      <c r="R2841">
        <v>0</v>
      </c>
      <c r="S2841" s="1" t="s">
        <v>1069</v>
      </c>
      <c r="T2841" s="1"/>
      <c r="U2841">
        <v>61434.175000000003</v>
      </c>
      <c r="V2841">
        <v>0</v>
      </c>
      <c r="W2841">
        <v>90963</v>
      </c>
    </row>
    <row r="2842" spans="1:23" x14ac:dyDescent="0.25">
      <c r="A2842" s="1" t="s">
        <v>36</v>
      </c>
      <c r="B2842" s="1" t="s">
        <v>80</v>
      </c>
      <c r="C2842" s="1" t="s">
        <v>190</v>
      </c>
      <c r="D2842">
        <v>13297</v>
      </c>
      <c r="E2842" s="1" t="s">
        <v>244</v>
      </c>
      <c r="F2842" s="1" t="s">
        <v>190</v>
      </c>
      <c r="G2842">
        <v>2013</v>
      </c>
      <c r="H2842">
        <v>61255.5</v>
      </c>
      <c r="I2842">
        <v>12</v>
      </c>
      <c r="J2842" s="1"/>
      <c r="K2842">
        <v>0</v>
      </c>
      <c r="L2842">
        <v>1571</v>
      </c>
      <c r="M2842">
        <v>38.988923999999997</v>
      </c>
      <c r="N2842">
        <v>2</v>
      </c>
      <c r="O2842" s="1" t="s">
        <v>569</v>
      </c>
      <c r="P2842">
        <v>61255.5</v>
      </c>
      <c r="Q2842">
        <v>18376.650000000001</v>
      </c>
      <c r="R2842">
        <v>0</v>
      </c>
      <c r="S2842" s="1" t="s">
        <v>1069</v>
      </c>
      <c r="T2842" s="1"/>
      <c r="U2842">
        <v>61255.493999999999</v>
      </c>
      <c r="V2842">
        <v>0</v>
      </c>
      <c r="W2842">
        <v>90963</v>
      </c>
    </row>
    <row r="2843" spans="1:23" x14ac:dyDescent="0.25">
      <c r="A2843" s="1" t="s">
        <v>36</v>
      </c>
      <c r="B2843" s="1" t="s">
        <v>80</v>
      </c>
      <c r="C2843" s="1" t="s">
        <v>190</v>
      </c>
      <c r="D2843">
        <v>13297</v>
      </c>
      <c r="E2843" s="1" t="s">
        <v>244</v>
      </c>
      <c r="F2843" s="1" t="s">
        <v>190</v>
      </c>
      <c r="G2843">
        <v>2012</v>
      </c>
      <c r="H2843">
        <v>59058.559999999998</v>
      </c>
      <c r="I2843">
        <v>12</v>
      </c>
      <c r="J2843" s="1"/>
      <c r="K2843">
        <v>0</v>
      </c>
      <c r="L2843">
        <v>1571</v>
      </c>
      <c r="M2843">
        <v>37.590578999999998</v>
      </c>
      <c r="N2843">
        <v>2</v>
      </c>
      <c r="O2843" s="1" t="s">
        <v>569</v>
      </c>
      <c r="P2843">
        <v>59058.559999999998</v>
      </c>
      <c r="Q2843">
        <v>23623.439999999999</v>
      </c>
      <c r="R2843">
        <v>0</v>
      </c>
      <c r="S2843" s="1" t="s">
        <v>1069</v>
      </c>
      <c r="T2843" s="1"/>
      <c r="U2843">
        <v>59058.55</v>
      </c>
      <c r="V2843">
        <v>0</v>
      </c>
      <c r="W2843">
        <v>90963</v>
      </c>
    </row>
    <row r="2844" spans="1:23" x14ac:dyDescent="0.25">
      <c r="A2844" s="1" t="s">
        <v>36</v>
      </c>
      <c r="B2844" s="1" t="s">
        <v>80</v>
      </c>
      <c r="C2844" s="1" t="s">
        <v>190</v>
      </c>
      <c r="D2844">
        <v>13297</v>
      </c>
      <c r="E2844" s="1" t="s">
        <v>244</v>
      </c>
      <c r="F2844" s="1" t="s">
        <v>190</v>
      </c>
      <c r="G2844">
        <v>2011</v>
      </c>
      <c r="H2844">
        <v>4822.1499999999996</v>
      </c>
      <c r="I2844">
        <v>1</v>
      </c>
      <c r="J2844" s="1"/>
      <c r="K2844">
        <v>0</v>
      </c>
      <c r="L2844">
        <v>1571</v>
      </c>
      <c r="M2844">
        <v>3.0692819999999998</v>
      </c>
      <c r="N2844">
        <v>2</v>
      </c>
      <c r="O2844" s="1" t="s">
        <v>569</v>
      </c>
      <c r="P2844">
        <v>4822.1499999999996</v>
      </c>
      <c r="Q2844">
        <v>2261.59</v>
      </c>
      <c r="R2844">
        <v>0</v>
      </c>
      <c r="S2844" s="1" t="s">
        <v>1069</v>
      </c>
      <c r="T2844" s="1"/>
      <c r="U2844">
        <v>4822.1499999999996</v>
      </c>
      <c r="V2844">
        <v>0</v>
      </c>
      <c r="W2844">
        <v>90963</v>
      </c>
    </row>
    <row r="2845" spans="1:23" x14ac:dyDescent="0.25">
      <c r="A2845" s="1" t="s">
        <v>36</v>
      </c>
      <c r="B2845" s="1" t="s">
        <v>80</v>
      </c>
      <c r="C2845" s="1" t="s">
        <v>190</v>
      </c>
      <c r="D2845">
        <v>13297</v>
      </c>
      <c r="E2845" s="1" t="s">
        <v>244</v>
      </c>
      <c r="F2845" s="1" t="s">
        <v>190</v>
      </c>
      <c r="G2845">
        <v>2011</v>
      </c>
      <c r="H2845">
        <v>60087.73</v>
      </c>
      <c r="I2845">
        <v>3</v>
      </c>
      <c r="J2845" s="1" t="s">
        <v>426</v>
      </c>
      <c r="K2845">
        <v>0</v>
      </c>
      <c r="L2845">
        <v>1571</v>
      </c>
      <c r="M2845">
        <v>38.245643000000001</v>
      </c>
      <c r="N2845">
        <v>2</v>
      </c>
      <c r="O2845" s="1" t="s">
        <v>569</v>
      </c>
      <c r="P2845">
        <v>60087.73</v>
      </c>
      <c r="Q2845">
        <v>28181.13</v>
      </c>
      <c r="R2845">
        <v>0</v>
      </c>
      <c r="S2845" s="1" t="s">
        <v>1070</v>
      </c>
      <c r="T2845" s="1"/>
      <c r="U2845">
        <v>60087.709069999997</v>
      </c>
      <c r="V2845">
        <v>0</v>
      </c>
      <c r="W2845">
        <v>89294</v>
      </c>
    </row>
    <row r="2846" spans="1:23" x14ac:dyDescent="0.25">
      <c r="A2846" s="1" t="s">
        <v>36</v>
      </c>
      <c r="B2846" s="1" t="s">
        <v>80</v>
      </c>
      <c r="C2846" s="1" t="s">
        <v>190</v>
      </c>
      <c r="D2846">
        <v>13297</v>
      </c>
      <c r="E2846" s="1" t="s">
        <v>244</v>
      </c>
      <c r="F2846" s="1" t="s">
        <v>190</v>
      </c>
      <c r="G2846">
        <v>2010</v>
      </c>
      <c r="H2846">
        <v>69238.320000000007</v>
      </c>
      <c r="I2846">
        <v>1</v>
      </c>
      <c r="J2846" s="1" t="s">
        <v>426</v>
      </c>
      <c r="K2846">
        <v>0</v>
      </c>
      <c r="L2846">
        <v>1571</v>
      </c>
      <c r="M2846">
        <v>44.069963000000001</v>
      </c>
      <c r="N2846">
        <v>2</v>
      </c>
      <c r="O2846" s="1" t="s">
        <v>569</v>
      </c>
      <c r="P2846">
        <v>69238.320000000007</v>
      </c>
      <c r="Q2846">
        <v>32472.77</v>
      </c>
      <c r="R2846">
        <v>0</v>
      </c>
      <c r="S2846" s="1" t="s">
        <v>1070</v>
      </c>
      <c r="T2846" s="1"/>
      <c r="U2846">
        <v>69238.324789999999</v>
      </c>
      <c r="V2846">
        <v>0</v>
      </c>
      <c r="W2846">
        <v>89294</v>
      </c>
    </row>
    <row r="2847" spans="1:23" x14ac:dyDescent="0.25">
      <c r="A2847" s="1" t="s">
        <v>36</v>
      </c>
      <c r="B2847" s="1" t="s">
        <v>80</v>
      </c>
      <c r="C2847" s="1" t="s">
        <v>190</v>
      </c>
      <c r="D2847">
        <v>13297</v>
      </c>
      <c r="E2847" s="1" t="s">
        <v>244</v>
      </c>
      <c r="F2847" s="1" t="s">
        <v>190</v>
      </c>
      <c r="G2847">
        <v>2009</v>
      </c>
      <c r="H2847">
        <v>72149.25</v>
      </c>
      <c r="I2847">
        <v>2</v>
      </c>
      <c r="J2847" s="1" t="s">
        <v>426</v>
      </c>
      <c r="K2847">
        <v>0</v>
      </c>
      <c r="L2847">
        <v>1571</v>
      </c>
      <c r="M2847">
        <v>45.922761000000001</v>
      </c>
      <c r="N2847">
        <v>2</v>
      </c>
      <c r="O2847" s="1" t="s">
        <v>569</v>
      </c>
      <c r="P2847">
        <v>72149.25</v>
      </c>
      <c r="Q2847">
        <v>33838.04</v>
      </c>
      <c r="R2847">
        <v>0</v>
      </c>
      <c r="S2847" s="1" t="s">
        <v>1070</v>
      </c>
      <c r="T2847" s="1"/>
      <c r="U2847">
        <v>72149.25765</v>
      </c>
      <c r="V2847">
        <v>0</v>
      </c>
      <c r="W2847">
        <v>89294</v>
      </c>
    </row>
    <row r="2848" spans="1:23" x14ac:dyDescent="0.25">
      <c r="A2848" s="1" t="s">
        <v>36</v>
      </c>
      <c r="B2848" s="1" t="s">
        <v>80</v>
      </c>
      <c r="C2848" s="1" t="s">
        <v>190</v>
      </c>
      <c r="D2848">
        <v>13297</v>
      </c>
      <c r="E2848" s="1" t="s">
        <v>244</v>
      </c>
      <c r="F2848" s="1" t="s">
        <v>190</v>
      </c>
      <c r="G2848">
        <v>2008</v>
      </c>
      <c r="H2848">
        <v>74970.539999999994</v>
      </c>
      <c r="I2848">
        <v>1</v>
      </c>
      <c r="J2848" s="1" t="s">
        <v>426</v>
      </c>
      <c r="K2848">
        <v>0</v>
      </c>
      <c r="L2848">
        <v>1571</v>
      </c>
      <c r="M2848">
        <v>47.718502000000001</v>
      </c>
      <c r="N2848">
        <v>2</v>
      </c>
      <c r="O2848" s="1" t="s">
        <v>569</v>
      </c>
      <c r="P2848">
        <v>74970.539999999994</v>
      </c>
      <c r="Q2848">
        <v>35161.22</v>
      </c>
      <c r="R2848">
        <v>0</v>
      </c>
      <c r="S2848" s="1" t="s">
        <v>1070</v>
      </c>
      <c r="T2848" s="1"/>
      <c r="U2848">
        <v>74970.547460000002</v>
      </c>
      <c r="V2848">
        <v>0</v>
      </c>
      <c r="W2848">
        <v>89294</v>
      </c>
    </row>
    <row r="2849" spans="1:23" x14ac:dyDescent="0.25">
      <c r="A2849" s="1" t="s">
        <v>37</v>
      </c>
      <c r="B2849" s="1"/>
      <c r="C2849" s="1" t="s">
        <v>191</v>
      </c>
      <c r="D2849">
        <v>9224</v>
      </c>
      <c r="E2849" s="1"/>
      <c r="F2849" s="1" t="s">
        <v>319</v>
      </c>
      <c r="G2849">
        <v>2015</v>
      </c>
      <c r="H2849">
        <v>24.8</v>
      </c>
      <c r="I2849">
        <v>5</v>
      </c>
      <c r="J2849" s="1"/>
      <c r="K2849">
        <v>0</v>
      </c>
      <c r="L2849">
        <v>4404</v>
      </c>
      <c r="M2849">
        <v>5.6309999999999997E-3</v>
      </c>
      <c r="N2849">
        <v>3</v>
      </c>
      <c r="O2849" s="1" t="s">
        <v>560</v>
      </c>
      <c r="P2849">
        <v>24.8</v>
      </c>
      <c r="Q2849">
        <v>0</v>
      </c>
      <c r="R2849">
        <v>1</v>
      </c>
      <c r="S2849" s="1" t="s">
        <v>672</v>
      </c>
      <c r="T2849" s="1"/>
      <c r="U2849">
        <v>24.803999999999998</v>
      </c>
      <c r="V2849">
        <v>0</v>
      </c>
      <c r="W2849">
        <v>72741</v>
      </c>
    </row>
    <row r="2850" spans="1:23" x14ac:dyDescent="0.25">
      <c r="A2850" s="1" t="s">
        <v>37</v>
      </c>
      <c r="B2850" s="1"/>
      <c r="C2850" s="1" t="s">
        <v>191</v>
      </c>
      <c r="D2850">
        <v>9224</v>
      </c>
      <c r="E2850" s="1"/>
      <c r="F2850" s="1" t="s">
        <v>319</v>
      </c>
      <c r="G2850">
        <v>2015</v>
      </c>
      <c r="H2850">
        <v>81.36</v>
      </c>
      <c r="I2850">
        <v>5</v>
      </c>
      <c r="J2850" s="1"/>
      <c r="K2850">
        <v>0</v>
      </c>
      <c r="L2850">
        <v>4404</v>
      </c>
      <c r="M2850">
        <v>1.8473E-2</v>
      </c>
      <c r="N2850">
        <v>3</v>
      </c>
      <c r="O2850" s="1" t="s">
        <v>560</v>
      </c>
      <c r="P2850">
        <v>81.36</v>
      </c>
      <c r="Q2850">
        <v>0</v>
      </c>
      <c r="R2850">
        <v>1</v>
      </c>
      <c r="S2850" s="1"/>
      <c r="T2850" s="1"/>
      <c r="U2850">
        <v>81.36</v>
      </c>
      <c r="V2850">
        <v>0</v>
      </c>
      <c r="W2850">
        <v>77266</v>
      </c>
    </row>
    <row r="2851" spans="1:23" x14ac:dyDescent="0.25">
      <c r="A2851" s="1" t="s">
        <v>37</v>
      </c>
      <c r="B2851" s="1"/>
      <c r="C2851" s="1" t="s">
        <v>191</v>
      </c>
      <c r="D2851">
        <v>9224</v>
      </c>
      <c r="E2851" s="1"/>
      <c r="F2851" s="1" t="s">
        <v>319</v>
      </c>
      <c r="G2851">
        <v>2015</v>
      </c>
      <c r="H2851">
        <v>140.75</v>
      </c>
      <c r="I2851">
        <v>5</v>
      </c>
      <c r="J2851" s="1" t="s">
        <v>447</v>
      </c>
      <c r="K2851">
        <v>0</v>
      </c>
      <c r="L2851">
        <v>4404</v>
      </c>
      <c r="M2851">
        <v>3.1958E-2</v>
      </c>
      <c r="N2851">
        <v>3</v>
      </c>
      <c r="O2851" s="1" t="s">
        <v>560</v>
      </c>
      <c r="P2851">
        <v>140.75</v>
      </c>
      <c r="Q2851">
        <v>112.59</v>
      </c>
      <c r="R2851">
        <v>0</v>
      </c>
      <c r="S2851" s="1" t="s">
        <v>673</v>
      </c>
      <c r="T2851" s="1"/>
      <c r="U2851">
        <v>140.74299999999999</v>
      </c>
      <c r="V2851">
        <v>0</v>
      </c>
      <c r="W2851">
        <v>77272</v>
      </c>
    </row>
    <row r="2852" spans="1:23" x14ac:dyDescent="0.25">
      <c r="A2852" s="1" t="s">
        <v>37</v>
      </c>
      <c r="B2852" s="1"/>
      <c r="C2852" s="1" t="s">
        <v>191</v>
      </c>
      <c r="D2852">
        <v>9224</v>
      </c>
      <c r="E2852" s="1"/>
      <c r="F2852" s="1" t="s">
        <v>319</v>
      </c>
      <c r="G2852">
        <v>2014</v>
      </c>
      <c r="H2852">
        <v>75.08</v>
      </c>
      <c r="I2852">
        <v>12</v>
      </c>
      <c r="J2852" s="1"/>
      <c r="K2852">
        <v>0</v>
      </c>
      <c r="L2852">
        <v>4404</v>
      </c>
      <c r="M2852">
        <v>1.7047E-2</v>
      </c>
      <c r="N2852">
        <v>3</v>
      </c>
      <c r="O2852" s="1" t="s">
        <v>560</v>
      </c>
      <c r="P2852">
        <v>75.08</v>
      </c>
      <c r="Q2852">
        <v>0</v>
      </c>
      <c r="R2852">
        <v>1</v>
      </c>
      <c r="S2852" s="1" t="s">
        <v>672</v>
      </c>
      <c r="T2852" s="1"/>
      <c r="U2852">
        <v>75.078000000000003</v>
      </c>
      <c r="V2852">
        <v>0</v>
      </c>
      <c r="W2852">
        <v>72741</v>
      </c>
    </row>
    <row r="2853" spans="1:23" x14ac:dyDescent="0.25">
      <c r="A2853" s="1" t="s">
        <v>37</v>
      </c>
      <c r="B2853" s="1"/>
      <c r="C2853" s="1" t="s">
        <v>191</v>
      </c>
      <c r="D2853">
        <v>9224</v>
      </c>
      <c r="E2853" s="1"/>
      <c r="F2853" s="1" t="s">
        <v>319</v>
      </c>
      <c r="G2853">
        <v>2014</v>
      </c>
      <c r="H2853">
        <v>215.73</v>
      </c>
      <c r="I2853">
        <v>12</v>
      </c>
      <c r="J2853" s="1"/>
      <c r="K2853">
        <v>0</v>
      </c>
      <c r="L2853">
        <v>4404</v>
      </c>
      <c r="M2853">
        <v>4.8982999999999999E-2</v>
      </c>
      <c r="N2853">
        <v>3</v>
      </c>
      <c r="O2853" s="1" t="s">
        <v>560</v>
      </c>
      <c r="P2853">
        <v>215.73</v>
      </c>
      <c r="Q2853">
        <v>0</v>
      </c>
      <c r="R2853">
        <v>1</v>
      </c>
      <c r="S2853" s="1"/>
      <c r="T2853" s="1"/>
      <c r="U2853">
        <v>215.73</v>
      </c>
      <c r="V2853">
        <v>0</v>
      </c>
      <c r="W2853">
        <v>77266</v>
      </c>
    </row>
    <row r="2854" spans="1:23" x14ac:dyDescent="0.25">
      <c r="A2854" s="1" t="s">
        <v>37</v>
      </c>
      <c r="B2854" s="1"/>
      <c r="C2854" s="1" t="s">
        <v>191</v>
      </c>
      <c r="D2854">
        <v>9224</v>
      </c>
      <c r="E2854" s="1"/>
      <c r="F2854" s="1" t="s">
        <v>319</v>
      </c>
      <c r="G2854">
        <v>2014</v>
      </c>
      <c r="H2854">
        <v>385.23</v>
      </c>
      <c r="I2854">
        <v>12</v>
      </c>
      <c r="J2854" s="1" t="s">
        <v>447</v>
      </c>
      <c r="K2854">
        <v>0</v>
      </c>
      <c r="L2854">
        <v>4404</v>
      </c>
      <c r="M2854">
        <v>8.7470000000000006E-2</v>
      </c>
      <c r="N2854">
        <v>3</v>
      </c>
      <c r="O2854" s="1" t="s">
        <v>560</v>
      </c>
      <c r="P2854">
        <v>385.23</v>
      </c>
      <c r="Q2854">
        <v>308.2</v>
      </c>
      <c r="R2854">
        <v>0</v>
      </c>
      <c r="S2854" s="1" t="s">
        <v>673</v>
      </c>
      <c r="T2854" s="1"/>
      <c r="U2854">
        <v>385.25200000000001</v>
      </c>
      <c r="V2854">
        <v>0</v>
      </c>
      <c r="W2854">
        <v>77272</v>
      </c>
    </row>
    <row r="2855" spans="1:23" x14ac:dyDescent="0.25">
      <c r="A2855" s="1" t="s">
        <v>37</v>
      </c>
      <c r="B2855" s="1"/>
      <c r="C2855" s="1" t="s">
        <v>191</v>
      </c>
      <c r="D2855">
        <v>9224</v>
      </c>
      <c r="E2855" s="1"/>
      <c r="F2855" s="1" t="s">
        <v>319</v>
      </c>
      <c r="G2855">
        <v>2013</v>
      </c>
      <c r="H2855">
        <v>88.62</v>
      </c>
      <c r="I2855">
        <v>12</v>
      </c>
      <c r="J2855" s="1"/>
      <c r="K2855">
        <v>0</v>
      </c>
      <c r="L2855">
        <v>4404</v>
      </c>
      <c r="M2855">
        <v>2.0122000000000001E-2</v>
      </c>
      <c r="N2855">
        <v>3</v>
      </c>
      <c r="O2855" s="1" t="s">
        <v>560</v>
      </c>
      <c r="P2855">
        <v>88.62</v>
      </c>
      <c r="Q2855">
        <v>0</v>
      </c>
      <c r="R2855">
        <v>1</v>
      </c>
      <c r="S2855" s="1" t="s">
        <v>672</v>
      </c>
      <c r="T2855" s="1"/>
      <c r="U2855">
        <v>88.622</v>
      </c>
      <c r="V2855">
        <v>0</v>
      </c>
      <c r="W2855">
        <v>72741</v>
      </c>
    </row>
    <row r="2856" spans="1:23" x14ac:dyDescent="0.25">
      <c r="A2856" s="1" t="s">
        <v>37</v>
      </c>
      <c r="B2856" s="1"/>
      <c r="C2856" s="1" t="s">
        <v>191</v>
      </c>
      <c r="D2856">
        <v>9224</v>
      </c>
      <c r="E2856" s="1"/>
      <c r="F2856" s="1" t="s">
        <v>319</v>
      </c>
      <c r="G2856">
        <v>2013</v>
      </c>
      <c r="H2856">
        <v>259.20999999999998</v>
      </c>
      <c r="I2856">
        <v>12</v>
      </c>
      <c r="J2856" s="1"/>
      <c r="K2856">
        <v>0</v>
      </c>
      <c r="L2856">
        <v>4404</v>
      </c>
      <c r="M2856">
        <v>5.8855999999999999E-2</v>
      </c>
      <c r="N2856">
        <v>3</v>
      </c>
      <c r="O2856" s="1" t="s">
        <v>560</v>
      </c>
      <c r="P2856">
        <v>259.20999999999998</v>
      </c>
      <c r="Q2856">
        <v>0</v>
      </c>
      <c r="R2856">
        <v>1</v>
      </c>
      <c r="S2856" s="1"/>
      <c r="T2856" s="1"/>
      <c r="U2856">
        <v>259.20999999999998</v>
      </c>
      <c r="V2856">
        <v>0</v>
      </c>
      <c r="W2856">
        <v>77266</v>
      </c>
    </row>
    <row r="2857" spans="1:23" x14ac:dyDescent="0.25">
      <c r="A2857" s="1" t="s">
        <v>37</v>
      </c>
      <c r="B2857" s="1"/>
      <c r="C2857" s="1" t="s">
        <v>191</v>
      </c>
      <c r="D2857">
        <v>9224</v>
      </c>
      <c r="E2857" s="1"/>
      <c r="F2857" s="1" t="s">
        <v>319</v>
      </c>
      <c r="G2857">
        <v>2013</v>
      </c>
      <c r="H2857">
        <v>443.03</v>
      </c>
      <c r="I2857">
        <v>12</v>
      </c>
      <c r="J2857" s="1" t="s">
        <v>447</v>
      </c>
      <c r="K2857">
        <v>0</v>
      </c>
      <c r="L2857">
        <v>4404</v>
      </c>
      <c r="M2857">
        <v>0.100594</v>
      </c>
      <c r="N2857">
        <v>3</v>
      </c>
      <c r="O2857" s="1" t="s">
        <v>560</v>
      </c>
      <c r="P2857">
        <v>443.03</v>
      </c>
      <c r="Q2857">
        <v>354.42</v>
      </c>
      <c r="R2857">
        <v>0</v>
      </c>
      <c r="S2857" s="1" t="s">
        <v>673</v>
      </c>
      <c r="T2857" s="1"/>
      <c r="U2857">
        <v>443.03199999999998</v>
      </c>
      <c r="V2857">
        <v>0</v>
      </c>
      <c r="W2857">
        <v>77272</v>
      </c>
    </row>
    <row r="2858" spans="1:23" x14ac:dyDescent="0.25">
      <c r="A2858" s="1" t="s">
        <v>37</v>
      </c>
      <c r="B2858" s="1"/>
      <c r="C2858" s="1" t="s">
        <v>191</v>
      </c>
      <c r="D2858">
        <v>9224</v>
      </c>
      <c r="E2858" s="1"/>
      <c r="F2858" s="1" t="s">
        <v>319</v>
      </c>
      <c r="G2858">
        <v>2012</v>
      </c>
      <c r="H2858">
        <v>67.05</v>
      </c>
      <c r="I2858">
        <v>12</v>
      </c>
      <c r="J2858" s="1"/>
      <c r="K2858">
        <v>0</v>
      </c>
      <c r="L2858">
        <v>4404</v>
      </c>
      <c r="M2858">
        <v>1.5224E-2</v>
      </c>
      <c r="N2858">
        <v>3</v>
      </c>
      <c r="O2858" s="1" t="s">
        <v>560</v>
      </c>
      <c r="P2858">
        <v>67.05</v>
      </c>
      <c r="Q2858">
        <v>0</v>
      </c>
      <c r="R2858">
        <v>1</v>
      </c>
      <c r="S2858" s="1" t="s">
        <v>672</v>
      </c>
      <c r="T2858" s="1"/>
      <c r="U2858">
        <v>67.061000000000007</v>
      </c>
      <c r="V2858">
        <v>0</v>
      </c>
      <c r="W2858">
        <v>72741</v>
      </c>
    </row>
    <row r="2859" spans="1:23" x14ac:dyDescent="0.25">
      <c r="A2859" s="1" t="s">
        <v>37</v>
      </c>
      <c r="B2859" s="1"/>
      <c r="C2859" s="1" t="s">
        <v>191</v>
      </c>
      <c r="D2859">
        <v>9224</v>
      </c>
      <c r="E2859" s="1"/>
      <c r="F2859" s="1" t="s">
        <v>319</v>
      </c>
      <c r="G2859">
        <v>2012</v>
      </c>
      <c r="H2859">
        <v>240.27</v>
      </c>
      <c r="I2859">
        <v>12</v>
      </c>
      <c r="J2859" s="1"/>
      <c r="K2859">
        <v>0</v>
      </c>
      <c r="L2859">
        <v>4404</v>
      </c>
      <c r="M2859">
        <v>5.4554999999999999E-2</v>
      </c>
      <c r="N2859">
        <v>3</v>
      </c>
      <c r="O2859" s="1" t="s">
        <v>560</v>
      </c>
      <c r="P2859">
        <v>240.27</v>
      </c>
      <c r="Q2859">
        <v>0</v>
      </c>
      <c r="R2859">
        <v>1</v>
      </c>
      <c r="S2859" s="1"/>
      <c r="T2859" s="1"/>
      <c r="U2859">
        <v>240.27</v>
      </c>
      <c r="V2859">
        <v>0</v>
      </c>
      <c r="W2859">
        <v>77266</v>
      </c>
    </row>
    <row r="2860" spans="1:23" x14ac:dyDescent="0.25">
      <c r="A2860" s="1" t="s">
        <v>37</v>
      </c>
      <c r="B2860" s="1"/>
      <c r="C2860" s="1" t="s">
        <v>191</v>
      </c>
      <c r="D2860">
        <v>9224</v>
      </c>
      <c r="E2860" s="1"/>
      <c r="F2860" s="1" t="s">
        <v>319</v>
      </c>
      <c r="G2860">
        <v>2012</v>
      </c>
      <c r="H2860">
        <v>520.16</v>
      </c>
      <c r="I2860">
        <v>10</v>
      </c>
      <c r="J2860" s="1" t="s">
        <v>447</v>
      </c>
      <c r="K2860">
        <v>0</v>
      </c>
      <c r="L2860">
        <v>4404</v>
      </c>
      <c r="M2860">
        <v>0.118108</v>
      </c>
      <c r="N2860">
        <v>3</v>
      </c>
      <c r="O2860" s="1" t="s">
        <v>560</v>
      </c>
      <c r="P2860">
        <v>520.16</v>
      </c>
      <c r="Q2860">
        <v>416.13</v>
      </c>
      <c r="R2860">
        <v>0</v>
      </c>
      <c r="S2860" s="1" t="s">
        <v>673</v>
      </c>
      <c r="T2860" s="1"/>
      <c r="U2860">
        <v>520.16355999999996</v>
      </c>
      <c r="V2860">
        <v>0</v>
      </c>
      <c r="W2860">
        <v>77272</v>
      </c>
    </row>
    <row r="2861" spans="1:23" x14ac:dyDescent="0.25">
      <c r="A2861" s="1" t="s">
        <v>37</v>
      </c>
      <c r="B2861" s="1"/>
      <c r="C2861" s="1" t="s">
        <v>191</v>
      </c>
      <c r="D2861">
        <v>9224</v>
      </c>
      <c r="E2861" s="1"/>
      <c r="F2861" s="1" t="s">
        <v>319</v>
      </c>
      <c r="G2861">
        <v>2011</v>
      </c>
      <c r="H2861">
        <v>12.51</v>
      </c>
      <c r="I2861">
        <v>12</v>
      </c>
      <c r="J2861" s="1"/>
      <c r="K2861">
        <v>0</v>
      </c>
      <c r="L2861">
        <v>4404</v>
      </c>
      <c r="M2861">
        <v>2.8400000000000001E-3</v>
      </c>
      <c r="N2861">
        <v>3</v>
      </c>
      <c r="O2861" s="1" t="s">
        <v>560</v>
      </c>
      <c r="P2861">
        <v>12.51</v>
      </c>
      <c r="Q2861">
        <v>0</v>
      </c>
      <c r="R2861">
        <v>1</v>
      </c>
      <c r="S2861" s="1" t="s">
        <v>672</v>
      </c>
      <c r="T2861" s="1"/>
      <c r="U2861">
        <v>12.515000000000001</v>
      </c>
      <c r="V2861">
        <v>0</v>
      </c>
      <c r="W2861">
        <v>72741</v>
      </c>
    </row>
    <row r="2862" spans="1:23" x14ac:dyDescent="0.25">
      <c r="A2862" s="1" t="s">
        <v>37</v>
      </c>
      <c r="B2862" s="1"/>
      <c r="C2862" s="1" t="s">
        <v>191</v>
      </c>
      <c r="D2862">
        <v>9224</v>
      </c>
      <c r="E2862" s="1"/>
      <c r="F2862" s="1" t="s">
        <v>319</v>
      </c>
      <c r="G2862">
        <v>2011</v>
      </c>
      <c r="H2862">
        <v>404.22</v>
      </c>
      <c r="I2862">
        <v>12</v>
      </c>
      <c r="J2862" s="1"/>
      <c r="K2862">
        <v>0</v>
      </c>
      <c r="L2862">
        <v>4404</v>
      </c>
      <c r="M2862">
        <v>9.1782000000000002E-2</v>
      </c>
      <c r="N2862">
        <v>3</v>
      </c>
      <c r="O2862" s="1" t="s">
        <v>560</v>
      </c>
      <c r="P2862">
        <v>404.22</v>
      </c>
      <c r="Q2862">
        <v>0</v>
      </c>
      <c r="R2862">
        <v>1</v>
      </c>
      <c r="S2862" s="1"/>
      <c r="T2862" s="1"/>
      <c r="U2862">
        <v>404.22</v>
      </c>
      <c r="V2862">
        <v>0</v>
      </c>
      <c r="W2862">
        <v>77266</v>
      </c>
    </row>
    <row r="2863" spans="1:23" x14ac:dyDescent="0.25">
      <c r="A2863" s="1" t="s">
        <v>37</v>
      </c>
      <c r="B2863" s="1"/>
      <c r="C2863" s="1" t="s">
        <v>191</v>
      </c>
      <c r="D2863">
        <v>9224</v>
      </c>
      <c r="E2863" s="1"/>
      <c r="F2863" s="1" t="s">
        <v>319</v>
      </c>
      <c r="G2863">
        <v>2011</v>
      </c>
      <c r="H2863">
        <v>531.49</v>
      </c>
      <c r="I2863">
        <v>11</v>
      </c>
      <c r="J2863" s="1" t="s">
        <v>447</v>
      </c>
      <c r="K2863">
        <v>0</v>
      </c>
      <c r="L2863">
        <v>4404</v>
      </c>
      <c r="M2863">
        <v>0.12068</v>
      </c>
      <c r="N2863">
        <v>3</v>
      </c>
      <c r="O2863" s="1" t="s">
        <v>560</v>
      </c>
      <c r="P2863">
        <v>531.49</v>
      </c>
      <c r="Q2863">
        <v>425.19</v>
      </c>
      <c r="R2863">
        <v>0</v>
      </c>
      <c r="S2863" s="1" t="s">
        <v>673</v>
      </c>
      <c r="T2863" s="1"/>
      <c r="U2863">
        <v>531.48562000000004</v>
      </c>
      <c r="V2863">
        <v>0</v>
      </c>
      <c r="W2863">
        <v>77272</v>
      </c>
    </row>
    <row r="2864" spans="1:23" x14ac:dyDescent="0.25">
      <c r="A2864" s="1" t="s">
        <v>37</v>
      </c>
      <c r="B2864" s="1"/>
      <c r="C2864" s="1" t="s">
        <v>191</v>
      </c>
      <c r="D2864">
        <v>9224</v>
      </c>
      <c r="E2864" s="1"/>
      <c r="F2864" s="1" t="s">
        <v>319</v>
      </c>
      <c r="G2864">
        <v>2010</v>
      </c>
      <c r="H2864">
        <v>87.09</v>
      </c>
      <c r="I2864">
        <v>12</v>
      </c>
      <c r="J2864" s="1"/>
      <c r="K2864">
        <v>0</v>
      </c>
      <c r="L2864">
        <v>4404</v>
      </c>
      <c r="M2864">
        <v>1.9774E-2</v>
      </c>
      <c r="N2864">
        <v>3</v>
      </c>
      <c r="O2864" s="1" t="s">
        <v>560</v>
      </c>
      <c r="P2864">
        <v>87.09</v>
      </c>
      <c r="Q2864">
        <v>0</v>
      </c>
      <c r="R2864">
        <v>1</v>
      </c>
      <c r="S2864" s="1" t="s">
        <v>672</v>
      </c>
      <c r="T2864" s="1"/>
      <c r="U2864">
        <v>87.081670000000003</v>
      </c>
      <c r="V2864">
        <v>0</v>
      </c>
      <c r="W2864">
        <v>72741</v>
      </c>
    </row>
    <row r="2865" spans="1:23" x14ac:dyDescent="0.25">
      <c r="A2865" s="1" t="s">
        <v>37</v>
      </c>
      <c r="B2865" s="1"/>
      <c r="C2865" s="1" t="s">
        <v>191</v>
      </c>
      <c r="D2865">
        <v>9224</v>
      </c>
      <c r="E2865" s="1"/>
      <c r="F2865" s="1" t="s">
        <v>319</v>
      </c>
      <c r="G2865">
        <v>2010</v>
      </c>
      <c r="H2865">
        <v>245.15</v>
      </c>
      <c r="I2865">
        <v>12</v>
      </c>
      <c r="J2865" s="1"/>
      <c r="K2865">
        <v>0</v>
      </c>
      <c r="L2865">
        <v>4404</v>
      </c>
      <c r="M2865">
        <v>5.5663999999999998E-2</v>
      </c>
      <c r="N2865">
        <v>3</v>
      </c>
      <c r="O2865" s="1" t="s">
        <v>560</v>
      </c>
      <c r="P2865">
        <v>245.15</v>
      </c>
      <c r="Q2865">
        <v>0</v>
      </c>
      <c r="R2865">
        <v>1</v>
      </c>
      <c r="S2865" s="1"/>
      <c r="T2865" s="1"/>
      <c r="U2865">
        <v>245.17751000000001</v>
      </c>
      <c r="V2865">
        <v>0</v>
      </c>
      <c r="W2865">
        <v>77266</v>
      </c>
    </row>
    <row r="2866" spans="1:23" x14ac:dyDescent="0.25">
      <c r="A2866" s="1" t="s">
        <v>37</v>
      </c>
      <c r="B2866" s="1"/>
      <c r="C2866" s="1" t="s">
        <v>191</v>
      </c>
      <c r="D2866">
        <v>9224</v>
      </c>
      <c r="E2866" s="1"/>
      <c r="F2866" s="1" t="s">
        <v>319</v>
      </c>
      <c r="G2866">
        <v>2010</v>
      </c>
      <c r="H2866">
        <v>372.69</v>
      </c>
      <c r="I2866">
        <v>10</v>
      </c>
      <c r="J2866" s="1" t="s">
        <v>447</v>
      </c>
      <c r="K2866">
        <v>0</v>
      </c>
      <c r="L2866">
        <v>4404</v>
      </c>
      <c r="M2866">
        <v>8.4623000000000004E-2</v>
      </c>
      <c r="N2866">
        <v>3</v>
      </c>
      <c r="O2866" s="1" t="s">
        <v>560</v>
      </c>
      <c r="P2866">
        <v>372.69</v>
      </c>
      <c r="Q2866">
        <v>298.16000000000003</v>
      </c>
      <c r="R2866">
        <v>0</v>
      </c>
      <c r="S2866" s="1" t="s">
        <v>673</v>
      </c>
      <c r="T2866" s="1"/>
      <c r="U2866">
        <v>372.68383</v>
      </c>
      <c r="V2866">
        <v>0</v>
      </c>
      <c r="W2866">
        <v>77272</v>
      </c>
    </row>
    <row r="2867" spans="1:23" x14ac:dyDescent="0.25">
      <c r="A2867" s="1" t="s">
        <v>37</v>
      </c>
      <c r="B2867" s="1"/>
      <c r="C2867" s="1" t="s">
        <v>191</v>
      </c>
      <c r="D2867">
        <v>9224</v>
      </c>
      <c r="E2867" s="1"/>
      <c r="F2867" s="1" t="s">
        <v>319</v>
      </c>
      <c r="G2867">
        <v>2009</v>
      </c>
      <c r="H2867">
        <v>91.55</v>
      </c>
      <c r="I2867">
        <v>12</v>
      </c>
      <c r="J2867" s="1"/>
      <c r="K2867">
        <v>0</v>
      </c>
      <c r="L2867">
        <v>4404</v>
      </c>
      <c r="M2867">
        <v>2.0787E-2</v>
      </c>
      <c r="N2867">
        <v>3</v>
      </c>
      <c r="O2867" s="1" t="s">
        <v>560</v>
      </c>
      <c r="P2867">
        <v>91.55</v>
      </c>
      <c r="Q2867">
        <v>0</v>
      </c>
      <c r="R2867">
        <v>1</v>
      </c>
      <c r="S2867" s="1" t="s">
        <v>672</v>
      </c>
      <c r="T2867" s="1"/>
      <c r="U2867">
        <v>91.548299999999998</v>
      </c>
      <c r="V2867">
        <v>0</v>
      </c>
      <c r="W2867">
        <v>72741</v>
      </c>
    </row>
    <row r="2868" spans="1:23" x14ac:dyDescent="0.25">
      <c r="A2868" s="1" t="s">
        <v>37</v>
      </c>
      <c r="B2868" s="1"/>
      <c r="C2868" s="1" t="s">
        <v>191</v>
      </c>
      <c r="D2868">
        <v>9224</v>
      </c>
      <c r="E2868" s="1"/>
      <c r="F2868" s="1" t="s">
        <v>319</v>
      </c>
      <c r="G2868">
        <v>2009</v>
      </c>
      <c r="H2868">
        <v>271.10000000000002</v>
      </c>
      <c r="I2868">
        <v>12</v>
      </c>
      <c r="J2868" s="1"/>
      <c r="K2868">
        <v>0</v>
      </c>
      <c r="L2868">
        <v>4404</v>
      </c>
      <c r="M2868">
        <v>6.1556E-2</v>
      </c>
      <c r="N2868">
        <v>3</v>
      </c>
      <c r="O2868" s="1" t="s">
        <v>560</v>
      </c>
      <c r="P2868">
        <v>271.10000000000002</v>
      </c>
      <c r="Q2868">
        <v>0</v>
      </c>
      <c r="R2868">
        <v>1</v>
      </c>
      <c r="S2868" s="1"/>
      <c r="T2868" s="1"/>
      <c r="U2868">
        <v>271.11250999999999</v>
      </c>
      <c r="V2868">
        <v>0</v>
      </c>
      <c r="W2868">
        <v>77266</v>
      </c>
    </row>
    <row r="2869" spans="1:23" x14ac:dyDescent="0.25">
      <c r="A2869" s="1" t="s">
        <v>37</v>
      </c>
      <c r="B2869" s="1"/>
      <c r="C2869" s="1" t="s">
        <v>191</v>
      </c>
      <c r="D2869">
        <v>9224</v>
      </c>
      <c r="E2869" s="1"/>
      <c r="F2869" s="1" t="s">
        <v>319</v>
      </c>
      <c r="G2869">
        <v>2009</v>
      </c>
      <c r="H2869">
        <v>534.73</v>
      </c>
      <c r="I2869">
        <v>8</v>
      </c>
      <c r="J2869" s="1" t="s">
        <v>447</v>
      </c>
      <c r="K2869">
        <v>0</v>
      </c>
      <c r="L2869">
        <v>4404</v>
      </c>
      <c r="M2869">
        <v>0.121416</v>
      </c>
      <c r="N2869">
        <v>3</v>
      </c>
      <c r="O2869" s="1" t="s">
        <v>560</v>
      </c>
      <c r="P2869">
        <v>534.73</v>
      </c>
      <c r="Q2869">
        <v>427.77</v>
      </c>
      <c r="R2869">
        <v>0</v>
      </c>
      <c r="S2869" s="1" t="s">
        <v>673</v>
      </c>
      <c r="T2869" s="1"/>
      <c r="U2869">
        <v>534.71982000000003</v>
      </c>
      <c r="V2869">
        <v>0</v>
      </c>
      <c r="W2869">
        <v>77272</v>
      </c>
    </row>
    <row r="2870" spans="1:23" x14ac:dyDescent="0.25">
      <c r="A2870" s="1" t="s">
        <v>37</v>
      </c>
      <c r="B2870" s="1"/>
      <c r="C2870" s="1" t="s">
        <v>191</v>
      </c>
      <c r="D2870">
        <v>9224</v>
      </c>
      <c r="E2870" s="1"/>
      <c r="F2870" s="1" t="s">
        <v>319</v>
      </c>
      <c r="G2870">
        <v>2008</v>
      </c>
      <c r="H2870">
        <v>74.34</v>
      </c>
      <c r="I2870">
        <v>12</v>
      </c>
      <c r="J2870" s="1"/>
      <c r="K2870">
        <v>0</v>
      </c>
      <c r="L2870">
        <v>4404</v>
      </c>
      <c r="M2870">
        <v>1.6879000000000002E-2</v>
      </c>
      <c r="N2870">
        <v>3</v>
      </c>
      <c r="O2870" s="1" t="s">
        <v>560</v>
      </c>
      <c r="P2870">
        <v>74.34</v>
      </c>
      <c r="Q2870">
        <v>0</v>
      </c>
      <c r="R2870">
        <v>1</v>
      </c>
      <c r="S2870" s="1" t="s">
        <v>672</v>
      </c>
      <c r="T2870" s="1"/>
      <c r="U2870">
        <v>74.34</v>
      </c>
      <c r="V2870">
        <v>0</v>
      </c>
      <c r="W2870">
        <v>72741</v>
      </c>
    </row>
    <row r="2871" spans="1:23" x14ac:dyDescent="0.25">
      <c r="A2871" s="1" t="s">
        <v>37</v>
      </c>
      <c r="B2871" s="1"/>
      <c r="C2871" s="1" t="s">
        <v>191</v>
      </c>
      <c r="D2871">
        <v>9224</v>
      </c>
      <c r="E2871" s="1"/>
      <c r="F2871" s="1" t="s">
        <v>319</v>
      </c>
      <c r="G2871">
        <v>2008</v>
      </c>
      <c r="H2871">
        <v>7.66</v>
      </c>
      <c r="I2871">
        <v>12</v>
      </c>
      <c r="J2871" s="1"/>
      <c r="K2871">
        <v>0</v>
      </c>
      <c r="L2871">
        <v>4404</v>
      </c>
      <c r="M2871">
        <v>1.7390000000000001E-3</v>
      </c>
      <c r="N2871">
        <v>3</v>
      </c>
      <c r="O2871" s="1" t="s">
        <v>560</v>
      </c>
      <c r="P2871">
        <v>7.66</v>
      </c>
      <c r="Q2871">
        <v>0</v>
      </c>
      <c r="R2871">
        <v>1</v>
      </c>
      <c r="S2871" s="1"/>
      <c r="T2871" s="1"/>
      <c r="U2871">
        <v>7.66</v>
      </c>
      <c r="V2871">
        <v>0</v>
      </c>
      <c r="W2871">
        <v>77266</v>
      </c>
    </row>
    <row r="2872" spans="1:23" x14ac:dyDescent="0.25">
      <c r="A2872" s="1" t="s">
        <v>37</v>
      </c>
      <c r="B2872" s="1"/>
      <c r="C2872" s="1" t="s">
        <v>191</v>
      </c>
      <c r="D2872">
        <v>9224</v>
      </c>
      <c r="E2872" s="1"/>
      <c r="F2872" s="1" t="s">
        <v>319</v>
      </c>
      <c r="G2872">
        <v>2008</v>
      </c>
      <c r="H2872">
        <v>425.52</v>
      </c>
      <c r="I2872">
        <v>10</v>
      </c>
      <c r="J2872" s="1" t="s">
        <v>447</v>
      </c>
      <c r="K2872">
        <v>0</v>
      </c>
      <c r="L2872">
        <v>4404</v>
      </c>
      <c r="M2872">
        <v>9.6618999999999997E-2</v>
      </c>
      <c r="N2872">
        <v>3</v>
      </c>
      <c r="O2872" s="1" t="s">
        <v>560</v>
      </c>
      <c r="P2872">
        <v>425.52</v>
      </c>
      <c r="Q2872">
        <v>340.42</v>
      </c>
      <c r="R2872">
        <v>0</v>
      </c>
      <c r="S2872" s="1" t="s">
        <v>673</v>
      </c>
      <c r="T2872" s="1"/>
      <c r="U2872">
        <v>425.52614999999997</v>
      </c>
      <c r="V2872">
        <v>0</v>
      </c>
      <c r="W2872">
        <v>77272</v>
      </c>
    </row>
    <row r="2873" spans="1:23" x14ac:dyDescent="0.25">
      <c r="A2873" s="1" t="s">
        <v>37</v>
      </c>
      <c r="B2873" s="1"/>
      <c r="C2873" s="1" t="s">
        <v>192</v>
      </c>
      <c r="D2873">
        <v>10230</v>
      </c>
      <c r="E2873" s="1"/>
      <c r="F2873" s="1" t="s">
        <v>320</v>
      </c>
      <c r="G2873">
        <v>2015</v>
      </c>
      <c r="H2873">
        <v>41.41</v>
      </c>
      <c r="I2873">
        <v>5</v>
      </c>
      <c r="J2873" s="1" t="s">
        <v>399</v>
      </c>
      <c r="K2873">
        <v>0</v>
      </c>
      <c r="L2873">
        <v>711</v>
      </c>
      <c r="M2873">
        <v>5.8233E-2</v>
      </c>
      <c r="N2873">
        <v>3</v>
      </c>
      <c r="O2873" s="1" t="s">
        <v>560</v>
      </c>
      <c r="P2873">
        <v>41.41</v>
      </c>
      <c r="Q2873">
        <v>33.130000000000003</v>
      </c>
      <c r="R2873">
        <v>0</v>
      </c>
      <c r="S2873" s="1" t="s">
        <v>674</v>
      </c>
      <c r="T2873" s="1"/>
      <c r="U2873">
        <v>41.41</v>
      </c>
      <c r="V2873">
        <v>0</v>
      </c>
      <c r="W2873">
        <v>77502</v>
      </c>
    </row>
    <row r="2874" spans="1:23" x14ac:dyDescent="0.25">
      <c r="A2874" s="1" t="s">
        <v>37</v>
      </c>
      <c r="B2874" s="1"/>
      <c r="C2874" s="1" t="s">
        <v>192</v>
      </c>
      <c r="D2874">
        <v>10230</v>
      </c>
      <c r="E2874" s="1"/>
      <c r="F2874" s="1" t="s">
        <v>320</v>
      </c>
      <c r="G2874">
        <v>2014</v>
      </c>
      <c r="H2874">
        <v>125.3</v>
      </c>
      <c r="I2874">
        <v>12</v>
      </c>
      <c r="J2874" s="1" t="s">
        <v>399</v>
      </c>
      <c r="K2874">
        <v>0</v>
      </c>
      <c r="L2874">
        <v>711</v>
      </c>
      <c r="M2874">
        <v>0.176205</v>
      </c>
      <c r="N2874">
        <v>3</v>
      </c>
      <c r="O2874" s="1" t="s">
        <v>560</v>
      </c>
      <c r="P2874">
        <v>125.3</v>
      </c>
      <c r="Q2874">
        <v>100.24</v>
      </c>
      <c r="R2874">
        <v>0</v>
      </c>
      <c r="S2874" s="1" t="s">
        <v>674</v>
      </c>
      <c r="T2874" s="1"/>
      <c r="U2874">
        <v>125.3</v>
      </c>
      <c r="V2874">
        <v>0</v>
      </c>
      <c r="W2874">
        <v>77502</v>
      </c>
    </row>
    <row r="2875" spans="1:23" x14ac:dyDescent="0.25">
      <c r="A2875" s="1" t="s">
        <v>37</v>
      </c>
      <c r="B2875" s="1"/>
      <c r="C2875" s="1" t="s">
        <v>192</v>
      </c>
      <c r="D2875">
        <v>10230</v>
      </c>
      <c r="E2875" s="1"/>
      <c r="F2875" s="1" t="s">
        <v>320</v>
      </c>
      <c r="G2875">
        <v>2013</v>
      </c>
      <c r="H2875">
        <v>162.19999999999999</v>
      </c>
      <c r="I2875">
        <v>12</v>
      </c>
      <c r="J2875" s="1" t="s">
        <v>399</v>
      </c>
      <c r="K2875">
        <v>0</v>
      </c>
      <c r="L2875">
        <v>711</v>
      </c>
      <c r="M2875">
        <v>0.22809699999999999</v>
      </c>
      <c r="N2875">
        <v>3</v>
      </c>
      <c r="O2875" s="1" t="s">
        <v>560</v>
      </c>
      <c r="P2875">
        <v>162.19999999999999</v>
      </c>
      <c r="Q2875">
        <v>129.76</v>
      </c>
      <c r="R2875">
        <v>0</v>
      </c>
      <c r="S2875" s="1" t="s">
        <v>674</v>
      </c>
      <c r="T2875" s="1"/>
      <c r="U2875">
        <v>162.19999999999999</v>
      </c>
      <c r="V2875">
        <v>0</v>
      </c>
      <c r="W2875">
        <v>77502</v>
      </c>
    </row>
    <row r="2876" spans="1:23" x14ac:dyDescent="0.25">
      <c r="A2876" s="1" t="s">
        <v>37</v>
      </c>
      <c r="B2876" s="1"/>
      <c r="C2876" s="1" t="s">
        <v>192</v>
      </c>
      <c r="D2876">
        <v>10230</v>
      </c>
      <c r="E2876" s="1"/>
      <c r="F2876" s="1" t="s">
        <v>320</v>
      </c>
      <c r="G2876">
        <v>2012</v>
      </c>
      <c r="H2876">
        <v>154.1</v>
      </c>
      <c r="I2876">
        <v>12</v>
      </c>
      <c r="J2876" s="1" t="s">
        <v>399</v>
      </c>
      <c r="K2876">
        <v>0</v>
      </c>
      <c r="L2876">
        <v>711</v>
      </c>
      <c r="M2876">
        <v>0.21670600000000001</v>
      </c>
      <c r="N2876">
        <v>3</v>
      </c>
      <c r="O2876" s="1" t="s">
        <v>560</v>
      </c>
      <c r="P2876">
        <v>154.1</v>
      </c>
      <c r="Q2876">
        <v>123.28</v>
      </c>
      <c r="R2876">
        <v>0</v>
      </c>
      <c r="S2876" s="1" t="s">
        <v>674</v>
      </c>
      <c r="T2876" s="1"/>
      <c r="U2876">
        <v>154.1</v>
      </c>
      <c r="V2876">
        <v>0</v>
      </c>
      <c r="W2876">
        <v>77502</v>
      </c>
    </row>
    <row r="2877" spans="1:23" x14ac:dyDescent="0.25">
      <c r="A2877" s="1" t="s">
        <v>37</v>
      </c>
      <c r="B2877" s="1"/>
      <c r="C2877" s="1" t="s">
        <v>192</v>
      </c>
      <c r="D2877">
        <v>10230</v>
      </c>
      <c r="E2877" s="1"/>
      <c r="F2877" s="1" t="s">
        <v>320</v>
      </c>
      <c r="G2877">
        <v>2011</v>
      </c>
      <c r="H2877">
        <v>120.64</v>
      </c>
      <c r="I2877">
        <v>9</v>
      </c>
      <c r="J2877" s="1" t="s">
        <v>399</v>
      </c>
      <c r="K2877">
        <v>0</v>
      </c>
      <c r="L2877">
        <v>711</v>
      </c>
      <c r="M2877">
        <v>0.169652</v>
      </c>
      <c r="N2877">
        <v>3</v>
      </c>
      <c r="O2877" s="1" t="s">
        <v>560</v>
      </c>
      <c r="P2877">
        <v>120.64</v>
      </c>
      <c r="Q2877">
        <v>96.52</v>
      </c>
      <c r="R2877">
        <v>0</v>
      </c>
      <c r="S2877" s="1" t="s">
        <v>674</v>
      </c>
      <c r="T2877" s="1"/>
      <c r="U2877">
        <v>120.63636</v>
      </c>
      <c r="V2877">
        <v>0</v>
      </c>
      <c r="W2877">
        <v>77502</v>
      </c>
    </row>
    <row r="2878" spans="1:23" x14ac:dyDescent="0.25">
      <c r="A2878" s="1" t="s">
        <v>37</v>
      </c>
      <c r="B2878" s="1"/>
      <c r="C2878" s="1" t="s">
        <v>192</v>
      </c>
      <c r="D2878">
        <v>10230</v>
      </c>
      <c r="E2878" s="1"/>
      <c r="F2878" s="1" t="s">
        <v>320</v>
      </c>
      <c r="G2878">
        <v>2010</v>
      </c>
      <c r="H2878">
        <v>306.42</v>
      </c>
      <c r="I2878">
        <v>11</v>
      </c>
      <c r="J2878" s="1" t="s">
        <v>399</v>
      </c>
      <c r="K2878">
        <v>0</v>
      </c>
      <c r="L2878">
        <v>711</v>
      </c>
      <c r="M2878">
        <v>0.43090899999999999</v>
      </c>
      <c r="N2878">
        <v>3</v>
      </c>
      <c r="O2878" s="1" t="s">
        <v>560</v>
      </c>
      <c r="P2878">
        <v>306.42</v>
      </c>
      <c r="Q2878">
        <v>245.15</v>
      </c>
      <c r="R2878">
        <v>0</v>
      </c>
      <c r="S2878" s="1" t="s">
        <v>674</v>
      </c>
      <c r="T2878" s="1"/>
      <c r="U2878">
        <v>306.42077999999998</v>
      </c>
      <c r="V2878">
        <v>0</v>
      </c>
      <c r="W2878">
        <v>77502</v>
      </c>
    </row>
    <row r="2879" spans="1:23" x14ac:dyDescent="0.25">
      <c r="A2879" s="1" t="s">
        <v>37</v>
      </c>
      <c r="B2879" s="1"/>
      <c r="C2879" s="1" t="s">
        <v>192</v>
      </c>
      <c r="D2879">
        <v>10230</v>
      </c>
      <c r="E2879" s="1"/>
      <c r="F2879" s="1" t="s">
        <v>320</v>
      </c>
      <c r="G2879">
        <v>2009</v>
      </c>
      <c r="H2879">
        <v>159.51</v>
      </c>
      <c r="I2879">
        <v>12</v>
      </c>
      <c r="J2879" s="1" t="s">
        <v>399</v>
      </c>
      <c r="K2879">
        <v>0</v>
      </c>
      <c r="L2879">
        <v>711</v>
      </c>
      <c r="M2879">
        <v>0.22431400000000001</v>
      </c>
      <c r="N2879">
        <v>3</v>
      </c>
      <c r="O2879" s="1" t="s">
        <v>560</v>
      </c>
      <c r="P2879">
        <v>159.51</v>
      </c>
      <c r="Q2879">
        <v>127.62</v>
      </c>
      <c r="R2879">
        <v>0</v>
      </c>
      <c r="S2879" s="1" t="s">
        <v>674</v>
      </c>
      <c r="T2879" s="1"/>
      <c r="U2879">
        <v>159.52350000000001</v>
      </c>
      <c r="V2879">
        <v>0</v>
      </c>
      <c r="W2879">
        <v>77502</v>
      </c>
    </row>
    <row r="2880" spans="1:23" x14ac:dyDescent="0.25">
      <c r="A2880" s="1" t="s">
        <v>37</v>
      </c>
      <c r="B2880" s="1"/>
      <c r="C2880" s="1" t="s">
        <v>192</v>
      </c>
      <c r="D2880">
        <v>10230</v>
      </c>
      <c r="E2880" s="1"/>
      <c r="F2880" s="1" t="s">
        <v>320</v>
      </c>
      <c r="G2880">
        <v>2008</v>
      </c>
      <c r="H2880">
        <v>182.67</v>
      </c>
      <c r="I2880">
        <v>13</v>
      </c>
      <c r="J2880" s="1" t="s">
        <v>399</v>
      </c>
      <c r="K2880">
        <v>0</v>
      </c>
      <c r="L2880">
        <v>711</v>
      </c>
      <c r="M2880">
        <v>0.25688299999999997</v>
      </c>
      <c r="N2880">
        <v>3</v>
      </c>
      <c r="O2880" s="1" t="s">
        <v>560</v>
      </c>
      <c r="P2880">
        <v>182.67</v>
      </c>
      <c r="Q2880">
        <v>146.13999999999999</v>
      </c>
      <c r="R2880">
        <v>0</v>
      </c>
      <c r="S2880" s="1" t="s">
        <v>674</v>
      </c>
      <c r="T2880" s="1"/>
      <c r="U2880">
        <v>182.67741000000001</v>
      </c>
      <c r="V2880">
        <v>0</v>
      </c>
      <c r="W2880">
        <v>77502</v>
      </c>
    </row>
    <row r="2881" spans="1:23" x14ac:dyDescent="0.25">
      <c r="A2881" s="1" t="s">
        <v>37</v>
      </c>
      <c r="B2881" s="1"/>
      <c r="C2881" s="1" t="s">
        <v>193</v>
      </c>
      <c r="D2881">
        <v>10991</v>
      </c>
      <c r="E2881" s="1"/>
      <c r="F2881" s="1" t="s">
        <v>321</v>
      </c>
      <c r="G2881">
        <v>2015</v>
      </c>
      <c r="H2881">
        <v>369.47</v>
      </c>
      <c r="I2881">
        <v>3</v>
      </c>
      <c r="J2881" s="1" t="s">
        <v>421</v>
      </c>
      <c r="K2881">
        <v>0</v>
      </c>
      <c r="L2881">
        <v>1475</v>
      </c>
      <c r="M2881">
        <v>0.250471</v>
      </c>
      <c r="N2881">
        <v>3</v>
      </c>
      <c r="O2881" s="1" t="s">
        <v>560</v>
      </c>
      <c r="P2881">
        <v>369.47</v>
      </c>
      <c r="Q2881">
        <v>295.57</v>
      </c>
      <c r="R2881">
        <v>0</v>
      </c>
      <c r="S2881" s="1" t="s">
        <v>675</v>
      </c>
      <c r="T2881" s="1"/>
      <c r="U2881">
        <v>369.46807999999999</v>
      </c>
      <c r="V2881">
        <v>0</v>
      </c>
      <c r="W2881">
        <v>79482</v>
      </c>
    </row>
    <row r="2882" spans="1:23" x14ac:dyDescent="0.25">
      <c r="A2882" s="1" t="s">
        <v>37</v>
      </c>
      <c r="B2882" s="1"/>
      <c r="C2882" s="1" t="s">
        <v>193</v>
      </c>
      <c r="D2882">
        <v>10991</v>
      </c>
      <c r="E2882" s="1"/>
      <c r="F2882" s="1" t="s">
        <v>321</v>
      </c>
      <c r="G2882">
        <v>2015</v>
      </c>
      <c r="H2882">
        <v>166.74</v>
      </c>
      <c r="I2882">
        <v>3</v>
      </c>
      <c r="J2882" s="1" t="s">
        <v>421</v>
      </c>
      <c r="K2882">
        <v>0</v>
      </c>
      <c r="L2882">
        <v>1475</v>
      </c>
      <c r="M2882">
        <v>0.113036</v>
      </c>
      <c r="N2882">
        <v>3</v>
      </c>
      <c r="O2882" s="1" t="s">
        <v>560</v>
      </c>
      <c r="P2882">
        <v>166.74</v>
      </c>
      <c r="Q2882">
        <v>133.4</v>
      </c>
      <c r="R2882">
        <v>1</v>
      </c>
      <c r="S2882" s="1" t="s">
        <v>676</v>
      </c>
      <c r="T2882" s="1"/>
      <c r="U2882">
        <v>166.74467000000001</v>
      </c>
      <c r="V2882">
        <v>0</v>
      </c>
      <c r="W2882">
        <v>79717</v>
      </c>
    </row>
    <row r="2883" spans="1:23" x14ac:dyDescent="0.25">
      <c r="A2883" s="1" t="s">
        <v>37</v>
      </c>
      <c r="B2883" s="1"/>
      <c r="C2883" s="1" t="s">
        <v>193</v>
      </c>
      <c r="D2883">
        <v>10991</v>
      </c>
      <c r="E2883" s="1"/>
      <c r="F2883" s="1" t="s">
        <v>321</v>
      </c>
      <c r="G2883">
        <v>2015</v>
      </c>
      <c r="H2883">
        <v>30</v>
      </c>
      <c r="I2883">
        <v>3</v>
      </c>
      <c r="J2883" s="1" t="s">
        <v>421</v>
      </c>
      <c r="K2883">
        <v>0</v>
      </c>
      <c r="L2883">
        <v>1475</v>
      </c>
      <c r="M2883">
        <v>2.0337000000000001E-2</v>
      </c>
      <c r="N2883">
        <v>3</v>
      </c>
      <c r="O2883" s="1" t="s">
        <v>560</v>
      </c>
      <c r="P2883">
        <v>30</v>
      </c>
      <c r="Q2883">
        <v>24</v>
      </c>
      <c r="R2883">
        <v>1</v>
      </c>
      <c r="S2883" s="1" t="s">
        <v>677</v>
      </c>
      <c r="T2883" s="1"/>
      <c r="U2883">
        <v>30</v>
      </c>
      <c r="V2883">
        <v>0</v>
      </c>
      <c r="W2883">
        <v>79718</v>
      </c>
    </row>
    <row r="2884" spans="1:23" x14ac:dyDescent="0.25">
      <c r="A2884" s="1" t="s">
        <v>37</v>
      </c>
      <c r="B2884" s="1"/>
      <c r="C2884" s="1" t="s">
        <v>193</v>
      </c>
      <c r="D2884">
        <v>10991</v>
      </c>
      <c r="E2884" s="1"/>
      <c r="F2884" s="1" t="s">
        <v>321</v>
      </c>
      <c r="G2884">
        <v>2015</v>
      </c>
      <c r="H2884">
        <v>0</v>
      </c>
      <c r="I2884">
        <v>3</v>
      </c>
      <c r="J2884" s="1" t="s">
        <v>421</v>
      </c>
      <c r="K2884">
        <v>0</v>
      </c>
      <c r="L2884">
        <v>1475</v>
      </c>
      <c r="M2884">
        <v>0</v>
      </c>
      <c r="N2884">
        <v>3</v>
      </c>
      <c r="O2884" s="1" t="s">
        <v>560</v>
      </c>
      <c r="P2884">
        <v>0</v>
      </c>
      <c r="Q2884">
        <v>0</v>
      </c>
      <c r="R2884">
        <v>1</v>
      </c>
      <c r="S2884" s="1" t="s">
        <v>678</v>
      </c>
      <c r="T2884" s="1"/>
      <c r="U2884">
        <v>0</v>
      </c>
      <c r="V2884">
        <v>0</v>
      </c>
      <c r="W2884">
        <v>79719</v>
      </c>
    </row>
    <row r="2885" spans="1:23" x14ac:dyDescent="0.25">
      <c r="A2885" s="1" t="s">
        <v>37</v>
      </c>
      <c r="B2885" s="1"/>
      <c r="C2885" s="1" t="s">
        <v>193</v>
      </c>
      <c r="D2885">
        <v>10991</v>
      </c>
      <c r="E2885" s="1"/>
      <c r="F2885" s="1" t="s">
        <v>321</v>
      </c>
      <c r="G2885">
        <v>2014</v>
      </c>
      <c r="H2885">
        <v>849.75</v>
      </c>
      <c r="I2885">
        <v>9</v>
      </c>
      <c r="J2885" s="1" t="s">
        <v>421</v>
      </c>
      <c r="K2885">
        <v>0</v>
      </c>
      <c r="L2885">
        <v>1475</v>
      </c>
      <c r="M2885">
        <v>0.57606199999999996</v>
      </c>
      <c r="N2885">
        <v>3</v>
      </c>
      <c r="O2885" s="1" t="s">
        <v>560</v>
      </c>
      <c r="P2885">
        <v>849.75</v>
      </c>
      <c r="Q2885">
        <v>679.8</v>
      </c>
      <c r="R2885">
        <v>0</v>
      </c>
      <c r="S2885" s="1" t="s">
        <v>675</v>
      </c>
      <c r="T2885" s="1"/>
      <c r="U2885">
        <v>849.74929999999995</v>
      </c>
      <c r="V2885">
        <v>0</v>
      </c>
      <c r="W2885">
        <v>79482</v>
      </c>
    </row>
    <row r="2886" spans="1:23" x14ac:dyDescent="0.25">
      <c r="A2886" s="1" t="s">
        <v>37</v>
      </c>
      <c r="B2886" s="1"/>
      <c r="C2886" s="1" t="s">
        <v>193</v>
      </c>
      <c r="D2886">
        <v>10991</v>
      </c>
      <c r="E2886" s="1"/>
      <c r="F2886" s="1" t="s">
        <v>321</v>
      </c>
      <c r="G2886">
        <v>2014</v>
      </c>
      <c r="H2886">
        <v>344.08</v>
      </c>
      <c r="I2886">
        <v>10</v>
      </c>
      <c r="J2886" s="1" t="s">
        <v>421</v>
      </c>
      <c r="K2886">
        <v>0</v>
      </c>
      <c r="L2886">
        <v>1475</v>
      </c>
      <c r="M2886">
        <v>0.23325799999999999</v>
      </c>
      <c r="N2886">
        <v>3</v>
      </c>
      <c r="O2886" s="1" t="s">
        <v>560</v>
      </c>
      <c r="P2886">
        <v>344.08</v>
      </c>
      <c r="Q2886">
        <v>275.26</v>
      </c>
      <c r="R2886">
        <v>1</v>
      </c>
      <c r="S2886" s="1" t="s">
        <v>676</v>
      </c>
      <c r="T2886" s="1"/>
      <c r="U2886">
        <v>344.08139999999997</v>
      </c>
      <c r="V2886">
        <v>0</v>
      </c>
      <c r="W2886">
        <v>79717</v>
      </c>
    </row>
    <row r="2887" spans="1:23" x14ac:dyDescent="0.25">
      <c r="A2887" s="1" t="s">
        <v>37</v>
      </c>
      <c r="B2887" s="1"/>
      <c r="C2887" s="1" t="s">
        <v>193</v>
      </c>
      <c r="D2887">
        <v>10991</v>
      </c>
      <c r="E2887" s="1"/>
      <c r="F2887" s="1" t="s">
        <v>321</v>
      </c>
      <c r="G2887">
        <v>2014</v>
      </c>
      <c r="H2887">
        <v>57.12</v>
      </c>
      <c r="I2887">
        <v>10</v>
      </c>
      <c r="J2887" s="1" t="s">
        <v>421</v>
      </c>
      <c r="K2887">
        <v>0</v>
      </c>
      <c r="L2887">
        <v>1475</v>
      </c>
      <c r="M2887">
        <v>3.8721999999999999E-2</v>
      </c>
      <c r="N2887">
        <v>3</v>
      </c>
      <c r="O2887" s="1" t="s">
        <v>560</v>
      </c>
      <c r="P2887">
        <v>57.12</v>
      </c>
      <c r="Q2887">
        <v>45.7</v>
      </c>
      <c r="R2887">
        <v>1</v>
      </c>
      <c r="S2887" s="1" t="s">
        <v>677</v>
      </c>
      <c r="T2887" s="1"/>
      <c r="U2887">
        <v>57.13044</v>
      </c>
      <c r="V2887">
        <v>0</v>
      </c>
      <c r="W2887">
        <v>79718</v>
      </c>
    </row>
    <row r="2888" spans="1:23" x14ac:dyDescent="0.25">
      <c r="A2888" s="1" t="s">
        <v>37</v>
      </c>
      <c r="B2888" s="1"/>
      <c r="C2888" s="1" t="s">
        <v>193</v>
      </c>
      <c r="D2888">
        <v>10991</v>
      </c>
      <c r="E2888" s="1"/>
      <c r="F2888" s="1" t="s">
        <v>321</v>
      </c>
      <c r="G2888">
        <v>2014</v>
      </c>
      <c r="H2888">
        <v>0</v>
      </c>
      <c r="I2888">
        <v>10</v>
      </c>
      <c r="J2888" s="1" t="s">
        <v>421</v>
      </c>
      <c r="K2888">
        <v>0</v>
      </c>
      <c r="L2888">
        <v>1475</v>
      </c>
      <c r="M2888">
        <v>0</v>
      </c>
      <c r="N2888">
        <v>3</v>
      </c>
      <c r="O2888" s="1" t="s">
        <v>560</v>
      </c>
      <c r="P2888">
        <v>0</v>
      </c>
      <c r="Q2888">
        <v>0</v>
      </c>
      <c r="R2888">
        <v>1</v>
      </c>
      <c r="S2888" s="1" t="s">
        <v>678</v>
      </c>
      <c r="T2888" s="1"/>
      <c r="U2888">
        <v>0</v>
      </c>
      <c r="V2888">
        <v>0</v>
      </c>
      <c r="W2888">
        <v>79719</v>
      </c>
    </row>
    <row r="2889" spans="1:23" x14ac:dyDescent="0.25">
      <c r="A2889" s="1" t="s">
        <v>37</v>
      </c>
      <c r="B2889" s="1"/>
      <c r="C2889" s="1" t="s">
        <v>193</v>
      </c>
      <c r="D2889">
        <v>10991</v>
      </c>
      <c r="E2889" s="1"/>
      <c r="F2889" s="1" t="s">
        <v>321</v>
      </c>
      <c r="G2889">
        <v>2013</v>
      </c>
      <c r="H2889">
        <v>864.86</v>
      </c>
      <c r="I2889">
        <v>11</v>
      </c>
      <c r="J2889" s="1" t="s">
        <v>421</v>
      </c>
      <c r="K2889">
        <v>0</v>
      </c>
      <c r="L2889">
        <v>1475</v>
      </c>
      <c r="M2889">
        <v>0.58630599999999999</v>
      </c>
      <c r="N2889">
        <v>3</v>
      </c>
      <c r="O2889" s="1" t="s">
        <v>560</v>
      </c>
      <c r="P2889">
        <v>864.86</v>
      </c>
      <c r="Q2889">
        <v>691.9</v>
      </c>
      <c r="R2889">
        <v>0</v>
      </c>
      <c r="S2889" s="1" t="s">
        <v>675</v>
      </c>
      <c r="T2889" s="1"/>
      <c r="U2889">
        <v>864.87937999999997</v>
      </c>
      <c r="V2889">
        <v>0</v>
      </c>
      <c r="W2889">
        <v>79482</v>
      </c>
    </row>
    <row r="2890" spans="1:23" x14ac:dyDescent="0.25">
      <c r="A2890" s="1" t="s">
        <v>37</v>
      </c>
      <c r="B2890" s="1"/>
      <c r="C2890" s="1" t="s">
        <v>193</v>
      </c>
      <c r="D2890">
        <v>10991</v>
      </c>
      <c r="E2890" s="1"/>
      <c r="F2890" s="1" t="s">
        <v>321</v>
      </c>
      <c r="G2890">
        <v>2013</v>
      </c>
      <c r="H2890">
        <v>347.56</v>
      </c>
      <c r="I2890">
        <v>11</v>
      </c>
      <c r="J2890" s="1" t="s">
        <v>421</v>
      </c>
      <c r="K2890">
        <v>0</v>
      </c>
      <c r="L2890">
        <v>1475</v>
      </c>
      <c r="M2890">
        <v>0.23561699999999999</v>
      </c>
      <c r="N2890">
        <v>3</v>
      </c>
      <c r="O2890" s="1" t="s">
        <v>560</v>
      </c>
      <c r="P2890">
        <v>347.56</v>
      </c>
      <c r="Q2890">
        <v>278.06</v>
      </c>
      <c r="R2890">
        <v>1</v>
      </c>
      <c r="S2890" s="1" t="s">
        <v>676</v>
      </c>
      <c r="T2890" s="1"/>
      <c r="U2890">
        <v>347.56099999999998</v>
      </c>
      <c r="V2890">
        <v>0</v>
      </c>
      <c r="W2890">
        <v>79717</v>
      </c>
    </row>
    <row r="2891" spans="1:23" x14ac:dyDescent="0.25">
      <c r="A2891" s="1" t="s">
        <v>37</v>
      </c>
      <c r="B2891" s="1"/>
      <c r="C2891" s="1" t="s">
        <v>193</v>
      </c>
      <c r="D2891">
        <v>10991</v>
      </c>
      <c r="E2891" s="1"/>
      <c r="F2891" s="1" t="s">
        <v>321</v>
      </c>
      <c r="G2891">
        <v>2013</v>
      </c>
      <c r="H2891">
        <v>71.87</v>
      </c>
      <c r="I2891">
        <v>11</v>
      </c>
      <c r="J2891" s="1" t="s">
        <v>421</v>
      </c>
      <c r="K2891">
        <v>0</v>
      </c>
      <c r="L2891">
        <v>1475</v>
      </c>
      <c r="M2891">
        <v>4.8722000000000001E-2</v>
      </c>
      <c r="N2891">
        <v>3</v>
      </c>
      <c r="O2891" s="1" t="s">
        <v>560</v>
      </c>
      <c r="P2891">
        <v>71.87</v>
      </c>
      <c r="Q2891">
        <v>57.5</v>
      </c>
      <c r="R2891">
        <v>1</v>
      </c>
      <c r="S2891" s="1" t="s">
        <v>677</v>
      </c>
      <c r="T2891" s="1"/>
      <c r="U2891">
        <v>71.869569999999996</v>
      </c>
      <c r="V2891">
        <v>0</v>
      </c>
      <c r="W2891">
        <v>79718</v>
      </c>
    </row>
    <row r="2892" spans="1:23" x14ac:dyDescent="0.25">
      <c r="A2892" s="1" t="s">
        <v>37</v>
      </c>
      <c r="B2892" s="1"/>
      <c r="C2892" s="1" t="s">
        <v>193</v>
      </c>
      <c r="D2892">
        <v>10991</v>
      </c>
      <c r="E2892" s="1"/>
      <c r="F2892" s="1" t="s">
        <v>321</v>
      </c>
      <c r="G2892">
        <v>2013</v>
      </c>
      <c r="H2892">
        <v>19</v>
      </c>
      <c r="I2892">
        <v>11</v>
      </c>
      <c r="J2892" s="1" t="s">
        <v>421</v>
      </c>
      <c r="K2892">
        <v>0</v>
      </c>
      <c r="L2892">
        <v>1475</v>
      </c>
      <c r="M2892">
        <v>1.2880000000000001E-2</v>
      </c>
      <c r="N2892">
        <v>3</v>
      </c>
      <c r="O2892" s="1" t="s">
        <v>560</v>
      </c>
      <c r="P2892">
        <v>19</v>
      </c>
      <c r="Q2892">
        <v>15.19</v>
      </c>
      <c r="R2892">
        <v>1</v>
      </c>
      <c r="S2892" s="1" t="s">
        <v>678</v>
      </c>
      <c r="T2892" s="1"/>
      <c r="U2892">
        <v>19</v>
      </c>
      <c r="V2892">
        <v>0</v>
      </c>
      <c r="W2892">
        <v>79719</v>
      </c>
    </row>
    <row r="2893" spans="1:23" x14ac:dyDescent="0.25">
      <c r="A2893" s="1" t="s">
        <v>37</v>
      </c>
      <c r="B2893" s="1"/>
      <c r="C2893" s="1" t="s">
        <v>193</v>
      </c>
      <c r="D2893">
        <v>10991</v>
      </c>
      <c r="E2893" s="1"/>
      <c r="F2893" s="1" t="s">
        <v>321</v>
      </c>
      <c r="G2893">
        <v>2012</v>
      </c>
      <c r="H2893">
        <v>896.69</v>
      </c>
      <c r="I2893">
        <v>11</v>
      </c>
      <c r="J2893" s="1" t="s">
        <v>421</v>
      </c>
      <c r="K2893">
        <v>0</v>
      </c>
      <c r="L2893">
        <v>1475</v>
      </c>
      <c r="M2893">
        <v>0.60788399999999998</v>
      </c>
      <c r="N2893">
        <v>3</v>
      </c>
      <c r="O2893" s="1" t="s">
        <v>560</v>
      </c>
      <c r="P2893">
        <v>896.69</v>
      </c>
      <c r="Q2893">
        <v>717.37</v>
      </c>
      <c r="R2893">
        <v>0</v>
      </c>
      <c r="S2893" s="1" t="s">
        <v>675</v>
      </c>
      <c r="T2893" s="1"/>
      <c r="U2893">
        <v>896.68894999999998</v>
      </c>
      <c r="V2893">
        <v>0</v>
      </c>
      <c r="W2893">
        <v>79482</v>
      </c>
    </row>
    <row r="2894" spans="1:23" x14ac:dyDescent="0.25">
      <c r="A2894" s="1" t="s">
        <v>37</v>
      </c>
      <c r="B2894" s="1"/>
      <c r="C2894" s="1" t="s">
        <v>193</v>
      </c>
      <c r="D2894">
        <v>10991</v>
      </c>
      <c r="E2894" s="1"/>
      <c r="F2894" s="1" t="s">
        <v>321</v>
      </c>
      <c r="G2894">
        <v>2012</v>
      </c>
      <c r="H2894">
        <v>332.08</v>
      </c>
      <c r="I2894">
        <v>11</v>
      </c>
      <c r="J2894" s="1" t="s">
        <v>421</v>
      </c>
      <c r="K2894">
        <v>0</v>
      </c>
      <c r="L2894">
        <v>1475</v>
      </c>
      <c r="M2894">
        <v>0.22512299999999999</v>
      </c>
      <c r="N2894">
        <v>3</v>
      </c>
      <c r="O2894" s="1" t="s">
        <v>560</v>
      </c>
      <c r="P2894">
        <v>332.08</v>
      </c>
      <c r="Q2894">
        <v>265.66000000000003</v>
      </c>
      <c r="R2894">
        <v>1</v>
      </c>
      <c r="S2894" s="1" t="s">
        <v>676</v>
      </c>
      <c r="T2894" s="1"/>
      <c r="U2894">
        <v>332.0772</v>
      </c>
      <c r="V2894">
        <v>0</v>
      </c>
      <c r="W2894">
        <v>79717</v>
      </c>
    </row>
    <row r="2895" spans="1:23" x14ac:dyDescent="0.25">
      <c r="A2895" s="1" t="s">
        <v>37</v>
      </c>
      <c r="B2895" s="1"/>
      <c r="C2895" s="1" t="s">
        <v>193</v>
      </c>
      <c r="D2895">
        <v>10991</v>
      </c>
      <c r="E2895" s="1"/>
      <c r="F2895" s="1" t="s">
        <v>321</v>
      </c>
      <c r="G2895">
        <v>2012</v>
      </c>
      <c r="H2895">
        <v>46.99</v>
      </c>
      <c r="I2895">
        <v>11</v>
      </c>
      <c r="J2895" s="1" t="s">
        <v>421</v>
      </c>
      <c r="K2895">
        <v>0</v>
      </c>
      <c r="L2895">
        <v>1475</v>
      </c>
      <c r="M2895">
        <v>3.1855000000000001E-2</v>
      </c>
      <c r="N2895">
        <v>3</v>
      </c>
      <c r="O2895" s="1" t="s">
        <v>560</v>
      </c>
      <c r="P2895">
        <v>46.99</v>
      </c>
      <c r="Q2895">
        <v>37.6</v>
      </c>
      <c r="R2895">
        <v>1</v>
      </c>
      <c r="S2895" s="1" t="s">
        <v>677</v>
      </c>
      <c r="T2895" s="1"/>
      <c r="U2895">
        <v>47</v>
      </c>
      <c r="V2895">
        <v>0</v>
      </c>
      <c r="W2895">
        <v>79718</v>
      </c>
    </row>
    <row r="2896" spans="1:23" x14ac:dyDescent="0.25">
      <c r="A2896" s="1" t="s">
        <v>37</v>
      </c>
      <c r="B2896" s="1"/>
      <c r="C2896" s="1" t="s">
        <v>193</v>
      </c>
      <c r="D2896">
        <v>10991</v>
      </c>
      <c r="E2896" s="1"/>
      <c r="F2896" s="1" t="s">
        <v>321</v>
      </c>
      <c r="G2896">
        <v>2012</v>
      </c>
      <c r="H2896">
        <v>13.15</v>
      </c>
      <c r="I2896">
        <v>11</v>
      </c>
      <c r="J2896" s="1" t="s">
        <v>421</v>
      </c>
      <c r="K2896">
        <v>0</v>
      </c>
      <c r="L2896">
        <v>1475</v>
      </c>
      <c r="M2896">
        <v>8.914E-3</v>
      </c>
      <c r="N2896">
        <v>3</v>
      </c>
      <c r="O2896" s="1" t="s">
        <v>560</v>
      </c>
      <c r="P2896">
        <v>13.15</v>
      </c>
      <c r="Q2896">
        <v>10.51</v>
      </c>
      <c r="R2896">
        <v>1</v>
      </c>
      <c r="S2896" s="1" t="s">
        <v>678</v>
      </c>
      <c r="T2896" s="1"/>
      <c r="U2896">
        <v>13.142860000000001</v>
      </c>
      <c r="V2896">
        <v>0</v>
      </c>
      <c r="W2896">
        <v>79719</v>
      </c>
    </row>
    <row r="2897" spans="1:23" x14ac:dyDescent="0.25">
      <c r="A2897" s="1" t="s">
        <v>37</v>
      </c>
      <c r="B2897" s="1"/>
      <c r="C2897" s="1" t="s">
        <v>193</v>
      </c>
      <c r="D2897">
        <v>10991</v>
      </c>
      <c r="E2897" s="1"/>
      <c r="F2897" s="1" t="s">
        <v>321</v>
      </c>
      <c r="G2897">
        <v>2011</v>
      </c>
      <c r="H2897">
        <v>1298.4000000000001</v>
      </c>
      <c r="I2897">
        <v>8</v>
      </c>
      <c r="J2897" s="1" t="s">
        <v>421</v>
      </c>
      <c r="K2897">
        <v>0</v>
      </c>
      <c r="L2897">
        <v>1475</v>
      </c>
      <c r="M2897">
        <v>0.88021099999999997</v>
      </c>
      <c r="N2897">
        <v>3</v>
      </c>
      <c r="O2897" s="1" t="s">
        <v>560</v>
      </c>
      <c r="P2897">
        <v>1298.4000000000001</v>
      </c>
      <c r="Q2897">
        <v>1038.73</v>
      </c>
      <c r="R2897">
        <v>0</v>
      </c>
      <c r="S2897" s="1" t="s">
        <v>675</v>
      </c>
      <c r="T2897" s="1"/>
      <c r="U2897">
        <v>1298.3961200000001</v>
      </c>
      <c r="V2897">
        <v>0</v>
      </c>
      <c r="W2897">
        <v>79482</v>
      </c>
    </row>
    <row r="2898" spans="1:23" x14ac:dyDescent="0.25">
      <c r="A2898" s="1" t="s">
        <v>37</v>
      </c>
      <c r="B2898" s="1"/>
      <c r="C2898" s="1" t="s">
        <v>193</v>
      </c>
      <c r="D2898">
        <v>10991</v>
      </c>
      <c r="E2898" s="1"/>
      <c r="F2898" s="1" t="s">
        <v>321</v>
      </c>
      <c r="G2898">
        <v>2011</v>
      </c>
      <c r="H2898">
        <v>380.9</v>
      </c>
      <c r="I2898">
        <v>8</v>
      </c>
      <c r="J2898" s="1" t="s">
        <v>421</v>
      </c>
      <c r="K2898">
        <v>0</v>
      </c>
      <c r="L2898">
        <v>1475</v>
      </c>
      <c r="M2898">
        <v>0.25821899999999998</v>
      </c>
      <c r="N2898">
        <v>3</v>
      </c>
      <c r="O2898" s="1" t="s">
        <v>560</v>
      </c>
      <c r="P2898">
        <v>380.9</v>
      </c>
      <c r="Q2898">
        <v>304.70999999999998</v>
      </c>
      <c r="R2898">
        <v>1</v>
      </c>
      <c r="S2898" s="1" t="s">
        <v>676</v>
      </c>
      <c r="T2898" s="1"/>
      <c r="U2898">
        <v>380.89936</v>
      </c>
      <c r="V2898">
        <v>0</v>
      </c>
      <c r="W2898">
        <v>79717</v>
      </c>
    </row>
    <row r="2899" spans="1:23" x14ac:dyDescent="0.25">
      <c r="A2899" s="1" t="s">
        <v>37</v>
      </c>
      <c r="B2899" s="1"/>
      <c r="C2899" s="1" t="s">
        <v>193</v>
      </c>
      <c r="D2899">
        <v>10991</v>
      </c>
      <c r="E2899" s="1"/>
      <c r="F2899" s="1" t="s">
        <v>321</v>
      </c>
      <c r="G2899">
        <v>2011</v>
      </c>
      <c r="H2899">
        <v>63.19</v>
      </c>
      <c r="I2899">
        <v>8</v>
      </c>
      <c r="J2899" s="1" t="s">
        <v>421</v>
      </c>
      <c r="K2899">
        <v>0</v>
      </c>
      <c r="L2899">
        <v>1475</v>
      </c>
      <c r="M2899">
        <v>4.2837E-2</v>
      </c>
      <c r="N2899">
        <v>3</v>
      </c>
      <c r="O2899" s="1" t="s">
        <v>560</v>
      </c>
      <c r="P2899">
        <v>63.19</v>
      </c>
      <c r="Q2899">
        <v>50.55</v>
      </c>
      <c r="R2899">
        <v>1</v>
      </c>
      <c r="S2899" s="1" t="s">
        <v>677</v>
      </c>
      <c r="T2899" s="1"/>
      <c r="U2899">
        <v>63.181829999999998</v>
      </c>
      <c r="V2899">
        <v>0</v>
      </c>
      <c r="W2899">
        <v>79718</v>
      </c>
    </row>
    <row r="2900" spans="1:23" x14ac:dyDescent="0.25">
      <c r="A2900" s="1" t="s">
        <v>37</v>
      </c>
      <c r="B2900" s="1"/>
      <c r="C2900" s="1" t="s">
        <v>193</v>
      </c>
      <c r="D2900">
        <v>10991</v>
      </c>
      <c r="E2900" s="1"/>
      <c r="F2900" s="1" t="s">
        <v>321</v>
      </c>
      <c r="G2900">
        <v>2011</v>
      </c>
      <c r="H2900">
        <v>337.68</v>
      </c>
      <c r="I2900">
        <v>8</v>
      </c>
      <c r="J2900" s="1" t="s">
        <v>421</v>
      </c>
      <c r="K2900">
        <v>0</v>
      </c>
      <c r="L2900">
        <v>1475</v>
      </c>
      <c r="M2900">
        <v>0.22892000000000001</v>
      </c>
      <c r="N2900">
        <v>3</v>
      </c>
      <c r="O2900" s="1" t="s">
        <v>560</v>
      </c>
      <c r="P2900">
        <v>337.68</v>
      </c>
      <c r="Q2900">
        <v>270.13</v>
      </c>
      <c r="R2900">
        <v>1</v>
      </c>
      <c r="S2900" s="1" t="s">
        <v>678</v>
      </c>
      <c r="T2900" s="1"/>
      <c r="U2900">
        <v>337.67532</v>
      </c>
      <c r="V2900">
        <v>0</v>
      </c>
      <c r="W2900">
        <v>79719</v>
      </c>
    </row>
    <row r="2901" spans="1:23" x14ac:dyDescent="0.25">
      <c r="A2901" s="1" t="s">
        <v>37</v>
      </c>
      <c r="B2901" s="1"/>
      <c r="C2901" s="1" t="s">
        <v>193</v>
      </c>
      <c r="D2901">
        <v>10991</v>
      </c>
      <c r="E2901" s="1"/>
      <c r="F2901" s="1" t="s">
        <v>321</v>
      </c>
      <c r="G2901">
        <v>2010</v>
      </c>
      <c r="H2901">
        <v>967.96</v>
      </c>
      <c r="I2901">
        <v>12</v>
      </c>
      <c r="J2901" s="1" t="s">
        <v>421</v>
      </c>
      <c r="K2901">
        <v>0</v>
      </c>
      <c r="L2901">
        <v>1475</v>
      </c>
      <c r="M2901">
        <v>0.65619899999999998</v>
      </c>
      <c r="N2901">
        <v>3</v>
      </c>
      <c r="O2901" s="1" t="s">
        <v>560</v>
      </c>
      <c r="P2901">
        <v>967.96</v>
      </c>
      <c r="Q2901">
        <v>774.38</v>
      </c>
      <c r="R2901">
        <v>0</v>
      </c>
      <c r="S2901" s="1" t="s">
        <v>675</v>
      </c>
      <c r="T2901" s="1"/>
      <c r="U2901">
        <v>967.96104000000003</v>
      </c>
      <c r="V2901">
        <v>0</v>
      </c>
      <c r="W2901">
        <v>79482</v>
      </c>
    </row>
    <row r="2902" spans="1:23" x14ac:dyDescent="0.25">
      <c r="A2902" s="1" t="s">
        <v>37</v>
      </c>
      <c r="B2902" s="1"/>
      <c r="C2902" s="1" t="s">
        <v>193</v>
      </c>
      <c r="D2902">
        <v>10991</v>
      </c>
      <c r="E2902" s="1"/>
      <c r="F2902" s="1" t="s">
        <v>321</v>
      </c>
      <c r="G2902">
        <v>2010</v>
      </c>
      <c r="H2902">
        <v>374.63</v>
      </c>
      <c r="I2902">
        <v>12</v>
      </c>
      <c r="J2902" s="1" t="s">
        <v>421</v>
      </c>
      <c r="K2902">
        <v>0</v>
      </c>
      <c r="L2902">
        <v>1475</v>
      </c>
      <c r="M2902">
        <v>0.253969</v>
      </c>
      <c r="N2902">
        <v>3</v>
      </c>
      <c r="O2902" s="1" t="s">
        <v>560</v>
      </c>
      <c r="P2902">
        <v>374.63</v>
      </c>
      <c r="Q2902">
        <v>299.70999999999998</v>
      </c>
      <c r="R2902">
        <v>1</v>
      </c>
      <c r="S2902" s="1" t="s">
        <v>676</v>
      </c>
      <c r="T2902" s="1"/>
      <c r="U2902">
        <v>374.63637</v>
      </c>
      <c r="V2902">
        <v>0</v>
      </c>
      <c r="W2902">
        <v>79717</v>
      </c>
    </row>
    <row r="2903" spans="1:23" x14ac:dyDescent="0.25">
      <c r="A2903" s="1" t="s">
        <v>37</v>
      </c>
      <c r="B2903" s="1"/>
      <c r="C2903" s="1" t="s">
        <v>193</v>
      </c>
      <c r="D2903">
        <v>10991</v>
      </c>
      <c r="E2903" s="1"/>
      <c r="F2903" s="1" t="s">
        <v>321</v>
      </c>
      <c r="G2903">
        <v>2010</v>
      </c>
      <c r="H2903">
        <v>53.93</v>
      </c>
      <c r="I2903">
        <v>12</v>
      </c>
      <c r="J2903" s="1" t="s">
        <v>421</v>
      </c>
      <c r="K2903">
        <v>0</v>
      </c>
      <c r="L2903">
        <v>1475</v>
      </c>
      <c r="M2903">
        <v>3.6560000000000002E-2</v>
      </c>
      <c r="N2903">
        <v>3</v>
      </c>
      <c r="O2903" s="1" t="s">
        <v>560</v>
      </c>
      <c r="P2903">
        <v>53.93</v>
      </c>
      <c r="Q2903">
        <v>43.14</v>
      </c>
      <c r="R2903">
        <v>1</v>
      </c>
      <c r="S2903" s="1" t="s">
        <v>677</v>
      </c>
      <c r="T2903" s="1"/>
      <c r="U2903">
        <v>53.932470000000002</v>
      </c>
      <c r="V2903">
        <v>0</v>
      </c>
      <c r="W2903">
        <v>79718</v>
      </c>
    </row>
    <row r="2904" spans="1:23" x14ac:dyDescent="0.25">
      <c r="A2904" s="1" t="s">
        <v>37</v>
      </c>
      <c r="B2904" s="1"/>
      <c r="C2904" s="1" t="s">
        <v>193</v>
      </c>
      <c r="D2904">
        <v>10991</v>
      </c>
      <c r="E2904" s="1"/>
      <c r="F2904" s="1" t="s">
        <v>321</v>
      </c>
      <c r="G2904">
        <v>2010</v>
      </c>
      <c r="H2904">
        <v>27.18</v>
      </c>
      <c r="I2904">
        <v>12</v>
      </c>
      <c r="J2904" s="1" t="s">
        <v>421</v>
      </c>
      <c r="K2904">
        <v>0</v>
      </c>
      <c r="L2904">
        <v>1475</v>
      </c>
      <c r="M2904">
        <v>1.8425E-2</v>
      </c>
      <c r="N2904">
        <v>3</v>
      </c>
      <c r="O2904" s="1" t="s">
        <v>560</v>
      </c>
      <c r="P2904">
        <v>27.18</v>
      </c>
      <c r="Q2904">
        <v>21.75</v>
      </c>
      <c r="R2904">
        <v>1</v>
      </c>
      <c r="S2904" s="1" t="s">
        <v>678</v>
      </c>
      <c r="T2904" s="1"/>
      <c r="U2904">
        <v>27.181809999999999</v>
      </c>
      <c r="V2904">
        <v>0</v>
      </c>
      <c r="W2904">
        <v>79719</v>
      </c>
    </row>
    <row r="2905" spans="1:23" x14ac:dyDescent="0.25">
      <c r="A2905" s="1" t="s">
        <v>37</v>
      </c>
      <c r="B2905" s="1"/>
      <c r="C2905" s="1" t="s">
        <v>193</v>
      </c>
      <c r="D2905">
        <v>10991</v>
      </c>
      <c r="E2905" s="1"/>
      <c r="F2905" s="1" t="s">
        <v>321</v>
      </c>
      <c r="G2905">
        <v>2009</v>
      </c>
      <c r="H2905">
        <v>927.79</v>
      </c>
      <c r="I2905">
        <v>11</v>
      </c>
      <c r="J2905" s="1" t="s">
        <v>421</v>
      </c>
      <c r="K2905">
        <v>0</v>
      </c>
      <c r="L2905">
        <v>1475</v>
      </c>
      <c r="M2905">
        <v>0.62896700000000005</v>
      </c>
      <c r="N2905">
        <v>3</v>
      </c>
      <c r="O2905" s="1" t="s">
        <v>560</v>
      </c>
      <c r="P2905">
        <v>927.79</v>
      </c>
      <c r="Q2905">
        <v>742.23</v>
      </c>
      <c r="R2905">
        <v>0</v>
      </c>
      <c r="S2905" s="1" t="s">
        <v>675</v>
      </c>
      <c r="T2905" s="1"/>
      <c r="U2905">
        <v>927.79264000000001</v>
      </c>
      <c r="V2905">
        <v>0</v>
      </c>
      <c r="W2905">
        <v>79482</v>
      </c>
    </row>
    <row r="2906" spans="1:23" x14ac:dyDescent="0.25">
      <c r="A2906" s="1" t="s">
        <v>37</v>
      </c>
      <c r="B2906" s="1"/>
      <c r="C2906" s="1" t="s">
        <v>193</v>
      </c>
      <c r="D2906">
        <v>10991</v>
      </c>
      <c r="E2906" s="1"/>
      <c r="F2906" s="1" t="s">
        <v>321</v>
      </c>
      <c r="G2906">
        <v>2009</v>
      </c>
      <c r="H2906">
        <v>325.20999999999998</v>
      </c>
      <c r="I2906">
        <v>11</v>
      </c>
      <c r="J2906" s="1" t="s">
        <v>421</v>
      </c>
      <c r="K2906">
        <v>0</v>
      </c>
      <c r="L2906">
        <v>1475</v>
      </c>
      <c r="M2906">
        <v>0.220466</v>
      </c>
      <c r="N2906">
        <v>3</v>
      </c>
      <c r="O2906" s="1" t="s">
        <v>560</v>
      </c>
      <c r="P2906">
        <v>325.20999999999998</v>
      </c>
      <c r="Q2906">
        <v>260.14999999999998</v>
      </c>
      <c r="R2906">
        <v>1</v>
      </c>
      <c r="S2906" s="1" t="s">
        <v>676</v>
      </c>
      <c r="T2906" s="1"/>
      <c r="U2906">
        <v>325.19355000000002</v>
      </c>
      <c r="V2906">
        <v>0</v>
      </c>
      <c r="W2906">
        <v>79717</v>
      </c>
    </row>
    <row r="2907" spans="1:23" x14ac:dyDescent="0.25">
      <c r="A2907" s="1" t="s">
        <v>37</v>
      </c>
      <c r="B2907" s="1"/>
      <c r="C2907" s="1" t="s">
        <v>193</v>
      </c>
      <c r="D2907">
        <v>10991</v>
      </c>
      <c r="E2907" s="1"/>
      <c r="F2907" s="1" t="s">
        <v>321</v>
      </c>
      <c r="G2907">
        <v>2009</v>
      </c>
      <c r="H2907">
        <v>94.88</v>
      </c>
      <c r="I2907">
        <v>11</v>
      </c>
      <c r="J2907" s="1" t="s">
        <v>421</v>
      </c>
      <c r="K2907">
        <v>0</v>
      </c>
      <c r="L2907">
        <v>1475</v>
      </c>
      <c r="M2907">
        <v>6.4321000000000003E-2</v>
      </c>
      <c r="N2907">
        <v>3</v>
      </c>
      <c r="O2907" s="1" t="s">
        <v>560</v>
      </c>
      <c r="P2907">
        <v>94.88</v>
      </c>
      <c r="Q2907">
        <v>75.92</v>
      </c>
      <c r="R2907">
        <v>1</v>
      </c>
      <c r="S2907" s="1" t="s">
        <v>677</v>
      </c>
      <c r="T2907" s="1"/>
      <c r="U2907">
        <v>94.885720000000006</v>
      </c>
      <c r="V2907">
        <v>0</v>
      </c>
      <c r="W2907">
        <v>79718</v>
      </c>
    </row>
    <row r="2908" spans="1:23" x14ac:dyDescent="0.25">
      <c r="A2908" s="1" t="s">
        <v>37</v>
      </c>
      <c r="B2908" s="1"/>
      <c r="C2908" s="1" t="s">
        <v>193</v>
      </c>
      <c r="D2908">
        <v>10991</v>
      </c>
      <c r="E2908" s="1"/>
      <c r="F2908" s="1" t="s">
        <v>321</v>
      </c>
      <c r="G2908">
        <v>2009</v>
      </c>
      <c r="H2908">
        <v>24.55</v>
      </c>
      <c r="I2908">
        <v>11</v>
      </c>
      <c r="J2908" s="1" t="s">
        <v>421</v>
      </c>
      <c r="K2908">
        <v>0</v>
      </c>
      <c r="L2908">
        <v>1475</v>
      </c>
      <c r="M2908">
        <v>1.6642000000000001E-2</v>
      </c>
      <c r="N2908">
        <v>3</v>
      </c>
      <c r="O2908" s="1" t="s">
        <v>560</v>
      </c>
      <c r="P2908">
        <v>24.55</v>
      </c>
      <c r="Q2908">
        <v>19.64</v>
      </c>
      <c r="R2908">
        <v>1</v>
      </c>
      <c r="S2908" s="1" t="s">
        <v>678</v>
      </c>
      <c r="T2908" s="1"/>
      <c r="U2908">
        <v>24.548390000000001</v>
      </c>
      <c r="V2908">
        <v>0</v>
      </c>
      <c r="W2908">
        <v>79719</v>
      </c>
    </row>
    <row r="2909" spans="1:23" x14ac:dyDescent="0.25">
      <c r="A2909" s="1" t="s">
        <v>37</v>
      </c>
      <c r="B2909" s="1"/>
      <c r="C2909" s="1" t="s">
        <v>193</v>
      </c>
      <c r="D2909">
        <v>10991</v>
      </c>
      <c r="E2909" s="1"/>
      <c r="F2909" s="1" t="s">
        <v>321</v>
      </c>
      <c r="G2909">
        <v>2008</v>
      </c>
      <c r="H2909">
        <v>1449.66</v>
      </c>
      <c r="I2909">
        <v>12</v>
      </c>
      <c r="J2909" s="1" t="s">
        <v>421</v>
      </c>
      <c r="K2909">
        <v>0</v>
      </c>
      <c r="L2909">
        <v>1475</v>
      </c>
      <c r="M2909">
        <v>0.98275299999999999</v>
      </c>
      <c r="N2909">
        <v>3</v>
      </c>
      <c r="O2909" s="1" t="s">
        <v>560</v>
      </c>
      <c r="P2909">
        <v>1449.66</v>
      </c>
      <c r="Q2909">
        <v>1159.72</v>
      </c>
      <c r="R2909">
        <v>0</v>
      </c>
      <c r="S2909" s="1" t="s">
        <v>675</v>
      </c>
      <c r="T2909" s="1"/>
      <c r="U2909">
        <v>1449.64516</v>
      </c>
      <c r="V2909">
        <v>0</v>
      </c>
      <c r="W2909">
        <v>79482</v>
      </c>
    </row>
    <row r="2910" spans="1:23" x14ac:dyDescent="0.25">
      <c r="A2910" s="1" t="s">
        <v>37</v>
      </c>
      <c r="B2910" s="1"/>
      <c r="C2910" s="1" t="s">
        <v>193</v>
      </c>
      <c r="D2910">
        <v>10991</v>
      </c>
      <c r="E2910" s="1"/>
      <c r="F2910" s="1" t="s">
        <v>321</v>
      </c>
      <c r="G2910">
        <v>2008</v>
      </c>
      <c r="H2910">
        <v>283.87</v>
      </c>
      <c r="I2910">
        <v>12</v>
      </c>
      <c r="J2910" s="1" t="s">
        <v>421</v>
      </c>
      <c r="K2910">
        <v>0</v>
      </c>
      <c r="L2910">
        <v>1475</v>
      </c>
      <c r="M2910">
        <v>0.192441</v>
      </c>
      <c r="N2910">
        <v>3</v>
      </c>
      <c r="O2910" s="1" t="s">
        <v>560</v>
      </c>
      <c r="P2910">
        <v>283.87</v>
      </c>
      <c r="Q2910">
        <v>227.1</v>
      </c>
      <c r="R2910">
        <v>1</v>
      </c>
      <c r="S2910" s="1" t="s">
        <v>676</v>
      </c>
      <c r="T2910" s="1"/>
      <c r="U2910">
        <v>283.87097</v>
      </c>
      <c r="V2910">
        <v>0</v>
      </c>
      <c r="W2910">
        <v>79717</v>
      </c>
    </row>
    <row r="2911" spans="1:23" x14ac:dyDescent="0.25">
      <c r="A2911" s="1" t="s">
        <v>37</v>
      </c>
      <c r="B2911" s="1"/>
      <c r="C2911" s="1" t="s">
        <v>193</v>
      </c>
      <c r="D2911">
        <v>10991</v>
      </c>
      <c r="E2911" s="1"/>
      <c r="F2911" s="1" t="s">
        <v>321</v>
      </c>
      <c r="G2911">
        <v>2008</v>
      </c>
      <c r="H2911">
        <v>119.91</v>
      </c>
      <c r="I2911">
        <v>12</v>
      </c>
      <c r="J2911" s="1" t="s">
        <v>421</v>
      </c>
      <c r="K2911">
        <v>0</v>
      </c>
      <c r="L2911">
        <v>1475</v>
      </c>
      <c r="M2911">
        <v>8.1289E-2</v>
      </c>
      <c r="N2911">
        <v>3</v>
      </c>
      <c r="O2911" s="1" t="s">
        <v>560</v>
      </c>
      <c r="P2911">
        <v>119.91</v>
      </c>
      <c r="Q2911">
        <v>95.92</v>
      </c>
      <c r="R2911">
        <v>1</v>
      </c>
      <c r="S2911" s="1" t="s">
        <v>677</v>
      </c>
      <c r="T2911" s="1"/>
      <c r="U2911">
        <v>119.90322999999999</v>
      </c>
      <c r="V2911">
        <v>0</v>
      </c>
      <c r="W2911">
        <v>79718</v>
      </c>
    </row>
    <row r="2912" spans="1:23" x14ac:dyDescent="0.25">
      <c r="A2912" s="1" t="s">
        <v>37</v>
      </c>
      <c r="B2912" s="1"/>
      <c r="C2912" s="1" t="s">
        <v>193</v>
      </c>
      <c r="D2912">
        <v>10991</v>
      </c>
      <c r="E2912" s="1"/>
      <c r="F2912" s="1" t="s">
        <v>321</v>
      </c>
      <c r="G2912">
        <v>2008</v>
      </c>
      <c r="H2912">
        <v>82.45</v>
      </c>
      <c r="I2912">
        <v>12</v>
      </c>
      <c r="J2912" s="1" t="s">
        <v>421</v>
      </c>
      <c r="K2912">
        <v>0</v>
      </c>
      <c r="L2912">
        <v>1475</v>
      </c>
      <c r="M2912">
        <v>5.5893999999999999E-2</v>
      </c>
      <c r="N2912">
        <v>3</v>
      </c>
      <c r="O2912" s="1" t="s">
        <v>560</v>
      </c>
      <c r="P2912">
        <v>82.45</v>
      </c>
      <c r="Q2912">
        <v>65.97</v>
      </c>
      <c r="R2912">
        <v>1</v>
      </c>
      <c r="S2912" s="1" t="s">
        <v>678</v>
      </c>
      <c r="T2912" s="1"/>
      <c r="U2912">
        <v>82.451610000000002</v>
      </c>
      <c r="V2912">
        <v>0</v>
      </c>
      <c r="W2912">
        <v>79719</v>
      </c>
    </row>
    <row r="2913" spans="1:23" x14ac:dyDescent="0.25">
      <c r="A2913" s="1" t="s">
        <v>37</v>
      </c>
      <c r="B2913" s="1"/>
      <c r="C2913" s="1" t="s">
        <v>193</v>
      </c>
      <c r="D2913">
        <v>9220</v>
      </c>
      <c r="E2913" s="1"/>
      <c r="F2913" s="1" t="s">
        <v>322</v>
      </c>
      <c r="G2913">
        <v>2015</v>
      </c>
      <c r="H2913">
        <v>22.31</v>
      </c>
      <c r="I2913">
        <v>5</v>
      </c>
      <c r="J2913" s="1"/>
      <c r="K2913">
        <v>0</v>
      </c>
      <c r="L2913">
        <v>7549</v>
      </c>
      <c r="M2913">
        <v>2.9550000000000002E-3</v>
      </c>
      <c r="N2913">
        <v>3</v>
      </c>
      <c r="O2913" s="1" t="s">
        <v>560</v>
      </c>
      <c r="P2913">
        <v>22.31</v>
      </c>
      <c r="Q2913">
        <v>0</v>
      </c>
      <c r="R2913">
        <v>0</v>
      </c>
      <c r="S2913" s="1" t="s">
        <v>672</v>
      </c>
      <c r="T2913" s="1"/>
      <c r="U2913">
        <v>22.315999999999999</v>
      </c>
      <c r="V2913">
        <v>0</v>
      </c>
      <c r="W2913">
        <v>72733</v>
      </c>
    </row>
    <row r="2914" spans="1:23" x14ac:dyDescent="0.25">
      <c r="A2914" s="1" t="s">
        <v>37</v>
      </c>
      <c r="B2914" s="1"/>
      <c r="C2914" s="1" t="s">
        <v>193</v>
      </c>
      <c r="D2914">
        <v>9220</v>
      </c>
      <c r="E2914" s="1"/>
      <c r="F2914" s="1" t="s">
        <v>322</v>
      </c>
      <c r="G2914">
        <v>2015</v>
      </c>
      <c r="H2914">
        <v>432.7</v>
      </c>
      <c r="I2914">
        <v>5</v>
      </c>
      <c r="J2914" s="1" t="s">
        <v>448</v>
      </c>
      <c r="K2914">
        <v>0</v>
      </c>
      <c r="L2914">
        <v>7549</v>
      </c>
      <c r="M2914">
        <v>5.7318000000000001E-2</v>
      </c>
      <c r="N2914">
        <v>3</v>
      </c>
      <c r="O2914" s="1" t="s">
        <v>560</v>
      </c>
      <c r="P2914">
        <v>432.7</v>
      </c>
      <c r="Q2914">
        <v>346.16</v>
      </c>
      <c r="R2914">
        <v>0</v>
      </c>
      <c r="S2914" s="1" t="s">
        <v>679</v>
      </c>
      <c r="T2914" s="1"/>
      <c r="U2914">
        <v>432.7</v>
      </c>
      <c r="V2914">
        <v>0</v>
      </c>
      <c r="W2914">
        <v>77261</v>
      </c>
    </row>
    <row r="2915" spans="1:23" x14ac:dyDescent="0.25">
      <c r="A2915" s="1" t="s">
        <v>37</v>
      </c>
      <c r="B2915" s="1"/>
      <c r="C2915" s="1" t="s">
        <v>193</v>
      </c>
      <c r="D2915">
        <v>9220</v>
      </c>
      <c r="E2915" s="1"/>
      <c r="F2915" s="1" t="s">
        <v>322</v>
      </c>
      <c r="G2915">
        <v>2015</v>
      </c>
      <c r="H2915">
        <v>90.52</v>
      </c>
      <c r="I2915">
        <v>5</v>
      </c>
      <c r="J2915" s="1" t="s">
        <v>449</v>
      </c>
      <c r="K2915">
        <v>0</v>
      </c>
      <c r="L2915">
        <v>7549</v>
      </c>
      <c r="M2915">
        <v>1.1990000000000001E-2</v>
      </c>
      <c r="N2915">
        <v>3</v>
      </c>
      <c r="O2915" s="1" t="s">
        <v>560</v>
      </c>
      <c r="P2915">
        <v>90.52</v>
      </c>
      <c r="Q2915">
        <v>72.42</v>
      </c>
      <c r="R2915">
        <v>0</v>
      </c>
      <c r="S2915" s="1" t="s">
        <v>680</v>
      </c>
      <c r="T2915" s="1"/>
      <c r="U2915">
        <v>90.519000000000005</v>
      </c>
      <c r="V2915">
        <v>0</v>
      </c>
      <c r="W2915">
        <v>79481</v>
      </c>
    </row>
    <row r="2916" spans="1:23" x14ac:dyDescent="0.25">
      <c r="A2916" s="1" t="s">
        <v>37</v>
      </c>
      <c r="B2916" s="1"/>
      <c r="C2916" s="1" t="s">
        <v>193</v>
      </c>
      <c r="D2916">
        <v>9220</v>
      </c>
      <c r="E2916" s="1"/>
      <c r="F2916" s="1" t="s">
        <v>322</v>
      </c>
      <c r="G2916">
        <v>2014</v>
      </c>
      <c r="H2916">
        <v>46.78</v>
      </c>
      <c r="I2916">
        <v>12</v>
      </c>
      <c r="J2916" s="1"/>
      <c r="K2916">
        <v>0</v>
      </c>
      <c r="L2916">
        <v>7549</v>
      </c>
      <c r="M2916">
        <v>6.1960000000000001E-3</v>
      </c>
      <c r="N2916">
        <v>3</v>
      </c>
      <c r="O2916" s="1" t="s">
        <v>560</v>
      </c>
      <c r="P2916">
        <v>46.78</v>
      </c>
      <c r="Q2916">
        <v>0</v>
      </c>
      <c r="R2916">
        <v>0</v>
      </c>
      <c r="S2916" s="1" t="s">
        <v>672</v>
      </c>
      <c r="T2916" s="1"/>
      <c r="U2916">
        <v>46.779000000000003</v>
      </c>
      <c r="V2916">
        <v>0</v>
      </c>
      <c r="W2916">
        <v>72733</v>
      </c>
    </row>
    <row r="2917" spans="1:23" x14ac:dyDescent="0.25">
      <c r="A2917" s="1" t="s">
        <v>37</v>
      </c>
      <c r="B2917" s="1"/>
      <c r="C2917" s="1" t="s">
        <v>193</v>
      </c>
      <c r="D2917">
        <v>9220</v>
      </c>
      <c r="E2917" s="1"/>
      <c r="F2917" s="1" t="s">
        <v>322</v>
      </c>
      <c r="G2917">
        <v>2014</v>
      </c>
      <c r="H2917">
        <v>1255.9000000000001</v>
      </c>
      <c r="I2917">
        <v>12</v>
      </c>
      <c r="J2917" s="1" t="s">
        <v>448</v>
      </c>
      <c r="K2917">
        <v>0</v>
      </c>
      <c r="L2917">
        <v>7549</v>
      </c>
      <c r="M2917">
        <v>0.16636400000000001</v>
      </c>
      <c r="N2917">
        <v>3</v>
      </c>
      <c r="O2917" s="1" t="s">
        <v>560</v>
      </c>
      <c r="P2917">
        <v>1255.9000000000001</v>
      </c>
      <c r="Q2917">
        <v>1004.72</v>
      </c>
      <c r="R2917">
        <v>0</v>
      </c>
      <c r="S2917" s="1" t="s">
        <v>679</v>
      </c>
      <c r="T2917" s="1"/>
      <c r="U2917">
        <v>1255.9000000000001</v>
      </c>
      <c r="V2917">
        <v>0</v>
      </c>
      <c r="W2917">
        <v>77261</v>
      </c>
    </row>
    <row r="2918" spans="1:23" x14ac:dyDescent="0.25">
      <c r="A2918" s="1" t="s">
        <v>37</v>
      </c>
      <c r="B2918" s="1"/>
      <c r="C2918" s="1" t="s">
        <v>193</v>
      </c>
      <c r="D2918">
        <v>9220</v>
      </c>
      <c r="E2918" s="1"/>
      <c r="F2918" s="1" t="s">
        <v>322</v>
      </c>
      <c r="G2918">
        <v>2014</v>
      </c>
      <c r="H2918">
        <v>250.86</v>
      </c>
      <c r="I2918">
        <v>12</v>
      </c>
      <c r="J2918" s="1" t="s">
        <v>449</v>
      </c>
      <c r="K2918">
        <v>0</v>
      </c>
      <c r="L2918">
        <v>7549</v>
      </c>
      <c r="M2918">
        <v>3.3230000000000003E-2</v>
      </c>
      <c r="N2918">
        <v>3</v>
      </c>
      <c r="O2918" s="1" t="s">
        <v>560</v>
      </c>
      <c r="P2918">
        <v>250.86</v>
      </c>
      <c r="Q2918">
        <v>200.67</v>
      </c>
      <c r="R2918">
        <v>0</v>
      </c>
      <c r="S2918" s="1" t="s">
        <v>680</v>
      </c>
      <c r="T2918" s="1"/>
      <c r="U2918">
        <v>250.852</v>
      </c>
      <c r="V2918">
        <v>0</v>
      </c>
      <c r="W2918">
        <v>79481</v>
      </c>
    </row>
    <row r="2919" spans="1:23" x14ac:dyDescent="0.25">
      <c r="A2919" s="1" t="s">
        <v>37</v>
      </c>
      <c r="B2919" s="1"/>
      <c r="C2919" s="1" t="s">
        <v>193</v>
      </c>
      <c r="D2919">
        <v>9220</v>
      </c>
      <c r="E2919" s="1"/>
      <c r="F2919" s="1" t="s">
        <v>322</v>
      </c>
      <c r="G2919">
        <v>2013</v>
      </c>
      <c r="H2919">
        <v>43.4</v>
      </c>
      <c r="I2919">
        <v>12</v>
      </c>
      <c r="J2919" s="1"/>
      <c r="K2919">
        <v>0</v>
      </c>
      <c r="L2919">
        <v>7549</v>
      </c>
      <c r="M2919">
        <v>5.7489999999999998E-3</v>
      </c>
      <c r="N2919">
        <v>3</v>
      </c>
      <c r="O2919" s="1" t="s">
        <v>560</v>
      </c>
      <c r="P2919">
        <v>43.4</v>
      </c>
      <c r="Q2919">
        <v>0</v>
      </c>
      <c r="R2919">
        <v>0</v>
      </c>
      <c r="S2919" s="1" t="s">
        <v>672</v>
      </c>
      <c r="T2919" s="1"/>
      <c r="U2919">
        <v>43.384999999999998</v>
      </c>
      <c r="V2919">
        <v>0</v>
      </c>
      <c r="W2919">
        <v>72733</v>
      </c>
    </row>
    <row r="2920" spans="1:23" x14ac:dyDescent="0.25">
      <c r="A2920" s="1" t="s">
        <v>37</v>
      </c>
      <c r="B2920" s="1"/>
      <c r="C2920" s="1" t="s">
        <v>193</v>
      </c>
      <c r="D2920">
        <v>9220</v>
      </c>
      <c r="E2920" s="1"/>
      <c r="F2920" s="1" t="s">
        <v>322</v>
      </c>
      <c r="G2920">
        <v>2013</v>
      </c>
      <c r="H2920">
        <v>1278.9000000000001</v>
      </c>
      <c r="I2920">
        <v>12</v>
      </c>
      <c r="J2920" s="1" t="s">
        <v>448</v>
      </c>
      <c r="K2920">
        <v>0</v>
      </c>
      <c r="L2920">
        <v>7549</v>
      </c>
      <c r="M2920">
        <v>0.16941000000000001</v>
      </c>
      <c r="N2920">
        <v>3</v>
      </c>
      <c r="O2920" s="1" t="s">
        <v>560</v>
      </c>
      <c r="P2920">
        <v>1278.9000000000001</v>
      </c>
      <c r="Q2920">
        <v>1023.12</v>
      </c>
      <c r="R2920">
        <v>0</v>
      </c>
      <c r="S2920" s="1" t="s">
        <v>679</v>
      </c>
      <c r="T2920" s="1"/>
      <c r="U2920">
        <v>1278.9000000000001</v>
      </c>
      <c r="V2920">
        <v>0</v>
      </c>
      <c r="W2920">
        <v>77261</v>
      </c>
    </row>
    <row r="2921" spans="1:23" x14ac:dyDescent="0.25">
      <c r="A2921" s="1" t="s">
        <v>37</v>
      </c>
      <c r="B2921" s="1"/>
      <c r="C2921" s="1" t="s">
        <v>193</v>
      </c>
      <c r="D2921">
        <v>9220</v>
      </c>
      <c r="E2921" s="1"/>
      <c r="F2921" s="1" t="s">
        <v>322</v>
      </c>
      <c r="G2921">
        <v>2013</v>
      </c>
      <c r="H2921">
        <v>181.4</v>
      </c>
      <c r="I2921">
        <v>12</v>
      </c>
      <c r="J2921" s="1" t="s">
        <v>449</v>
      </c>
      <c r="K2921">
        <v>0</v>
      </c>
      <c r="L2921">
        <v>7549</v>
      </c>
      <c r="M2921">
        <v>2.4028999999999998E-2</v>
      </c>
      <c r="N2921">
        <v>3</v>
      </c>
      <c r="O2921" s="1" t="s">
        <v>560</v>
      </c>
      <c r="P2921">
        <v>181.4</v>
      </c>
      <c r="Q2921">
        <v>145.12</v>
      </c>
      <c r="R2921">
        <v>0</v>
      </c>
      <c r="S2921" s="1" t="s">
        <v>680</v>
      </c>
      <c r="T2921" s="1"/>
      <c r="U2921">
        <v>181.4</v>
      </c>
      <c r="V2921">
        <v>0</v>
      </c>
      <c r="W2921">
        <v>79481</v>
      </c>
    </row>
    <row r="2922" spans="1:23" x14ac:dyDescent="0.25">
      <c r="A2922" s="1" t="s">
        <v>37</v>
      </c>
      <c r="B2922" s="1"/>
      <c r="C2922" s="1" t="s">
        <v>193</v>
      </c>
      <c r="D2922">
        <v>9220</v>
      </c>
      <c r="E2922" s="1"/>
      <c r="F2922" s="1" t="s">
        <v>322</v>
      </c>
      <c r="G2922">
        <v>2012</v>
      </c>
      <c r="H2922">
        <v>53.61</v>
      </c>
      <c r="I2922">
        <v>12</v>
      </c>
      <c r="J2922" s="1"/>
      <c r="K2922">
        <v>0</v>
      </c>
      <c r="L2922">
        <v>7549</v>
      </c>
      <c r="M2922">
        <v>7.1009999999999997E-3</v>
      </c>
      <c r="N2922">
        <v>3</v>
      </c>
      <c r="O2922" s="1" t="s">
        <v>560</v>
      </c>
      <c r="P2922">
        <v>53.61</v>
      </c>
      <c r="Q2922">
        <v>0</v>
      </c>
      <c r="R2922">
        <v>0</v>
      </c>
      <c r="S2922" s="1" t="s">
        <v>672</v>
      </c>
      <c r="T2922" s="1"/>
      <c r="U2922">
        <v>53.600999999999999</v>
      </c>
      <c r="V2922">
        <v>0</v>
      </c>
      <c r="W2922">
        <v>72733</v>
      </c>
    </row>
    <row r="2923" spans="1:23" x14ac:dyDescent="0.25">
      <c r="A2923" s="1" t="s">
        <v>37</v>
      </c>
      <c r="B2923" s="1"/>
      <c r="C2923" s="1" t="s">
        <v>193</v>
      </c>
      <c r="D2923">
        <v>9220</v>
      </c>
      <c r="E2923" s="1"/>
      <c r="F2923" s="1" t="s">
        <v>322</v>
      </c>
      <c r="G2923">
        <v>2012</v>
      </c>
      <c r="H2923">
        <v>2364.09</v>
      </c>
      <c r="I2923">
        <v>12</v>
      </c>
      <c r="J2923" s="1" t="s">
        <v>448</v>
      </c>
      <c r="K2923">
        <v>0</v>
      </c>
      <c r="L2923">
        <v>7549</v>
      </c>
      <c r="M2923">
        <v>0.31316100000000002</v>
      </c>
      <c r="N2923">
        <v>3</v>
      </c>
      <c r="O2923" s="1" t="s">
        <v>560</v>
      </c>
      <c r="P2923">
        <v>2364.09</v>
      </c>
      <c r="Q2923">
        <v>1891.27</v>
      </c>
      <c r="R2923">
        <v>0</v>
      </c>
      <c r="S2923" s="1" t="s">
        <v>679</v>
      </c>
      <c r="T2923" s="1"/>
      <c r="U2923">
        <v>2364.09</v>
      </c>
      <c r="V2923">
        <v>0</v>
      </c>
      <c r="W2923">
        <v>77261</v>
      </c>
    </row>
    <row r="2924" spans="1:23" x14ac:dyDescent="0.25">
      <c r="A2924" s="1" t="s">
        <v>37</v>
      </c>
      <c r="B2924" s="1"/>
      <c r="C2924" s="1" t="s">
        <v>193</v>
      </c>
      <c r="D2924">
        <v>9220</v>
      </c>
      <c r="E2924" s="1"/>
      <c r="F2924" s="1" t="s">
        <v>322</v>
      </c>
      <c r="G2924">
        <v>2012</v>
      </c>
      <c r="H2924">
        <v>204.26</v>
      </c>
      <c r="I2924">
        <v>13</v>
      </c>
      <c r="J2924" s="1" t="s">
        <v>449</v>
      </c>
      <c r="K2924">
        <v>0</v>
      </c>
      <c r="L2924">
        <v>7549</v>
      </c>
      <c r="M2924">
        <v>2.7057000000000001E-2</v>
      </c>
      <c r="N2924">
        <v>3</v>
      </c>
      <c r="O2924" s="1" t="s">
        <v>560</v>
      </c>
      <c r="P2924">
        <v>204.26</v>
      </c>
      <c r="Q2924">
        <v>163.4</v>
      </c>
      <c r="R2924">
        <v>0</v>
      </c>
      <c r="S2924" s="1" t="s">
        <v>680</v>
      </c>
      <c r="T2924" s="1"/>
      <c r="U2924">
        <v>204.26429999999999</v>
      </c>
      <c r="V2924">
        <v>0</v>
      </c>
      <c r="W2924">
        <v>79481</v>
      </c>
    </row>
    <row r="2925" spans="1:23" x14ac:dyDescent="0.25">
      <c r="A2925" s="1" t="s">
        <v>37</v>
      </c>
      <c r="B2925" s="1"/>
      <c r="C2925" s="1" t="s">
        <v>193</v>
      </c>
      <c r="D2925">
        <v>9220</v>
      </c>
      <c r="E2925" s="1"/>
      <c r="F2925" s="1" t="s">
        <v>322</v>
      </c>
      <c r="G2925">
        <v>2011</v>
      </c>
      <c r="H2925">
        <v>51.29</v>
      </c>
      <c r="I2925">
        <v>12</v>
      </c>
      <c r="J2925" s="1"/>
      <c r="K2925">
        <v>0</v>
      </c>
      <c r="L2925">
        <v>7549</v>
      </c>
      <c r="M2925">
        <v>6.7939999999999997E-3</v>
      </c>
      <c r="N2925">
        <v>3</v>
      </c>
      <c r="O2925" s="1" t="s">
        <v>560</v>
      </c>
      <c r="P2925">
        <v>51.29</v>
      </c>
      <c r="Q2925">
        <v>0</v>
      </c>
      <c r="R2925">
        <v>0</v>
      </c>
      <c r="S2925" s="1" t="s">
        <v>672</v>
      </c>
      <c r="T2925" s="1"/>
      <c r="U2925">
        <v>51.29</v>
      </c>
      <c r="V2925">
        <v>0</v>
      </c>
      <c r="W2925">
        <v>72733</v>
      </c>
    </row>
    <row r="2926" spans="1:23" x14ac:dyDescent="0.25">
      <c r="A2926" s="1" t="s">
        <v>37</v>
      </c>
      <c r="B2926" s="1"/>
      <c r="C2926" s="1" t="s">
        <v>193</v>
      </c>
      <c r="D2926">
        <v>9220</v>
      </c>
      <c r="E2926" s="1"/>
      <c r="F2926" s="1" t="s">
        <v>322</v>
      </c>
      <c r="G2926">
        <v>2011</v>
      </c>
      <c r="H2926">
        <v>397.89</v>
      </c>
      <c r="I2926">
        <v>12</v>
      </c>
      <c r="J2926" s="1" t="s">
        <v>448</v>
      </c>
      <c r="K2926">
        <v>0</v>
      </c>
      <c r="L2926">
        <v>7549</v>
      </c>
      <c r="M2926">
        <v>5.2706000000000003E-2</v>
      </c>
      <c r="N2926">
        <v>3</v>
      </c>
      <c r="O2926" s="1" t="s">
        <v>560</v>
      </c>
      <c r="P2926">
        <v>397.89</v>
      </c>
      <c r="Q2926">
        <v>318.31</v>
      </c>
      <c r="R2926">
        <v>0</v>
      </c>
      <c r="S2926" s="1" t="s">
        <v>679</v>
      </c>
      <c r="T2926" s="1"/>
      <c r="U2926">
        <v>397.89</v>
      </c>
      <c r="V2926">
        <v>0</v>
      </c>
      <c r="W2926">
        <v>77261</v>
      </c>
    </row>
    <row r="2927" spans="1:23" x14ac:dyDescent="0.25">
      <c r="A2927" s="1" t="s">
        <v>37</v>
      </c>
      <c r="B2927" s="1"/>
      <c r="C2927" s="1" t="s">
        <v>193</v>
      </c>
      <c r="D2927">
        <v>9220</v>
      </c>
      <c r="E2927" s="1"/>
      <c r="F2927" s="1" t="s">
        <v>322</v>
      </c>
      <c r="G2927">
        <v>2011</v>
      </c>
      <c r="H2927">
        <v>191.79</v>
      </c>
      <c r="I2927">
        <v>8</v>
      </c>
      <c r="J2927" s="1" t="s">
        <v>449</v>
      </c>
      <c r="K2927">
        <v>0</v>
      </c>
      <c r="L2927">
        <v>7549</v>
      </c>
      <c r="M2927">
        <v>2.5405E-2</v>
      </c>
      <c r="N2927">
        <v>3</v>
      </c>
      <c r="O2927" s="1" t="s">
        <v>560</v>
      </c>
      <c r="P2927">
        <v>191.79</v>
      </c>
      <c r="Q2927">
        <v>153.44999999999999</v>
      </c>
      <c r="R2927">
        <v>0</v>
      </c>
      <c r="S2927" s="1" t="s">
        <v>680</v>
      </c>
      <c r="T2927" s="1"/>
      <c r="U2927">
        <v>191.80843999999999</v>
      </c>
      <c r="V2927">
        <v>0</v>
      </c>
      <c r="W2927">
        <v>79481</v>
      </c>
    </row>
    <row r="2928" spans="1:23" x14ac:dyDescent="0.25">
      <c r="A2928" s="1" t="s">
        <v>37</v>
      </c>
      <c r="B2928" s="1"/>
      <c r="C2928" s="1" t="s">
        <v>193</v>
      </c>
      <c r="D2928">
        <v>9220</v>
      </c>
      <c r="E2928" s="1"/>
      <c r="F2928" s="1" t="s">
        <v>322</v>
      </c>
      <c r="G2928">
        <v>2010</v>
      </c>
      <c r="H2928">
        <v>6.9</v>
      </c>
      <c r="I2928">
        <v>12</v>
      </c>
      <c r="J2928" s="1"/>
      <c r="K2928">
        <v>0</v>
      </c>
      <c r="L2928">
        <v>7549</v>
      </c>
      <c r="M2928">
        <v>9.1399999999999999E-4</v>
      </c>
      <c r="N2928">
        <v>3</v>
      </c>
      <c r="O2928" s="1" t="s">
        <v>560</v>
      </c>
      <c r="P2928">
        <v>6.9</v>
      </c>
      <c r="Q2928">
        <v>0</v>
      </c>
      <c r="R2928">
        <v>0</v>
      </c>
      <c r="S2928" s="1" t="s">
        <v>672</v>
      </c>
      <c r="T2928" s="1"/>
      <c r="U2928">
        <v>6.899</v>
      </c>
      <c r="V2928">
        <v>0</v>
      </c>
      <c r="W2928">
        <v>72733</v>
      </c>
    </row>
    <row r="2929" spans="1:23" x14ac:dyDescent="0.25">
      <c r="A2929" s="1" t="s">
        <v>37</v>
      </c>
      <c r="B2929" s="1"/>
      <c r="C2929" s="1" t="s">
        <v>193</v>
      </c>
      <c r="D2929">
        <v>9220</v>
      </c>
      <c r="E2929" s="1"/>
      <c r="F2929" s="1" t="s">
        <v>322</v>
      </c>
      <c r="G2929">
        <v>2010</v>
      </c>
      <c r="H2929">
        <v>542.9</v>
      </c>
      <c r="I2929">
        <v>9</v>
      </c>
      <c r="J2929" s="1" t="s">
        <v>448</v>
      </c>
      <c r="K2929">
        <v>0</v>
      </c>
      <c r="L2929">
        <v>7549</v>
      </c>
      <c r="M2929">
        <v>7.1915000000000007E-2</v>
      </c>
      <c r="N2929">
        <v>3</v>
      </c>
      <c r="O2929" s="1" t="s">
        <v>560</v>
      </c>
      <c r="P2929">
        <v>542.9</v>
      </c>
      <c r="Q2929">
        <v>434.32</v>
      </c>
      <c r="R2929">
        <v>0</v>
      </c>
      <c r="S2929" s="1" t="s">
        <v>679</v>
      </c>
      <c r="T2929" s="1"/>
      <c r="U2929">
        <v>542.90058999999997</v>
      </c>
      <c r="V2929">
        <v>0</v>
      </c>
      <c r="W2929">
        <v>77261</v>
      </c>
    </row>
    <row r="2930" spans="1:23" x14ac:dyDescent="0.25">
      <c r="A2930" s="1" t="s">
        <v>37</v>
      </c>
      <c r="B2930" s="1"/>
      <c r="C2930" s="1" t="s">
        <v>193</v>
      </c>
      <c r="D2930">
        <v>9220</v>
      </c>
      <c r="E2930" s="1"/>
      <c r="F2930" s="1" t="s">
        <v>322</v>
      </c>
      <c r="G2930">
        <v>2010</v>
      </c>
      <c r="H2930">
        <v>224.27</v>
      </c>
      <c r="I2930">
        <v>12</v>
      </c>
      <c r="J2930" s="1" t="s">
        <v>449</v>
      </c>
      <c r="K2930">
        <v>0</v>
      </c>
      <c r="L2930">
        <v>7549</v>
      </c>
      <c r="M2930">
        <v>2.9707999999999998E-2</v>
      </c>
      <c r="N2930">
        <v>3</v>
      </c>
      <c r="O2930" s="1" t="s">
        <v>560</v>
      </c>
      <c r="P2930">
        <v>224.27</v>
      </c>
      <c r="Q2930">
        <v>179.42</v>
      </c>
      <c r="R2930">
        <v>0</v>
      </c>
      <c r="S2930" s="1" t="s">
        <v>680</v>
      </c>
      <c r="T2930" s="1"/>
      <c r="U2930">
        <v>224.27012999999999</v>
      </c>
      <c r="V2930">
        <v>0</v>
      </c>
      <c r="W2930">
        <v>79481</v>
      </c>
    </row>
    <row r="2931" spans="1:23" x14ac:dyDescent="0.25">
      <c r="A2931" s="1" t="s">
        <v>37</v>
      </c>
      <c r="B2931" s="1"/>
      <c r="C2931" s="1" t="s">
        <v>193</v>
      </c>
      <c r="D2931">
        <v>9220</v>
      </c>
      <c r="E2931" s="1"/>
      <c r="F2931" s="1" t="s">
        <v>322</v>
      </c>
      <c r="G2931">
        <v>2009</v>
      </c>
      <c r="H2931">
        <v>17.13</v>
      </c>
      <c r="I2931">
        <v>12</v>
      </c>
      <c r="J2931" s="1"/>
      <c r="K2931">
        <v>0</v>
      </c>
      <c r="L2931">
        <v>7549</v>
      </c>
      <c r="M2931">
        <v>2.2690000000000002E-3</v>
      </c>
      <c r="N2931">
        <v>3</v>
      </c>
      <c r="O2931" s="1" t="s">
        <v>560</v>
      </c>
      <c r="P2931">
        <v>17.13</v>
      </c>
      <c r="Q2931">
        <v>0</v>
      </c>
      <c r="R2931">
        <v>0</v>
      </c>
      <c r="S2931" s="1" t="s">
        <v>672</v>
      </c>
      <c r="T2931" s="1"/>
      <c r="U2931">
        <v>17.123999999999999</v>
      </c>
      <c r="V2931">
        <v>0</v>
      </c>
      <c r="W2931">
        <v>72733</v>
      </c>
    </row>
    <row r="2932" spans="1:23" x14ac:dyDescent="0.25">
      <c r="A2932" s="1" t="s">
        <v>37</v>
      </c>
      <c r="B2932" s="1"/>
      <c r="C2932" s="1" t="s">
        <v>193</v>
      </c>
      <c r="D2932">
        <v>9220</v>
      </c>
      <c r="E2932" s="1"/>
      <c r="F2932" s="1" t="s">
        <v>322</v>
      </c>
      <c r="G2932">
        <v>2009</v>
      </c>
      <c r="H2932">
        <v>417.16</v>
      </c>
      <c r="I2932">
        <v>12</v>
      </c>
      <c r="J2932" s="1" t="s">
        <v>448</v>
      </c>
      <c r="K2932">
        <v>0</v>
      </c>
      <c r="L2932">
        <v>7549</v>
      </c>
      <c r="M2932">
        <v>5.5259000000000003E-2</v>
      </c>
      <c r="N2932">
        <v>3</v>
      </c>
      <c r="O2932" s="1" t="s">
        <v>560</v>
      </c>
      <c r="P2932">
        <v>417.16</v>
      </c>
      <c r="Q2932">
        <v>333.74</v>
      </c>
      <c r="R2932">
        <v>0</v>
      </c>
      <c r="S2932" s="1" t="s">
        <v>679</v>
      </c>
      <c r="T2932" s="1"/>
      <c r="U2932">
        <v>417.17457999999999</v>
      </c>
      <c r="V2932">
        <v>0</v>
      </c>
      <c r="W2932">
        <v>77261</v>
      </c>
    </row>
    <row r="2933" spans="1:23" x14ac:dyDescent="0.25">
      <c r="A2933" s="1" t="s">
        <v>37</v>
      </c>
      <c r="B2933" s="1"/>
      <c r="C2933" s="1" t="s">
        <v>193</v>
      </c>
      <c r="D2933">
        <v>9220</v>
      </c>
      <c r="E2933" s="1"/>
      <c r="F2933" s="1" t="s">
        <v>322</v>
      </c>
      <c r="G2933">
        <v>2009</v>
      </c>
      <c r="H2933">
        <v>272.83</v>
      </c>
      <c r="I2933">
        <v>11</v>
      </c>
      <c r="J2933" s="1" t="s">
        <v>449</v>
      </c>
      <c r="K2933">
        <v>0</v>
      </c>
      <c r="L2933">
        <v>7549</v>
      </c>
      <c r="M2933">
        <v>3.6139999999999999E-2</v>
      </c>
      <c r="N2933">
        <v>3</v>
      </c>
      <c r="O2933" s="1" t="s">
        <v>560</v>
      </c>
      <c r="P2933">
        <v>272.83</v>
      </c>
      <c r="Q2933">
        <v>218.29</v>
      </c>
      <c r="R2933">
        <v>0</v>
      </c>
      <c r="S2933" s="1" t="s">
        <v>680</v>
      </c>
      <c r="T2933" s="1"/>
      <c r="U2933">
        <v>272.84424000000001</v>
      </c>
      <c r="V2933">
        <v>0</v>
      </c>
      <c r="W2933">
        <v>79481</v>
      </c>
    </row>
    <row r="2934" spans="1:23" x14ac:dyDescent="0.25">
      <c r="A2934" s="1" t="s">
        <v>37</v>
      </c>
      <c r="B2934" s="1"/>
      <c r="C2934" s="1" t="s">
        <v>193</v>
      </c>
      <c r="D2934">
        <v>9220</v>
      </c>
      <c r="E2934" s="1"/>
      <c r="F2934" s="1" t="s">
        <v>322</v>
      </c>
      <c r="G2934">
        <v>2008</v>
      </c>
      <c r="H2934">
        <v>30.7</v>
      </c>
      <c r="I2934">
        <v>12</v>
      </c>
      <c r="J2934" s="1"/>
      <c r="K2934">
        <v>0</v>
      </c>
      <c r="L2934">
        <v>7549</v>
      </c>
      <c r="M2934">
        <v>4.0660000000000002E-3</v>
      </c>
      <c r="N2934">
        <v>3</v>
      </c>
      <c r="O2934" s="1" t="s">
        <v>560</v>
      </c>
      <c r="P2934">
        <v>30.7</v>
      </c>
      <c r="Q2934">
        <v>0</v>
      </c>
      <c r="R2934">
        <v>0</v>
      </c>
      <c r="S2934" s="1" t="s">
        <v>672</v>
      </c>
      <c r="T2934" s="1"/>
      <c r="U2934">
        <v>30.687999999999999</v>
      </c>
      <c r="V2934">
        <v>0</v>
      </c>
      <c r="W2934">
        <v>72733</v>
      </c>
    </row>
    <row r="2935" spans="1:23" x14ac:dyDescent="0.25">
      <c r="A2935" s="1" t="s">
        <v>37</v>
      </c>
      <c r="B2935" s="1"/>
      <c r="C2935" s="1" t="s">
        <v>193</v>
      </c>
      <c r="D2935">
        <v>9220</v>
      </c>
      <c r="E2935" s="1"/>
      <c r="F2935" s="1" t="s">
        <v>322</v>
      </c>
      <c r="G2935">
        <v>2008</v>
      </c>
      <c r="H2935">
        <v>501.98</v>
      </c>
      <c r="I2935">
        <v>12</v>
      </c>
      <c r="J2935" s="1" t="s">
        <v>448</v>
      </c>
      <c r="K2935">
        <v>0</v>
      </c>
      <c r="L2935">
        <v>7549</v>
      </c>
      <c r="M2935">
        <v>6.6494999999999999E-2</v>
      </c>
      <c r="N2935">
        <v>3</v>
      </c>
      <c r="O2935" s="1" t="s">
        <v>560</v>
      </c>
      <c r="P2935">
        <v>501.98</v>
      </c>
      <c r="Q2935">
        <v>401.61</v>
      </c>
      <c r="R2935">
        <v>0</v>
      </c>
      <c r="S2935" s="1" t="s">
        <v>679</v>
      </c>
      <c r="T2935" s="1"/>
      <c r="U2935">
        <v>502.00000999999997</v>
      </c>
      <c r="V2935">
        <v>0</v>
      </c>
      <c r="W2935">
        <v>77261</v>
      </c>
    </row>
    <row r="2936" spans="1:23" x14ac:dyDescent="0.25">
      <c r="A2936" s="1" t="s">
        <v>37</v>
      </c>
      <c r="B2936" s="1"/>
      <c r="C2936" s="1" t="s">
        <v>193</v>
      </c>
      <c r="D2936">
        <v>9220</v>
      </c>
      <c r="E2936" s="1"/>
      <c r="F2936" s="1" t="s">
        <v>322</v>
      </c>
      <c r="G2936">
        <v>2008</v>
      </c>
      <c r="H2936">
        <v>218.92</v>
      </c>
      <c r="I2936">
        <v>12</v>
      </c>
      <c r="J2936" s="1" t="s">
        <v>449</v>
      </c>
      <c r="K2936">
        <v>0</v>
      </c>
      <c r="L2936">
        <v>7549</v>
      </c>
      <c r="M2936">
        <v>2.8999E-2</v>
      </c>
      <c r="N2936">
        <v>3</v>
      </c>
      <c r="O2936" s="1" t="s">
        <v>560</v>
      </c>
      <c r="P2936">
        <v>218.92</v>
      </c>
      <c r="Q2936">
        <v>175.12</v>
      </c>
      <c r="R2936">
        <v>0</v>
      </c>
      <c r="S2936" s="1" t="s">
        <v>680</v>
      </c>
      <c r="T2936" s="1"/>
      <c r="U2936">
        <v>218.90323000000001</v>
      </c>
      <c r="V2936">
        <v>0</v>
      </c>
      <c r="W2936">
        <v>79481</v>
      </c>
    </row>
    <row r="2937" spans="1:23" x14ac:dyDescent="0.25">
      <c r="A2937" s="1" t="s">
        <v>37</v>
      </c>
      <c r="B2937" s="1"/>
      <c r="C2937" s="1" t="s">
        <v>193</v>
      </c>
      <c r="D2937">
        <v>11000</v>
      </c>
      <c r="E2937" s="1"/>
      <c r="F2937" s="1" t="s">
        <v>323</v>
      </c>
      <c r="G2937">
        <v>2015</v>
      </c>
      <c r="H2937">
        <v>131.78</v>
      </c>
      <c r="I2937">
        <v>5</v>
      </c>
      <c r="J2937" s="1" t="s">
        <v>450</v>
      </c>
      <c r="K2937">
        <v>0</v>
      </c>
      <c r="L2937">
        <v>652</v>
      </c>
      <c r="M2937">
        <v>0.20208499999999999</v>
      </c>
      <c r="N2937">
        <v>3</v>
      </c>
      <c r="O2937" s="1" t="s">
        <v>560</v>
      </c>
      <c r="P2937">
        <v>131.78</v>
      </c>
      <c r="Q2937">
        <v>105.42</v>
      </c>
      <c r="R2937">
        <v>0</v>
      </c>
      <c r="S2937" s="1" t="s">
        <v>681</v>
      </c>
      <c r="T2937" s="1"/>
      <c r="U2937">
        <v>131.77799999999999</v>
      </c>
      <c r="V2937">
        <v>0</v>
      </c>
      <c r="W2937">
        <v>79480</v>
      </c>
    </row>
    <row r="2938" spans="1:23" x14ac:dyDescent="0.25">
      <c r="A2938" s="1" t="s">
        <v>37</v>
      </c>
      <c r="B2938" s="1"/>
      <c r="C2938" s="1" t="s">
        <v>193</v>
      </c>
      <c r="D2938">
        <v>11000</v>
      </c>
      <c r="E2938" s="1"/>
      <c r="F2938" s="1" t="s">
        <v>323</v>
      </c>
      <c r="G2938">
        <v>2014</v>
      </c>
      <c r="H2938">
        <v>303.51</v>
      </c>
      <c r="I2938">
        <v>12</v>
      </c>
      <c r="J2938" s="1" t="s">
        <v>450</v>
      </c>
      <c r="K2938">
        <v>0</v>
      </c>
      <c r="L2938">
        <v>652</v>
      </c>
      <c r="M2938">
        <v>0.46543400000000001</v>
      </c>
      <c r="N2938">
        <v>3</v>
      </c>
      <c r="O2938" s="1" t="s">
        <v>560</v>
      </c>
      <c r="P2938">
        <v>303.51</v>
      </c>
      <c r="Q2938">
        <v>242.8</v>
      </c>
      <c r="R2938">
        <v>0</v>
      </c>
      <c r="S2938" s="1" t="s">
        <v>681</v>
      </c>
      <c r="T2938" s="1"/>
      <c r="U2938">
        <v>303.495</v>
      </c>
      <c r="V2938">
        <v>0</v>
      </c>
      <c r="W2938">
        <v>79480</v>
      </c>
    </row>
    <row r="2939" spans="1:23" x14ac:dyDescent="0.25">
      <c r="A2939" s="1" t="s">
        <v>37</v>
      </c>
      <c r="B2939" s="1"/>
      <c r="C2939" s="1" t="s">
        <v>193</v>
      </c>
      <c r="D2939">
        <v>11000</v>
      </c>
      <c r="E2939" s="1"/>
      <c r="F2939" s="1" t="s">
        <v>323</v>
      </c>
      <c r="G2939">
        <v>2013</v>
      </c>
      <c r="H2939">
        <v>287.36</v>
      </c>
      <c r="I2939">
        <v>12</v>
      </c>
      <c r="J2939" s="1" t="s">
        <v>450</v>
      </c>
      <c r="K2939">
        <v>0</v>
      </c>
      <c r="L2939">
        <v>652</v>
      </c>
      <c r="M2939">
        <v>0.440668</v>
      </c>
      <c r="N2939">
        <v>3</v>
      </c>
      <c r="O2939" s="1" t="s">
        <v>560</v>
      </c>
      <c r="P2939">
        <v>287.36</v>
      </c>
      <c r="Q2939">
        <v>229.9</v>
      </c>
      <c r="R2939">
        <v>0</v>
      </c>
      <c r="S2939" s="1" t="s">
        <v>681</v>
      </c>
      <c r="T2939" s="1"/>
      <c r="U2939">
        <v>287.37200000000001</v>
      </c>
      <c r="V2939">
        <v>0</v>
      </c>
      <c r="W2939">
        <v>79480</v>
      </c>
    </row>
    <row r="2940" spans="1:23" x14ac:dyDescent="0.25">
      <c r="A2940" s="1" t="s">
        <v>37</v>
      </c>
      <c r="B2940" s="1"/>
      <c r="C2940" s="1" t="s">
        <v>193</v>
      </c>
      <c r="D2940">
        <v>11000</v>
      </c>
      <c r="E2940" s="1"/>
      <c r="F2940" s="1" t="s">
        <v>323</v>
      </c>
      <c r="G2940">
        <v>2012</v>
      </c>
      <c r="H2940">
        <v>61.61</v>
      </c>
      <c r="I2940">
        <v>12</v>
      </c>
      <c r="J2940" s="1" t="s">
        <v>450</v>
      </c>
      <c r="K2940">
        <v>0</v>
      </c>
      <c r="L2940">
        <v>652</v>
      </c>
      <c r="M2940">
        <v>9.4478999999999994E-2</v>
      </c>
      <c r="N2940">
        <v>3</v>
      </c>
      <c r="O2940" s="1" t="s">
        <v>560</v>
      </c>
      <c r="P2940">
        <v>61.61</v>
      </c>
      <c r="Q2940">
        <v>49.29</v>
      </c>
      <c r="R2940">
        <v>0</v>
      </c>
      <c r="S2940" s="1" t="s">
        <v>681</v>
      </c>
      <c r="T2940" s="1"/>
      <c r="U2940">
        <v>61.603999999999999</v>
      </c>
      <c r="V2940">
        <v>0</v>
      </c>
      <c r="W2940">
        <v>79480</v>
      </c>
    </row>
    <row r="2941" spans="1:23" x14ac:dyDescent="0.25">
      <c r="A2941" s="1" t="s">
        <v>37</v>
      </c>
      <c r="B2941" s="1"/>
      <c r="C2941" s="1" t="s">
        <v>193</v>
      </c>
      <c r="D2941">
        <v>11000</v>
      </c>
      <c r="E2941" s="1"/>
      <c r="F2941" s="1" t="s">
        <v>323</v>
      </c>
      <c r="G2941">
        <v>2011</v>
      </c>
      <c r="H2941">
        <v>10.35</v>
      </c>
      <c r="I2941">
        <v>12</v>
      </c>
      <c r="J2941" s="1" t="s">
        <v>450</v>
      </c>
      <c r="K2941">
        <v>0</v>
      </c>
      <c r="L2941">
        <v>652</v>
      </c>
      <c r="M2941">
        <v>1.5871E-2</v>
      </c>
      <c r="N2941">
        <v>3</v>
      </c>
      <c r="O2941" s="1" t="s">
        <v>560</v>
      </c>
      <c r="P2941">
        <v>10.35</v>
      </c>
      <c r="Q2941">
        <v>8.2899999999999991</v>
      </c>
      <c r="R2941">
        <v>0</v>
      </c>
      <c r="S2941" s="1" t="s">
        <v>681</v>
      </c>
      <c r="T2941" s="1"/>
      <c r="U2941">
        <v>10.343</v>
      </c>
      <c r="V2941">
        <v>0</v>
      </c>
      <c r="W2941">
        <v>79480</v>
      </c>
    </row>
    <row r="2942" spans="1:23" x14ac:dyDescent="0.25">
      <c r="A2942" s="1" t="s">
        <v>37</v>
      </c>
      <c r="B2942" s="1"/>
      <c r="C2942" s="1" t="s">
        <v>193</v>
      </c>
      <c r="D2942">
        <v>11000</v>
      </c>
      <c r="E2942" s="1"/>
      <c r="F2942" s="1" t="s">
        <v>323</v>
      </c>
      <c r="G2942">
        <v>2010</v>
      </c>
      <c r="H2942">
        <v>381.6</v>
      </c>
      <c r="I2942">
        <v>13</v>
      </c>
      <c r="J2942" s="1" t="s">
        <v>450</v>
      </c>
      <c r="K2942">
        <v>0</v>
      </c>
      <c r="L2942">
        <v>652</v>
      </c>
      <c r="M2942">
        <v>0.58518599999999998</v>
      </c>
      <c r="N2942">
        <v>3</v>
      </c>
      <c r="O2942" s="1" t="s">
        <v>560</v>
      </c>
      <c r="P2942">
        <v>381.6</v>
      </c>
      <c r="Q2942">
        <v>305.27999999999997</v>
      </c>
      <c r="R2942">
        <v>0</v>
      </c>
      <c r="S2942" s="1" t="s">
        <v>681</v>
      </c>
      <c r="T2942" s="1"/>
      <c r="U2942">
        <v>381.60086000000001</v>
      </c>
      <c r="V2942">
        <v>0</v>
      </c>
      <c r="W2942">
        <v>79480</v>
      </c>
    </row>
    <row r="2943" spans="1:23" x14ac:dyDescent="0.25">
      <c r="A2943" s="1" t="s">
        <v>37</v>
      </c>
      <c r="B2943" s="1"/>
      <c r="C2943" s="1" t="s">
        <v>193</v>
      </c>
      <c r="D2943">
        <v>11000</v>
      </c>
      <c r="E2943" s="1"/>
      <c r="F2943" s="1" t="s">
        <v>323</v>
      </c>
      <c r="G2943">
        <v>2009</v>
      </c>
      <c r="H2943">
        <v>446.55</v>
      </c>
      <c r="I2943">
        <v>11</v>
      </c>
      <c r="J2943" s="1" t="s">
        <v>450</v>
      </c>
      <c r="K2943">
        <v>0</v>
      </c>
      <c r="L2943">
        <v>652</v>
      </c>
      <c r="M2943">
        <v>0.68478700000000003</v>
      </c>
      <c r="N2943">
        <v>3</v>
      </c>
      <c r="O2943" s="1" t="s">
        <v>560</v>
      </c>
      <c r="P2943">
        <v>446.55</v>
      </c>
      <c r="Q2943">
        <v>357.24</v>
      </c>
      <c r="R2943">
        <v>0</v>
      </c>
      <c r="S2943" s="1" t="s">
        <v>681</v>
      </c>
      <c r="T2943" s="1"/>
      <c r="U2943">
        <v>446.56038000000001</v>
      </c>
      <c r="V2943">
        <v>0</v>
      </c>
      <c r="W2943">
        <v>79480</v>
      </c>
    </row>
    <row r="2944" spans="1:23" x14ac:dyDescent="0.25">
      <c r="A2944" s="1" t="s">
        <v>37</v>
      </c>
      <c r="B2944" s="1"/>
      <c r="C2944" s="1" t="s">
        <v>193</v>
      </c>
      <c r="D2944">
        <v>11000</v>
      </c>
      <c r="E2944" s="1"/>
      <c r="F2944" s="1" t="s">
        <v>323</v>
      </c>
      <c r="G2944">
        <v>2008</v>
      </c>
      <c r="H2944">
        <v>435.57</v>
      </c>
      <c r="I2944">
        <v>12</v>
      </c>
      <c r="J2944" s="1" t="s">
        <v>450</v>
      </c>
      <c r="K2944">
        <v>0</v>
      </c>
      <c r="L2944">
        <v>652</v>
      </c>
      <c r="M2944">
        <v>0.66794900000000001</v>
      </c>
      <c r="N2944">
        <v>3</v>
      </c>
      <c r="O2944" s="1" t="s">
        <v>560</v>
      </c>
      <c r="P2944">
        <v>435.57</v>
      </c>
      <c r="Q2944">
        <v>348.48</v>
      </c>
      <c r="R2944">
        <v>0</v>
      </c>
      <c r="S2944" s="1" t="s">
        <v>681</v>
      </c>
      <c r="T2944" s="1"/>
      <c r="U2944">
        <v>435.58064999999999</v>
      </c>
      <c r="V2944">
        <v>0</v>
      </c>
      <c r="W2944">
        <v>79480</v>
      </c>
    </row>
    <row r="2945" spans="1:23" x14ac:dyDescent="0.25">
      <c r="A2945" s="1" t="s">
        <v>37</v>
      </c>
      <c r="B2945" s="1"/>
      <c r="C2945" s="1" t="s">
        <v>194</v>
      </c>
      <c r="D2945">
        <v>14252</v>
      </c>
      <c r="E2945" s="1" t="s">
        <v>243</v>
      </c>
      <c r="F2945" s="1" t="s">
        <v>324</v>
      </c>
      <c r="G2945">
        <v>2015</v>
      </c>
      <c r="H2945">
        <v>350.76</v>
      </c>
      <c r="I2945">
        <v>5</v>
      </c>
      <c r="J2945" s="1"/>
      <c r="K2945">
        <v>0</v>
      </c>
      <c r="L2945">
        <v>3700</v>
      </c>
      <c r="M2945">
        <v>9.4797000000000006E-2</v>
      </c>
      <c r="N2945">
        <v>3</v>
      </c>
      <c r="O2945" s="1" t="s">
        <v>560</v>
      </c>
      <c r="P2945">
        <v>350.76</v>
      </c>
      <c r="Q2945">
        <v>280.61</v>
      </c>
      <c r="R2945">
        <v>0</v>
      </c>
      <c r="S2945" s="1" t="s">
        <v>682</v>
      </c>
      <c r="T2945" s="1"/>
      <c r="U2945">
        <v>350.76600000000002</v>
      </c>
      <c r="V2945">
        <v>0</v>
      </c>
      <c r="W2945">
        <v>77354</v>
      </c>
    </row>
    <row r="2946" spans="1:23" x14ac:dyDescent="0.25">
      <c r="A2946" s="1" t="s">
        <v>37</v>
      </c>
      <c r="B2946" s="1"/>
      <c r="C2946" s="1" t="s">
        <v>194</v>
      </c>
      <c r="D2946">
        <v>14252</v>
      </c>
      <c r="E2946" s="1" t="s">
        <v>243</v>
      </c>
      <c r="F2946" s="1" t="s">
        <v>324</v>
      </c>
      <c r="G2946">
        <v>2014</v>
      </c>
      <c r="H2946">
        <v>750.96</v>
      </c>
      <c r="I2946">
        <v>12</v>
      </c>
      <c r="J2946" s="1"/>
      <c r="K2946">
        <v>0</v>
      </c>
      <c r="L2946">
        <v>3700</v>
      </c>
      <c r="M2946">
        <v>0.202956</v>
      </c>
      <c r="N2946">
        <v>3</v>
      </c>
      <c r="O2946" s="1" t="s">
        <v>560</v>
      </c>
      <c r="P2946">
        <v>750.96</v>
      </c>
      <c r="Q2946">
        <v>600.79</v>
      </c>
      <c r="R2946">
        <v>0</v>
      </c>
      <c r="S2946" s="1" t="s">
        <v>682</v>
      </c>
      <c r="T2946" s="1"/>
      <c r="U2946">
        <v>750.95699999999999</v>
      </c>
      <c r="V2946">
        <v>0</v>
      </c>
      <c r="W2946">
        <v>77354</v>
      </c>
    </row>
    <row r="2947" spans="1:23" x14ac:dyDescent="0.25">
      <c r="A2947" s="1" t="s">
        <v>37</v>
      </c>
      <c r="B2947" s="1"/>
      <c r="C2947" s="1" t="s">
        <v>194</v>
      </c>
      <c r="D2947">
        <v>14252</v>
      </c>
      <c r="E2947" s="1" t="s">
        <v>243</v>
      </c>
      <c r="F2947" s="1" t="s">
        <v>324</v>
      </c>
      <c r="G2947">
        <v>2013</v>
      </c>
      <c r="H2947">
        <v>729.46</v>
      </c>
      <c r="I2947">
        <v>12</v>
      </c>
      <c r="J2947" s="1"/>
      <c r="K2947">
        <v>0</v>
      </c>
      <c r="L2947">
        <v>3700</v>
      </c>
      <c r="M2947">
        <v>0.19714599999999999</v>
      </c>
      <c r="N2947">
        <v>3</v>
      </c>
      <c r="O2947" s="1" t="s">
        <v>560</v>
      </c>
      <c r="P2947">
        <v>729.46</v>
      </c>
      <c r="Q2947">
        <v>583.58000000000004</v>
      </c>
      <c r="R2947">
        <v>0</v>
      </c>
      <c r="S2947" s="1" t="s">
        <v>682</v>
      </c>
      <c r="T2947" s="1"/>
      <c r="U2947">
        <v>729.45699999999999</v>
      </c>
      <c r="V2947">
        <v>0</v>
      </c>
      <c r="W2947">
        <v>77354</v>
      </c>
    </row>
    <row r="2948" spans="1:23" x14ac:dyDescent="0.25">
      <c r="A2948" s="1" t="s">
        <v>37</v>
      </c>
      <c r="B2948" s="1"/>
      <c r="C2948" s="1" t="s">
        <v>194</v>
      </c>
      <c r="D2948">
        <v>14252</v>
      </c>
      <c r="E2948" s="1" t="s">
        <v>243</v>
      </c>
      <c r="F2948" s="1" t="s">
        <v>324</v>
      </c>
      <c r="G2948">
        <v>2012</v>
      </c>
      <c r="H2948">
        <v>689.86</v>
      </c>
      <c r="I2948">
        <v>12</v>
      </c>
      <c r="J2948" s="1"/>
      <c r="K2948">
        <v>0</v>
      </c>
      <c r="L2948">
        <v>3700</v>
      </c>
      <c r="M2948">
        <v>0.186443</v>
      </c>
      <c r="N2948">
        <v>3</v>
      </c>
      <c r="O2948" s="1" t="s">
        <v>560</v>
      </c>
      <c r="P2948">
        <v>689.86</v>
      </c>
      <c r="Q2948">
        <v>551.89</v>
      </c>
      <c r="R2948">
        <v>0</v>
      </c>
      <c r="S2948" s="1" t="s">
        <v>682</v>
      </c>
      <c r="T2948" s="1"/>
      <c r="U2948">
        <v>689.86300000000006</v>
      </c>
      <c r="V2948">
        <v>0</v>
      </c>
      <c r="W2948">
        <v>77354</v>
      </c>
    </row>
    <row r="2949" spans="1:23" x14ac:dyDescent="0.25">
      <c r="A2949" s="1" t="s">
        <v>37</v>
      </c>
      <c r="B2949" s="1"/>
      <c r="C2949" s="1" t="s">
        <v>194</v>
      </c>
      <c r="D2949">
        <v>14252</v>
      </c>
      <c r="E2949" s="1" t="s">
        <v>243</v>
      </c>
      <c r="F2949" s="1" t="s">
        <v>324</v>
      </c>
      <c r="G2949">
        <v>2011</v>
      </c>
      <c r="H2949">
        <v>1022.21</v>
      </c>
      <c r="I2949">
        <v>12</v>
      </c>
      <c r="J2949" s="1"/>
      <c r="K2949">
        <v>0</v>
      </c>
      <c r="L2949">
        <v>3700</v>
      </c>
      <c r="M2949">
        <v>0.27626499999999998</v>
      </c>
      <c r="N2949">
        <v>3</v>
      </c>
      <c r="O2949" s="1" t="s">
        <v>560</v>
      </c>
      <c r="P2949">
        <v>1022.21</v>
      </c>
      <c r="Q2949">
        <v>817.76</v>
      </c>
      <c r="R2949">
        <v>0</v>
      </c>
      <c r="S2949" s="1" t="s">
        <v>682</v>
      </c>
      <c r="T2949" s="1"/>
      <c r="U2949">
        <v>1022.206</v>
      </c>
      <c r="V2949">
        <v>0</v>
      </c>
      <c r="W2949">
        <v>77354</v>
      </c>
    </row>
    <row r="2950" spans="1:23" x14ac:dyDescent="0.25">
      <c r="A2950" s="1" t="s">
        <v>37</v>
      </c>
      <c r="B2950" s="1"/>
      <c r="C2950" s="1" t="s">
        <v>194</v>
      </c>
      <c r="D2950">
        <v>14252</v>
      </c>
      <c r="E2950" s="1" t="s">
        <v>243</v>
      </c>
      <c r="F2950" s="1" t="s">
        <v>324</v>
      </c>
      <c r="G2950">
        <v>2010</v>
      </c>
      <c r="H2950">
        <v>1092.7</v>
      </c>
      <c r="I2950">
        <v>12</v>
      </c>
      <c r="J2950" s="1"/>
      <c r="K2950">
        <v>0</v>
      </c>
      <c r="L2950">
        <v>3700</v>
      </c>
      <c r="M2950">
        <v>0.29531600000000002</v>
      </c>
      <c r="N2950">
        <v>3</v>
      </c>
      <c r="O2950" s="1" t="s">
        <v>560</v>
      </c>
      <c r="P2950">
        <v>1092.7</v>
      </c>
      <c r="Q2950">
        <v>874.15</v>
      </c>
      <c r="R2950">
        <v>0</v>
      </c>
      <c r="S2950" s="1" t="s">
        <v>682</v>
      </c>
      <c r="T2950" s="1"/>
      <c r="U2950">
        <v>1092.6808900000001</v>
      </c>
      <c r="V2950">
        <v>0</v>
      </c>
      <c r="W2950">
        <v>77354</v>
      </c>
    </row>
    <row r="2951" spans="1:23" x14ac:dyDescent="0.25">
      <c r="A2951" s="1" t="s">
        <v>37</v>
      </c>
      <c r="B2951" s="1"/>
      <c r="C2951" s="1" t="s">
        <v>194</v>
      </c>
      <c r="D2951">
        <v>14252</v>
      </c>
      <c r="E2951" s="1" t="s">
        <v>243</v>
      </c>
      <c r="F2951" s="1" t="s">
        <v>324</v>
      </c>
      <c r="G2951">
        <v>2009</v>
      </c>
      <c r="H2951">
        <v>1748.76</v>
      </c>
      <c r="I2951">
        <v>12</v>
      </c>
      <c r="J2951" s="1"/>
      <c r="K2951">
        <v>0</v>
      </c>
      <c r="L2951">
        <v>3700</v>
      </c>
      <c r="M2951">
        <v>0.47262500000000002</v>
      </c>
      <c r="N2951">
        <v>3</v>
      </c>
      <c r="O2951" s="1" t="s">
        <v>560</v>
      </c>
      <c r="P2951">
        <v>1748.76</v>
      </c>
      <c r="Q2951">
        <v>1399.02</v>
      </c>
      <c r="R2951">
        <v>0</v>
      </c>
      <c r="S2951" s="1" t="s">
        <v>682</v>
      </c>
      <c r="T2951" s="1"/>
      <c r="U2951">
        <v>1748.742</v>
      </c>
      <c r="V2951">
        <v>0</v>
      </c>
      <c r="W2951">
        <v>77354</v>
      </c>
    </row>
    <row r="2952" spans="1:23" x14ac:dyDescent="0.25">
      <c r="A2952" s="1" t="s">
        <v>37</v>
      </c>
      <c r="B2952" s="1"/>
      <c r="C2952" s="1" t="s">
        <v>194</v>
      </c>
      <c r="D2952">
        <v>14252</v>
      </c>
      <c r="E2952" s="1" t="s">
        <v>243</v>
      </c>
      <c r="F2952" s="1" t="s">
        <v>324</v>
      </c>
      <c r="G2952">
        <v>2008</v>
      </c>
      <c r="H2952">
        <v>541.51</v>
      </c>
      <c r="I2952">
        <v>12</v>
      </c>
      <c r="J2952" s="1"/>
      <c r="K2952">
        <v>0</v>
      </c>
      <c r="L2952">
        <v>3700</v>
      </c>
      <c r="M2952">
        <v>0.14635000000000001</v>
      </c>
      <c r="N2952">
        <v>3</v>
      </c>
      <c r="O2952" s="1" t="s">
        <v>560</v>
      </c>
      <c r="P2952">
        <v>541.51</v>
      </c>
      <c r="Q2952">
        <v>433.2</v>
      </c>
      <c r="R2952">
        <v>0</v>
      </c>
      <c r="S2952" s="1" t="s">
        <v>682</v>
      </c>
      <c r="T2952" s="1"/>
      <c r="U2952">
        <v>541.50300000000004</v>
      </c>
      <c r="V2952">
        <v>0</v>
      </c>
      <c r="W2952">
        <v>77354</v>
      </c>
    </row>
    <row r="2953" spans="1:23" x14ac:dyDescent="0.25">
      <c r="A2953" s="1" t="s">
        <v>37</v>
      </c>
      <c r="B2953" s="1"/>
      <c r="C2953" s="1" t="s">
        <v>194</v>
      </c>
      <c r="D2953">
        <v>14253</v>
      </c>
      <c r="E2953" s="1" t="s">
        <v>243</v>
      </c>
      <c r="F2953" s="1" t="s">
        <v>325</v>
      </c>
      <c r="G2953">
        <v>2015</v>
      </c>
      <c r="H2953">
        <v>384.5</v>
      </c>
      <c r="I2953">
        <v>5</v>
      </c>
      <c r="J2953" s="1" t="s">
        <v>398</v>
      </c>
      <c r="K2953">
        <v>0</v>
      </c>
      <c r="L2953">
        <v>6105</v>
      </c>
      <c r="M2953">
        <v>6.2979999999999994E-2</v>
      </c>
      <c r="N2953">
        <v>3</v>
      </c>
      <c r="O2953" s="1" t="s">
        <v>560</v>
      </c>
      <c r="P2953">
        <v>384.5</v>
      </c>
      <c r="Q2953">
        <v>307.60000000000002</v>
      </c>
      <c r="R2953">
        <v>0</v>
      </c>
      <c r="S2953" s="1" t="s">
        <v>683</v>
      </c>
      <c r="T2953" s="1"/>
      <c r="U2953">
        <v>384.5</v>
      </c>
      <c r="V2953">
        <v>0</v>
      </c>
      <c r="W2953">
        <v>78672</v>
      </c>
    </row>
    <row r="2954" spans="1:23" x14ac:dyDescent="0.25">
      <c r="A2954" s="1" t="s">
        <v>37</v>
      </c>
      <c r="B2954" s="1"/>
      <c r="C2954" s="1" t="s">
        <v>194</v>
      </c>
      <c r="D2954">
        <v>14253</v>
      </c>
      <c r="E2954" s="1" t="s">
        <v>243</v>
      </c>
      <c r="F2954" s="1" t="s">
        <v>325</v>
      </c>
      <c r="G2954">
        <v>2014</v>
      </c>
      <c r="H2954">
        <v>660.6</v>
      </c>
      <c r="I2954">
        <v>12</v>
      </c>
      <c r="J2954" s="1" t="s">
        <v>398</v>
      </c>
      <c r="K2954">
        <v>0</v>
      </c>
      <c r="L2954">
        <v>6105</v>
      </c>
      <c r="M2954">
        <v>0.10820399999999999</v>
      </c>
      <c r="N2954">
        <v>3</v>
      </c>
      <c r="O2954" s="1" t="s">
        <v>560</v>
      </c>
      <c r="P2954">
        <v>660.6</v>
      </c>
      <c r="Q2954">
        <v>528.48</v>
      </c>
      <c r="R2954">
        <v>0</v>
      </c>
      <c r="S2954" s="1" t="s">
        <v>683</v>
      </c>
      <c r="T2954" s="1"/>
      <c r="U2954">
        <v>660.6</v>
      </c>
      <c r="V2954">
        <v>0</v>
      </c>
      <c r="W2954">
        <v>78672</v>
      </c>
    </row>
    <row r="2955" spans="1:23" x14ac:dyDescent="0.25">
      <c r="A2955" s="1" t="s">
        <v>37</v>
      </c>
      <c r="B2955" s="1"/>
      <c r="C2955" s="1" t="s">
        <v>194</v>
      </c>
      <c r="D2955">
        <v>14253</v>
      </c>
      <c r="E2955" s="1" t="s">
        <v>243</v>
      </c>
      <c r="F2955" s="1" t="s">
        <v>325</v>
      </c>
      <c r="G2955">
        <v>2013</v>
      </c>
      <c r="H2955">
        <v>639.79999999999995</v>
      </c>
      <c r="I2955">
        <v>12</v>
      </c>
      <c r="J2955" s="1" t="s">
        <v>398</v>
      </c>
      <c r="K2955">
        <v>0</v>
      </c>
      <c r="L2955">
        <v>6105</v>
      </c>
      <c r="M2955">
        <v>0.104797</v>
      </c>
      <c r="N2955">
        <v>3</v>
      </c>
      <c r="O2955" s="1" t="s">
        <v>560</v>
      </c>
      <c r="P2955">
        <v>639.79999999999995</v>
      </c>
      <c r="Q2955">
        <v>511.84</v>
      </c>
      <c r="R2955">
        <v>0</v>
      </c>
      <c r="S2955" s="1" t="s">
        <v>683</v>
      </c>
      <c r="T2955" s="1"/>
      <c r="U2955">
        <v>639.79999999999995</v>
      </c>
      <c r="V2955">
        <v>0</v>
      </c>
      <c r="W2955">
        <v>78672</v>
      </c>
    </row>
    <row r="2956" spans="1:23" x14ac:dyDescent="0.25">
      <c r="A2956" s="1" t="s">
        <v>37</v>
      </c>
      <c r="B2956" s="1"/>
      <c r="C2956" s="1" t="s">
        <v>194</v>
      </c>
      <c r="D2956">
        <v>14253</v>
      </c>
      <c r="E2956" s="1" t="s">
        <v>243</v>
      </c>
      <c r="F2956" s="1" t="s">
        <v>325</v>
      </c>
      <c r="G2956">
        <v>2012</v>
      </c>
      <c r="H2956">
        <v>1026</v>
      </c>
      <c r="I2956">
        <v>12</v>
      </c>
      <c r="J2956" s="1" t="s">
        <v>398</v>
      </c>
      <c r="K2956">
        <v>0</v>
      </c>
      <c r="L2956">
        <v>6105</v>
      </c>
      <c r="M2956">
        <v>0.16805600000000001</v>
      </c>
      <c r="N2956">
        <v>3</v>
      </c>
      <c r="O2956" s="1" t="s">
        <v>560</v>
      </c>
      <c r="P2956">
        <v>1026</v>
      </c>
      <c r="Q2956">
        <v>820.8</v>
      </c>
      <c r="R2956">
        <v>0</v>
      </c>
      <c r="S2956" s="1" t="s">
        <v>683</v>
      </c>
      <c r="T2956" s="1"/>
      <c r="U2956">
        <v>1026</v>
      </c>
      <c r="V2956">
        <v>0</v>
      </c>
      <c r="W2956">
        <v>78672</v>
      </c>
    </row>
    <row r="2957" spans="1:23" x14ac:dyDescent="0.25">
      <c r="A2957" s="1" t="s">
        <v>37</v>
      </c>
      <c r="B2957" s="1"/>
      <c r="C2957" s="1" t="s">
        <v>194</v>
      </c>
      <c r="D2957">
        <v>14253</v>
      </c>
      <c r="E2957" s="1" t="s">
        <v>243</v>
      </c>
      <c r="F2957" s="1" t="s">
        <v>325</v>
      </c>
      <c r="G2957">
        <v>2011</v>
      </c>
      <c r="H2957">
        <v>1153.81</v>
      </c>
      <c r="I2957">
        <v>12</v>
      </c>
      <c r="J2957" s="1" t="s">
        <v>398</v>
      </c>
      <c r="K2957">
        <v>0</v>
      </c>
      <c r="L2957">
        <v>6105</v>
      </c>
      <c r="M2957">
        <v>0.18899099999999999</v>
      </c>
      <c r="N2957">
        <v>3</v>
      </c>
      <c r="O2957" s="1" t="s">
        <v>560</v>
      </c>
      <c r="P2957">
        <v>1153.81</v>
      </c>
      <c r="Q2957">
        <v>923.04</v>
      </c>
      <c r="R2957">
        <v>0</v>
      </c>
      <c r="S2957" s="1" t="s">
        <v>683</v>
      </c>
      <c r="T2957" s="1"/>
      <c r="U2957">
        <v>1153.80159</v>
      </c>
      <c r="V2957">
        <v>0</v>
      </c>
      <c r="W2957">
        <v>78672</v>
      </c>
    </row>
    <row r="2958" spans="1:23" x14ac:dyDescent="0.25">
      <c r="A2958" s="1" t="s">
        <v>37</v>
      </c>
      <c r="B2958" s="1"/>
      <c r="C2958" s="1" t="s">
        <v>194</v>
      </c>
      <c r="D2958">
        <v>14253</v>
      </c>
      <c r="E2958" s="1" t="s">
        <v>243</v>
      </c>
      <c r="F2958" s="1" t="s">
        <v>325</v>
      </c>
      <c r="G2958">
        <v>2010</v>
      </c>
      <c r="H2958">
        <v>989.91</v>
      </c>
      <c r="I2958">
        <v>6</v>
      </c>
      <c r="J2958" s="1" t="s">
        <v>398</v>
      </c>
      <c r="K2958">
        <v>0</v>
      </c>
      <c r="L2958">
        <v>6105</v>
      </c>
      <c r="M2958">
        <v>0.16214400000000001</v>
      </c>
      <c r="N2958">
        <v>3</v>
      </c>
      <c r="O2958" s="1" t="s">
        <v>560</v>
      </c>
      <c r="P2958">
        <v>989.91</v>
      </c>
      <c r="Q2958">
        <v>791.91</v>
      </c>
      <c r="R2958">
        <v>0</v>
      </c>
      <c r="S2958" s="1" t="s">
        <v>683</v>
      </c>
      <c r="T2958" s="1"/>
      <c r="U2958">
        <v>989.90130999999997</v>
      </c>
      <c r="V2958">
        <v>0</v>
      </c>
      <c r="W2958">
        <v>78672</v>
      </c>
    </row>
    <row r="2959" spans="1:23" x14ac:dyDescent="0.25">
      <c r="A2959" s="1" t="s">
        <v>37</v>
      </c>
      <c r="B2959" s="1"/>
      <c r="C2959" s="1" t="s">
        <v>194</v>
      </c>
      <c r="D2959">
        <v>14253</v>
      </c>
      <c r="E2959" s="1" t="s">
        <v>243</v>
      </c>
      <c r="F2959" s="1" t="s">
        <v>325</v>
      </c>
      <c r="G2959">
        <v>2009</v>
      </c>
      <c r="H2959">
        <v>1356.14</v>
      </c>
      <c r="I2959">
        <v>4</v>
      </c>
      <c r="J2959" s="1" t="s">
        <v>398</v>
      </c>
      <c r="K2959">
        <v>0</v>
      </c>
      <c r="L2959">
        <v>6105</v>
      </c>
      <c r="M2959">
        <v>0.222132</v>
      </c>
      <c r="N2959">
        <v>3</v>
      </c>
      <c r="O2959" s="1" t="s">
        <v>560</v>
      </c>
      <c r="P2959">
        <v>1356.14</v>
      </c>
      <c r="Q2959">
        <v>1084.9000000000001</v>
      </c>
      <c r="R2959">
        <v>0</v>
      </c>
      <c r="S2959" s="1" t="s">
        <v>683</v>
      </c>
      <c r="T2959" s="1"/>
      <c r="U2959">
        <v>1356.1442300000001</v>
      </c>
      <c r="V2959">
        <v>0</v>
      </c>
      <c r="W2959">
        <v>78672</v>
      </c>
    </row>
    <row r="2960" spans="1:23" x14ac:dyDescent="0.25">
      <c r="A2960" s="1" t="s">
        <v>37</v>
      </c>
      <c r="B2960" s="1"/>
      <c r="C2960" s="1" t="s">
        <v>194</v>
      </c>
      <c r="D2960">
        <v>14253</v>
      </c>
      <c r="E2960" s="1" t="s">
        <v>243</v>
      </c>
      <c r="F2960" s="1" t="s">
        <v>325</v>
      </c>
      <c r="G2960">
        <v>2008</v>
      </c>
      <c r="H2960">
        <v>708.48</v>
      </c>
      <c r="I2960">
        <v>11</v>
      </c>
      <c r="J2960" s="1" t="s">
        <v>398</v>
      </c>
      <c r="K2960">
        <v>0</v>
      </c>
      <c r="L2960">
        <v>6105</v>
      </c>
      <c r="M2960">
        <v>0.116047</v>
      </c>
      <c r="N2960">
        <v>3</v>
      </c>
      <c r="O2960" s="1" t="s">
        <v>560</v>
      </c>
      <c r="P2960">
        <v>708.48</v>
      </c>
      <c r="Q2960">
        <v>566.77</v>
      </c>
      <c r="R2960">
        <v>0</v>
      </c>
      <c r="S2960" s="1" t="s">
        <v>683</v>
      </c>
      <c r="T2960" s="1"/>
      <c r="U2960">
        <v>708.45160999999996</v>
      </c>
      <c r="V2960">
        <v>0</v>
      </c>
      <c r="W2960">
        <v>78672</v>
      </c>
    </row>
    <row r="2961" spans="1:23" x14ac:dyDescent="0.25">
      <c r="A2961" s="1" t="s">
        <v>37</v>
      </c>
      <c r="B2961" s="1"/>
      <c r="C2961" s="1" t="s">
        <v>194</v>
      </c>
      <c r="D2961">
        <v>14254</v>
      </c>
      <c r="E2961" s="1" t="s">
        <v>243</v>
      </c>
      <c r="F2961" s="1" t="s">
        <v>326</v>
      </c>
      <c r="G2961">
        <v>2015</v>
      </c>
      <c r="H2961">
        <v>306.10000000000002</v>
      </c>
      <c r="I2961">
        <v>5</v>
      </c>
      <c r="J2961" s="1" t="s">
        <v>398</v>
      </c>
      <c r="K2961">
        <v>0</v>
      </c>
      <c r="L2961">
        <v>2840</v>
      </c>
      <c r="M2961">
        <v>0.107777</v>
      </c>
      <c r="N2961">
        <v>3</v>
      </c>
      <c r="O2961" s="1" t="s">
        <v>560</v>
      </c>
      <c r="P2961">
        <v>306.10000000000002</v>
      </c>
      <c r="Q2961">
        <v>244.88</v>
      </c>
      <c r="R2961">
        <v>0</v>
      </c>
      <c r="S2961" s="1" t="s">
        <v>684</v>
      </c>
      <c r="T2961" s="1"/>
      <c r="U2961">
        <v>306.10000000000002</v>
      </c>
      <c r="V2961">
        <v>0</v>
      </c>
      <c r="W2961">
        <v>78673</v>
      </c>
    </row>
    <row r="2962" spans="1:23" x14ac:dyDescent="0.25">
      <c r="A2962" s="1" t="s">
        <v>37</v>
      </c>
      <c r="B2962" s="1"/>
      <c r="C2962" s="1" t="s">
        <v>194</v>
      </c>
      <c r="D2962">
        <v>14254</v>
      </c>
      <c r="E2962" s="1" t="s">
        <v>243</v>
      </c>
      <c r="F2962" s="1" t="s">
        <v>326</v>
      </c>
      <c r="G2962">
        <v>2014</v>
      </c>
      <c r="H2962">
        <v>337.8</v>
      </c>
      <c r="I2962">
        <v>12</v>
      </c>
      <c r="J2962" s="1" t="s">
        <v>398</v>
      </c>
      <c r="K2962">
        <v>0</v>
      </c>
      <c r="L2962">
        <v>2840</v>
      </c>
      <c r="M2962">
        <v>0.118939</v>
      </c>
      <c r="N2962">
        <v>3</v>
      </c>
      <c r="O2962" s="1" t="s">
        <v>560</v>
      </c>
      <c r="P2962">
        <v>337.8</v>
      </c>
      <c r="Q2962">
        <v>270.24</v>
      </c>
      <c r="R2962">
        <v>0</v>
      </c>
      <c r="S2962" s="1" t="s">
        <v>684</v>
      </c>
      <c r="T2962" s="1"/>
      <c r="U2962">
        <v>337.8</v>
      </c>
      <c r="V2962">
        <v>0</v>
      </c>
      <c r="W2962">
        <v>78673</v>
      </c>
    </row>
    <row r="2963" spans="1:23" x14ac:dyDescent="0.25">
      <c r="A2963" s="1" t="s">
        <v>37</v>
      </c>
      <c r="B2963" s="1"/>
      <c r="C2963" s="1" t="s">
        <v>194</v>
      </c>
      <c r="D2963">
        <v>14254</v>
      </c>
      <c r="E2963" s="1" t="s">
        <v>243</v>
      </c>
      <c r="F2963" s="1" t="s">
        <v>326</v>
      </c>
      <c r="G2963">
        <v>2013</v>
      </c>
      <c r="H2963">
        <v>370</v>
      </c>
      <c r="I2963">
        <v>12</v>
      </c>
      <c r="J2963" s="1" t="s">
        <v>398</v>
      </c>
      <c r="K2963">
        <v>0</v>
      </c>
      <c r="L2963">
        <v>2840</v>
      </c>
      <c r="M2963">
        <v>0.130277</v>
      </c>
      <c r="N2963">
        <v>3</v>
      </c>
      <c r="O2963" s="1" t="s">
        <v>560</v>
      </c>
      <c r="P2963">
        <v>370</v>
      </c>
      <c r="Q2963">
        <v>296</v>
      </c>
      <c r="R2963">
        <v>0</v>
      </c>
      <c r="S2963" s="1" t="s">
        <v>684</v>
      </c>
      <c r="T2963" s="1"/>
      <c r="U2963">
        <v>370</v>
      </c>
      <c r="V2963">
        <v>0</v>
      </c>
      <c r="W2963">
        <v>78673</v>
      </c>
    </row>
    <row r="2964" spans="1:23" x14ac:dyDescent="0.25">
      <c r="A2964" s="1" t="s">
        <v>37</v>
      </c>
      <c r="B2964" s="1"/>
      <c r="C2964" s="1" t="s">
        <v>194</v>
      </c>
      <c r="D2964">
        <v>14254</v>
      </c>
      <c r="E2964" s="1" t="s">
        <v>243</v>
      </c>
      <c r="F2964" s="1" t="s">
        <v>326</v>
      </c>
      <c r="G2964">
        <v>2012</v>
      </c>
      <c r="H2964">
        <v>341.7</v>
      </c>
      <c r="I2964">
        <v>12</v>
      </c>
      <c r="J2964" s="1" t="s">
        <v>398</v>
      </c>
      <c r="K2964">
        <v>0</v>
      </c>
      <c r="L2964">
        <v>2840</v>
      </c>
      <c r="M2964">
        <v>0.120312</v>
      </c>
      <c r="N2964">
        <v>3</v>
      </c>
      <c r="O2964" s="1" t="s">
        <v>560</v>
      </c>
      <c r="P2964">
        <v>341.7</v>
      </c>
      <c r="Q2964">
        <v>273.36</v>
      </c>
      <c r="R2964">
        <v>0</v>
      </c>
      <c r="S2964" s="1" t="s">
        <v>684</v>
      </c>
      <c r="T2964" s="1"/>
      <c r="U2964">
        <v>341.7</v>
      </c>
      <c r="V2964">
        <v>0</v>
      </c>
      <c r="W2964">
        <v>78673</v>
      </c>
    </row>
    <row r="2965" spans="1:23" x14ac:dyDescent="0.25">
      <c r="A2965" s="1" t="s">
        <v>37</v>
      </c>
      <c r="B2965" s="1"/>
      <c r="C2965" s="1" t="s">
        <v>194</v>
      </c>
      <c r="D2965">
        <v>14254</v>
      </c>
      <c r="E2965" s="1" t="s">
        <v>243</v>
      </c>
      <c r="F2965" s="1" t="s">
        <v>326</v>
      </c>
      <c r="G2965">
        <v>2011</v>
      </c>
      <c r="H2965">
        <v>730.79</v>
      </c>
      <c r="I2965">
        <v>12</v>
      </c>
      <c r="J2965" s="1" t="s">
        <v>398</v>
      </c>
      <c r="K2965">
        <v>0</v>
      </c>
      <c r="L2965">
        <v>2840</v>
      </c>
      <c r="M2965">
        <v>0.25731100000000001</v>
      </c>
      <c r="N2965">
        <v>3</v>
      </c>
      <c r="O2965" s="1" t="s">
        <v>560</v>
      </c>
      <c r="P2965">
        <v>730.79</v>
      </c>
      <c r="Q2965">
        <v>584.62</v>
      </c>
      <c r="R2965">
        <v>0</v>
      </c>
      <c r="S2965" s="1" t="s">
        <v>684</v>
      </c>
      <c r="T2965" s="1"/>
      <c r="U2965">
        <v>730.77885000000003</v>
      </c>
      <c r="V2965">
        <v>0</v>
      </c>
      <c r="W2965">
        <v>78673</v>
      </c>
    </row>
    <row r="2966" spans="1:23" x14ac:dyDescent="0.25">
      <c r="A2966" s="1" t="s">
        <v>37</v>
      </c>
      <c r="B2966" s="1"/>
      <c r="C2966" s="1" t="s">
        <v>194</v>
      </c>
      <c r="D2966">
        <v>14254</v>
      </c>
      <c r="E2966" s="1" t="s">
        <v>243</v>
      </c>
      <c r="F2966" s="1" t="s">
        <v>326</v>
      </c>
      <c r="G2966">
        <v>2010</v>
      </c>
      <c r="H2966">
        <v>905.64</v>
      </c>
      <c r="I2966">
        <v>5</v>
      </c>
      <c r="J2966" s="1" t="s">
        <v>398</v>
      </c>
      <c r="K2966">
        <v>0</v>
      </c>
      <c r="L2966">
        <v>2840</v>
      </c>
      <c r="M2966">
        <v>0.31887599999999999</v>
      </c>
      <c r="N2966">
        <v>3</v>
      </c>
      <c r="O2966" s="1" t="s">
        <v>560</v>
      </c>
      <c r="P2966">
        <v>905.64</v>
      </c>
      <c r="Q2966">
        <v>724.49</v>
      </c>
      <c r="R2966">
        <v>0</v>
      </c>
      <c r="S2966" s="1" t="s">
        <v>684</v>
      </c>
      <c r="T2966" s="1"/>
      <c r="U2966">
        <v>905.63401999999996</v>
      </c>
      <c r="V2966">
        <v>0</v>
      </c>
      <c r="W2966">
        <v>78673</v>
      </c>
    </row>
    <row r="2967" spans="1:23" x14ac:dyDescent="0.25">
      <c r="A2967" s="1" t="s">
        <v>37</v>
      </c>
      <c r="B2967" s="1"/>
      <c r="C2967" s="1" t="s">
        <v>194</v>
      </c>
      <c r="D2967">
        <v>14254</v>
      </c>
      <c r="E2967" s="1" t="s">
        <v>243</v>
      </c>
      <c r="F2967" s="1" t="s">
        <v>326</v>
      </c>
      <c r="G2967">
        <v>2009</v>
      </c>
      <c r="H2967">
        <v>1291.95</v>
      </c>
      <c r="I2967">
        <v>4</v>
      </c>
      <c r="J2967" s="1" t="s">
        <v>398</v>
      </c>
      <c r="K2967">
        <v>0</v>
      </c>
      <c r="L2967">
        <v>2840</v>
      </c>
      <c r="M2967">
        <v>0.45489499999999999</v>
      </c>
      <c r="N2967">
        <v>3</v>
      </c>
      <c r="O2967" s="1" t="s">
        <v>560</v>
      </c>
      <c r="P2967">
        <v>1291.95</v>
      </c>
      <c r="Q2967">
        <v>1033.5899999999999</v>
      </c>
      <c r="R2967">
        <v>0</v>
      </c>
      <c r="S2967" s="1" t="s">
        <v>684</v>
      </c>
      <c r="T2967" s="1"/>
      <c r="U2967">
        <v>1291.9650799999999</v>
      </c>
      <c r="V2967">
        <v>0</v>
      </c>
      <c r="W2967">
        <v>78673</v>
      </c>
    </row>
    <row r="2968" spans="1:23" x14ac:dyDescent="0.25">
      <c r="A2968" s="1" t="s">
        <v>37</v>
      </c>
      <c r="B2968" s="1"/>
      <c r="C2968" s="1" t="s">
        <v>194</v>
      </c>
      <c r="D2968">
        <v>14254</v>
      </c>
      <c r="E2968" s="1" t="s">
        <v>243</v>
      </c>
      <c r="F2968" s="1" t="s">
        <v>326</v>
      </c>
      <c r="G2968">
        <v>2008</v>
      </c>
      <c r="H2968">
        <v>754.98</v>
      </c>
      <c r="I2968">
        <v>11</v>
      </c>
      <c r="J2968" s="1" t="s">
        <v>398</v>
      </c>
      <c r="K2968">
        <v>0</v>
      </c>
      <c r="L2968">
        <v>2840</v>
      </c>
      <c r="M2968">
        <v>0.26582800000000001</v>
      </c>
      <c r="N2968">
        <v>3</v>
      </c>
      <c r="O2968" s="1" t="s">
        <v>560</v>
      </c>
      <c r="P2968">
        <v>754.98</v>
      </c>
      <c r="Q2968">
        <v>604.01</v>
      </c>
      <c r="R2968">
        <v>0</v>
      </c>
      <c r="S2968" s="1" t="s">
        <v>684</v>
      </c>
      <c r="T2968" s="1"/>
      <c r="U2968">
        <v>754.99999000000003</v>
      </c>
      <c r="V2968">
        <v>0</v>
      </c>
      <c r="W2968">
        <v>78673</v>
      </c>
    </row>
    <row r="2969" spans="1:23" x14ac:dyDescent="0.25">
      <c r="A2969" s="1" t="s">
        <v>37</v>
      </c>
      <c r="B2969" s="1"/>
      <c r="C2969" s="1" t="s">
        <v>195</v>
      </c>
      <c r="D2969">
        <v>9518</v>
      </c>
      <c r="E2969" s="1"/>
      <c r="F2969" s="1" t="s">
        <v>327</v>
      </c>
      <c r="G2969">
        <v>2015</v>
      </c>
      <c r="H2969">
        <v>184.19</v>
      </c>
      <c r="I2969">
        <v>5</v>
      </c>
      <c r="J2969" s="1"/>
      <c r="K2969">
        <v>0</v>
      </c>
      <c r="L2969">
        <v>2128</v>
      </c>
      <c r="M2969">
        <v>8.6551000000000003E-2</v>
      </c>
      <c r="N2969">
        <v>3</v>
      </c>
      <c r="O2969" s="1" t="s">
        <v>560</v>
      </c>
      <c r="P2969">
        <v>184.19</v>
      </c>
      <c r="Q2969">
        <v>147.35</v>
      </c>
      <c r="R2969">
        <v>0</v>
      </c>
      <c r="S2969" s="1"/>
      <c r="T2969" s="1"/>
      <c r="U2969">
        <v>184.18299999999999</v>
      </c>
      <c r="V2969">
        <v>0</v>
      </c>
      <c r="W2969">
        <v>74429</v>
      </c>
    </row>
    <row r="2970" spans="1:23" x14ac:dyDescent="0.25">
      <c r="A2970" s="1" t="s">
        <v>37</v>
      </c>
      <c r="B2970" s="1"/>
      <c r="C2970" s="1" t="s">
        <v>195</v>
      </c>
      <c r="D2970">
        <v>9518</v>
      </c>
      <c r="E2970" s="1"/>
      <c r="F2970" s="1" t="s">
        <v>327</v>
      </c>
      <c r="G2970">
        <v>2014</v>
      </c>
      <c r="H2970">
        <v>446.02</v>
      </c>
      <c r="I2970">
        <v>12</v>
      </c>
      <c r="J2970" s="1"/>
      <c r="K2970">
        <v>0</v>
      </c>
      <c r="L2970">
        <v>2128</v>
      </c>
      <c r="M2970">
        <v>0.20958599999999999</v>
      </c>
      <c r="N2970">
        <v>3</v>
      </c>
      <c r="O2970" s="1" t="s">
        <v>560</v>
      </c>
      <c r="P2970">
        <v>446.02</v>
      </c>
      <c r="Q2970">
        <v>356.82</v>
      </c>
      <c r="R2970">
        <v>0</v>
      </c>
      <c r="S2970" s="1"/>
      <c r="T2970" s="1"/>
      <c r="U2970">
        <v>446.017</v>
      </c>
      <c r="V2970">
        <v>0</v>
      </c>
      <c r="W2970">
        <v>74429</v>
      </c>
    </row>
    <row r="2971" spans="1:23" x14ac:dyDescent="0.25">
      <c r="A2971" s="1" t="s">
        <v>37</v>
      </c>
      <c r="B2971" s="1"/>
      <c r="C2971" s="1" t="s">
        <v>195</v>
      </c>
      <c r="D2971">
        <v>9518</v>
      </c>
      <c r="E2971" s="1"/>
      <c r="F2971" s="1" t="s">
        <v>327</v>
      </c>
      <c r="G2971">
        <v>2013</v>
      </c>
      <c r="H2971">
        <v>297.25</v>
      </c>
      <c r="I2971">
        <v>12</v>
      </c>
      <c r="J2971" s="1"/>
      <c r="K2971">
        <v>0</v>
      </c>
      <c r="L2971">
        <v>2128</v>
      </c>
      <c r="M2971">
        <v>0.139678</v>
      </c>
      <c r="N2971">
        <v>3</v>
      </c>
      <c r="O2971" s="1" t="s">
        <v>560</v>
      </c>
      <c r="P2971">
        <v>297.25</v>
      </c>
      <c r="Q2971">
        <v>237.8</v>
      </c>
      <c r="R2971">
        <v>0</v>
      </c>
      <c r="S2971" s="1"/>
      <c r="T2971" s="1"/>
      <c r="U2971">
        <v>297.24900000000002</v>
      </c>
      <c r="V2971">
        <v>0</v>
      </c>
      <c r="W2971">
        <v>74429</v>
      </c>
    </row>
    <row r="2972" spans="1:23" x14ac:dyDescent="0.25">
      <c r="A2972" s="1" t="s">
        <v>37</v>
      </c>
      <c r="B2972" s="1"/>
      <c r="C2972" s="1" t="s">
        <v>195</v>
      </c>
      <c r="D2972">
        <v>9518</v>
      </c>
      <c r="E2972" s="1"/>
      <c r="F2972" s="1" t="s">
        <v>327</v>
      </c>
      <c r="G2972">
        <v>2012</v>
      </c>
      <c r="H2972">
        <v>286.11</v>
      </c>
      <c r="I2972">
        <v>12</v>
      </c>
      <c r="J2972" s="1"/>
      <c r="K2972">
        <v>0</v>
      </c>
      <c r="L2972">
        <v>2128</v>
      </c>
      <c r="M2972">
        <v>0.13444300000000001</v>
      </c>
      <c r="N2972">
        <v>3</v>
      </c>
      <c r="O2972" s="1" t="s">
        <v>560</v>
      </c>
      <c r="P2972">
        <v>286.11</v>
      </c>
      <c r="Q2972">
        <v>228.89</v>
      </c>
      <c r="R2972">
        <v>0</v>
      </c>
      <c r="S2972" s="1"/>
      <c r="T2972" s="1"/>
      <c r="U2972">
        <v>286.11700000000002</v>
      </c>
      <c r="V2972">
        <v>0</v>
      </c>
      <c r="W2972">
        <v>74429</v>
      </c>
    </row>
    <row r="2973" spans="1:23" x14ac:dyDescent="0.25">
      <c r="A2973" s="1" t="s">
        <v>37</v>
      </c>
      <c r="B2973" s="1"/>
      <c r="C2973" s="1" t="s">
        <v>195</v>
      </c>
      <c r="D2973">
        <v>9518</v>
      </c>
      <c r="E2973" s="1"/>
      <c r="F2973" s="1" t="s">
        <v>327</v>
      </c>
      <c r="G2973">
        <v>2011</v>
      </c>
      <c r="H2973">
        <v>301.13</v>
      </c>
      <c r="I2973">
        <v>12</v>
      </c>
      <c r="J2973" s="1"/>
      <c r="K2973">
        <v>0</v>
      </c>
      <c r="L2973">
        <v>2128</v>
      </c>
      <c r="M2973">
        <v>0.14150099999999999</v>
      </c>
      <c r="N2973">
        <v>3</v>
      </c>
      <c r="O2973" s="1" t="s">
        <v>560</v>
      </c>
      <c r="P2973">
        <v>301.13</v>
      </c>
      <c r="Q2973">
        <v>240.9</v>
      </c>
      <c r="R2973">
        <v>0</v>
      </c>
      <c r="S2973" s="1"/>
      <c r="T2973" s="1"/>
      <c r="U2973">
        <v>301.13400000000001</v>
      </c>
      <c r="V2973">
        <v>0</v>
      </c>
      <c r="W2973">
        <v>74429</v>
      </c>
    </row>
    <row r="2974" spans="1:23" x14ac:dyDescent="0.25">
      <c r="A2974" s="1" t="s">
        <v>37</v>
      </c>
      <c r="B2974" s="1"/>
      <c r="C2974" s="1" t="s">
        <v>195</v>
      </c>
      <c r="D2974">
        <v>9518</v>
      </c>
      <c r="E2974" s="1"/>
      <c r="F2974" s="1" t="s">
        <v>327</v>
      </c>
      <c r="G2974">
        <v>2010</v>
      </c>
      <c r="H2974">
        <v>341.5</v>
      </c>
      <c r="I2974">
        <v>12</v>
      </c>
      <c r="J2974" s="1"/>
      <c r="K2974">
        <v>0</v>
      </c>
      <c r="L2974">
        <v>2128</v>
      </c>
      <c r="M2974">
        <v>0.160471</v>
      </c>
      <c r="N2974">
        <v>3</v>
      </c>
      <c r="O2974" s="1" t="s">
        <v>560</v>
      </c>
      <c r="P2974">
        <v>341.5</v>
      </c>
      <c r="Q2974">
        <v>273.19</v>
      </c>
      <c r="R2974">
        <v>0</v>
      </c>
      <c r="S2974" s="1"/>
      <c r="T2974" s="1"/>
      <c r="U2974">
        <v>341.48500000000001</v>
      </c>
      <c r="V2974">
        <v>0</v>
      </c>
      <c r="W2974">
        <v>74429</v>
      </c>
    </row>
    <row r="2975" spans="1:23" x14ac:dyDescent="0.25">
      <c r="A2975" s="1" t="s">
        <v>37</v>
      </c>
      <c r="B2975" s="1"/>
      <c r="C2975" s="1" t="s">
        <v>195</v>
      </c>
      <c r="D2975">
        <v>9518</v>
      </c>
      <c r="E2975" s="1"/>
      <c r="F2975" s="1" t="s">
        <v>327</v>
      </c>
      <c r="G2975">
        <v>2009</v>
      </c>
      <c r="H2975">
        <v>321.75</v>
      </c>
      <c r="I2975">
        <v>12</v>
      </c>
      <c r="J2975" s="1"/>
      <c r="K2975">
        <v>0</v>
      </c>
      <c r="L2975">
        <v>2128</v>
      </c>
      <c r="M2975">
        <v>0.15119099999999999</v>
      </c>
      <c r="N2975">
        <v>3</v>
      </c>
      <c r="O2975" s="1" t="s">
        <v>560</v>
      </c>
      <c r="P2975">
        <v>321.75</v>
      </c>
      <c r="Q2975">
        <v>257.41000000000003</v>
      </c>
      <c r="R2975">
        <v>0</v>
      </c>
      <c r="S2975" s="1"/>
      <c r="T2975" s="1"/>
      <c r="U2975">
        <v>321.75400000000002</v>
      </c>
      <c r="V2975">
        <v>0</v>
      </c>
      <c r="W2975">
        <v>74429</v>
      </c>
    </row>
    <row r="2976" spans="1:23" x14ac:dyDescent="0.25">
      <c r="A2976" s="1" t="s">
        <v>37</v>
      </c>
      <c r="B2976" s="1"/>
      <c r="C2976" s="1" t="s">
        <v>195</v>
      </c>
      <c r="D2976">
        <v>9518</v>
      </c>
      <c r="E2976" s="1"/>
      <c r="F2976" s="1" t="s">
        <v>327</v>
      </c>
      <c r="G2976">
        <v>2008</v>
      </c>
      <c r="H2976">
        <v>285.85000000000002</v>
      </c>
      <c r="I2976">
        <v>12</v>
      </c>
      <c r="J2976" s="1"/>
      <c r="K2976">
        <v>0</v>
      </c>
      <c r="L2976">
        <v>2128</v>
      </c>
      <c r="M2976">
        <v>0.134321</v>
      </c>
      <c r="N2976">
        <v>3</v>
      </c>
      <c r="O2976" s="1" t="s">
        <v>560</v>
      </c>
      <c r="P2976">
        <v>285.85000000000002</v>
      </c>
      <c r="Q2976">
        <v>228.69</v>
      </c>
      <c r="R2976">
        <v>0</v>
      </c>
      <c r="S2976" s="1"/>
      <c r="T2976" s="1"/>
      <c r="U2976">
        <v>285.84199999999998</v>
      </c>
      <c r="V2976">
        <v>0</v>
      </c>
      <c r="W2976">
        <v>74429</v>
      </c>
    </row>
    <row r="2977" spans="1:23" x14ac:dyDescent="0.25">
      <c r="A2977" s="1" t="s">
        <v>37</v>
      </c>
      <c r="B2977" s="1"/>
      <c r="C2977" s="1" t="s">
        <v>195</v>
      </c>
      <c r="D2977">
        <v>9519</v>
      </c>
      <c r="E2977" s="1"/>
      <c r="F2977" s="1" t="s">
        <v>328</v>
      </c>
      <c r="G2977">
        <v>2015</v>
      </c>
      <c r="H2977">
        <v>71.7</v>
      </c>
      <c r="I2977">
        <v>5</v>
      </c>
      <c r="J2977" s="1"/>
      <c r="K2977">
        <v>0</v>
      </c>
      <c r="L2977">
        <v>353</v>
      </c>
      <c r="M2977">
        <v>0.20305799999999999</v>
      </c>
      <c r="N2977">
        <v>3</v>
      </c>
      <c r="O2977" s="1" t="s">
        <v>560</v>
      </c>
      <c r="P2977">
        <v>71.7</v>
      </c>
      <c r="Q2977">
        <v>57.34</v>
      </c>
      <c r="R2977">
        <v>0</v>
      </c>
      <c r="S2977" s="1"/>
      <c r="T2977" s="1"/>
      <c r="U2977">
        <v>71.69</v>
      </c>
      <c r="V2977">
        <v>0</v>
      </c>
      <c r="W2977">
        <v>74432</v>
      </c>
    </row>
    <row r="2978" spans="1:23" x14ac:dyDescent="0.25">
      <c r="A2978" s="1" t="s">
        <v>37</v>
      </c>
      <c r="B2978" s="1"/>
      <c r="C2978" s="1" t="s">
        <v>195</v>
      </c>
      <c r="D2978">
        <v>9519</v>
      </c>
      <c r="E2978" s="1"/>
      <c r="F2978" s="1" t="s">
        <v>328</v>
      </c>
      <c r="G2978">
        <v>2014</v>
      </c>
      <c r="H2978">
        <v>162.49</v>
      </c>
      <c r="I2978">
        <v>12</v>
      </c>
      <c r="J2978" s="1"/>
      <c r="K2978">
        <v>0</v>
      </c>
      <c r="L2978">
        <v>353</v>
      </c>
      <c r="M2978">
        <v>0.46018100000000001</v>
      </c>
      <c r="N2978">
        <v>3</v>
      </c>
      <c r="O2978" s="1" t="s">
        <v>560</v>
      </c>
      <c r="P2978">
        <v>162.49</v>
      </c>
      <c r="Q2978">
        <v>130.01</v>
      </c>
      <c r="R2978">
        <v>0</v>
      </c>
      <c r="S2978" s="1"/>
      <c r="T2978" s="1"/>
      <c r="U2978">
        <v>162.48599999999999</v>
      </c>
      <c r="V2978">
        <v>0</v>
      </c>
      <c r="W2978">
        <v>74432</v>
      </c>
    </row>
    <row r="2979" spans="1:23" x14ac:dyDescent="0.25">
      <c r="A2979" s="1" t="s">
        <v>37</v>
      </c>
      <c r="B2979" s="1"/>
      <c r="C2979" s="1" t="s">
        <v>195</v>
      </c>
      <c r="D2979">
        <v>9519</v>
      </c>
      <c r="E2979" s="1"/>
      <c r="F2979" s="1" t="s">
        <v>328</v>
      </c>
      <c r="G2979">
        <v>2013</v>
      </c>
      <c r="H2979">
        <v>155.94999999999999</v>
      </c>
      <c r="I2979">
        <v>12</v>
      </c>
      <c r="J2979" s="1"/>
      <c r="K2979">
        <v>0</v>
      </c>
      <c r="L2979">
        <v>353</v>
      </c>
      <c r="M2979">
        <v>0.44165900000000002</v>
      </c>
      <c r="N2979">
        <v>3</v>
      </c>
      <c r="O2979" s="1" t="s">
        <v>560</v>
      </c>
      <c r="P2979">
        <v>155.94999999999999</v>
      </c>
      <c r="Q2979">
        <v>124.78</v>
      </c>
      <c r="R2979">
        <v>0</v>
      </c>
      <c r="S2979" s="1"/>
      <c r="T2979" s="1"/>
      <c r="U2979">
        <v>155.95400000000001</v>
      </c>
      <c r="V2979">
        <v>0</v>
      </c>
      <c r="W2979">
        <v>74432</v>
      </c>
    </row>
    <row r="2980" spans="1:23" x14ac:dyDescent="0.25">
      <c r="A2980" s="1" t="s">
        <v>37</v>
      </c>
      <c r="B2980" s="1"/>
      <c r="C2980" s="1" t="s">
        <v>195</v>
      </c>
      <c r="D2980">
        <v>9519</v>
      </c>
      <c r="E2980" s="1"/>
      <c r="F2980" s="1" t="s">
        <v>328</v>
      </c>
      <c r="G2980">
        <v>2012</v>
      </c>
      <c r="H2980">
        <v>271.42</v>
      </c>
      <c r="I2980">
        <v>12</v>
      </c>
      <c r="J2980" s="1"/>
      <c r="K2980">
        <v>0</v>
      </c>
      <c r="L2980">
        <v>353</v>
      </c>
      <c r="M2980">
        <v>0.76867700000000005</v>
      </c>
      <c r="N2980">
        <v>3</v>
      </c>
      <c r="O2980" s="1" t="s">
        <v>560</v>
      </c>
      <c r="P2980">
        <v>271.42</v>
      </c>
      <c r="Q2980">
        <v>217.14</v>
      </c>
      <c r="R2980">
        <v>0</v>
      </c>
      <c r="S2980" s="1"/>
      <c r="T2980" s="1"/>
      <c r="U2980">
        <v>271.43</v>
      </c>
      <c r="V2980">
        <v>0</v>
      </c>
      <c r="W2980">
        <v>74432</v>
      </c>
    </row>
    <row r="2981" spans="1:23" x14ac:dyDescent="0.25">
      <c r="A2981" s="1" t="s">
        <v>37</v>
      </c>
      <c r="B2981" s="1"/>
      <c r="C2981" s="1" t="s">
        <v>195</v>
      </c>
      <c r="D2981">
        <v>9519</v>
      </c>
      <c r="E2981" s="1"/>
      <c r="F2981" s="1" t="s">
        <v>328</v>
      </c>
      <c r="G2981">
        <v>2011</v>
      </c>
      <c r="H2981">
        <v>221.53</v>
      </c>
      <c r="I2981">
        <v>12</v>
      </c>
      <c r="J2981" s="1"/>
      <c r="K2981">
        <v>0</v>
      </c>
      <c r="L2981">
        <v>353</v>
      </c>
      <c r="M2981">
        <v>0.627386</v>
      </c>
      <c r="N2981">
        <v>3</v>
      </c>
      <c r="O2981" s="1" t="s">
        <v>560</v>
      </c>
      <c r="P2981">
        <v>221.53</v>
      </c>
      <c r="Q2981">
        <v>177.24</v>
      </c>
      <c r="R2981">
        <v>0</v>
      </c>
      <c r="S2981" s="1"/>
      <c r="T2981" s="1"/>
      <c r="U2981">
        <v>221.55</v>
      </c>
      <c r="V2981">
        <v>0</v>
      </c>
      <c r="W2981">
        <v>74432</v>
      </c>
    </row>
    <row r="2982" spans="1:23" x14ac:dyDescent="0.25">
      <c r="A2982" s="1" t="s">
        <v>37</v>
      </c>
      <c r="B2982" s="1"/>
      <c r="C2982" s="1" t="s">
        <v>195</v>
      </c>
      <c r="D2982">
        <v>9519</v>
      </c>
      <c r="E2982" s="1"/>
      <c r="F2982" s="1" t="s">
        <v>328</v>
      </c>
      <c r="G2982">
        <v>2010</v>
      </c>
      <c r="H2982">
        <v>184.39</v>
      </c>
      <c r="I2982">
        <v>12</v>
      </c>
      <c r="J2982" s="1"/>
      <c r="K2982">
        <v>0</v>
      </c>
      <c r="L2982">
        <v>353</v>
      </c>
      <c r="M2982">
        <v>0.52220299999999997</v>
      </c>
      <c r="N2982">
        <v>3</v>
      </c>
      <c r="O2982" s="1" t="s">
        <v>560</v>
      </c>
      <c r="P2982">
        <v>184.39</v>
      </c>
      <c r="Q2982">
        <v>147.51</v>
      </c>
      <c r="R2982">
        <v>0</v>
      </c>
      <c r="S2982" s="1"/>
      <c r="T2982" s="1"/>
      <c r="U2982">
        <v>184.40299999999999</v>
      </c>
      <c r="V2982">
        <v>0</v>
      </c>
      <c r="W2982">
        <v>74432</v>
      </c>
    </row>
    <row r="2983" spans="1:23" x14ac:dyDescent="0.25">
      <c r="A2983" s="1" t="s">
        <v>37</v>
      </c>
      <c r="B2983" s="1"/>
      <c r="C2983" s="1" t="s">
        <v>195</v>
      </c>
      <c r="D2983">
        <v>9519</v>
      </c>
      <c r="E2983" s="1"/>
      <c r="F2983" s="1" t="s">
        <v>328</v>
      </c>
      <c r="G2983">
        <v>2009</v>
      </c>
      <c r="H2983">
        <v>212.17</v>
      </c>
      <c r="I2983">
        <v>12</v>
      </c>
      <c r="J2983" s="1"/>
      <c r="K2983">
        <v>0</v>
      </c>
      <c r="L2983">
        <v>353</v>
      </c>
      <c r="M2983">
        <v>0.60087699999999999</v>
      </c>
      <c r="N2983">
        <v>3</v>
      </c>
      <c r="O2983" s="1" t="s">
        <v>560</v>
      </c>
      <c r="P2983">
        <v>212.17</v>
      </c>
      <c r="Q2983">
        <v>169.76</v>
      </c>
      <c r="R2983">
        <v>0</v>
      </c>
      <c r="S2983" s="1"/>
      <c r="T2983" s="1"/>
      <c r="U2983">
        <v>212.18</v>
      </c>
      <c r="V2983">
        <v>0</v>
      </c>
      <c r="W2983">
        <v>74432</v>
      </c>
    </row>
    <row r="2984" spans="1:23" x14ac:dyDescent="0.25">
      <c r="A2984" s="1" t="s">
        <v>37</v>
      </c>
      <c r="B2984" s="1"/>
      <c r="C2984" s="1" t="s">
        <v>195</v>
      </c>
      <c r="D2984">
        <v>9519</v>
      </c>
      <c r="E2984" s="1"/>
      <c r="F2984" s="1" t="s">
        <v>328</v>
      </c>
      <c r="G2984">
        <v>2008</v>
      </c>
      <c r="H2984">
        <v>242.93</v>
      </c>
      <c r="I2984">
        <v>12</v>
      </c>
      <c r="J2984" s="1"/>
      <c r="K2984">
        <v>0</v>
      </c>
      <c r="L2984">
        <v>353</v>
      </c>
      <c r="M2984">
        <v>0.68799200000000005</v>
      </c>
      <c r="N2984">
        <v>3</v>
      </c>
      <c r="O2984" s="1" t="s">
        <v>560</v>
      </c>
      <c r="P2984">
        <v>242.93</v>
      </c>
      <c r="Q2984">
        <v>194.34</v>
      </c>
      <c r="R2984">
        <v>0</v>
      </c>
      <c r="S2984" s="1"/>
      <c r="T2984" s="1"/>
      <c r="U2984">
        <v>242.93199999999999</v>
      </c>
      <c r="V2984">
        <v>0</v>
      </c>
      <c r="W2984">
        <v>74432</v>
      </c>
    </row>
    <row r="2985" spans="1:23" x14ac:dyDescent="0.25">
      <c r="A2985" s="1" t="s">
        <v>37</v>
      </c>
      <c r="B2985" s="1" t="s">
        <v>81</v>
      </c>
      <c r="C2985" s="1" t="s">
        <v>196</v>
      </c>
      <c r="D2985">
        <v>5480</v>
      </c>
      <c r="E2985" s="1"/>
      <c r="F2985" s="1" t="s">
        <v>329</v>
      </c>
      <c r="G2985">
        <v>2015</v>
      </c>
      <c r="H2985">
        <v>36.08</v>
      </c>
      <c r="I2985">
        <v>5</v>
      </c>
      <c r="J2985" s="1" t="s">
        <v>402</v>
      </c>
      <c r="K2985">
        <v>0</v>
      </c>
      <c r="L2985">
        <v>0</v>
      </c>
      <c r="M2985">
        <v>360.8</v>
      </c>
      <c r="N2985">
        <v>3</v>
      </c>
      <c r="O2985" s="1" t="s">
        <v>560</v>
      </c>
      <c r="P2985">
        <v>36.08</v>
      </c>
      <c r="Q2985">
        <v>28.87</v>
      </c>
      <c r="R2985">
        <v>1</v>
      </c>
      <c r="S2985" s="1" t="s">
        <v>685</v>
      </c>
      <c r="T2985" s="1"/>
      <c r="U2985">
        <v>36.085000000000001</v>
      </c>
      <c r="V2985">
        <v>0</v>
      </c>
      <c r="W2985">
        <v>57940</v>
      </c>
    </row>
    <row r="2986" spans="1:23" x14ac:dyDescent="0.25">
      <c r="A2986" s="1" t="s">
        <v>37</v>
      </c>
      <c r="B2986" s="1" t="s">
        <v>81</v>
      </c>
      <c r="C2986" s="1" t="s">
        <v>196</v>
      </c>
      <c r="D2986">
        <v>5480</v>
      </c>
      <c r="E2986" s="1"/>
      <c r="F2986" s="1" t="s">
        <v>329</v>
      </c>
      <c r="G2986">
        <v>2014</v>
      </c>
      <c r="H2986">
        <v>120.95</v>
      </c>
      <c r="I2986">
        <v>12</v>
      </c>
      <c r="J2986" s="1" t="s">
        <v>402</v>
      </c>
      <c r="K2986">
        <v>0</v>
      </c>
      <c r="L2986">
        <v>0</v>
      </c>
      <c r="M2986">
        <v>1209.5</v>
      </c>
      <c r="N2986">
        <v>3</v>
      </c>
      <c r="O2986" s="1" t="s">
        <v>560</v>
      </c>
      <c r="P2986">
        <v>120.95</v>
      </c>
      <c r="Q2986">
        <v>96.75</v>
      </c>
      <c r="R2986">
        <v>1</v>
      </c>
      <c r="S2986" s="1" t="s">
        <v>685</v>
      </c>
      <c r="T2986" s="1"/>
      <c r="U2986">
        <v>120.944</v>
      </c>
      <c r="V2986">
        <v>0</v>
      </c>
      <c r="W2986">
        <v>57940</v>
      </c>
    </row>
    <row r="2987" spans="1:23" x14ac:dyDescent="0.25">
      <c r="A2987" s="1" t="s">
        <v>37</v>
      </c>
      <c r="B2987" s="1" t="s">
        <v>81</v>
      </c>
      <c r="C2987" s="1" t="s">
        <v>196</v>
      </c>
      <c r="D2987">
        <v>5480</v>
      </c>
      <c r="E2987" s="1"/>
      <c r="F2987" s="1" t="s">
        <v>329</v>
      </c>
      <c r="G2987">
        <v>2013</v>
      </c>
      <c r="H2987">
        <v>242.06</v>
      </c>
      <c r="I2987">
        <v>12</v>
      </c>
      <c r="J2987" s="1" t="s">
        <v>402</v>
      </c>
      <c r="K2987">
        <v>0</v>
      </c>
      <c r="L2987">
        <v>0</v>
      </c>
      <c r="M2987">
        <v>2420.6</v>
      </c>
      <c r="N2987">
        <v>3</v>
      </c>
      <c r="O2987" s="1" t="s">
        <v>560</v>
      </c>
      <c r="P2987">
        <v>242.06</v>
      </c>
      <c r="Q2987">
        <v>193.64</v>
      </c>
      <c r="R2987">
        <v>1</v>
      </c>
      <c r="S2987" s="1" t="s">
        <v>685</v>
      </c>
      <c r="T2987" s="1"/>
      <c r="U2987">
        <v>242.054</v>
      </c>
      <c r="V2987">
        <v>0</v>
      </c>
      <c r="W2987">
        <v>57940</v>
      </c>
    </row>
    <row r="2988" spans="1:23" x14ac:dyDescent="0.25">
      <c r="A2988" s="1" t="s">
        <v>37</v>
      </c>
      <c r="B2988" s="1" t="s">
        <v>81</v>
      </c>
      <c r="C2988" s="1" t="s">
        <v>196</v>
      </c>
      <c r="D2988">
        <v>5480</v>
      </c>
      <c r="E2988" s="1"/>
      <c r="F2988" s="1" t="s">
        <v>329</v>
      </c>
      <c r="G2988">
        <v>2012</v>
      </c>
      <c r="H2988">
        <v>274.8</v>
      </c>
      <c r="I2988">
        <v>12</v>
      </c>
      <c r="J2988" s="1" t="s">
        <v>402</v>
      </c>
      <c r="K2988">
        <v>0</v>
      </c>
      <c r="L2988">
        <v>0</v>
      </c>
      <c r="M2988">
        <v>2748</v>
      </c>
      <c r="N2988">
        <v>3</v>
      </c>
      <c r="O2988" s="1" t="s">
        <v>560</v>
      </c>
      <c r="P2988">
        <v>274.8</v>
      </c>
      <c r="Q2988">
        <v>219.86</v>
      </c>
      <c r="R2988">
        <v>1</v>
      </c>
      <c r="S2988" s="1" t="s">
        <v>685</v>
      </c>
      <c r="T2988" s="1"/>
      <c r="U2988">
        <v>274.822</v>
      </c>
      <c r="V2988">
        <v>0</v>
      </c>
      <c r="W2988">
        <v>57940</v>
      </c>
    </row>
    <row r="2989" spans="1:23" x14ac:dyDescent="0.25">
      <c r="A2989" s="1" t="s">
        <v>37</v>
      </c>
      <c r="B2989" s="1" t="s">
        <v>81</v>
      </c>
      <c r="C2989" s="1" t="s">
        <v>196</v>
      </c>
      <c r="D2989">
        <v>5480</v>
      </c>
      <c r="E2989" s="1"/>
      <c r="F2989" s="1" t="s">
        <v>329</v>
      </c>
      <c r="G2989">
        <v>2011</v>
      </c>
      <c r="H2989">
        <v>266.54000000000002</v>
      </c>
      <c r="I2989">
        <v>12</v>
      </c>
      <c r="J2989" s="1" t="s">
        <v>402</v>
      </c>
      <c r="K2989">
        <v>0</v>
      </c>
      <c r="L2989">
        <v>0</v>
      </c>
      <c r="M2989">
        <v>2665.4</v>
      </c>
      <c r="N2989">
        <v>3</v>
      </c>
      <c r="O2989" s="1" t="s">
        <v>560</v>
      </c>
      <c r="P2989">
        <v>266.54000000000002</v>
      </c>
      <c r="Q2989">
        <v>213.23</v>
      </c>
      <c r="R2989">
        <v>1</v>
      </c>
      <c r="S2989" s="1" t="s">
        <v>685</v>
      </c>
      <c r="T2989" s="1"/>
      <c r="U2989">
        <v>266.54300000000001</v>
      </c>
      <c r="V2989">
        <v>0</v>
      </c>
      <c r="W2989">
        <v>57940</v>
      </c>
    </row>
    <row r="2990" spans="1:23" x14ac:dyDescent="0.25">
      <c r="A2990" s="1" t="s">
        <v>37</v>
      </c>
      <c r="B2990" s="1" t="s">
        <v>81</v>
      </c>
      <c r="C2990" s="1" t="s">
        <v>196</v>
      </c>
      <c r="D2990">
        <v>5480</v>
      </c>
      <c r="E2990" s="1"/>
      <c r="F2990" s="1" t="s">
        <v>329</v>
      </c>
      <c r="G2990">
        <v>2010</v>
      </c>
      <c r="H2990">
        <v>290.62</v>
      </c>
      <c r="I2990">
        <v>12</v>
      </c>
      <c r="J2990" s="1" t="s">
        <v>402</v>
      </c>
      <c r="K2990">
        <v>0</v>
      </c>
      <c r="L2990">
        <v>0</v>
      </c>
      <c r="M2990">
        <v>2906.2</v>
      </c>
      <c r="N2990">
        <v>3</v>
      </c>
      <c r="O2990" s="1" t="s">
        <v>560</v>
      </c>
      <c r="P2990">
        <v>290.62</v>
      </c>
      <c r="Q2990">
        <v>232.48</v>
      </c>
      <c r="R2990">
        <v>1</v>
      </c>
      <c r="S2990" s="1" t="s">
        <v>685</v>
      </c>
      <c r="T2990" s="1"/>
      <c r="U2990">
        <v>290.608</v>
      </c>
      <c r="V2990">
        <v>0</v>
      </c>
      <c r="W2990">
        <v>57940</v>
      </c>
    </row>
    <row r="2991" spans="1:23" x14ac:dyDescent="0.25">
      <c r="A2991" s="1" t="s">
        <v>37</v>
      </c>
      <c r="B2991" s="1" t="s">
        <v>81</v>
      </c>
      <c r="C2991" s="1" t="s">
        <v>196</v>
      </c>
      <c r="D2991">
        <v>5480</v>
      </c>
      <c r="E2991" s="1"/>
      <c r="F2991" s="1" t="s">
        <v>329</v>
      </c>
      <c r="G2991">
        <v>2009</v>
      </c>
      <c r="H2991">
        <v>277.94</v>
      </c>
      <c r="I2991">
        <v>12</v>
      </c>
      <c r="J2991" s="1" t="s">
        <v>402</v>
      </c>
      <c r="K2991">
        <v>0</v>
      </c>
      <c r="L2991">
        <v>0</v>
      </c>
      <c r="M2991">
        <v>2779.4</v>
      </c>
      <c r="N2991">
        <v>3</v>
      </c>
      <c r="O2991" s="1" t="s">
        <v>560</v>
      </c>
      <c r="P2991">
        <v>277.94</v>
      </c>
      <c r="Q2991">
        <v>222.35</v>
      </c>
      <c r="R2991">
        <v>1</v>
      </c>
      <c r="S2991" s="1" t="s">
        <v>685</v>
      </c>
      <c r="T2991" s="1"/>
      <c r="U2991">
        <v>277.93299999999999</v>
      </c>
      <c r="V2991">
        <v>0</v>
      </c>
      <c r="W2991">
        <v>57940</v>
      </c>
    </row>
    <row r="2992" spans="1:23" x14ac:dyDescent="0.25">
      <c r="A2992" s="1" t="s">
        <v>37</v>
      </c>
      <c r="B2992" s="1" t="s">
        <v>81</v>
      </c>
      <c r="C2992" s="1" t="s">
        <v>196</v>
      </c>
      <c r="D2992">
        <v>5480</v>
      </c>
      <c r="E2992" s="1"/>
      <c r="F2992" s="1" t="s">
        <v>329</v>
      </c>
      <c r="G2992">
        <v>2008</v>
      </c>
      <c r="H2992">
        <v>298.05</v>
      </c>
      <c r="I2992">
        <v>12</v>
      </c>
      <c r="J2992" s="1" t="s">
        <v>402</v>
      </c>
      <c r="K2992">
        <v>0</v>
      </c>
      <c r="L2992">
        <v>0</v>
      </c>
      <c r="M2992">
        <v>2980.5</v>
      </c>
      <c r="N2992">
        <v>3</v>
      </c>
      <c r="O2992" s="1" t="s">
        <v>560</v>
      </c>
      <c r="P2992">
        <v>298.05</v>
      </c>
      <c r="Q2992">
        <v>238.45</v>
      </c>
      <c r="R2992">
        <v>1</v>
      </c>
      <c r="S2992" s="1" t="s">
        <v>685</v>
      </c>
      <c r="T2992" s="1"/>
      <c r="U2992">
        <v>298.03800000000001</v>
      </c>
      <c r="V2992">
        <v>0</v>
      </c>
      <c r="W2992">
        <v>57940</v>
      </c>
    </row>
    <row r="2993" spans="1:23" x14ac:dyDescent="0.25">
      <c r="A2993" s="1" t="s">
        <v>37</v>
      </c>
      <c r="B2993" s="1" t="s">
        <v>81</v>
      </c>
      <c r="C2993" s="1" t="s">
        <v>196</v>
      </c>
      <c r="D2993">
        <v>5481</v>
      </c>
      <c r="E2993" s="1"/>
      <c r="F2993" s="1" t="s">
        <v>330</v>
      </c>
      <c r="G2993">
        <v>2015</v>
      </c>
      <c r="H2993">
        <v>16.190000000000001</v>
      </c>
      <c r="I2993">
        <v>5</v>
      </c>
      <c r="J2993" s="1" t="s">
        <v>402</v>
      </c>
      <c r="K2993">
        <v>0</v>
      </c>
      <c r="L2993">
        <v>1273</v>
      </c>
      <c r="M2993">
        <v>1.2716E-2</v>
      </c>
      <c r="N2993">
        <v>3</v>
      </c>
      <c r="O2993" s="1" t="s">
        <v>560</v>
      </c>
      <c r="P2993">
        <v>16.190000000000001</v>
      </c>
      <c r="Q2993">
        <v>12.94</v>
      </c>
      <c r="R2993">
        <v>1</v>
      </c>
      <c r="S2993" s="1" t="s">
        <v>686</v>
      </c>
      <c r="T2993" s="1"/>
      <c r="U2993">
        <v>16.18</v>
      </c>
      <c r="V2993">
        <v>0</v>
      </c>
      <c r="W2993">
        <v>57946</v>
      </c>
    </row>
    <row r="2994" spans="1:23" x14ac:dyDescent="0.25">
      <c r="A2994" s="1" t="s">
        <v>37</v>
      </c>
      <c r="B2994" s="1" t="s">
        <v>81</v>
      </c>
      <c r="C2994" s="1" t="s">
        <v>196</v>
      </c>
      <c r="D2994">
        <v>5481</v>
      </c>
      <c r="E2994" s="1"/>
      <c r="F2994" s="1" t="s">
        <v>330</v>
      </c>
      <c r="G2994">
        <v>2014</v>
      </c>
      <c r="H2994">
        <v>25.9</v>
      </c>
      <c r="I2994">
        <v>12</v>
      </c>
      <c r="J2994" s="1" t="s">
        <v>402</v>
      </c>
      <c r="K2994">
        <v>0</v>
      </c>
      <c r="L2994">
        <v>1273</v>
      </c>
      <c r="M2994">
        <v>2.0344000000000001E-2</v>
      </c>
      <c r="N2994">
        <v>3</v>
      </c>
      <c r="O2994" s="1" t="s">
        <v>560</v>
      </c>
      <c r="P2994">
        <v>25.9</v>
      </c>
      <c r="Q2994">
        <v>20.71</v>
      </c>
      <c r="R2994">
        <v>1</v>
      </c>
      <c r="S2994" s="1" t="s">
        <v>686</v>
      </c>
      <c r="T2994" s="1"/>
      <c r="U2994">
        <v>25.891999999999999</v>
      </c>
      <c r="V2994">
        <v>0</v>
      </c>
      <c r="W2994">
        <v>57946</v>
      </c>
    </row>
    <row r="2995" spans="1:23" x14ac:dyDescent="0.25">
      <c r="A2995" s="1" t="s">
        <v>37</v>
      </c>
      <c r="B2995" s="1" t="s">
        <v>81</v>
      </c>
      <c r="C2995" s="1" t="s">
        <v>196</v>
      </c>
      <c r="D2995">
        <v>5481</v>
      </c>
      <c r="E2995" s="1"/>
      <c r="F2995" s="1" t="s">
        <v>330</v>
      </c>
      <c r="G2995">
        <v>2013</v>
      </c>
      <c r="H2995">
        <v>26.1</v>
      </c>
      <c r="I2995">
        <v>12</v>
      </c>
      <c r="J2995" s="1" t="s">
        <v>402</v>
      </c>
      <c r="K2995">
        <v>0</v>
      </c>
      <c r="L2995">
        <v>1273</v>
      </c>
      <c r="M2995">
        <v>2.0500999999999998E-2</v>
      </c>
      <c r="N2995">
        <v>3</v>
      </c>
      <c r="O2995" s="1" t="s">
        <v>560</v>
      </c>
      <c r="P2995">
        <v>26.1</v>
      </c>
      <c r="Q2995">
        <v>20.86</v>
      </c>
      <c r="R2995">
        <v>1</v>
      </c>
      <c r="S2995" s="1" t="s">
        <v>686</v>
      </c>
      <c r="T2995" s="1"/>
      <c r="U2995">
        <v>26.091000000000001</v>
      </c>
      <c r="V2995">
        <v>0</v>
      </c>
      <c r="W2995">
        <v>57946</v>
      </c>
    </row>
    <row r="2996" spans="1:23" x14ac:dyDescent="0.25">
      <c r="A2996" s="1" t="s">
        <v>37</v>
      </c>
      <c r="B2996" s="1" t="s">
        <v>81</v>
      </c>
      <c r="C2996" s="1" t="s">
        <v>196</v>
      </c>
      <c r="D2996">
        <v>5481</v>
      </c>
      <c r="E2996" s="1"/>
      <c r="F2996" s="1" t="s">
        <v>330</v>
      </c>
      <c r="G2996">
        <v>2012</v>
      </c>
      <c r="H2996">
        <v>42.41</v>
      </c>
      <c r="I2996">
        <v>12</v>
      </c>
      <c r="J2996" s="1" t="s">
        <v>402</v>
      </c>
      <c r="K2996">
        <v>0</v>
      </c>
      <c r="L2996">
        <v>1273</v>
      </c>
      <c r="M2996">
        <v>3.3312000000000001E-2</v>
      </c>
      <c r="N2996">
        <v>3</v>
      </c>
      <c r="O2996" s="1" t="s">
        <v>560</v>
      </c>
      <c r="P2996">
        <v>42.41</v>
      </c>
      <c r="Q2996">
        <v>33.92</v>
      </c>
      <c r="R2996">
        <v>1</v>
      </c>
      <c r="S2996" s="1" t="s">
        <v>686</v>
      </c>
      <c r="T2996" s="1"/>
      <c r="U2996">
        <v>42.399000000000001</v>
      </c>
      <c r="V2996">
        <v>0</v>
      </c>
      <c r="W2996">
        <v>57946</v>
      </c>
    </row>
    <row r="2997" spans="1:23" x14ac:dyDescent="0.25">
      <c r="A2997" s="1" t="s">
        <v>37</v>
      </c>
      <c r="B2997" s="1" t="s">
        <v>81</v>
      </c>
      <c r="C2997" s="1" t="s">
        <v>196</v>
      </c>
      <c r="D2997">
        <v>5481</v>
      </c>
      <c r="E2997" s="1"/>
      <c r="F2997" s="1" t="s">
        <v>330</v>
      </c>
      <c r="G2997">
        <v>2011</v>
      </c>
      <c r="H2997">
        <v>45.99</v>
      </c>
      <c r="I2997">
        <v>12</v>
      </c>
      <c r="J2997" s="1" t="s">
        <v>402</v>
      </c>
      <c r="K2997">
        <v>0</v>
      </c>
      <c r="L2997">
        <v>1273</v>
      </c>
      <c r="M2997">
        <v>3.6124000000000003E-2</v>
      </c>
      <c r="N2997">
        <v>3</v>
      </c>
      <c r="O2997" s="1" t="s">
        <v>560</v>
      </c>
      <c r="P2997">
        <v>45.99</v>
      </c>
      <c r="Q2997">
        <v>36.799999999999997</v>
      </c>
      <c r="R2997">
        <v>1</v>
      </c>
      <c r="S2997" s="1" t="s">
        <v>686</v>
      </c>
      <c r="T2997" s="1"/>
      <c r="U2997">
        <v>46.018000000000001</v>
      </c>
      <c r="V2997">
        <v>0</v>
      </c>
      <c r="W2997">
        <v>57946</v>
      </c>
    </row>
    <row r="2998" spans="1:23" x14ac:dyDescent="0.25">
      <c r="A2998" s="1" t="s">
        <v>37</v>
      </c>
      <c r="B2998" s="1" t="s">
        <v>81</v>
      </c>
      <c r="C2998" s="1" t="s">
        <v>196</v>
      </c>
      <c r="D2998">
        <v>5481</v>
      </c>
      <c r="E2998" s="1"/>
      <c r="F2998" s="1" t="s">
        <v>330</v>
      </c>
      <c r="G2998">
        <v>2010</v>
      </c>
      <c r="H2998">
        <v>55.83</v>
      </c>
      <c r="I2998">
        <v>12</v>
      </c>
      <c r="J2998" s="1" t="s">
        <v>402</v>
      </c>
      <c r="K2998">
        <v>0</v>
      </c>
      <c r="L2998">
        <v>1273</v>
      </c>
      <c r="M2998">
        <v>4.3853000000000003E-2</v>
      </c>
      <c r="N2998">
        <v>3</v>
      </c>
      <c r="O2998" s="1" t="s">
        <v>560</v>
      </c>
      <c r="P2998">
        <v>55.83</v>
      </c>
      <c r="Q2998">
        <v>44.65</v>
      </c>
      <c r="R2998">
        <v>1</v>
      </c>
      <c r="S2998" s="1" t="s">
        <v>686</v>
      </c>
      <c r="T2998" s="1"/>
      <c r="U2998">
        <v>55.829000000000001</v>
      </c>
      <c r="V2998">
        <v>0</v>
      </c>
      <c r="W2998">
        <v>57946</v>
      </c>
    </row>
    <row r="2999" spans="1:23" x14ac:dyDescent="0.25">
      <c r="A2999" s="1" t="s">
        <v>37</v>
      </c>
      <c r="B2999" s="1" t="s">
        <v>81</v>
      </c>
      <c r="C2999" s="1" t="s">
        <v>196</v>
      </c>
      <c r="D2999">
        <v>5481</v>
      </c>
      <c r="E2999" s="1"/>
      <c r="F2999" s="1" t="s">
        <v>330</v>
      </c>
      <c r="G2999">
        <v>2009</v>
      </c>
      <c r="H2999">
        <v>111.03</v>
      </c>
      <c r="I2999">
        <v>12</v>
      </c>
      <c r="J2999" s="1" t="s">
        <v>402</v>
      </c>
      <c r="K2999">
        <v>0</v>
      </c>
      <c r="L2999">
        <v>1273</v>
      </c>
      <c r="M2999">
        <v>8.7211999999999998E-2</v>
      </c>
      <c r="N2999">
        <v>3</v>
      </c>
      <c r="O2999" s="1" t="s">
        <v>560</v>
      </c>
      <c r="P2999">
        <v>111.03</v>
      </c>
      <c r="Q2999">
        <v>88.85</v>
      </c>
      <c r="R2999">
        <v>1</v>
      </c>
      <c r="S2999" s="1" t="s">
        <v>686</v>
      </c>
      <c r="T2999" s="1"/>
      <c r="U2999">
        <v>111.059</v>
      </c>
      <c r="V2999">
        <v>0</v>
      </c>
      <c r="W2999">
        <v>57946</v>
      </c>
    </row>
    <row r="3000" spans="1:23" x14ac:dyDescent="0.25">
      <c r="A3000" s="1" t="s">
        <v>37</v>
      </c>
      <c r="B3000" s="1" t="s">
        <v>81</v>
      </c>
      <c r="C3000" s="1" t="s">
        <v>196</v>
      </c>
      <c r="D3000">
        <v>5481</v>
      </c>
      <c r="E3000" s="1"/>
      <c r="F3000" s="1" t="s">
        <v>330</v>
      </c>
      <c r="G3000">
        <v>2008</v>
      </c>
      <c r="H3000">
        <v>114.9</v>
      </c>
      <c r="I3000">
        <v>12</v>
      </c>
      <c r="J3000" s="1" t="s">
        <v>402</v>
      </c>
      <c r="K3000">
        <v>0</v>
      </c>
      <c r="L3000">
        <v>1273</v>
      </c>
      <c r="M3000">
        <v>9.0251999999999999E-2</v>
      </c>
      <c r="N3000">
        <v>3</v>
      </c>
      <c r="O3000" s="1" t="s">
        <v>560</v>
      </c>
      <c r="P3000">
        <v>114.9</v>
      </c>
      <c r="Q3000">
        <v>91.95</v>
      </c>
      <c r="R3000">
        <v>1</v>
      </c>
      <c r="S3000" s="1" t="s">
        <v>686</v>
      </c>
      <c r="T3000" s="1"/>
      <c r="U3000">
        <v>114.905</v>
      </c>
      <c r="V3000">
        <v>0</v>
      </c>
      <c r="W3000">
        <v>57946</v>
      </c>
    </row>
    <row r="3001" spans="1:23" x14ac:dyDescent="0.25">
      <c r="A3001" s="1" t="s">
        <v>37</v>
      </c>
      <c r="B3001" s="1" t="s">
        <v>81</v>
      </c>
      <c r="C3001" s="1" t="s">
        <v>196</v>
      </c>
      <c r="D3001">
        <v>5479</v>
      </c>
      <c r="E3001" s="1"/>
      <c r="F3001" s="1" t="s">
        <v>331</v>
      </c>
      <c r="G3001">
        <v>2015</v>
      </c>
      <c r="H3001">
        <v>851.65</v>
      </c>
      <c r="I3001">
        <v>5</v>
      </c>
      <c r="J3001" s="1" t="s">
        <v>402</v>
      </c>
      <c r="K3001">
        <v>0</v>
      </c>
      <c r="L3001">
        <v>6089</v>
      </c>
      <c r="M3001">
        <v>0.13986399999999999</v>
      </c>
      <c r="N3001">
        <v>3</v>
      </c>
      <c r="O3001" s="1" t="s">
        <v>560</v>
      </c>
      <c r="P3001">
        <v>851.65</v>
      </c>
      <c r="Q3001">
        <v>681.32</v>
      </c>
      <c r="R3001">
        <v>0</v>
      </c>
      <c r="S3001" s="1" t="s">
        <v>687</v>
      </c>
      <c r="T3001" s="1"/>
      <c r="U3001">
        <v>851.66</v>
      </c>
      <c r="V3001">
        <v>0</v>
      </c>
      <c r="W3001">
        <v>57933</v>
      </c>
    </row>
    <row r="3002" spans="1:23" x14ac:dyDescent="0.25">
      <c r="A3002" s="1" t="s">
        <v>37</v>
      </c>
      <c r="B3002" s="1" t="s">
        <v>81</v>
      </c>
      <c r="C3002" s="1" t="s">
        <v>196</v>
      </c>
      <c r="D3002">
        <v>5479</v>
      </c>
      <c r="E3002" s="1"/>
      <c r="F3002" s="1" t="s">
        <v>331</v>
      </c>
      <c r="G3002">
        <v>2014</v>
      </c>
      <c r="H3002">
        <v>1381.41</v>
      </c>
      <c r="I3002">
        <v>12</v>
      </c>
      <c r="J3002" s="1" t="s">
        <v>402</v>
      </c>
      <c r="K3002">
        <v>0</v>
      </c>
      <c r="L3002">
        <v>6089</v>
      </c>
      <c r="M3002">
        <v>0.22686600000000001</v>
      </c>
      <c r="N3002">
        <v>3</v>
      </c>
      <c r="O3002" s="1" t="s">
        <v>560</v>
      </c>
      <c r="P3002">
        <v>1381.41</v>
      </c>
      <c r="Q3002">
        <v>1105.1199999999999</v>
      </c>
      <c r="R3002">
        <v>0</v>
      </c>
      <c r="S3002" s="1" t="s">
        <v>687</v>
      </c>
      <c r="T3002" s="1"/>
      <c r="U3002">
        <v>1381.3979999999999</v>
      </c>
      <c r="V3002">
        <v>0</v>
      </c>
      <c r="W3002">
        <v>57933</v>
      </c>
    </row>
    <row r="3003" spans="1:23" x14ac:dyDescent="0.25">
      <c r="A3003" s="1" t="s">
        <v>37</v>
      </c>
      <c r="B3003" s="1" t="s">
        <v>81</v>
      </c>
      <c r="C3003" s="1" t="s">
        <v>196</v>
      </c>
      <c r="D3003">
        <v>5479</v>
      </c>
      <c r="E3003" s="1"/>
      <c r="F3003" s="1" t="s">
        <v>331</v>
      </c>
      <c r="G3003">
        <v>2013</v>
      </c>
      <c r="H3003">
        <v>1104.99</v>
      </c>
      <c r="I3003">
        <v>12</v>
      </c>
      <c r="J3003" s="1" t="s">
        <v>402</v>
      </c>
      <c r="K3003">
        <v>0</v>
      </c>
      <c r="L3003">
        <v>6089</v>
      </c>
      <c r="M3003">
        <v>0.18146999999999999</v>
      </c>
      <c r="N3003">
        <v>3</v>
      </c>
      <c r="O3003" s="1" t="s">
        <v>560</v>
      </c>
      <c r="P3003">
        <v>1104.99</v>
      </c>
      <c r="Q3003">
        <v>883.99</v>
      </c>
      <c r="R3003">
        <v>0</v>
      </c>
      <c r="S3003" s="1" t="s">
        <v>687</v>
      </c>
      <c r="T3003" s="1"/>
      <c r="U3003">
        <v>1104.9939999999999</v>
      </c>
      <c r="V3003">
        <v>0</v>
      </c>
      <c r="W3003">
        <v>57933</v>
      </c>
    </row>
    <row r="3004" spans="1:23" x14ac:dyDescent="0.25">
      <c r="A3004" s="1" t="s">
        <v>37</v>
      </c>
      <c r="B3004" s="1" t="s">
        <v>81</v>
      </c>
      <c r="C3004" s="1" t="s">
        <v>196</v>
      </c>
      <c r="D3004">
        <v>5479</v>
      </c>
      <c r="E3004" s="1"/>
      <c r="F3004" s="1" t="s">
        <v>331</v>
      </c>
      <c r="G3004">
        <v>2012</v>
      </c>
      <c r="H3004">
        <v>1240.31</v>
      </c>
      <c r="I3004">
        <v>12</v>
      </c>
      <c r="J3004" s="1" t="s">
        <v>402</v>
      </c>
      <c r="K3004">
        <v>0</v>
      </c>
      <c r="L3004">
        <v>6089</v>
      </c>
      <c r="M3004">
        <v>0.20369300000000001</v>
      </c>
      <c r="N3004">
        <v>3</v>
      </c>
      <c r="O3004" s="1" t="s">
        <v>560</v>
      </c>
      <c r="P3004">
        <v>1240.31</v>
      </c>
      <c r="Q3004">
        <v>992.23</v>
      </c>
      <c r="R3004">
        <v>0</v>
      </c>
      <c r="S3004" s="1" t="s">
        <v>687</v>
      </c>
      <c r="T3004" s="1"/>
      <c r="U3004">
        <v>1240.2940000000001</v>
      </c>
      <c r="V3004">
        <v>0</v>
      </c>
      <c r="W3004">
        <v>57933</v>
      </c>
    </row>
    <row r="3005" spans="1:23" x14ac:dyDescent="0.25">
      <c r="A3005" s="1" t="s">
        <v>37</v>
      </c>
      <c r="B3005" s="1" t="s">
        <v>81</v>
      </c>
      <c r="C3005" s="1" t="s">
        <v>196</v>
      </c>
      <c r="D3005">
        <v>5479</v>
      </c>
      <c r="E3005" s="1"/>
      <c r="F3005" s="1" t="s">
        <v>331</v>
      </c>
      <c r="G3005">
        <v>2011</v>
      </c>
      <c r="H3005">
        <v>1247.25</v>
      </c>
      <c r="I3005">
        <v>12</v>
      </c>
      <c r="J3005" s="1" t="s">
        <v>402</v>
      </c>
      <c r="K3005">
        <v>0</v>
      </c>
      <c r="L3005">
        <v>6089</v>
      </c>
      <c r="M3005">
        <v>0.20483299999999999</v>
      </c>
      <c r="N3005">
        <v>3</v>
      </c>
      <c r="O3005" s="1" t="s">
        <v>560</v>
      </c>
      <c r="P3005">
        <v>1247.25</v>
      </c>
      <c r="Q3005">
        <v>997.8</v>
      </c>
      <c r="R3005">
        <v>0</v>
      </c>
      <c r="S3005" s="1" t="s">
        <v>687</v>
      </c>
      <c r="T3005" s="1"/>
      <c r="U3005">
        <v>1247.2449999999999</v>
      </c>
      <c r="V3005">
        <v>0</v>
      </c>
      <c r="W3005">
        <v>57933</v>
      </c>
    </row>
    <row r="3006" spans="1:23" x14ac:dyDescent="0.25">
      <c r="A3006" s="1" t="s">
        <v>37</v>
      </c>
      <c r="B3006" s="1" t="s">
        <v>81</v>
      </c>
      <c r="C3006" s="1" t="s">
        <v>196</v>
      </c>
      <c r="D3006">
        <v>5479</v>
      </c>
      <c r="E3006" s="1"/>
      <c r="F3006" s="1" t="s">
        <v>331</v>
      </c>
      <c r="G3006">
        <v>2010</v>
      </c>
      <c r="H3006">
        <v>1429.95</v>
      </c>
      <c r="I3006">
        <v>12</v>
      </c>
      <c r="J3006" s="1" t="s">
        <v>402</v>
      </c>
      <c r="K3006">
        <v>0</v>
      </c>
      <c r="L3006">
        <v>6089</v>
      </c>
      <c r="M3006">
        <v>0.23483699999999999</v>
      </c>
      <c r="N3006">
        <v>3</v>
      </c>
      <c r="O3006" s="1" t="s">
        <v>560</v>
      </c>
      <c r="P3006">
        <v>1429.95</v>
      </c>
      <c r="Q3006">
        <v>1144.01</v>
      </c>
      <c r="R3006">
        <v>0</v>
      </c>
      <c r="S3006" s="1" t="s">
        <v>687</v>
      </c>
      <c r="T3006" s="1"/>
      <c r="U3006">
        <v>1429.9690000000001</v>
      </c>
      <c r="V3006">
        <v>0</v>
      </c>
      <c r="W3006">
        <v>57933</v>
      </c>
    </row>
    <row r="3007" spans="1:23" x14ac:dyDescent="0.25">
      <c r="A3007" s="1" t="s">
        <v>37</v>
      </c>
      <c r="B3007" s="1" t="s">
        <v>81</v>
      </c>
      <c r="C3007" s="1" t="s">
        <v>196</v>
      </c>
      <c r="D3007">
        <v>5479</v>
      </c>
      <c r="E3007" s="1"/>
      <c r="F3007" s="1" t="s">
        <v>331</v>
      </c>
      <c r="G3007">
        <v>2009</v>
      </c>
      <c r="H3007">
        <v>1309.67</v>
      </c>
      <c r="I3007">
        <v>12</v>
      </c>
      <c r="J3007" s="1" t="s">
        <v>402</v>
      </c>
      <c r="K3007">
        <v>0</v>
      </c>
      <c r="L3007">
        <v>6089</v>
      </c>
      <c r="M3007">
        <v>0.215084</v>
      </c>
      <c r="N3007">
        <v>3</v>
      </c>
      <c r="O3007" s="1" t="s">
        <v>560</v>
      </c>
      <c r="P3007">
        <v>1309.67</v>
      </c>
      <c r="Q3007">
        <v>1047.75</v>
      </c>
      <c r="R3007">
        <v>0</v>
      </c>
      <c r="S3007" s="1" t="s">
        <v>687</v>
      </c>
      <c r="T3007" s="1"/>
      <c r="U3007">
        <v>1309.6790000000001</v>
      </c>
      <c r="V3007">
        <v>0</v>
      </c>
      <c r="W3007">
        <v>57933</v>
      </c>
    </row>
    <row r="3008" spans="1:23" x14ac:dyDescent="0.25">
      <c r="A3008" s="1" t="s">
        <v>37</v>
      </c>
      <c r="B3008" s="1" t="s">
        <v>81</v>
      </c>
      <c r="C3008" s="1" t="s">
        <v>196</v>
      </c>
      <c r="D3008">
        <v>5479</v>
      </c>
      <c r="E3008" s="1"/>
      <c r="F3008" s="1" t="s">
        <v>331</v>
      </c>
      <c r="G3008">
        <v>2008</v>
      </c>
      <c r="H3008">
        <v>1042.7</v>
      </c>
      <c r="I3008">
        <v>12</v>
      </c>
      <c r="J3008" s="1" t="s">
        <v>402</v>
      </c>
      <c r="K3008">
        <v>0</v>
      </c>
      <c r="L3008">
        <v>6089</v>
      </c>
      <c r="M3008">
        <v>0.17124</v>
      </c>
      <c r="N3008">
        <v>3</v>
      </c>
      <c r="O3008" s="1" t="s">
        <v>560</v>
      </c>
      <c r="P3008">
        <v>1042.7</v>
      </c>
      <c r="Q3008">
        <v>834.16</v>
      </c>
      <c r="R3008">
        <v>0</v>
      </c>
      <c r="S3008" s="1" t="s">
        <v>687</v>
      </c>
      <c r="T3008" s="1"/>
      <c r="U3008">
        <v>1042.7</v>
      </c>
      <c r="V3008">
        <v>0</v>
      </c>
      <c r="W3008">
        <v>57933</v>
      </c>
    </row>
    <row r="3009" spans="1:23" x14ac:dyDescent="0.25">
      <c r="A3009" s="1" t="s">
        <v>37</v>
      </c>
      <c r="B3009" s="1"/>
      <c r="C3009" s="1" t="s">
        <v>197</v>
      </c>
      <c r="D3009">
        <v>10161</v>
      </c>
      <c r="E3009" s="1"/>
      <c r="F3009" s="1" t="s">
        <v>332</v>
      </c>
      <c r="G3009">
        <v>2015</v>
      </c>
      <c r="H3009">
        <v>29.75</v>
      </c>
      <c r="I3009">
        <v>5</v>
      </c>
      <c r="J3009" s="1"/>
      <c r="K3009">
        <v>0</v>
      </c>
      <c r="L3009">
        <v>265</v>
      </c>
      <c r="M3009">
        <v>0.112221</v>
      </c>
      <c r="N3009">
        <v>3</v>
      </c>
      <c r="O3009" s="1" t="s">
        <v>561</v>
      </c>
      <c r="P3009">
        <v>29.75</v>
      </c>
      <c r="Q3009">
        <v>0</v>
      </c>
      <c r="R3009">
        <v>0</v>
      </c>
      <c r="S3009" s="1" t="s">
        <v>688</v>
      </c>
      <c r="T3009" s="1"/>
      <c r="U3009">
        <v>29761</v>
      </c>
      <c r="V3009">
        <v>0</v>
      </c>
      <c r="W3009">
        <v>92156</v>
      </c>
    </row>
    <row r="3010" spans="1:23" x14ac:dyDescent="0.25">
      <c r="A3010" s="1" t="s">
        <v>37</v>
      </c>
      <c r="B3010" s="1"/>
      <c r="C3010" s="1" t="s">
        <v>197</v>
      </c>
      <c r="D3010">
        <v>10161</v>
      </c>
      <c r="E3010" s="1"/>
      <c r="F3010" s="1" t="s">
        <v>332</v>
      </c>
      <c r="G3010">
        <v>2014</v>
      </c>
      <c r="H3010">
        <v>67.39</v>
      </c>
      <c r="I3010">
        <v>12</v>
      </c>
      <c r="J3010" s="1"/>
      <c r="K3010">
        <v>0</v>
      </c>
      <c r="L3010">
        <v>265</v>
      </c>
      <c r="M3010">
        <v>0.25420500000000001</v>
      </c>
      <c r="N3010">
        <v>3</v>
      </c>
      <c r="O3010" s="1" t="s">
        <v>561</v>
      </c>
      <c r="P3010">
        <v>67.39</v>
      </c>
      <c r="Q3010">
        <v>0</v>
      </c>
      <c r="R3010">
        <v>0</v>
      </c>
      <c r="S3010" s="1" t="s">
        <v>688</v>
      </c>
      <c r="T3010" s="1"/>
      <c r="U3010">
        <v>67389.000230000005</v>
      </c>
      <c r="V3010">
        <v>0</v>
      </c>
      <c r="W3010">
        <v>92156</v>
      </c>
    </row>
    <row r="3011" spans="1:23" x14ac:dyDescent="0.25">
      <c r="A3011" s="1" t="s">
        <v>37</v>
      </c>
      <c r="B3011" s="1"/>
      <c r="C3011" s="1" t="s">
        <v>197</v>
      </c>
      <c r="D3011">
        <v>10161</v>
      </c>
      <c r="E3011" s="1"/>
      <c r="F3011" s="1" t="s">
        <v>332</v>
      </c>
      <c r="G3011">
        <v>2013</v>
      </c>
      <c r="H3011">
        <v>49.9</v>
      </c>
      <c r="I3011">
        <v>12</v>
      </c>
      <c r="J3011" s="1"/>
      <c r="K3011">
        <v>0</v>
      </c>
      <c r="L3011">
        <v>265</v>
      </c>
      <c r="M3011">
        <v>0.18823000000000001</v>
      </c>
      <c r="N3011">
        <v>3</v>
      </c>
      <c r="O3011" s="1" t="s">
        <v>561</v>
      </c>
      <c r="P3011">
        <v>49.9</v>
      </c>
      <c r="Q3011">
        <v>0</v>
      </c>
      <c r="R3011">
        <v>0</v>
      </c>
      <c r="S3011" s="1" t="s">
        <v>688</v>
      </c>
      <c r="T3011" s="1"/>
      <c r="U3011">
        <v>49898</v>
      </c>
      <c r="V3011">
        <v>0</v>
      </c>
      <c r="W3011">
        <v>92156</v>
      </c>
    </row>
    <row r="3012" spans="1:23" x14ac:dyDescent="0.25">
      <c r="A3012" s="1" t="s">
        <v>37</v>
      </c>
      <c r="B3012" s="1"/>
      <c r="C3012" s="1" t="s">
        <v>197</v>
      </c>
      <c r="D3012">
        <v>10161</v>
      </c>
      <c r="E3012" s="1"/>
      <c r="F3012" s="1" t="s">
        <v>332</v>
      </c>
      <c r="G3012">
        <v>2012</v>
      </c>
      <c r="H3012">
        <v>39.81</v>
      </c>
      <c r="I3012">
        <v>12</v>
      </c>
      <c r="J3012" s="1"/>
      <c r="K3012">
        <v>0</v>
      </c>
      <c r="L3012">
        <v>265</v>
      </c>
      <c r="M3012">
        <v>0.150169</v>
      </c>
      <c r="N3012">
        <v>3</v>
      </c>
      <c r="O3012" s="1" t="s">
        <v>561</v>
      </c>
      <c r="P3012">
        <v>39.81</v>
      </c>
      <c r="Q3012">
        <v>0</v>
      </c>
      <c r="R3012">
        <v>0</v>
      </c>
      <c r="S3012" s="1" t="s">
        <v>688</v>
      </c>
      <c r="T3012" s="1"/>
      <c r="U3012">
        <v>39799</v>
      </c>
      <c r="V3012">
        <v>0</v>
      </c>
      <c r="W3012">
        <v>92156</v>
      </c>
    </row>
    <row r="3013" spans="1:23" x14ac:dyDescent="0.25">
      <c r="A3013" s="1" t="s">
        <v>37</v>
      </c>
      <c r="B3013" s="1"/>
      <c r="C3013" s="1" t="s">
        <v>197</v>
      </c>
      <c r="D3013">
        <v>10161</v>
      </c>
      <c r="E3013" s="1"/>
      <c r="F3013" s="1" t="s">
        <v>332</v>
      </c>
      <c r="G3013">
        <v>2011</v>
      </c>
      <c r="H3013">
        <v>2.54</v>
      </c>
      <c r="I3013">
        <v>1</v>
      </c>
      <c r="J3013" s="1"/>
      <c r="K3013">
        <v>0</v>
      </c>
      <c r="L3013">
        <v>265</v>
      </c>
      <c r="M3013">
        <v>9.5809999999999992E-3</v>
      </c>
      <c r="N3013">
        <v>3</v>
      </c>
      <c r="O3013" s="1" t="s">
        <v>561</v>
      </c>
      <c r="P3013">
        <v>2.54</v>
      </c>
      <c r="Q3013">
        <v>0</v>
      </c>
      <c r="R3013">
        <v>0</v>
      </c>
      <c r="S3013" s="1" t="s">
        <v>688</v>
      </c>
      <c r="T3013" s="1"/>
      <c r="U3013">
        <v>2543</v>
      </c>
      <c r="V3013">
        <v>0</v>
      </c>
      <c r="W3013">
        <v>92156</v>
      </c>
    </row>
    <row r="3014" spans="1:23" x14ac:dyDescent="0.25">
      <c r="A3014" s="1" t="s">
        <v>37</v>
      </c>
      <c r="B3014" s="1"/>
      <c r="C3014" s="1" t="s">
        <v>197</v>
      </c>
      <c r="D3014">
        <v>10161</v>
      </c>
      <c r="E3014" s="1"/>
      <c r="F3014" s="1" t="s">
        <v>332</v>
      </c>
      <c r="G3014">
        <v>2011</v>
      </c>
      <c r="H3014">
        <v>98.71</v>
      </c>
      <c r="I3014">
        <v>1</v>
      </c>
      <c r="J3014" s="1" t="s">
        <v>426</v>
      </c>
      <c r="K3014">
        <v>0</v>
      </c>
      <c r="L3014">
        <v>265</v>
      </c>
      <c r="M3014">
        <v>0.37235000000000001</v>
      </c>
      <c r="N3014">
        <v>3</v>
      </c>
      <c r="O3014" s="1" t="s">
        <v>560</v>
      </c>
      <c r="P3014">
        <v>98.71</v>
      </c>
      <c r="Q3014">
        <v>78.95</v>
      </c>
      <c r="R3014">
        <v>0</v>
      </c>
      <c r="S3014" s="1" t="s">
        <v>23</v>
      </c>
      <c r="T3014" s="1"/>
      <c r="U3014">
        <v>98.703590000000005</v>
      </c>
      <c r="V3014">
        <v>0</v>
      </c>
      <c r="W3014">
        <v>77143</v>
      </c>
    </row>
    <row r="3015" spans="1:23" x14ac:dyDescent="0.25">
      <c r="A3015" s="1" t="s">
        <v>37</v>
      </c>
      <c r="B3015" s="1"/>
      <c r="C3015" s="1" t="s">
        <v>197</v>
      </c>
      <c r="D3015">
        <v>10161</v>
      </c>
      <c r="E3015" s="1"/>
      <c r="F3015" s="1" t="s">
        <v>332</v>
      </c>
      <c r="G3015">
        <v>2010</v>
      </c>
      <c r="H3015">
        <v>102.38</v>
      </c>
      <c r="I3015">
        <v>1</v>
      </c>
      <c r="J3015" s="1" t="s">
        <v>426</v>
      </c>
      <c r="K3015">
        <v>0</v>
      </c>
      <c r="L3015">
        <v>265</v>
      </c>
      <c r="M3015">
        <v>0.38619300000000001</v>
      </c>
      <c r="N3015">
        <v>3</v>
      </c>
      <c r="O3015" s="1" t="s">
        <v>560</v>
      </c>
      <c r="P3015">
        <v>102.38</v>
      </c>
      <c r="Q3015">
        <v>81.89</v>
      </c>
      <c r="R3015">
        <v>0</v>
      </c>
      <c r="S3015" s="1" t="s">
        <v>23</v>
      </c>
      <c r="T3015" s="1"/>
      <c r="U3015">
        <v>102.38283</v>
      </c>
      <c r="V3015">
        <v>0</v>
      </c>
      <c r="W3015">
        <v>77143</v>
      </c>
    </row>
    <row r="3016" spans="1:23" x14ac:dyDescent="0.25">
      <c r="A3016" s="1" t="s">
        <v>37</v>
      </c>
      <c r="B3016" s="1"/>
      <c r="C3016" s="1" t="s">
        <v>197</v>
      </c>
      <c r="D3016">
        <v>10161</v>
      </c>
      <c r="E3016" s="1"/>
      <c r="F3016" s="1" t="s">
        <v>332</v>
      </c>
      <c r="G3016">
        <v>2009</v>
      </c>
      <c r="H3016">
        <v>34.97</v>
      </c>
      <c r="I3016">
        <v>4</v>
      </c>
      <c r="J3016" s="1" t="s">
        <v>426</v>
      </c>
      <c r="K3016">
        <v>0</v>
      </c>
      <c r="L3016">
        <v>265</v>
      </c>
      <c r="M3016">
        <v>0.131912</v>
      </c>
      <c r="N3016">
        <v>3</v>
      </c>
      <c r="O3016" s="1" t="s">
        <v>560</v>
      </c>
      <c r="P3016">
        <v>34.97</v>
      </c>
      <c r="Q3016">
        <v>27.98</v>
      </c>
      <c r="R3016">
        <v>0</v>
      </c>
      <c r="S3016" s="1" t="s">
        <v>23</v>
      </c>
      <c r="T3016" s="1"/>
      <c r="U3016">
        <v>34.970709999999997</v>
      </c>
      <c r="V3016">
        <v>0</v>
      </c>
      <c r="W3016">
        <v>77143</v>
      </c>
    </row>
    <row r="3017" spans="1:23" x14ac:dyDescent="0.25">
      <c r="A3017" s="1" t="s">
        <v>37</v>
      </c>
      <c r="B3017" s="1"/>
      <c r="C3017" s="1" t="s">
        <v>197</v>
      </c>
      <c r="D3017">
        <v>10161</v>
      </c>
      <c r="E3017" s="1"/>
      <c r="F3017" s="1" t="s">
        <v>332</v>
      </c>
      <c r="G3017">
        <v>2008</v>
      </c>
      <c r="H3017">
        <v>265.22000000000003</v>
      </c>
      <c r="I3017">
        <v>6</v>
      </c>
      <c r="J3017" s="1" t="s">
        <v>426</v>
      </c>
      <c r="K3017">
        <v>0</v>
      </c>
      <c r="L3017">
        <v>265</v>
      </c>
      <c r="M3017">
        <v>1.0004519999999999</v>
      </c>
      <c r="N3017">
        <v>3</v>
      </c>
      <c r="O3017" s="1" t="s">
        <v>560</v>
      </c>
      <c r="P3017">
        <v>265.22000000000003</v>
      </c>
      <c r="Q3017">
        <v>212.17</v>
      </c>
      <c r="R3017">
        <v>0</v>
      </c>
      <c r="S3017" s="1" t="s">
        <v>23</v>
      </c>
      <c r="T3017" s="1"/>
      <c r="U3017">
        <v>265.22856999999999</v>
      </c>
      <c r="V3017">
        <v>0</v>
      </c>
      <c r="W3017">
        <v>77143</v>
      </c>
    </row>
    <row r="3018" spans="1:23" x14ac:dyDescent="0.25">
      <c r="A3018" s="1" t="s">
        <v>37</v>
      </c>
      <c r="B3018" s="1" t="s">
        <v>82</v>
      </c>
      <c r="C3018" s="1" t="s">
        <v>198</v>
      </c>
      <c r="D3018">
        <v>6369</v>
      </c>
      <c r="E3018" s="1"/>
      <c r="F3018" s="1" t="s">
        <v>333</v>
      </c>
      <c r="G3018">
        <v>2015</v>
      </c>
      <c r="H3018">
        <v>6.67</v>
      </c>
      <c r="I3018">
        <v>5</v>
      </c>
      <c r="J3018" s="1" t="s">
        <v>399</v>
      </c>
      <c r="K3018">
        <v>0</v>
      </c>
      <c r="L3018">
        <v>110</v>
      </c>
      <c r="M3018">
        <v>6.0581000000000003E-2</v>
      </c>
      <c r="N3018">
        <v>3</v>
      </c>
      <c r="O3018" s="1" t="s">
        <v>560</v>
      </c>
      <c r="P3018">
        <v>6.67</v>
      </c>
      <c r="Q3018">
        <v>5.33</v>
      </c>
      <c r="R3018">
        <v>0</v>
      </c>
      <c r="S3018" s="1" t="s">
        <v>689</v>
      </c>
      <c r="T3018" s="1"/>
      <c r="U3018">
        <v>6.6669999999999998</v>
      </c>
      <c r="V3018">
        <v>0</v>
      </c>
      <c r="W3018">
        <v>62720</v>
      </c>
    </row>
    <row r="3019" spans="1:23" x14ac:dyDescent="0.25">
      <c r="A3019" s="1" t="s">
        <v>37</v>
      </c>
      <c r="B3019" s="1" t="s">
        <v>82</v>
      </c>
      <c r="C3019" s="1" t="s">
        <v>198</v>
      </c>
      <c r="D3019">
        <v>6369</v>
      </c>
      <c r="E3019" s="1"/>
      <c r="F3019" s="1" t="s">
        <v>333</v>
      </c>
      <c r="G3019">
        <v>2014</v>
      </c>
      <c r="H3019">
        <v>13.38</v>
      </c>
      <c r="I3019">
        <v>12</v>
      </c>
      <c r="J3019" s="1" t="s">
        <v>399</v>
      </c>
      <c r="K3019">
        <v>0</v>
      </c>
      <c r="L3019">
        <v>110</v>
      </c>
      <c r="M3019">
        <v>0.12152499999999999</v>
      </c>
      <c r="N3019">
        <v>3</v>
      </c>
      <c r="O3019" s="1" t="s">
        <v>560</v>
      </c>
      <c r="P3019">
        <v>13.38</v>
      </c>
      <c r="Q3019">
        <v>10.68</v>
      </c>
      <c r="R3019">
        <v>0</v>
      </c>
      <c r="S3019" s="1" t="s">
        <v>689</v>
      </c>
      <c r="T3019" s="1"/>
      <c r="U3019">
        <v>13.358000000000001</v>
      </c>
      <c r="V3019">
        <v>0</v>
      </c>
      <c r="W3019">
        <v>62720</v>
      </c>
    </row>
    <row r="3020" spans="1:23" x14ac:dyDescent="0.25">
      <c r="A3020" s="1" t="s">
        <v>37</v>
      </c>
      <c r="B3020" s="1" t="s">
        <v>82</v>
      </c>
      <c r="C3020" s="1" t="s">
        <v>198</v>
      </c>
      <c r="D3020">
        <v>6369</v>
      </c>
      <c r="E3020" s="1"/>
      <c r="F3020" s="1" t="s">
        <v>333</v>
      </c>
      <c r="G3020">
        <v>2013</v>
      </c>
      <c r="H3020">
        <v>19.36</v>
      </c>
      <c r="I3020">
        <v>12</v>
      </c>
      <c r="J3020" s="1" t="s">
        <v>399</v>
      </c>
      <c r="K3020">
        <v>0</v>
      </c>
      <c r="L3020">
        <v>110</v>
      </c>
      <c r="M3020">
        <v>0.17584</v>
      </c>
      <c r="N3020">
        <v>3</v>
      </c>
      <c r="O3020" s="1" t="s">
        <v>560</v>
      </c>
      <c r="P3020">
        <v>19.36</v>
      </c>
      <c r="Q3020">
        <v>15.47</v>
      </c>
      <c r="R3020">
        <v>0</v>
      </c>
      <c r="S3020" s="1" t="s">
        <v>689</v>
      </c>
      <c r="T3020" s="1"/>
      <c r="U3020">
        <v>19.332999999999998</v>
      </c>
      <c r="V3020">
        <v>0</v>
      </c>
      <c r="W3020">
        <v>62720</v>
      </c>
    </row>
    <row r="3021" spans="1:23" x14ac:dyDescent="0.25">
      <c r="A3021" s="1" t="s">
        <v>37</v>
      </c>
      <c r="B3021" s="1" t="s">
        <v>82</v>
      </c>
      <c r="C3021" s="1" t="s">
        <v>198</v>
      </c>
      <c r="D3021">
        <v>6369</v>
      </c>
      <c r="E3021" s="1"/>
      <c r="F3021" s="1" t="s">
        <v>333</v>
      </c>
      <c r="G3021">
        <v>2012</v>
      </c>
      <c r="H3021">
        <v>11.65</v>
      </c>
      <c r="I3021">
        <v>12</v>
      </c>
      <c r="J3021" s="1" t="s">
        <v>399</v>
      </c>
      <c r="K3021">
        <v>0</v>
      </c>
      <c r="L3021">
        <v>110</v>
      </c>
      <c r="M3021">
        <v>0.105812</v>
      </c>
      <c r="N3021">
        <v>3</v>
      </c>
      <c r="O3021" s="1" t="s">
        <v>560</v>
      </c>
      <c r="P3021">
        <v>11.65</v>
      </c>
      <c r="Q3021">
        <v>9.33</v>
      </c>
      <c r="R3021">
        <v>0</v>
      </c>
      <c r="S3021" s="1" t="s">
        <v>689</v>
      </c>
      <c r="T3021" s="1"/>
      <c r="U3021">
        <v>11.656000000000001</v>
      </c>
      <c r="V3021">
        <v>0</v>
      </c>
      <c r="W3021">
        <v>62720</v>
      </c>
    </row>
    <row r="3022" spans="1:23" x14ac:dyDescent="0.25">
      <c r="A3022" s="1" t="s">
        <v>37</v>
      </c>
      <c r="B3022" s="1" t="s">
        <v>82</v>
      </c>
      <c r="C3022" s="1" t="s">
        <v>198</v>
      </c>
      <c r="D3022">
        <v>6369</v>
      </c>
      <c r="E3022" s="1"/>
      <c r="F3022" s="1" t="s">
        <v>333</v>
      </c>
      <c r="G3022">
        <v>2011</v>
      </c>
      <c r="H3022">
        <v>13.88</v>
      </c>
      <c r="I3022">
        <v>5</v>
      </c>
      <c r="J3022" s="1" t="s">
        <v>399</v>
      </c>
      <c r="K3022">
        <v>0</v>
      </c>
      <c r="L3022">
        <v>110</v>
      </c>
      <c r="M3022">
        <v>0.12606700000000001</v>
      </c>
      <c r="N3022">
        <v>3</v>
      </c>
      <c r="O3022" s="1" t="s">
        <v>560</v>
      </c>
      <c r="P3022">
        <v>13.88</v>
      </c>
      <c r="Q3022">
        <v>11.1</v>
      </c>
      <c r="R3022">
        <v>0</v>
      </c>
      <c r="S3022" s="1" t="s">
        <v>689</v>
      </c>
      <c r="T3022" s="1"/>
      <c r="U3022">
        <v>13.8718</v>
      </c>
      <c r="V3022">
        <v>0</v>
      </c>
      <c r="W3022">
        <v>62720</v>
      </c>
    </row>
    <row r="3023" spans="1:23" x14ac:dyDescent="0.25">
      <c r="A3023" s="1" t="s">
        <v>37</v>
      </c>
      <c r="B3023" s="1" t="s">
        <v>82</v>
      </c>
      <c r="C3023" s="1" t="s">
        <v>198</v>
      </c>
      <c r="D3023">
        <v>6369</v>
      </c>
      <c r="E3023" s="1"/>
      <c r="F3023" s="1" t="s">
        <v>333</v>
      </c>
      <c r="G3023">
        <v>2010</v>
      </c>
      <c r="H3023">
        <v>6.14</v>
      </c>
      <c r="I3023">
        <v>3</v>
      </c>
      <c r="J3023" s="1" t="s">
        <v>399</v>
      </c>
      <c r="K3023">
        <v>0</v>
      </c>
      <c r="L3023">
        <v>110</v>
      </c>
      <c r="M3023">
        <v>5.5766999999999997E-2</v>
      </c>
      <c r="N3023">
        <v>3</v>
      </c>
      <c r="O3023" s="1" t="s">
        <v>560</v>
      </c>
      <c r="P3023">
        <v>6.14</v>
      </c>
      <c r="Q3023">
        <v>4.8899999999999997</v>
      </c>
      <c r="R3023">
        <v>0</v>
      </c>
      <c r="S3023" s="1" t="s">
        <v>689</v>
      </c>
      <c r="T3023" s="1"/>
      <c r="U3023">
        <v>6.1281999999999996</v>
      </c>
      <c r="V3023">
        <v>0</v>
      </c>
      <c r="W3023">
        <v>62720</v>
      </c>
    </row>
    <row r="3024" spans="1:23" x14ac:dyDescent="0.25">
      <c r="A3024" s="1" t="s">
        <v>37</v>
      </c>
      <c r="B3024" s="1" t="s">
        <v>82</v>
      </c>
      <c r="C3024" s="1" t="s">
        <v>198</v>
      </c>
      <c r="D3024">
        <v>6369</v>
      </c>
      <c r="E3024" s="1"/>
      <c r="F3024" s="1" t="s">
        <v>333</v>
      </c>
      <c r="G3024">
        <v>2009</v>
      </c>
      <c r="H3024">
        <v>54</v>
      </c>
      <c r="I3024">
        <v>3</v>
      </c>
      <c r="J3024" s="1" t="s">
        <v>399</v>
      </c>
      <c r="K3024">
        <v>0</v>
      </c>
      <c r="L3024">
        <v>110</v>
      </c>
      <c r="M3024">
        <v>0.49046299999999998</v>
      </c>
      <c r="N3024">
        <v>3</v>
      </c>
      <c r="O3024" s="1" t="s">
        <v>560</v>
      </c>
      <c r="P3024">
        <v>54</v>
      </c>
      <c r="Q3024">
        <v>43.2</v>
      </c>
      <c r="R3024">
        <v>0</v>
      </c>
      <c r="S3024" s="1" t="s">
        <v>689</v>
      </c>
      <c r="T3024" s="1"/>
      <c r="U3024">
        <v>54</v>
      </c>
      <c r="V3024">
        <v>0</v>
      </c>
      <c r="W3024">
        <v>62720</v>
      </c>
    </row>
    <row r="3025" spans="1:23" x14ac:dyDescent="0.25">
      <c r="A3025" s="1" t="s">
        <v>37</v>
      </c>
      <c r="B3025" s="1" t="s">
        <v>82</v>
      </c>
      <c r="C3025" s="1" t="s">
        <v>198</v>
      </c>
      <c r="D3025">
        <v>6369</v>
      </c>
      <c r="E3025" s="1"/>
      <c r="F3025" s="1" t="s">
        <v>333</v>
      </c>
      <c r="G3025">
        <v>2008</v>
      </c>
      <c r="H3025">
        <v>13.25</v>
      </c>
      <c r="I3025">
        <v>10</v>
      </c>
      <c r="J3025" s="1" t="s">
        <v>399</v>
      </c>
      <c r="K3025">
        <v>0</v>
      </c>
      <c r="L3025">
        <v>110</v>
      </c>
      <c r="M3025">
        <v>0.12034499999999999</v>
      </c>
      <c r="N3025">
        <v>3</v>
      </c>
      <c r="O3025" s="1" t="s">
        <v>560</v>
      </c>
      <c r="P3025">
        <v>13.25</v>
      </c>
      <c r="Q3025">
        <v>10.6</v>
      </c>
      <c r="R3025">
        <v>0</v>
      </c>
      <c r="S3025" s="1" t="s">
        <v>689</v>
      </c>
      <c r="T3025" s="1"/>
      <c r="U3025">
        <v>13.24999</v>
      </c>
      <c r="V3025">
        <v>0</v>
      </c>
      <c r="W3025">
        <v>62720</v>
      </c>
    </row>
    <row r="3026" spans="1:23" x14ac:dyDescent="0.25">
      <c r="A3026" s="1" t="s">
        <v>37</v>
      </c>
      <c r="B3026" s="1" t="s">
        <v>82</v>
      </c>
      <c r="C3026" s="1" t="s">
        <v>199</v>
      </c>
      <c r="D3026">
        <v>5474</v>
      </c>
      <c r="E3026" s="1"/>
      <c r="F3026" s="1" t="s">
        <v>334</v>
      </c>
      <c r="G3026">
        <v>2015</v>
      </c>
      <c r="H3026">
        <v>739.55</v>
      </c>
      <c r="I3026">
        <v>5</v>
      </c>
      <c r="J3026" s="1" t="s">
        <v>393</v>
      </c>
      <c r="K3026">
        <v>0</v>
      </c>
      <c r="L3026">
        <v>10600</v>
      </c>
      <c r="M3026">
        <v>6.9767999999999997E-2</v>
      </c>
      <c r="N3026">
        <v>3</v>
      </c>
      <c r="O3026" s="1" t="s">
        <v>560</v>
      </c>
      <c r="P3026">
        <v>739.55</v>
      </c>
      <c r="Q3026">
        <v>591.64</v>
      </c>
      <c r="R3026">
        <v>0</v>
      </c>
      <c r="S3026" s="1" t="s">
        <v>690</v>
      </c>
      <c r="T3026" s="1"/>
      <c r="U3026">
        <v>739.55</v>
      </c>
      <c r="V3026">
        <v>0</v>
      </c>
      <c r="W3026">
        <v>57911</v>
      </c>
    </row>
    <row r="3027" spans="1:23" x14ac:dyDescent="0.25">
      <c r="A3027" s="1" t="s">
        <v>37</v>
      </c>
      <c r="B3027" s="1" t="s">
        <v>82</v>
      </c>
      <c r="C3027" s="1" t="s">
        <v>199</v>
      </c>
      <c r="D3027">
        <v>5474</v>
      </c>
      <c r="E3027" s="1"/>
      <c r="F3027" s="1" t="s">
        <v>334</v>
      </c>
      <c r="G3027">
        <v>2015</v>
      </c>
      <c r="H3027">
        <v>129.88999999999999</v>
      </c>
      <c r="I3027">
        <v>5</v>
      </c>
      <c r="J3027" s="1" t="s">
        <v>402</v>
      </c>
      <c r="K3027">
        <v>0</v>
      </c>
      <c r="L3027">
        <v>10600</v>
      </c>
      <c r="M3027">
        <v>1.2253E-2</v>
      </c>
      <c r="N3027">
        <v>3</v>
      </c>
      <c r="O3027" s="1" t="s">
        <v>560</v>
      </c>
      <c r="P3027">
        <v>129.88999999999999</v>
      </c>
      <c r="Q3027">
        <v>0</v>
      </c>
      <c r="R3027">
        <v>1</v>
      </c>
      <c r="S3027" s="1" t="s">
        <v>588</v>
      </c>
      <c r="T3027" s="1"/>
      <c r="U3027">
        <v>129.88999999999999</v>
      </c>
      <c r="V3027">
        <v>0</v>
      </c>
      <c r="W3027">
        <v>58235</v>
      </c>
    </row>
    <row r="3028" spans="1:23" x14ac:dyDescent="0.25">
      <c r="A3028" s="1" t="s">
        <v>37</v>
      </c>
      <c r="B3028" s="1" t="s">
        <v>82</v>
      </c>
      <c r="C3028" s="1" t="s">
        <v>199</v>
      </c>
      <c r="D3028">
        <v>5474</v>
      </c>
      <c r="E3028" s="1"/>
      <c r="F3028" s="1" t="s">
        <v>334</v>
      </c>
      <c r="G3028">
        <v>2014</v>
      </c>
      <c r="H3028">
        <v>1743.44</v>
      </c>
      <c r="I3028">
        <v>12</v>
      </c>
      <c r="J3028" s="1" t="s">
        <v>393</v>
      </c>
      <c r="K3028">
        <v>0</v>
      </c>
      <c r="L3028">
        <v>10600</v>
      </c>
      <c r="M3028">
        <v>0.16447300000000001</v>
      </c>
      <c r="N3028">
        <v>3</v>
      </c>
      <c r="O3028" s="1" t="s">
        <v>560</v>
      </c>
      <c r="P3028">
        <v>1743.44</v>
      </c>
      <c r="Q3028">
        <v>1394.75</v>
      </c>
      <c r="R3028">
        <v>0</v>
      </c>
      <c r="S3028" s="1" t="s">
        <v>690</v>
      </c>
      <c r="T3028" s="1"/>
      <c r="U3028">
        <v>1743.44</v>
      </c>
      <c r="V3028">
        <v>0</v>
      </c>
      <c r="W3028">
        <v>57911</v>
      </c>
    </row>
    <row r="3029" spans="1:23" x14ac:dyDescent="0.25">
      <c r="A3029" s="1" t="s">
        <v>37</v>
      </c>
      <c r="B3029" s="1" t="s">
        <v>82</v>
      </c>
      <c r="C3029" s="1" t="s">
        <v>199</v>
      </c>
      <c r="D3029">
        <v>5474</v>
      </c>
      <c r="E3029" s="1"/>
      <c r="F3029" s="1" t="s">
        <v>334</v>
      </c>
      <c r="G3029">
        <v>2014</v>
      </c>
      <c r="H3029">
        <v>317.54000000000002</v>
      </c>
      <c r="I3029">
        <v>12</v>
      </c>
      <c r="J3029" s="1" t="s">
        <v>402</v>
      </c>
      <c r="K3029">
        <v>0</v>
      </c>
      <c r="L3029">
        <v>10600</v>
      </c>
      <c r="M3029">
        <v>2.9956E-2</v>
      </c>
      <c r="N3029">
        <v>3</v>
      </c>
      <c r="O3029" s="1" t="s">
        <v>560</v>
      </c>
      <c r="P3029">
        <v>317.54000000000002</v>
      </c>
      <c r="Q3029">
        <v>0</v>
      </c>
      <c r="R3029">
        <v>1</v>
      </c>
      <c r="S3029" s="1" t="s">
        <v>588</v>
      </c>
      <c r="T3029" s="1"/>
      <c r="U3029">
        <v>317.54000000000002</v>
      </c>
      <c r="V3029">
        <v>0</v>
      </c>
      <c r="W3029">
        <v>58235</v>
      </c>
    </row>
    <row r="3030" spans="1:23" x14ac:dyDescent="0.25">
      <c r="A3030" s="1" t="s">
        <v>37</v>
      </c>
      <c r="B3030" s="1" t="s">
        <v>82</v>
      </c>
      <c r="C3030" s="1" t="s">
        <v>199</v>
      </c>
      <c r="D3030">
        <v>5474</v>
      </c>
      <c r="E3030" s="1"/>
      <c r="F3030" s="1" t="s">
        <v>334</v>
      </c>
      <c r="G3030">
        <v>2013</v>
      </c>
      <c r="H3030">
        <v>1351.56</v>
      </c>
      <c r="I3030">
        <v>12</v>
      </c>
      <c r="J3030" s="1" t="s">
        <v>393</v>
      </c>
      <c r="K3030">
        <v>0</v>
      </c>
      <c r="L3030">
        <v>10600</v>
      </c>
      <c r="M3030">
        <v>0.12750400000000001</v>
      </c>
      <c r="N3030">
        <v>3</v>
      </c>
      <c r="O3030" s="1" t="s">
        <v>560</v>
      </c>
      <c r="P3030">
        <v>1351.56</v>
      </c>
      <c r="Q3030">
        <v>1081.25</v>
      </c>
      <c r="R3030">
        <v>0</v>
      </c>
      <c r="S3030" s="1" t="s">
        <v>690</v>
      </c>
      <c r="T3030" s="1"/>
      <c r="U3030">
        <v>1351.56</v>
      </c>
      <c r="V3030">
        <v>0</v>
      </c>
      <c r="W3030">
        <v>57911</v>
      </c>
    </row>
    <row r="3031" spans="1:23" x14ac:dyDescent="0.25">
      <c r="A3031" s="1" t="s">
        <v>37</v>
      </c>
      <c r="B3031" s="1" t="s">
        <v>82</v>
      </c>
      <c r="C3031" s="1" t="s">
        <v>199</v>
      </c>
      <c r="D3031">
        <v>5474</v>
      </c>
      <c r="E3031" s="1"/>
      <c r="F3031" s="1" t="s">
        <v>334</v>
      </c>
      <c r="G3031">
        <v>2013</v>
      </c>
      <c r="H3031">
        <v>294.49</v>
      </c>
      <c r="I3031">
        <v>12</v>
      </c>
      <c r="J3031" s="1" t="s">
        <v>402</v>
      </c>
      <c r="K3031">
        <v>0</v>
      </c>
      <c r="L3031">
        <v>10600</v>
      </c>
      <c r="M3031">
        <v>2.7781E-2</v>
      </c>
      <c r="N3031">
        <v>3</v>
      </c>
      <c r="O3031" s="1" t="s">
        <v>560</v>
      </c>
      <c r="P3031">
        <v>294.49</v>
      </c>
      <c r="Q3031">
        <v>0</v>
      </c>
      <c r="R3031">
        <v>1</v>
      </c>
      <c r="S3031" s="1" t="s">
        <v>588</v>
      </c>
      <c r="T3031" s="1"/>
      <c r="U3031">
        <v>294.49</v>
      </c>
      <c r="V3031">
        <v>0</v>
      </c>
      <c r="W3031">
        <v>58235</v>
      </c>
    </row>
    <row r="3032" spans="1:23" x14ac:dyDescent="0.25">
      <c r="A3032" s="1" t="s">
        <v>37</v>
      </c>
      <c r="B3032" s="1" t="s">
        <v>82</v>
      </c>
      <c r="C3032" s="1" t="s">
        <v>199</v>
      </c>
      <c r="D3032">
        <v>5474</v>
      </c>
      <c r="E3032" s="1"/>
      <c r="F3032" s="1" t="s">
        <v>334</v>
      </c>
      <c r="G3032">
        <v>2012</v>
      </c>
      <c r="H3032">
        <v>1352.45</v>
      </c>
      <c r="I3032">
        <v>12</v>
      </c>
      <c r="J3032" s="1" t="s">
        <v>393</v>
      </c>
      <c r="K3032">
        <v>0</v>
      </c>
      <c r="L3032">
        <v>10600</v>
      </c>
      <c r="M3032">
        <v>0.12758800000000001</v>
      </c>
      <c r="N3032">
        <v>3</v>
      </c>
      <c r="O3032" s="1" t="s">
        <v>560</v>
      </c>
      <c r="P3032">
        <v>1352.45</v>
      </c>
      <c r="Q3032">
        <v>1081.96</v>
      </c>
      <c r="R3032">
        <v>0</v>
      </c>
      <c r="S3032" s="1" t="s">
        <v>690</v>
      </c>
      <c r="T3032" s="1"/>
      <c r="U3032">
        <v>1352.45</v>
      </c>
      <c r="V3032">
        <v>0</v>
      </c>
      <c r="W3032">
        <v>57911</v>
      </c>
    </row>
    <row r="3033" spans="1:23" x14ac:dyDescent="0.25">
      <c r="A3033" s="1" t="s">
        <v>37</v>
      </c>
      <c r="B3033" s="1" t="s">
        <v>82</v>
      </c>
      <c r="C3033" s="1" t="s">
        <v>199</v>
      </c>
      <c r="D3033">
        <v>5474</v>
      </c>
      <c r="E3033" s="1"/>
      <c r="F3033" s="1" t="s">
        <v>334</v>
      </c>
      <c r="G3033">
        <v>2012</v>
      </c>
      <c r="H3033">
        <v>286.47000000000003</v>
      </c>
      <c r="I3033">
        <v>12</v>
      </c>
      <c r="J3033" s="1" t="s">
        <v>402</v>
      </c>
      <c r="K3033">
        <v>0</v>
      </c>
      <c r="L3033">
        <v>10600</v>
      </c>
      <c r="M3033">
        <v>2.7025E-2</v>
      </c>
      <c r="N3033">
        <v>3</v>
      </c>
      <c r="O3033" s="1" t="s">
        <v>560</v>
      </c>
      <c r="P3033">
        <v>286.47000000000003</v>
      </c>
      <c r="Q3033">
        <v>0</v>
      </c>
      <c r="R3033">
        <v>1</v>
      </c>
      <c r="S3033" s="1" t="s">
        <v>588</v>
      </c>
      <c r="T3033" s="1"/>
      <c r="U3033">
        <v>286.47000000000003</v>
      </c>
      <c r="V3033">
        <v>0</v>
      </c>
      <c r="W3033">
        <v>58235</v>
      </c>
    </row>
    <row r="3034" spans="1:23" x14ac:dyDescent="0.25">
      <c r="A3034" s="1" t="s">
        <v>37</v>
      </c>
      <c r="B3034" s="1" t="s">
        <v>82</v>
      </c>
      <c r="C3034" s="1" t="s">
        <v>199</v>
      </c>
      <c r="D3034">
        <v>5474</v>
      </c>
      <c r="E3034" s="1"/>
      <c r="F3034" s="1" t="s">
        <v>334</v>
      </c>
      <c r="G3034">
        <v>2011</v>
      </c>
      <c r="H3034">
        <v>1339.23</v>
      </c>
      <c r="I3034">
        <v>12</v>
      </c>
      <c r="J3034" s="1" t="s">
        <v>393</v>
      </c>
      <c r="K3034">
        <v>0</v>
      </c>
      <c r="L3034">
        <v>10600</v>
      </c>
      <c r="M3034">
        <v>0.12634100000000001</v>
      </c>
      <c r="N3034">
        <v>3</v>
      </c>
      <c r="O3034" s="1" t="s">
        <v>560</v>
      </c>
      <c r="P3034">
        <v>1339.23</v>
      </c>
      <c r="Q3034">
        <v>1071.3800000000001</v>
      </c>
      <c r="R3034">
        <v>0</v>
      </c>
      <c r="S3034" s="1" t="s">
        <v>690</v>
      </c>
      <c r="T3034" s="1"/>
      <c r="U3034">
        <v>1339.23</v>
      </c>
      <c r="V3034">
        <v>0</v>
      </c>
      <c r="W3034">
        <v>57911</v>
      </c>
    </row>
    <row r="3035" spans="1:23" x14ac:dyDescent="0.25">
      <c r="A3035" s="1" t="s">
        <v>37</v>
      </c>
      <c r="B3035" s="1" t="s">
        <v>82</v>
      </c>
      <c r="C3035" s="1" t="s">
        <v>199</v>
      </c>
      <c r="D3035">
        <v>5474</v>
      </c>
      <c r="E3035" s="1"/>
      <c r="F3035" s="1" t="s">
        <v>334</v>
      </c>
      <c r="G3035">
        <v>2011</v>
      </c>
      <c r="H3035">
        <v>286.44</v>
      </c>
      <c r="I3035">
        <v>12</v>
      </c>
      <c r="J3035" s="1" t="s">
        <v>402</v>
      </c>
      <c r="K3035">
        <v>0</v>
      </c>
      <c r="L3035">
        <v>10600</v>
      </c>
      <c r="M3035">
        <v>2.7022000000000001E-2</v>
      </c>
      <c r="N3035">
        <v>3</v>
      </c>
      <c r="O3035" s="1" t="s">
        <v>560</v>
      </c>
      <c r="P3035">
        <v>286.44</v>
      </c>
      <c r="Q3035">
        <v>0</v>
      </c>
      <c r="R3035">
        <v>1</v>
      </c>
      <c r="S3035" s="1" t="s">
        <v>588</v>
      </c>
      <c r="T3035" s="1"/>
      <c r="U3035">
        <v>286.44</v>
      </c>
      <c r="V3035">
        <v>0</v>
      </c>
      <c r="W3035">
        <v>58235</v>
      </c>
    </row>
    <row r="3036" spans="1:23" x14ac:dyDescent="0.25">
      <c r="A3036" s="1" t="s">
        <v>37</v>
      </c>
      <c r="B3036" s="1" t="s">
        <v>82</v>
      </c>
      <c r="C3036" s="1" t="s">
        <v>199</v>
      </c>
      <c r="D3036">
        <v>5474</v>
      </c>
      <c r="E3036" s="1"/>
      <c r="F3036" s="1" t="s">
        <v>334</v>
      </c>
      <c r="G3036">
        <v>2010</v>
      </c>
      <c r="H3036">
        <v>1400.89</v>
      </c>
      <c r="I3036">
        <v>12</v>
      </c>
      <c r="J3036" s="1" t="s">
        <v>393</v>
      </c>
      <c r="K3036">
        <v>0</v>
      </c>
      <c r="L3036">
        <v>10600</v>
      </c>
      <c r="M3036">
        <v>0.132158</v>
      </c>
      <c r="N3036">
        <v>3</v>
      </c>
      <c r="O3036" s="1" t="s">
        <v>560</v>
      </c>
      <c r="P3036">
        <v>1400.89</v>
      </c>
      <c r="Q3036">
        <v>1120.71</v>
      </c>
      <c r="R3036">
        <v>0</v>
      </c>
      <c r="S3036" s="1" t="s">
        <v>690</v>
      </c>
      <c r="T3036" s="1"/>
      <c r="U3036">
        <v>1400.89</v>
      </c>
      <c r="V3036">
        <v>0</v>
      </c>
      <c r="W3036">
        <v>57911</v>
      </c>
    </row>
    <row r="3037" spans="1:23" x14ac:dyDescent="0.25">
      <c r="A3037" s="1" t="s">
        <v>37</v>
      </c>
      <c r="B3037" s="1" t="s">
        <v>82</v>
      </c>
      <c r="C3037" s="1" t="s">
        <v>199</v>
      </c>
      <c r="D3037">
        <v>5474</v>
      </c>
      <c r="E3037" s="1"/>
      <c r="F3037" s="1" t="s">
        <v>334</v>
      </c>
      <c r="G3037">
        <v>2010</v>
      </c>
      <c r="H3037">
        <v>444.44</v>
      </c>
      <c r="I3037">
        <v>12</v>
      </c>
      <c r="J3037" s="1" t="s">
        <v>402</v>
      </c>
      <c r="K3037">
        <v>0</v>
      </c>
      <c r="L3037">
        <v>10600</v>
      </c>
      <c r="M3037">
        <v>4.1926999999999999E-2</v>
      </c>
      <c r="N3037">
        <v>3</v>
      </c>
      <c r="O3037" s="1" t="s">
        <v>560</v>
      </c>
      <c r="P3037">
        <v>444.44</v>
      </c>
      <c r="Q3037">
        <v>0</v>
      </c>
      <c r="R3037">
        <v>1</v>
      </c>
      <c r="S3037" s="1" t="s">
        <v>588</v>
      </c>
      <c r="T3037" s="1"/>
      <c r="U3037">
        <v>444.44</v>
      </c>
      <c r="V3037">
        <v>0</v>
      </c>
      <c r="W3037">
        <v>58235</v>
      </c>
    </row>
    <row r="3038" spans="1:23" x14ac:dyDescent="0.25">
      <c r="A3038" s="1" t="s">
        <v>37</v>
      </c>
      <c r="B3038" s="1" t="s">
        <v>82</v>
      </c>
      <c r="C3038" s="1" t="s">
        <v>199</v>
      </c>
      <c r="D3038">
        <v>5474</v>
      </c>
      <c r="E3038" s="1"/>
      <c r="F3038" s="1" t="s">
        <v>334</v>
      </c>
      <c r="G3038">
        <v>2009</v>
      </c>
      <c r="H3038">
        <v>1539.18</v>
      </c>
      <c r="I3038">
        <v>12</v>
      </c>
      <c r="J3038" s="1" t="s">
        <v>393</v>
      </c>
      <c r="K3038">
        <v>0</v>
      </c>
      <c r="L3038">
        <v>10600</v>
      </c>
      <c r="M3038">
        <v>0.145204</v>
      </c>
      <c r="N3038">
        <v>3</v>
      </c>
      <c r="O3038" s="1" t="s">
        <v>560</v>
      </c>
      <c r="P3038">
        <v>1539.18</v>
      </c>
      <c r="Q3038">
        <v>1231.3399999999999</v>
      </c>
      <c r="R3038">
        <v>0</v>
      </c>
      <c r="S3038" s="1" t="s">
        <v>690</v>
      </c>
      <c r="T3038" s="1"/>
      <c r="U3038">
        <v>1539.18</v>
      </c>
      <c r="V3038">
        <v>0</v>
      </c>
      <c r="W3038">
        <v>57911</v>
      </c>
    </row>
    <row r="3039" spans="1:23" x14ac:dyDescent="0.25">
      <c r="A3039" s="1" t="s">
        <v>37</v>
      </c>
      <c r="B3039" s="1" t="s">
        <v>82</v>
      </c>
      <c r="C3039" s="1" t="s">
        <v>199</v>
      </c>
      <c r="D3039">
        <v>5474</v>
      </c>
      <c r="E3039" s="1"/>
      <c r="F3039" s="1" t="s">
        <v>334</v>
      </c>
      <c r="G3039">
        <v>2009</v>
      </c>
      <c r="H3039">
        <v>456.52</v>
      </c>
      <c r="I3039">
        <v>12</v>
      </c>
      <c r="J3039" s="1" t="s">
        <v>402</v>
      </c>
      <c r="K3039">
        <v>0</v>
      </c>
      <c r="L3039">
        <v>10600</v>
      </c>
      <c r="M3039">
        <v>4.3067000000000001E-2</v>
      </c>
      <c r="N3039">
        <v>3</v>
      </c>
      <c r="O3039" s="1" t="s">
        <v>560</v>
      </c>
      <c r="P3039">
        <v>456.52</v>
      </c>
      <c r="Q3039">
        <v>0</v>
      </c>
      <c r="R3039">
        <v>1</v>
      </c>
      <c r="S3039" s="1" t="s">
        <v>588</v>
      </c>
      <c r="T3039" s="1"/>
      <c r="U3039">
        <v>456.52</v>
      </c>
      <c r="V3039">
        <v>0</v>
      </c>
      <c r="W3039">
        <v>58235</v>
      </c>
    </row>
    <row r="3040" spans="1:23" x14ac:dyDescent="0.25">
      <c r="A3040" s="1" t="s">
        <v>37</v>
      </c>
      <c r="B3040" s="1" t="s">
        <v>82</v>
      </c>
      <c r="C3040" s="1" t="s">
        <v>199</v>
      </c>
      <c r="D3040">
        <v>5474</v>
      </c>
      <c r="E3040" s="1"/>
      <c r="F3040" s="1" t="s">
        <v>334</v>
      </c>
      <c r="G3040">
        <v>2008</v>
      </c>
      <c r="H3040">
        <v>1967.75</v>
      </c>
      <c r="I3040">
        <v>12</v>
      </c>
      <c r="J3040" s="1" t="s">
        <v>393</v>
      </c>
      <c r="K3040">
        <v>0</v>
      </c>
      <c r="L3040">
        <v>10600</v>
      </c>
      <c r="M3040">
        <v>0.18563499999999999</v>
      </c>
      <c r="N3040">
        <v>3</v>
      </c>
      <c r="O3040" s="1" t="s">
        <v>560</v>
      </c>
      <c r="P3040">
        <v>1967.75</v>
      </c>
      <c r="Q3040">
        <v>1574.21</v>
      </c>
      <c r="R3040">
        <v>0</v>
      </c>
      <c r="S3040" s="1" t="s">
        <v>690</v>
      </c>
      <c r="T3040" s="1"/>
      <c r="U3040">
        <v>1967.75</v>
      </c>
      <c r="V3040">
        <v>0</v>
      </c>
      <c r="W3040">
        <v>57911</v>
      </c>
    </row>
    <row r="3041" spans="1:23" x14ac:dyDescent="0.25">
      <c r="A3041" s="1" t="s">
        <v>37</v>
      </c>
      <c r="B3041" s="1" t="s">
        <v>82</v>
      </c>
      <c r="C3041" s="1" t="s">
        <v>199</v>
      </c>
      <c r="D3041">
        <v>5474</v>
      </c>
      <c r="E3041" s="1"/>
      <c r="F3041" s="1" t="s">
        <v>334</v>
      </c>
      <c r="G3041">
        <v>2008</v>
      </c>
      <c r="H3041">
        <v>397.2</v>
      </c>
      <c r="I3041">
        <v>12</v>
      </c>
      <c r="J3041" s="1" t="s">
        <v>402</v>
      </c>
      <c r="K3041">
        <v>0</v>
      </c>
      <c r="L3041">
        <v>10600</v>
      </c>
      <c r="M3041">
        <v>3.7470999999999997E-2</v>
      </c>
      <c r="N3041">
        <v>3</v>
      </c>
      <c r="O3041" s="1" t="s">
        <v>560</v>
      </c>
      <c r="P3041">
        <v>397.2</v>
      </c>
      <c r="Q3041">
        <v>0</v>
      </c>
      <c r="R3041">
        <v>1</v>
      </c>
      <c r="S3041" s="1" t="s">
        <v>588</v>
      </c>
      <c r="T3041" s="1"/>
      <c r="U3041">
        <v>397.2</v>
      </c>
      <c r="V3041">
        <v>0</v>
      </c>
      <c r="W3041">
        <v>58235</v>
      </c>
    </row>
    <row r="3042" spans="1:23" x14ac:dyDescent="0.25">
      <c r="A3042" s="1" t="s">
        <v>37</v>
      </c>
      <c r="B3042" s="1" t="s">
        <v>66</v>
      </c>
      <c r="C3042" s="1" t="s">
        <v>200</v>
      </c>
      <c r="D3042">
        <v>5473</v>
      </c>
      <c r="E3042" s="1"/>
      <c r="F3042" s="1" t="s">
        <v>254</v>
      </c>
      <c r="G3042">
        <v>2015</v>
      </c>
      <c r="H3042">
        <v>8.2899999999999991</v>
      </c>
      <c r="I3042">
        <v>5</v>
      </c>
      <c r="J3042" s="1"/>
      <c r="K3042">
        <v>0</v>
      </c>
      <c r="L3042">
        <v>0</v>
      </c>
      <c r="M3042">
        <v>82.9</v>
      </c>
      <c r="N3042">
        <v>3</v>
      </c>
      <c r="O3042" s="1" t="s">
        <v>560</v>
      </c>
      <c r="P3042">
        <v>8.2899999999999991</v>
      </c>
      <c r="Q3042">
        <v>6.63</v>
      </c>
      <c r="R3042">
        <v>1</v>
      </c>
      <c r="S3042" s="1" t="s">
        <v>685</v>
      </c>
      <c r="T3042" s="1"/>
      <c r="U3042">
        <v>8.2899999999999991</v>
      </c>
      <c r="V3042">
        <v>0</v>
      </c>
      <c r="W3042">
        <v>57899</v>
      </c>
    </row>
    <row r="3043" spans="1:23" x14ac:dyDescent="0.25">
      <c r="A3043" s="1" t="s">
        <v>37</v>
      </c>
      <c r="B3043" s="1" t="s">
        <v>66</v>
      </c>
      <c r="C3043" s="1" t="s">
        <v>200</v>
      </c>
      <c r="D3043">
        <v>5473</v>
      </c>
      <c r="E3043" s="1"/>
      <c r="F3043" s="1" t="s">
        <v>254</v>
      </c>
      <c r="G3043">
        <v>2015</v>
      </c>
      <c r="H3043">
        <v>36.35</v>
      </c>
      <c r="I3043">
        <v>5</v>
      </c>
      <c r="J3043" s="1"/>
      <c r="K3043">
        <v>0</v>
      </c>
      <c r="L3043">
        <v>0</v>
      </c>
      <c r="M3043">
        <v>363.5</v>
      </c>
      <c r="N3043">
        <v>3</v>
      </c>
      <c r="O3043" s="1" t="s">
        <v>560</v>
      </c>
      <c r="P3043">
        <v>36.35</v>
      </c>
      <c r="Q3043">
        <v>29.08</v>
      </c>
      <c r="R3043">
        <v>1</v>
      </c>
      <c r="S3043" s="1" t="s">
        <v>691</v>
      </c>
      <c r="T3043" s="1"/>
      <c r="U3043">
        <v>36.35</v>
      </c>
      <c r="V3043">
        <v>0</v>
      </c>
      <c r="W3043">
        <v>57900</v>
      </c>
    </row>
    <row r="3044" spans="1:23" x14ac:dyDescent="0.25">
      <c r="A3044" s="1" t="s">
        <v>37</v>
      </c>
      <c r="B3044" s="1" t="s">
        <v>66</v>
      </c>
      <c r="C3044" s="1" t="s">
        <v>200</v>
      </c>
      <c r="D3044">
        <v>5473</v>
      </c>
      <c r="E3044" s="1"/>
      <c r="F3044" s="1" t="s">
        <v>254</v>
      </c>
      <c r="G3044">
        <v>2014</v>
      </c>
      <c r="H3044">
        <v>25.55</v>
      </c>
      <c r="I3044">
        <v>12</v>
      </c>
      <c r="J3044" s="1"/>
      <c r="K3044">
        <v>0</v>
      </c>
      <c r="L3044">
        <v>0</v>
      </c>
      <c r="M3044">
        <v>255.5</v>
      </c>
      <c r="N3044">
        <v>3</v>
      </c>
      <c r="O3044" s="1" t="s">
        <v>560</v>
      </c>
      <c r="P3044">
        <v>25.55</v>
      </c>
      <c r="Q3044">
        <v>20.43</v>
      </c>
      <c r="R3044">
        <v>1</v>
      </c>
      <c r="S3044" s="1" t="s">
        <v>685</v>
      </c>
      <c r="T3044" s="1"/>
      <c r="U3044">
        <v>25.55</v>
      </c>
      <c r="V3044">
        <v>0</v>
      </c>
      <c r="W3044">
        <v>57899</v>
      </c>
    </row>
    <row r="3045" spans="1:23" x14ac:dyDescent="0.25">
      <c r="A3045" s="1" t="s">
        <v>37</v>
      </c>
      <c r="B3045" s="1" t="s">
        <v>66</v>
      </c>
      <c r="C3045" s="1" t="s">
        <v>200</v>
      </c>
      <c r="D3045">
        <v>5473</v>
      </c>
      <c r="E3045" s="1"/>
      <c r="F3045" s="1" t="s">
        <v>254</v>
      </c>
      <c r="G3045">
        <v>2014</v>
      </c>
      <c r="H3045">
        <v>88.13</v>
      </c>
      <c r="I3045">
        <v>12</v>
      </c>
      <c r="J3045" s="1"/>
      <c r="K3045">
        <v>0</v>
      </c>
      <c r="L3045">
        <v>0</v>
      </c>
      <c r="M3045">
        <v>881.3</v>
      </c>
      <c r="N3045">
        <v>3</v>
      </c>
      <c r="O3045" s="1" t="s">
        <v>560</v>
      </c>
      <c r="P3045">
        <v>88.13</v>
      </c>
      <c r="Q3045">
        <v>70.510000000000005</v>
      </c>
      <c r="R3045">
        <v>1</v>
      </c>
      <c r="S3045" s="1" t="s">
        <v>691</v>
      </c>
      <c r="T3045" s="1"/>
      <c r="U3045">
        <v>88.13</v>
      </c>
      <c r="V3045">
        <v>0</v>
      </c>
      <c r="W3045">
        <v>57900</v>
      </c>
    </row>
    <row r="3046" spans="1:23" x14ac:dyDescent="0.25">
      <c r="A3046" s="1" t="s">
        <v>37</v>
      </c>
      <c r="B3046" s="1" t="s">
        <v>66</v>
      </c>
      <c r="C3046" s="1" t="s">
        <v>200</v>
      </c>
      <c r="D3046">
        <v>5473</v>
      </c>
      <c r="E3046" s="1"/>
      <c r="F3046" s="1" t="s">
        <v>254</v>
      </c>
      <c r="G3046">
        <v>2013</v>
      </c>
      <c r="H3046">
        <v>23.97</v>
      </c>
      <c r="I3046">
        <v>12</v>
      </c>
      <c r="J3046" s="1"/>
      <c r="K3046">
        <v>0</v>
      </c>
      <c r="L3046">
        <v>0</v>
      </c>
      <c r="M3046">
        <v>239.7</v>
      </c>
      <c r="N3046">
        <v>3</v>
      </c>
      <c r="O3046" s="1" t="s">
        <v>560</v>
      </c>
      <c r="P3046">
        <v>23.97</v>
      </c>
      <c r="Q3046">
        <v>19.170000000000002</v>
      </c>
      <c r="R3046">
        <v>1</v>
      </c>
      <c r="S3046" s="1" t="s">
        <v>685</v>
      </c>
      <c r="T3046" s="1"/>
      <c r="U3046">
        <v>23.97</v>
      </c>
      <c r="V3046">
        <v>0</v>
      </c>
      <c r="W3046">
        <v>57899</v>
      </c>
    </row>
    <row r="3047" spans="1:23" x14ac:dyDescent="0.25">
      <c r="A3047" s="1" t="s">
        <v>37</v>
      </c>
      <c r="B3047" s="1" t="s">
        <v>66</v>
      </c>
      <c r="C3047" s="1" t="s">
        <v>200</v>
      </c>
      <c r="D3047">
        <v>5473</v>
      </c>
      <c r="E3047" s="1"/>
      <c r="F3047" s="1" t="s">
        <v>254</v>
      </c>
      <c r="G3047">
        <v>2013</v>
      </c>
      <c r="H3047">
        <v>85.06</v>
      </c>
      <c r="I3047">
        <v>12</v>
      </c>
      <c r="J3047" s="1"/>
      <c r="K3047">
        <v>0</v>
      </c>
      <c r="L3047">
        <v>0</v>
      </c>
      <c r="M3047">
        <v>850.6</v>
      </c>
      <c r="N3047">
        <v>3</v>
      </c>
      <c r="O3047" s="1" t="s">
        <v>560</v>
      </c>
      <c r="P3047">
        <v>85.06</v>
      </c>
      <c r="Q3047">
        <v>68.05</v>
      </c>
      <c r="R3047">
        <v>1</v>
      </c>
      <c r="S3047" s="1" t="s">
        <v>691</v>
      </c>
      <c r="T3047" s="1"/>
      <c r="U3047">
        <v>85.06</v>
      </c>
      <c r="V3047">
        <v>0</v>
      </c>
      <c r="W3047">
        <v>57900</v>
      </c>
    </row>
    <row r="3048" spans="1:23" x14ac:dyDescent="0.25">
      <c r="A3048" s="1" t="s">
        <v>37</v>
      </c>
      <c r="B3048" s="1" t="s">
        <v>66</v>
      </c>
      <c r="C3048" s="1" t="s">
        <v>200</v>
      </c>
      <c r="D3048">
        <v>5473</v>
      </c>
      <c r="E3048" s="1"/>
      <c r="F3048" s="1" t="s">
        <v>254</v>
      </c>
      <c r="G3048">
        <v>2012</v>
      </c>
      <c r="H3048">
        <v>22.66</v>
      </c>
      <c r="I3048">
        <v>12</v>
      </c>
      <c r="J3048" s="1"/>
      <c r="K3048">
        <v>0</v>
      </c>
      <c r="L3048">
        <v>0</v>
      </c>
      <c r="M3048">
        <v>226.6</v>
      </c>
      <c r="N3048">
        <v>3</v>
      </c>
      <c r="O3048" s="1" t="s">
        <v>560</v>
      </c>
      <c r="P3048">
        <v>22.66</v>
      </c>
      <c r="Q3048">
        <v>18.13</v>
      </c>
      <c r="R3048">
        <v>1</v>
      </c>
      <c r="S3048" s="1" t="s">
        <v>685</v>
      </c>
      <c r="T3048" s="1"/>
      <c r="U3048">
        <v>22.66</v>
      </c>
      <c r="V3048">
        <v>0</v>
      </c>
      <c r="W3048">
        <v>57899</v>
      </c>
    </row>
    <row r="3049" spans="1:23" x14ac:dyDescent="0.25">
      <c r="A3049" s="1" t="s">
        <v>37</v>
      </c>
      <c r="B3049" s="1" t="s">
        <v>66</v>
      </c>
      <c r="C3049" s="1" t="s">
        <v>200</v>
      </c>
      <c r="D3049">
        <v>5473</v>
      </c>
      <c r="E3049" s="1"/>
      <c r="F3049" s="1" t="s">
        <v>254</v>
      </c>
      <c r="G3049">
        <v>2012</v>
      </c>
      <c r="H3049">
        <v>65.819999999999993</v>
      </c>
      <c r="I3049">
        <v>12</v>
      </c>
      <c r="J3049" s="1"/>
      <c r="K3049">
        <v>0</v>
      </c>
      <c r="L3049">
        <v>0</v>
      </c>
      <c r="M3049">
        <v>658.2</v>
      </c>
      <c r="N3049">
        <v>3</v>
      </c>
      <c r="O3049" s="1" t="s">
        <v>560</v>
      </c>
      <c r="P3049">
        <v>65.819999999999993</v>
      </c>
      <c r="Q3049">
        <v>52.65</v>
      </c>
      <c r="R3049">
        <v>1</v>
      </c>
      <c r="S3049" s="1" t="s">
        <v>691</v>
      </c>
      <c r="T3049" s="1"/>
      <c r="U3049">
        <v>65.819999999999993</v>
      </c>
      <c r="V3049">
        <v>0</v>
      </c>
      <c r="W3049">
        <v>57900</v>
      </c>
    </row>
    <row r="3050" spans="1:23" x14ac:dyDescent="0.25">
      <c r="A3050" s="1" t="s">
        <v>37</v>
      </c>
      <c r="B3050" s="1" t="s">
        <v>66</v>
      </c>
      <c r="C3050" s="1" t="s">
        <v>200</v>
      </c>
      <c r="D3050">
        <v>5473</v>
      </c>
      <c r="E3050" s="1"/>
      <c r="F3050" s="1" t="s">
        <v>254</v>
      </c>
      <c r="G3050">
        <v>2011</v>
      </c>
      <c r="H3050">
        <v>19.63</v>
      </c>
      <c r="I3050">
        <v>12</v>
      </c>
      <c r="J3050" s="1"/>
      <c r="K3050">
        <v>0</v>
      </c>
      <c r="L3050">
        <v>0</v>
      </c>
      <c r="M3050">
        <v>196.3</v>
      </c>
      <c r="N3050">
        <v>3</v>
      </c>
      <c r="O3050" s="1" t="s">
        <v>560</v>
      </c>
      <c r="P3050">
        <v>19.63</v>
      </c>
      <c r="Q3050">
        <v>15.7</v>
      </c>
      <c r="R3050">
        <v>1</v>
      </c>
      <c r="S3050" s="1" t="s">
        <v>685</v>
      </c>
      <c r="T3050" s="1"/>
      <c r="U3050">
        <v>19.63</v>
      </c>
      <c r="V3050">
        <v>0</v>
      </c>
      <c r="W3050">
        <v>57899</v>
      </c>
    </row>
    <row r="3051" spans="1:23" x14ac:dyDescent="0.25">
      <c r="A3051" s="1" t="s">
        <v>37</v>
      </c>
      <c r="B3051" s="1" t="s">
        <v>66</v>
      </c>
      <c r="C3051" s="1" t="s">
        <v>200</v>
      </c>
      <c r="D3051">
        <v>5473</v>
      </c>
      <c r="E3051" s="1"/>
      <c r="F3051" s="1" t="s">
        <v>254</v>
      </c>
      <c r="G3051">
        <v>2011</v>
      </c>
      <c r="H3051">
        <v>53.09</v>
      </c>
      <c r="I3051">
        <v>12</v>
      </c>
      <c r="J3051" s="1"/>
      <c r="K3051">
        <v>0</v>
      </c>
      <c r="L3051">
        <v>0</v>
      </c>
      <c r="M3051">
        <v>530.9</v>
      </c>
      <c r="N3051">
        <v>3</v>
      </c>
      <c r="O3051" s="1" t="s">
        <v>560</v>
      </c>
      <c r="P3051">
        <v>53.09</v>
      </c>
      <c r="Q3051">
        <v>42.48</v>
      </c>
      <c r="R3051">
        <v>1</v>
      </c>
      <c r="S3051" s="1" t="s">
        <v>691</v>
      </c>
      <c r="T3051" s="1"/>
      <c r="U3051">
        <v>53.09</v>
      </c>
      <c r="V3051">
        <v>0</v>
      </c>
      <c r="W3051">
        <v>57900</v>
      </c>
    </row>
    <row r="3052" spans="1:23" x14ac:dyDescent="0.25">
      <c r="A3052" s="1" t="s">
        <v>37</v>
      </c>
      <c r="B3052" s="1" t="s">
        <v>66</v>
      </c>
      <c r="C3052" s="1" t="s">
        <v>200</v>
      </c>
      <c r="D3052">
        <v>5473</v>
      </c>
      <c r="E3052" s="1"/>
      <c r="F3052" s="1" t="s">
        <v>254</v>
      </c>
      <c r="G3052">
        <v>2010</v>
      </c>
      <c r="H3052">
        <v>25.35</v>
      </c>
      <c r="I3052">
        <v>12</v>
      </c>
      <c r="J3052" s="1"/>
      <c r="K3052">
        <v>0</v>
      </c>
      <c r="L3052">
        <v>0</v>
      </c>
      <c r="M3052">
        <v>253.5</v>
      </c>
      <c r="N3052">
        <v>3</v>
      </c>
      <c r="O3052" s="1" t="s">
        <v>560</v>
      </c>
      <c r="P3052">
        <v>25.35</v>
      </c>
      <c r="Q3052">
        <v>20.28</v>
      </c>
      <c r="R3052">
        <v>1</v>
      </c>
      <c r="S3052" s="1" t="s">
        <v>685</v>
      </c>
      <c r="T3052" s="1"/>
      <c r="U3052">
        <v>25.35</v>
      </c>
      <c r="V3052">
        <v>0</v>
      </c>
      <c r="W3052">
        <v>57899</v>
      </c>
    </row>
    <row r="3053" spans="1:23" x14ac:dyDescent="0.25">
      <c r="A3053" s="1" t="s">
        <v>37</v>
      </c>
      <c r="B3053" s="1" t="s">
        <v>66</v>
      </c>
      <c r="C3053" s="1" t="s">
        <v>200</v>
      </c>
      <c r="D3053">
        <v>5473</v>
      </c>
      <c r="E3053" s="1"/>
      <c r="F3053" s="1" t="s">
        <v>254</v>
      </c>
      <c r="G3053">
        <v>2010</v>
      </c>
      <c r="H3053">
        <v>101.06</v>
      </c>
      <c r="I3053">
        <v>12</v>
      </c>
      <c r="J3053" s="1"/>
      <c r="K3053">
        <v>0</v>
      </c>
      <c r="L3053">
        <v>0</v>
      </c>
      <c r="M3053">
        <v>1010.6</v>
      </c>
      <c r="N3053">
        <v>3</v>
      </c>
      <c r="O3053" s="1" t="s">
        <v>560</v>
      </c>
      <c r="P3053">
        <v>101.06</v>
      </c>
      <c r="Q3053">
        <v>80.849999999999994</v>
      </c>
      <c r="R3053">
        <v>1</v>
      </c>
      <c r="S3053" s="1" t="s">
        <v>691</v>
      </c>
      <c r="T3053" s="1"/>
      <c r="U3053">
        <v>101.06</v>
      </c>
      <c r="V3053">
        <v>0</v>
      </c>
      <c r="W3053">
        <v>57900</v>
      </c>
    </row>
    <row r="3054" spans="1:23" x14ac:dyDescent="0.25">
      <c r="A3054" s="1" t="s">
        <v>37</v>
      </c>
      <c r="B3054" s="1" t="s">
        <v>66</v>
      </c>
      <c r="C3054" s="1" t="s">
        <v>200</v>
      </c>
      <c r="D3054">
        <v>5473</v>
      </c>
      <c r="E3054" s="1"/>
      <c r="F3054" s="1" t="s">
        <v>254</v>
      </c>
      <c r="G3054">
        <v>2009</v>
      </c>
      <c r="H3054">
        <v>29.8</v>
      </c>
      <c r="I3054">
        <v>12</v>
      </c>
      <c r="J3054" s="1"/>
      <c r="K3054">
        <v>0</v>
      </c>
      <c r="L3054">
        <v>0</v>
      </c>
      <c r="M3054">
        <v>298</v>
      </c>
      <c r="N3054">
        <v>3</v>
      </c>
      <c r="O3054" s="1" t="s">
        <v>560</v>
      </c>
      <c r="P3054">
        <v>29.8</v>
      </c>
      <c r="Q3054">
        <v>23.85</v>
      </c>
      <c r="R3054">
        <v>1</v>
      </c>
      <c r="S3054" s="1" t="s">
        <v>685</v>
      </c>
      <c r="T3054" s="1"/>
      <c r="U3054">
        <v>29.8</v>
      </c>
      <c r="V3054">
        <v>0</v>
      </c>
      <c r="W3054">
        <v>57899</v>
      </c>
    </row>
    <row r="3055" spans="1:23" x14ac:dyDescent="0.25">
      <c r="A3055" s="1" t="s">
        <v>37</v>
      </c>
      <c r="B3055" s="1" t="s">
        <v>66</v>
      </c>
      <c r="C3055" s="1" t="s">
        <v>200</v>
      </c>
      <c r="D3055">
        <v>5473</v>
      </c>
      <c r="E3055" s="1"/>
      <c r="F3055" s="1" t="s">
        <v>254</v>
      </c>
      <c r="G3055">
        <v>2009</v>
      </c>
      <c r="H3055">
        <v>65.7</v>
      </c>
      <c r="I3055">
        <v>12</v>
      </c>
      <c r="J3055" s="1"/>
      <c r="K3055">
        <v>0</v>
      </c>
      <c r="L3055">
        <v>0</v>
      </c>
      <c r="M3055">
        <v>657</v>
      </c>
      <c r="N3055">
        <v>3</v>
      </c>
      <c r="O3055" s="1" t="s">
        <v>560</v>
      </c>
      <c r="P3055">
        <v>65.7</v>
      </c>
      <c r="Q3055">
        <v>52.56</v>
      </c>
      <c r="R3055">
        <v>1</v>
      </c>
      <c r="S3055" s="1" t="s">
        <v>691</v>
      </c>
      <c r="T3055" s="1"/>
      <c r="U3055">
        <v>65.7</v>
      </c>
      <c r="V3055">
        <v>0</v>
      </c>
      <c r="W3055">
        <v>57900</v>
      </c>
    </row>
    <row r="3056" spans="1:23" x14ac:dyDescent="0.25">
      <c r="A3056" s="1" t="s">
        <v>37</v>
      </c>
      <c r="B3056" s="1" t="s">
        <v>66</v>
      </c>
      <c r="C3056" s="1" t="s">
        <v>200</v>
      </c>
      <c r="D3056">
        <v>5473</v>
      </c>
      <c r="E3056" s="1"/>
      <c r="F3056" s="1" t="s">
        <v>254</v>
      </c>
      <c r="G3056">
        <v>2008</v>
      </c>
      <c r="H3056">
        <v>30.86</v>
      </c>
      <c r="I3056">
        <v>12</v>
      </c>
      <c r="J3056" s="1"/>
      <c r="K3056">
        <v>0</v>
      </c>
      <c r="L3056">
        <v>0</v>
      </c>
      <c r="M3056">
        <v>308.60000000000002</v>
      </c>
      <c r="N3056">
        <v>3</v>
      </c>
      <c r="O3056" s="1" t="s">
        <v>560</v>
      </c>
      <c r="P3056">
        <v>30.86</v>
      </c>
      <c r="Q3056">
        <v>24.69</v>
      </c>
      <c r="R3056">
        <v>1</v>
      </c>
      <c r="S3056" s="1" t="s">
        <v>685</v>
      </c>
      <c r="T3056" s="1"/>
      <c r="U3056">
        <v>30.86</v>
      </c>
      <c r="V3056">
        <v>0</v>
      </c>
      <c r="W3056">
        <v>57899</v>
      </c>
    </row>
    <row r="3057" spans="1:23" x14ac:dyDescent="0.25">
      <c r="A3057" s="1" t="s">
        <v>37</v>
      </c>
      <c r="B3057" s="1" t="s">
        <v>66</v>
      </c>
      <c r="C3057" s="1" t="s">
        <v>200</v>
      </c>
      <c r="D3057">
        <v>5473</v>
      </c>
      <c r="E3057" s="1"/>
      <c r="F3057" s="1" t="s">
        <v>254</v>
      </c>
      <c r="G3057">
        <v>2008</v>
      </c>
      <c r="H3057">
        <v>88.68</v>
      </c>
      <c r="I3057">
        <v>12</v>
      </c>
      <c r="J3057" s="1"/>
      <c r="K3057">
        <v>0</v>
      </c>
      <c r="L3057">
        <v>0</v>
      </c>
      <c r="M3057">
        <v>886.8</v>
      </c>
      <c r="N3057">
        <v>3</v>
      </c>
      <c r="O3057" s="1" t="s">
        <v>560</v>
      </c>
      <c r="P3057">
        <v>88.68</v>
      </c>
      <c r="Q3057">
        <v>70.94</v>
      </c>
      <c r="R3057">
        <v>1</v>
      </c>
      <c r="S3057" s="1" t="s">
        <v>691</v>
      </c>
      <c r="T3057" s="1"/>
      <c r="U3057">
        <v>88.68</v>
      </c>
      <c r="V3057">
        <v>0</v>
      </c>
      <c r="W3057">
        <v>57900</v>
      </c>
    </row>
    <row r="3058" spans="1:23" x14ac:dyDescent="0.25">
      <c r="A3058" s="1" t="s">
        <v>37</v>
      </c>
      <c r="B3058" s="1" t="s">
        <v>66</v>
      </c>
      <c r="C3058" s="1" t="s">
        <v>200</v>
      </c>
      <c r="D3058">
        <v>5471</v>
      </c>
      <c r="E3058" s="1"/>
      <c r="F3058" s="1" t="s">
        <v>335</v>
      </c>
      <c r="G3058">
        <v>2015</v>
      </c>
      <c r="H3058">
        <v>551.99</v>
      </c>
      <c r="I3058">
        <v>5</v>
      </c>
      <c r="J3058" s="1" t="s">
        <v>393</v>
      </c>
      <c r="K3058">
        <v>0</v>
      </c>
      <c r="L3058">
        <v>8656</v>
      </c>
      <c r="M3058">
        <v>6.3768000000000005E-2</v>
      </c>
      <c r="N3058">
        <v>3</v>
      </c>
      <c r="O3058" s="1" t="s">
        <v>560</v>
      </c>
      <c r="P3058">
        <v>551.99</v>
      </c>
      <c r="Q3058">
        <v>441.58</v>
      </c>
      <c r="R3058">
        <v>0</v>
      </c>
      <c r="S3058" s="1" t="s">
        <v>692</v>
      </c>
      <c r="T3058" s="1"/>
      <c r="U3058">
        <v>551.99</v>
      </c>
      <c r="V3058">
        <v>0</v>
      </c>
      <c r="W3058">
        <v>57892</v>
      </c>
    </row>
    <row r="3059" spans="1:23" x14ac:dyDescent="0.25">
      <c r="A3059" s="1" t="s">
        <v>37</v>
      </c>
      <c r="B3059" s="1" t="s">
        <v>66</v>
      </c>
      <c r="C3059" s="1" t="s">
        <v>200</v>
      </c>
      <c r="D3059">
        <v>5471</v>
      </c>
      <c r="E3059" s="1"/>
      <c r="F3059" s="1" t="s">
        <v>335</v>
      </c>
      <c r="G3059">
        <v>2014</v>
      </c>
      <c r="H3059">
        <v>1530.31</v>
      </c>
      <c r="I3059">
        <v>12</v>
      </c>
      <c r="J3059" s="1" t="s">
        <v>393</v>
      </c>
      <c r="K3059">
        <v>0</v>
      </c>
      <c r="L3059">
        <v>8656</v>
      </c>
      <c r="M3059">
        <v>0.176789</v>
      </c>
      <c r="N3059">
        <v>3</v>
      </c>
      <c r="O3059" s="1" t="s">
        <v>560</v>
      </c>
      <c r="P3059">
        <v>1530.31</v>
      </c>
      <c r="Q3059">
        <v>1224.25</v>
      </c>
      <c r="R3059">
        <v>0</v>
      </c>
      <c r="S3059" s="1" t="s">
        <v>692</v>
      </c>
      <c r="T3059" s="1"/>
      <c r="U3059">
        <v>1530.31</v>
      </c>
      <c r="V3059">
        <v>0</v>
      </c>
      <c r="W3059">
        <v>57892</v>
      </c>
    </row>
    <row r="3060" spans="1:23" x14ac:dyDescent="0.25">
      <c r="A3060" s="1" t="s">
        <v>37</v>
      </c>
      <c r="B3060" s="1" t="s">
        <v>66</v>
      </c>
      <c r="C3060" s="1" t="s">
        <v>200</v>
      </c>
      <c r="D3060">
        <v>5471</v>
      </c>
      <c r="E3060" s="1"/>
      <c r="F3060" s="1" t="s">
        <v>335</v>
      </c>
      <c r="G3060">
        <v>2013</v>
      </c>
      <c r="H3060">
        <v>1498.63</v>
      </c>
      <c r="I3060">
        <v>12</v>
      </c>
      <c r="J3060" s="1" t="s">
        <v>393</v>
      </c>
      <c r="K3060">
        <v>0</v>
      </c>
      <c r="L3060">
        <v>8656</v>
      </c>
      <c r="M3060">
        <v>0.17312900000000001</v>
      </c>
      <c r="N3060">
        <v>3</v>
      </c>
      <c r="O3060" s="1" t="s">
        <v>560</v>
      </c>
      <c r="P3060">
        <v>1498.63</v>
      </c>
      <c r="Q3060">
        <v>1198.9100000000001</v>
      </c>
      <c r="R3060">
        <v>0</v>
      </c>
      <c r="S3060" s="1" t="s">
        <v>692</v>
      </c>
      <c r="T3060" s="1"/>
      <c r="U3060">
        <v>1498.63</v>
      </c>
      <c r="V3060">
        <v>0</v>
      </c>
      <c r="W3060">
        <v>57892</v>
      </c>
    </row>
    <row r="3061" spans="1:23" x14ac:dyDescent="0.25">
      <c r="A3061" s="1" t="s">
        <v>37</v>
      </c>
      <c r="B3061" s="1" t="s">
        <v>66</v>
      </c>
      <c r="C3061" s="1" t="s">
        <v>200</v>
      </c>
      <c r="D3061">
        <v>5471</v>
      </c>
      <c r="E3061" s="1"/>
      <c r="F3061" s="1" t="s">
        <v>335</v>
      </c>
      <c r="G3061">
        <v>2012</v>
      </c>
      <c r="H3061">
        <v>1513.88</v>
      </c>
      <c r="I3061">
        <v>12</v>
      </c>
      <c r="J3061" s="1" t="s">
        <v>393</v>
      </c>
      <c r="K3061">
        <v>0</v>
      </c>
      <c r="L3061">
        <v>8656</v>
      </c>
      <c r="M3061">
        <v>0.17489099999999999</v>
      </c>
      <c r="N3061">
        <v>3</v>
      </c>
      <c r="O3061" s="1" t="s">
        <v>560</v>
      </c>
      <c r="P3061">
        <v>1513.88</v>
      </c>
      <c r="Q3061">
        <v>1211.0999999999999</v>
      </c>
      <c r="R3061">
        <v>0</v>
      </c>
      <c r="S3061" s="1" t="s">
        <v>692</v>
      </c>
      <c r="T3061" s="1"/>
      <c r="U3061">
        <v>1513.88</v>
      </c>
      <c r="V3061">
        <v>0</v>
      </c>
      <c r="W3061">
        <v>57892</v>
      </c>
    </row>
    <row r="3062" spans="1:23" x14ac:dyDescent="0.25">
      <c r="A3062" s="1" t="s">
        <v>37</v>
      </c>
      <c r="B3062" s="1" t="s">
        <v>66</v>
      </c>
      <c r="C3062" s="1" t="s">
        <v>200</v>
      </c>
      <c r="D3062">
        <v>5471</v>
      </c>
      <c r="E3062" s="1"/>
      <c r="F3062" s="1" t="s">
        <v>335</v>
      </c>
      <c r="G3062">
        <v>2011</v>
      </c>
      <c r="H3062">
        <v>1375.76</v>
      </c>
      <c r="I3062">
        <v>12</v>
      </c>
      <c r="J3062" s="1" t="s">
        <v>393</v>
      </c>
      <c r="K3062">
        <v>0</v>
      </c>
      <c r="L3062">
        <v>8656</v>
      </c>
      <c r="M3062">
        <v>0.15893499999999999</v>
      </c>
      <c r="N3062">
        <v>3</v>
      </c>
      <c r="O3062" s="1" t="s">
        <v>560</v>
      </c>
      <c r="P3062">
        <v>1375.76</v>
      </c>
      <c r="Q3062">
        <v>1100.5999999999999</v>
      </c>
      <c r="R3062">
        <v>0</v>
      </c>
      <c r="S3062" s="1" t="s">
        <v>692</v>
      </c>
      <c r="T3062" s="1"/>
      <c r="U3062">
        <v>1375.76</v>
      </c>
      <c r="V3062">
        <v>0</v>
      </c>
      <c r="W3062">
        <v>57892</v>
      </c>
    </row>
    <row r="3063" spans="1:23" x14ac:dyDescent="0.25">
      <c r="A3063" s="1" t="s">
        <v>37</v>
      </c>
      <c r="B3063" s="1" t="s">
        <v>66</v>
      </c>
      <c r="C3063" s="1" t="s">
        <v>200</v>
      </c>
      <c r="D3063">
        <v>5471</v>
      </c>
      <c r="E3063" s="1"/>
      <c r="F3063" s="1" t="s">
        <v>335</v>
      </c>
      <c r="G3063">
        <v>2010</v>
      </c>
      <c r="H3063">
        <v>1609.5</v>
      </c>
      <c r="I3063">
        <v>12</v>
      </c>
      <c r="J3063" s="1" t="s">
        <v>393</v>
      </c>
      <c r="K3063">
        <v>0</v>
      </c>
      <c r="L3063">
        <v>8656</v>
      </c>
      <c r="M3063">
        <v>0.18593799999999999</v>
      </c>
      <c r="N3063">
        <v>3</v>
      </c>
      <c r="O3063" s="1" t="s">
        <v>560</v>
      </c>
      <c r="P3063">
        <v>1609.5</v>
      </c>
      <c r="Q3063">
        <v>1287.5999999999999</v>
      </c>
      <c r="R3063">
        <v>0</v>
      </c>
      <c r="S3063" s="1" t="s">
        <v>692</v>
      </c>
      <c r="T3063" s="1"/>
      <c r="U3063">
        <v>1609.5</v>
      </c>
      <c r="V3063">
        <v>0</v>
      </c>
      <c r="W3063">
        <v>57892</v>
      </c>
    </row>
    <row r="3064" spans="1:23" x14ac:dyDescent="0.25">
      <c r="A3064" s="1" t="s">
        <v>37</v>
      </c>
      <c r="B3064" s="1" t="s">
        <v>66</v>
      </c>
      <c r="C3064" s="1" t="s">
        <v>200</v>
      </c>
      <c r="D3064">
        <v>5471</v>
      </c>
      <c r="E3064" s="1"/>
      <c r="F3064" s="1" t="s">
        <v>335</v>
      </c>
      <c r="G3064">
        <v>2009</v>
      </c>
      <c r="H3064">
        <v>1634.61</v>
      </c>
      <c r="I3064">
        <v>12</v>
      </c>
      <c r="J3064" s="1" t="s">
        <v>393</v>
      </c>
      <c r="K3064">
        <v>0</v>
      </c>
      <c r="L3064">
        <v>8656</v>
      </c>
      <c r="M3064">
        <v>0.18883900000000001</v>
      </c>
      <c r="N3064">
        <v>3</v>
      </c>
      <c r="O3064" s="1" t="s">
        <v>560</v>
      </c>
      <c r="P3064">
        <v>1634.61</v>
      </c>
      <c r="Q3064">
        <v>1307.69</v>
      </c>
      <c r="R3064">
        <v>0</v>
      </c>
      <c r="S3064" s="1" t="s">
        <v>692</v>
      </c>
      <c r="T3064" s="1"/>
      <c r="U3064">
        <v>1634.61</v>
      </c>
      <c r="V3064">
        <v>0</v>
      </c>
      <c r="W3064">
        <v>57892</v>
      </c>
    </row>
    <row r="3065" spans="1:23" x14ac:dyDescent="0.25">
      <c r="A3065" s="1" t="s">
        <v>37</v>
      </c>
      <c r="B3065" s="1" t="s">
        <v>66</v>
      </c>
      <c r="C3065" s="1" t="s">
        <v>200</v>
      </c>
      <c r="D3065">
        <v>5471</v>
      </c>
      <c r="E3065" s="1"/>
      <c r="F3065" s="1" t="s">
        <v>335</v>
      </c>
      <c r="G3065">
        <v>2008</v>
      </c>
      <c r="H3065">
        <v>1530.07</v>
      </c>
      <c r="I3065">
        <v>12</v>
      </c>
      <c r="J3065" s="1" t="s">
        <v>393</v>
      </c>
      <c r="K3065">
        <v>0</v>
      </c>
      <c r="L3065">
        <v>8656</v>
      </c>
      <c r="M3065">
        <v>0.176762</v>
      </c>
      <c r="N3065">
        <v>3</v>
      </c>
      <c r="O3065" s="1" t="s">
        <v>560</v>
      </c>
      <c r="P3065">
        <v>1530.07</v>
      </c>
      <c r="Q3065">
        <v>1224.05</v>
      </c>
      <c r="R3065">
        <v>0</v>
      </c>
      <c r="S3065" s="1" t="s">
        <v>692</v>
      </c>
      <c r="T3065" s="1"/>
      <c r="U3065">
        <v>1530.07</v>
      </c>
      <c r="V3065">
        <v>0</v>
      </c>
      <c r="W3065">
        <v>57892</v>
      </c>
    </row>
    <row r="3066" spans="1:23" x14ac:dyDescent="0.25">
      <c r="A3066" s="1" t="s">
        <v>37</v>
      </c>
      <c r="B3066" s="1"/>
      <c r="C3066" s="1" t="s">
        <v>201</v>
      </c>
      <c r="D3066">
        <v>9223</v>
      </c>
      <c r="E3066" s="1"/>
      <c r="F3066" s="1" t="s">
        <v>336</v>
      </c>
      <c r="G3066">
        <v>2015</v>
      </c>
      <c r="H3066">
        <v>433.82</v>
      </c>
      <c r="I3066">
        <v>5</v>
      </c>
      <c r="J3066" s="1"/>
      <c r="K3066">
        <v>0</v>
      </c>
      <c r="L3066">
        <v>7936</v>
      </c>
      <c r="M3066">
        <v>5.4663999999999997E-2</v>
      </c>
      <c r="N3066">
        <v>3</v>
      </c>
      <c r="O3066" s="1" t="s">
        <v>560</v>
      </c>
      <c r="P3066">
        <v>433.82</v>
      </c>
      <c r="Q3066">
        <v>347.04</v>
      </c>
      <c r="R3066">
        <v>0</v>
      </c>
      <c r="S3066" s="1"/>
      <c r="T3066" s="1"/>
      <c r="U3066">
        <v>433.81</v>
      </c>
      <c r="V3066">
        <v>0</v>
      </c>
      <c r="W3066">
        <v>72739</v>
      </c>
    </row>
    <row r="3067" spans="1:23" x14ac:dyDescent="0.25">
      <c r="A3067" s="1" t="s">
        <v>37</v>
      </c>
      <c r="B3067" s="1"/>
      <c r="C3067" s="1" t="s">
        <v>201</v>
      </c>
      <c r="D3067">
        <v>9223</v>
      </c>
      <c r="E3067" s="1"/>
      <c r="F3067" s="1" t="s">
        <v>336</v>
      </c>
      <c r="G3067">
        <v>2014</v>
      </c>
      <c r="H3067">
        <v>943.26</v>
      </c>
      <c r="I3067">
        <v>12</v>
      </c>
      <c r="J3067" s="1"/>
      <c r="K3067">
        <v>0</v>
      </c>
      <c r="L3067">
        <v>7936</v>
      </c>
      <c r="M3067">
        <v>0.118856</v>
      </c>
      <c r="N3067">
        <v>3</v>
      </c>
      <c r="O3067" s="1" t="s">
        <v>560</v>
      </c>
      <c r="P3067">
        <v>943.26</v>
      </c>
      <c r="Q3067">
        <v>754.61</v>
      </c>
      <c r="R3067">
        <v>0</v>
      </c>
      <c r="S3067" s="1"/>
      <c r="T3067" s="1"/>
      <c r="U3067">
        <v>943.27499999999998</v>
      </c>
      <c r="V3067">
        <v>0</v>
      </c>
      <c r="W3067">
        <v>72739</v>
      </c>
    </row>
    <row r="3068" spans="1:23" x14ac:dyDescent="0.25">
      <c r="A3068" s="1" t="s">
        <v>37</v>
      </c>
      <c r="B3068" s="1"/>
      <c r="C3068" s="1" t="s">
        <v>201</v>
      </c>
      <c r="D3068">
        <v>9223</v>
      </c>
      <c r="E3068" s="1"/>
      <c r="F3068" s="1" t="s">
        <v>336</v>
      </c>
      <c r="G3068">
        <v>2013</v>
      </c>
      <c r="H3068">
        <v>1151.01</v>
      </c>
      <c r="I3068">
        <v>12</v>
      </c>
      <c r="J3068" s="1"/>
      <c r="K3068">
        <v>0</v>
      </c>
      <c r="L3068">
        <v>7936</v>
      </c>
      <c r="M3068">
        <v>0.145034</v>
      </c>
      <c r="N3068">
        <v>3</v>
      </c>
      <c r="O3068" s="1" t="s">
        <v>560</v>
      </c>
      <c r="P3068">
        <v>1151.01</v>
      </c>
      <c r="Q3068">
        <v>920.8</v>
      </c>
      <c r="R3068">
        <v>0</v>
      </c>
      <c r="S3068" s="1"/>
      <c r="T3068" s="1"/>
      <c r="U3068">
        <v>1150.999</v>
      </c>
      <c r="V3068">
        <v>0</v>
      </c>
      <c r="W3068">
        <v>72739</v>
      </c>
    </row>
    <row r="3069" spans="1:23" x14ac:dyDescent="0.25">
      <c r="A3069" s="1" t="s">
        <v>37</v>
      </c>
      <c r="B3069" s="1"/>
      <c r="C3069" s="1" t="s">
        <v>201</v>
      </c>
      <c r="D3069">
        <v>9223</v>
      </c>
      <c r="E3069" s="1"/>
      <c r="F3069" s="1" t="s">
        <v>336</v>
      </c>
      <c r="G3069">
        <v>2012</v>
      </c>
      <c r="H3069">
        <v>1165.83</v>
      </c>
      <c r="I3069">
        <v>12</v>
      </c>
      <c r="J3069" s="1"/>
      <c r="K3069">
        <v>0</v>
      </c>
      <c r="L3069">
        <v>7936</v>
      </c>
      <c r="M3069">
        <v>0.146902</v>
      </c>
      <c r="N3069">
        <v>3</v>
      </c>
      <c r="O3069" s="1" t="s">
        <v>560</v>
      </c>
      <c r="P3069">
        <v>1165.83</v>
      </c>
      <c r="Q3069">
        <v>932.64</v>
      </c>
      <c r="R3069">
        <v>0</v>
      </c>
      <c r="S3069" s="1"/>
      <c r="T3069" s="1"/>
      <c r="U3069">
        <v>1165.8340000000001</v>
      </c>
      <c r="V3069">
        <v>0</v>
      </c>
      <c r="W3069">
        <v>72739</v>
      </c>
    </row>
    <row r="3070" spans="1:23" x14ac:dyDescent="0.25">
      <c r="A3070" s="1" t="s">
        <v>37</v>
      </c>
      <c r="B3070" s="1"/>
      <c r="C3070" s="1" t="s">
        <v>201</v>
      </c>
      <c r="D3070">
        <v>9223</v>
      </c>
      <c r="E3070" s="1"/>
      <c r="F3070" s="1" t="s">
        <v>336</v>
      </c>
      <c r="G3070">
        <v>2011</v>
      </c>
      <c r="H3070">
        <v>1024.08</v>
      </c>
      <c r="I3070">
        <v>12</v>
      </c>
      <c r="J3070" s="1"/>
      <c r="K3070">
        <v>0</v>
      </c>
      <c r="L3070">
        <v>7936</v>
      </c>
      <c r="M3070">
        <v>0.12903999999999999</v>
      </c>
      <c r="N3070">
        <v>3</v>
      </c>
      <c r="O3070" s="1" t="s">
        <v>560</v>
      </c>
      <c r="P3070">
        <v>1024.08</v>
      </c>
      <c r="Q3070">
        <v>819.25</v>
      </c>
      <c r="R3070">
        <v>0</v>
      </c>
      <c r="S3070" s="1"/>
      <c r="T3070" s="1"/>
      <c r="U3070">
        <v>1024.0740000000001</v>
      </c>
      <c r="V3070">
        <v>0</v>
      </c>
      <c r="W3070">
        <v>72739</v>
      </c>
    </row>
    <row r="3071" spans="1:23" x14ac:dyDescent="0.25">
      <c r="A3071" s="1" t="s">
        <v>37</v>
      </c>
      <c r="B3071" s="1"/>
      <c r="C3071" s="1" t="s">
        <v>201</v>
      </c>
      <c r="D3071">
        <v>9223</v>
      </c>
      <c r="E3071" s="1"/>
      <c r="F3071" s="1" t="s">
        <v>336</v>
      </c>
      <c r="G3071">
        <v>2010</v>
      </c>
      <c r="H3071">
        <v>1198.06</v>
      </c>
      <c r="I3071">
        <v>12</v>
      </c>
      <c r="J3071" s="1"/>
      <c r="K3071">
        <v>0</v>
      </c>
      <c r="L3071">
        <v>7936</v>
      </c>
      <c r="M3071">
        <v>0.15096300000000001</v>
      </c>
      <c r="N3071">
        <v>3</v>
      </c>
      <c r="O3071" s="1" t="s">
        <v>560</v>
      </c>
      <c r="P3071">
        <v>1198.06</v>
      </c>
      <c r="Q3071">
        <v>958.46</v>
      </c>
      <c r="R3071">
        <v>0</v>
      </c>
      <c r="S3071" s="1"/>
      <c r="T3071" s="1"/>
      <c r="U3071">
        <v>1198.0630000000001</v>
      </c>
      <c r="V3071">
        <v>0</v>
      </c>
      <c r="W3071">
        <v>72739</v>
      </c>
    </row>
    <row r="3072" spans="1:23" x14ac:dyDescent="0.25">
      <c r="A3072" s="1" t="s">
        <v>37</v>
      </c>
      <c r="B3072" s="1"/>
      <c r="C3072" s="1" t="s">
        <v>201</v>
      </c>
      <c r="D3072">
        <v>9223</v>
      </c>
      <c r="E3072" s="1"/>
      <c r="F3072" s="1" t="s">
        <v>336</v>
      </c>
      <c r="G3072">
        <v>2009</v>
      </c>
      <c r="H3072">
        <v>1387.62</v>
      </c>
      <c r="I3072">
        <v>12</v>
      </c>
      <c r="J3072" s="1"/>
      <c r="K3072">
        <v>0</v>
      </c>
      <c r="L3072">
        <v>7936</v>
      </c>
      <c r="M3072">
        <v>0.174849</v>
      </c>
      <c r="N3072">
        <v>3</v>
      </c>
      <c r="O3072" s="1" t="s">
        <v>560</v>
      </c>
      <c r="P3072">
        <v>1387.62</v>
      </c>
      <c r="Q3072">
        <v>1110.08</v>
      </c>
      <c r="R3072">
        <v>0</v>
      </c>
      <c r="S3072" s="1"/>
      <c r="T3072" s="1"/>
      <c r="U3072">
        <v>1387.614</v>
      </c>
      <c r="V3072">
        <v>0</v>
      </c>
      <c r="W3072">
        <v>72739</v>
      </c>
    </row>
    <row r="3073" spans="1:23" x14ac:dyDescent="0.25">
      <c r="A3073" s="1" t="s">
        <v>37</v>
      </c>
      <c r="B3073" s="1"/>
      <c r="C3073" s="1" t="s">
        <v>201</v>
      </c>
      <c r="D3073">
        <v>9223</v>
      </c>
      <c r="E3073" s="1"/>
      <c r="F3073" s="1" t="s">
        <v>336</v>
      </c>
      <c r="G3073">
        <v>2008</v>
      </c>
      <c r="H3073">
        <v>1442.75</v>
      </c>
      <c r="I3073">
        <v>12</v>
      </c>
      <c r="J3073" s="1"/>
      <c r="K3073">
        <v>0</v>
      </c>
      <c r="L3073">
        <v>7936</v>
      </c>
      <c r="M3073">
        <v>0.18179500000000001</v>
      </c>
      <c r="N3073">
        <v>3</v>
      </c>
      <c r="O3073" s="1" t="s">
        <v>560</v>
      </c>
      <c r="P3073">
        <v>1442.75</v>
      </c>
      <c r="Q3073">
        <v>1154.23</v>
      </c>
      <c r="R3073">
        <v>0</v>
      </c>
      <c r="S3073" s="1"/>
      <c r="T3073" s="1"/>
      <c r="U3073">
        <v>1442.77</v>
      </c>
      <c r="V3073">
        <v>0</v>
      </c>
      <c r="W3073">
        <v>72739</v>
      </c>
    </row>
    <row r="3074" spans="1:23" x14ac:dyDescent="0.25">
      <c r="A3074" s="1" t="s">
        <v>37</v>
      </c>
      <c r="B3074" s="1"/>
      <c r="C3074" s="1" t="s">
        <v>202</v>
      </c>
      <c r="D3074">
        <v>10321</v>
      </c>
      <c r="E3074" s="1"/>
      <c r="F3074" s="1" t="s">
        <v>337</v>
      </c>
      <c r="G3074">
        <v>2015</v>
      </c>
      <c r="H3074">
        <v>8.8699999999999992</v>
      </c>
      <c r="I3074">
        <v>5</v>
      </c>
      <c r="J3074" s="1" t="s">
        <v>411</v>
      </c>
      <c r="K3074">
        <v>0</v>
      </c>
      <c r="L3074">
        <v>126</v>
      </c>
      <c r="M3074">
        <v>7.034E-2</v>
      </c>
      <c r="N3074">
        <v>3</v>
      </c>
      <c r="O3074" s="1" t="s">
        <v>560</v>
      </c>
      <c r="P3074">
        <v>8.8699999999999992</v>
      </c>
      <c r="Q3074">
        <v>7.1</v>
      </c>
      <c r="R3074">
        <v>0</v>
      </c>
      <c r="S3074" s="1" t="s">
        <v>693</v>
      </c>
      <c r="T3074" s="1"/>
      <c r="U3074">
        <v>8.8770000000000007</v>
      </c>
      <c r="V3074">
        <v>0</v>
      </c>
      <c r="W3074">
        <v>77809</v>
      </c>
    </row>
    <row r="3075" spans="1:23" x14ac:dyDescent="0.25">
      <c r="A3075" s="1" t="s">
        <v>37</v>
      </c>
      <c r="B3075" s="1"/>
      <c r="C3075" s="1" t="s">
        <v>202</v>
      </c>
      <c r="D3075">
        <v>10321</v>
      </c>
      <c r="E3075" s="1"/>
      <c r="F3075" s="1" t="s">
        <v>337</v>
      </c>
      <c r="G3075">
        <v>2014</v>
      </c>
      <c r="H3075">
        <v>28.37</v>
      </c>
      <c r="I3075">
        <v>12</v>
      </c>
      <c r="J3075" s="1" t="s">
        <v>411</v>
      </c>
      <c r="K3075">
        <v>0</v>
      </c>
      <c r="L3075">
        <v>126</v>
      </c>
      <c r="M3075">
        <v>0.22498000000000001</v>
      </c>
      <c r="N3075">
        <v>3</v>
      </c>
      <c r="O3075" s="1" t="s">
        <v>560</v>
      </c>
      <c r="P3075">
        <v>28.37</v>
      </c>
      <c r="Q3075">
        <v>22.69</v>
      </c>
      <c r="R3075">
        <v>0</v>
      </c>
      <c r="S3075" s="1" t="s">
        <v>693</v>
      </c>
      <c r="T3075" s="1"/>
      <c r="U3075">
        <v>28.381</v>
      </c>
      <c r="V3075">
        <v>0</v>
      </c>
      <c r="W3075">
        <v>77809</v>
      </c>
    </row>
    <row r="3076" spans="1:23" x14ac:dyDescent="0.25">
      <c r="A3076" s="1" t="s">
        <v>37</v>
      </c>
      <c r="B3076" s="1"/>
      <c r="C3076" s="1" t="s">
        <v>202</v>
      </c>
      <c r="D3076">
        <v>10321</v>
      </c>
      <c r="E3076" s="1"/>
      <c r="F3076" s="1" t="s">
        <v>337</v>
      </c>
      <c r="G3076">
        <v>2013</v>
      </c>
      <c r="H3076">
        <v>16.579999999999998</v>
      </c>
      <c r="I3076">
        <v>12</v>
      </c>
      <c r="J3076" s="1" t="s">
        <v>411</v>
      </c>
      <c r="K3076">
        <v>0</v>
      </c>
      <c r="L3076">
        <v>126</v>
      </c>
      <c r="M3076">
        <v>0.13148199999999999</v>
      </c>
      <c r="N3076">
        <v>3</v>
      </c>
      <c r="O3076" s="1" t="s">
        <v>560</v>
      </c>
      <c r="P3076">
        <v>16.579999999999998</v>
      </c>
      <c r="Q3076">
        <v>13.27</v>
      </c>
      <c r="R3076">
        <v>0</v>
      </c>
      <c r="S3076" s="1" t="s">
        <v>693</v>
      </c>
      <c r="T3076" s="1"/>
      <c r="U3076">
        <v>16.596</v>
      </c>
      <c r="V3076">
        <v>0</v>
      </c>
      <c r="W3076">
        <v>77809</v>
      </c>
    </row>
    <row r="3077" spans="1:23" x14ac:dyDescent="0.25">
      <c r="A3077" s="1" t="s">
        <v>37</v>
      </c>
      <c r="B3077" s="1"/>
      <c r="C3077" s="1" t="s">
        <v>202</v>
      </c>
      <c r="D3077">
        <v>10321</v>
      </c>
      <c r="E3077" s="1"/>
      <c r="F3077" s="1" t="s">
        <v>337</v>
      </c>
      <c r="G3077">
        <v>2012</v>
      </c>
      <c r="H3077">
        <v>29.17</v>
      </c>
      <c r="I3077">
        <v>12</v>
      </c>
      <c r="J3077" s="1" t="s">
        <v>411</v>
      </c>
      <c r="K3077">
        <v>0</v>
      </c>
      <c r="L3077">
        <v>126</v>
      </c>
      <c r="M3077">
        <v>0.231324</v>
      </c>
      <c r="N3077">
        <v>3</v>
      </c>
      <c r="O3077" s="1" t="s">
        <v>560</v>
      </c>
      <c r="P3077">
        <v>29.17</v>
      </c>
      <c r="Q3077">
        <v>23.34</v>
      </c>
      <c r="R3077">
        <v>0</v>
      </c>
      <c r="S3077" s="1" t="s">
        <v>693</v>
      </c>
      <c r="T3077" s="1"/>
      <c r="U3077">
        <v>29.161180000000002</v>
      </c>
      <c r="V3077">
        <v>0</v>
      </c>
      <c r="W3077">
        <v>77809</v>
      </c>
    </row>
    <row r="3078" spans="1:23" x14ac:dyDescent="0.25">
      <c r="A3078" s="1" t="s">
        <v>37</v>
      </c>
      <c r="B3078" s="1"/>
      <c r="C3078" s="1" t="s">
        <v>202</v>
      </c>
      <c r="D3078">
        <v>10321</v>
      </c>
      <c r="E3078" s="1"/>
      <c r="F3078" s="1" t="s">
        <v>337</v>
      </c>
      <c r="G3078">
        <v>2011</v>
      </c>
      <c r="H3078">
        <v>46.18</v>
      </c>
      <c r="I3078">
        <v>4</v>
      </c>
      <c r="J3078" s="1" t="s">
        <v>411</v>
      </c>
      <c r="K3078">
        <v>0</v>
      </c>
      <c r="L3078">
        <v>126</v>
      </c>
      <c r="M3078">
        <v>0.36621700000000001</v>
      </c>
      <c r="N3078">
        <v>3</v>
      </c>
      <c r="O3078" s="1" t="s">
        <v>560</v>
      </c>
      <c r="P3078">
        <v>46.18</v>
      </c>
      <c r="Q3078">
        <v>36.96</v>
      </c>
      <c r="R3078">
        <v>0</v>
      </c>
      <c r="S3078" s="1" t="s">
        <v>693</v>
      </c>
      <c r="T3078" s="1"/>
      <c r="U3078">
        <v>46.181820000000002</v>
      </c>
      <c r="V3078">
        <v>0</v>
      </c>
      <c r="W3078">
        <v>77809</v>
      </c>
    </row>
    <row r="3079" spans="1:23" x14ac:dyDescent="0.25">
      <c r="A3079" s="1" t="s">
        <v>37</v>
      </c>
      <c r="B3079" s="1"/>
      <c r="C3079" s="1" t="s">
        <v>202</v>
      </c>
      <c r="D3079">
        <v>10321</v>
      </c>
      <c r="E3079" s="1"/>
      <c r="F3079" s="1" t="s">
        <v>337</v>
      </c>
      <c r="G3079">
        <v>2010</v>
      </c>
      <c r="H3079">
        <v>15.92</v>
      </c>
      <c r="I3079">
        <v>3</v>
      </c>
      <c r="J3079" s="1" t="s">
        <v>411</v>
      </c>
      <c r="K3079">
        <v>0</v>
      </c>
      <c r="L3079">
        <v>126</v>
      </c>
      <c r="M3079">
        <v>0.126249</v>
      </c>
      <c r="N3079">
        <v>3</v>
      </c>
      <c r="O3079" s="1" t="s">
        <v>560</v>
      </c>
      <c r="P3079">
        <v>15.92</v>
      </c>
      <c r="Q3079">
        <v>12.74</v>
      </c>
      <c r="R3079">
        <v>0</v>
      </c>
      <c r="S3079" s="1" t="s">
        <v>693</v>
      </c>
      <c r="T3079" s="1"/>
      <c r="U3079">
        <v>15.928129999999999</v>
      </c>
      <c r="V3079">
        <v>0</v>
      </c>
      <c r="W3079">
        <v>77809</v>
      </c>
    </row>
    <row r="3080" spans="1:23" x14ac:dyDescent="0.25">
      <c r="A3080" s="1" t="s">
        <v>37</v>
      </c>
      <c r="B3080" s="1"/>
      <c r="C3080" s="1" t="s">
        <v>202</v>
      </c>
      <c r="D3080">
        <v>10321</v>
      </c>
      <c r="E3080" s="1"/>
      <c r="F3080" s="1" t="s">
        <v>337</v>
      </c>
      <c r="G3080">
        <v>2009</v>
      </c>
      <c r="H3080">
        <v>20.079999999999998</v>
      </c>
      <c r="I3080">
        <v>4</v>
      </c>
      <c r="J3080" s="1" t="s">
        <v>411</v>
      </c>
      <c r="K3080">
        <v>0</v>
      </c>
      <c r="L3080">
        <v>126</v>
      </c>
      <c r="M3080">
        <v>0.15923799999999999</v>
      </c>
      <c r="N3080">
        <v>3</v>
      </c>
      <c r="O3080" s="1" t="s">
        <v>560</v>
      </c>
      <c r="P3080">
        <v>20.079999999999998</v>
      </c>
      <c r="Q3080">
        <v>16.059999999999999</v>
      </c>
      <c r="R3080">
        <v>0</v>
      </c>
      <c r="S3080" s="1" t="s">
        <v>693</v>
      </c>
      <c r="T3080" s="1"/>
      <c r="U3080">
        <v>20.071840000000002</v>
      </c>
      <c r="V3080">
        <v>0</v>
      </c>
      <c r="W3080">
        <v>77809</v>
      </c>
    </row>
    <row r="3081" spans="1:23" x14ac:dyDescent="0.25">
      <c r="A3081" s="1" t="s">
        <v>37</v>
      </c>
      <c r="B3081" s="1"/>
      <c r="C3081" s="1" t="s">
        <v>202</v>
      </c>
      <c r="D3081">
        <v>10321</v>
      </c>
      <c r="E3081" s="1"/>
      <c r="F3081" s="1" t="s">
        <v>337</v>
      </c>
      <c r="G3081">
        <v>2008</v>
      </c>
      <c r="H3081">
        <v>4.29</v>
      </c>
      <c r="I3081">
        <v>6</v>
      </c>
      <c r="J3081" s="1" t="s">
        <v>411</v>
      </c>
      <c r="K3081">
        <v>0</v>
      </c>
      <c r="L3081">
        <v>126</v>
      </c>
      <c r="M3081">
        <v>3.4020000000000002E-2</v>
      </c>
      <c r="N3081">
        <v>3</v>
      </c>
      <c r="O3081" s="1" t="s">
        <v>560</v>
      </c>
      <c r="P3081">
        <v>4.29</v>
      </c>
      <c r="Q3081">
        <v>3.42</v>
      </c>
      <c r="R3081">
        <v>0</v>
      </c>
      <c r="S3081" s="1" t="s">
        <v>693</v>
      </c>
      <c r="T3081" s="1"/>
      <c r="U3081">
        <v>4.2713799999999997</v>
      </c>
      <c r="V3081">
        <v>0</v>
      </c>
      <c r="W3081">
        <v>77809</v>
      </c>
    </row>
    <row r="3082" spans="1:23" x14ac:dyDescent="0.25">
      <c r="A3082" s="1" t="s">
        <v>37</v>
      </c>
      <c r="B3082" s="1"/>
      <c r="C3082" s="1" t="s">
        <v>203</v>
      </c>
      <c r="D3082">
        <v>9222</v>
      </c>
      <c r="E3082" s="1"/>
      <c r="F3082" s="1" t="s">
        <v>338</v>
      </c>
      <c r="G3082">
        <v>2015</v>
      </c>
      <c r="H3082">
        <v>750.01</v>
      </c>
      <c r="I3082">
        <v>5</v>
      </c>
      <c r="J3082" s="1"/>
      <c r="K3082">
        <v>0</v>
      </c>
      <c r="L3082">
        <v>11252</v>
      </c>
      <c r="M3082">
        <v>6.6655000000000006E-2</v>
      </c>
      <c r="N3082">
        <v>3</v>
      </c>
      <c r="O3082" s="1" t="s">
        <v>560</v>
      </c>
      <c r="P3082">
        <v>750.01</v>
      </c>
      <c r="Q3082">
        <v>600</v>
      </c>
      <c r="R3082">
        <v>0</v>
      </c>
      <c r="S3082" s="1"/>
      <c r="T3082" s="1"/>
      <c r="U3082">
        <v>750.00900000000001</v>
      </c>
      <c r="V3082">
        <v>0</v>
      </c>
      <c r="W3082">
        <v>72737</v>
      </c>
    </row>
    <row r="3083" spans="1:23" x14ac:dyDescent="0.25">
      <c r="A3083" s="1" t="s">
        <v>37</v>
      </c>
      <c r="B3083" s="1"/>
      <c r="C3083" s="1" t="s">
        <v>203</v>
      </c>
      <c r="D3083">
        <v>9222</v>
      </c>
      <c r="E3083" s="1"/>
      <c r="F3083" s="1" t="s">
        <v>338</v>
      </c>
      <c r="G3083">
        <v>2014</v>
      </c>
      <c r="H3083">
        <v>1709</v>
      </c>
      <c r="I3083">
        <v>12</v>
      </c>
      <c r="J3083" s="1"/>
      <c r="K3083">
        <v>0</v>
      </c>
      <c r="L3083">
        <v>11252</v>
      </c>
      <c r="M3083">
        <v>0.15188199999999999</v>
      </c>
      <c r="N3083">
        <v>3</v>
      </c>
      <c r="O3083" s="1" t="s">
        <v>560</v>
      </c>
      <c r="P3083">
        <v>1709</v>
      </c>
      <c r="Q3083">
        <v>1367.21</v>
      </c>
      <c r="R3083">
        <v>0</v>
      </c>
      <c r="S3083" s="1"/>
      <c r="T3083" s="1"/>
      <c r="U3083">
        <v>1709.002</v>
      </c>
      <c r="V3083">
        <v>0</v>
      </c>
      <c r="W3083">
        <v>72737</v>
      </c>
    </row>
    <row r="3084" spans="1:23" x14ac:dyDescent="0.25">
      <c r="A3084" s="1" t="s">
        <v>37</v>
      </c>
      <c r="B3084" s="1"/>
      <c r="C3084" s="1" t="s">
        <v>203</v>
      </c>
      <c r="D3084">
        <v>9222</v>
      </c>
      <c r="E3084" s="1"/>
      <c r="F3084" s="1" t="s">
        <v>338</v>
      </c>
      <c r="G3084">
        <v>2013</v>
      </c>
      <c r="H3084">
        <v>1777.58</v>
      </c>
      <c r="I3084">
        <v>12</v>
      </c>
      <c r="J3084" s="1"/>
      <c r="K3084">
        <v>0</v>
      </c>
      <c r="L3084">
        <v>11252</v>
      </c>
      <c r="M3084">
        <v>0.15797700000000001</v>
      </c>
      <c r="N3084">
        <v>3</v>
      </c>
      <c r="O3084" s="1" t="s">
        <v>560</v>
      </c>
      <c r="P3084">
        <v>1777.58</v>
      </c>
      <c r="Q3084">
        <v>1422.06</v>
      </c>
      <c r="R3084">
        <v>0</v>
      </c>
      <c r="S3084" s="1"/>
      <c r="T3084" s="1"/>
      <c r="U3084">
        <v>1777.5889999999999</v>
      </c>
      <c r="V3084">
        <v>0</v>
      </c>
      <c r="W3084">
        <v>72737</v>
      </c>
    </row>
    <row r="3085" spans="1:23" x14ac:dyDescent="0.25">
      <c r="A3085" s="1" t="s">
        <v>37</v>
      </c>
      <c r="B3085" s="1"/>
      <c r="C3085" s="1" t="s">
        <v>203</v>
      </c>
      <c r="D3085">
        <v>9222</v>
      </c>
      <c r="E3085" s="1"/>
      <c r="F3085" s="1" t="s">
        <v>338</v>
      </c>
      <c r="G3085">
        <v>2012</v>
      </c>
      <c r="H3085">
        <v>1652.64</v>
      </c>
      <c r="I3085">
        <v>12</v>
      </c>
      <c r="J3085" s="1"/>
      <c r="K3085">
        <v>0</v>
      </c>
      <c r="L3085">
        <v>11252</v>
      </c>
      <c r="M3085">
        <v>0.146873</v>
      </c>
      <c r="N3085">
        <v>3</v>
      </c>
      <c r="O3085" s="1" t="s">
        <v>560</v>
      </c>
      <c r="P3085">
        <v>1652.64</v>
      </c>
      <c r="Q3085">
        <v>1322.12</v>
      </c>
      <c r="R3085">
        <v>0</v>
      </c>
      <c r="S3085" s="1"/>
      <c r="T3085" s="1"/>
      <c r="U3085">
        <v>1652.6479999999999</v>
      </c>
      <c r="V3085">
        <v>0</v>
      </c>
      <c r="W3085">
        <v>72737</v>
      </c>
    </row>
    <row r="3086" spans="1:23" x14ac:dyDescent="0.25">
      <c r="A3086" s="1" t="s">
        <v>37</v>
      </c>
      <c r="B3086" s="1"/>
      <c r="C3086" s="1" t="s">
        <v>203</v>
      </c>
      <c r="D3086">
        <v>9222</v>
      </c>
      <c r="E3086" s="1"/>
      <c r="F3086" s="1" t="s">
        <v>338</v>
      </c>
      <c r="G3086">
        <v>2011</v>
      </c>
      <c r="H3086">
        <v>1979.08</v>
      </c>
      <c r="I3086">
        <v>12</v>
      </c>
      <c r="J3086" s="1"/>
      <c r="K3086">
        <v>0</v>
      </c>
      <c r="L3086">
        <v>11252</v>
      </c>
      <c r="M3086">
        <v>0.17588500000000001</v>
      </c>
      <c r="N3086">
        <v>3</v>
      </c>
      <c r="O3086" s="1" t="s">
        <v>560</v>
      </c>
      <c r="P3086">
        <v>1979.08</v>
      </c>
      <c r="Q3086">
        <v>1583.27</v>
      </c>
      <c r="R3086">
        <v>0</v>
      </c>
      <c r="S3086" s="1"/>
      <c r="T3086" s="1"/>
      <c r="U3086">
        <v>1979.079</v>
      </c>
      <c r="V3086">
        <v>0</v>
      </c>
      <c r="W3086">
        <v>72737</v>
      </c>
    </row>
    <row r="3087" spans="1:23" x14ac:dyDescent="0.25">
      <c r="A3087" s="1" t="s">
        <v>37</v>
      </c>
      <c r="B3087" s="1"/>
      <c r="C3087" s="1" t="s">
        <v>203</v>
      </c>
      <c r="D3087">
        <v>9222</v>
      </c>
      <c r="E3087" s="1"/>
      <c r="F3087" s="1" t="s">
        <v>338</v>
      </c>
      <c r="G3087">
        <v>2010</v>
      </c>
      <c r="H3087">
        <v>1620.74</v>
      </c>
      <c r="I3087">
        <v>12</v>
      </c>
      <c r="J3087" s="1"/>
      <c r="K3087">
        <v>0</v>
      </c>
      <c r="L3087">
        <v>11252</v>
      </c>
      <c r="M3087">
        <v>0.144038</v>
      </c>
      <c r="N3087">
        <v>3</v>
      </c>
      <c r="O3087" s="1" t="s">
        <v>560</v>
      </c>
      <c r="P3087">
        <v>1620.74</v>
      </c>
      <c r="Q3087">
        <v>1296.5999999999999</v>
      </c>
      <c r="R3087">
        <v>0</v>
      </c>
      <c r="S3087" s="1"/>
      <c r="T3087" s="1"/>
      <c r="U3087">
        <v>1620.7360000000001</v>
      </c>
      <c r="V3087">
        <v>0</v>
      </c>
      <c r="W3087">
        <v>72737</v>
      </c>
    </row>
    <row r="3088" spans="1:23" x14ac:dyDescent="0.25">
      <c r="A3088" s="1" t="s">
        <v>37</v>
      </c>
      <c r="B3088" s="1"/>
      <c r="C3088" s="1" t="s">
        <v>203</v>
      </c>
      <c r="D3088">
        <v>9222</v>
      </c>
      <c r="E3088" s="1"/>
      <c r="F3088" s="1" t="s">
        <v>338</v>
      </c>
      <c r="G3088">
        <v>2009</v>
      </c>
      <c r="H3088">
        <v>1623.84</v>
      </c>
      <c r="I3088">
        <v>12</v>
      </c>
      <c r="J3088" s="1"/>
      <c r="K3088">
        <v>0</v>
      </c>
      <c r="L3088">
        <v>11252</v>
      </c>
      <c r="M3088">
        <v>0.144314</v>
      </c>
      <c r="N3088">
        <v>3</v>
      </c>
      <c r="O3088" s="1" t="s">
        <v>560</v>
      </c>
      <c r="P3088">
        <v>1623.84</v>
      </c>
      <c r="Q3088">
        <v>1299.0899999999999</v>
      </c>
      <c r="R3088">
        <v>0</v>
      </c>
      <c r="S3088" s="1"/>
      <c r="T3088" s="1"/>
      <c r="U3088">
        <v>1623.8489999999999</v>
      </c>
      <c r="V3088">
        <v>0</v>
      </c>
      <c r="W3088">
        <v>72737</v>
      </c>
    </row>
    <row r="3089" spans="1:23" x14ac:dyDescent="0.25">
      <c r="A3089" s="1" t="s">
        <v>37</v>
      </c>
      <c r="B3089" s="1"/>
      <c r="C3089" s="1" t="s">
        <v>203</v>
      </c>
      <c r="D3089">
        <v>9222</v>
      </c>
      <c r="E3089" s="1"/>
      <c r="F3089" s="1" t="s">
        <v>338</v>
      </c>
      <c r="G3089">
        <v>2008</v>
      </c>
      <c r="H3089">
        <v>1691.63</v>
      </c>
      <c r="I3089">
        <v>12</v>
      </c>
      <c r="J3089" s="1"/>
      <c r="K3089">
        <v>0</v>
      </c>
      <c r="L3089">
        <v>11252</v>
      </c>
      <c r="M3089">
        <v>0.150339</v>
      </c>
      <c r="N3089">
        <v>3</v>
      </c>
      <c r="O3089" s="1" t="s">
        <v>560</v>
      </c>
      <c r="P3089">
        <v>1691.63</v>
      </c>
      <c r="Q3089">
        <v>1353.31</v>
      </c>
      <c r="R3089">
        <v>0</v>
      </c>
      <c r="S3089" s="1"/>
      <c r="T3089" s="1"/>
      <c r="U3089">
        <v>1691.624</v>
      </c>
      <c r="V3089">
        <v>0</v>
      </c>
      <c r="W3089">
        <v>72737</v>
      </c>
    </row>
    <row r="3090" spans="1:23" x14ac:dyDescent="0.25">
      <c r="A3090" s="1" t="s">
        <v>37</v>
      </c>
      <c r="B3090" s="1"/>
      <c r="C3090" s="1" t="s">
        <v>191</v>
      </c>
      <c r="D3090">
        <v>9224</v>
      </c>
      <c r="E3090" s="1"/>
      <c r="F3090" s="1" t="s">
        <v>319</v>
      </c>
      <c r="G3090">
        <v>2015</v>
      </c>
      <c r="H3090">
        <v>252425.16</v>
      </c>
      <c r="I3090">
        <v>5</v>
      </c>
      <c r="J3090" s="1"/>
      <c r="K3090">
        <v>0</v>
      </c>
      <c r="L3090">
        <v>4404</v>
      </c>
      <c r="M3090">
        <v>57.315945999999997</v>
      </c>
      <c r="N3090">
        <v>1</v>
      </c>
      <c r="O3090" s="1" t="s">
        <v>564</v>
      </c>
      <c r="P3090">
        <v>284119</v>
      </c>
      <c r="Q3090">
        <v>60085.91</v>
      </c>
      <c r="R3090">
        <v>0</v>
      </c>
      <c r="S3090" s="1"/>
      <c r="T3090" s="1" t="s">
        <v>1219</v>
      </c>
      <c r="U3090">
        <v>23372.7</v>
      </c>
      <c r="V3090">
        <v>0</v>
      </c>
      <c r="W3090">
        <v>77267</v>
      </c>
    </row>
    <row r="3091" spans="1:23" x14ac:dyDescent="0.25">
      <c r="A3091" s="1" t="s">
        <v>37</v>
      </c>
      <c r="B3091" s="1"/>
      <c r="C3091" s="1" t="s">
        <v>191</v>
      </c>
      <c r="D3091">
        <v>9224</v>
      </c>
      <c r="E3091" s="1"/>
      <c r="F3091" s="1" t="s">
        <v>319</v>
      </c>
      <c r="G3091">
        <v>2014</v>
      </c>
      <c r="H3091">
        <v>433244.15999999997</v>
      </c>
      <c r="I3091">
        <v>12</v>
      </c>
      <c r="J3091" s="1"/>
      <c r="K3091">
        <v>0</v>
      </c>
      <c r="L3091">
        <v>4404</v>
      </c>
      <c r="M3091">
        <v>98.372916000000004</v>
      </c>
      <c r="N3091">
        <v>1</v>
      </c>
      <c r="O3091" s="1" t="s">
        <v>564</v>
      </c>
      <c r="P3091">
        <v>514253.45</v>
      </c>
      <c r="Q3091">
        <v>108755.08</v>
      </c>
      <c r="R3091">
        <v>0</v>
      </c>
      <c r="S3091" s="1"/>
      <c r="T3091" s="1" t="s">
        <v>1219</v>
      </c>
      <c r="U3091">
        <v>40115.199999999997</v>
      </c>
      <c r="V3091">
        <v>0</v>
      </c>
      <c r="W3091">
        <v>77267</v>
      </c>
    </row>
    <row r="3092" spans="1:23" x14ac:dyDescent="0.25">
      <c r="A3092" s="1" t="s">
        <v>37</v>
      </c>
      <c r="B3092" s="1"/>
      <c r="C3092" s="1" t="s">
        <v>191</v>
      </c>
      <c r="D3092">
        <v>9224</v>
      </c>
      <c r="E3092" s="1"/>
      <c r="F3092" s="1" t="s">
        <v>319</v>
      </c>
      <c r="G3092">
        <v>2013</v>
      </c>
      <c r="H3092">
        <v>519220.8</v>
      </c>
      <c r="I3092">
        <v>12</v>
      </c>
      <c r="J3092" s="1"/>
      <c r="K3092">
        <v>0</v>
      </c>
      <c r="L3092">
        <v>4404</v>
      </c>
      <c r="M3092">
        <v>117.89487</v>
      </c>
      <c r="N3092">
        <v>1</v>
      </c>
      <c r="O3092" s="1" t="s">
        <v>564</v>
      </c>
      <c r="P3092">
        <v>541156.37</v>
      </c>
      <c r="Q3092">
        <v>114444.56</v>
      </c>
      <c r="R3092">
        <v>0</v>
      </c>
      <c r="S3092" s="1"/>
      <c r="T3092" s="1" t="s">
        <v>1219</v>
      </c>
      <c r="U3092">
        <v>48076</v>
      </c>
      <c r="V3092">
        <v>0</v>
      </c>
      <c r="W3092">
        <v>77267</v>
      </c>
    </row>
    <row r="3093" spans="1:23" x14ac:dyDescent="0.25">
      <c r="A3093" s="1" t="s">
        <v>37</v>
      </c>
      <c r="B3093" s="1"/>
      <c r="C3093" s="1" t="s">
        <v>191</v>
      </c>
      <c r="D3093">
        <v>9224</v>
      </c>
      <c r="E3093" s="1"/>
      <c r="F3093" s="1" t="s">
        <v>319</v>
      </c>
      <c r="G3093">
        <v>2012</v>
      </c>
      <c r="H3093">
        <v>542937.59999999998</v>
      </c>
      <c r="I3093">
        <v>12</v>
      </c>
      <c r="J3093" s="1"/>
      <c r="K3093">
        <v>0</v>
      </c>
      <c r="L3093">
        <v>4404</v>
      </c>
      <c r="M3093">
        <v>123.280034</v>
      </c>
      <c r="N3093">
        <v>1</v>
      </c>
      <c r="O3093" s="1" t="s">
        <v>564</v>
      </c>
      <c r="P3093">
        <v>572202.49</v>
      </c>
      <c r="Q3093">
        <v>121010.23</v>
      </c>
      <c r="R3093">
        <v>0</v>
      </c>
      <c r="S3093" s="1"/>
      <c r="T3093" s="1" t="s">
        <v>1219</v>
      </c>
      <c r="U3093">
        <v>50272</v>
      </c>
      <c r="V3093">
        <v>0</v>
      </c>
      <c r="W3093">
        <v>77267</v>
      </c>
    </row>
    <row r="3094" spans="1:23" x14ac:dyDescent="0.25">
      <c r="A3094" s="1" t="s">
        <v>37</v>
      </c>
      <c r="B3094" s="1"/>
      <c r="C3094" s="1" t="s">
        <v>191</v>
      </c>
      <c r="D3094">
        <v>9224</v>
      </c>
      <c r="E3094" s="1"/>
      <c r="F3094" s="1" t="s">
        <v>319</v>
      </c>
      <c r="G3094">
        <v>2011</v>
      </c>
      <c r="H3094">
        <v>514933.2</v>
      </c>
      <c r="I3094">
        <v>12</v>
      </c>
      <c r="J3094" s="1"/>
      <c r="K3094">
        <v>0</v>
      </c>
      <c r="L3094">
        <v>4404</v>
      </c>
      <c r="M3094">
        <v>116.921323</v>
      </c>
      <c r="N3094">
        <v>1</v>
      </c>
      <c r="O3094" s="1" t="s">
        <v>564</v>
      </c>
      <c r="P3094">
        <v>567606.04</v>
      </c>
      <c r="Q3094">
        <v>120038.15</v>
      </c>
      <c r="R3094">
        <v>0</v>
      </c>
      <c r="S3094" s="1"/>
      <c r="T3094" s="1" t="s">
        <v>1219</v>
      </c>
      <c r="U3094">
        <v>47679</v>
      </c>
      <c r="V3094">
        <v>0</v>
      </c>
      <c r="W3094">
        <v>77267</v>
      </c>
    </row>
    <row r="3095" spans="1:23" x14ac:dyDescent="0.25">
      <c r="A3095" s="1" t="s">
        <v>37</v>
      </c>
      <c r="B3095" s="1"/>
      <c r="C3095" s="1" t="s">
        <v>191</v>
      </c>
      <c r="D3095">
        <v>9224</v>
      </c>
      <c r="E3095" s="1"/>
      <c r="F3095" s="1" t="s">
        <v>319</v>
      </c>
      <c r="G3095">
        <v>2010</v>
      </c>
      <c r="H3095">
        <v>670544.87</v>
      </c>
      <c r="I3095">
        <v>12</v>
      </c>
      <c r="J3095" s="1"/>
      <c r="K3095">
        <v>0</v>
      </c>
      <c r="L3095">
        <v>4404</v>
      </c>
      <c r="M3095">
        <v>152.25468699999999</v>
      </c>
      <c r="N3095">
        <v>1</v>
      </c>
      <c r="O3095" s="1" t="s">
        <v>564</v>
      </c>
      <c r="P3095">
        <v>893369.63</v>
      </c>
      <c r="Q3095">
        <v>188931.13</v>
      </c>
      <c r="R3095">
        <v>0</v>
      </c>
      <c r="S3095" s="1"/>
      <c r="T3095" s="1" t="s">
        <v>1219</v>
      </c>
      <c r="U3095">
        <v>62087.487999999998</v>
      </c>
      <c r="V3095">
        <v>0</v>
      </c>
      <c r="W3095">
        <v>77267</v>
      </c>
    </row>
    <row r="3096" spans="1:23" x14ac:dyDescent="0.25">
      <c r="A3096" s="1" t="s">
        <v>37</v>
      </c>
      <c r="B3096" s="1"/>
      <c r="C3096" s="1" t="s">
        <v>191</v>
      </c>
      <c r="D3096">
        <v>9224</v>
      </c>
      <c r="E3096" s="1"/>
      <c r="F3096" s="1" t="s">
        <v>319</v>
      </c>
      <c r="G3096">
        <v>2009</v>
      </c>
      <c r="H3096">
        <v>493306.34</v>
      </c>
      <c r="I3096">
        <v>12</v>
      </c>
      <c r="J3096" s="1"/>
      <c r="K3096">
        <v>0</v>
      </c>
      <c r="L3096">
        <v>4404</v>
      </c>
      <c r="M3096">
        <v>112.01070300000001</v>
      </c>
      <c r="N3096">
        <v>1</v>
      </c>
      <c r="O3096" s="1" t="s">
        <v>564</v>
      </c>
      <c r="P3096">
        <v>526273.94999999995</v>
      </c>
      <c r="Q3096">
        <v>111297.19</v>
      </c>
      <c r="R3096">
        <v>0</v>
      </c>
      <c r="S3096" s="1"/>
      <c r="T3096" s="1" t="s">
        <v>1219</v>
      </c>
      <c r="U3096">
        <v>45676.512999999999</v>
      </c>
      <c r="V3096">
        <v>0</v>
      </c>
      <c r="W3096">
        <v>77267</v>
      </c>
    </row>
    <row r="3097" spans="1:23" x14ac:dyDescent="0.25">
      <c r="A3097" s="1" t="s">
        <v>37</v>
      </c>
      <c r="B3097" s="1"/>
      <c r="C3097" s="1" t="s">
        <v>191</v>
      </c>
      <c r="D3097">
        <v>9224</v>
      </c>
      <c r="E3097" s="1"/>
      <c r="F3097" s="1" t="s">
        <v>319</v>
      </c>
      <c r="G3097">
        <v>2008</v>
      </c>
      <c r="H3097">
        <v>221851.16</v>
      </c>
      <c r="I3097">
        <v>3</v>
      </c>
      <c r="J3097" s="1" t="s">
        <v>491</v>
      </c>
      <c r="K3097">
        <v>0</v>
      </c>
      <c r="L3097">
        <v>4404</v>
      </c>
      <c r="M3097">
        <v>50.373778000000001</v>
      </c>
      <c r="N3097">
        <v>1</v>
      </c>
      <c r="O3097" s="1" t="s">
        <v>564</v>
      </c>
      <c r="P3097">
        <v>277073.8</v>
      </c>
      <c r="Q3097">
        <v>58595.97</v>
      </c>
      <c r="R3097">
        <v>0</v>
      </c>
      <c r="S3097" s="1" t="s">
        <v>810</v>
      </c>
      <c r="T3097" s="1"/>
      <c r="U3097">
        <v>20541.77419</v>
      </c>
      <c r="V3097">
        <v>0</v>
      </c>
      <c r="W3097">
        <v>77972</v>
      </c>
    </row>
    <row r="3098" spans="1:23" x14ac:dyDescent="0.25">
      <c r="A3098" s="1" t="s">
        <v>37</v>
      </c>
      <c r="B3098" s="1"/>
      <c r="C3098" s="1" t="s">
        <v>191</v>
      </c>
      <c r="D3098">
        <v>9224</v>
      </c>
      <c r="E3098" s="1"/>
      <c r="F3098" s="1" t="s">
        <v>319</v>
      </c>
      <c r="G3098">
        <v>2008</v>
      </c>
      <c r="H3098">
        <v>318265.2</v>
      </c>
      <c r="I3098">
        <v>12</v>
      </c>
      <c r="J3098" s="1"/>
      <c r="K3098">
        <v>0</v>
      </c>
      <c r="L3098">
        <v>4404</v>
      </c>
      <c r="M3098">
        <v>72.265660999999994</v>
      </c>
      <c r="N3098">
        <v>1</v>
      </c>
      <c r="O3098" s="1" t="s">
        <v>564</v>
      </c>
      <c r="P3098">
        <v>353205.49</v>
      </c>
      <c r="Q3098">
        <v>74696.41</v>
      </c>
      <c r="R3098">
        <v>0</v>
      </c>
      <c r="S3098" s="1"/>
      <c r="T3098" s="1" t="s">
        <v>1219</v>
      </c>
      <c r="U3098">
        <v>29469</v>
      </c>
      <c r="V3098">
        <v>0</v>
      </c>
      <c r="W3098">
        <v>77267</v>
      </c>
    </row>
    <row r="3099" spans="1:23" x14ac:dyDescent="0.25">
      <c r="A3099" s="1" t="s">
        <v>37</v>
      </c>
      <c r="B3099" s="1"/>
      <c r="C3099" s="1" t="s">
        <v>192</v>
      </c>
      <c r="D3099">
        <v>10230</v>
      </c>
      <c r="E3099" s="1"/>
      <c r="F3099" s="1" t="s">
        <v>320</v>
      </c>
      <c r="G3099">
        <v>2015</v>
      </c>
      <c r="H3099">
        <v>28843</v>
      </c>
      <c r="I3099">
        <v>5</v>
      </c>
      <c r="J3099" s="1"/>
      <c r="K3099">
        <v>0</v>
      </c>
      <c r="L3099">
        <v>711</v>
      </c>
      <c r="M3099">
        <v>40.561101999999998</v>
      </c>
      <c r="N3099">
        <v>1</v>
      </c>
      <c r="O3099" s="1" t="s">
        <v>562</v>
      </c>
      <c r="P3099">
        <v>32773.050000000003</v>
      </c>
      <c r="Q3099">
        <v>6063.02</v>
      </c>
      <c r="R3099">
        <v>0</v>
      </c>
      <c r="S3099" s="1" t="s">
        <v>849</v>
      </c>
      <c r="T3099" s="1"/>
      <c r="U3099">
        <v>28843</v>
      </c>
      <c r="V3099">
        <v>0</v>
      </c>
      <c r="W3099">
        <v>90964</v>
      </c>
    </row>
    <row r="3100" spans="1:23" x14ac:dyDescent="0.25">
      <c r="A3100" s="1" t="s">
        <v>37</v>
      </c>
      <c r="B3100" s="1"/>
      <c r="C3100" s="1" t="s">
        <v>192</v>
      </c>
      <c r="D3100">
        <v>10230</v>
      </c>
      <c r="E3100" s="1"/>
      <c r="F3100" s="1" t="s">
        <v>320</v>
      </c>
      <c r="G3100">
        <v>2014</v>
      </c>
      <c r="H3100">
        <v>50389</v>
      </c>
      <c r="I3100">
        <v>12</v>
      </c>
      <c r="J3100" s="1"/>
      <c r="K3100">
        <v>0</v>
      </c>
      <c r="L3100">
        <v>711</v>
      </c>
      <c r="M3100">
        <v>70.860637999999994</v>
      </c>
      <c r="N3100">
        <v>1</v>
      </c>
      <c r="O3100" s="1" t="s">
        <v>562</v>
      </c>
      <c r="P3100">
        <v>59844.959999999999</v>
      </c>
      <c r="Q3100">
        <v>11071.32</v>
      </c>
      <c r="R3100">
        <v>0</v>
      </c>
      <c r="S3100" s="1" t="s">
        <v>849</v>
      </c>
      <c r="T3100" s="1"/>
      <c r="U3100">
        <v>50389.000099999997</v>
      </c>
      <c r="V3100">
        <v>0</v>
      </c>
      <c r="W3100">
        <v>90964</v>
      </c>
    </row>
    <row r="3101" spans="1:23" x14ac:dyDescent="0.25">
      <c r="A3101" s="1" t="s">
        <v>37</v>
      </c>
      <c r="B3101" s="1"/>
      <c r="C3101" s="1" t="s">
        <v>192</v>
      </c>
      <c r="D3101">
        <v>10230</v>
      </c>
      <c r="E3101" s="1"/>
      <c r="F3101" s="1" t="s">
        <v>320</v>
      </c>
      <c r="G3101">
        <v>2013</v>
      </c>
      <c r="H3101">
        <v>58396</v>
      </c>
      <c r="I3101">
        <v>12</v>
      </c>
      <c r="J3101" s="1"/>
      <c r="K3101">
        <v>0</v>
      </c>
      <c r="L3101">
        <v>711</v>
      </c>
      <c r="M3101">
        <v>82.120658000000006</v>
      </c>
      <c r="N3101">
        <v>1</v>
      </c>
      <c r="O3101" s="1" t="s">
        <v>562</v>
      </c>
      <c r="P3101">
        <v>60539.97</v>
      </c>
      <c r="Q3101">
        <v>11199.88</v>
      </c>
      <c r="R3101">
        <v>0</v>
      </c>
      <c r="S3101" s="1" t="s">
        <v>849</v>
      </c>
      <c r="T3101" s="1"/>
      <c r="U3101">
        <v>58396</v>
      </c>
      <c r="V3101">
        <v>0</v>
      </c>
      <c r="W3101">
        <v>90964</v>
      </c>
    </row>
    <row r="3102" spans="1:23" x14ac:dyDescent="0.25">
      <c r="A3102" s="1" t="s">
        <v>37</v>
      </c>
      <c r="B3102" s="1"/>
      <c r="C3102" s="1" t="s">
        <v>192</v>
      </c>
      <c r="D3102">
        <v>10230</v>
      </c>
      <c r="E3102" s="1"/>
      <c r="F3102" s="1" t="s">
        <v>320</v>
      </c>
      <c r="G3102">
        <v>2012</v>
      </c>
      <c r="H3102">
        <v>59412</v>
      </c>
      <c r="I3102">
        <v>12</v>
      </c>
      <c r="J3102" s="1"/>
      <c r="K3102">
        <v>0</v>
      </c>
      <c r="L3102">
        <v>711</v>
      </c>
      <c r="M3102">
        <v>83.549430000000001</v>
      </c>
      <c r="N3102">
        <v>1</v>
      </c>
      <c r="O3102" s="1" t="s">
        <v>562</v>
      </c>
      <c r="P3102">
        <v>62221.61</v>
      </c>
      <c r="Q3102">
        <v>11511</v>
      </c>
      <c r="R3102">
        <v>0</v>
      </c>
      <c r="S3102" s="1" t="s">
        <v>849</v>
      </c>
      <c r="T3102" s="1"/>
      <c r="U3102">
        <v>59412.0003</v>
      </c>
      <c r="V3102">
        <v>0</v>
      </c>
      <c r="W3102">
        <v>90964</v>
      </c>
    </row>
    <row r="3103" spans="1:23" x14ac:dyDescent="0.25">
      <c r="A3103" s="1" t="s">
        <v>37</v>
      </c>
      <c r="B3103" s="1"/>
      <c r="C3103" s="1" t="s">
        <v>192</v>
      </c>
      <c r="D3103">
        <v>10230</v>
      </c>
      <c r="E3103" s="1"/>
      <c r="F3103" s="1" t="s">
        <v>320</v>
      </c>
      <c r="G3103">
        <v>2011</v>
      </c>
      <c r="H3103">
        <v>55544.01</v>
      </c>
      <c r="I3103">
        <v>9</v>
      </c>
      <c r="J3103" s="1" t="s">
        <v>399</v>
      </c>
      <c r="K3103">
        <v>0</v>
      </c>
      <c r="L3103">
        <v>711</v>
      </c>
      <c r="M3103">
        <v>78.109983999999997</v>
      </c>
      <c r="N3103">
        <v>1</v>
      </c>
      <c r="O3103" s="1" t="s">
        <v>565</v>
      </c>
      <c r="P3103">
        <v>64734.080000000002</v>
      </c>
      <c r="Q3103">
        <v>11975.81</v>
      </c>
      <c r="R3103">
        <v>0</v>
      </c>
      <c r="S3103" s="1" t="s">
        <v>849</v>
      </c>
      <c r="T3103" s="1"/>
      <c r="U3103">
        <v>55.54401</v>
      </c>
      <c r="V3103">
        <v>0</v>
      </c>
      <c r="W3103">
        <v>77565</v>
      </c>
    </row>
    <row r="3104" spans="1:23" x14ac:dyDescent="0.25">
      <c r="A3104" s="1" t="s">
        <v>37</v>
      </c>
      <c r="B3104" s="1"/>
      <c r="C3104" s="1" t="s">
        <v>192</v>
      </c>
      <c r="D3104">
        <v>10230</v>
      </c>
      <c r="E3104" s="1"/>
      <c r="F3104" s="1" t="s">
        <v>320</v>
      </c>
      <c r="G3104">
        <v>2010</v>
      </c>
      <c r="H3104">
        <v>73418.740000000005</v>
      </c>
      <c r="I3104">
        <v>11</v>
      </c>
      <c r="J3104" s="1" t="s">
        <v>399</v>
      </c>
      <c r="K3104">
        <v>0</v>
      </c>
      <c r="L3104">
        <v>711</v>
      </c>
      <c r="M3104">
        <v>103.24671600000001</v>
      </c>
      <c r="N3104">
        <v>1</v>
      </c>
      <c r="O3104" s="1" t="s">
        <v>565</v>
      </c>
      <c r="P3104">
        <v>66801.460000000006</v>
      </c>
      <c r="Q3104">
        <v>12358.25</v>
      </c>
      <c r="R3104">
        <v>0</v>
      </c>
      <c r="S3104" s="1" t="s">
        <v>849</v>
      </c>
      <c r="T3104" s="1"/>
      <c r="U3104">
        <v>73.41874</v>
      </c>
      <c r="V3104">
        <v>0</v>
      </c>
      <c r="W3104">
        <v>77565</v>
      </c>
    </row>
    <row r="3105" spans="1:23" x14ac:dyDescent="0.25">
      <c r="A3105" s="1" t="s">
        <v>37</v>
      </c>
      <c r="B3105" s="1"/>
      <c r="C3105" s="1" t="s">
        <v>192</v>
      </c>
      <c r="D3105">
        <v>10230</v>
      </c>
      <c r="E3105" s="1"/>
      <c r="F3105" s="1" t="s">
        <v>320</v>
      </c>
      <c r="G3105">
        <v>2009</v>
      </c>
      <c r="H3105">
        <v>55067.57</v>
      </c>
      <c r="I3105">
        <v>12</v>
      </c>
      <c r="J3105" s="1" t="s">
        <v>399</v>
      </c>
      <c r="K3105">
        <v>0</v>
      </c>
      <c r="L3105">
        <v>711</v>
      </c>
      <c r="M3105">
        <v>77.439980000000006</v>
      </c>
      <c r="N3105">
        <v>1</v>
      </c>
      <c r="O3105" s="1" t="s">
        <v>565</v>
      </c>
      <c r="P3105">
        <v>58053.08</v>
      </c>
      <c r="Q3105">
        <v>10739.83</v>
      </c>
      <c r="R3105">
        <v>0</v>
      </c>
      <c r="S3105" s="1" t="s">
        <v>849</v>
      </c>
      <c r="T3105" s="1"/>
      <c r="U3105">
        <v>55.067570000000003</v>
      </c>
      <c r="V3105">
        <v>0</v>
      </c>
      <c r="W3105">
        <v>77565</v>
      </c>
    </row>
    <row r="3106" spans="1:23" x14ac:dyDescent="0.25">
      <c r="A3106" s="1" t="s">
        <v>37</v>
      </c>
      <c r="B3106" s="1"/>
      <c r="C3106" s="1" t="s">
        <v>192</v>
      </c>
      <c r="D3106">
        <v>10230</v>
      </c>
      <c r="E3106" s="1"/>
      <c r="F3106" s="1" t="s">
        <v>320</v>
      </c>
      <c r="G3106">
        <v>2008</v>
      </c>
      <c r="H3106">
        <v>57181.55</v>
      </c>
      <c r="I3106">
        <v>13</v>
      </c>
      <c r="J3106" s="1" t="s">
        <v>399</v>
      </c>
      <c r="K3106">
        <v>0</v>
      </c>
      <c r="L3106">
        <v>711</v>
      </c>
      <c r="M3106">
        <v>80.412811000000005</v>
      </c>
      <c r="N3106">
        <v>1</v>
      </c>
      <c r="O3106" s="1" t="s">
        <v>565</v>
      </c>
      <c r="P3106">
        <v>65914.539999999994</v>
      </c>
      <c r="Q3106">
        <v>12194.19</v>
      </c>
      <c r="R3106">
        <v>0</v>
      </c>
      <c r="S3106" s="1" t="s">
        <v>849</v>
      </c>
      <c r="T3106" s="1"/>
      <c r="U3106">
        <v>57.181550000000001</v>
      </c>
      <c r="V3106">
        <v>0</v>
      </c>
      <c r="W3106">
        <v>77565</v>
      </c>
    </row>
    <row r="3107" spans="1:23" x14ac:dyDescent="0.25">
      <c r="A3107" s="1" t="s">
        <v>37</v>
      </c>
      <c r="B3107" s="1"/>
      <c r="C3107" s="1" t="s">
        <v>193</v>
      </c>
      <c r="D3107">
        <v>10991</v>
      </c>
      <c r="E3107" s="1"/>
      <c r="F3107" s="1" t="s">
        <v>321</v>
      </c>
      <c r="G3107">
        <v>2015</v>
      </c>
      <c r="H3107">
        <v>199590</v>
      </c>
      <c r="I3107">
        <v>5</v>
      </c>
      <c r="J3107" s="1" t="s">
        <v>445</v>
      </c>
      <c r="K3107">
        <v>0</v>
      </c>
      <c r="L3107">
        <v>1475</v>
      </c>
      <c r="M3107">
        <v>135.30608000000001</v>
      </c>
      <c r="N3107">
        <v>1</v>
      </c>
      <c r="O3107" s="1" t="s">
        <v>562</v>
      </c>
      <c r="P3107">
        <v>221253.63</v>
      </c>
      <c r="Q3107">
        <v>40931.919999999998</v>
      </c>
      <c r="R3107">
        <v>0</v>
      </c>
      <c r="S3107" s="1" t="s">
        <v>850</v>
      </c>
      <c r="T3107" s="1"/>
      <c r="U3107">
        <v>199590</v>
      </c>
      <c r="V3107">
        <v>0</v>
      </c>
      <c r="W3107">
        <v>94185</v>
      </c>
    </row>
    <row r="3108" spans="1:23" x14ac:dyDescent="0.25">
      <c r="A3108" s="1" t="s">
        <v>37</v>
      </c>
      <c r="B3108" s="1"/>
      <c r="C3108" s="1" t="s">
        <v>193</v>
      </c>
      <c r="D3108">
        <v>10991</v>
      </c>
      <c r="E3108" s="1"/>
      <c r="F3108" s="1" t="s">
        <v>321</v>
      </c>
      <c r="G3108">
        <v>2014</v>
      </c>
      <c r="H3108">
        <v>383300</v>
      </c>
      <c r="I3108">
        <v>12</v>
      </c>
      <c r="J3108" s="1" t="s">
        <v>445</v>
      </c>
      <c r="K3108">
        <v>0</v>
      </c>
      <c r="L3108">
        <v>1475</v>
      </c>
      <c r="M3108">
        <v>259.84679</v>
      </c>
      <c r="N3108">
        <v>1</v>
      </c>
      <c r="O3108" s="1" t="s">
        <v>562</v>
      </c>
      <c r="P3108">
        <v>446433.06</v>
      </c>
      <c r="Q3108">
        <v>82590.13</v>
      </c>
      <c r="R3108">
        <v>0</v>
      </c>
      <c r="S3108" s="1" t="s">
        <v>850</v>
      </c>
      <c r="T3108" s="1"/>
      <c r="U3108">
        <v>383300.00300000003</v>
      </c>
      <c r="V3108">
        <v>0</v>
      </c>
      <c r="W3108">
        <v>94185</v>
      </c>
    </row>
    <row r="3109" spans="1:23" x14ac:dyDescent="0.25">
      <c r="A3109" s="1" t="s">
        <v>37</v>
      </c>
      <c r="B3109" s="1"/>
      <c r="C3109" s="1" t="s">
        <v>193</v>
      </c>
      <c r="D3109">
        <v>10991</v>
      </c>
      <c r="E3109" s="1"/>
      <c r="F3109" s="1" t="s">
        <v>321</v>
      </c>
      <c r="G3109">
        <v>2013</v>
      </c>
      <c r="H3109">
        <v>315730</v>
      </c>
      <c r="I3109">
        <v>12</v>
      </c>
      <c r="J3109" s="1" t="s">
        <v>445</v>
      </c>
      <c r="K3109">
        <v>0</v>
      </c>
      <c r="L3109">
        <v>1475</v>
      </c>
      <c r="M3109">
        <v>214.039726</v>
      </c>
      <c r="N3109">
        <v>1</v>
      </c>
      <c r="O3109" s="1" t="s">
        <v>562</v>
      </c>
      <c r="P3109">
        <v>332973.82</v>
      </c>
      <c r="Q3109">
        <v>61600.15</v>
      </c>
      <c r="R3109">
        <v>0</v>
      </c>
      <c r="S3109" s="1" t="s">
        <v>850</v>
      </c>
      <c r="T3109" s="1"/>
      <c r="U3109">
        <v>315729.99699999997</v>
      </c>
      <c r="V3109">
        <v>0</v>
      </c>
      <c r="W3109">
        <v>94185</v>
      </c>
    </row>
    <row r="3110" spans="1:23" x14ac:dyDescent="0.25">
      <c r="A3110" s="1" t="s">
        <v>37</v>
      </c>
      <c r="B3110" s="1"/>
      <c r="C3110" s="1" t="s">
        <v>193</v>
      </c>
      <c r="D3110">
        <v>10991</v>
      </c>
      <c r="E3110" s="1"/>
      <c r="F3110" s="1" t="s">
        <v>321</v>
      </c>
      <c r="G3110">
        <v>2012</v>
      </c>
      <c r="H3110">
        <v>248775.7</v>
      </c>
      <c r="I3110">
        <v>9</v>
      </c>
      <c r="J3110" s="1" t="s">
        <v>492</v>
      </c>
      <c r="K3110">
        <v>0</v>
      </c>
      <c r="L3110">
        <v>1475</v>
      </c>
      <c r="M3110">
        <v>168.650057</v>
      </c>
      <c r="N3110">
        <v>1</v>
      </c>
      <c r="O3110" s="1" t="s">
        <v>565</v>
      </c>
      <c r="P3110">
        <v>248775.7</v>
      </c>
      <c r="Q3110">
        <v>46023.519999999997</v>
      </c>
      <c r="R3110">
        <v>0</v>
      </c>
      <c r="S3110" s="1" t="s">
        <v>851</v>
      </c>
      <c r="T3110" s="1"/>
      <c r="U3110">
        <v>248.7757</v>
      </c>
      <c r="V3110">
        <v>0</v>
      </c>
      <c r="W3110">
        <v>79522</v>
      </c>
    </row>
    <row r="3111" spans="1:23" x14ac:dyDescent="0.25">
      <c r="A3111" s="1" t="s">
        <v>37</v>
      </c>
      <c r="B3111" s="1"/>
      <c r="C3111" s="1" t="s">
        <v>193</v>
      </c>
      <c r="D3111">
        <v>10991</v>
      </c>
      <c r="E3111" s="1"/>
      <c r="F3111" s="1" t="s">
        <v>321</v>
      </c>
      <c r="G3111">
        <v>2011</v>
      </c>
      <c r="H3111">
        <v>397827.01</v>
      </c>
      <c r="I3111">
        <v>8</v>
      </c>
      <c r="J3111" s="1" t="s">
        <v>492</v>
      </c>
      <c r="K3111">
        <v>0</v>
      </c>
      <c r="L3111">
        <v>1475</v>
      </c>
      <c r="M3111">
        <v>269.69494200000003</v>
      </c>
      <c r="N3111">
        <v>1</v>
      </c>
      <c r="O3111" s="1" t="s">
        <v>565</v>
      </c>
      <c r="P3111">
        <v>397827.01</v>
      </c>
      <c r="Q3111">
        <v>73598.009999999995</v>
      </c>
      <c r="R3111">
        <v>0</v>
      </c>
      <c r="S3111" s="1" t="s">
        <v>851</v>
      </c>
      <c r="T3111" s="1"/>
      <c r="U3111">
        <v>397.82700999999997</v>
      </c>
      <c r="V3111">
        <v>0</v>
      </c>
      <c r="W3111">
        <v>79522</v>
      </c>
    </row>
    <row r="3112" spans="1:23" x14ac:dyDescent="0.25">
      <c r="A3112" s="1" t="s">
        <v>37</v>
      </c>
      <c r="B3112" s="1"/>
      <c r="C3112" s="1" t="s">
        <v>193</v>
      </c>
      <c r="D3112">
        <v>10991</v>
      </c>
      <c r="E3112" s="1"/>
      <c r="F3112" s="1" t="s">
        <v>321</v>
      </c>
      <c r="G3112">
        <v>2010</v>
      </c>
      <c r="H3112">
        <v>449873.56</v>
      </c>
      <c r="I3112">
        <v>12</v>
      </c>
      <c r="J3112" s="1" t="s">
        <v>492</v>
      </c>
      <c r="K3112">
        <v>0</v>
      </c>
      <c r="L3112">
        <v>1475</v>
      </c>
      <c r="M3112">
        <v>304.97834699999999</v>
      </c>
      <c r="N3112">
        <v>1</v>
      </c>
      <c r="O3112" s="1" t="s">
        <v>565</v>
      </c>
      <c r="P3112">
        <v>449873.56</v>
      </c>
      <c r="Q3112">
        <v>83226.600000000006</v>
      </c>
      <c r="R3112">
        <v>0</v>
      </c>
      <c r="S3112" s="1" t="s">
        <v>851</v>
      </c>
      <c r="T3112" s="1"/>
      <c r="U3112">
        <v>449.87356</v>
      </c>
      <c r="V3112">
        <v>0</v>
      </c>
      <c r="W3112">
        <v>79522</v>
      </c>
    </row>
    <row r="3113" spans="1:23" x14ac:dyDescent="0.25">
      <c r="A3113" s="1" t="s">
        <v>37</v>
      </c>
      <c r="B3113" s="1"/>
      <c r="C3113" s="1" t="s">
        <v>193</v>
      </c>
      <c r="D3113">
        <v>10991</v>
      </c>
      <c r="E3113" s="1"/>
      <c r="F3113" s="1" t="s">
        <v>321</v>
      </c>
      <c r="G3113">
        <v>2009</v>
      </c>
      <c r="H3113">
        <v>380427.6</v>
      </c>
      <c r="I3113">
        <v>11</v>
      </c>
      <c r="J3113" s="1" t="s">
        <v>492</v>
      </c>
      <c r="K3113">
        <v>0</v>
      </c>
      <c r="L3113">
        <v>1475</v>
      </c>
      <c r="M3113">
        <v>257.89953200000002</v>
      </c>
      <c r="N3113">
        <v>1</v>
      </c>
      <c r="O3113" s="1" t="s">
        <v>565</v>
      </c>
      <c r="P3113">
        <v>380427.6</v>
      </c>
      <c r="Q3113">
        <v>70379.100000000006</v>
      </c>
      <c r="R3113">
        <v>0</v>
      </c>
      <c r="S3113" s="1" t="s">
        <v>851</v>
      </c>
      <c r="T3113" s="1"/>
      <c r="U3113">
        <v>380.42759999999998</v>
      </c>
      <c r="V3113">
        <v>0</v>
      </c>
      <c r="W3113">
        <v>79522</v>
      </c>
    </row>
    <row r="3114" spans="1:23" x14ac:dyDescent="0.25">
      <c r="A3114" s="1" t="s">
        <v>37</v>
      </c>
      <c r="B3114" s="1"/>
      <c r="C3114" s="1" t="s">
        <v>193</v>
      </c>
      <c r="D3114">
        <v>10991</v>
      </c>
      <c r="E3114" s="1"/>
      <c r="F3114" s="1" t="s">
        <v>321</v>
      </c>
      <c r="G3114">
        <v>2008</v>
      </c>
      <c r="H3114">
        <v>430283.55</v>
      </c>
      <c r="I3114">
        <v>12</v>
      </c>
      <c r="J3114" s="1" t="s">
        <v>492</v>
      </c>
      <c r="K3114">
        <v>0</v>
      </c>
      <c r="L3114">
        <v>1475</v>
      </c>
      <c r="M3114">
        <v>291.69788399999999</v>
      </c>
      <c r="N3114">
        <v>1</v>
      </c>
      <c r="O3114" s="1" t="s">
        <v>565</v>
      </c>
      <c r="P3114">
        <v>430283.55</v>
      </c>
      <c r="Q3114">
        <v>79602.45</v>
      </c>
      <c r="R3114">
        <v>0</v>
      </c>
      <c r="S3114" s="1" t="s">
        <v>851</v>
      </c>
      <c r="T3114" s="1"/>
      <c r="U3114">
        <v>430.28354999999999</v>
      </c>
      <c r="V3114">
        <v>0</v>
      </c>
      <c r="W3114">
        <v>79522</v>
      </c>
    </row>
    <row r="3115" spans="1:23" x14ac:dyDescent="0.25">
      <c r="A3115" s="1" t="s">
        <v>37</v>
      </c>
      <c r="B3115" s="1"/>
      <c r="C3115" s="1" t="s">
        <v>193</v>
      </c>
      <c r="D3115">
        <v>9220</v>
      </c>
      <c r="E3115" s="1"/>
      <c r="F3115" s="1" t="s">
        <v>322</v>
      </c>
      <c r="G3115">
        <v>2015</v>
      </c>
      <c r="H3115">
        <v>31150</v>
      </c>
      <c r="I3115">
        <v>5</v>
      </c>
      <c r="J3115" s="1"/>
      <c r="K3115">
        <v>0</v>
      </c>
      <c r="L3115">
        <v>7549</v>
      </c>
      <c r="M3115">
        <v>4.1263189999999996</v>
      </c>
      <c r="N3115">
        <v>1</v>
      </c>
      <c r="O3115" s="1" t="s">
        <v>562</v>
      </c>
      <c r="P3115">
        <v>31150</v>
      </c>
      <c r="Q3115">
        <v>5762.75</v>
      </c>
      <c r="R3115">
        <v>0</v>
      </c>
      <c r="S3115" s="1" t="s">
        <v>852</v>
      </c>
      <c r="T3115" s="1"/>
      <c r="U3115">
        <v>31150</v>
      </c>
      <c r="V3115">
        <v>0</v>
      </c>
      <c r="W3115">
        <v>77262</v>
      </c>
    </row>
    <row r="3116" spans="1:23" x14ac:dyDescent="0.25">
      <c r="A3116" s="1" t="s">
        <v>37</v>
      </c>
      <c r="B3116" s="1"/>
      <c r="C3116" s="1" t="s">
        <v>193</v>
      </c>
      <c r="D3116">
        <v>9220</v>
      </c>
      <c r="E3116" s="1"/>
      <c r="F3116" s="1" t="s">
        <v>322</v>
      </c>
      <c r="G3116">
        <v>2015</v>
      </c>
      <c r="H3116">
        <v>38218.51</v>
      </c>
      <c r="I3116">
        <v>5</v>
      </c>
      <c r="J3116" s="1"/>
      <c r="K3116">
        <v>0</v>
      </c>
      <c r="L3116">
        <v>7549</v>
      </c>
      <c r="M3116">
        <v>5.0626569999999997</v>
      </c>
      <c r="N3116">
        <v>1</v>
      </c>
      <c r="O3116" s="1" t="s">
        <v>563</v>
      </c>
      <c r="P3116">
        <v>38218.51</v>
      </c>
      <c r="Q3116">
        <v>202649.03</v>
      </c>
      <c r="R3116">
        <v>0</v>
      </c>
      <c r="S3116" s="1" t="s">
        <v>852</v>
      </c>
      <c r="T3116" s="1"/>
      <c r="U3116">
        <v>1095.4000000000001</v>
      </c>
      <c r="V3116">
        <v>77262</v>
      </c>
      <c r="W3116">
        <v>77265</v>
      </c>
    </row>
    <row r="3117" spans="1:23" x14ac:dyDescent="0.25">
      <c r="A3117" s="1" t="s">
        <v>37</v>
      </c>
      <c r="B3117" s="1"/>
      <c r="C3117" s="1" t="s">
        <v>193</v>
      </c>
      <c r="D3117">
        <v>9220</v>
      </c>
      <c r="E3117" s="1"/>
      <c r="F3117" s="1" t="s">
        <v>322</v>
      </c>
      <c r="G3117">
        <v>2015</v>
      </c>
      <c r="H3117">
        <v>333716.49</v>
      </c>
      <c r="I3117">
        <v>5</v>
      </c>
      <c r="J3117" s="1" t="s">
        <v>432</v>
      </c>
      <c r="K3117">
        <v>0</v>
      </c>
      <c r="L3117">
        <v>7549</v>
      </c>
      <c r="M3117">
        <v>44.206128999999997</v>
      </c>
      <c r="N3117">
        <v>1</v>
      </c>
      <c r="O3117" s="1" t="s">
        <v>565</v>
      </c>
      <c r="P3117">
        <v>409782.44</v>
      </c>
      <c r="Q3117">
        <v>75809.740000000005</v>
      </c>
      <c r="R3117">
        <v>0</v>
      </c>
      <c r="S3117" s="1" t="s">
        <v>853</v>
      </c>
      <c r="T3117" s="1"/>
      <c r="U3117">
        <v>-245592.351</v>
      </c>
      <c r="V3117">
        <v>0</v>
      </c>
      <c r="W3117">
        <v>77263</v>
      </c>
    </row>
    <row r="3118" spans="1:23" x14ac:dyDescent="0.25">
      <c r="A3118" s="1" t="s">
        <v>37</v>
      </c>
      <c r="B3118" s="1"/>
      <c r="C3118" s="1" t="s">
        <v>193</v>
      </c>
      <c r="D3118">
        <v>9220</v>
      </c>
      <c r="E3118" s="1"/>
      <c r="F3118" s="1" t="s">
        <v>322</v>
      </c>
      <c r="G3118">
        <v>2014</v>
      </c>
      <c r="H3118">
        <v>46620</v>
      </c>
      <c r="I3118">
        <v>12</v>
      </c>
      <c r="J3118" s="1"/>
      <c r="K3118">
        <v>0</v>
      </c>
      <c r="L3118">
        <v>7549</v>
      </c>
      <c r="M3118">
        <v>6.1755699999999996</v>
      </c>
      <c r="N3118">
        <v>1</v>
      </c>
      <c r="O3118" s="1" t="s">
        <v>562</v>
      </c>
      <c r="P3118">
        <v>46620</v>
      </c>
      <c r="Q3118">
        <v>8624.7000000000007</v>
      </c>
      <c r="R3118">
        <v>0</v>
      </c>
      <c r="S3118" s="1" t="s">
        <v>852</v>
      </c>
      <c r="T3118" s="1"/>
      <c r="U3118">
        <v>46620</v>
      </c>
      <c r="V3118">
        <v>0</v>
      </c>
      <c r="W3118">
        <v>77262</v>
      </c>
    </row>
    <row r="3119" spans="1:23" x14ac:dyDescent="0.25">
      <c r="A3119" s="1" t="s">
        <v>37</v>
      </c>
      <c r="B3119" s="1"/>
      <c r="C3119" s="1" t="s">
        <v>193</v>
      </c>
      <c r="D3119">
        <v>9220</v>
      </c>
      <c r="E3119" s="1"/>
      <c r="F3119" s="1" t="s">
        <v>322</v>
      </c>
      <c r="G3119">
        <v>2014</v>
      </c>
      <c r="H3119">
        <v>51295.28</v>
      </c>
      <c r="I3119">
        <v>12</v>
      </c>
      <c r="J3119" s="1"/>
      <c r="K3119">
        <v>0</v>
      </c>
      <c r="L3119">
        <v>7549</v>
      </c>
      <c r="M3119">
        <v>6.794886</v>
      </c>
      <c r="N3119">
        <v>1</v>
      </c>
      <c r="O3119" s="1" t="s">
        <v>563</v>
      </c>
      <c r="P3119">
        <v>51295.28</v>
      </c>
      <c r="Q3119">
        <v>271987.01</v>
      </c>
      <c r="R3119">
        <v>0</v>
      </c>
      <c r="S3119" s="1" t="s">
        <v>852</v>
      </c>
      <c r="T3119" s="1"/>
      <c r="U3119">
        <v>1470.2</v>
      </c>
      <c r="V3119">
        <v>77262</v>
      </c>
      <c r="W3119">
        <v>77265</v>
      </c>
    </row>
    <row r="3120" spans="1:23" x14ac:dyDescent="0.25">
      <c r="A3120" s="1" t="s">
        <v>37</v>
      </c>
      <c r="B3120" s="1"/>
      <c r="C3120" s="1" t="s">
        <v>193</v>
      </c>
      <c r="D3120">
        <v>9220</v>
      </c>
      <c r="E3120" s="1"/>
      <c r="F3120" s="1" t="s">
        <v>322</v>
      </c>
      <c r="G3120">
        <v>2014</v>
      </c>
      <c r="H3120">
        <v>560704.72</v>
      </c>
      <c r="I3120">
        <v>12</v>
      </c>
      <c r="J3120" s="1" t="s">
        <v>432</v>
      </c>
      <c r="K3120">
        <v>0</v>
      </c>
      <c r="L3120">
        <v>7549</v>
      </c>
      <c r="M3120">
        <v>74.274378999999996</v>
      </c>
      <c r="N3120">
        <v>1</v>
      </c>
      <c r="O3120" s="1" t="s">
        <v>565</v>
      </c>
      <c r="P3120">
        <v>721807.82</v>
      </c>
      <c r="Q3120">
        <v>133534.46</v>
      </c>
      <c r="R3120">
        <v>0</v>
      </c>
      <c r="S3120" s="1" t="s">
        <v>853</v>
      </c>
      <c r="T3120" s="1"/>
      <c r="U3120">
        <v>-469391.20069999999</v>
      </c>
      <c r="V3120">
        <v>0</v>
      </c>
      <c r="W3120">
        <v>77263</v>
      </c>
    </row>
    <row r="3121" spans="1:23" x14ac:dyDescent="0.25">
      <c r="A3121" s="1" t="s">
        <v>37</v>
      </c>
      <c r="B3121" s="1"/>
      <c r="C3121" s="1" t="s">
        <v>193</v>
      </c>
      <c r="D3121">
        <v>9220</v>
      </c>
      <c r="E3121" s="1"/>
      <c r="F3121" s="1" t="s">
        <v>322</v>
      </c>
      <c r="G3121">
        <v>2013</v>
      </c>
      <c r="H3121">
        <v>58620</v>
      </c>
      <c r="I3121">
        <v>12</v>
      </c>
      <c r="J3121" s="1"/>
      <c r="K3121">
        <v>0</v>
      </c>
      <c r="L3121">
        <v>7549</v>
      </c>
      <c r="M3121">
        <v>7.7651640000000004</v>
      </c>
      <c r="N3121">
        <v>1</v>
      </c>
      <c r="O3121" s="1" t="s">
        <v>562</v>
      </c>
      <c r="P3121">
        <v>58620</v>
      </c>
      <c r="Q3121">
        <v>10844.7</v>
      </c>
      <c r="R3121">
        <v>0</v>
      </c>
      <c r="S3121" s="1" t="s">
        <v>852</v>
      </c>
      <c r="T3121" s="1"/>
      <c r="U3121">
        <v>58620</v>
      </c>
      <c r="V3121">
        <v>0</v>
      </c>
      <c r="W3121">
        <v>77262</v>
      </c>
    </row>
    <row r="3122" spans="1:23" x14ac:dyDescent="0.25">
      <c r="A3122" s="1" t="s">
        <v>37</v>
      </c>
      <c r="B3122" s="1"/>
      <c r="C3122" s="1" t="s">
        <v>193</v>
      </c>
      <c r="D3122">
        <v>9220</v>
      </c>
      <c r="E3122" s="1"/>
      <c r="F3122" s="1" t="s">
        <v>322</v>
      </c>
      <c r="G3122">
        <v>2013</v>
      </c>
      <c r="H3122">
        <v>69312.479999999996</v>
      </c>
      <c r="I3122">
        <v>12</v>
      </c>
      <c r="J3122" s="1"/>
      <c r="K3122">
        <v>0</v>
      </c>
      <c r="L3122">
        <v>7549</v>
      </c>
      <c r="M3122">
        <v>9.1815549999999995</v>
      </c>
      <c r="N3122">
        <v>1</v>
      </c>
      <c r="O3122" s="1" t="s">
        <v>563</v>
      </c>
      <c r="P3122">
        <v>69312.479999999996</v>
      </c>
      <c r="Q3122">
        <v>367521.04</v>
      </c>
      <c r="R3122">
        <v>0</v>
      </c>
      <c r="S3122" s="1" t="s">
        <v>852</v>
      </c>
      <c r="T3122" s="1"/>
      <c r="U3122">
        <v>1986.6</v>
      </c>
      <c r="V3122">
        <v>77262</v>
      </c>
      <c r="W3122">
        <v>77265</v>
      </c>
    </row>
    <row r="3123" spans="1:23" x14ac:dyDescent="0.25">
      <c r="A3123" s="1" t="s">
        <v>37</v>
      </c>
      <c r="B3123" s="1"/>
      <c r="C3123" s="1" t="s">
        <v>193</v>
      </c>
      <c r="D3123">
        <v>9220</v>
      </c>
      <c r="E3123" s="1"/>
      <c r="F3123" s="1" t="s">
        <v>322</v>
      </c>
      <c r="G3123">
        <v>2013</v>
      </c>
      <c r="H3123">
        <v>703141.52</v>
      </c>
      <c r="I3123">
        <v>12</v>
      </c>
      <c r="J3123" s="1" t="s">
        <v>432</v>
      </c>
      <c r="K3123">
        <v>0</v>
      </c>
      <c r="L3123">
        <v>7549</v>
      </c>
      <c r="M3123">
        <v>93.142430000000004</v>
      </c>
      <c r="N3123">
        <v>1</v>
      </c>
      <c r="O3123" s="1" t="s">
        <v>565</v>
      </c>
      <c r="P3123">
        <v>738576.82</v>
      </c>
      <c r="Q3123">
        <v>136636.74</v>
      </c>
      <c r="R3123">
        <v>0</v>
      </c>
      <c r="S3123" s="1" t="s">
        <v>853</v>
      </c>
      <c r="T3123" s="1"/>
      <c r="U3123">
        <v>-449617.29100000003</v>
      </c>
      <c r="V3123">
        <v>0</v>
      </c>
      <c r="W3123">
        <v>77263</v>
      </c>
    </row>
    <row r="3124" spans="1:23" x14ac:dyDescent="0.25">
      <c r="A3124" s="1" t="s">
        <v>37</v>
      </c>
      <c r="B3124" s="1"/>
      <c r="C3124" s="1" t="s">
        <v>193</v>
      </c>
      <c r="D3124">
        <v>9220</v>
      </c>
      <c r="E3124" s="1"/>
      <c r="F3124" s="1" t="s">
        <v>322</v>
      </c>
      <c r="G3124">
        <v>2012</v>
      </c>
      <c r="H3124">
        <v>68480</v>
      </c>
      <c r="I3124">
        <v>12</v>
      </c>
      <c r="J3124" s="1"/>
      <c r="K3124">
        <v>0</v>
      </c>
      <c r="L3124">
        <v>7549</v>
      </c>
      <c r="M3124">
        <v>9.0712799999999998</v>
      </c>
      <c r="N3124">
        <v>1</v>
      </c>
      <c r="O3124" s="1" t="s">
        <v>562</v>
      </c>
      <c r="P3124">
        <v>68480</v>
      </c>
      <c r="Q3124">
        <v>12668.8</v>
      </c>
      <c r="R3124">
        <v>0</v>
      </c>
      <c r="S3124" s="1" t="s">
        <v>852</v>
      </c>
      <c r="T3124" s="1"/>
      <c r="U3124">
        <v>68480</v>
      </c>
      <c r="V3124">
        <v>0</v>
      </c>
      <c r="W3124">
        <v>77262</v>
      </c>
    </row>
    <row r="3125" spans="1:23" x14ac:dyDescent="0.25">
      <c r="A3125" s="1" t="s">
        <v>37</v>
      </c>
      <c r="B3125" s="1"/>
      <c r="C3125" s="1" t="s">
        <v>193</v>
      </c>
      <c r="D3125">
        <v>9220</v>
      </c>
      <c r="E3125" s="1"/>
      <c r="F3125" s="1" t="s">
        <v>322</v>
      </c>
      <c r="G3125">
        <v>2012</v>
      </c>
      <c r="H3125">
        <v>56553.2</v>
      </c>
      <c r="I3125">
        <v>12</v>
      </c>
      <c r="J3125" s="1"/>
      <c r="K3125">
        <v>0</v>
      </c>
      <c r="L3125">
        <v>7549</v>
      </c>
      <c r="M3125">
        <v>7.4913829999999999</v>
      </c>
      <c r="N3125">
        <v>1</v>
      </c>
      <c r="O3125" s="1" t="s">
        <v>563</v>
      </c>
      <c r="P3125">
        <v>56553.2</v>
      </c>
      <c r="Q3125">
        <v>299866.48</v>
      </c>
      <c r="R3125">
        <v>0</v>
      </c>
      <c r="S3125" s="1" t="s">
        <v>852</v>
      </c>
      <c r="T3125" s="1"/>
      <c r="U3125">
        <v>1620.9</v>
      </c>
      <c r="V3125">
        <v>77262</v>
      </c>
      <c r="W3125">
        <v>77265</v>
      </c>
    </row>
    <row r="3126" spans="1:23" x14ac:dyDescent="0.25">
      <c r="A3126" s="1" t="s">
        <v>37</v>
      </c>
      <c r="B3126" s="1"/>
      <c r="C3126" s="1" t="s">
        <v>193</v>
      </c>
      <c r="D3126">
        <v>9220</v>
      </c>
      <c r="E3126" s="1"/>
      <c r="F3126" s="1" t="s">
        <v>322</v>
      </c>
      <c r="G3126">
        <v>2012</v>
      </c>
      <c r="H3126">
        <v>823264.89</v>
      </c>
      <c r="I3126">
        <v>12</v>
      </c>
      <c r="J3126" s="1" t="s">
        <v>432</v>
      </c>
      <c r="K3126">
        <v>0</v>
      </c>
      <c r="L3126">
        <v>7549</v>
      </c>
      <c r="M3126">
        <v>109.05470699999999</v>
      </c>
      <c r="N3126">
        <v>1</v>
      </c>
      <c r="O3126" s="1" t="s">
        <v>565</v>
      </c>
      <c r="P3126">
        <v>880499.33</v>
      </c>
      <c r="Q3126">
        <v>162892.32</v>
      </c>
      <c r="R3126">
        <v>0</v>
      </c>
      <c r="S3126" s="1" t="s">
        <v>853</v>
      </c>
      <c r="T3126" s="1"/>
      <c r="U3126">
        <v>-130763.14399</v>
      </c>
      <c r="V3126">
        <v>0</v>
      </c>
      <c r="W3126">
        <v>77263</v>
      </c>
    </row>
    <row r="3127" spans="1:23" x14ac:dyDescent="0.25">
      <c r="A3127" s="1" t="s">
        <v>37</v>
      </c>
      <c r="B3127" s="1"/>
      <c r="C3127" s="1" t="s">
        <v>193</v>
      </c>
      <c r="D3127">
        <v>9220</v>
      </c>
      <c r="E3127" s="1"/>
      <c r="F3127" s="1" t="s">
        <v>322</v>
      </c>
      <c r="G3127">
        <v>2011</v>
      </c>
      <c r="H3127">
        <v>752523.9</v>
      </c>
      <c r="I3127">
        <v>9</v>
      </c>
      <c r="J3127" s="1" t="s">
        <v>432</v>
      </c>
      <c r="K3127">
        <v>0</v>
      </c>
      <c r="L3127">
        <v>7549</v>
      </c>
      <c r="M3127">
        <v>99.683921999999995</v>
      </c>
      <c r="N3127">
        <v>1</v>
      </c>
      <c r="O3127" s="1" t="s">
        <v>565</v>
      </c>
      <c r="P3127">
        <v>933858.15</v>
      </c>
      <c r="Q3127">
        <v>172763.76</v>
      </c>
      <c r="R3127">
        <v>0</v>
      </c>
      <c r="S3127" s="1" t="s">
        <v>853</v>
      </c>
      <c r="T3127" s="1"/>
      <c r="U3127">
        <v>-163799.24012999999</v>
      </c>
      <c r="V3127">
        <v>0</v>
      </c>
      <c r="W3127">
        <v>77263</v>
      </c>
    </row>
    <row r="3128" spans="1:23" x14ac:dyDescent="0.25">
      <c r="A3128" s="1" t="s">
        <v>37</v>
      </c>
      <c r="B3128" s="1"/>
      <c r="C3128" s="1" t="s">
        <v>193</v>
      </c>
      <c r="D3128">
        <v>9220</v>
      </c>
      <c r="E3128" s="1"/>
      <c r="F3128" s="1" t="s">
        <v>322</v>
      </c>
      <c r="G3128">
        <v>2011</v>
      </c>
      <c r="H3128">
        <v>51856.37</v>
      </c>
      <c r="I3128">
        <v>4</v>
      </c>
      <c r="J3128" s="1" t="s">
        <v>493</v>
      </c>
      <c r="K3128">
        <v>0</v>
      </c>
      <c r="L3128">
        <v>7549</v>
      </c>
      <c r="M3128">
        <v>6.8692120000000001</v>
      </c>
      <c r="N3128">
        <v>1</v>
      </c>
      <c r="O3128" s="1" t="s">
        <v>565</v>
      </c>
      <c r="P3128">
        <v>51856.37</v>
      </c>
      <c r="Q3128">
        <v>9.6</v>
      </c>
      <c r="R3128">
        <v>0</v>
      </c>
      <c r="S3128" s="1" t="s">
        <v>854</v>
      </c>
      <c r="T3128" s="1"/>
      <c r="U3128">
        <v>51.856369999999998</v>
      </c>
      <c r="V3128">
        <v>0</v>
      </c>
      <c r="W3128">
        <v>79520</v>
      </c>
    </row>
    <row r="3129" spans="1:23" x14ac:dyDescent="0.25">
      <c r="A3129" s="1" t="s">
        <v>37</v>
      </c>
      <c r="B3129" s="1"/>
      <c r="C3129" s="1" t="s">
        <v>193</v>
      </c>
      <c r="D3129">
        <v>9220</v>
      </c>
      <c r="E3129" s="1"/>
      <c r="F3129" s="1" t="s">
        <v>322</v>
      </c>
      <c r="G3129">
        <v>2011</v>
      </c>
      <c r="H3129">
        <v>81370</v>
      </c>
      <c r="I3129">
        <v>12</v>
      </c>
      <c r="J3129" s="1"/>
      <c r="K3129">
        <v>0</v>
      </c>
      <c r="L3129">
        <v>7549</v>
      </c>
      <c r="M3129">
        <v>10.778767999999999</v>
      </c>
      <c r="N3129">
        <v>1</v>
      </c>
      <c r="O3129" s="1" t="s">
        <v>562</v>
      </c>
      <c r="P3129">
        <v>81370</v>
      </c>
      <c r="Q3129">
        <v>15053.45</v>
      </c>
      <c r="R3129">
        <v>0</v>
      </c>
      <c r="S3129" s="1" t="s">
        <v>852</v>
      </c>
      <c r="T3129" s="1"/>
      <c r="U3129">
        <v>81370</v>
      </c>
      <c r="V3129">
        <v>0</v>
      </c>
      <c r="W3129">
        <v>77262</v>
      </c>
    </row>
    <row r="3130" spans="1:23" x14ac:dyDescent="0.25">
      <c r="A3130" s="1" t="s">
        <v>37</v>
      </c>
      <c r="B3130" s="1"/>
      <c r="C3130" s="1" t="s">
        <v>193</v>
      </c>
      <c r="D3130">
        <v>9220</v>
      </c>
      <c r="E3130" s="1"/>
      <c r="F3130" s="1" t="s">
        <v>322</v>
      </c>
      <c r="G3130">
        <v>2011</v>
      </c>
      <c r="H3130">
        <v>61280.82</v>
      </c>
      <c r="I3130">
        <v>12</v>
      </c>
      <c r="J3130" s="1"/>
      <c r="K3130">
        <v>0</v>
      </c>
      <c r="L3130">
        <v>7549</v>
      </c>
      <c r="M3130">
        <v>8.1176320000000004</v>
      </c>
      <c r="N3130">
        <v>1</v>
      </c>
      <c r="O3130" s="1" t="s">
        <v>563</v>
      </c>
      <c r="P3130">
        <v>61280.82</v>
      </c>
      <c r="Q3130">
        <v>324934.15000000002</v>
      </c>
      <c r="R3130">
        <v>0</v>
      </c>
      <c r="S3130" s="1" t="s">
        <v>852</v>
      </c>
      <c r="T3130" s="1"/>
      <c r="U3130">
        <v>1756.4</v>
      </c>
      <c r="V3130">
        <v>77262</v>
      </c>
      <c r="W3130">
        <v>77265</v>
      </c>
    </row>
    <row r="3131" spans="1:23" x14ac:dyDescent="0.25">
      <c r="A3131" s="1" t="s">
        <v>37</v>
      </c>
      <c r="B3131" s="1"/>
      <c r="C3131" s="1" t="s">
        <v>193</v>
      </c>
      <c r="D3131">
        <v>9220</v>
      </c>
      <c r="E3131" s="1"/>
      <c r="F3131" s="1" t="s">
        <v>322</v>
      </c>
      <c r="G3131">
        <v>2010</v>
      </c>
      <c r="H3131">
        <v>821040.68</v>
      </c>
      <c r="I3131">
        <v>13</v>
      </c>
      <c r="J3131" s="1" t="s">
        <v>432</v>
      </c>
      <c r="K3131">
        <v>0</v>
      </c>
      <c r="L3131">
        <v>7549</v>
      </c>
      <c r="M3131">
        <v>108.760074</v>
      </c>
      <c r="N3131">
        <v>1</v>
      </c>
      <c r="O3131" s="1" t="s">
        <v>565</v>
      </c>
      <c r="P3131">
        <v>713579.35</v>
      </c>
      <c r="Q3131">
        <v>132012.21</v>
      </c>
      <c r="R3131">
        <v>0</v>
      </c>
      <c r="S3131" s="1" t="s">
        <v>853</v>
      </c>
      <c r="T3131" s="1"/>
      <c r="U3131">
        <v>-124860.03247999999</v>
      </c>
      <c r="V3131">
        <v>0</v>
      </c>
      <c r="W3131">
        <v>77263</v>
      </c>
    </row>
    <row r="3132" spans="1:23" x14ac:dyDescent="0.25">
      <c r="A3132" s="1" t="s">
        <v>37</v>
      </c>
      <c r="B3132" s="1"/>
      <c r="C3132" s="1" t="s">
        <v>193</v>
      </c>
      <c r="D3132">
        <v>9220</v>
      </c>
      <c r="E3132" s="1"/>
      <c r="F3132" s="1" t="s">
        <v>322</v>
      </c>
      <c r="G3132">
        <v>2010</v>
      </c>
      <c r="H3132">
        <v>84159.63</v>
      </c>
      <c r="I3132">
        <v>12</v>
      </c>
      <c r="J3132" s="1" t="s">
        <v>493</v>
      </c>
      <c r="K3132">
        <v>0</v>
      </c>
      <c r="L3132">
        <v>7549</v>
      </c>
      <c r="M3132">
        <v>11.148299</v>
      </c>
      <c r="N3132">
        <v>1</v>
      </c>
      <c r="O3132" s="1" t="s">
        <v>565</v>
      </c>
      <c r="P3132">
        <v>84159.63</v>
      </c>
      <c r="Q3132">
        <v>15.56</v>
      </c>
      <c r="R3132">
        <v>0</v>
      </c>
      <c r="S3132" s="1" t="s">
        <v>854</v>
      </c>
      <c r="T3132" s="1"/>
      <c r="U3132">
        <v>84.159630000000007</v>
      </c>
      <c r="V3132">
        <v>0</v>
      </c>
      <c r="W3132">
        <v>79520</v>
      </c>
    </row>
    <row r="3133" spans="1:23" x14ac:dyDescent="0.25">
      <c r="A3133" s="1" t="s">
        <v>37</v>
      </c>
      <c r="B3133" s="1"/>
      <c r="C3133" s="1" t="s">
        <v>193</v>
      </c>
      <c r="D3133">
        <v>9220</v>
      </c>
      <c r="E3133" s="1"/>
      <c r="F3133" s="1" t="s">
        <v>322</v>
      </c>
      <c r="G3133">
        <v>2010</v>
      </c>
      <c r="H3133">
        <v>23010</v>
      </c>
      <c r="I3133">
        <v>12</v>
      </c>
      <c r="J3133" s="1"/>
      <c r="K3133">
        <v>0</v>
      </c>
      <c r="L3133">
        <v>7549</v>
      </c>
      <c r="M3133">
        <v>3.0480450000000001</v>
      </c>
      <c r="N3133">
        <v>1</v>
      </c>
      <c r="O3133" s="1" t="s">
        <v>562</v>
      </c>
      <c r="P3133">
        <v>23010</v>
      </c>
      <c r="Q3133">
        <v>4256.8500000000004</v>
      </c>
      <c r="R3133">
        <v>0</v>
      </c>
      <c r="S3133" s="1" t="s">
        <v>852</v>
      </c>
      <c r="T3133" s="1"/>
      <c r="U3133">
        <v>23010</v>
      </c>
      <c r="V3133">
        <v>0</v>
      </c>
      <c r="W3133">
        <v>77262</v>
      </c>
    </row>
    <row r="3134" spans="1:23" x14ac:dyDescent="0.25">
      <c r="A3134" s="1" t="s">
        <v>37</v>
      </c>
      <c r="B3134" s="1"/>
      <c r="C3134" s="1" t="s">
        <v>193</v>
      </c>
      <c r="D3134">
        <v>9220</v>
      </c>
      <c r="E3134" s="1"/>
      <c r="F3134" s="1" t="s">
        <v>322</v>
      </c>
      <c r="G3134">
        <v>2010</v>
      </c>
      <c r="H3134">
        <v>16806.52</v>
      </c>
      <c r="I3134">
        <v>12</v>
      </c>
      <c r="J3134" s="1"/>
      <c r="K3134">
        <v>0</v>
      </c>
      <c r="L3134">
        <v>7549</v>
      </c>
      <c r="M3134">
        <v>2.2262940000000002</v>
      </c>
      <c r="N3134">
        <v>1</v>
      </c>
      <c r="O3134" s="1" t="s">
        <v>563</v>
      </c>
      <c r="P3134">
        <v>16806.52</v>
      </c>
      <c r="Q3134">
        <v>89114.54</v>
      </c>
      <c r="R3134">
        <v>0</v>
      </c>
      <c r="S3134" s="1" t="s">
        <v>852</v>
      </c>
      <c r="T3134" s="1"/>
      <c r="U3134">
        <v>481.7</v>
      </c>
      <c r="V3134">
        <v>77262</v>
      </c>
      <c r="W3134">
        <v>77265</v>
      </c>
    </row>
    <row r="3135" spans="1:23" x14ac:dyDescent="0.25">
      <c r="A3135" s="1" t="s">
        <v>37</v>
      </c>
      <c r="B3135" s="1"/>
      <c r="C3135" s="1" t="s">
        <v>193</v>
      </c>
      <c r="D3135">
        <v>9220</v>
      </c>
      <c r="E3135" s="1"/>
      <c r="F3135" s="1" t="s">
        <v>322</v>
      </c>
      <c r="G3135">
        <v>2009</v>
      </c>
      <c r="H3135">
        <v>31120</v>
      </c>
      <c r="I3135">
        <v>12</v>
      </c>
      <c r="J3135" s="1"/>
      <c r="K3135">
        <v>0</v>
      </c>
      <c r="L3135">
        <v>7549</v>
      </c>
      <c r="M3135">
        <v>4.1223450000000001</v>
      </c>
      <c r="N3135">
        <v>1</v>
      </c>
      <c r="O3135" s="1" t="s">
        <v>562</v>
      </c>
      <c r="P3135">
        <v>31120</v>
      </c>
      <c r="Q3135">
        <v>5757.2</v>
      </c>
      <c r="R3135">
        <v>0</v>
      </c>
      <c r="S3135" s="1" t="s">
        <v>852</v>
      </c>
      <c r="T3135" s="1"/>
      <c r="U3135">
        <v>31120</v>
      </c>
      <c r="V3135">
        <v>0</v>
      </c>
      <c r="W3135">
        <v>77262</v>
      </c>
    </row>
    <row r="3136" spans="1:23" x14ac:dyDescent="0.25">
      <c r="A3136" s="1" t="s">
        <v>37</v>
      </c>
      <c r="B3136" s="1"/>
      <c r="C3136" s="1" t="s">
        <v>193</v>
      </c>
      <c r="D3136">
        <v>9220</v>
      </c>
      <c r="E3136" s="1"/>
      <c r="F3136" s="1" t="s">
        <v>322</v>
      </c>
      <c r="G3136">
        <v>2009</v>
      </c>
      <c r="H3136">
        <v>18708.009999999998</v>
      </c>
      <c r="I3136">
        <v>12</v>
      </c>
      <c r="J3136" s="1"/>
      <c r="K3136">
        <v>0</v>
      </c>
      <c r="L3136">
        <v>7549</v>
      </c>
      <c r="M3136">
        <v>2.4781770000000001</v>
      </c>
      <c r="N3136">
        <v>1</v>
      </c>
      <c r="O3136" s="1" t="s">
        <v>563</v>
      </c>
      <c r="P3136">
        <v>18708.009999999998</v>
      </c>
      <c r="Q3136">
        <v>99196.96</v>
      </c>
      <c r="R3136">
        <v>0</v>
      </c>
      <c r="S3136" s="1" t="s">
        <v>852</v>
      </c>
      <c r="T3136" s="1"/>
      <c r="U3136">
        <v>536.20000000000005</v>
      </c>
      <c r="V3136">
        <v>77262</v>
      </c>
      <c r="W3136">
        <v>77265</v>
      </c>
    </row>
    <row r="3137" spans="1:23" x14ac:dyDescent="0.25">
      <c r="A3137" s="1" t="s">
        <v>37</v>
      </c>
      <c r="B3137" s="1"/>
      <c r="C3137" s="1" t="s">
        <v>193</v>
      </c>
      <c r="D3137">
        <v>9220</v>
      </c>
      <c r="E3137" s="1"/>
      <c r="F3137" s="1" t="s">
        <v>322</v>
      </c>
      <c r="G3137">
        <v>2009</v>
      </c>
      <c r="H3137">
        <v>702998.53</v>
      </c>
      <c r="I3137">
        <v>11</v>
      </c>
      <c r="J3137" s="1" t="s">
        <v>432</v>
      </c>
      <c r="K3137">
        <v>0</v>
      </c>
      <c r="L3137">
        <v>7549</v>
      </c>
      <c r="M3137">
        <v>93.123487999999995</v>
      </c>
      <c r="N3137">
        <v>1</v>
      </c>
      <c r="O3137" s="1" t="s">
        <v>565</v>
      </c>
      <c r="P3137">
        <v>766481.99</v>
      </c>
      <c r="Q3137">
        <v>141799.20000000001</v>
      </c>
      <c r="R3137">
        <v>0</v>
      </c>
      <c r="S3137" s="1" t="s">
        <v>853</v>
      </c>
      <c r="T3137" s="1"/>
      <c r="U3137">
        <v>-102488.5102</v>
      </c>
      <c r="V3137">
        <v>0</v>
      </c>
      <c r="W3137">
        <v>77263</v>
      </c>
    </row>
    <row r="3138" spans="1:23" x14ac:dyDescent="0.25">
      <c r="A3138" s="1" t="s">
        <v>37</v>
      </c>
      <c r="B3138" s="1"/>
      <c r="C3138" s="1" t="s">
        <v>193</v>
      </c>
      <c r="D3138">
        <v>9220</v>
      </c>
      <c r="E3138" s="1"/>
      <c r="F3138" s="1" t="s">
        <v>322</v>
      </c>
      <c r="G3138">
        <v>2009</v>
      </c>
      <c r="H3138">
        <v>61012.7</v>
      </c>
      <c r="I3138">
        <v>11</v>
      </c>
      <c r="J3138" s="1" t="s">
        <v>493</v>
      </c>
      <c r="K3138">
        <v>0</v>
      </c>
      <c r="L3138">
        <v>7549</v>
      </c>
      <c r="M3138">
        <v>8.0821149999999999</v>
      </c>
      <c r="N3138">
        <v>1</v>
      </c>
      <c r="O3138" s="1" t="s">
        <v>565</v>
      </c>
      <c r="P3138">
        <v>61012.7</v>
      </c>
      <c r="Q3138">
        <v>11.28</v>
      </c>
      <c r="R3138">
        <v>0</v>
      </c>
      <c r="S3138" s="1" t="s">
        <v>854</v>
      </c>
      <c r="T3138" s="1"/>
      <c r="U3138">
        <v>61.012700000000002</v>
      </c>
      <c r="V3138">
        <v>0</v>
      </c>
      <c r="W3138">
        <v>79520</v>
      </c>
    </row>
    <row r="3139" spans="1:23" x14ac:dyDescent="0.25">
      <c r="A3139" s="1" t="s">
        <v>37</v>
      </c>
      <c r="B3139" s="1"/>
      <c r="C3139" s="1" t="s">
        <v>193</v>
      </c>
      <c r="D3139">
        <v>9220</v>
      </c>
      <c r="E3139" s="1"/>
      <c r="F3139" s="1" t="s">
        <v>322</v>
      </c>
      <c r="G3139">
        <v>2008</v>
      </c>
      <c r="H3139">
        <v>48887.75</v>
      </c>
      <c r="I3139">
        <v>12</v>
      </c>
      <c r="J3139" s="1" t="s">
        <v>493</v>
      </c>
      <c r="K3139">
        <v>0</v>
      </c>
      <c r="L3139">
        <v>7549</v>
      </c>
      <c r="M3139">
        <v>6.4759700000000002</v>
      </c>
      <c r="N3139">
        <v>1</v>
      </c>
      <c r="O3139" s="1" t="s">
        <v>565</v>
      </c>
      <c r="P3139">
        <v>48887.75</v>
      </c>
      <c r="Q3139">
        <v>9.0500000000000007</v>
      </c>
      <c r="R3139">
        <v>0</v>
      </c>
      <c r="S3139" s="1" t="s">
        <v>854</v>
      </c>
      <c r="T3139" s="1"/>
      <c r="U3139">
        <v>48.887749999999997</v>
      </c>
      <c r="V3139">
        <v>0</v>
      </c>
      <c r="W3139">
        <v>79520</v>
      </c>
    </row>
    <row r="3140" spans="1:23" x14ac:dyDescent="0.25">
      <c r="A3140" s="1" t="s">
        <v>37</v>
      </c>
      <c r="B3140" s="1"/>
      <c r="C3140" s="1" t="s">
        <v>193</v>
      </c>
      <c r="D3140">
        <v>9220</v>
      </c>
      <c r="E3140" s="1"/>
      <c r="F3140" s="1" t="s">
        <v>322</v>
      </c>
      <c r="G3140">
        <v>2008</v>
      </c>
      <c r="H3140">
        <v>17860</v>
      </c>
      <c r="I3140">
        <v>12</v>
      </c>
      <c r="J3140" s="1"/>
      <c r="K3140">
        <v>0</v>
      </c>
      <c r="L3140">
        <v>7549</v>
      </c>
      <c r="M3140">
        <v>2.3658440000000001</v>
      </c>
      <c r="N3140">
        <v>1</v>
      </c>
      <c r="O3140" s="1" t="s">
        <v>562</v>
      </c>
      <c r="P3140">
        <v>17860</v>
      </c>
      <c r="Q3140">
        <v>3304.1</v>
      </c>
      <c r="R3140">
        <v>0</v>
      </c>
      <c r="S3140" s="1" t="s">
        <v>852</v>
      </c>
      <c r="T3140" s="1"/>
      <c r="U3140">
        <v>17860</v>
      </c>
      <c r="V3140">
        <v>0</v>
      </c>
      <c r="W3140">
        <v>77262</v>
      </c>
    </row>
    <row r="3141" spans="1:23" x14ac:dyDescent="0.25">
      <c r="A3141" s="1" t="s">
        <v>37</v>
      </c>
      <c r="B3141" s="1"/>
      <c r="C3141" s="1" t="s">
        <v>193</v>
      </c>
      <c r="D3141">
        <v>9220</v>
      </c>
      <c r="E3141" s="1"/>
      <c r="F3141" s="1" t="s">
        <v>322</v>
      </c>
      <c r="G3141">
        <v>2008</v>
      </c>
      <c r="H3141">
        <v>10774.04</v>
      </c>
      <c r="I3141">
        <v>12</v>
      </c>
      <c r="J3141" s="1"/>
      <c r="K3141">
        <v>0</v>
      </c>
      <c r="L3141">
        <v>7549</v>
      </c>
      <c r="M3141">
        <v>1.427195</v>
      </c>
      <c r="N3141">
        <v>1</v>
      </c>
      <c r="O3141" s="1" t="s">
        <v>563</v>
      </c>
      <c r="P3141">
        <v>10774.04</v>
      </c>
      <c r="Q3141">
        <v>57128.04</v>
      </c>
      <c r="R3141">
        <v>0</v>
      </c>
      <c r="S3141" s="1" t="s">
        <v>852</v>
      </c>
      <c r="T3141" s="1"/>
      <c r="U3141">
        <v>308.8</v>
      </c>
      <c r="V3141">
        <v>77262</v>
      </c>
      <c r="W3141">
        <v>77265</v>
      </c>
    </row>
    <row r="3142" spans="1:23" x14ac:dyDescent="0.25">
      <c r="A3142" s="1" t="s">
        <v>37</v>
      </c>
      <c r="B3142" s="1"/>
      <c r="C3142" s="1" t="s">
        <v>193</v>
      </c>
      <c r="D3142">
        <v>9220</v>
      </c>
      <c r="E3142" s="1"/>
      <c r="F3142" s="1" t="s">
        <v>322</v>
      </c>
      <c r="G3142">
        <v>2008</v>
      </c>
      <c r="H3142">
        <v>978541.43</v>
      </c>
      <c r="I3142">
        <v>12</v>
      </c>
      <c r="J3142" s="1" t="s">
        <v>432</v>
      </c>
      <c r="K3142">
        <v>0</v>
      </c>
      <c r="L3142">
        <v>7549</v>
      </c>
      <c r="M3142">
        <v>129.62358800000001</v>
      </c>
      <c r="N3142">
        <v>1</v>
      </c>
      <c r="O3142" s="1" t="s">
        <v>565</v>
      </c>
      <c r="P3142">
        <v>1143359.98</v>
      </c>
      <c r="Q3142">
        <v>211521.63</v>
      </c>
      <c r="R3142">
        <v>0</v>
      </c>
      <c r="S3142" s="1" t="s">
        <v>853</v>
      </c>
      <c r="T3142" s="1"/>
      <c r="U3142">
        <v>-51993.854180000002</v>
      </c>
      <c r="V3142">
        <v>0</v>
      </c>
      <c r="W3142">
        <v>77263</v>
      </c>
    </row>
    <row r="3143" spans="1:23" x14ac:dyDescent="0.25">
      <c r="A3143" s="1" t="s">
        <v>37</v>
      </c>
      <c r="B3143" s="1"/>
      <c r="C3143" s="1" t="s">
        <v>193</v>
      </c>
      <c r="D3143">
        <v>11000</v>
      </c>
      <c r="E3143" s="1"/>
      <c r="F3143" s="1" t="s">
        <v>323</v>
      </c>
      <c r="G3143">
        <v>2015</v>
      </c>
      <c r="H3143">
        <v>14374</v>
      </c>
      <c r="I3143">
        <v>5</v>
      </c>
      <c r="J3143" s="1" t="s">
        <v>494</v>
      </c>
      <c r="K3143">
        <v>0</v>
      </c>
      <c r="L3143">
        <v>652</v>
      </c>
      <c r="M3143">
        <v>22.042631</v>
      </c>
      <c r="N3143">
        <v>1</v>
      </c>
      <c r="O3143" s="1" t="s">
        <v>562</v>
      </c>
      <c r="P3143">
        <v>14374</v>
      </c>
      <c r="Q3143">
        <v>919.93</v>
      </c>
      <c r="R3143">
        <v>0</v>
      </c>
      <c r="S3143" s="1" t="s">
        <v>855</v>
      </c>
      <c r="T3143" s="1"/>
      <c r="U3143">
        <v>14374</v>
      </c>
      <c r="V3143">
        <v>0</v>
      </c>
      <c r="W3143">
        <v>79521</v>
      </c>
    </row>
    <row r="3144" spans="1:23" x14ac:dyDescent="0.25">
      <c r="A3144" s="1" t="s">
        <v>37</v>
      </c>
      <c r="B3144" s="1"/>
      <c r="C3144" s="1" t="s">
        <v>193</v>
      </c>
      <c r="D3144">
        <v>11000</v>
      </c>
      <c r="E3144" s="1"/>
      <c r="F3144" s="1" t="s">
        <v>323</v>
      </c>
      <c r="G3144">
        <v>2015</v>
      </c>
      <c r="H3144">
        <v>8370.92</v>
      </c>
      <c r="I3144">
        <v>5</v>
      </c>
      <c r="J3144" s="1" t="s">
        <v>450</v>
      </c>
      <c r="K3144">
        <v>0</v>
      </c>
      <c r="L3144">
        <v>652</v>
      </c>
      <c r="M3144">
        <v>12.836865</v>
      </c>
      <c r="N3144">
        <v>1</v>
      </c>
      <c r="O3144" s="1" t="s">
        <v>565</v>
      </c>
      <c r="P3144">
        <v>8370.92</v>
      </c>
      <c r="Q3144">
        <v>0.52</v>
      </c>
      <c r="R3144">
        <v>0</v>
      </c>
      <c r="S3144" s="1" t="s">
        <v>856</v>
      </c>
      <c r="T3144" s="1"/>
      <c r="U3144">
        <v>-98956.645000000004</v>
      </c>
      <c r="V3144">
        <v>0</v>
      </c>
      <c r="W3144">
        <v>80204</v>
      </c>
    </row>
    <row r="3145" spans="1:23" x14ac:dyDescent="0.25">
      <c r="A3145" s="1" t="s">
        <v>37</v>
      </c>
      <c r="B3145" s="1"/>
      <c r="C3145" s="1" t="s">
        <v>193</v>
      </c>
      <c r="D3145">
        <v>11000</v>
      </c>
      <c r="E3145" s="1"/>
      <c r="F3145" s="1" t="s">
        <v>323</v>
      </c>
      <c r="G3145">
        <v>2014</v>
      </c>
      <c r="H3145">
        <v>22869</v>
      </c>
      <c r="I3145">
        <v>12</v>
      </c>
      <c r="J3145" s="1" t="s">
        <v>494</v>
      </c>
      <c r="K3145">
        <v>0</v>
      </c>
      <c r="L3145">
        <v>652</v>
      </c>
      <c r="M3145">
        <v>35.069774000000002</v>
      </c>
      <c r="N3145">
        <v>1</v>
      </c>
      <c r="O3145" s="1" t="s">
        <v>562</v>
      </c>
      <c r="P3145">
        <v>22869</v>
      </c>
      <c r="Q3145">
        <v>1463.61</v>
      </c>
      <c r="R3145">
        <v>0</v>
      </c>
      <c r="S3145" s="1" t="s">
        <v>855</v>
      </c>
      <c r="T3145" s="1"/>
      <c r="U3145">
        <v>22869</v>
      </c>
      <c r="V3145">
        <v>0</v>
      </c>
      <c r="W3145">
        <v>79521</v>
      </c>
    </row>
    <row r="3146" spans="1:23" x14ac:dyDescent="0.25">
      <c r="A3146" s="1" t="s">
        <v>37</v>
      </c>
      <c r="B3146" s="1"/>
      <c r="C3146" s="1" t="s">
        <v>193</v>
      </c>
      <c r="D3146">
        <v>11000</v>
      </c>
      <c r="E3146" s="1"/>
      <c r="F3146" s="1" t="s">
        <v>323</v>
      </c>
      <c r="G3146">
        <v>2014</v>
      </c>
      <c r="H3146">
        <v>14110.89</v>
      </c>
      <c r="I3146">
        <v>12</v>
      </c>
      <c r="J3146" s="1" t="s">
        <v>450</v>
      </c>
      <c r="K3146">
        <v>0</v>
      </c>
      <c r="L3146">
        <v>652</v>
      </c>
      <c r="M3146">
        <v>21.639150000000001</v>
      </c>
      <c r="N3146">
        <v>1</v>
      </c>
      <c r="O3146" s="1" t="s">
        <v>565</v>
      </c>
      <c r="P3146">
        <v>14110.89</v>
      </c>
      <c r="Q3146">
        <v>0.91</v>
      </c>
      <c r="R3146">
        <v>0</v>
      </c>
      <c r="S3146" s="1" t="s">
        <v>856</v>
      </c>
      <c r="T3146" s="1"/>
      <c r="U3146">
        <v>-178706.10010000001</v>
      </c>
      <c r="V3146">
        <v>0</v>
      </c>
      <c r="W3146">
        <v>80204</v>
      </c>
    </row>
    <row r="3147" spans="1:23" x14ac:dyDescent="0.25">
      <c r="A3147" s="1" t="s">
        <v>37</v>
      </c>
      <c r="B3147" s="1"/>
      <c r="C3147" s="1" t="s">
        <v>193</v>
      </c>
      <c r="D3147">
        <v>11000</v>
      </c>
      <c r="E3147" s="1"/>
      <c r="F3147" s="1" t="s">
        <v>323</v>
      </c>
      <c r="G3147">
        <v>2013</v>
      </c>
      <c r="H3147">
        <v>5659.85</v>
      </c>
      <c r="I3147">
        <v>12</v>
      </c>
      <c r="J3147" s="1" t="s">
        <v>450</v>
      </c>
      <c r="K3147">
        <v>0</v>
      </c>
      <c r="L3147">
        <v>652</v>
      </c>
      <c r="M3147">
        <v>8.6794200000000004</v>
      </c>
      <c r="N3147">
        <v>1</v>
      </c>
      <c r="O3147" s="1" t="s">
        <v>565</v>
      </c>
      <c r="P3147">
        <v>5659.85</v>
      </c>
      <c r="Q3147">
        <v>0.37</v>
      </c>
      <c r="R3147">
        <v>0</v>
      </c>
      <c r="S3147" s="1" t="s">
        <v>856</v>
      </c>
      <c r="T3147" s="1"/>
      <c r="U3147">
        <v>-216577.69</v>
      </c>
      <c r="V3147">
        <v>0</v>
      </c>
      <c r="W3147">
        <v>80204</v>
      </c>
    </row>
    <row r="3148" spans="1:23" x14ac:dyDescent="0.25">
      <c r="A3148" s="1" t="s">
        <v>37</v>
      </c>
      <c r="B3148" s="1"/>
      <c r="C3148" s="1" t="s">
        <v>193</v>
      </c>
      <c r="D3148">
        <v>11000</v>
      </c>
      <c r="E3148" s="1"/>
      <c r="F3148" s="1" t="s">
        <v>323</v>
      </c>
      <c r="G3148">
        <v>2013</v>
      </c>
      <c r="H3148">
        <v>35315</v>
      </c>
      <c r="I3148">
        <v>12</v>
      </c>
      <c r="J3148" s="1" t="s">
        <v>494</v>
      </c>
      <c r="K3148">
        <v>0</v>
      </c>
      <c r="L3148">
        <v>652</v>
      </c>
      <c r="M3148">
        <v>54.155804000000003</v>
      </c>
      <c r="N3148">
        <v>1</v>
      </c>
      <c r="O3148" s="1" t="s">
        <v>562</v>
      </c>
      <c r="P3148">
        <v>35315</v>
      </c>
      <c r="Q3148">
        <v>2260.17</v>
      </c>
      <c r="R3148">
        <v>0</v>
      </c>
      <c r="S3148" s="1" t="s">
        <v>855</v>
      </c>
      <c r="T3148" s="1"/>
      <c r="U3148">
        <v>35315</v>
      </c>
      <c r="V3148">
        <v>0</v>
      </c>
      <c r="W3148">
        <v>79521</v>
      </c>
    </row>
    <row r="3149" spans="1:23" x14ac:dyDescent="0.25">
      <c r="A3149" s="1" t="s">
        <v>37</v>
      </c>
      <c r="B3149" s="1"/>
      <c r="C3149" s="1" t="s">
        <v>193</v>
      </c>
      <c r="D3149">
        <v>11000</v>
      </c>
      <c r="E3149" s="1"/>
      <c r="F3149" s="1" t="s">
        <v>323</v>
      </c>
      <c r="G3149">
        <v>2012</v>
      </c>
      <c r="H3149">
        <v>-2519.09</v>
      </c>
      <c r="I3149">
        <v>12</v>
      </c>
      <c r="J3149" s="1" t="s">
        <v>450</v>
      </c>
      <c r="K3149">
        <v>0</v>
      </c>
      <c r="L3149">
        <v>652</v>
      </c>
      <c r="M3149">
        <v>-3.8630420000000001</v>
      </c>
      <c r="N3149">
        <v>1</v>
      </c>
      <c r="O3149" s="1" t="s">
        <v>565</v>
      </c>
      <c r="P3149">
        <v>-2519.09</v>
      </c>
      <c r="Q3149">
        <v>-0.47</v>
      </c>
      <c r="R3149">
        <v>0</v>
      </c>
      <c r="S3149" s="1" t="s">
        <v>856</v>
      </c>
      <c r="T3149" s="1"/>
      <c r="U3149">
        <v>-194000.98373000001</v>
      </c>
      <c r="V3149">
        <v>0</v>
      </c>
      <c r="W3149">
        <v>80204</v>
      </c>
    </row>
    <row r="3150" spans="1:23" x14ac:dyDescent="0.25">
      <c r="A3150" s="1" t="s">
        <v>37</v>
      </c>
      <c r="B3150" s="1"/>
      <c r="C3150" s="1" t="s">
        <v>193</v>
      </c>
      <c r="D3150">
        <v>11000</v>
      </c>
      <c r="E3150" s="1"/>
      <c r="F3150" s="1" t="s">
        <v>323</v>
      </c>
      <c r="G3150">
        <v>2012</v>
      </c>
      <c r="H3150">
        <v>31637</v>
      </c>
      <c r="I3150">
        <v>12</v>
      </c>
      <c r="J3150" s="1" t="s">
        <v>494</v>
      </c>
      <c r="K3150">
        <v>0</v>
      </c>
      <c r="L3150">
        <v>652</v>
      </c>
      <c r="M3150">
        <v>48.515565000000002</v>
      </c>
      <c r="N3150">
        <v>1</v>
      </c>
      <c r="O3150" s="1" t="s">
        <v>562</v>
      </c>
      <c r="P3150">
        <v>31637</v>
      </c>
      <c r="Q3150">
        <v>5852.84</v>
      </c>
      <c r="R3150">
        <v>0</v>
      </c>
      <c r="S3150" s="1" t="s">
        <v>855</v>
      </c>
      <c r="T3150" s="1"/>
      <c r="U3150">
        <v>31637</v>
      </c>
      <c r="V3150">
        <v>0</v>
      </c>
      <c r="W3150">
        <v>79521</v>
      </c>
    </row>
    <row r="3151" spans="1:23" x14ac:dyDescent="0.25">
      <c r="A3151" s="1" t="s">
        <v>37</v>
      </c>
      <c r="B3151" s="1"/>
      <c r="C3151" s="1" t="s">
        <v>193</v>
      </c>
      <c r="D3151">
        <v>11000</v>
      </c>
      <c r="E3151" s="1"/>
      <c r="F3151" s="1" t="s">
        <v>323</v>
      </c>
      <c r="G3151">
        <v>2011</v>
      </c>
      <c r="H3151">
        <v>37191</v>
      </c>
      <c r="I3151">
        <v>12</v>
      </c>
      <c r="J3151" s="1" t="s">
        <v>494</v>
      </c>
      <c r="K3151">
        <v>0</v>
      </c>
      <c r="L3151">
        <v>652</v>
      </c>
      <c r="M3151">
        <v>57.032662999999999</v>
      </c>
      <c r="N3151">
        <v>1</v>
      </c>
      <c r="O3151" s="1" t="s">
        <v>562</v>
      </c>
      <c r="P3151">
        <v>37191</v>
      </c>
      <c r="Q3151">
        <v>6880.34</v>
      </c>
      <c r="R3151">
        <v>0</v>
      </c>
      <c r="S3151" s="1" t="s">
        <v>855</v>
      </c>
      <c r="T3151" s="1"/>
      <c r="U3151">
        <v>37191</v>
      </c>
      <c r="V3151">
        <v>0</v>
      </c>
      <c r="W3151">
        <v>79521</v>
      </c>
    </row>
    <row r="3152" spans="1:23" x14ac:dyDescent="0.25">
      <c r="A3152" s="1" t="s">
        <v>37</v>
      </c>
      <c r="B3152" s="1"/>
      <c r="C3152" s="1" t="s">
        <v>193</v>
      </c>
      <c r="D3152">
        <v>11000</v>
      </c>
      <c r="E3152" s="1"/>
      <c r="F3152" s="1" t="s">
        <v>323</v>
      </c>
      <c r="G3152">
        <v>2011</v>
      </c>
      <c r="H3152">
        <v>-17818.52</v>
      </c>
      <c r="I3152">
        <v>12</v>
      </c>
      <c r="J3152" s="1" t="s">
        <v>450</v>
      </c>
      <c r="K3152">
        <v>0</v>
      </c>
      <c r="L3152">
        <v>652</v>
      </c>
      <c r="M3152">
        <v>-27.324826999999999</v>
      </c>
      <c r="N3152">
        <v>1</v>
      </c>
      <c r="O3152" s="1" t="s">
        <v>565</v>
      </c>
      <c r="P3152">
        <v>-17818.52</v>
      </c>
      <c r="Q3152">
        <v>-3.29</v>
      </c>
      <c r="R3152">
        <v>0</v>
      </c>
      <c r="S3152" s="1" t="s">
        <v>856</v>
      </c>
      <c r="T3152" s="1"/>
      <c r="U3152">
        <v>-17.818519999999999</v>
      </c>
      <c r="V3152">
        <v>0</v>
      </c>
      <c r="W3152">
        <v>80204</v>
      </c>
    </row>
    <row r="3153" spans="1:23" x14ac:dyDescent="0.25">
      <c r="A3153" s="1" t="s">
        <v>37</v>
      </c>
      <c r="B3153" s="1"/>
      <c r="C3153" s="1" t="s">
        <v>193</v>
      </c>
      <c r="D3153">
        <v>11000</v>
      </c>
      <c r="E3153" s="1"/>
      <c r="F3153" s="1" t="s">
        <v>323</v>
      </c>
      <c r="G3153">
        <v>2010</v>
      </c>
      <c r="H3153">
        <v>47485.02</v>
      </c>
      <c r="I3153">
        <v>9</v>
      </c>
      <c r="J3153" s="1" t="s">
        <v>494</v>
      </c>
      <c r="K3153">
        <v>0</v>
      </c>
      <c r="L3153">
        <v>652</v>
      </c>
      <c r="M3153">
        <v>72.818616000000006</v>
      </c>
      <c r="N3153">
        <v>1</v>
      </c>
      <c r="O3153" s="1" t="s">
        <v>562</v>
      </c>
      <c r="P3153">
        <v>47485.02</v>
      </c>
      <c r="Q3153">
        <v>8784.7099999999991</v>
      </c>
      <c r="R3153">
        <v>0</v>
      </c>
      <c r="S3153" s="1" t="s">
        <v>855</v>
      </c>
      <c r="T3153" s="1"/>
      <c r="U3153">
        <v>47485.000010000003</v>
      </c>
      <c r="V3153">
        <v>0</v>
      </c>
      <c r="W3153">
        <v>79521</v>
      </c>
    </row>
    <row r="3154" spans="1:23" x14ac:dyDescent="0.25">
      <c r="A3154" s="1" t="s">
        <v>37</v>
      </c>
      <c r="B3154" s="1"/>
      <c r="C3154" s="1" t="s">
        <v>193</v>
      </c>
      <c r="D3154">
        <v>11000</v>
      </c>
      <c r="E3154" s="1"/>
      <c r="F3154" s="1" t="s">
        <v>323</v>
      </c>
      <c r="G3154">
        <v>2010</v>
      </c>
      <c r="H3154">
        <v>33353.589999999997</v>
      </c>
      <c r="I3154">
        <v>12</v>
      </c>
      <c r="J3154" s="1" t="s">
        <v>450</v>
      </c>
      <c r="K3154">
        <v>0</v>
      </c>
      <c r="L3154">
        <v>652</v>
      </c>
      <c r="M3154">
        <v>51.147967999999999</v>
      </c>
      <c r="N3154">
        <v>1</v>
      </c>
      <c r="O3154" s="1" t="s">
        <v>565</v>
      </c>
      <c r="P3154">
        <v>33353.589999999997</v>
      </c>
      <c r="Q3154">
        <v>6.2</v>
      </c>
      <c r="R3154">
        <v>0</v>
      </c>
      <c r="S3154" s="1" t="s">
        <v>856</v>
      </c>
      <c r="T3154" s="1"/>
      <c r="U3154">
        <v>33.353589999999997</v>
      </c>
      <c r="V3154">
        <v>0</v>
      </c>
      <c r="W3154">
        <v>80204</v>
      </c>
    </row>
    <row r="3155" spans="1:23" x14ac:dyDescent="0.25">
      <c r="A3155" s="1" t="s">
        <v>37</v>
      </c>
      <c r="B3155" s="1"/>
      <c r="C3155" s="1" t="s">
        <v>193</v>
      </c>
      <c r="D3155">
        <v>11000</v>
      </c>
      <c r="E3155" s="1"/>
      <c r="F3155" s="1" t="s">
        <v>323</v>
      </c>
      <c r="G3155">
        <v>2009</v>
      </c>
      <c r="H3155">
        <v>67876.59</v>
      </c>
      <c r="I3155">
        <v>11</v>
      </c>
      <c r="J3155" s="1" t="s">
        <v>450</v>
      </c>
      <c r="K3155">
        <v>0</v>
      </c>
      <c r="L3155">
        <v>652</v>
      </c>
      <c r="M3155">
        <v>104.089234</v>
      </c>
      <c r="N3155">
        <v>1</v>
      </c>
      <c r="O3155" s="1" t="s">
        <v>565</v>
      </c>
      <c r="P3155">
        <v>67876.59</v>
      </c>
      <c r="Q3155">
        <v>12.54</v>
      </c>
      <c r="R3155">
        <v>0</v>
      </c>
      <c r="S3155" s="1" t="s">
        <v>856</v>
      </c>
      <c r="T3155" s="1"/>
      <c r="U3155">
        <v>67.876589999999993</v>
      </c>
      <c r="V3155">
        <v>0</v>
      </c>
      <c r="W3155">
        <v>80204</v>
      </c>
    </row>
    <row r="3156" spans="1:23" x14ac:dyDescent="0.25">
      <c r="A3156" s="1" t="s">
        <v>37</v>
      </c>
      <c r="B3156" s="1"/>
      <c r="C3156" s="1" t="s">
        <v>193</v>
      </c>
      <c r="D3156">
        <v>11000</v>
      </c>
      <c r="E3156" s="1"/>
      <c r="F3156" s="1" t="s">
        <v>323</v>
      </c>
      <c r="G3156">
        <v>2009</v>
      </c>
      <c r="H3156">
        <v>20657.650000000001</v>
      </c>
      <c r="I3156">
        <v>11</v>
      </c>
      <c r="J3156" s="1" t="s">
        <v>494</v>
      </c>
      <c r="K3156">
        <v>0</v>
      </c>
      <c r="L3156">
        <v>652</v>
      </c>
      <c r="M3156">
        <v>31.678653000000001</v>
      </c>
      <c r="N3156">
        <v>1</v>
      </c>
      <c r="O3156" s="1" t="s">
        <v>562</v>
      </c>
      <c r="P3156">
        <v>20657.650000000001</v>
      </c>
      <c r="Q3156">
        <v>3821.67</v>
      </c>
      <c r="R3156">
        <v>0</v>
      </c>
      <c r="S3156" s="1" t="s">
        <v>855</v>
      </c>
      <c r="T3156" s="1"/>
      <c r="U3156">
        <v>20657.64515</v>
      </c>
      <c r="V3156">
        <v>0</v>
      </c>
      <c r="W3156">
        <v>79521</v>
      </c>
    </row>
    <row r="3157" spans="1:23" x14ac:dyDescent="0.25">
      <c r="A3157" s="1" t="s">
        <v>37</v>
      </c>
      <c r="B3157" s="1"/>
      <c r="C3157" s="1" t="s">
        <v>193</v>
      </c>
      <c r="D3157">
        <v>11000</v>
      </c>
      <c r="E3157" s="1"/>
      <c r="F3157" s="1" t="s">
        <v>323</v>
      </c>
      <c r="G3157">
        <v>2008</v>
      </c>
      <c r="H3157">
        <v>-116295.28</v>
      </c>
      <c r="I3157">
        <v>7</v>
      </c>
      <c r="J3157" s="1" t="s">
        <v>450</v>
      </c>
      <c r="K3157">
        <v>0</v>
      </c>
      <c r="L3157">
        <v>652</v>
      </c>
      <c r="M3157">
        <v>-178.339641</v>
      </c>
      <c r="N3157">
        <v>1</v>
      </c>
      <c r="O3157" s="1" t="s">
        <v>565</v>
      </c>
      <c r="P3157">
        <v>-116295.28</v>
      </c>
      <c r="Q3157">
        <v>-21.49</v>
      </c>
      <c r="R3157">
        <v>0</v>
      </c>
      <c r="S3157" s="1" t="s">
        <v>856</v>
      </c>
      <c r="T3157" s="1"/>
      <c r="U3157">
        <v>-116.29528000000001</v>
      </c>
      <c r="V3157">
        <v>0</v>
      </c>
      <c r="W3157">
        <v>80204</v>
      </c>
    </row>
    <row r="3158" spans="1:23" x14ac:dyDescent="0.25">
      <c r="A3158" s="1" t="s">
        <v>37</v>
      </c>
      <c r="B3158" s="1"/>
      <c r="C3158" s="1" t="s">
        <v>193</v>
      </c>
      <c r="D3158">
        <v>11000</v>
      </c>
      <c r="E3158" s="1"/>
      <c r="F3158" s="1" t="s">
        <v>323</v>
      </c>
      <c r="G3158">
        <v>2008</v>
      </c>
      <c r="H3158">
        <v>34591.65</v>
      </c>
      <c r="I3158">
        <v>12</v>
      </c>
      <c r="J3158" s="1" t="s">
        <v>494</v>
      </c>
      <c r="K3158">
        <v>0</v>
      </c>
      <c r="L3158">
        <v>652</v>
      </c>
      <c r="M3158">
        <v>53.046540999999998</v>
      </c>
      <c r="N3158">
        <v>1</v>
      </c>
      <c r="O3158" s="1" t="s">
        <v>562</v>
      </c>
      <c r="P3158">
        <v>34591.65</v>
      </c>
      <c r="Q3158">
        <v>6399.46</v>
      </c>
      <c r="R3158">
        <v>0</v>
      </c>
      <c r="S3158" s="1" t="s">
        <v>855</v>
      </c>
      <c r="T3158" s="1"/>
      <c r="U3158">
        <v>34591.645140000001</v>
      </c>
      <c r="V3158">
        <v>0</v>
      </c>
      <c r="W3158">
        <v>79521</v>
      </c>
    </row>
    <row r="3159" spans="1:23" x14ac:dyDescent="0.25">
      <c r="A3159" s="1" t="s">
        <v>37</v>
      </c>
      <c r="B3159" s="1"/>
      <c r="C3159" s="1" t="s">
        <v>194</v>
      </c>
      <c r="D3159">
        <v>14252</v>
      </c>
      <c r="E3159" s="1" t="s">
        <v>243</v>
      </c>
      <c r="F3159" s="1" t="s">
        <v>324</v>
      </c>
      <c r="G3159">
        <v>2015</v>
      </c>
      <c r="H3159">
        <v>149220</v>
      </c>
      <c r="I3159">
        <v>5</v>
      </c>
      <c r="J3159" s="1" t="s">
        <v>448</v>
      </c>
      <c r="K3159">
        <v>0</v>
      </c>
      <c r="L3159">
        <v>3700</v>
      </c>
      <c r="M3159">
        <v>40.328639000000003</v>
      </c>
      <c r="N3159">
        <v>1</v>
      </c>
      <c r="O3159" s="1" t="s">
        <v>565</v>
      </c>
      <c r="P3159">
        <v>169672.92</v>
      </c>
      <c r="Q3159">
        <v>10859.07</v>
      </c>
      <c r="R3159">
        <v>0</v>
      </c>
      <c r="S3159" s="1" t="s">
        <v>857</v>
      </c>
      <c r="T3159" s="1"/>
      <c r="U3159">
        <v>149.22</v>
      </c>
      <c r="V3159">
        <v>0</v>
      </c>
      <c r="W3159">
        <v>79444</v>
      </c>
    </row>
    <row r="3160" spans="1:23" x14ac:dyDescent="0.25">
      <c r="A3160" s="1" t="s">
        <v>37</v>
      </c>
      <c r="B3160" s="1"/>
      <c r="C3160" s="1" t="s">
        <v>194</v>
      </c>
      <c r="D3160">
        <v>14252</v>
      </c>
      <c r="E3160" s="1" t="s">
        <v>243</v>
      </c>
      <c r="F3160" s="1" t="s">
        <v>324</v>
      </c>
      <c r="G3160">
        <v>2014</v>
      </c>
      <c r="H3160">
        <v>244020</v>
      </c>
      <c r="I3160">
        <v>12</v>
      </c>
      <c r="J3160" s="1" t="s">
        <v>448</v>
      </c>
      <c r="K3160">
        <v>0</v>
      </c>
      <c r="L3160">
        <v>3700</v>
      </c>
      <c r="M3160">
        <v>65.949567999999999</v>
      </c>
      <c r="N3160">
        <v>1</v>
      </c>
      <c r="O3160" s="1" t="s">
        <v>565</v>
      </c>
      <c r="P3160">
        <v>288921.83</v>
      </c>
      <c r="Q3160">
        <v>18491.009999999998</v>
      </c>
      <c r="R3160">
        <v>0</v>
      </c>
      <c r="S3160" s="1" t="s">
        <v>857</v>
      </c>
      <c r="T3160" s="1"/>
      <c r="U3160">
        <v>244.02</v>
      </c>
      <c r="V3160">
        <v>0</v>
      </c>
      <c r="W3160">
        <v>79444</v>
      </c>
    </row>
    <row r="3161" spans="1:23" x14ac:dyDescent="0.25">
      <c r="A3161" s="1" t="s">
        <v>37</v>
      </c>
      <c r="B3161" s="1"/>
      <c r="C3161" s="1" t="s">
        <v>194</v>
      </c>
      <c r="D3161">
        <v>14252</v>
      </c>
      <c r="E3161" s="1" t="s">
        <v>243</v>
      </c>
      <c r="F3161" s="1" t="s">
        <v>324</v>
      </c>
      <c r="G3161">
        <v>2013</v>
      </c>
      <c r="H3161">
        <v>262440</v>
      </c>
      <c r="I3161">
        <v>12</v>
      </c>
      <c r="J3161" s="1" t="s">
        <v>448</v>
      </c>
      <c r="K3161">
        <v>0</v>
      </c>
      <c r="L3161">
        <v>3700</v>
      </c>
      <c r="M3161">
        <v>70.927812000000003</v>
      </c>
      <c r="N3161">
        <v>1</v>
      </c>
      <c r="O3161" s="1" t="s">
        <v>565</v>
      </c>
      <c r="P3161">
        <v>279051.15999999997</v>
      </c>
      <c r="Q3161">
        <v>17859.27</v>
      </c>
      <c r="R3161">
        <v>0</v>
      </c>
      <c r="S3161" s="1" t="s">
        <v>857</v>
      </c>
      <c r="T3161" s="1"/>
      <c r="U3161">
        <v>262.44</v>
      </c>
      <c r="V3161">
        <v>0</v>
      </c>
      <c r="W3161">
        <v>79444</v>
      </c>
    </row>
    <row r="3162" spans="1:23" x14ac:dyDescent="0.25">
      <c r="A3162" s="1" t="s">
        <v>37</v>
      </c>
      <c r="B3162" s="1"/>
      <c r="C3162" s="1" t="s">
        <v>194</v>
      </c>
      <c r="D3162">
        <v>14252</v>
      </c>
      <c r="E3162" s="1" t="s">
        <v>243</v>
      </c>
      <c r="F3162" s="1" t="s">
        <v>324</v>
      </c>
      <c r="G3162">
        <v>2012</v>
      </c>
      <c r="H3162">
        <v>332700</v>
      </c>
      <c r="I3162">
        <v>12</v>
      </c>
      <c r="J3162" s="1" t="s">
        <v>448</v>
      </c>
      <c r="K3162">
        <v>0</v>
      </c>
      <c r="L3162">
        <v>3700</v>
      </c>
      <c r="M3162">
        <v>89.916488000000001</v>
      </c>
      <c r="N3162">
        <v>1</v>
      </c>
      <c r="O3162" s="1" t="s">
        <v>565</v>
      </c>
      <c r="P3162">
        <v>352367.15</v>
      </c>
      <c r="Q3162">
        <v>65187.92</v>
      </c>
      <c r="R3162">
        <v>0</v>
      </c>
      <c r="S3162" s="1" t="s">
        <v>857</v>
      </c>
      <c r="T3162" s="1"/>
      <c r="U3162">
        <v>332.7</v>
      </c>
      <c r="V3162">
        <v>0</v>
      </c>
      <c r="W3162">
        <v>79444</v>
      </c>
    </row>
    <row r="3163" spans="1:23" x14ac:dyDescent="0.25">
      <c r="A3163" s="1" t="s">
        <v>37</v>
      </c>
      <c r="B3163" s="1"/>
      <c r="C3163" s="1" t="s">
        <v>194</v>
      </c>
      <c r="D3163">
        <v>14252</v>
      </c>
      <c r="E3163" s="1" t="s">
        <v>243</v>
      </c>
      <c r="F3163" s="1" t="s">
        <v>324</v>
      </c>
      <c r="G3163">
        <v>2011</v>
      </c>
      <c r="H3163">
        <v>373500</v>
      </c>
      <c r="I3163">
        <v>12</v>
      </c>
      <c r="J3163" s="1" t="s">
        <v>448</v>
      </c>
      <c r="K3163">
        <v>0</v>
      </c>
      <c r="L3163">
        <v>3700</v>
      </c>
      <c r="M3163">
        <v>100.943217</v>
      </c>
      <c r="N3163">
        <v>1</v>
      </c>
      <c r="O3163" s="1" t="s">
        <v>565</v>
      </c>
      <c r="P3163">
        <v>405751.59</v>
      </c>
      <c r="Q3163">
        <v>75064.05</v>
      </c>
      <c r="R3163">
        <v>0</v>
      </c>
      <c r="S3163" s="1" t="s">
        <v>857</v>
      </c>
      <c r="T3163" s="1"/>
      <c r="U3163">
        <v>373.5</v>
      </c>
      <c r="V3163">
        <v>0</v>
      </c>
      <c r="W3163">
        <v>79444</v>
      </c>
    </row>
    <row r="3164" spans="1:23" x14ac:dyDescent="0.25">
      <c r="A3164" s="1" t="s">
        <v>37</v>
      </c>
      <c r="B3164" s="1"/>
      <c r="C3164" s="1" t="s">
        <v>194</v>
      </c>
      <c r="D3164">
        <v>14252</v>
      </c>
      <c r="E3164" s="1" t="s">
        <v>243</v>
      </c>
      <c r="F3164" s="1" t="s">
        <v>324</v>
      </c>
      <c r="G3164">
        <v>2010</v>
      </c>
      <c r="H3164">
        <v>483073.32</v>
      </c>
      <c r="I3164">
        <v>8</v>
      </c>
      <c r="J3164" s="1" t="s">
        <v>448</v>
      </c>
      <c r="K3164">
        <v>0</v>
      </c>
      <c r="L3164">
        <v>3700</v>
      </c>
      <c r="M3164">
        <v>130.556828</v>
      </c>
      <c r="N3164">
        <v>1</v>
      </c>
      <c r="O3164" s="1" t="s">
        <v>565</v>
      </c>
      <c r="P3164">
        <v>602624.80000000005</v>
      </c>
      <c r="Q3164">
        <v>111485.58</v>
      </c>
      <c r="R3164">
        <v>0</v>
      </c>
      <c r="S3164" s="1" t="s">
        <v>857</v>
      </c>
      <c r="T3164" s="1"/>
      <c r="U3164">
        <v>483.07332000000002</v>
      </c>
      <c r="V3164">
        <v>0</v>
      </c>
      <c r="W3164">
        <v>79444</v>
      </c>
    </row>
    <row r="3165" spans="1:23" x14ac:dyDescent="0.25">
      <c r="A3165" s="1" t="s">
        <v>37</v>
      </c>
      <c r="B3165" s="1"/>
      <c r="C3165" s="1" t="s">
        <v>194</v>
      </c>
      <c r="D3165">
        <v>14252</v>
      </c>
      <c r="E3165" s="1" t="s">
        <v>243</v>
      </c>
      <c r="F3165" s="1" t="s">
        <v>324</v>
      </c>
      <c r="G3165">
        <v>2009</v>
      </c>
      <c r="H3165">
        <v>388825.71</v>
      </c>
      <c r="I3165">
        <v>15</v>
      </c>
      <c r="J3165" s="1" t="s">
        <v>448</v>
      </c>
      <c r="K3165">
        <v>0</v>
      </c>
      <c r="L3165">
        <v>3700</v>
      </c>
      <c r="M3165">
        <v>105.085189</v>
      </c>
      <c r="N3165">
        <v>1</v>
      </c>
      <c r="O3165" s="1" t="s">
        <v>565</v>
      </c>
      <c r="P3165">
        <v>425137.9</v>
      </c>
      <c r="Q3165">
        <v>78650.5</v>
      </c>
      <c r="R3165">
        <v>0</v>
      </c>
      <c r="S3165" s="1" t="s">
        <v>857</v>
      </c>
      <c r="T3165" s="1"/>
      <c r="U3165">
        <v>388.82571000000002</v>
      </c>
      <c r="V3165">
        <v>0</v>
      </c>
      <c r="W3165">
        <v>79444</v>
      </c>
    </row>
    <row r="3166" spans="1:23" x14ac:dyDescent="0.25">
      <c r="A3166" s="1" t="s">
        <v>37</v>
      </c>
      <c r="B3166" s="1"/>
      <c r="C3166" s="1" t="s">
        <v>194</v>
      </c>
      <c r="D3166">
        <v>14252</v>
      </c>
      <c r="E3166" s="1" t="s">
        <v>243</v>
      </c>
      <c r="F3166" s="1" t="s">
        <v>324</v>
      </c>
      <c r="G3166">
        <v>2008</v>
      </c>
      <c r="H3166">
        <v>320088.09000000003</v>
      </c>
      <c r="I3166">
        <v>14</v>
      </c>
      <c r="J3166" s="1" t="s">
        <v>448</v>
      </c>
      <c r="K3166">
        <v>0</v>
      </c>
      <c r="L3166">
        <v>3700</v>
      </c>
      <c r="M3166">
        <v>86.507955999999993</v>
      </c>
      <c r="N3166">
        <v>1</v>
      </c>
      <c r="O3166" s="1" t="s">
        <v>565</v>
      </c>
      <c r="P3166">
        <v>368992.28</v>
      </c>
      <c r="Q3166">
        <v>68263.55</v>
      </c>
      <c r="R3166">
        <v>0</v>
      </c>
      <c r="S3166" s="1" t="s">
        <v>857</v>
      </c>
      <c r="T3166" s="1"/>
      <c r="U3166">
        <v>320.08809000000002</v>
      </c>
      <c r="V3166">
        <v>0</v>
      </c>
      <c r="W3166">
        <v>79444</v>
      </c>
    </row>
    <row r="3167" spans="1:23" x14ac:dyDescent="0.25">
      <c r="A3167" s="1" t="s">
        <v>37</v>
      </c>
      <c r="B3167" s="1"/>
      <c r="C3167" s="1" t="s">
        <v>194</v>
      </c>
      <c r="D3167">
        <v>14253</v>
      </c>
      <c r="E3167" s="1" t="s">
        <v>243</v>
      </c>
      <c r="F3167" s="1" t="s">
        <v>325</v>
      </c>
      <c r="G3167">
        <v>2015</v>
      </c>
      <c r="H3167">
        <v>245400</v>
      </c>
      <c r="I3167">
        <v>5</v>
      </c>
      <c r="J3167" s="1"/>
      <c r="K3167">
        <v>0</v>
      </c>
      <c r="L3167">
        <v>6105</v>
      </c>
      <c r="M3167">
        <v>40.195900999999999</v>
      </c>
      <c r="N3167">
        <v>1</v>
      </c>
      <c r="O3167" s="1" t="s">
        <v>565</v>
      </c>
      <c r="P3167">
        <v>276324.25</v>
      </c>
      <c r="Q3167">
        <v>17684.75</v>
      </c>
      <c r="R3167">
        <v>0</v>
      </c>
      <c r="S3167" s="1" t="s">
        <v>858</v>
      </c>
      <c r="T3167" s="1"/>
      <c r="U3167">
        <v>245.4</v>
      </c>
      <c r="V3167">
        <v>0</v>
      </c>
      <c r="W3167">
        <v>77355</v>
      </c>
    </row>
    <row r="3168" spans="1:23" x14ac:dyDescent="0.25">
      <c r="A3168" s="1" t="s">
        <v>37</v>
      </c>
      <c r="B3168" s="1"/>
      <c r="C3168" s="1" t="s">
        <v>194</v>
      </c>
      <c r="D3168">
        <v>14253</v>
      </c>
      <c r="E3168" s="1" t="s">
        <v>243</v>
      </c>
      <c r="F3168" s="1" t="s">
        <v>325</v>
      </c>
      <c r="G3168">
        <v>2014</v>
      </c>
      <c r="H3168">
        <v>446500</v>
      </c>
      <c r="I3168">
        <v>12</v>
      </c>
      <c r="J3168" s="1"/>
      <c r="K3168">
        <v>0</v>
      </c>
      <c r="L3168">
        <v>6105</v>
      </c>
      <c r="M3168">
        <v>73.135575000000003</v>
      </c>
      <c r="N3168">
        <v>1</v>
      </c>
      <c r="O3168" s="1" t="s">
        <v>565</v>
      </c>
      <c r="P3168">
        <v>533919.86</v>
      </c>
      <c r="Q3168">
        <v>34170.85</v>
      </c>
      <c r="R3168">
        <v>0</v>
      </c>
      <c r="S3168" s="1" t="s">
        <v>858</v>
      </c>
      <c r="T3168" s="1"/>
      <c r="U3168">
        <v>446.5</v>
      </c>
      <c r="V3168">
        <v>0</v>
      </c>
      <c r="W3168">
        <v>77355</v>
      </c>
    </row>
    <row r="3169" spans="1:23" x14ac:dyDescent="0.25">
      <c r="A3169" s="1" t="s">
        <v>37</v>
      </c>
      <c r="B3169" s="1"/>
      <c r="C3169" s="1" t="s">
        <v>194</v>
      </c>
      <c r="D3169">
        <v>14253</v>
      </c>
      <c r="E3169" s="1" t="s">
        <v>243</v>
      </c>
      <c r="F3169" s="1" t="s">
        <v>325</v>
      </c>
      <c r="G3169">
        <v>2013</v>
      </c>
      <c r="H3169">
        <v>533000</v>
      </c>
      <c r="I3169">
        <v>12</v>
      </c>
      <c r="J3169" s="1"/>
      <c r="K3169">
        <v>0</v>
      </c>
      <c r="L3169">
        <v>6105</v>
      </c>
      <c r="M3169">
        <v>87.304057</v>
      </c>
      <c r="N3169">
        <v>1</v>
      </c>
      <c r="O3169" s="1" t="s">
        <v>565</v>
      </c>
      <c r="P3169">
        <v>555454.88</v>
      </c>
      <c r="Q3169">
        <v>35549.129999999997</v>
      </c>
      <c r="R3169">
        <v>0</v>
      </c>
      <c r="S3169" s="1" t="s">
        <v>858</v>
      </c>
      <c r="T3169" s="1"/>
      <c r="U3169">
        <v>533</v>
      </c>
      <c r="V3169">
        <v>0</v>
      </c>
      <c r="W3169">
        <v>77355</v>
      </c>
    </row>
    <row r="3170" spans="1:23" x14ac:dyDescent="0.25">
      <c r="A3170" s="1" t="s">
        <v>37</v>
      </c>
      <c r="B3170" s="1"/>
      <c r="C3170" s="1" t="s">
        <v>194</v>
      </c>
      <c r="D3170">
        <v>14253</v>
      </c>
      <c r="E3170" s="1" t="s">
        <v>243</v>
      </c>
      <c r="F3170" s="1" t="s">
        <v>325</v>
      </c>
      <c r="G3170">
        <v>2012</v>
      </c>
      <c r="H3170">
        <v>598700</v>
      </c>
      <c r="I3170">
        <v>12</v>
      </c>
      <c r="J3170" s="1"/>
      <c r="K3170">
        <v>0</v>
      </c>
      <c r="L3170">
        <v>6105</v>
      </c>
      <c r="M3170">
        <v>98.065550999999999</v>
      </c>
      <c r="N3170">
        <v>1</v>
      </c>
      <c r="O3170" s="1" t="s">
        <v>565</v>
      </c>
      <c r="P3170">
        <v>630422.37</v>
      </c>
      <c r="Q3170">
        <v>116628.13</v>
      </c>
      <c r="R3170">
        <v>0</v>
      </c>
      <c r="S3170" s="1" t="s">
        <v>858</v>
      </c>
      <c r="T3170" s="1"/>
      <c r="U3170">
        <v>598.70000000000005</v>
      </c>
      <c r="V3170">
        <v>0</v>
      </c>
      <c r="W3170">
        <v>77355</v>
      </c>
    </row>
    <row r="3171" spans="1:23" x14ac:dyDescent="0.25">
      <c r="A3171" s="1" t="s">
        <v>37</v>
      </c>
      <c r="B3171" s="1"/>
      <c r="C3171" s="1" t="s">
        <v>194</v>
      </c>
      <c r="D3171">
        <v>14253</v>
      </c>
      <c r="E3171" s="1" t="s">
        <v>243</v>
      </c>
      <c r="F3171" s="1" t="s">
        <v>325</v>
      </c>
      <c r="G3171">
        <v>2011</v>
      </c>
      <c r="H3171">
        <v>635200</v>
      </c>
      <c r="I3171">
        <v>12</v>
      </c>
      <c r="J3171" s="1"/>
      <c r="K3171">
        <v>0</v>
      </c>
      <c r="L3171">
        <v>6105</v>
      </c>
      <c r="M3171">
        <v>104.04415899999999</v>
      </c>
      <c r="N3171">
        <v>1</v>
      </c>
      <c r="O3171" s="1" t="s">
        <v>565</v>
      </c>
      <c r="P3171">
        <v>684232.47</v>
      </c>
      <c r="Q3171">
        <v>126583.02</v>
      </c>
      <c r="R3171">
        <v>0</v>
      </c>
      <c r="S3171" s="1" t="s">
        <v>858</v>
      </c>
      <c r="T3171" s="1"/>
      <c r="U3171">
        <v>635.20000000000005</v>
      </c>
      <c r="V3171">
        <v>0</v>
      </c>
      <c r="W3171">
        <v>77355</v>
      </c>
    </row>
    <row r="3172" spans="1:23" x14ac:dyDescent="0.25">
      <c r="A3172" s="1" t="s">
        <v>37</v>
      </c>
      <c r="B3172" s="1"/>
      <c r="C3172" s="1" t="s">
        <v>194</v>
      </c>
      <c r="D3172">
        <v>14253</v>
      </c>
      <c r="E3172" s="1" t="s">
        <v>243</v>
      </c>
      <c r="F3172" s="1" t="s">
        <v>325</v>
      </c>
      <c r="G3172">
        <v>2010</v>
      </c>
      <c r="H3172">
        <v>755599.99</v>
      </c>
      <c r="I3172">
        <v>12</v>
      </c>
      <c r="J3172" s="1"/>
      <c r="K3172">
        <v>0</v>
      </c>
      <c r="L3172">
        <v>6105</v>
      </c>
      <c r="M3172">
        <v>123.76537399999999</v>
      </c>
      <c r="N3172">
        <v>1</v>
      </c>
      <c r="O3172" s="1" t="s">
        <v>565</v>
      </c>
      <c r="P3172">
        <v>683919.44</v>
      </c>
      <c r="Q3172">
        <v>126525.09</v>
      </c>
      <c r="R3172">
        <v>0</v>
      </c>
      <c r="S3172" s="1" t="s">
        <v>858</v>
      </c>
      <c r="T3172" s="1"/>
      <c r="U3172">
        <v>755.59999000000005</v>
      </c>
      <c r="V3172">
        <v>0</v>
      </c>
      <c r="W3172">
        <v>77355</v>
      </c>
    </row>
    <row r="3173" spans="1:23" x14ac:dyDescent="0.25">
      <c r="A3173" s="1" t="s">
        <v>37</v>
      </c>
      <c r="B3173" s="1"/>
      <c r="C3173" s="1" t="s">
        <v>194</v>
      </c>
      <c r="D3173">
        <v>14253</v>
      </c>
      <c r="E3173" s="1" t="s">
        <v>243</v>
      </c>
      <c r="F3173" s="1" t="s">
        <v>325</v>
      </c>
      <c r="G3173">
        <v>2009</v>
      </c>
      <c r="H3173">
        <v>583600</v>
      </c>
      <c r="I3173">
        <v>12</v>
      </c>
      <c r="J3173" s="1"/>
      <c r="K3173">
        <v>0</v>
      </c>
      <c r="L3173">
        <v>6105</v>
      </c>
      <c r="M3173">
        <v>95.592208999999997</v>
      </c>
      <c r="N3173">
        <v>1</v>
      </c>
      <c r="O3173" s="1" t="s">
        <v>565</v>
      </c>
      <c r="P3173">
        <v>613801.06999999995</v>
      </c>
      <c r="Q3173">
        <v>113553.19</v>
      </c>
      <c r="R3173">
        <v>0</v>
      </c>
      <c r="S3173" s="1" t="s">
        <v>858</v>
      </c>
      <c r="T3173" s="1"/>
      <c r="U3173">
        <v>583.6</v>
      </c>
      <c r="V3173">
        <v>0</v>
      </c>
      <c r="W3173">
        <v>77355</v>
      </c>
    </row>
    <row r="3174" spans="1:23" x14ac:dyDescent="0.25">
      <c r="A3174" s="1" t="s">
        <v>37</v>
      </c>
      <c r="B3174" s="1"/>
      <c r="C3174" s="1" t="s">
        <v>194</v>
      </c>
      <c r="D3174">
        <v>14253</v>
      </c>
      <c r="E3174" s="1" t="s">
        <v>243</v>
      </c>
      <c r="F3174" s="1" t="s">
        <v>325</v>
      </c>
      <c r="G3174">
        <v>2008</v>
      </c>
      <c r="H3174">
        <v>244600</v>
      </c>
      <c r="I3174">
        <v>12</v>
      </c>
      <c r="J3174" s="1"/>
      <c r="K3174">
        <v>0</v>
      </c>
      <c r="L3174">
        <v>6105</v>
      </c>
      <c r="M3174">
        <v>40.064863000000003</v>
      </c>
      <c r="N3174">
        <v>1</v>
      </c>
      <c r="O3174" s="1" t="s">
        <v>565</v>
      </c>
      <c r="P3174">
        <v>260570.95</v>
      </c>
      <c r="Q3174">
        <v>48205.63</v>
      </c>
      <c r="R3174">
        <v>0</v>
      </c>
      <c r="S3174" s="1" t="s">
        <v>858</v>
      </c>
      <c r="T3174" s="1"/>
      <c r="U3174">
        <v>244.6</v>
      </c>
      <c r="V3174">
        <v>0</v>
      </c>
      <c r="W3174">
        <v>77355</v>
      </c>
    </row>
    <row r="3175" spans="1:23" x14ac:dyDescent="0.25">
      <c r="A3175" s="1" t="s">
        <v>37</v>
      </c>
      <c r="B3175" s="1"/>
      <c r="C3175" s="1" t="s">
        <v>194</v>
      </c>
      <c r="D3175">
        <v>14254</v>
      </c>
      <c r="E3175" s="1" t="s">
        <v>243</v>
      </c>
      <c r="F3175" s="1" t="s">
        <v>326</v>
      </c>
      <c r="G3175">
        <v>2015</v>
      </c>
      <c r="H3175">
        <v>155490</v>
      </c>
      <c r="I3175">
        <v>5</v>
      </c>
      <c r="J3175" s="1"/>
      <c r="K3175">
        <v>0</v>
      </c>
      <c r="L3175">
        <v>2840</v>
      </c>
      <c r="M3175">
        <v>54.748072000000001</v>
      </c>
      <c r="N3175">
        <v>1</v>
      </c>
      <c r="O3175" s="1" t="s">
        <v>562</v>
      </c>
      <c r="P3175">
        <v>175292.45</v>
      </c>
      <c r="Q3175">
        <v>11218.72</v>
      </c>
      <c r="R3175">
        <v>0</v>
      </c>
      <c r="S3175" s="1" t="s">
        <v>859</v>
      </c>
      <c r="T3175" s="1"/>
      <c r="U3175">
        <v>155490</v>
      </c>
      <c r="V3175">
        <v>0</v>
      </c>
      <c r="W3175">
        <v>77356</v>
      </c>
    </row>
    <row r="3176" spans="1:23" x14ac:dyDescent="0.25">
      <c r="A3176" s="1" t="s">
        <v>37</v>
      </c>
      <c r="B3176" s="1"/>
      <c r="C3176" s="1" t="s">
        <v>194</v>
      </c>
      <c r="D3176">
        <v>14254</v>
      </c>
      <c r="E3176" s="1" t="s">
        <v>243</v>
      </c>
      <c r="F3176" s="1" t="s">
        <v>326</v>
      </c>
      <c r="G3176">
        <v>2014</v>
      </c>
      <c r="H3176">
        <v>259670</v>
      </c>
      <c r="I3176">
        <v>12</v>
      </c>
      <c r="J3176" s="1"/>
      <c r="K3176">
        <v>0</v>
      </c>
      <c r="L3176">
        <v>2840</v>
      </c>
      <c r="M3176">
        <v>91.429879</v>
      </c>
      <c r="N3176">
        <v>1</v>
      </c>
      <c r="O3176" s="1" t="s">
        <v>562</v>
      </c>
      <c r="P3176">
        <v>308731.61</v>
      </c>
      <c r="Q3176">
        <v>19758.82</v>
      </c>
      <c r="R3176">
        <v>0</v>
      </c>
      <c r="S3176" s="1" t="s">
        <v>859</v>
      </c>
      <c r="T3176" s="1"/>
      <c r="U3176">
        <v>259670</v>
      </c>
      <c r="V3176">
        <v>0</v>
      </c>
      <c r="W3176">
        <v>77356</v>
      </c>
    </row>
    <row r="3177" spans="1:23" x14ac:dyDescent="0.25">
      <c r="A3177" s="1" t="s">
        <v>37</v>
      </c>
      <c r="B3177" s="1"/>
      <c r="C3177" s="1" t="s">
        <v>194</v>
      </c>
      <c r="D3177">
        <v>14254</v>
      </c>
      <c r="E3177" s="1" t="s">
        <v>243</v>
      </c>
      <c r="F3177" s="1" t="s">
        <v>326</v>
      </c>
      <c r="G3177">
        <v>2013</v>
      </c>
      <c r="H3177">
        <v>311260</v>
      </c>
      <c r="I3177">
        <v>12</v>
      </c>
      <c r="J3177" s="1"/>
      <c r="K3177">
        <v>0</v>
      </c>
      <c r="L3177">
        <v>2840</v>
      </c>
      <c r="M3177">
        <v>109.59473199999999</v>
      </c>
      <c r="N3177">
        <v>1</v>
      </c>
      <c r="O3177" s="1" t="s">
        <v>562</v>
      </c>
      <c r="P3177">
        <v>324535.3</v>
      </c>
      <c r="Q3177">
        <v>20770.25</v>
      </c>
      <c r="R3177">
        <v>0</v>
      </c>
      <c r="S3177" s="1" t="s">
        <v>859</v>
      </c>
      <c r="T3177" s="1"/>
      <c r="U3177">
        <v>311260</v>
      </c>
      <c r="V3177">
        <v>0</v>
      </c>
      <c r="W3177">
        <v>77356</v>
      </c>
    </row>
    <row r="3178" spans="1:23" x14ac:dyDescent="0.25">
      <c r="A3178" s="1" t="s">
        <v>37</v>
      </c>
      <c r="B3178" s="1"/>
      <c r="C3178" s="1" t="s">
        <v>194</v>
      </c>
      <c r="D3178">
        <v>14254</v>
      </c>
      <c r="E3178" s="1" t="s">
        <v>243</v>
      </c>
      <c r="F3178" s="1" t="s">
        <v>326</v>
      </c>
      <c r="G3178">
        <v>2012</v>
      </c>
      <c r="H3178">
        <v>373540</v>
      </c>
      <c r="I3178">
        <v>12</v>
      </c>
      <c r="J3178" s="1"/>
      <c r="K3178">
        <v>0</v>
      </c>
      <c r="L3178">
        <v>2840</v>
      </c>
      <c r="M3178">
        <v>131.523537</v>
      </c>
      <c r="N3178">
        <v>1</v>
      </c>
      <c r="O3178" s="1" t="s">
        <v>562</v>
      </c>
      <c r="P3178">
        <v>393763.8</v>
      </c>
      <c r="Q3178">
        <v>72846.3</v>
      </c>
      <c r="R3178">
        <v>0</v>
      </c>
      <c r="S3178" s="1" t="s">
        <v>859</v>
      </c>
      <c r="T3178" s="1"/>
      <c r="U3178">
        <v>373540</v>
      </c>
      <c r="V3178">
        <v>0</v>
      </c>
      <c r="W3178">
        <v>77356</v>
      </c>
    </row>
    <row r="3179" spans="1:23" x14ac:dyDescent="0.25">
      <c r="A3179" s="1" t="s">
        <v>37</v>
      </c>
      <c r="B3179" s="1"/>
      <c r="C3179" s="1" t="s">
        <v>194</v>
      </c>
      <c r="D3179">
        <v>14254</v>
      </c>
      <c r="E3179" s="1" t="s">
        <v>243</v>
      </c>
      <c r="F3179" s="1" t="s">
        <v>326</v>
      </c>
      <c r="G3179">
        <v>2011</v>
      </c>
      <c r="H3179">
        <v>346880</v>
      </c>
      <c r="I3179">
        <v>12</v>
      </c>
      <c r="J3179" s="1"/>
      <c r="K3179">
        <v>0</v>
      </c>
      <c r="L3179">
        <v>2840</v>
      </c>
      <c r="M3179">
        <v>122.136544</v>
      </c>
      <c r="N3179">
        <v>1</v>
      </c>
      <c r="O3179" s="1" t="s">
        <v>562</v>
      </c>
      <c r="P3179">
        <v>379022.71</v>
      </c>
      <c r="Q3179">
        <v>70119.22</v>
      </c>
      <c r="R3179">
        <v>0</v>
      </c>
      <c r="S3179" s="1" t="s">
        <v>859</v>
      </c>
      <c r="T3179" s="1"/>
      <c r="U3179">
        <v>346880</v>
      </c>
      <c r="V3179">
        <v>0</v>
      </c>
      <c r="W3179">
        <v>77356</v>
      </c>
    </row>
    <row r="3180" spans="1:23" x14ac:dyDescent="0.25">
      <c r="A3180" s="1" t="s">
        <v>37</v>
      </c>
      <c r="B3180" s="1"/>
      <c r="C3180" s="1" t="s">
        <v>194</v>
      </c>
      <c r="D3180">
        <v>14254</v>
      </c>
      <c r="E3180" s="1" t="s">
        <v>243</v>
      </c>
      <c r="F3180" s="1" t="s">
        <v>326</v>
      </c>
      <c r="G3180">
        <v>2010</v>
      </c>
      <c r="H3180">
        <v>451560</v>
      </c>
      <c r="I3180">
        <v>12</v>
      </c>
      <c r="J3180" s="1"/>
      <c r="K3180">
        <v>0</v>
      </c>
      <c r="L3180">
        <v>2840</v>
      </c>
      <c r="M3180">
        <v>158.99440100000001</v>
      </c>
      <c r="N3180">
        <v>1</v>
      </c>
      <c r="O3180" s="1" t="s">
        <v>562</v>
      </c>
      <c r="P3180">
        <v>414613.16</v>
      </c>
      <c r="Q3180">
        <v>76703.429999999993</v>
      </c>
      <c r="R3180">
        <v>0</v>
      </c>
      <c r="S3180" s="1" t="s">
        <v>859</v>
      </c>
      <c r="T3180" s="1"/>
      <c r="U3180">
        <v>451560</v>
      </c>
      <c r="V3180">
        <v>0</v>
      </c>
      <c r="W3180">
        <v>77356</v>
      </c>
    </row>
    <row r="3181" spans="1:23" x14ac:dyDescent="0.25">
      <c r="A3181" s="1" t="s">
        <v>37</v>
      </c>
      <c r="B3181" s="1"/>
      <c r="C3181" s="1" t="s">
        <v>194</v>
      </c>
      <c r="D3181">
        <v>14254</v>
      </c>
      <c r="E3181" s="1" t="s">
        <v>243</v>
      </c>
      <c r="F3181" s="1" t="s">
        <v>326</v>
      </c>
      <c r="G3181">
        <v>2009</v>
      </c>
      <c r="H3181">
        <v>333340</v>
      </c>
      <c r="I3181">
        <v>12</v>
      </c>
      <c r="J3181" s="1"/>
      <c r="K3181">
        <v>0</v>
      </c>
      <c r="L3181">
        <v>2840</v>
      </c>
      <c r="M3181">
        <v>117.369106</v>
      </c>
      <c r="N3181">
        <v>1</v>
      </c>
      <c r="O3181" s="1" t="s">
        <v>562</v>
      </c>
      <c r="P3181">
        <v>348714.83</v>
      </c>
      <c r="Q3181">
        <v>64512.26</v>
      </c>
      <c r="R3181">
        <v>0</v>
      </c>
      <c r="S3181" s="1" t="s">
        <v>859</v>
      </c>
      <c r="T3181" s="1"/>
      <c r="U3181">
        <v>333340</v>
      </c>
      <c r="V3181">
        <v>0</v>
      </c>
      <c r="W3181">
        <v>77356</v>
      </c>
    </row>
    <row r="3182" spans="1:23" x14ac:dyDescent="0.25">
      <c r="A3182" s="1" t="s">
        <v>37</v>
      </c>
      <c r="B3182" s="1"/>
      <c r="C3182" s="1" t="s">
        <v>194</v>
      </c>
      <c r="D3182">
        <v>14254</v>
      </c>
      <c r="E3182" s="1" t="s">
        <v>243</v>
      </c>
      <c r="F3182" s="1" t="s">
        <v>326</v>
      </c>
      <c r="G3182">
        <v>2008</v>
      </c>
      <c r="H3182">
        <v>138380</v>
      </c>
      <c r="I3182">
        <v>12</v>
      </c>
      <c r="J3182" s="1"/>
      <c r="K3182">
        <v>0</v>
      </c>
      <c r="L3182">
        <v>2840</v>
      </c>
      <c r="M3182">
        <v>48.723635999999999</v>
      </c>
      <c r="N3182">
        <v>1</v>
      </c>
      <c r="O3182" s="1" t="s">
        <v>562</v>
      </c>
      <c r="P3182">
        <v>150653.70000000001</v>
      </c>
      <c r="Q3182">
        <v>27870.93</v>
      </c>
      <c r="R3182">
        <v>0</v>
      </c>
      <c r="S3182" s="1" t="s">
        <v>859</v>
      </c>
      <c r="T3182" s="1"/>
      <c r="U3182">
        <v>138380</v>
      </c>
      <c r="V3182">
        <v>0</v>
      </c>
      <c r="W3182">
        <v>77356</v>
      </c>
    </row>
    <row r="3183" spans="1:23" x14ac:dyDescent="0.25">
      <c r="A3183" s="1" t="s">
        <v>37</v>
      </c>
      <c r="B3183" s="1"/>
      <c r="C3183" s="1" t="s">
        <v>195</v>
      </c>
      <c r="D3183">
        <v>9518</v>
      </c>
      <c r="E3183" s="1"/>
      <c r="F3183" s="1" t="s">
        <v>327</v>
      </c>
      <c r="G3183">
        <v>2015</v>
      </c>
      <c r="H3183">
        <v>101057.32</v>
      </c>
      <c r="I3183">
        <v>5</v>
      </c>
      <c r="J3183" s="1"/>
      <c r="K3183">
        <v>0</v>
      </c>
      <c r="L3183">
        <v>2128</v>
      </c>
      <c r="M3183">
        <v>47.487110000000001</v>
      </c>
      <c r="N3183">
        <v>1</v>
      </c>
      <c r="O3183" s="1" t="s">
        <v>564</v>
      </c>
      <c r="P3183">
        <v>113417.26</v>
      </c>
      <c r="Q3183">
        <v>23985.65</v>
      </c>
      <c r="R3183">
        <v>0</v>
      </c>
      <c r="S3183" s="1" t="s">
        <v>860</v>
      </c>
      <c r="T3183" s="1" t="s">
        <v>1220</v>
      </c>
      <c r="U3183">
        <v>9357.16</v>
      </c>
      <c r="V3183">
        <v>0</v>
      </c>
      <c r="W3183">
        <v>74430</v>
      </c>
    </row>
    <row r="3184" spans="1:23" x14ac:dyDescent="0.25">
      <c r="A3184" s="1" t="s">
        <v>37</v>
      </c>
      <c r="B3184" s="1"/>
      <c r="C3184" s="1" t="s">
        <v>195</v>
      </c>
      <c r="D3184">
        <v>9518</v>
      </c>
      <c r="E3184" s="1"/>
      <c r="F3184" s="1" t="s">
        <v>327</v>
      </c>
      <c r="G3184">
        <v>2014</v>
      </c>
      <c r="H3184">
        <v>185515.49</v>
      </c>
      <c r="I3184">
        <v>12</v>
      </c>
      <c r="J3184" s="1"/>
      <c r="K3184">
        <v>0</v>
      </c>
      <c r="L3184">
        <v>2128</v>
      </c>
      <c r="M3184">
        <v>87.174234999999996</v>
      </c>
      <c r="N3184">
        <v>1</v>
      </c>
      <c r="O3184" s="1" t="s">
        <v>564</v>
      </c>
      <c r="P3184">
        <v>220801.42</v>
      </c>
      <c r="Q3184">
        <v>46695.41</v>
      </c>
      <c r="R3184">
        <v>0</v>
      </c>
      <c r="S3184" s="1" t="s">
        <v>860</v>
      </c>
      <c r="T3184" s="1" t="s">
        <v>1220</v>
      </c>
      <c r="U3184">
        <v>17177.36</v>
      </c>
      <c r="V3184">
        <v>0</v>
      </c>
      <c r="W3184">
        <v>74430</v>
      </c>
    </row>
    <row r="3185" spans="1:23" x14ac:dyDescent="0.25">
      <c r="A3185" s="1" t="s">
        <v>37</v>
      </c>
      <c r="B3185" s="1"/>
      <c r="C3185" s="1" t="s">
        <v>195</v>
      </c>
      <c r="D3185">
        <v>9518</v>
      </c>
      <c r="E3185" s="1"/>
      <c r="F3185" s="1" t="s">
        <v>327</v>
      </c>
      <c r="G3185">
        <v>2013</v>
      </c>
      <c r="H3185">
        <v>210828.96</v>
      </c>
      <c r="I3185">
        <v>12</v>
      </c>
      <c r="J3185" s="1"/>
      <c r="K3185">
        <v>0</v>
      </c>
      <c r="L3185">
        <v>2128</v>
      </c>
      <c r="M3185">
        <v>99.069102999999998</v>
      </c>
      <c r="N3185">
        <v>1</v>
      </c>
      <c r="O3185" s="1" t="s">
        <v>564</v>
      </c>
      <c r="P3185">
        <v>220130.75</v>
      </c>
      <c r="Q3185">
        <v>46553.58</v>
      </c>
      <c r="R3185">
        <v>0</v>
      </c>
      <c r="S3185" s="1" t="s">
        <v>860</v>
      </c>
      <c r="T3185" s="1" t="s">
        <v>1220</v>
      </c>
      <c r="U3185">
        <v>19521.2</v>
      </c>
      <c r="V3185">
        <v>0</v>
      </c>
      <c r="W3185">
        <v>74430</v>
      </c>
    </row>
    <row r="3186" spans="1:23" x14ac:dyDescent="0.25">
      <c r="A3186" s="1" t="s">
        <v>37</v>
      </c>
      <c r="B3186" s="1"/>
      <c r="C3186" s="1" t="s">
        <v>195</v>
      </c>
      <c r="D3186">
        <v>9518</v>
      </c>
      <c r="E3186" s="1"/>
      <c r="F3186" s="1" t="s">
        <v>327</v>
      </c>
      <c r="G3186">
        <v>2012</v>
      </c>
      <c r="H3186">
        <v>199030.38</v>
      </c>
      <c r="I3186">
        <v>12</v>
      </c>
      <c r="J3186" s="1"/>
      <c r="K3186">
        <v>0</v>
      </c>
      <c r="L3186">
        <v>2128</v>
      </c>
      <c r="M3186">
        <v>93.524918</v>
      </c>
      <c r="N3186">
        <v>1</v>
      </c>
      <c r="O3186" s="1" t="s">
        <v>564</v>
      </c>
      <c r="P3186">
        <v>208055.05</v>
      </c>
      <c r="Q3186">
        <v>43999.8</v>
      </c>
      <c r="R3186">
        <v>0</v>
      </c>
      <c r="S3186" s="1" t="s">
        <v>860</v>
      </c>
      <c r="T3186" s="1" t="s">
        <v>1220</v>
      </c>
      <c r="U3186">
        <v>18428.740000000002</v>
      </c>
      <c r="V3186">
        <v>0</v>
      </c>
      <c r="W3186">
        <v>74430</v>
      </c>
    </row>
    <row r="3187" spans="1:23" x14ac:dyDescent="0.25">
      <c r="A3187" s="1" t="s">
        <v>37</v>
      </c>
      <c r="B3187" s="1"/>
      <c r="C3187" s="1" t="s">
        <v>195</v>
      </c>
      <c r="D3187">
        <v>9518</v>
      </c>
      <c r="E3187" s="1"/>
      <c r="F3187" s="1" t="s">
        <v>327</v>
      </c>
      <c r="G3187">
        <v>2011</v>
      </c>
      <c r="H3187">
        <v>186639.35</v>
      </c>
      <c r="I3187">
        <v>12</v>
      </c>
      <c r="J3187" s="1"/>
      <c r="K3187">
        <v>0</v>
      </c>
      <c r="L3187">
        <v>2128</v>
      </c>
      <c r="M3187">
        <v>87.702340000000007</v>
      </c>
      <c r="N3187">
        <v>1</v>
      </c>
      <c r="O3187" s="1" t="s">
        <v>564</v>
      </c>
      <c r="P3187">
        <v>203763.53</v>
      </c>
      <c r="Q3187">
        <v>43092.22</v>
      </c>
      <c r="R3187">
        <v>0</v>
      </c>
      <c r="S3187" s="1" t="s">
        <v>860</v>
      </c>
      <c r="T3187" s="1" t="s">
        <v>1220</v>
      </c>
      <c r="U3187">
        <v>17281.420020000001</v>
      </c>
      <c r="V3187">
        <v>0</v>
      </c>
      <c r="W3187">
        <v>74430</v>
      </c>
    </row>
    <row r="3188" spans="1:23" x14ac:dyDescent="0.25">
      <c r="A3188" s="1" t="s">
        <v>37</v>
      </c>
      <c r="B3188" s="1"/>
      <c r="C3188" s="1" t="s">
        <v>195</v>
      </c>
      <c r="D3188">
        <v>9518</v>
      </c>
      <c r="E3188" s="1"/>
      <c r="F3188" s="1" t="s">
        <v>327</v>
      </c>
      <c r="G3188">
        <v>2010</v>
      </c>
      <c r="H3188">
        <v>209524.09</v>
      </c>
      <c r="I3188">
        <v>12</v>
      </c>
      <c r="J3188" s="1"/>
      <c r="K3188">
        <v>0</v>
      </c>
      <c r="L3188">
        <v>2128</v>
      </c>
      <c r="M3188">
        <v>98.455940999999996</v>
      </c>
      <c r="N3188">
        <v>1</v>
      </c>
      <c r="O3188" s="1" t="s">
        <v>564</v>
      </c>
      <c r="P3188">
        <v>191478.73</v>
      </c>
      <c r="Q3188">
        <v>40494.199999999997</v>
      </c>
      <c r="R3188">
        <v>0</v>
      </c>
      <c r="S3188" s="1" t="s">
        <v>860</v>
      </c>
      <c r="T3188" s="1" t="s">
        <v>1220</v>
      </c>
      <c r="U3188">
        <v>19400.38</v>
      </c>
      <c r="V3188">
        <v>0</v>
      </c>
      <c r="W3188">
        <v>74430</v>
      </c>
    </row>
    <row r="3189" spans="1:23" x14ac:dyDescent="0.25">
      <c r="A3189" s="1" t="s">
        <v>37</v>
      </c>
      <c r="B3189" s="1"/>
      <c r="C3189" s="1" t="s">
        <v>195</v>
      </c>
      <c r="D3189">
        <v>9518</v>
      </c>
      <c r="E3189" s="1"/>
      <c r="F3189" s="1" t="s">
        <v>327</v>
      </c>
      <c r="G3189">
        <v>2009</v>
      </c>
      <c r="H3189">
        <v>193870.35</v>
      </c>
      <c r="I3189">
        <v>12</v>
      </c>
      <c r="J3189" s="1"/>
      <c r="K3189">
        <v>0</v>
      </c>
      <c r="L3189">
        <v>2128</v>
      </c>
      <c r="M3189">
        <v>91.100206</v>
      </c>
      <c r="N3189">
        <v>1</v>
      </c>
      <c r="O3189" s="1" t="s">
        <v>564</v>
      </c>
      <c r="P3189">
        <v>206528.39</v>
      </c>
      <c r="Q3189">
        <v>43676.93</v>
      </c>
      <c r="R3189">
        <v>0</v>
      </c>
      <c r="S3189" s="1" t="s">
        <v>860</v>
      </c>
      <c r="T3189" s="1" t="s">
        <v>1220</v>
      </c>
      <c r="U3189">
        <v>17950.96</v>
      </c>
      <c r="V3189">
        <v>0</v>
      </c>
      <c r="W3189">
        <v>74430</v>
      </c>
    </row>
    <row r="3190" spans="1:23" x14ac:dyDescent="0.25">
      <c r="A3190" s="1" t="s">
        <v>37</v>
      </c>
      <c r="B3190" s="1"/>
      <c r="C3190" s="1" t="s">
        <v>195</v>
      </c>
      <c r="D3190">
        <v>9518</v>
      </c>
      <c r="E3190" s="1"/>
      <c r="F3190" s="1" t="s">
        <v>327</v>
      </c>
      <c r="G3190">
        <v>2008</v>
      </c>
      <c r="H3190">
        <v>187620.09</v>
      </c>
      <c r="I3190">
        <v>12</v>
      </c>
      <c r="J3190" s="1"/>
      <c r="K3190">
        <v>0</v>
      </c>
      <c r="L3190">
        <v>2128</v>
      </c>
      <c r="M3190">
        <v>88.163191999999995</v>
      </c>
      <c r="N3190">
        <v>1</v>
      </c>
      <c r="O3190" s="1" t="s">
        <v>564</v>
      </c>
      <c r="P3190">
        <v>213117.84</v>
      </c>
      <c r="Q3190">
        <v>45070.47</v>
      </c>
      <c r="R3190">
        <v>0</v>
      </c>
      <c r="S3190" s="1" t="s">
        <v>860</v>
      </c>
      <c r="T3190" s="1" t="s">
        <v>1220</v>
      </c>
      <c r="U3190">
        <v>17372.23</v>
      </c>
      <c r="V3190">
        <v>0</v>
      </c>
      <c r="W3190">
        <v>74430</v>
      </c>
    </row>
    <row r="3191" spans="1:23" x14ac:dyDescent="0.25">
      <c r="A3191" s="1" t="s">
        <v>37</v>
      </c>
      <c r="B3191" s="1"/>
      <c r="C3191" s="1" t="s">
        <v>195</v>
      </c>
      <c r="D3191">
        <v>9519</v>
      </c>
      <c r="E3191" s="1"/>
      <c r="F3191" s="1" t="s">
        <v>328</v>
      </c>
      <c r="G3191">
        <v>2015</v>
      </c>
      <c r="H3191">
        <v>38081.230000000003</v>
      </c>
      <c r="I3191">
        <v>5</v>
      </c>
      <c r="J3191" s="1"/>
      <c r="K3191">
        <v>0</v>
      </c>
      <c r="L3191">
        <v>353</v>
      </c>
      <c r="M3191">
        <v>107.848286</v>
      </c>
      <c r="N3191">
        <v>1</v>
      </c>
      <c r="O3191" s="1" t="s">
        <v>564</v>
      </c>
      <c r="P3191">
        <v>42934.59</v>
      </c>
      <c r="Q3191">
        <v>9079.8700000000008</v>
      </c>
      <c r="R3191">
        <v>0</v>
      </c>
      <c r="S3191" s="1"/>
      <c r="T3191" s="1" t="s">
        <v>1221</v>
      </c>
      <c r="U3191">
        <v>3526.04</v>
      </c>
      <c r="V3191">
        <v>0</v>
      </c>
      <c r="W3191">
        <v>74433</v>
      </c>
    </row>
    <row r="3192" spans="1:23" x14ac:dyDescent="0.25">
      <c r="A3192" s="1" t="s">
        <v>37</v>
      </c>
      <c r="B3192" s="1"/>
      <c r="C3192" s="1" t="s">
        <v>195</v>
      </c>
      <c r="D3192">
        <v>9519</v>
      </c>
      <c r="E3192" s="1"/>
      <c r="F3192" s="1" t="s">
        <v>328</v>
      </c>
      <c r="G3192">
        <v>2014</v>
      </c>
      <c r="H3192">
        <v>67681.45</v>
      </c>
      <c r="I3192">
        <v>12</v>
      </c>
      <c r="J3192" s="1"/>
      <c r="K3192">
        <v>0</v>
      </c>
      <c r="L3192">
        <v>353</v>
      </c>
      <c r="M3192">
        <v>191.677853</v>
      </c>
      <c r="N3192">
        <v>1</v>
      </c>
      <c r="O3192" s="1" t="s">
        <v>564</v>
      </c>
      <c r="P3192">
        <v>80764.28</v>
      </c>
      <c r="Q3192">
        <v>17080.150000000001</v>
      </c>
      <c r="R3192">
        <v>0</v>
      </c>
      <c r="S3192" s="1"/>
      <c r="T3192" s="1" t="s">
        <v>1221</v>
      </c>
      <c r="U3192">
        <v>6266.8</v>
      </c>
      <c r="V3192">
        <v>0</v>
      </c>
      <c r="W3192">
        <v>74433</v>
      </c>
    </row>
    <row r="3193" spans="1:23" x14ac:dyDescent="0.25">
      <c r="A3193" s="1" t="s">
        <v>37</v>
      </c>
      <c r="B3193" s="1"/>
      <c r="C3193" s="1" t="s">
        <v>195</v>
      </c>
      <c r="D3193">
        <v>9519</v>
      </c>
      <c r="E3193" s="1"/>
      <c r="F3193" s="1" t="s">
        <v>328</v>
      </c>
      <c r="G3193">
        <v>2013</v>
      </c>
      <c r="H3193">
        <v>81793.039999999994</v>
      </c>
      <c r="I3193">
        <v>12</v>
      </c>
      <c r="J3193" s="1"/>
      <c r="K3193">
        <v>0</v>
      </c>
      <c r="L3193">
        <v>353</v>
      </c>
      <c r="M3193">
        <v>231.642707</v>
      </c>
      <c r="N3193">
        <v>1</v>
      </c>
      <c r="O3193" s="1" t="s">
        <v>564</v>
      </c>
      <c r="P3193">
        <v>85479.02</v>
      </c>
      <c r="Q3193">
        <v>18077.22</v>
      </c>
      <c r="R3193">
        <v>0</v>
      </c>
      <c r="S3193" s="1"/>
      <c r="T3193" s="1" t="s">
        <v>1221</v>
      </c>
      <c r="U3193">
        <v>7573.43</v>
      </c>
      <c r="V3193">
        <v>0</v>
      </c>
      <c r="W3193">
        <v>74433</v>
      </c>
    </row>
    <row r="3194" spans="1:23" x14ac:dyDescent="0.25">
      <c r="A3194" s="1" t="s">
        <v>37</v>
      </c>
      <c r="B3194" s="1"/>
      <c r="C3194" s="1" t="s">
        <v>195</v>
      </c>
      <c r="D3194">
        <v>9519</v>
      </c>
      <c r="E3194" s="1"/>
      <c r="F3194" s="1" t="s">
        <v>328</v>
      </c>
      <c r="G3194">
        <v>2012</v>
      </c>
      <c r="H3194">
        <v>83111.199999999997</v>
      </c>
      <c r="I3194">
        <v>12</v>
      </c>
      <c r="J3194" s="1"/>
      <c r="K3194">
        <v>0</v>
      </c>
      <c r="L3194">
        <v>353</v>
      </c>
      <c r="M3194">
        <v>235.37581399999999</v>
      </c>
      <c r="N3194">
        <v>1</v>
      </c>
      <c r="O3194" s="1" t="s">
        <v>564</v>
      </c>
      <c r="P3194">
        <v>87188.96</v>
      </c>
      <c r="Q3194">
        <v>18438.86</v>
      </c>
      <c r="R3194">
        <v>0</v>
      </c>
      <c r="S3194" s="1"/>
      <c r="T3194" s="1" t="s">
        <v>1221</v>
      </c>
      <c r="U3194">
        <v>7695.48</v>
      </c>
      <c r="V3194">
        <v>0</v>
      </c>
      <c r="W3194">
        <v>74433</v>
      </c>
    </row>
    <row r="3195" spans="1:23" x14ac:dyDescent="0.25">
      <c r="A3195" s="1" t="s">
        <v>37</v>
      </c>
      <c r="B3195" s="1"/>
      <c r="C3195" s="1" t="s">
        <v>195</v>
      </c>
      <c r="D3195">
        <v>9519</v>
      </c>
      <c r="E3195" s="1"/>
      <c r="F3195" s="1" t="s">
        <v>328</v>
      </c>
      <c r="G3195">
        <v>2011</v>
      </c>
      <c r="H3195">
        <v>76959.289999999994</v>
      </c>
      <c r="I3195">
        <v>12</v>
      </c>
      <c r="J3195" s="1"/>
      <c r="K3195">
        <v>0</v>
      </c>
      <c r="L3195">
        <v>353</v>
      </c>
      <c r="M3195">
        <v>217.95324199999999</v>
      </c>
      <c r="N3195">
        <v>1</v>
      </c>
      <c r="O3195" s="1" t="s">
        <v>564</v>
      </c>
      <c r="P3195">
        <v>83628.06</v>
      </c>
      <c r="Q3195">
        <v>17685.77</v>
      </c>
      <c r="R3195">
        <v>0</v>
      </c>
      <c r="S3195" s="1"/>
      <c r="T3195" s="1" t="s">
        <v>1221</v>
      </c>
      <c r="U3195">
        <v>7125.86</v>
      </c>
      <c r="V3195">
        <v>0</v>
      </c>
      <c r="W3195">
        <v>74433</v>
      </c>
    </row>
    <row r="3196" spans="1:23" x14ac:dyDescent="0.25">
      <c r="A3196" s="1" t="s">
        <v>37</v>
      </c>
      <c r="B3196" s="1"/>
      <c r="C3196" s="1" t="s">
        <v>195</v>
      </c>
      <c r="D3196">
        <v>9519</v>
      </c>
      <c r="E3196" s="1"/>
      <c r="F3196" s="1" t="s">
        <v>328</v>
      </c>
      <c r="G3196">
        <v>2010</v>
      </c>
      <c r="H3196">
        <v>97736.22</v>
      </c>
      <c r="I3196">
        <v>12</v>
      </c>
      <c r="J3196" s="1"/>
      <c r="K3196">
        <v>0</v>
      </c>
      <c r="L3196">
        <v>353</v>
      </c>
      <c r="M3196">
        <v>276.79473200000001</v>
      </c>
      <c r="N3196">
        <v>1</v>
      </c>
      <c r="O3196" s="1" t="s">
        <v>564</v>
      </c>
      <c r="P3196">
        <v>88892.88</v>
      </c>
      <c r="Q3196">
        <v>18799.2</v>
      </c>
      <c r="R3196">
        <v>0</v>
      </c>
      <c r="S3196" s="1"/>
      <c r="T3196" s="1" t="s">
        <v>1221</v>
      </c>
      <c r="U3196">
        <v>9049.65</v>
      </c>
      <c r="V3196">
        <v>0</v>
      </c>
      <c r="W3196">
        <v>74433</v>
      </c>
    </row>
    <row r="3197" spans="1:23" x14ac:dyDescent="0.25">
      <c r="A3197" s="1" t="s">
        <v>37</v>
      </c>
      <c r="B3197" s="1"/>
      <c r="C3197" s="1" t="s">
        <v>195</v>
      </c>
      <c r="D3197">
        <v>9519</v>
      </c>
      <c r="E3197" s="1"/>
      <c r="F3197" s="1" t="s">
        <v>328</v>
      </c>
      <c r="G3197">
        <v>2009</v>
      </c>
      <c r="H3197">
        <v>83365.41</v>
      </c>
      <c r="I3197">
        <v>12</v>
      </c>
      <c r="J3197" s="1"/>
      <c r="K3197">
        <v>0</v>
      </c>
      <c r="L3197">
        <v>353</v>
      </c>
      <c r="M3197">
        <v>236.09575100000001</v>
      </c>
      <c r="N3197">
        <v>1</v>
      </c>
      <c r="O3197" s="1" t="s">
        <v>564</v>
      </c>
      <c r="P3197">
        <v>88710.8</v>
      </c>
      <c r="Q3197">
        <v>18760.71</v>
      </c>
      <c r="R3197">
        <v>0</v>
      </c>
      <c r="S3197" s="1"/>
      <c r="T3197" s="1" t="s">
        <v>1221</v>
      </c>
      <c r="U3197">
        <v>7719.02</v>
      </c>
      <c r="V3197">
        <v>0</v>
      </c>
      <c r="W3197">
        <v>74433</v>
      </c>
    </row>
    <row r="3198" spans="1:23" x14ac:dyDescent="0.25">
      <c r="A3198" s="1" t="s">
        <v>37</v>
      </c>
      <c r="B3198" s="1"/>
      <c r="C3198" s="1" t="s">
        <v>195</v>
      </c>
      <c r="D3198">
        <v>9519</v>
      </c>
      <c r="E3198" s="1"/>
      <c r="F3198" s="1" t="s">
        <v>328</v>
      </c>
      <c r="G3198">
        <v>2008</v>
      </c>
      <c r="H3198">
        <v>79167.14</v>
      </c>
      <c r="I3198">
        <v>12</v>
      </c>
      <c r="J3198" s="1"/>
      <c r="K3198">
        <v>0</v>
      </c>
      <c r="L3198">
        <v>353</v>
      </c>
      <c r="M3198">
        <v>224.20600300000001</v>
      </c>
      <c r="N3198">
        <v>1</v>
      </c>
      <c r="O3198" s="1" t="s">
        <v>564</v>
      </c>
      <c r="P3198">
        <v>92468.77</v>
      </c>
      <c r="Q3198">
        <v>19555.43</v>
      </c>
      <c r="R3198">
        <v>0</v>
      </c>
      <c r="S3198" s="1"/>
      <c r="T3198" s="1" t="s">
        <v>1221</v>
      </c>
      <c r="U3198">
        <v>7330.2902000000004</v>
      </c>
      <c r="V3198">
        <v>0</v>
      </c>
      <c r="W3198">
        <v>74433</v>
      </c>
    </row>
    <row r="3199" spans="1:23" x14ac:dyDescent="0.25">
      <c r="A3199" s="1" t="s">
        <v>37</v>
      </c>
      <c r="B3199" s="1" t="s">
        <v>81</v>
      </c>
      <c r="C3199" s="1" t="s">
        <v>196</v>
      </c>
      <c r="D3199">
        <v>5481</v>
      </c>
      <c r="E3199" s="1"/>
      <c r="F3199" s="1" t="s">
        <v>330</v>
      </c>
      <c r="G3199">
        <v>2015</v>
      </c>
      <c r="H3199">
        <v>44520</v>
      </c>
      <c r="I3199">
        <v>5</v>
      </c>
      <c r="J3199" s="1" t="s">
        <v>495</v>
      </c>
      <c r="K3199">
        <v>0</v>
      </c>
      <c r="L3199">
        <v>1273</v>
      </c>
      <c r="M3199">
        <v>34.969757999999999</v>
      </c>
      <c r="N3199">
        <v>1</v>
      </c>
      <c r="O3199" s="1" t="s">
        <v>562</v>
      </c>
      <c r="P3199">
        <v>51062.65</v>
      </c>
      <c r="Q3199">
        <v>9446590.25</v>
      </c>
      <c r="R3199">
        <v>0</v>
      </c>
      <c r="S3199" s="1" t="s">
        <v>861</v>
      </c>
      <c r="T3199" s="1"/>
      <c r="U3199">
        <v>44520</v>
      </c>
      <c r="V3199">
        <v>0</v>
      </c>
      <c r="W3199">
        <v>57945</v>
      </c>
    </row>
    <row r="3200" spans="1:23" x14ac:dyDescent="0.25">
      <c r="A3200" s="1" t="s">
        <v>37</v>
      </c>
      <c r="B3200" s="1" t="s">
        <v>81</v>
      </c>
      <c r="C3200" s="1" t="s">
        <v>196</v>
      </c>
      <c r="D3200">
        <v>5481</v>
      </c>
      <c r="E3200" s="1"/>
      <c r="F3200" s="1" t="s">
        <v>330</v>
      </c>
      <c r="G3200">
        <v>2015</v>
      </c>
      <c r="H3200">
        <v>99338.81</v>
      </c>
      <c r="I3200">
        <v>5</v>
      </c>
      <c r="J3200" s="1" t="s">
        <v>496</v>
      </c>
      <c r="K3200">
        <v>0</v>
      </c>
      <c r="L3200">
        <v>1273</v>
      </c>
      <c r="M3200">
        <v>78.029070000000004</v>
      </c>
      <c r="N3200">
        <v>1</v>
      </c>
      <c r="O3200" s="1" t="s">
        <v>563</v>
      </c>
      <c r="P3200">
        <v>108652.08</v>
      </c>
      <c r="Q3200">
        <v>576114.5</v>
      </c>
      <c r="R3200">
        <v>1</v>
      </c>
      <c r="S3200" s="1" t="s">
        <v>861</v>
      </c>
      <c r="T3200" s="1"/>
      <c r="U3200">
        <v>2847.2</v>
      </c>
      <c r="V3200">
        <v>0</v>
      </c>
      <c r="W3200">
        <v>58125</v>
      </c>
    </row>
    <row r="3201" spans="1:23" x14ac:dyDescent="0.25">
      <c r="A3201" s="1" t="s">
        <v>37</v>
      </c>
      <c r="B3201" s="1" t="s">
        <v>81</v>
      </c>
      <c r="C3201" s="1" t="s">
        <v>196</v>
      </c>
      <c r="D3201">
        <v>5481</v>
      </c>
      <c r="E3201" s="1"/>
      <c r="F3201" s="1" t="s">
        <v>330</v>
      </c>
      <c r="G3201">
        <v>2014</v>
      </c>
      <c r="H3201">
        <v>55250</v>
      </c>
      <c r="I3201">
        <v>12</v>
      </c>
      <c r="J3201" s="1" t="s">
        <v>495</v>
      </c>
      <c r="K3201">
        <v>0</v>
      </c>
      <c r="L3201">
        <v>1273</v>
      </c>
      <c r="M3201">
        <v>43.398004</v>
      </c>
      <c r="N3201">
        <v>1</v>
      </c>
      <c r="O3201" s="1" t="s">
        <v>562</v>
      </c>
      <c r="P3201">
        <v>66389.56</v>
      </c>
      <c r="Q3201">
        <v>5196340.97</v>
      </c>
      <c r="R3201">
        <v>0</v>
      </c>
      <c r="S3201" s="1" t="s">
        <v>861</v>
      </c>
      <c r="T3201" s="1"/>
      <c r="U3201">
        <v>55250.002</v>
      </c>
      <c r="V3201">
        <v>0</v>
      </c>
      <c r="W3201">
        <v>57945</v>
      </c>
    </row>
    <row r="3202" spans="1:23" x14ac:dyDescent="0.25">
      <c r="A3202" s="1" t="s">
        <v>37</v>
      </c>
      <c r="B3202" s="1" t="s">
        <v>81</v>
      </c>
      <c r="C3202" s="1" t="s">
        <v>196</v>
      </c>
      <c r="D3202">
        <v>5481</v>
      </c>
      <c r="E3202" s="1"/>
      <c r="F3202" s="1" t="s">
        <v>330</v>
      </c>
      <c r="G3202">
        <v>2014</v>
      </c>
      <c r="H3202">
        <v>127714.85</v>
      </c>
      <c r="I3202">
        <v>12</v>
      </c>
      <c r="J3202" s="1" t="s">
        <v>496</v>
      </c>
      <c r="K3202">
        <v>0</v>
      </c>
      <c r="L3202">
        <v>1273</v>
      </c>
      <c r="M3202">
        <v>100.318003</v>
      </c>
      <c r="N3202">
        <v>1</v>
      </c>
      <c r="O3202" s="1" t="s">
        <v>563</v>
      </c>
      <c r="P3202">
        <v>157779.35999999999</v>
      </c>
      <c r="Q3202">
        <v>437250.56</v>
      </c>
      <c r="R3202">
        <v>1</v>
      </c>
      <c r="S3202" s="1" t="s">
        <v>861</v>
      </c>
      <c r="T3202" s="1"/>
      <c r="U3202">
        <v>3660.5001000000002</v>
      </c>
      <c r="V3202">
        <v>0</v>
      </c>
      <c r="W3202">
        <v>58125</v>
      </c>
    </row>
    <row r="3203" spans="1:23" x14ac:dyDescent="0.25">
      <c r="A3203" s="1" t="s">
        <v>37</v>
      </c>
      <c r="B3203" s="1" t="s">
        <v>81</v>
      </c>
      <c r="C3203" s="1" t="s">
        <v>196</v>
      </c>
      <c r="D3203">
        <v>5481</v>
      </c>
      <c r="E3203" s="1"/>
      <c r="F3203" s="1" t="s">
        <v>330</v>
      </c>
      <c r="G3203">
        <v>2013</v>
      </c>
      <c r="H3203">
        <v>84330</v>
      </c>
      <c r="I3203">
        <v>12</v>
      </c>
      <c r="J3203" s="1" t="s">
        <v>495</v>
      </c>
      <c r="K3203">
        <v>0</v>
      </c>
      <c r="L3203">
        <v>1273</v>
      </c>
      <c r="M3203">
        <v>66.239885999999998</v>
      </c>
      <c r="N3203">
        <v>1</v>
      </c>
      <c r="O3203" s="1" t="s">
        <v>562</v>
      </c>
      <c r="P3203">
        <v>87435.1</v>
      </c>
      <c r="Q3203">
        <v>16175.5</v>
      </c>
      <c r="R3203">
        <v>0</v>
      </c>
      <c r="S3203" s="1" t="s">
        <v>861</v>
      </c>
      <c r="T3203" s="1"/>
      <c r="U3203">
        <v>84330</v>
      </c>
      <c r="V3203">
        <v>0</v>
      </c>
      <c r="W3203">
        <v>57945</v>
      </c>
    </row>
    <row r="3204" spans="1:23" x14ac:dyDescent="0.25">
      <c r="A3204" s="1" t="s">
        <v>37</v>
      </c>
      <c r="B3204" s="1" t="s">
        <v>81</v>
      </c>
      <c r="C3204" s="1" t="s">
        <v>196</v>
      </c>
      <c r="D3204">
        <v>5481</v>
      </c>
      <c r="E3204" s="1"/>
      <c r="F3204" s="1" t="s">
        <v>330</v>
      </c>
      <c r="G3204">
        <v>2013</v>
      </c>
      <c r="H3204">
        <v>85400.25</v>
      </c>
      <c r="I3204">
        <v>12</v>
      </c>
      <c r="J3204" s="1" t="s">
        <v>496</v>
      </c>
      <c r="K3204">
        <v>0</v>
      </c>
      <c r="L3204">
        <v>1273</v>
      </c>
      <c r="M3204">
        <v>67.080551</v>
      </c>
      <c r="N3204">
        <v>1</v>
      </c>
      <c r="O3204" s="1" t="s">
        <v>563</v>
      </c>
      <c r="P3204">
        <v>97321.5</v>
      </c>
      <c r="Q3204">
        <v>516.03</v>
      </c>
      <c r="R3204">
        <v>1</v>
      </c>
      <c r="S3204" s="1" t="s">
        <v>861</v>
      </c>
      <c r="T3204" s="1"/>
      <c r="U3204">
        <v>2447.6999999999998</v>
      </c>
      <c r="V3204">
        <v>0</v>
      </c>
      <c r="W3204">
        <v>58125</v>
      </c>
    </row>
    <row r="3205" spans="1:23" x14ac:dyDescent="0.25">
      <c r="A3205" s="1" t="s">
        <v>37</v>
      </c>
      <c r="B3205" s="1" t="s">
        <v>81</v>
      </c>
      <c r="C3205" s="1" t="s">
        <v>196</v>
      </c>
      <c r="D3205">
        <v>5481</v>
      </c>
      <c r="E3205" s="1"/>
      <c r="F3205" s="1" t="s">
        <v>330</v>
      </c>
      <c r="G3205">
        <v>2012</v>
      </c>
      <c r="H3205">
        <v>100090</v>
      </c>
      <c r="I3205">
        <v>12</v>
      </c>
      <c r="J3205" s="1" t="s">
        <v>495</v>
      </c>
      <c r="K3205">
        <v>0</v>
      </c>
      <c r="L3205">
        <v>1273</v>
      </c>
      <c r="M3205">
        <v>78.619118</v>
      </c>
      <c r="N3205">
        <v>1</v>
      </c>
      <c r="O3205" s="1" t="s">
        <v>562</v>
      </c>
      <c r="P3205">
        <v>106248.98</v>
      </c>
      <c r="Q3205">
        <v>19656.07</v>
      </c>
      <c r="R3205">
        <v>0</v>
      </c>
      <c r="S3205" s="1" t="s">
        <v>861</v>
      </c>
      <c r="T3205" s="1"/>
      <c r="U3205">
        <v>100090</v>
      </c>
      <c r="V3205">
        <v>0</v>
      </c>
      <c r="W3205">
        <v>57945</v>
      </c>
    </row>
    <row r="3206" spans="1:23" x14ac:dyDescent="0.25">
      <c r="A3206" s="1" t="s">
        <v>37</v>
      </c>
      <c r="B3206" s="1" t="s">
        <v>81</v>
      </c>
      <c r="C3206" s="1" t="s">
        <v>196</v>
      </c>
      <c r="D3206">
        <v>5481</v>
      </c>
      <c r="E3206" s="1"/>
      <c r="F3206" s="1" t="s">
        <v>330</v>
      </c>
      <c r="G3206">
        <v>2012</v>
      </c>
      <c r="H3206">
        <v>85543.3</v>
      </c>
      <c r="I3206">
        <v>12</v>
      </c>
      <c r="J3206" s="1" t="s">
        <v>496</v>
      </c>
      <c r="K3206">
        <v>0</v>
      </c>
      <c r="L3206">
        <v>1273</v>
      </c>
      <c r="M3206">
        <v>67.192914000000002</v>
      </c>
      <c r="N3206">
        <v>1</v>
      </c>
      <c r="O3206" s="1" t="s">
        <v>563</v>
      </c>
      <c r="P3206">
        <v>91451.9</v>
      </c>
      <c r="Q3206">
        <v>484.91</v>
      </c>
      <c r="R3206">
        <v>1</v>
      </c>
      <c r="S3206" s="1" t="s">
        <v>861</v>
      </c>
      <c r="T3206" s="1"/>
      <c r="U3206">
        <v>2451.8000000000002</v>
      </c>
      <c r="V3206">
        <v>0</v>
      </c>
      <c r="W3206">
        <v>58125</v>
      </c>
    </row>
    <row r="3207" spans="1:23" x14ac:dyDescent="0.25">
      <c r="A3207" s="1" t="s">
        <v>37</v>
      </c>
      <c r="B3207" s="1" t="s">
        <v>81</v>
      </c>
      <c r="C3207" s="1" t="s">
        <v>196</v>
      </c>
      <c r="D3207">
        <v>5481</v>
      </c>
      <c r="E3207" s="1"/>
      <c r="F3207" s="1" t="s">
        <v>330</v>
      </c>
      <c r="G3207">
        <v>2011</v>
      </c>
      <c r="H3207">
        <v>115133.75999999999</v>
      </c>
      <c r="I3207">
        <v>12</v>
      </c>
      <c r="J3207" s="1" t="s">
        <v>495</v>
      </c>
      <c r="K3207">
        <v>0</v>
      </c>
      <c r="L3207">
        <v>1273</v>
      </c>
      <c r="M3207">
        <v>90.435755</v>
      </c>
      <c r="N3207">
        <v>1</v>
      </c>
      <c r="O3207" s="1" t="s">
        <v>562</v>
      </c>
      <c r="P3207">
        <v>136919.22</v>
      </c>
      <c r="Q3207">
        <v>25330.06</v>
      </c>
      <c r="R3207">
        <v>0</v>
      </c>
      <c r="S3207" s="1" t="s">
        <v>861</v>
      </c>
      <c r="T3207" s="1"/>
      <c r="U3207">
        <v>115133.773</v>
      </c>
      <c r="V3207">
        <v>0</v>
      </c>
      <c r="W3207">
        <v>57945</v>
      </c>
    </row>
    <row r="3208" spans="1:23" x14ac:dyDescent="0.25">
      <c r="A3208" s="1" t="s">
        <v>37</v>
      </c>
      <c r="B3208" s="1" t="s">
        <v>81</v>
      </c>
      <c r="C3208" s="1" t="s">
        <v>196</v>
      </c>
      <c r="D3208">
        <v>5481</v>
      </c>
      <c r="E3208" s="1"/>
      <c r="F3208" s="1" t="s">
        <v>330</v>
      </c>
      <c r="G3208">
        <v>2011</v>
      </c>
      <c r="H3208">
        <v>20326.919999999998</v>
      </c>
      <c r="I3208">
        <v>12</v>
      </c>
      <c r="J3208" s="1" t="s">
        <v>496</v>
      </c>
      <c r="K3208">
        <v>0</v>
      </c>
      <c r="L3208">
        <v>1273</v>
      </c>
      <c r="M3208">
        <v>15.966475000000001</v>
      </c>
      <c r="N3208">
        <v>1</v>
      </c>
      <c r="O3208" s="1" t="s">
        <v>563</v>
      </c>
      <c r="P3208">
        <v>24186.91</v>
      </c>
      <c r="Q3208">
        <v>128.24</v>
      </c>
      <c r="R3208">
        <v>1</v>
      </c>
      <c r="S3208" s="1" t="s">
        <v>861</v>
      </c>
      <c r="T3208" s="1"/>
      <c r="U3208">
        <v>582.6</v>
      </c>
      <c r="V3208">
        <v>0</v>
      </c>
      <c r="W3208">
        <v>58125</v>
      </c>
    </row>
    <row r="3209" spans="1:23" x14ac:dyDescent="0.25">
      <c r="A3209" s="1" t="s">
        <v>37</v>
      </c>
      <c r="B3209" s="1" t="s">
        <v>81</v>
      </c>
      <c r="C3209" s="1" t="s">
        <v>196</v>
      </c>
      <c r="D3209">
        <v>5481</v>
      </c>
      <c r="E3209" s="1"/>
      <c r="F3209" s="1" t="s">
        <v>330</v>
      </c>
      <c r="G3209">
        <v>2010</v>
      </c>
      <c r="H3209">
        <v>110531.22</v>
      </c>
      <c r="I3209">
        <v>12</v>
      </c>
      <c r="J3209" s="1" t="s">
        <v>495</v>
      </c>
      <c r="K3209">
        <v>0</v>
      </c>
      <c r="L3209">
        <v>1273</v>
      </c>
      <c r="M3209">
        <v>86.820532</v>
      </c>
      <c r="N3209">
        <v>1</v>
      </c>
      <c r="O3209" s="1" t="s">
        <v>562</v>
      </c>
      <c r="P3209">
        <v>149226.06</v>
      </c>
      <c r="Q3209">
        <v>27606.82</v>
      </c>
      <c r="R3209">
        <v>0</v>
      </c>
      <c r="S3209" s="1" t="s">
        <v>861</v>
      </c>
      <c r="T3209" s="1"/>
      <c r="U3209">
        <v>110531.242</v>
      </c>
      <c r="V3209">
        <v>0</v>
      </c>
      <c r="W3209">
        <v>57945</v>
      </c>
    </row>
    <row r="3210" spans="1:23" x14ac:dyDescent="0.25">
      <c r="A3210" s="1" t="s">
        <v>37</v>
      </c>
      <c r="B3210" s="1" t="s">
        <v>81</v>
      </c>
      <c r="C3210" s="1" t="s">
        <v>196</v>
      </c>
      <c r="D3210">
        <v>5481</v>
      </c>
      <c r="E3210" s="1"/>
      <c r="F3210" s="1" t="s">
        <v>330</v>
      </c>
      <c r="G3210">
        <v>2010</v>
      </c>
      <c r="H3210">
        <v>4278.05</v>
      </c>
      <c r="I3210">
        <v>13</v>
      </c>
      <c r="J3210" s="1" t="s">
        <v>496</v>
      </c>
      <c r="K3210">
        <v>0</v>
      </c>
      <c r="L3210">
        <v>1273</v>
      </c>
      <c r="M3210">
        <v>3.3603399999999999</v>
      </c>
      <c r="N3210">
        <v>1</v>
      </c>
      <c r="O3210" s="1" t="s">
        <v>563</v>
      </c>
      <c r="P3210">
        <v>3690.83</v>
      </c>
      <c r="Q3210">
        <v>19.57</v>
      </c>
      <c r="R3210">
        <v>1</v>
      </c>
      <c r="S3210" s="1" t="s">
        <v>861</v>
      </c>
      <c r="T3210" s="1"/>
      <c r="U3210">
        <v>122.61547</v>
      </c>
      <c r="V3210">
        <v>0</v>
      </c>
      <c r="W3210">
        <v>58125</v>
      </c>
    </row>
    <row r="3211" spans="1:23" x14ac:dyDescent="0.25">
      <c r="A3211" s="1" t="s">
        <v>37</v>
      </c>
      <c r="B3211" s="1" t="s">
        <v>81</v>
      </c>
      <c r="C3211" s="1" t="s">
        <v>196</v>
      </c>
      <c r="D3211">
        <v>5481</v>
      </c>
      <c r="E3211" s="1"/>
      <c r="F3211" s="1" t="s">
        <v>330</v>
      </c>
      <c r="G3211">
        <v>2009</v>
      </c>
      <c r="H3211">
        <v>104244.99</v>
      </c>
      <c r="I3211">
        <v>12</v>
      </c>
      <c r="J3211" s="1" t="s">
        <v>495</v>
      </c>
      <c r="K3211">
        <v>0</v>
      </c>
      <c r="L3211">
        <v>1273</v>
      </c>
      <c r="M3211">
        <v>81.882796999999997</v>
      </c>
      <c r="N3211">
        <v>1</v>
      </c>
      <c r="O3211" s="1" t="s">
        <v>562</v>
      </c>
      <c r="P3211">
        <v>116587.47</v>
      </c>
      <c r="Q3211">
        <v>21568.69</v>
      </c>
      <c r="R3211">
        <v>0</v>
      </c>
      <c r="S3211" s="1" t="s">
        <v>861</v>
      </c>
      <c r="T3211" s="1"/>
      <c r="U3211">
        <v>104244.993</v>
      </c>
      <c r="V3211">
        <v>0</v>
      </c>
      <c r="W3211">
        <v>57945</v>
      </c>
    </row>
    <row r="3212" spans="1:23" x14ac:dyDescent="0.25">
      <c r="A3212" s="1" t="s">
        <v>37</v>
      </c>
      <c r="B3212" s="1" t="s">
        <v>81</v>
      </c>
      <c r="C3212" s="1" t="s">
        <v>196</v>
      </c>
      <c r="D3212">
        <v>5481</v>
      </c>
      <c r="E3212" s="1"/>
      <c r="F3212" s="1" t="s">
        <v>330</v>
      </c>
      <c r="G3212">
        <v>2009</v>
      </c>
      <c r="H3212">
        <v>175952.37</v>
      </c>
      <c r="I3212">
        <v>12</v>
      </c>
      <c r="J3212" s="1" t="s">
        <v>496</v>
      </c>
      <c r="K3212">
        <v>0</v>
      </c>
      <c r="L3212">
        <v>1273</v>
      </c>
      <c r="M3212">
        <v>138.20781500000001</v>
      </c>
      <c r="N3212">
        <v>1</v>
      </c>
      <c r="O3212" s="1" t="s">
        <v>563</v>
      </c>
      <c r="P3212">
        <v>252022.02</v>
      </c>
      <c r="Q3212">
        <v>1336.32</v>
      </c>
      <c r="R3212">
        <v>1</v>
      </c>
      <c r="S3212" s="1" t="s">
        <v>861</v>
      </c>
      <c r="T3212" s="1"/>
      <c r="U3212">
        <v>5043.0605400000004</v>
      </c>
      <c r="V3212">
        <v>0</v>
      </c>
      <c r="W3212">
        <v>58125</v>
      </c>
    </row>
    <row r="3213" spans="1:23" x14ac:dyDescent="0.25">
      <c r="A3213" s="1" t="s">
        <v>37</v>
      </c>
      <c r="B3213" s="1" t="s">
        <v>81</v>
      </c>
      <c r="C3213" s="1" t="s">
        <v>196</v>
      </c>
      <c r="D3213">
        <v>5481</v>
      </c>
      <c r="E3213" s="1"/>
      <c r="F3213" s="1" t="s">
        <v>330</v>
      </c>
      <c r="G3213">
        <v>2008</v>
      </c>
      <c r="H3213">
        <v>101440</v>
      </c>
      <c r="I3213">
        <v>12</v>
      </c>
      <c r="J3213" s="1" t="s">
        <v>495</v>
      </c>
      <c r="K3213">
        <v>0</v>
      </c>
      <c r="L3213">
        <v>1273</v>
      </c>
      <c r="M3213">
        <v>79.679522000000006</v>
      </c>
      <c r="N3213">
        <v>1</v>
      </c>
      <c r="O3213" s="1" t="s">
        <v>562</v>
      </c>
      <c r="P3213">
        <v>117088.86</v>
      </c>
      <c r="Q3213">
        <v>21661.43</v>
      </c>
      <c r="R3213">
        <v>0</v>
      </c>
      <c r="S3213" s="1" t="s">
        <v>861</v>
      </c>
      <c r="T3213" s="1"/>
      <c r="U3213">
        <v>101440</v>
      </c>
      <c r="V3213">
        <v>0</v>
      </c>
      <c r="W3213">
        <v>57945</v>
      </c>
    </row>
    <row r="3214" spans="1:23" x14ac:dyDescent="0.25">
      <c r="A3214" s="1" t="s">
        <v>37</v>
      </c>
      <c r="B3214" s="1" t="s">
        <v>81</v>
      </c>
      <c r="C3214" s="1" t="s">
        <v>196</v>
      </c>
      <c r="D3214">
        <v>5481</v>
      </c>
      <c r="E3214" s="1"/>
      <c r="F3214" s="1" t="s">
        <v>330</v>
      </c>
      <c r="G3214">
        <v>2008</v>
      </c>
      <c r="H3214">
        <v>204920.07</v>
      </c>
      <c r="I3214">
        <v>12</v>
      </c>
      <c r="J3214" s="1" t="s">
        <v>496</v>
      </c>
      <c r="K3214">
        <v>0</v>
      </c>
      <c r="L3214">
        <v>1273</v>
      </c>
      <c r="M3214">
        <v>160.96148700000001</v>
      </c>
      <c r="N3214">
        <v>1</v>
      </c>
      <c r="O3214" s="1" t="s">
        <v>563</v>
      </c>
      <c r="P3214">
        <v>255009.67</v>
      </c>
      <c r="Q3214">
        <v>1352.16</v>
      </c>
      <c r="R3214">
        <v>1</v>
      </c>
      <c r="S3214" s="1" t="s">
        <v>861</v>
      </c>
      <c r="T3214" s="1"/>
      <c r="U3214">
        <v>5873.3187799999996</v>
      </c>
      <c r="V3214">
        <v>0</v>
      </c>
      <c r="W3214">
        <v>58125</v>
      </c>
    </row>
    <row r="3215" spans="1:23" x14ac:dyDescent="0.25">
      <c r="A3215" s="1" t="s">
        <v>37</v>
      </c>
      <c r="B3215" s="1" t="s">
        <v>81</v>
      </c>
      <c r="C3215" s="1" t="s">
        <v>196</v>
      </c>
      <c r="D3215">
        <v>5479</v>
      </c>
      <c r="E3215" s="1"/>
      <c r="F3215" s="1" t="s">
        <v>331</v>
      </c>
      <c r="G3215">
        <v>2015</v>
      </c>
      <c r="H3215">
        <v>219640</v>
      </c>
      <c r="I3215">
        <v>5</v>
      </c>
      <c r="J3215" s="1" t="s">
        <v>407</v>
      </c>
      <c r="K3215">
        <v>0</v>
      </c>
      <c r="L3215">
        <v>6089</v>
      </c>
      <c r="M3215">
        <v>36.071012000000003</v>
      </c>
      <c r="N3215">
        <v>1</v>
      </c>
      <c r="O3215" s="1" t="s">
        <v>562</v>
      </c>
      <c r="P3215">
        <v>260198.1</v>
      </c>
      <c r="Q3215">
        <v>48136648.5</v>
      </c>
      <c r="R3215">
        <v>0</v>
      </c>
      <c r="S3215" s="1" t="s">
        <v>862</v>
      </c>
      <c r="T3215" s="1"/>
      <c r="U3215">
        <v>296882.68</v>
      </c>
      <c r="V3215">
        <v>0</v>
      </c>
      <c r="W3215">
        <v>57932</v>
      </c>
    </row>
    <row r="3216" spans="1:23" x14ac:dyDescent="0.25">
      <c r="A3216" s="1" t="s">
        <v>37</v>
      </c>
      <c r="B3216" s="1" t="s">
        <v>81</v>
      </c>
      <c r="C3216" s="1" t="s">
        <v>196</v>
      </c>
      <c r="D3216">
        <v>5479</v>
      </c>
      <c r="E3216" s="1"/>
      <c r="F3216" s="1" t="s">
        <v>331</v>
      </c>
      <c r="G3216">
        <v>2015</v>
      </c>
      <c r="H3216">
        <v>202051.49</v>
      </c>
      <c r="I3216">
        <v>5</v>
      </c>
      <c r="J3216" s="1" t="s">
        <v>407</v>
      </c>
      <c r="K3216">
        <v>0</v>
      </c>
      <c r="L3216">
        <v>6089</v>
      </c>
      <c r="M3216">
        <v>33.182487999999999</v>
      </c>
      <c r="N3216">
        <v>1</v>
      </c>
      <c r="O3216" s="1" t="s">
        <v>563</v>
      </c>
      <c r="P3216">
        <v>229062.61</v>
      </c>
      <c r="Q3216">
        <v>1214576.75</v>
      </c>
      <c r="R3216">
        <v>1</v>
      </c>
      <c r="S3216" s="1" t="s">
        <v>862</v>
      </c>
      <c r="T3216" s="1"/>
      <c r="U3216">
        <v>5791.1</v>
      </c>
      <c r="V3216">
        <v>0</v>
      </c>
      <c r="W3216">
        <v>57937</v>
      </c>
    </row>
    <row r="3217" spans="1:23" x14ac:dyDescent="0.25">
      <c r="A3217" s="1" t="s">
        <v>37</v>
      </c>
      <c r="B3217" s="1" t="s">
        <v>81</v>
      </c>
      <c r="C3217" s="1" t="s">
        <v>196</v>
      </c>
      <c r="D3217">
        <v>5479</v>
      </c>
      <c r="E3217" s="1"/>
      <c r="F3217" s="1" t="s">
        <v>331</v>
      </c>
      <c r="G3217">
        <v>2014</v>
      </c>
      <c r="H3217">
        <v>466093.5</v>
      </c>
      <c r="I3217">
        <v>12</v>
      </c>
      <c r="J3217" s="1" t="s">
        <v>407</v>
      </c>
      <c r="K3217">
        <v>0</v>
      </c>
      <c r="L3217">
        <v>6089</v>
      </c>
      <c r="M3217">
        <v>76.545547999999997</v>
      </c>
      <c r="N3217">
        <v>1</v>
      </c>
      <c r="O3217" s="1" t="s">
        <v>562</v>
      </c>
      <c r="P3217">
        <v>584293.34</v>
      </c>
      <c r="Q3217">
        <v>43319597</v>
      </c>
      <c r="R3217">
        <v>0</v>
      </c>
      <c r="S3217" s="1" t="s">
        <v>862</v>
      </c>
      <c r="T3217" s="1"/>
      <c r="U3217">
        <v>570505.48349999997</v>
      </c>
      <c r="V3217">
        <v>0</v>
      </c>
      <c r="W3217">
        <v>57932</v>
      </c>
    </row>
    <row r="3218" spans="1:23" x14ac:dyDescent="0.25">
      <c r="A3218" s="1" t="s">
        <v>37</v>
      </c>
      <c r="B3218" s="1" t="s">
        <v>81</v>
      </c>
      <c r="C3218" s="1" t="s">
        <v>196</v>
      </c>
      <c r="D3218">
        <v>5479</v>
      </c>
      <c r="E3218" s="1"/>
      <c r="F3218" s="1" t="s">
        <v>331</v>
      </c>
      <c r="G3218">
        <v>2014</v>
      </c>
      <c r="H3218">
        <v>455740.15999999997</v>
      </c>
      <c r="I3218">
        <v>12</v>
      </c>
      <c r="J3218" s="1" t="s">
        <v>407</v>
      </c>
      <c r="K3218">
        <v>0</v>
      </c>
      <c r="L3218">
        <v>6089</v>
      </c>
      <c r="M3218">
        <v>74.845241000000001</v>
      </c>
      <c r="N3218">
        <v>1</v>
      </c>
      <c r="O3218" s="1" t="s">
        <v>563</v>
      </c>
      <c r="P3218">
        <v>552392.28</v>
      </c>
      <c r="Q3218">
        <v>1083632.17</v>
      </c>
      <c r="R3218">
        <v>1</v>
      </c>
      <c r="S3218" s="1" t="s">
        <v>862</v>
      </c>
      <c r="T3218" s="1"/>
      <c r="U3218">
        <v>13062.2</v>
      </c>
      <c r="V3218">
        <v>0</v>
      </c>
      <c r="W3218">
        <v>57937</v>
      </c>
    </row>
    <row r="3219" spans="1:23" x14ac:dyDescent="0.25">
      <c r="A3219" s="1" t="s">
        <v>37</v>
      </c>
      <c r="B3219" s="1" t="s">
        <v>81</v>
      </c>
      <c r="C3219" s="1" t="s">
        <v>196</v>
      </c>
      <c r="D3219">
        <v>5479</v>
      </c>
      <c r="E3219" s="1"/>
      <c r="F3219" s="1" t="s">
        <v>331</v>
      </c>
      <c r="G3219">
        <v>2013</v>
      </c>
      <c r="H3219">
        <v>504673.34</v>
      </c>
      <c r="I3219">
        <v>12</v>
      </c>
      <c r="J3219" s="1" t="s">
        <v>407</v>
      </c>
      <c r="K3219">
        <v>0</v>
      </c>
      <c r="L3219">
        <v>6089</v>
      </c>
      <c r="M3219">
        <v>82.881433999999999</v>
      </c>
      <c r="N3219">
        <v>1</v>
      </c>
      <c r="O3219" s="1" t="s">
        <v>562</v>
      </c>
      <c r="P3219">
        <v>545553.12</v>
      </c>
      <c r="Q3219">
        <v>100927.31</v>
      </c>
      <c r="R3219">
        <v>0</v>
      </c>
      <c r="S3219" s="1" t="s">
        <v>862</v>
      </c>
      <c r="T3219" s="1"/>
      <c r="U3219">
        <v>703840.63333999994</v>
      </c>
      <c r="V3219">
        <v>0</v>
      </c>
      <c r="W3219">
        <v>57932</v>
      </c>
    </row>
    <row r="3220" spans="1:23" x14ac:dyDescent="0.25">
      <c r="A3220" s="1" t="s">
        <v>37</v>
      </c>
      <c r="B3220" s="1" t="s">
        <v>81</v>
      </c>
      <c r="C3220" s="1" t="s">
        <v>196</v>
      </c>
      <c r="D3220">
        <v>5479</v>
      </c>
      <c r="E3220" s="1"/>
      <c r="F3220" s="1" t="s">
        <v>331</v>
      </c>
      <c r="G3220">
        <v>2013</v>
      </c>
      <c r="H3220">
        <v>547493.86</v>
      </c>
      <c r="I3220">
        <v>12</v>
      </c>
      <c r="J3220" s="1" t="s">
        <v>407</v>
      </c>
      <c r="K3220">
        <v>0</v>
      </c>
      <c r="L3220">
        <v>6089</v>
      </c>
      <c r="M3220">
        <v>89.913757000000004</v>
      </c>
      <c r="N3220">
        <v>1</v>
      </c>
      <c r="O3220" s="1" t="s">
        <v>563</v>
      </c>
      <c r="P3220">
        <v>580976.53</v>
      </c>
      <c r="Q3220">
        <v>3080.55</v>
      </c>
      <c r="R3220">
        <v>1</v>
      </c>
      <c r="S3220" s="1" t="s">
        <v>862</v>
      </c>
      <c r="T3220" s="1"/>
      <c r="U3220">
        <v>15691.9997</v>
      </c>
      <c r="V3220">
        <v>0</v>
      </c>
      <c r="W3220">
        <v>57937</v>
      </c>
    </row>
    <row r="3221" spans="1:23" x14ac:dyDescent="0.25">
      <c r="A3221" s="1" t="s">
        <v>37</v>
      </c>
      <c r="B3221" s="1" t="s">
        <v>81</v>
      </c>
      <c r="C3221" s="1" t="s">
        <v>196</v>
      </c>
      <c r="D3221">
        <v>5479</v>
      </c>
      <c r="E3221" s="1"/>
      <c r="F3221" s="1" t="s">
        <v>331</v>
      </c>
      <c r="G3221">
        <v>2012</v>
      </c>
      <c r="H3221">
        <v>677117.22</v>
      </c>
      <c r="I3221">
        <v>12</v>
      </c>
      <c r="J3221" s="1" t="s">
        <v>407</v>
      </c>
      <c r="K3221">
        <v>0</v>
      </c>
      <c r="L3221">
        <v>6089</v>
      </c>
      <c r="M3221">
        <v>111.201527</v>
      </c>
      <c r="N3221">
        <v>1</v>
      </c>
      <c r="O3221" s="1" t="s">
        <v>563</v>
      </c>
      <c r="P3221">
        <v>726940.83</v>
      </c>
      <c r="Q3221">
        <v>3854.51</v>
      </c>
      <c r="R3221">
        <v>1</v>
      </c>
      <c r="S3221" s="1" t="s">
        <v>862</v>
      </c>
      <c r="T3221" s="1"/>
      <c r="U3221">
        <v>19407.2</v>
      </c>
      <c r="V3221">
        <v>0</v>
      </c>
      <c r="W3221">
        <v>57937</v>
      </c>
    </row>
    <row r="3222" spans="1:23" x14ac:dyDescent="0.25">
      <c r="A3222" s="1" t="s">
        <v>37</v>
      </c>
      <c r="B3222" s="1" t="s">
        <v>81</v>
      </c>
      <c r="C3222" s="1" t="s">
        <v>196</v>
      </c>
      <c r="D3222">
        <v>5479</v>
      </c>
      <c r="E3222" s="1"/>
      <c r="F3222" s="1" t="s">
        <v>331</v>
      </c>
      <c r="G3222">
        <v>2012</v>
      </c>
      <c r="H3222">
        <v>517674.38</v>
      </c>
      <c r="I3222">
        <v>12</v>
      </c>
      <c r="J3222" s="1" t="s">
        <v>407</v>
      </c>
      <c r="K3222">
        <v>0</v>
      </c>
      <c r="L3222">
        <v>6089</v>
      </c>
      <c r="M3222">
        <v>85.016566999999995</v>
      </c>
      <c r="N3222">
        <v>1</v>
      </c>
      <c r="O3222" s="1" t="s">
        <v>562</v>
      </c>
      <c r="P3222">
        <v>561994.4</v>
      </c>
      <c r="Q3222">
        <v>103968.98</v>
      </c>
      <c r="R3222">
        <v>0</v>
      </c>
      <c r="S3222" s="1" t="s">
        <v>862</v>
      </c>
      <c r="T3222" s="1"/>
      <c r="U3222">
        <v>692315.18437999999</v>
      </c>
      <c r="V3222">
        <v>0</v>
      </c>
      <c r="W3222">
        <v>57932</v>
      </c>
    </row>
    <row r="3223" spans="1:23" x14ac:dyDescent="0.25">
      <c r="A3223" s="1" t="s">
        <v>37</v>
      </c>
      <c r="B3223" s="1" t="s">
        <v>81</v>
      </c>
      <c r="C3223" s="1" t="s">
        <v>196</v>
      </c>
      <c r="D3223">
        <v>5479</v>
      </c>
      <c r="E3223" s="1"/>
      <c r="F3223" s="1" t="s">
        <v>331</v>
      </c>
      <c r="G3223">
        <v>2011</v>
      </c>
      <c r="H3223">
        <v>708601.95</v>
      </c>
      <c r="I3223">
        <v>12</v>
      </c>
      <c r="J3223" s="1" t="s">
        <v>407</v>
      </c>
      <c r="K3223">
        <v>0</v>
      </c>
      <c r="L3223">
        <v>6089</v>
      </c>
      <c r="M3223">
        <v>116.372197</v>
      </c>
      <c r="N3223">
        <v>1</v>
      </c>
      <c r="O3223" s="1" t="s">
        <v>563</v>
      </c>
      <c r="P3223">
        <v>783332.32</v>
      </c>
      <c r="Q3223">
        <v>4153.5200000000004</v>
      </c>
      <c r="R3223">
        <v>1</v>
      </c>
      <c r="S3223" s="1" t="s">
        <v>862</v>
      </c>
      <c r="T3223" s="1"/>
      <c r="U3223">
        <v>20309.599999999999</v>
      </c>
      <c r="V3223">
        <v>0</v>
      </c>
      <c r="W3223">
        <v>57937</v>
      </c>
    </row>
    <row r="3224" spans="1:23" x14ac:dyDescent="0.25">
      <c r="A3224" s="1" t="s">
        <v>37</v>
      </c>
      <c r="B3224" s="1" t="s">
        <v>81</v>
      </c>
      <c r="C3224" s="1" t="s">
        <v>196</v>
      </c>
      <c r="D3224">
        <v>5479</v>
      </c>
      <c r="E3224" s="1"/>
      <c r="F3224" s="1" t="s">
        <v>331</v>
      </c>
      <c r="G3224">
        <v>2011</v>
      </c>
      <c r="H3224">
        <v>562862.32999999996</v>
      </c>
      <c r="I3224">
        <v>12</v>
      </c>
      <c r="J3224" s="1" t="s">
        <v>407</v>
      </c>
      <c r="K3224">
        <v>0</v>
      </c>
      <c r="L3224">
        <v>6089</v>
      </c>
      <c r="M3224">
        <v>92.437687999999994</v>
      </c>
      <c r="N3224">
        <v>1</v>
      </c>
      <c r="O3224" s="1" t="s">
        <v>562</v>
      </c>
      <c r="P3224">
        <v>638261.54</v>
      </c>
      <c r="Q3224">
        <v>118078.36</v>
      </c>
      <c r="R3224">
        <v>0</v>
      </c>
      <c r="S3224" s="1" t="s">
        <v>862</v>
      </c>
      <c r="T3224" s="1"/>
      <c r="U3224">
        <v>715267.44232999999</v>
      </c>
      <c r="V3224">
        <v>0</v>
      </c>
      <c r="W3224">
        <v>57932</v>
      </c>
    </row>
    <row r="3225" spans="1:23" x14ac:dyDescent="0.25">
      <c r="A3225" s="1" t="s">
        <v>37</v>
      </c>
      <c r="B3225" s="1" t="s">
        <v>81</v>
      </c>
      <c r="C3225" s="1" t="s">
        <v>196</v>
      </c>
      <c r="D3225">
        <v>5479</v>
      </c>
      <c r="E3225" s="1"/>
      <c r="F3225" s="1" t="s">
        <v>331</v>
      </c>
      <c r="G3225">
        <v>2010</v>
      </c>
      <c r="H3225">
        <v>614847.49</v>
      </c>
      <c r="I3225">
        <v>12</v>
      </c>
      <c r="J3225" s="1" t="s">
        <v>407</v>
      </c>
      <c r="K3225">
        <v>0</v>
      </c>
      <c r="L3225">
        <v>6089</v>
      </c>
      <c r="M3225">
        <v>100.975101</v>
      </c>
      <c r="N3225">
        <v>1</v>
      </c>
      <c r="O3225" s="1" t="s">
        <v>562</v>
      </c>
      <c r="P3225">
        <v>537449.47</v>
      </c>
      <c r="Q3225">
        <v>99428.13</v>
      </c>
      <c r="R3225">
        <v>0</v>
      </c>
      <c r="S3225" s="1" t="s">
        <v>862</v>
      </c>
      <c r="T3225" s="1"/>
      <c r="U3225">
        <v>812971.67749000003</v>
      </c>
      <c r="V3225">
        <v>0</v>
      </c>
      <c r="W3225">
        <v>57932</v>
      </c>
    </row>
    <row r="3226" spans="1:23" x14ac:dyDescent="0.25">
      <c r="A3226" s="1" t="s">
        <v>37</v>
      </c>
      <c r="B3226" s="1" t="s">
        <v>81</v>
      </c>
      <c r="C3226" s="1" t="s">
        <v>196</v>
      </c>
      <c r="D3226">
        <v>5479</v>
      </c>
      <c r="E3226" s="1"/>
      <c r="F3226" s="1" t="s">
        <v>331</v>
      </c>
      <c r="G3226">
        <v>2010</v>
      </c>
      <c r="H3226">
        <v>792247.24</v>
      </c>
      <c r="I3226">
        <v>12</v>
      </c>
      <c r="J3226" s="1" t="s">
        <v>407</v>
      </c>
      <c r="K3226">
        <v>0</v>
      </c>
      <c r="L3226">
        <v>6089</v>
      </c>
      <c r="M3226">
        <v>130.10908599999999</v>
      </c>
      <c r="N3226">
        <v>1</v>
      </c>
      <c r="O3226" s="1" t="s">
        <v>563</v>
      </c>
      <c r="P3226">
        <v>713255.4</v>
      </c>
      <c r="Q3226">
        <v>3781.95</v>
      </c>
      <c r="R3226">
        <v>1</v>
      </c>
      <c r="S3226" s="1" t="s">
        <v>862</v>
      </c>
      <c r="T3226" s="1"/>
      <c r="U3226">
        <v>22707</v>
      </c>
      <c r="V3226">
        <v>0</v>
      </c>
      <c r="W3226">
        <v>57937</v>
      </c>
    </row>
    <row r="3227" spans="1:23" x14ac:dyDescent="0.25">
      <c r="A3227" s="1" t="s">
        <v>37</v>
      </c>
      <c r="B3227" s="1" t="s">
        <v>81</v>
      </c>
      <c r="C3227" s="1" t="s">
        <v>196</v>
      </c>
      <c r="D3227">
        <v>5479</v>
      </c>
      <c r="E3227" s="1"/>
      <c r="F3227" s="1" t="s">
        <v>331</v>
      </c>
      <c r="G3227">
        <v>2009</v>
      </c>
      <c r="H3227">
        <v>575298.87</v>
      </c>
      <c r="I3227">
        <v>12</v>
      </c>
      <c r="J3227" s="1" t="s">
        <v>407</v>
      </c>
      <c r="K3227">
        <v>0</v>
      </c>
      <c r="L3227">
        <v>6089</v>
      </c>
      <c r="M3227">
        <v>94.480114999999998</v>
      </c>
      <c r="N3227">
        <v>1</v>
      </c>
      <c r="O3227" s="1" t="s">
        <v>562</v>
      </c>
      <c r="P3227">
        <v>620827.46</v>
      </c>
      <c r="Q3227">
        <v>114853.16</v>
      </c>
      <c r="R3227">
        <v>0</v>
      </c>
      <c r="S3227" s="1" t="s">
        <v>862</v>
      </c>
      <c r="T3227" s="1"/>
      <c r="U3227">
        <v>642672.55886999995</v>
      </c>
      <c r="V3227">
        <v>0</v>
      </c>
      <c r="W3227">
        <v>57932</v>
      </c>
    </row>
    <row r="3228" spans="1:23" x14ac:dyDescent="0.25">
      <c r="A3228" s="1" t="s">
        <v>37</v>
      </c>
      <c r="B3228" s="1" t="s">
        <v>81</v>
      </c>
      <c r="C3228" s="1" t="s">
        <v>196</v>
      </c>
      <c r="D3228">
        <v>5479</v>
      </c>
      <c r="E3228" s="1"/>
      <c r="F3228" s="1" t="s">
        <v>331</v>
      </c>
      <c r="G3228">
        <v>2009</v>
      </c>
      <c r="H3228">
        <v>582481.55000000005</v>
      </c>
      <c r="I3228">
        <v>12</v>
      </c>
      <c r="J3228" s="1" t="s">
        <v>407</v>
      </c>
      <c r="K3228">
        <v>0</v>
      </c>
      <c r="L3228">
        <v>6089</v>
      </c>
      <c r="M3228">
        <v>95.659711000000001</v>
      </c>
      <c r="N3228">
        <v>1</v>
      </c>
      <c r="O3228" s="1" t="s">
        <v>563</v>
      </c>
      <c r="P3228">
        <v>633601.05000000005</v>
      </c>
      <c r="Q3228">
        <v>3359.59</v>
      </c>
      <c r="R3228">
        <v>1</v>
      </c>
      <c r="S3228" s="1" t="s">
        <v>862</v>
      </c>
      <c r="T3228" s="1"/>
      <c r="U3228">
        <v>16694.8</v>
      </c>
      <c r="V3228">
        <v>0</v>
      </c>
      <c r="W3228">
        <v>57937</v>
      </c>
    </row>
    <row r="3229" spans="1:23" x14ac:dyDescent="0.25">
      <c r="A3229" s="1" t="s">
        <v>37</v>
      </c>
      <c r="B3229" s="1" t="s">
        <v>81</v>
      </c>
      <c r="C3229" s="1" t="s">
        <v>196</v>
      </c>
      <c r="D3229">
        <v>5479</v>
      </c>
      <c r="E3229" s="1"/>
      <c r="F3229" s="1" t="s">
        <v>331</v>
      </c>
      <c r="G3229">
        <v>2008</v>
      </c>
      <c r="H3229">
        <v>486720.74</v>
      </c>
      <c r="I3229">
        <v>12</v>
      </c>
      <c r="J3229" s="1" t="s">
        <v>407</v>
      </c>
      <c r="K3229">
        <v>0</v>
      </c>
      <c r="L3229">
        <v>6089</v>
      </c>
      <c r="M3229">
        <v>79.933115999999998</v>
      </c>
      <c r="N3229">
        <v>1</v>
      </c>
      <c r="O3229" s="1" t="s">
        <v>563</v>
      </c>
      <c r="P3229">
        <v>562904.37</v>
      </c>
      <c r="Q3229">
        <v>2984.73</v>
      </c>
      <c r="R3229">
        <v>1</v>
      </c>
      <c r="S3229" s="1" t="s">
        <v>862</v>
      </c>
      <c r="T3229" s="1"/>
      <c r="U3229">
        <v>13950.15</v>
      </c>
      <c r="V3229">
        <v>0</v>
      </c>
      <c r="W3229">
        <v>57937</v>
      </c>
    </row>
    <row r="3230" spans="1:23" x14ac:dyDescent="0.25">
      <c r="A3230" s="1" t="s">
        <v>37</v>
      </c>
      <c r="B3230" s="1" t="s">
        <v>81</v>
      </c>
      <c r="C3230" s="1" t="s">
        <v>196</v>
      </c>
      <c r="D3230">
        <v>5479</v>
      </c>
      <c r="E3230" s="1"/>
      <c r="F3230" s="1" t="s">
        <v>331</v>
      </c>
      <c r="G3230">
        <v>2008</v>
      </c>
      <c r="H3230">
        <v>569610</v>
      </c>
      <c r="I3230">
        <v>12</v>
      </c>
      <c r="J3230" s="1" t="s">
        <v>407</v>
      </c>
      <c r="K3230">
        <v>0</v>
      </c>
      <c r="L3230">
        <v>6089</v>
      </c>
      <c r="M3230">
        <v>93.545844000000002</v>
      </c>
      <c r="N3230">
        <v>1</v>
      </c>
      <c r="O3230" s="1" t="s">
        <v>562</v>
      </c>
      <c r="P3230">
        <v>654694.76</v>
      </c>
      <c r="Q3230">
        <v>121118.54</v>
      </c>
      <c r="R3230">
        <v>0</v>
      </c>
      <c r="S3230" s="1" t="s">
        <v>862</v>
      </c>
      <c r="T3230" s="1"/>
      <c r="U3230">
        <v>569610</v>
      </c>
      <c r="V3230">
        <v>0</v>
      </c>
      <c r="W3230">
        <v>57932</v>
      </c>
    </row>
    <row r="3231" spans="1:23" x14ac:dyDescent="0.25">
      <c r="A3231" s="1" t="s">
        <v>37</v>
      </c>
      <c r="B3231" s="1"/>
      <c r="C3231" s="1" t="s">
        <v>197</v>
      </c>
      <c r="D3231">
        <v>10161</v>
      </c>
      <c r="E3231" s="1"/>
      <c r="F3231" s="1" t="s">
        <v>332</v>
      </c>
      <c r="G3231">
        <v>2015</v>
      </c>
      <c r="H3231">
        <v>14201</v>
      </c>
      <c r="I3231">
        <v>5</v>
      </c>
      <c r="J3231" s="1" t="s">
        <v>497</v>
      </c>
      <c r="K3231">
        <v>0</v>
      </c>
      <c r="L3231">
        <v>265</v>
      </c>
      <c r="M3231">
        <v>53.568463999999999</v>
      </c>
      <c r="N3231">
        <v>1</v>
      </c>
      <c r="O3231" s="1" t="s">
        <v>562</v>
      </c>
      <c r="P3231">
        <v>15863.21</v>
      </c>
      <c r="Q3231">
        <v>1015.25</v>
      </c>
      <c r="R3231">
        <v>0</v>
      </c>
      <c r="S3231" s="1" t="s">
        <v>863</v>
      </c>
      <c r="T3231" s="1"/>
      <c r="U3231">
        <v>14201</v>
      </c>
      <c r="V3231">
        <v>0</v>
      </c>
      <c r="W3231">
        <v>77152</v>
      </c>
    </row>
    <row r="3232" spans="1:23" x14ac:dyDescent="0.25">
      <c r="A3232" s="1" t="s">
        <v>37</v>
      </c>
      <c r="B3232" s="1"/>
      <c r="C3232" s="1" t="s">
        <v>197</v>
      </c>
      <c r="D3232">
        <v>10161</v>
      </c>
      <c r="E3232" s="1"/>
      <c r="F3232" s="1" t="s">
        <v>332</v>
      </c>
      <c r="G3232">
        <v>2014</v>
      </c>
      <c r="H3232">
        <v>23963</v>
      </c>
      <c r="I3232">
        <v>12</v>
      </c>
      <c r="J3232" s="1" t="s">
        <v>497</v>
      </c>
      <c r="K3232">
        <v>0</v>
      </c>
      <c r="L3232">
        <v>265</v>
      </c>
      <c r="M3232">
        <v>90.392303999999996</v>
      </c>
      <c r="N3232">
        <v>1</v>
      </c>
      <c r="O3232" s="1" t="s">
        <v>562</v>
      </c>
      <c r="P3232">
        <v>28152.75</v>
      </c>
      <c r="Q3232">
        <v>1801.77</v>
      </c>
      <c r="R3232">
        <v>0</v>
      </c>
      <c r="S3232" s="1" t="s">
        <v>863</v>
      </c>
      <c r="T3232" s="1"/>
      <c r="U3232">
        <v>23962.999899999999</v>
      </c>
      <c r="V3232">
        <v>0</v>
      </c>
      <c r="W3232">
        <v>77152</v>
      </c>
    </row>
    <row r="3233" spans="1:23" x14ac:dyDescent="0.25">
      <c r="A3233" s="1" t="s">
        <v>37</v>
      </c>
      <c r="B3233" s="1"/>
      <c r="C3233" s="1" t="s">
        <v>197</v>
      </c>
      <c r="D3233">
        <v>10161</v>
      </c>
      <c r="E3233" s="1"/>
      <c r="F3233" s="1" t="s">
        <v>332</v>
      </c>
      <c r="G3233">
        <v>2013</v>
      </c>
      <c r="H3233">
        <v>24789</v>
      </c>
      <c r="I3233">
        <v>12</v>
      </c>
      <c r="J3233" s="1" t="s">
        <v>497</v>
      </c>
      <c r="K3233">
        <v>0</v>
      </c>
      <c r="L3233">
        <v>265</v>
      </c>
      <c r="M3233">
        <v>93.508110000000002</v>
      </c>
      <c r="N3233">
        <v>1</v>
      </c>
      <c r="O3233" s="1" t="s">
        <v>562</v>
      </c>
      <c r="P3233">
        <v>25761.84</v>
      </c>
      <c r="Q3233">
        <v>1648.78</v>
      </c>
      <c r="R3233">
        <v>0</v>
      </c>
      <c r="S3233" s="1" t="s">
        <v>863</v>
      </c>
      <c r="T3233" s="1"/>
      <c r="U3233">
        <v>24789</v>
      </c>
      <c r="V3233">
        <v>0</v>
      </c>
      <c r="W3233">
        <v>77152</v>
      </c>
    </row>
    <row r="3234" spans="1:23" x14ac:dyDescent="0.25">
      <c r="A3234" s="1" t="s">
        <v>37</v>
      </c>
      <c r="B3234" s="1"/>
      <c r="C3234" s="1" t="s">
        <v>197</v>
      </c>
      <c r="D3234">
        <v>10161</v>
      </c>
      <c r="E3234" s="1"/>
      <c r="F3234" s="1" t="s">
        <v>332</v>
      </c>
      <c r="G3234">
        <v>2012</v>
      </c>
      <c r="H3234">
        <v>27464.51</v>
      </c>
      <c r="I3234">
        <v>7</v>
      </c>
      <c r="J3234" s="1" t="s">
        <v>497</v>
      </c>
      <c r="K3234">
        <v>0</v>
      </c>
      <c r="L3234">
        <v>265</v>
      </c>
      <c r="M3234">
        <v>103.600565</v>
      </c>
      <c r="N3234">
        <v>1</v>
      </c>
      <c r="O3234" s="1" t="s">
        <v>562</v>
      </c>
      <c r="P3234">
        <v>28282.31</v>
      </c>
      <c r="Q3234">
        <v>5232.24</v>
      </c>
      <c r="R3234">
        <v>0</v>
      </c>
      <c r="S3234" s="1" t="s">
        <v>863</v>
      </c>
      <c r="T3234" s="1"/>
      <c r="U3234">
        <v>27464.50001</v>
      </c>
      <c r="V3234">
        <v>0</v>
      </c>
      <c r="W3234">
        <v>77152</v>
      </c>
    </row>
    <row r="3235" spans="1:23" x14ac:dyDescent="0.25">
      <c r="A3235" s="1" t="s">
        <v>37</v>
      </c>
      <c r="B3235" s="1"/>
      <c r="C3235" s="1" t="s">
        <v>197</v>
      </c>
      <c r="D3235">
        <v>10161</v>
      </c>
      <c r="E3235" s="1"/>
      <c r="F3235" s="1" t="s">
        <v>332</v>
      </c>
      <c r="G3235">
        <v>2011</v>
      </c>
      <c r="H3235">
        <v>25886.91</v>
      </c>
      <c r="I3235">
        <v>4</v>
      </c>
      <c r="J3235" s="1" t="s">
        <v>497</v>
      </c>
      <c r="K3235">
        <v>0</v>
      </c>
      <c r="L3235">
        <v>265</v>
      </c>
      <c r="M3235">
        <v>97.649602999999999</v>
      </c>
      <c r="N3235">
        <v>1</v>
      </c>
      <c r="O3235" s="1" t="s">
        <v>562</v>
      </c>
      <c r="P3235">
        <v>29500.55</v>
      </c>
      <c r="Q3235">
        <v>5457.6</v>
      </c>
      <c r="R3235">
        <v>0</v>
      </c>
      <c r="S3235" s="1" t="s">
        <v>863</v>
      </c>
      <c r="T3235" s="1"/>
      <c r="U3235">
        <v>25886.899990000002</v>
      </c>
      <c r="V3235">
        <v>0</v>
      </c>
      <c r="W3235">
        <v>77152</v>
      </c>
    </row>
    <row r="3236" spans="1:23" x14ac:dyDescent="0.25">
      <c r="A3236" s="1" t="s">
        <v>37</v>
      </c>
      <c r="B3236" s="1"/>
      <c r="C3236" s="1" t="s">
        <v>197</v>
      </c>
      <c r="D3236">
        <v>10161</v>
      </c>
      <c r="E3236" s="1"/>
      <c r="F3236" s="1" t="s">
        <v>332</v>
      </c>
      <c r="G3236">
        <v>2010</v>
      </c>
      <c r="H3236">
        <v>25054.799999999999</v>
      </c>
      <c r="I3236">
        <v>7</v>
      </c>
      <c r="J3236" s="1" t="s">
        <v>497</v>
      </c>
      <c r="K3236">
        <v>0</v>
      </c>
      <c r="L3236">
        <v>265</v>
      </c>
      <c r="M3236">
        <v>94.510750000000002</v>
      </c>
      <c r="N3236">
        <v>1</v>
      </c>
      <c r="O3236" s="1" t="s">
        <v>562</v>
      </c>
      <c r="P3236">
        <v>23173.5</v>
      </c>
      <c r="Q3236">
        <v>4287.1000000000004</v>
      </c>
      <c r="R3236">
        <v>0</v>
      </c>
      <c r="S3236" s="1" t="s">
        <v>863</v>
      </c>
      <c r="T3236" s="1"/>
      <c r="U3236">
        <v>25054.80226</v>
      </c>
      <c r="V3236">
        <v>0</v>
      </c>
      <c r="W3236">
        <v>77152</v>
      </c>
    </row>
    <row r="3237" spans="1:23" x14ac:dyDescent="0.25">
      <c r="A3237" s="1" t="s">
        <v>37</v>
      </c>
      <c r="B3237" s="1"/>
      <c r="C3237" s="1" t="s">
        <v>197</v>
      </c>
      <c r="D3237">
        <v>10161</v>
      </c>
      <c r="E3237" s="1"/>
      <c r="F3237" s="1" t="s">
        <v>332</v>
      </c>
      <c r="G3237">
        <v>2009</v>
      </c>
      <c r="H3237">
        <v>27719.79</v>
      </c>
      <c r="I3237">
        <v>4</v>
      </c>
      <c r="J3237" s="1" t="s">
        <v>497</v>
      </c>
      <c r="K3237">
        <v>0</v>
      </c>
      <c r="L3237">
        <v>265</v>
      </c>
      <c r="M3237">
        <v>104.563523</v>
      </c>
      <c r="N3237">
        <v>1</v>
      </c>
      <c r="O3237" s="1" t="s">
        <v>562</v>
      </c>
      <c r="P3237">
        <v>36503.449999999997</v>
      </c>
      <c r="Q3237">
        <v>6753.15</v>
      </c>
      <c r="R3237">
        <v>0</v>
      </c>
      <c r="S3237" s="1" t="s">
        <v>863</v>
      </c>
      <c r="T3237" s="1"/>
      <c r="U3237">
        <v>27719.797760000001</v>
      </c>
      <c r="V3237">
        <v>0</v>
      </c>
      <c r="W3237">
        <v>77152</v>
      </c>
    </row>
    <row r="3238" spans="1:23" x14ac:dyDescent="0.25">
      <c r="A3238" s="1" t="s">
        <v>37</v>
      </c>
      <c r="B3238" s="1"/>
      <c r="C3238" s="1" t="s">
        <v>197</v>
      </c>
      <c r="D3238">
        <v>10161</v>
      </c>
      <c r="E3238" s="1"/>
      <c r="F3238" s="1" t="s">
        <v>332</v>
      </c>
      <c r="G3238">
        <v>2008</v>
      </c>
      <c r="H3238">
        <v>21255.67</v>
      </c>
      <c r="I3238">
        <v>6</v>
      </c>
      <c r="J3238" s="1" t="s">
        <v>497</v>
      </c>
      <c r="K3238">
        <v>0</v>
      </c>
      <c r="L3238">
        <v>265</v>
      </c>
      <c r="M3238">
        <v>80.179817999999997</v>
      </c>
      <c r="N3238">
        <v>1</v>
      </c>
      <c r="O3238" s="1" t="s">
        <v>562</v>
      </c>
      <c r="P3238">
        <v>23631.53</v>
      </c>
      <c r="Q3238">
        <v>4371.8500000000004</v>
      </c>
      <c r="R3238">
        <v>0</v>
      </c>
      <c r="S3238" s="1" t="s">
        <v>863</v>
      </c>
      <c r="T3238" s="1"/>
      <c r="U3238">
        <v>21255.670340000001</v>
      </c>
      <c r="V3238">
        <v>0</v>
      </c>
      <c r="W3238">
        <v>77152</v>
      </c>
    </row>
    <row r="3239" spans="1:23" x14ac:dyDescent="0.25">
      <c r="A3239" s="1" t="s">
        <v>37</v>
      </c>
      <c r="B3239" s="1" t="s">
        <v>82</v>
      </c>
      <c r="C3239" s="1" t="s">
        <v>198</v>
      </c>
      <c r="D3239">
        <v>6369</v>
      </c>
      <c r="E3239" s="1"/>
      <c r="F3239" s="1" t="s">
        <v>333</v>
      </c>
      <c r="G3239">
        <v>2015</v>
      </c>
      <c r="H3239">
        <v>8078.94</v>
      </c>
      <c r="I3239">
        <v>5</v>
      </c>
      <c r="J3239" s="1" t="s">
        <v>410</v>
      </c>
      <c r="K3239">
        <v>0</v>
      </c>
      <c r="L3239">
        <v>110</v>
      </c>
      <c r="M3239">
        <v>73.378201000000004</v>
      </c>
      <c r="N3239">
        <v>1</v>
      </c>
      <c r="O3239" s="1" t="s">
        <v>564</v>
      </c>
      <c r="P3239">
        <v>9152.15</v>
      </c>
      <c r="Q3239">
        <v>1935.51</v>
      </c>
      <c r="R3239">
        <v>0</v>
      </c>
      <c r="S3239" s="1" t="s">
        <v>864</v>
      </c>
      <c r="T3239" s="1" t="s">
        <v>1222</v>
      </c>
      <c r="U3239">
        <v>748.05</v>
      </c>
      <c r="V3239">
        <v>0</v>
      </c>
      <c r="W3239">
        <v>62719</v>
      </c>
    </row>
    <row r="3240" spans="1:23" x14ac:dyDescent="0.25">
      <c r="A3240" s="1" t="s">
        <v>37</v>
      </c>
      <c r="B3240" s="1" t="s">
        <v>82</v>
      </c>
      <c r="C3240" s="1" t="s">
        <v>198</v>
      </c>
      <c r="D3240">
        <v>6369</v>
      </c>
      <c r="E3240" s="1"/>
      <c r="F3240" s="1" t="s">
        <v>333</v>
      </c>
      <c r="G3240">
        <v>2014</v>
      </c>
      <c r="H3240">
        <v>14289.14</v>
      </c>
      <c r="I3240">
        <v>12</v>
      </c>
      <c r="J3240" s="1" t="s">
        <v>410</v>
      </c>
      <c r="K3240">
        <v>0</v>
      </c>
      <c r="L3240">
        <v>110</v>
      </c>
      <c r="M3240">
        <v>129.783287</v>
      </c>
      <c r="N3240">
        <v>1</v>
      </c>
      <c r="O3240" s="1" t="s">
        <v>564</v>
      </c>
      <c r="P3240">
        <v>16994.47</v>
      </c>
      <c r="Q3240">
        <v>3594</v>
      </c>
      <c r="R3240">
        <v>0</v>
      </c>
      <c r="S3240" s="1" t="s">
        <v>864</v>
      </c>
      <c r="T3240" s="1" t="s">
        <v>1222</v>
      </c>
      <c r="U3240">
        <v>1323.07</v>
      </c>
      <c r="V3240">
        <v>0</v>
      </c>
      <c r="W3240">
        <v>62719</v>
      </c>
    </row>
    <row r="3241" spans="1:23" x14ac:dyDescent="0.25">
      <c r="A3241" s="1" t="s">
        <v>37</v>
      </c>
      <c r="B3241" s="1" t="s">
        <v>82</v>
      </c>
      <c r="C3241" s="1" t="s">
        <v>198</v>
      </c>
      <c r="D3241">
        <v>6369</v>
      </c>
      <c r="E3241" s="1"/>
      <c r="F3241" s="1" t="s">
        <v>333</v>
      </c>
      <c r="G3241">
        <v>2013</v>
      </c>
      <c r="H3241">
        <v>26282.51</v>
      </c>
      <c r="I3241">
        <v>13</v>
      </c>
      <c r="J3241" s="1" t="s">
        <v>410</v>
      </c>
      <c r="K3241">
        <v>0</v>
      </c>
      <c r="L3241">
        <v>110</v>
      </c>
      <c r="M3241">
        <v>238.71489500000001</v>
      </c>
      <c r="N3241">
        <v>1</v>
      </c>
      <c r="O3241" s="1" t="s">
        <v>564</v>
      </c>
      <c r="P3241">
        <v>26905.3</v>
      </c>
      <c r="Q3241">
        <v>5689.99</v>
      </c>
      <c r="R3241">
        <v>0</v>
      </c>
      <c r="S3241" s="1" t="s">
        <v>864</v>
      </c>
      <c r="T3241" s="1" t="s">
        <v>1222</v>
      </c>
      <c r="U3241">
        <v>2433.5643799999998</v>
      </c>
      <c r="V3241">
        <v>0</v>
      </c>
      <c r="W3241">
        <v>62719</v>
      </c>
    </row>
    <row r="3242" spans="1:23" x14ac:dyDescent="0.25">
      <c r="A3242" s="1" t="s">
        <v>37</v>
      </c>
      <c r="B3242" s="1" t="s">
        <v>82</v>
      </c>
      <c r="C3242" s="1" t="s">
        <v>198</v>
      </c>
      <c r="D3242">
        <v>6369</v>
      </c>
      <c r="E3242" s="1"/>
      <c r="F3242" s="1" t="s">
        <v>333</v>
      </c>
      <c r="G3242">
        <v>2012</v>
      </c>
      <c r="H3242">
        <v>40326.46</v>
      </c>
      <c r="I3242">
        <v>12</v>
      </c>
      <c r="J3242" s="1" t="s">
        <v>410</v>
      </c>
      <c r="K3242">
        <v>0</v>
      </c>
      <c r="L3242">
        <v>110</v>
      </c>
      <c r="M3242">
        <v>366.271207</v>
      </c>
      <c r="N3242">
        <v>1</v>
      </c>
      <c r="O3242" s="1" t="s">
        <v>564</v>
      </c>
      <c r="P3242">
        <v>43747.78</v>
      </c>
      <c r="Q3242">
        <v>9251.86</v>
      </c>
      <c r="R3242">
        <v>0</v>
      </c>
      <c r="S3242" s="1" t="s">
        <v>864</v>
      </c>
      <c r="T3242" s="1" t="s">
        <v>1222</v>
      </c>
      <c r="U3242">
        <v>3733.9313099999999</v>
      </c>
      <c r="V3242">
        <v>0</v>
      </c>
      <c r="W3242">
        <v>62719</v>
      </c>
    </row>
    <row r="3243" spans="1:23" x14ac:dyDescent="0.25">
      <c r="A3243" s="1" t="s">
        <v>37</v>
      </c>
      <c r="B3243" s="1" t="s">
        <v>82</v>
      </c>
      <c r="C3243" s="1" t="s">
        <v>198</v>
      </c>
      <c r="D3243">
        <v>6369</v>
      </c>
      <c r="E3243" s="1"/>
      <c r="F3243" s="1" t="s">
        <v>333</v>
      </c>
      <c r="G3243">
        <v>2011</v>
      </c>
      <c r="H3243">
        <v>25591.34</v>
      </c>
      <c r="I3243">
        <v>5</v>
      </c>
      <c r="J3243" s="1" t="s">
        <v>410</v>
      </c>
      <c r="K3243">
        <v>0</v>
      </c>
      <c r="L3243">
        <v>110</v>
      </c>
      <c r="M3243">
        <v>232.43723800000001</v>
      </c>
      <c r="N3243">
        <v>1</v>
      </c>
      <c r="O3243" s="1" t="s">
        <v>564</v>
      </c>
      <c r="P3243">
        <v>28458.71</v>
      </c>
      <c r="Q3243">
        <v>6018.49</v>
      </c>
      <c r="R3243">
        <v>0</v>
      </c>
      <c r="S3243" s="1" t="s">
        <v>864</v>
      </c>
      <c r="T3243" s="1" t="s">
        <v>1222</v>
      </c>
      <c r="U3243">
        <v>2369.5686999999998</v>
      </c>
      <c r="V3243">
        <v>0</v>
      </c>
      <c r="W3243">
        <v>62719</v>
      </c>
    </row>
    <row r="3244" spans="1:23" x14ac:dyDescent="0.25">
      <c r="A3244" s="1" t="s">
        <v>37</v>
      </c>
      <c r="B3244" s="1" t="s">
        <v>82</v>
      </c>
      <c r="C3244" s="1" t="s">
        <v>198</v>
      </c>
      <c r="D3244">
        <v>6369</v>
      </c>
      <c r="E3244" s="1"/>
      <c r="F3244" s="1" t="s">
        <v>333</v>
      </c>
      <c r="G3244">
        <v>2010</v>
      </c>
      <c r="H3244">
        <v>29393.3</v>
      </c>
      <c r="I3244">
        <v>3</v>
      </c>
      <c r="J3244" s="1" t="s">
        <v>410</v>
      </c>
      <c r="K3244">
        <v>0</v>
      </c>
      <c r="L3244">
        <v>110</v>
      </c>
      <c r="M3244">
        <v>266.96911799999998</v>
      </c>
      <c r="N3244">
        <v>1</v>
      </c>
      <c r="O3244" s="1" t="s">
        <v>564</v>
      </c>
      <c r="P3244">
        <v>36453.32</v>
      </c>
      <c r="Q3244">
        <v>7709.2</v>
      </c>
      <c r="R3244">
        <v>0</v>
      </c>
      <c r="S3244" s="1" t="s">
        <v>864</v>
      </c>
      <c r="T3244" s="1" t="s">
        <v>1222</v>
      </c>
      <c r="U3244">
        <v>2721.6016100000002</v>
      </c>
      <c r="V3244">
        <v>0</v>
      </c>
      <c r="W3244">
        <v>62719</v>
      </c>
    </row>
    <row r="3245" spans="1:23" x14ac:dyDescent="0.25">
      <c r="A3245" s="1" t="s">
        <v>37</v>
      </c>
      <c r="B3245" s="1" t="s">
        <v>82</v>
      </c>
      <c r="C3245" s="1" t="s">
        <v>198</v>
      </c>
      <c r="D3245">
        <v>6369</v>
      </c>
      <c r="E3245" s="1"/>
      <c r="F3245" s="1" t="s">
        <v>333</v>
      </c>
      <c r="G3245">
        <v>2009</v>
      </c>
      <c r="H3245">
        <v>28566.71</v>
      </c>
      <c r="I3245">
        <v>3</v>
      </c>
      <c r="J3245" s="1" t="s">
        <v>410</v>
      </c>
      <c r="K3245">
        <v>0</v>
      </c>
      <c r="L3245">
        <v>110</v>
      </c>
      <c r="M3245">
        <v>259.46148899999997</v>
      </c>
      <c r="N3245">
        <v>1</v>
      </c>
      <c r="O3245" s="1" t="s">
        <v>564</v>
      </c>
      <c r="P3245">
        <v>38911.86</v>
      </c>
      <c r="Q3245">
        <v>8229.14</v>
      </c>
      <c r="R3245">
        <v>0</v>
      </c>
      <c r="S3245" s="1" t="s">
        <v>864</v>
      </c>
      <c r="T3245" s="1" t="s">
        <v>1222</v>
      </c>
      <c r="U3245">
        <v>2645.0653900000002</v>
      </c>
      <c r="V3245">
        <v>0</v>
      </c>
      <c r="W3245">
        <v>62719</v>
      </c>
    </row>
    <row r="3246" spans="1:23" x14ac:dyDescent="0.25">
      <c r="A3246" s="1" t="s">
        <v>37</v>
      </c>
      <c r="B3246" s="1" t="s">
        <v>82</v>
      </c>
      <c r="C3246" s="1" t="s">
        <v>198</v>
      </c>
      <c r="D3246">
        <v>6369</v>
      </c>
      <c r="E3246" s="1"/>
      <c r="F3246" s="1" t="s">
        <v>333</v>
      </c>
      <c r="G3246">
        <v>2008</v>
      </c>
      <c r="H3246">
        <v>27961.03</v>
      </c>
      <c r="I3246">
        <v>9</v>
      </c>
      <c r="J3246" s="1" t="s">
        <v>410</v>
      </c>
      <c r="K3246">
        <v>0</v>
      </c>
      <c r="L3246">
        <v>110</v>
      </c>
      <c r="M3246">
        <v>253.960308</v>
      </c>
      <c r="N3246">
        <v>1</v>
      </c>
      <c r="O3246" s="1" t="s">
        <v>564</v>
      </c>
      <c r="P3246">
        <v>32700.52</v>
      </c>
      <c r="Q3246">
        <v>6915.56</v>
      </c>
      <c r="R3246">
        <v>0</v>
      </c>
      <c r="S3246" s="1" t="s">
        <v>864</v>
      </c>
      <c r="T3246" s="1" t="s">
        <v>1222</v>
      </c>
      <c r="U3246">
        <v>2588.9836700000001</v>
      </c>
      <c r="V3246">
        <v>0</v>
      </c>
      <c r="W3246">
        <v>62719</v>
      </c>
    </row>
    <row r="3247" spans="1:23" x14ac:dyDescent="0.25">
      <c r="A3247" s="1" t="s">
        <v>37</v>
      </c>
      <c r="B3247" s="1" t="s">
        <v>82</v>
      </c>
      <c r="C3247" s="1" t="s">
        <v>199</v>
      </c>
      <c r="D3247">
        <v>5474</v>
      </c>
      <c r="E3247" s="1"/>
      <c r="F3247" s="1" t="s">
        <v>334</v>
      </c>
      <c r="G3247">
        <v>2015</v>
      </c>
      <c r="H3247">
        <v>839278.8</v>
      </c>
      <c r="I3247">
        <v>5</v>
      </c>
      <c r="J3247" s="1"/>
      <c r="K3247">
        <v>0</v>
      </c>
      <c r="L3247">
        <v>10600</v>
      </c>
      <c r="M3247">
        <v>79.176497999999995</v>
      </c>
      <c r="N3247">
        <v>1</v>
      </c>
      <c r="O3247" s="1" t="s">
        <v>564</v>
      </c>
      <c r="P3247">
        <v>953228.36</v>
      </c>
      <c r="Q3247">
        <v>201590.15</v>
      </c>
      <c r="R3247">
        <v>0</v>
      </c>
      <c r="S3247" s="1" t="s">
        <v>865</v>
      </c>
      <c r="T3247" s="1" t="s">
        <v>1223</v>
      </c>
      <c r="U3247">
        <v>77711</v>
      </c>
      <c r="V3247">
        <v>0</v>
      </c>
      <c r="W3247">
        <v>57912</v>
      </c>
    </row>
    <row r="3248" spans="1:23" x14ac:dyDescent="0.25">
      <c r="A3248" s="1" t="s">
        <v>37</v>
      </c>
      <c r="B3248" s="1" t="s">
        <v>82</v>
      </c>
      <c r="C3248" s="1" t="s">
        <v>199</v>
      </c>
      <c r="D3248">
        <v>5474</v>
      </c>
      <c r="E3248" s="1"/>
      <c r="F3248" s="1" t="s">
        <v>334</v>
      </c>
      <c r="G3248">
        <v>2014</v>
      </c>
      <c r="H3248">
        <v>1265122.8</v>
      </c>
      <c r="I3248">
        <v>12</v>
      </c>
      <c r="J3248" s="1"/>
      <c r="K3248">
        <v>0</v>
      </c>
      <c r="L3248">
        <v>10600</v>
      </c>
      <c r="M3248">
        <v>119.350081</v>
      </c>
      <c r="N3248">
        <v>1</v>
      </c>
      <c r="O3248" s="1" t="s">
        <v>564</v>
      </c>
      <c r="P3248">
        <v>1542223.23</v>
      </c>
      <c r="Q3248">
        <v>326151.65000000002</v>
      </c>
      <c r="R3248">
        <v>0</v>
      </c>
      <c r="S3248" s="1" t="s">
        <v>865</v>
      </c>
      <c r="T3248" s="1" t="s">
        <v>1223</v>
      </c>
      <c r="U3248">
        <v>117141</v>
      </c>
      <c r="V3248">
        <v>0</v>
      </c>
      <c r="W3248">
        <v>57912</v>
      </c>
    </row>
    <row r="3249" spans="1:23" x14ac:dyDescent="0.25">
      <c r="A3249" s="1" t="s">
        <v>37</v>
      </c>
      <c r="B3249" s="1" t="s">
        <v>82</v>
      </c>
      <c r="C3249" s="1" t="s">
        <v>199</v>
      </c>
      <c r="D3249">
        <v>5474</v>
      </c>
      <c r="E3249" s="1"/>
      <c r="F3249" s="1" t="s">
        <v>334</v>
      </c>
      <c r="G3249">
        <v>2013</v>
      </c>
      <c r="H3249">
        <v>1350972</v>
      </c>
      <c r="I3249">
        <v>12</v>
      </c>
      <c r="J3249" s="1"/>
      <c r="K3249">
        <v>0</v>
      </c>
      <c r="L3249">
        <v>10600</v>
      </c>
      <c r="M3249">
        <v>127.448986</v>
      </c>
      <c r="N3249">
        <v>1</v>
      </c>
      <c r="O3249" s="1" t="s">
        <v>564</v>
      </c>
      <c r="P3249">
        <v>1413417.71</v>
      </c>
      <c r="Q3249">
        <v>298911.68</v>
      </c>
      <c r="R3249">
        <v>0</v>
      </c>
      <c r="S3249" s="1" t="s">
        <v>865</v>
      </c>
      <c r="T3249" s="1" t="s">
        <v>1223</v>
      </c>
      <c r="U3249">
        <v>125090</v>
      </c>
      <c r="V3249">
        <v>0</v>
      </c>
      <c r="W3249">
        <v>57912</v>
      </c>
    </row>
    <row r="3250" spans="1:23" x14ac:dyDescent="0.25">
      <c r="A3250" s="1" t="s">
        <v>37</v>
      </c>
      <c r="B3250" s="1" t="s">
        <v>82</v>
      </c>
      <c r="C3250" s="1" t="s">
        <v>199</v>
      </c>
      <c r="D3250">
        <v>5474</v>
      </c>
      <c r="E3250" s="1"/>
      <c r="F3250" s="1" t="s">
        <v>334</v>
      </c>
      <c r="G3250">
        <v>2012</v>
      </c>
      <c r="H3250">
        <v>1500562.8</v>
      </c>
      <c r="I3250">
        <v>12</v>
      </c>
      <c r="J3250" s="1"/>
      <c r="K3250">
        <v>0</v>
      </c>
      <c r="L3250">
        <v>10600</v>
      </c>
      <c r="M3250">
        <v>141.56119200000001</v>
      </c>
      <c r="N3250">
        <v>1</v>
      </c>
      <c r="O3250" s="1" t="s">
        <v>564</v>
      </c>
      <c r="P3250">
        <v>1592487.41</v>
      </c>
      <c r="Q3250">
        <v>336781.59</v>
      </c>
      <c r="R3250">
        <v>0</v>
      </c>
      <c r="S3250" s="1" t="s">
        <v>865</v>
      </c>
      <c r="T3250" s="1" t="s">
        <v>1223</v>
      </c>
      <c r="U3250">
        <v>138941</v>
      </c>
      <c r="V3250">
        <v>0</v>
      </c>
      <c r="W3250">
        <v>57912</v>
      </c>
    </row>
    <row r="3251" spans="1:23" x14ac:dyDescent="0.25">
      <c r="A3251" s="1" t="s">
        <v>37</v>
      </c>
      <c r="B3251" s="1" t="s">
        <v>82</v>
      </c>
      <c r="C3251" s="1" t="s">
        <v>199</v>
      </c>
      <c r="D3251">
        <v>5474</v>
      </c>
      <c r="E3251" s="1"/>
      <c r="F3251" s="1" t="s">
        <v>334</v>
      </c>
      <c r="G3251">
        <v>2011</v>
      </c>
      <c r="H3251">
        <v>1499461.2</v>
      </c>
      <c r="I3251">
        <v>12</v>
      </c>
      <c r="J3251" s="1"/>
      <c r="K3251">
        <v>0</v>
      </c>
      <c r="L3251">
        <v>10600</v>
      </c>
      <c r="M3251">
        <v>141.457269</v>
      </c>
      <c r="N3251">
        <v>1</v>
      </c>
      <c r="O3251" s="1" t="s">
        <v>564</v>
      </c>
      <c r="P3251">
        <v>1662630.78</v>
      </c>
      <c r="Q3251">
        <v>351615.63</v>
      </c>
      <c r="R3251">
        <v>0</v>
      </c>
      <c r="S3251" s="1" t="s">
        <v>865</v>
      </c>
      <c r="T3251" s="1" t="s">
        <v>1223</v>
      </c>
      <c r="U3251">
        <v>138839</v>
      </c>
      <c r="V3251">
        <v>0</v>
      </c>
      <c r="W3251">
        <v>57912</v>
      </c>
    </row>
    <row r="3252" spans="1:23" x14ac:dyDescent="0.25">
      <c r="A3252" s="1" t="s">
        <v>37</v>
      </c>
      <c r="B3252" s="1" t="s">
        <v>82</v>
      </c>
      <c r="C3252" s="1" t="s">
        <v>199</v>
      </c>
      <c r="D3252">
        <v>5474</v>
      </c>
      <c r="E3252" s="1"/>
      <c r="F3252" s="1" t="s">
        <v>334</v>
      </c>
      <c r="G3252">
        <v>2010</v>
      </c>
      <c r="H3252">
        <v>1822316.4</v>
      </c>
      <c r="I3252">
        <v>12</v>
      </c>
      <c r="J3252" s="1"/>
      <c r="K3252">
        <v>0</v>
      </c>
      <c r="L3252">
        <v>10600</v>
      </c>
      <c r="M3252">
        <v>171.915019</v>
      </c>
      <c r="N3252">
        <v>1</v>
      </c>
      <c r="O3252" s="1" t="s">
        <v>564</v>
      </c>
      <c r="P3252">
        <v>1655607.97</v>
      </c>
      <c r="Q3252">
        <v>350130.43</v>
      </c>
      <c r="R3252">
        <v>0</v>
      </c>
      <c r="S3252" s="1" t="s">
        <v>865</v>
      </c>
      <c r="T3252" s="1" t="s">
        <v>1223</v>
      </c>
      <c r="U3252">
        <v>168733</v>
      </c>
      <c r="V3252">
        <v>0</v>
      </c>
      <c r="W3252">
        <v>57912</v>
      </c>
    </row>
    <row r="3253" spans="1:23" x14ac:dyDescent="0.25">
      <c r="A3253" s="1" t="s">
        <v>37</v>
      </c>
      <c r="B3253" s="1" t="s">
        <v>82</v>
      </c>
      <c r="C3253" s="1" t="s">
        <v>199</v>
      </c>
      <c r="D3253">
        <v>5474</v>
      </c>
      <c r="E3253" s="1"/>
      <c r="F3253" s="1" t="s">
        <v>334</v>
      </c>
      <c r="G3253">
        <v>2009</v>
      </c>
      <c r="H3253">
        <v>1702944</v>
      </c>
      <c r="I3253">
        <v>12</v>
      </c>
      <c r="J3253" s="1"/>
      <c r="K3253">
        <v>0</v>
      </c>
      <c r="L3253">
        <v>10600</v>
      </c>
      <c r="M3253">
        <v>160.65357800000001</v>
      </c>
      <c r="N3253">
        <v>1</v>
      </c>
      <c r="O3253" s="1" t="s">
        <v>564</v>
      </c>
      <c r="P3253">
        <v>1884957.1</v>
      </c>
      <c r="Q3253">
        <v>398633.53</v>
      </c>
      <c r="R3253">
        <v>0</v>
      </c>
      <c r="S3253" s="1" t="s">
        <v>865</v>
      </c>
      <c r="T3253" s="1" t="s">
        <v>1223</v>
      </c>
      <c r="U3253">
        <v>157680</v>
      </c>
      <c r="V3253">
        <v>0</v>
      </c>
      <c r="W3253">
        <v>57912</v>
      </c>
    </row>
    <row r="3254" spans="1:23" x14ac:dyDescent="0.25">
      <c r="A3254" s="1" t="s">
        <v>37</v>
      </c>
      <c r="B3254" s="1" t="s">
        <v>82</v>
      </c>
      <c r="C3254" s="1" t="s">
        <v>199</v>
      </c>
      <c r="D3254">
        <v>5474</v>
      </c>
      <c r="E3254" s="1"/>
      <c r="F3254" s="1" t="s">
        <v>334</v>
      </c>
      <c r="G3254">
        <v>2008</v>
      </c>
      <c r="H3254">
        <v>1725818.4</v>
      </c>
      <c r="I3254">
        <v>12</v>
      </c>
      <c r="J3254" s="1"/>
      <c r="K3254">
        <v>0</v>
      </c>
      <c r="L3254">
        <v>10600</v>
      </c>
      <c r="M3254">
        <v>162.81152</v>
      </c>
      <c r="N3254">
        <v>1</v>
      </c>
      <c r="O3254" s="1" t="s">
        <v>564</v>
      </c>
      <c r="P3254">
        <v>2041889.24</v>
      </c>
      <c r="Q3254">
        <v>431821.77</v>
      </c>
      <c r="R3254">
        <v>0</v>
      </c>
      <c r="S3254" s="1" t="s">
        <v>865</v>
      </c>
      <c r="T3254" s="1" t="s">
        <v>1223</v>
      </c>
      <c r="U3254">
        <v>159798</v>
      </c>
      <c r="V3254">
        <v>0</v>
      </c>
      <c r="W3254">
        <v>57912</v>
      </c>
    </row>
    <row r="3255" spans="1:23" x14ac:dyDescent="0.25">
      <c r="A3255" s="1" t="s">
        <v>37</v>
      </c>
      <c r="B3255" s="1" t="s">
        <v>66</v>
      </c>
      <c r="C3255" s="1" t="s">
        <v>200</v>
      </c>
      <c r="D3255">
        <v>5471</v>
      </c>
      <c r="E3255" s="1"/>
      <c r="F3255" s="1" t="s">
        <v>335</v>
      </c>
      <c r="G3255">
        <v>2015</v>
      </c>
      <c r="H3255">
        <v>219060</v>
      </c>
      <c r="I3255">
        <v>5</v>
      </c>
      <c r="J3255" s="1" t="s">
        <v>393</v>
      </c>
      <c r="K3255">
        <v>0</v>
      </c>
      <c r="L3255">
        <v>8656</v>
      </c>
      <c r="M3255">
        <v>25.307008</v>
      </c>
      <c r="N3255">
        <v>1</v>
      </c>
      <c r="O3255" s="1" t="s">
        <v>562</v>
      </c>
      <c r="P3255">
        <v>249377.06</v>
      </c>
      <c r="Q3255">
        <v>46134756.100000001</v>
      </c>
      <c r="R3255">
        <v>0</v>
      </c>
      <c r="S3255" s="1" t="s">
        <v>866</v>
      </c>
      <c r="T3255" s="1"/>
      <c r="U3255">
        <v>219060</v>
      </c>
      <c r="V3255">
        <v>0</v>
      </c>
      <c r="W3255">
        <v>57891</v>
      </c>
    </row>
    <row r="3256" spans="1:23" x14ac:dyDescent="0.25">
      <c r="A3256" s="1" t="s">
        <v>37</v>
      </c>
      <c r="B3256" s="1" t="s">
        <v>66</v>
      </c>
      <c r="C3256" s="1" t="s">
        <v>200</v>
      </c>
      <c r="D3256">
        <v>5471</v>
      </c>
      <c r="E3256" s="1"/>
      <c r="F3256" s="1" t="s">
        <v>335</v>
      </c>
      <c r="G3256">
        <v>2015</v>
      </c>
      <c r="H3256">
        <v>235594.73</v>
      </c>
      <c r="I3256">
        <v>5</v>
      </c>
      <c r="J3256" s="1" t="s">
        <v>393</v>
      </c>
      <c r="K3256">
        <v>0</v>
      </c>
      <c r="L3256">
        <v>8656</v>
      </c>
      <c r="M3256">
        <v>27.217191</v>
      </c>
      <c r="N3256">
        <v>1</v>
      </c>
      <c r="O3256" s="1" t="s">
        <v>563</v>
      </c>
      <c r="P3256">
        <v>267442.71999999997</v>
      </c>
      <c r="Q3256">
        <v>1418082.64</v>
      </c>
      <c r="R3256">
        <v>1</v>
      </c>
      <c r="S3256" s="1" t="s">
        <v>866</v>
      </c>
      <c r="T3256" s="1"/>
      <c r="U3256">
        <v>6752.5</v>
      </c>
      <c r="V3256">
        <v>0</v>
      </c>
      <c r="W3256">
        <v>57897</v>
      </c>
    </row>
    <row r="3257" spans="1:23" x14ac:dyDescent="0.25">
      <c r="A3257" s="1" t="s">
        <v>37</v>
      </c>
      <c r="B3257" s="1" t="s">
        <v>66</v>
      </c>
      <c r="C3257" s="1" t="s">
        <v>200</v>
      </c>
      <c r="D3257">
        <v>5471</v>
      </c>
      <c r="E3257" s="1"/>
      <c r="F3257" s="1" t="s">
        <v>335</v>
      </c>
      <c r="G3257">
        <v>2015</v>
      </c>
      <c r="H3257">
        <v>226610</v>
      </c>
      <c r="I3257">
        <v>5</v>
      </c>
      <c r="J3257" s="1"/>
      <c r="K3257">
        <v>0</v>
      </c>
      <c r="L3257">
        <v>8656</v>
      </c>
      <c r="M3257">
        <v>26.179226</v>
      </c>
      <c r="N3257">
        <v>1</v>
      </c>
      <c r="O3257" s="1" t="s">
        <v>562</v>
      </c>
      <c r="P3257">
        <v>259435.16</v>
      </c>
      <c r="Q3257">
        <v>47995504.600000001</v>
      </c>
      <c r="R3257">
        <v>0</v>
      </c>
      <c r="S3257" s="1" t="s">
        <v>867</v>
      </c>
      <c r="T3257" s="1"/>
      <c r="U3257">
        <v>226610</v>
      </c>
      <c r="V3257">
        <v>0</v>
      </c>
      <c r="W3257">
        <v>90717</v>
      </c>
    </row>
    <row r="3258" spans="1:23" x14ac:dyDescent="0.25">
      <c r="A3258" s="1" t="s">
        <v>37</v>
      </c>
      <c r="B3258" s="1" t="s">
        <v>66</v>
      </c>
      <c r="C3258" s="1" t="s">
        <v>200</v>
      </c>
      <c r="D3258">
        <v>5471</v>
      </c>
      <c r="E3258" s="1"/>
      <c r="F3258" s="1" t="s">
        <v>335</v>
      </c>
      <c r="G3258">
        <v>2014</v>
      </c>
      <c r="H3258">
        <v>379350</v>
      </c>
      <c r="I3258">
        <v>12</v>
      </c>
      <c r="J3258" s="1" t="s">
        <v>393</v>
      </c>
      <c r="K3258">
        <v>0</v>
      </c>
      <c r="L3258">
        <v>8656</v>
      </c>
      <c r="M3258">
        <v>43.824585999999996</v>
      </c>
      <c r="N3258">
        <v>1</v>
      </c>
      <c r="O3258" s="1" t="s">
        <v>562</v>
      </c>
      <c r="P3258">
        <v>461564.92</v>
      </c>
      <c r="Q3258">
        <v>33779941.780000001</v>
      </c>
      <c r="R3258">
        <v>0</v>
      </c>
      <c r="S3258" s="1" t="s">
        <v>866</v>
      </c>
      <c r="T3258" s="1"/>
      <c r="U3258">
        <v>379350</v>
      </c>
      <c r="V3258">
        <v>0</v>
      </c>
      <c r="W3258">
        <v>57891</v>
      </c>
    </row>
    <row r="3259" spans="1:23" x14ac:dyDescent="0.25">
      <c r="A3259" s="1" t="s">
        <v>37</v>
      </c>
      <c r="B3259" s="1" t="s">
        <v>66</v>
      </c>
      <c r="C3259" s="1" t="s">
        <v>200</v>
      </c>
      <c r="D3259">
        <v>5471</v>
      </c>
      <c r="E3259" s="1"/>
      <c r="F3259" s="1" t="s">
        <v>335</v>
      </c>
      <c r="G3259">
        <v>2014</v>
      </c>
      <c r="H3259">
        <v>421097.88</v>
      </c>
      <c r="I3259">
        <v>12</v>
      </c>
      <c r="J3259" s="1" t="s">
        <v>393</v>
      </c>
      <c r="K3259">
        <v>0</v>
      </c>
      <c r="L3259">
        <v>8656</v>
      </c>
      <c r="M3259">
        <v>48.647528999999999</v>
      </c>
      <c r="N3259">
        <v>1</v>
      </c>
      <c r="O3259" s="1" t="s">
        <v>563</v>
      </c>
      <c r="P3259">
        <v>504819.51</v>
      </c>
      <c r="Q3259">
        <v>1200570.5</v>
      </c>
      <c r="R3259">
        <v>1</v>
      </c>
      <c r="S3259" s="1" t="s">
        <v>866</v>
      </c>
      <c r="T3259" s="1"/>
      <c r="U3259">
        <v>12069.3</v>
      </c>
      <c r="V3259">
        <v>0</v>
      </c>
      <c r="W3259">
        <v>57897</v>
      </c>
    </row>
    <row r="3260" spans="1:23" x14ac:dyDescent="0.25">
      <c r="A3260" s="1" t="s">
        <v>37</v>
      </c>
      <c r="B3260" s="1" t="s">
        <v>66</v>
      </c>
      <c r="C3260" s="1" t="s">
        <v>200</v>
      </c>
      <c r="D3260">
        <v>5471</v>
      </c>
      <c r="E3260" s="1"/>
      <c r="F3260" s="1" t="s">
        <v>335</v>
      </c>
      <c r="G3260">
        <v>2014</v>
      </c>
      <c r="H3260">
        <v>357730</v>
      </c>
      <c r="I3260">
        <v>12</v>
      </c>
      <c r="J3260" s="1"/>
      <c r="K3260">
        <v>0</v>
      </c>
      <c r="L3260">
        <v>8656</v>
      </c>
      <c r="M3260">
        <v>41.326925000000003</v>
      </c>
      <c r="N3260">
        <v>1</v>
      </c>
      <c r="O3260" s="1" t="s">
        <v>562</v>
      </c>
      <c r="P3260">
        <v>431913.15</v>
      </c>
      <c r="Q3260">
        <v>33543735</v>
      </c>
      <c r="R3260">
        <v>0</v>
      </c>
      <c r="S3260" s="1" t="s">
        <v>867</v>
      </c>
      <c r="T3260" s="1"/>
      <c r="U3260">
        <v>357730.00300000003</v>
      </c>
      <c r="V3260">
        <v>0</v>
      </c>
      <c r="W3260">
        <v>90717</v>
      </c>
    </row>
    <row r="3261" spans="1:23" x14ac:dyDescent="0.25">
      <c r="A3261" s="1" t="s">
        <v>37</v>
      </c>
      <c r="B3261" s="1" t="s">
        <v>66</v>
      </c>
      <c r="C3261" s="1" t="s">
        <v>200</v>
      </c>
      <c r="D3261">
        <v>5471</v>
      </c>
      <c r="E3261" s="1"/>
      <c r="F3261" s="1" t="s">
        <v>335</v>
      </c>
      <c r="G3261">
        <v>2013</v>
      </c>
      <c r="H3261">
        <v>425620</v>
      </c>
      <c r="I3261">
        <v>12</v>
      </c>
      <c r="J3261" s="1" t="s">
        <v>393</v>
      </c>
      <c r="K3261">
        <v>0</v>
      </c>
      <c r="L3261">
        <v>8656</v>
      </c>
      <c r="M3261">
        <v>49.169949000000003</v>
      </c>
      <c r="N3261">
        <v>1</v>
      </c>
      <c r="O3261" s="1" t="s">
        <v>562</v>
      </c>
      <c r="P3261">
        <v>447792.12</v>
      </c>
      <c r="Q3261">
        <v>82841.55</v>
      </c>
      <c r="R3261">
        <v>0</v>
      </c>
      <c r="S3261" s="1" t="s">
        <v>866</v>
      </c>
      <c r="T3261" s="1"/>
      <c r="U3261">
        <v>425620</v>
      </c>
      <c r="V3261">
        <v>0</v>
      </c>
      <c r="W3261">
        <v>57891</v>
      </c>
    </row>
    <row r="3262" spans="1:23" x14ac:dyDescent="0.25">
      <c r="A3262" s="1" t="s">
        <v>37</v>
      </c>
      <c r="B3262" s="1" t="s">
        <v>66</v>
      </c>
      <c r="C3262" s="1" t="s">
        <v>200</v>
      </c>
      <c r="D3262">
        <v>5471</v>
      </c>
      <c r="E3262" s="1"/>
      <c r="F3262" s="1" t="s">
        <v>335</v>
      </c>
      <c r="G3262">
        <v>2013</v>
      </c>
      <c r="H3262">
        <v>379900</v>
      </c>
      <c r="I3262">
        <v>12</v>
      </c>
      <c r="J3262" s="1"/>
      <c r="K3262">
        <v>0</v>
      </c>
      <c r="L3262">
        <v>8656</v>
      </c>
      <c r="M3262">
        <v>43.888125000000002</v>
      </c>
      <c r="N3262">
        <v>1</v>
      </c>
      <c r="O3262" s="1" t="s">
        <v>562</v>
      </c>
      <c r="P3262">
        <v>397826.99</v>
      </c>
      <c r="Q3262">
        <v>73597.990000000005</v>
      </c>
      <c r="R3262">
        <v>0</v>
      </c>
      <c r="S3262" s="1" t="s">
        <v>867</v>
      </c>
      <c r="T3262" s="1"/>
      <c r="U3262">
        <v>379900</v>
      </c>
      <c r="V3262">
        <v>0</v>
      </c>
      <c r="W3262">
        <v>90717</v>
      </c>
    </row>
    <row r="3263" spans="1:23" x14ac:dyDescent="0.25">
      <c r="A3263" s="1" t="s">
        <v>37</v>
      </c>
      <c r="B3263" s="1" t="s">
        <v>66</v>
      </c>
      <c r="C3263" s="1" t="s">
        <v>200</v>
      </c>
      <c r="D3263">
        <v>5471</v>
      </c>
      <c r="E3263" s="1"/>
      <c r="F3263" s="1" t="s">
        <v>335</v>
      </c>
      <c r="G3263">
        <v>2013</v>
      </c>
      <c r="H3263">
        <v>476450.86</v>
      </c>
      <c r="I3263">
        <v>12</v>
      </c>
      <c r="J3263" s="1" t="s">
        <v>393</v>
      </c>
      <c r="K3263">
        <v>0</v>
      </c>
      <c r="L3263">
        <v>8656</v>
      </c>
      <c r="M3263">
        <v>55.042208000000002</v>
      </c>
      <c r="N3263">
        <v>1</v>
      </c>
      <c r="O3263" s="1" t="s">
        <v>563</v>
      </c>
      <c r="P3263">
        <v>509547.78</v>
      </c>
      <c r="Q3263">
        <v>2701.81</v>
      </c>
      <c r="R3263">
        <v>1</v>
      </c>
      <c r="S3263" s="1" t="s">
        <v>866</v>
      </c>
      <c r="T3263" s="1"/>
      <c r="U3263">
        <v>13655.7996</v>
      </c>
      <c r="V3263">
        <v>0</v>
      </c>
      <c r="W3263">
        <v>57897</v>
      </c>
    </row>
    <row r="3264" spans="1:23" x14ac:dyDescent="0.25">
      <c r="A3264" s="1" t="s">
        <v>37</v>
      </c>
      <c r="B3264" s="1" t="s">
        <v>66</v>
      </c>
      <c r="C3264" s="1" t="s">
        <v>200</v>
      </c>
      <c r="D3264">
        <v>5471</v>
      </c>
      <c r="E3264" s="1"/>
      <c r="F3264" s="1" t="s">
        <v>335</v>
      </c>
      <c r="G3264">
        <v>2012</v>
      </c>
      <c r="H3264">
        <v>466880.03</v>
      </c>
      <c r="I3264">
        <v>12</v>
      </c>
      <c r="J3264" s="1" t="s">
        <v>393</v>
      </c>
      <c r="K3264">
        <v>0</v>
      </c>
      <c r="L3264">
        <v>8656</v>
      </c>
      <c r="M3264">
        <v>53.936532999999997</v>
      </c>
      <c r="N3264">
        <v>1</v>
      </c>
      <c r="O3264" s="1" t="s">
        <v>562</v>
      </c>
      <c r="P3264">
        <v>489871.99</v>
      </c>
      <c r="Q3264">
        <v>90626.33</v>
      </c>
      <c r="R3264">
        <v>0</v>
      </c>
      <c r="S3264" s="1" t="s">
        <v>866</v>
      </c>
      <c r="T3264" s="1"/>
      <c r="U3264">
        <v>466880.03</v>
      </c>
      <c r="V3264">
        <v>0</v>
      </c>
      <c r="W3264">
        <v>57891</v>
      </c>
    </row>
    <row r="3265" spans="1:23" x14ac:dyDescent="0.25">
      <c r="A3265" s="1" t="s">
        <v>37</v>
      </c>
      <c r="B3265" s="1" t="s">
        <v>66</v>
      </c>
      <c r="C3265" s="1" t="s">
        <v>200</v>
      </c>
      <c r="D3265">
        <v>5471</v>
      </c>
      <c r="E3265" s="1"/>
      <c r="F3265" s="1" t="s">
        <v>335</v>
      </c>
      <c r="G3265">
        <v>2012</v>
      </c>
      <c r="H3265">
        <v>411970</v>
      </c>
      <c r="I3265">
        <v>12</v>
      </c>
      <c r="J3265" s="1"/>
      <c r="K3265">
        <v>0</v>
      </c>
      <c r="L3265">
        <v>8656</v>
      </c>
      <c r="M3265">
        <v>47.593026000000002</v>
      </c>
      <c r="N3265">
        <v>1</v>
      </c>
      <c r="O3265" s="1" t="s">
        <v>562</v>
      </c>
      <c r="P3265">
        <v>435398.58</v>
      </c>
      <c r="Q3265">
        <v>80548.72</v>
      </c>
      <c r="R3265">
        <v>0</v>
      </c>
      <c r="S3265" s="1" t="s">
        <v>867</v>
      </c>
      <c r="T3265" s="1"/>
      <c r="U3265">
        <v>411970</v>
      </c>
      <c r="V3265">
        <v>0</v>
      </c>
      <c r="W3265">
        <v>90717</v>
      </c>
    </row>
    <row r="3266" spans="1:23" x14ac:dyDescent="0.25">
      <c r="A3266" s="1" t="s">
        <v>37</v>
      </c>
      <c r="B3266" s="1" t="s">
        <v>66</v>
      </c>
      <c r="C3266" s="1" t="s">
        <v>200</v>
      </c>
      <c r="D3266">
        <v>5471</v>
      </c>
      <c r="E3266" s="1"/>
      <c r="F3266" s="1" t="s">
        <v>335</v>
      </c>
      <c r="G3266">
        <v>2012</v>
      </c>
      <c r="H3266">
        <v>474343.49</v>
      </c>
      <c r="I3266">
        <v>12</v>
      </c>
      <c r="J3266" s="1" t="s">
        <v>393</v>
      </c>
      <c r="K3266">
        <v>0</v>
      </c>
      <c r="L3266">
        <v>8656</v>
      </c>
      <c r="M3266">
        <v>54.798752999999998</v>
      </c>
      <c r="N3266">
        <v>1</v>
      </c>
      <c r="O3266" s="1" t="s">
        <v>563</v>
      </c>
      <c r="P3266">
        <v>496722.33</v>
      </c>
      <c r="Q3266">
        <v>2633.81</v>
      </c>
      <c r="R3266">
        <v>1</v>
      </c>
      <c r="S3266" s="1" t="s">
        <v>866</v>
      </c>
      <c r="T3266" s="1"/>
      <c r="U3266">
        <v>13595.3997</v>
      </c>
      <c r="V3266">
        <v>0</v>
      </c>
      <c r="W3266">
        <v>57897</v>
      </c>
    </row>
    <row r="3267" spans="1:23" x14ac:dyDescent="0.25">
      <c r="A3267" s="1" t="s">
        <v>37</v>
      </c>
      <c r="B3267" s="1" t="s">
        <v>66</v>
      </c>
      <c r="C3267" s="1" t="s">
        <v>200</v>
      </c>
      <c r="D3267">
        <v>5471</v>
      </c>
      <c r="E3267" s="1"/>
      <c r="F3267" s="1" t="s">
        <v>335</v>
      </c>
      <c r="G3267">
        <v>2011</v>
      </c>
      <c r="H3267">
        <v>103630</v>
      </c>
      <c r="I3267">
        <v>2</v>
      </c>
      <c r="J3267" s="1"/>
      <c r="K3267">
        <v>0</v>
      </c>
      <c r="L3267">
        <v>8656</v>
      </c>
      <c r="M3267">
        <v>11.971904</v>
      </c>
      <c r="N3267">
        <v>1</v>
      </c>
      <c r="O3267" s="1" t="s">
        <v>562</v>
      </c>
      <c r="P3267">
        <v>121291.3</v>
      </c>
      <c r="Q3267">
        <v>22438.89</v>
      </c>
      <c r="R3267">
        <v>0</v>
      </c>
      <c r="S3267" s="1" t="s">
        <v>867</v>
      </c>
      <c r="T3267" s="1"/>
      <c r="U3267">
        <v>103630</v>
      </c>
      <c r="V3267">
        <v>0</v>
      </c>
      <c r="W3267">
        <v>90717</v>
      </c>
    </row>
    <row r="3268" spans="1:23" x14ac:dyDescent="0.25">
      <c r="A3268" s="1" t="s">
        <v>37</v>
      </c>
      <c r="B3268" s="1" t="s">
        <v>66</v>
      </c>
      <c r="C3268" s="1" t="s">
        <v>200</v>
      </c>
      <c r="D3268">
        <v>5471</v>
      </c>
      <c r="E3268" s="1"/>
      <c r="F3268" s="1" t="s">
        <v>335</v>
      </c>
      <c r="G3268">
        <v>2011</v>
      </c>
      <c r="H3268">
        <v>939210</v>
      </c>
      <c r="I3268">
        <v>12</v>
      </c>
      <c r="J3268" s="1" t="s">
        <v>393</v>
      </c>
      <c r="K3268">
        <v>0</v>
      </c>
      <c r="L3268">
        <v>8656</v>
      </c>
      <c r="M3268">
        <v>108.502674</v>
      </c>
      <c r="N3268">
        <v>1</v>
      </c>
      <c r="O3268" s="1" t="s">
        <v>562</v>
      </c>
      <c r="P3268">
        <v>1009439.82</v>
      </c>
      <c r="Q3268">
        <v>186746.35</v>
      </c>
      <c r="R3268">
        <v>0</v>
      </c>
      <c r="S3268" s="1" t="s">
        <v>866</v>
      </c>
      <c r="T3268" s="1"/>
      <c r="U3268">
        <v>939209.99699999997</v>
      </c>
      <c r="V3268">
        <v>0</v>
      </c>
      <c r="W3268">
        <v>57891</v>
      </c>
    </row>
    <row r="3269" spans="1:23" x14ac:dyDescent="0.25">
      <c r="A3269" s="1" t="s">
        <v>37</v>
      </c>
      <c r="B3269" s="1" t="s">
        <v>66</v>
      </c>
      <c r="C3269" s="1" t="s">
        <v>200</v>
      </c>
      <c r="D3269">
        <v>5471</v>
      </c>
      <c r="E3269" s="1"/>
      <c r="F3269" s="1" t="s">
        <v>335</v>
      </c>
      <c r="G3269">
        <v>2011</v>
      </c>
      <c r="H3269">
        <v>990478.25</v>
      </c>
      <c r="I3269">
        <v>12</v>
      </c>
      <c r="J3269" s="1" t="s">
        <v>393</v>
      </c>
      <c r="K3269">
        <v>0</v>
      </c>
      <c r="L3269">
        <v>8656</v>
      </c>
      <c r="M3269">
        <v>114.425462</v>
      </c>
      <c r="N3269">
        <v>1</v>
      </c>
      <c r="O3269" s="1" t="s">
        <v>563</v>
      </c>
      <c r="P3269">
        <v>1061880.25</v>
      </c>
      <c r="Q3269">
        <v>5630.5</v>
      </c>
      <c r="R3269">
        <v>1</v>
      </c>
      <c r="S3269" s="1" t="s">
        <v>866</v>
      </c>
      <c r="T3269" s="1"/>
      <c r="U3269">
        <v>28388.599890000001</v>
      </c>
      <c r="V3269">
        <v>0</v>
      </c>
      <c r="W3269">
        <v>57897</v>
      </c>
    </row>
    <row r="3270" spans="1:23" x14ac:dyDescent="0.25">
      <c r="A3270" s="1" t="s">
        <v>37</v>
      </c>
      <c r="B3270" s="1" t="s">
        <v>66</v>
      </c>
      <c r="C3270" s="1" t="s">
        <v>200</v>
      </c>
      <c r="D3270">
        <v>5471</v>
      </c>
      <c r="E3270" s="1"/>
      <c r="F3270" s="1" t="s">
        <v>335</v>
      </c>
      <c r="G3270">
        <v>2010</v>
      </c>
      <c r="H3270">
        <v>1414070</v>
      </c>
      <c r="I3270">
        <v>12</v>
      </c>
      <c r="J3270" s="1" t="s">
        <v>393</v>
      </c>
      <c r="K3270">
        <v>0</v>
      </c>
      <c r="L3270">
        <v>8656</v>
      </c>
      <c r="M3270">
        <v>163.361097</v>
      </c>
      <c r="N3270">
        <v>1</v>
      </c>
      <c r="O3270" s="1" t="s">
        <v>562</v>
      </c>
      <c r="P3270">
        <v>1280697.02</v>
      </c>
      <c r="Q3270">
        <v>236928.94</v>
      </c>
      <c r="R3270">
        <v>0</v>
      </c>
      <c r="S3270" s="1" t="s">
        <v>866</v>
      </c>
      <c r="T3270" s="1"/>
      <c r="U3270">
        <v>1414070</v>
      </c>
      <c r="V3270">
        <v>0</v>
      </c>
      <c r="W3270">
        <v>57891</v>
      </c>
    </row>
    <row r="3271" spans="1:23" x14ac:dyDescent="0.25">
      <c r="A3271" s="1" t="s">
        <v>37</v>
      </c>
      <c r="B3271" s="1" t="s">
        <v>66</v>
      </c>
      <c r="C3271" s="1" t="s">
        <v>200</v>
      </c>
      <c r="D3271">
        <v>5471</v>
      </c>
      <c r="E3271" s="1"/>
      <c r="F3271" s="1" t="s">
        <v>335</v>
      </c>
      <c r="G3271">
        <v>2010</v>
      </c>
      <c r="H3271">
        <v>1657365.71</v>
      </c>
      <c r="I3271">
        <v>12</v>
      </c>
      <c r="J3271" s="1" t="s">
        <v>393</v>
      </c>
      <c r="K3271">
        <v>0</v>
      </c>
      <c r="L3271">
        <v>8656</v>
      </c>
      <c r="M3271">
        <v>191.46794800000001</v>
      </c>
      <c r="N3271">
        <v>1</v>
      </c>
      <c r="O3271" s="1" t="s">
        <v>563</v>
      </c>
      <c r="P3271">
        <v>1525725</v>
      </c>
      <c r="Q3271">
        <v>8089.98</v>
      </c>
      <c r="R3271">
        <v>1</v>
      </c>
      <c r="S3271" s="1" t="s">
        <v>866</v>
      </c>
      <c r="T3271" s="1"/>
      <c r="U3271">
        <v>47502.6</v>
      </c>
      <c r="V3271">
        <v>0</v>
      </c>
      <c r="W3271">
        <v>57897</v>
      </c>
    </row>
    <row r="3272" spans="1:23" x14ac:dyDescent="0.25">
      <c r="A3272" s="1" t="s">
        <v>37</v>
      </c>
      <c r="B3272" s="1" t="s">
        <v>66</v>
      </c>
      <c r="C3272" s="1" t="s">
        <v>200</v>
      </c>
      <c r="D3272">
        <v>5471</v>
      </c>
      <c r="E3272" s="1"/>
      <c r="F3272" s="1" t="s">
        <v>335</v>
      </c>
      <c r="G3272">
        <v>2009</v>
      </c>
      <c r="H3272">
        <v>1054490.93</v>
      </c>
      <c r="I3272">
        <v>12</v>
      </c>
      <c r="J3272" s="1" t="s">
        <v>393</v>
      </c>
      <c r="K3272">
        <v>0</v>
      </c>
      <c r="L3272">
        <v>8656</v>
      </c>
      <c r="M3272">
        <v>121.82055699999999</v>
      </c>
      <c r="N3272">
        <v>1</v>
      </c>
      <c r="O3272" s="1" t="s">
        <v>563</v>
      </c>
      <c r="P3272">
        <v>1118423.52</v>
      </c>
      <c r="Q3272">
        <v>5930.3</v>
      </c>
      <c r="R3272">
        <v>1</v>
      </c>
      <c r="S3272" s="1" t="s">
        <v>866</v>
      </c>
      <c r="T3272" s="1"/>
      <c r="U3272">
        <v>30223.3</v>
      </c>
      <c r="V3272">
        <v>0</v>
      </c>
      <c r="W3272">
        <v>57897</v>
      </c>
    </row>
    <row r="3273" spans="1:23" x14ac:dyDescent="0.25">
      <c r="A3273" s="1" t="s">
        <v>37</v>
      </c>
      <c r="B3273" s="1" t="s">
        <v>66</v>
      </c>
      <c r="C3273" s="1" t="s">
        <v>200</v>
      </c>
      <c r="D3273">
        <v>5471</v>
      </c>
      <c r="E3273" s="1"/>
      <c r="F3273" s="1" t="s">
        <v>335</v>
      </c>
      <c r="G3273">
        <v>2009</v>
      </c>
      <c r="H3273">
        <v>1111680</v>
      </c>
      <c r="I3273">
        <v>12</v>
      </c>
      <c r="J3273" s="1" t="s">
        <v>393</v>
      </c>
      <c r="K3273">
        <v>0</v>
      </c>
      <c r="L3273">
        <v>8656</v>
      </c>
      <c r="M3273">
        <v>128.42735099999999</v>
      </c>
      <c r="N3273">
        <v>1</v>
      </c>
      <c r="O3273" s="1" t="s">
        <v>562</v>
      </c>
      <c r="P3273">
        <v>1182450.57</v>
      </c>
      <c r="Q3273">
        <v>218753.36</v>
      </c>
      <c r="R3273">
        <v>0</v>
      </c>
      <c r="S3273" s="1" t="s">
        <v>866</v>
      </c>
      <c r="T3273" s="1"/>
      <c r="U3273">
        <v>1111680</v>
      </c>
      <c r="V3273">
        <v>0</v>
      </c>
      <c r="W3273">
        <v>57891</v>
      </c>
    </row>
    <row r="3274" spans="1:23" x14ac:dyDescent="0.25">
      <c r="A3274" s="1" t="s">
        <v>37</v>
      </c>
      <c r="B3274" s="1" t="s">
        <v>66</v>
      </c>
      <c r="C3274" s="1" t="s">
        <v>200</v>
      </c>
      <c r="D3274">
        <v>5471</v>
      </c>
      <c r="E3274" s="1"/>
      <c r="F3274" s="1" t="s">
        <v>335</v>
      </c>
      <c r="G3274">
        <v>2008</v>
      </c>
      <c r="H3274">
        <v>1094870</v>
      </c>
      <c r="I3274">
        <v>12</v>
      </c>
      <c r="J3274" s="1" t="s">
        <v>393</v>
      </c>
      <c r="K3274">
        <v>0</v>
      </c>
      <c r="L3274">
        <v>8656</v>
      </c>
      <c r="M3274">
        <v>126.48536799999999</v>
      </c>
      <c r="N3274">
        <v>1</v>
      </c>
      <c r="O3274" s="1" t="s">
        <v>562</v>
      </c>
      <c r="P3274">
        <v>1276347.55</v>
      </c>
      <c r="Q3274">
        <v>236124.3</v>
      </c>
      <c r="R3274">
        <v>0</v>
      </c>
      <c r="S3274" s="1" t="s">
        <v>866</v>
      </c>
      <c r="T3274" s="1"/>
      <c r="U3274">
        <v>1094870</v>
      </c>
      <c r="V3274">
        <v>0</v>
      </c>
      <c r="W3274">
        <v>57891</v>
      </c>
    </row>
    <row r="3275" spans="1:23" x14ac:dyDescent="0.25">
      <c r="A3275" s="1" t="s">
        <v>37</v>
      </c>
      <c r="B3275" s="1" t="s">
        <v>66</v>
      </c>
      <c r="C3275" s="1" t="s">
        <v>200</v>
      </c>
      <c r="D3275">
        <v>5471</v>
      </c>
      <c r="E3275" s="1"/>
      <c r="F3275" s="1" t="s">
        <v>335</v>
      </c>
      <c r="G3275">
        <v>2008</v>
      </c>
      <c r="H3275">
        <v>1033675.56</v>
      </c>
      <c r="I3275">
        <v>12</v>
      </c>
      <c r="J3275" s="1" t="s">
        <v>393</v>
      </c>
      <c r="K3275">
        <v>0</v>
      </c>
      <c r="L3275">
        <v>8656</v>
      </c>
      <c r="M3275">
        <v>119.415852</v>
      </c>
      <c r="N3275">
        <v>1</v>
      </c>
      <c r="O3275" s="1" t="s">
        <v>563</v>
      </c>
      <c r="P3275">
        <v>1241307.19</v>
      </c>
      <c r="Q3275">
        <v>6581.88</v>
      </c>
      <c r="R3275">
        <v>1</v>
      </c>
      <c r="S3275" s="1" t="s">
        <v>866</v>
      </c>
      <c r="T3275" s="1"/>
      <c r="U3275">
        <v>29626.7</v>
      </c>
      <c r="V3275">
        <v>0</v>
      </c>
      <c r="W3275">
        <v>57897</v>
      </c>
    </row>
    <row r="3276" spans="1:23" x14ac:dyDescent="0.25">
      <c r="A3276" s="1" t="s">
        <v>37</v>
      </c>
      <c r="B3276" s="1"/>
      <c r="C3276" s="1" t="s">
        <v>201</v>
      </c>
      <c r="D3276">
        <v>9223</v>
      </c>
      <c r="E3276" s="1"/>
      <c r="F3276" s="1" t="s">
        <v>336</v>
      </c>
      <c r="G3276">
        <v>2015</v>
      </c>
      <c r="H3276">
        <v>4818.2</v>
      </c>
      <c r="I3276">
        <v>10</v>
      </c>
      <c r="J3276" s="1" t="s">
        <v>448</v>
      </c>
      <c r="K3276">
        <v>0</v>
      </c>
      <c r="L3276">
        <v>7936</v>
      </c>
      <c r="M3276">
        <v>0.607124</v>
      </c>
      <c r="N3276">
        <v>1</v>
      </c>
      <c r="O3276" s="1" t="s">
        <v>564</v>
      </c>
      <c r="P3276">
        <v>5451.69</v>
      </c>
      <c r="Q3276">
        <v>1152.93</v>
      </c>
      <c r="R3276">
        <v>0</v>
      </c>
      <c r="S3276" s="1" t="s">
        <v>810</v>
      </c>
      <c r="T3276" s="1" t="s">
        <v>1224</v>
      </c>
      <c r="U3276">
        <v>446.13</v>
      </c>
      <c r="V3276">
        <v>0</v>
      </c>
      <c r="W3276">
        <v>77843</v>
      </c>
    </row>
    <row r="3277" spans="1:23" x14ac:dyDescent="0.25">
      <c r="A3277" s="1" t="s">
        <v>37</v>
      </c>
      <c r="B3277" s="1"/>
      <c r="C3277" s="1" t="s">
        <v>201</v>
      </c>
      <c r="D3277">
        <v>9223</v>
      </c>
      <c r="E3277" s="1"/>
      <c r="F3277" s="1" t="s">
        <v>336</v>
      </c>
      <c r="G3277">
        <v>2015</v>
      </c>
      <c r="H3277">
        <v>446130</v>
      </c>
      <c r="I3277">
        <v>10</v>
      </c>
      <c r="J3277" s="1"/>
      <c r="K3277">
        <v>0</v>
      </c>
      <c r="L3277">
        <v>7936</v>
      </c>
      <c r="M3277">
        <v>56.215268999999999</v>
      </c>
      <c r="N3277">
        <v>1</v>
      </c>
      <c r="O3277" s="1" t="s">
        <v>565</v>
      </c>
      <c r="P3277">
        <v>508067.1</v>
      </c>
      <c r="Q3277">
        <v>32516.29</v>
      </c>
      <c r="R3277">
        <v>0</v>
      </c>
      <c r="S3277" s="1" t="s">
        <v>868</v>
      </c>
      <c r="T3277" s="1"/>
      <c r="U3277">
        <v>446.13</v>
      </c>
      <c r="V3277">
        <v>0</v>
      </c>
      <c r="W3277">
        <v>92758</v>
      </c>
    </row>
    <row r="3278" spans="1:23" x14ac:dyDescent="0.25">
      <c r="A3278" s="1" t="s">
        <v>37</v>
      </c>
      <c r="B3278" s="1"/>
      <c r="C3278" s="1" t="s">
        <v>201</v>
      </c>
      <c r="D3278">
        <v>9223</v>
      </c>
      <c r="E3278" s="1"/>
      <c r="F3278" s="1" t="s">
        <v>336</v>
      </c>
      <c r="G3278">
        <v>2014</v>
      </c>
      <c r="H3278">
        <v>7996.21</v>
      </c>
      <c r="I3278">
        <v>24</v>
      </c>
      <c r="J3278" s="1" t="s">
        <v>448</v>
      </c>
      <c r="K3278">
        <v>0</v>
      </c>
      <c r="L3278">
        <v>7936</v>
      </c>
      <c r="M3278">
        <v>1.007574</v>
      </c>
      <c r="N3278">
        <v>1</v>
      </c>
      <c r="O3278" s="1" t="s">
        <v>564</v>
      </c>
      <c r="P3278">
        <v>9493.36</v>
      </c>
      <c r="Q3278">
        <v>2007.67</v>
      </c>
      <c r="R3278">
        <v>0</v>
      </c>
      <c r="S3278" s="1" t="s">
        <v>810</v>
      </c>
      <c r="T3278" s="1" t="s">
        <v>1224</v>
      </c>
      <c r="U3278">
        <v>740.39</v>
      </c>
      <c r="V3278">
        <v>0</v>
      </c>
      <c r="W3278">
        <v>77843</v>
      </c>
    </row>
    <row r="3279" spans="1:23" x14ac:dyDescent="0.25">
      <c r="A3279" s="1" t="s">
        <v>37</v>
      </c>
      <c r="B3279" s="1"/>
      <c r="C3279" s="1" t="s">
        <v>201</v>
      </c>
      <c r="D3279">
        <v>9223</v>
      </c>
      <c r="E3279" s="1"/>
      <c r="F3279" s="1" t="s">
        <v>336</v>
      </c>
      <c r="G3279">
        <v>2014</v>
      </c>
      <c r="H3279">
        <v>740390</v>
      </c>
      <c r="I3279">
        <v>24</v>
      </c>
      <c r="J3279" s="1"/>
      <c r="K3279">
        <v>0</v>
      </c>
      <c r="L3279">
        <v>7936</v>
      </c>
      <c r="M3279">
        <v>93.293935000000005</v>
      </c>
      <c r="N3279">
        <v>1</v>
      </c>
      <c r="O3279" s="1" t="s">
        <v>565</v>
      </c>
      <c r="P3279">
        <v>894514.33</v>
      </c>
      <c r="Q3279">
        <v>57248.93</v>
      </c>
      <c r="R3279">
        <v>0</v>
      </c>
      <c r="S3279" s="1" t="s">
        <v>868</v>
      </c>
      <c r="T3279" s="1"/>
      <c r="U3279">
        <v>740.39</v>
      </c>
      <c r="V3279">
        <v>0</v>
      </c>
      <c r="W3279">
        <v>92758</v>
      </c>
    </row>
    <row r="3280" spans="1:23" x14ac:dyDescent="0.25">
      <c r="A3280" s="1" t="s">
        <v>37</v>
      </c>
      <c r="B3280" s="1"/>
      <c r="C3280" s="1" t="s">
        <v>201</v>
      </c>
      <c r="D3280">
        <v>9223</v>
      </c>
      <c r="E3280" s="1"/>
      <c r="F3280" s="1" t="s">
        <v>336</v>
      </c>
      <c r="G3280">
        <v>2013</v>
      </c>
      <c r="H3280">
        <v>817700</v>
      </c>
      <c r="I3280">
        <v>24</v>
      </c>
      <c r="J3280" s="1"/>
      <c r="K3280">
        <v>0</v>
      </c>
      <c r="L3280">
        <v>7936</v>
      </c>
      <c r="M3280">
        <v>103.03549599999999</v>
      </c>
      <c r="N3280">
        <v>1</v>
      </c>
      <c r="O3280" s="1" t="s">
        <v>565</v>
      </c>
      <c r="P3280">
        <v>856611.57</v>
      </c>
      <c r="Q3280">
        <v>54823.13</v>
      </c>
      <c r="R3280">
        <v>0</v>
      </c>
      <c r="S3280" s="1" t="s">
        <v>868</v>
      </c>
      <c r="T3280" s="1"/>
      <c r="U3280">
        <v>817.7</v>
      </c>
      <c r="V3280">
        <v>0</v>
      </c>
      <c r="W3280">
        <v>92758</v>
      </c>
    </row>
    <row r="3281" spans="1:23" x14ac:dyDescent="0.25">
      <c r="A3281" s="1" t="s">
        <v>37</v>
      </c>
      <c r="B3281" s="1"/>
      <c r="C3281" s="1" t="s">
        <v>201</v>
      </c>
      <c r="D3281">
        <v>9223</v>
      </c>
      <c r="E3281" s="1"/>
      <c r="F3281" s="1" t="s">
        <v>336</v>
      </c>
      <c r="G3281">
        <v>2013</v>
      </c>
      <c r="H3281">
        <v>8831.16</v>
      </c>
      <c r="I3281">
        <v>24</v>
      </c>
      <c r="J3281" s="1" t="s">
        <v>448</v>
      </c>
      <c r="K3281">
        <v>0</v>
      </c>
      <c r="L3281">
        <v>7936</v>
      </c>
      <c r="M3281">
        <v>1.1127830000000001</v>
      </c>
      <c r="N3281">
        <v>1</v>
      </c>
      <c r="O3281" s="1" t="s">
        <v>564</v>
      </c>
      <c r="P3281">
        <v>9186.34</v>
      </c>
      <c r="Q3281">
        <v>1942.75</v>
      </c>
      <c r="R3281">
        <v>0</v>
      </c>
      <c r="S3281" s="1" t="s">
        <v>810</v>
      </c>
      <c r="T3281" s="1" t="s">
        <v>1224</v>
      </c>
      <c r="U3281">
        <v>817.7</v>
      </c>
      <c r="V3281">
        <v>0</v>
      </c>
      <c r="W3281">
        <v>77843</v>
      </c>
    </row>
    <row r="3282" spans="1:23" x14ac:dyDescent="0.25">
      <c r="A3282" s="1" t="s">
        <v>37</v>
      </c>
      <c r="B3282" s="1"/>
      <c r="C3282" s="1" t="s">
        <v>201</v>
      </c>
      <c r="D3282">
        <v>9223</v>
      </c>
      <c r="E3282" s="1"/>
      <c r="F3282" s="1" t="s">
        <v>336</v>
      </c>
      <c r="G3282">
        <v>2012</v>
      </c>
      <c r="H3282">
        <v>308490</v>
      </c>
      <c r="I3282">
        <v>8</v>
      </c>
      <c r="J3282" s="1"/>
      <c r="K3282">
        <v>0</v>
      </c>
      <c r="L3282">
        <v>7936</v>
      </c>
      <c r="M3282">
        <v>38.871738000000001</v>
      </c>
      <c r="N3282">
        <v>1</v>
      </c>
      <c r="O3282" s="1" t="s">
        <v>565</v>
      </c>
      <c r="P3282">
        <v>300877.90000000002</v>
      </c>
      <c r="Q3282">
        <v>19256.189999999999</v>
      </c>
      <c r="R3282">
        <v>0</v>
      </c>
      <c r="S3282" s="1" t="s">
        <v>868</v>
      </c>
      <c r="T3282" s="1"/>
      <c r="U3282">
        <v>308.49</v>
      </c>
      <c r="V3282">
        <v>0</v>
      </c>
      <c r="W3282">
        <v>92758</v>
      </c>
    </row>
    <row r="3283" spans="1:23" x14ac:dyDescent="0.25">
      <c r="A3283" s="1" t="s">
        <v>37</v>
      </c>
      <c r="B3283" s="1"/>
      <c r="C3283" s="1" t="s">
        <v>201</v>
      </c>
      <c r="D3283">
        <v>9223</v>
      </c>
      <c r="E3283" s="1"/>
      <c r="F3283" s="1" t="s">
        <v>336</v>
      </c>
      <c r="G3283">
        <v>2012</v>
      </c>
      <c r="H3283">
        <v>259000</v>
      </c>
      <c r="I3283">
        <v>8</v>
      </c>
      <c r="J3283" s="1" t="s">
        <v>498</v>
      </c>
      <c r="K3283">
        <v>0</v>
      </c>
      <c r="L3283">
        <v>7936</v>
      </c>
      <c r="M3283">
        <v>32.635677000000001</v>
      </c>
      <c r="N3283">
        <v>1</v>
      </c>
      <c r="O3283" s="1" t="s">
        <v>565</v>
      </c>
      <c r="P3283">
        <v>321940.77</v>
      </c>
      <c r="Q3283">
        <v>20604.22</v>
      </c>
      <c r="R3283">
        <v>0</v>
      </c>
      <c r="S3283" s="1" t="s">
        <v>869</v>
      </c>
      <c r="T3283" s="1"/>
      <c r="U3283">
        <v>259</v>
      </c>
      <c r="V3283">
        <v>0</v>
      </c>
      <c r="W3283">
        <v>92946</v>
      </c>
    </row>
    <row r="3284" spans="1:23" x14ac:dyDescent="0.25">
      <c r="A3284" s="1" t="s">
        <v>37</v>
      </c>
      <c r="B3284" s="1"/>
      <c r="C3284" s="1" t="s">
        <v>201</v>
      </c>
      <c r="D3284">
        <v>9223</v>
      </c>
      <c r="E3284" s="1"/>
      <c r="F3284" s="1" t="s">
        <v>336</v>
      </c>
      <c r="G3284">
        <v>2012</v>
      </c>
      <c r="H3284">
        <v>302656.93</v>
      </c>
      <c r="I3284">
        <v>24</v>
      </c>
      <c r="J3284" s="1" t="s">
        <v>448</v>
      </c>
      <c r="K3284">
        <v>0</v>
      </c>
      <c r="L3284">
        <v>7936</v>
      </c>
      <c r="M3284">
        <v>38.136733</v>
      </c>
      <c r="N3284">
        <v>1</v>
      </c>
      <c r="O3284" s="1" t="s">
        <v>564</v>
      </c>
      <c r="P3284">
        <v>324895.94</v>
      </c>
      <c r="Q3284">
        <v>68709.48</v>
      </c>
      <c r="R3284">
        <v>0</v>
      </c>
      <c r="S3284" s="1" t="s">
        <v>810</v>
      </c>
      <c r="T3284" s="1" t="s">
        <v>1224</v>
      </c>
      <c r="U3284">
        <v>28023.79</v>
      </c>
      <c r="V3284">
        <v>0</v>
      </c>
      <c r="W3284">
        <v>77843</v>
      </c>
    </row>
    <row r="3285" spans="1:23" x14ac:dyDescent="0.25">
      <c r="A3285" s="1" t="s">
        <v>37</v>
      </c>
      <c r="B3285" s="1"/>
      <c r="C3285" s="1" t="s">
        <v>201</v>
      </c>
      <c r="D3285">
        <v>9223</v>
      </c>
      <c r="E3285" s="1"/>
      <c r="F3285" s="1" t="s">
        <v>336</v>
      </c>
      <c r="G3285">
        <v>2011</v>
      </c>
      <c r="H3285">
        <v>843653.88</v>
      </c>
      <c r="I3285">
        <v>24</v>
      </c>
      <c r="J3285" s="1" t="s">
        <v>448</v>
      </c>
      <c r="K3285">
        <v>0</v>
      </c>
      <c r="L3285">
        <v>7936</v>
      </c>
      <c r="M3285">
        <v>106.305853</v>
      </c>
      <c r="N3285">
        <v>1</v>
      </c>
      <c r="O3285" s="1" t="s">
        <v>564</v>
      </c>
      <c r="P3285">
        <v>917487.27</v>
      </c>
      <c r="Q3285">
        <v>194031.56</v>
      </c>
      <c r="R3285">
        <v>0</v>
      </c>
      <c r="S3285" s="1" t="s">
        <v>810</v>
      </c>
      <c r="T3285" s="1" t="s">
        <v>1224</v>
      </c>
      <c r="U3285">
        <v>78116.100000000006</v>
      </c>
      <c r="V3285">
        <v>0</v>
      </c>
      <c r="W3285">
        <v>77843</v>
      </c>
    </row>
    <row r="3286" spans="1:23" x14ac:dyDescent="0.25">
      <c r="A3286" s="1" t="s">
        <v>37</v>
      </c>
      <c r="B3286" s="1"/>
      <c r="C3286" s="1" t="s">
        <v>201</v>
      </c>
      <c r="D3286">
        <v>9223</v>
      </c>
      <c r="E3286" s="1"/>
      <c r="F3286" s="1" t="s">
        <v>336</v>
      </c>
      <c r="G3286">
        <v>2010</v>
      </c>
      <c r="H3286">
        <v>1011639.31</v>
      </c>
      <c r="I3286">
        <v>6</v>
      </c>
      <c r="J3286" s="1" t="s">
        <v>448</v>
      </c>
      <c r="K3286">
        <v>0</v>
      </c>
      <c r="L3286">
        <v>7936</v>
      </c>
      <c r="M3286">
        <v>127.473105</v>
      </c>
      <c r="N3286">
        <v>1</v>
      </c>
      <c r="O3286" s="1" t="s">
        <v>564</v>
      </c>
      <c r="P3286">
        <v>1265462.6599999999</v>
      </c>
      <c r="Q3286">
        <v>267621.90000000002</v>
      </c>
      <c r="R3286">
        <v>0</v>
      </c>
      <c r="S3286" s="1" t="s">
        <v>810</v>
      </c>
      <c r="T3286" s="1" t="s">
        <v>1224</v>
      </c>
      <c r="U3286">
        <v>93670.304239999998</v>
      </c>
      <c r="V3286">
        <v>0</v>
      </c>
      <c r="W3286">
        <v>77843</v>
      </c>
    </row>
    <row r="3287" spans="1:23" x14ac:dyDescent="0.25">
      <c r="A3287" s="1" t="s">
        <v>37</v>
      </c>
      <c r="B3287" s="1"/>
      <c r="C3287" s="1" t="s">
        <v>201</v>
      </c>
      <c r="D3287">
        <v>9223</v>
      </c>
      <c r="E3287" s="1"/>
      <c r="F3287" s="1" t="s">
        <v>336</v>
      </c>
      <c r="G3287">
        <v>2009</v>
      </c>
      <c r="H3287">
        <v>968765.23</v>
      </c>
      <c r="I3287">
        <v>5</v>
      </c>
      <c r="J3287" s="1" t="s">
        <v>448</v>
      </c>
      <c r="K3287">
        <v>0</v>
      </c>
      <c r="L3287">
        <v>7936</v>
      </c>
      <c r="M3287">
        <v>122.07069300000001</v>
      </c>
      <c r="N3287">
        <v>1</v>
      </c>
      <c r="O3287" s="1" t="s">
        <v>564</v>
      </c>
      <c r="P3287">
        <v>1304232.3899999999</v>
      </c>
      <c r="Q3287">
        <v>275821</v>
      </c>
      <c r="R3287">
        <v>0</v>
      </c>
      <c r="S3287" s="1" t="s">
        <v>810</v>
      </c>
      <c r="T3287" s="1" t="s">
        <v>1224</v>
      </c>
      <c r="U3287">
        <v>89700.482740000007</v>
      </c>
      <c r="V3287">
        <v>0</v>
      </c>
      <c r="W3287">
        <v>77843</v>
      </c>
    </row>
    <row r="3288" spans="1:23" x14ac:dyDescent="0.25">
      <c r="A3288" s="1" t="s">
        <v>37</v>
      </c>
      <c r="B3288" s="1"/>
      <c r="C3288" s="1" t="s">
        <v>201</v>
      </c>
      <c r="D3288">
        <v>9223</v>
      </c>
      <c r="E3288" s="1"/>
      <c r="F3288" s="1" t="s">
        <v>336</v>
      </c>
      <c r="G3288">
        <v>2008</v>
      </c>
      <c r="H3288">
        <v>906743.93</v>
      </c>
      <c r="I3288">
        <v>1</v>
      </c>
      <c r="J3288" s="1" t="s">
        <v>448</v>
      </c>
      <c r="K3288">
        <v>0</v>
      </c>
      <c r="L3288">
        <v>7936</v>
      </c>
      <c r="M3288">
        <v>114.255607</v>
      </c>
      <c r="N3288">
        <v>1</v>
      </c>
      <c r="O3288" s="1" t="s">
        <v>564</v>
      </c>
      <c r="P3288">
        <v>1146065.05</v>
      </c>
      <c r="Q3288">
        <v>242371.52</v>
      </c>
      <c r="R3288">
        <v>0</v>
      </c>
      <c r="S3288" s="1" t="s">
        <v>810</v>
      </c>
      <c r="T3288" s="1" t="s">
        <v>1224</v>
      </c>
      <c r="U3288">
        <v>83957.773050000003</v>
      </c>
      <c r="V3288">
        <v>0</v>
      </c>
      <c r="W3288">
        <v>77843</v>
      </c>
    </row>
    <row r="3289" spans="1:23" x14ac:dyDescent="0.25">
      <c r="A3289" s="1" t="s">
        <v>37</v>
      </c>
      <c r="B3289" s="1"/>
      <c r="C3289" s="1" t="s">
        <v>202</v>
      </c>
      <c r="D3289">
        <v>10321</v>
      </c>
      <c r="E3289" s="1"/>
      <c r="F3289" s="1" t="s">
        <v>337</v>
      </c>
      <c r="G3289">
        <v>2015</v>
      </c>
      <c r="H3289">
        <v>8810</v>
      </c>
      <c r="I3289">
        <v>5</v>
      </c>
      <c r="J3289" s="1" t="s">
        <v>411</v>
      </c>
      <c r="K3289">
        <v>0</v>
      </c>
      <c r="L3289">
        <v>126</v>
      </c>
      <c r="M3289">
        <v>69.865185999999994</v>
      </c>
      <c r="N3289">
        <v>1</v>
      </c>
      <c r="O3289" s="1" t="s">
        <v>562</v>
      </c>
      <c r="P3289">
        <v>9920.6299999999992</v>
      </c>
      <c r="Q3289">
        <v>634.91999999999996</v>
      </c>
      <c r="R3289">
        <v>0</v>
      </c>
      <c r="S3289" s="1" t="s">
        <v>870</v>
      </c>
      <c r="T3289" s="1"/>
      <c r="U3289">
        <v>8810</v>
      </c>
      <c r="V3289">
        <v>0</v>
      </c>
      <c r="W3289">
        <v>77810</v>
      </c>
    </row>
    <row r="3290" spans="1:23" x14ac:dyDescent="0.25">
      <c r="A3290" s="1" t="s">
        <v>37</v>
      </c>
      <c r="B3290" s="1"/>
      <c r="C3290" s="1" t="s">
        <v>202</v>
      </c>
      <c r="D3290">
        <v>10321</v>
      </c>
      <c r="E3290" s="1"/>
      <c r="F3290" s="1" t="s">
        <v>337</v>
      </c>
      <c r="G3290">
        <v>2014</v>
      </c>
      <c r="H3290">
        <v>16772</v>
      </c>
      <c r="I3290">
        <v>12</v>
      </c>
      <c r="J3290" s="1" t="s">
        <v>411</v>
      </c>
      <c r="K3290">
        <v>0</v>
      </c>
      <c r="L3290">
        <v>126</v>
      </c>
      <c r="M3290">
        <v>133.005551</v>
      </c>
      <c r="N3290">
        <v>1</v>
      </c>
      <c r="O3290" s="1" t="s">
        <v>562</v>
      </c>
      <c r="P3290">
        <v>20176.22</v>
      </c>
      <c r="Q3290">
        <v>1291.28</v>
      </c>
      <c r="R3290">
        <v>0</v>
      </c>
      <c r="S3290" s="1" t="s">
        <v>870</v>
      </c>
      <c r="T3290" s="1"/>
      <c r="U3290">
        <v>16772</v>
      </c>
      <c r="V3290">
        <v>0</v>
      </c>
      <c r="W3290">
        <v>77810</v>
      </c>
    </row>
    <row r="3291" spans="1:23" x14ac:dyDescent="0.25">
      <c r="A3291" s="1" t="s">
        <v>37</v>
      </c>
      <c r="B3291" s="1"/>
      <c r="C3291" s="1" t="s">
        <v>202</v>
      </c>
      <c r="D3291">
        <v>10321</v>
      </c>
      <c r="E3291" s="1"/>
      <c r="F3291" s="1" t="s">
        <v>337</v>
      </c>
      <c r="G3291">
        <v>2013</v>
      </c>
      <c r="H3291">
        <v>18108.03</v>
      </c>
      <c r="I3291">
        <v>12</v>
      </c>
      <c r="J3291" s="1" t="s">
        <v>411</v>
      </c>
      <c r="K3291">
        <v>0</v>
      </c>
      <c r="L3291">
        <v>126</v>
      </c>
      <c r="M3291">
        <v>143.60055500000001</v>
      </c>
      <c r="N3291">
        <v>1</v>
      </c>
      <c r="O3291" s="1" t="s">
        <v>562</v>
      </c>
      <c r="P3291">
        <v>19005.64</v>
      </c>
      <c r="Q3291">
        <v>1216.3699999999999</v>
      </c>
      <c r="R3291">
        <v>0</v>
      </c>
      <c r="S3291" s="1" t="s">
        <v>870</v>
      </c>
      <c r="T3291" s="1"/>
      <c r="U3291">
        <v>18108.028999999999</v>
      </c>
      <c r="V3291">
        <v>0</v>
      </c>
      <c r="W3291">
        <v>77810</v>
      </c>
    </row>
    <row r="3292" spans="1:23" x14ac:dyDescent="0.25">
      <c r="A3292" s="1" t="s">
        <v>37</v>
      </c>
      <c r="B3292" s="1"/>
      <c r="C3292" s="1" t="s">
        <v>202</v>
      </c>
      <c r="D3292">
        <v>10321</v>
      </c>
      <c r="E3292" s="1"/>
      <c r="F3292" s="1" t="s">
        <v>337</v>
      </c>
      <c r="G3292">
        <v>2012</v>
      </c>
      <c r="H3292">
        <v>14529.88</v>
      </c>
      <c r="I3292">
        <v>12</v>
      </c>
      <c r="J3292" s="1" t="s">
        <v>411</v>
      </c>
      <c r="K3292">
        <v>0</v>
      </c>
      <c r="L3292">
        <v>126</v>
      </c>
      <c r="M3292">
        <v>115.225059</v>
      </c>
      <c r="N3292">
        <v>1</v>
      </c>
      <c r="O3292" s="1" t="s">
        <v>562</v>
      </c>
      <c r="P3292">
        <v>14911.34</v>
      </c>
      <c r="Q3292">
        <v>2758.6</v>
      </c>
      <c r="R3292">
        <v>0</v>
      </c>
      <c r="S3292" s="1" t="s">
        <v>870</v>
      </c>
      <c r="T3292" s="1"/>
      <c r="U3292">
        <v>14529.88005</v>
      </c>
      <c r="V3292">
        <v>0</v>
      </c>
      <c r="W3292">
        <v>77810</v>
      </c>
    </row>
    <row r="3293" spans="1:23" x14ac:dyDescent="0.25">
      <c r="A3293" s="1" t="s">
        <v>37</v>
      </c>
      <c r="B3293" s="1"/>
      <c r="C3293" s="1" t="s">
        <v>202</v>
      </c>
      <c r="D3293">
        <v>10321</v>
      </c>
      <c r="E3293" s="1"/>
      <c r="F3293" s="1" t="s">
        <v>337</v>
      </c>
      <c r="G3293">
        <v>2011</v>
      </c>
      <c r="H3293">
        <v>7765.09</v>
      </c>
      <c r="I3293">
        <v>3</v>
      </c>
      <c r="J3293" s="1" t="s">
        <v>411</v>
      </c>
      <c r="K3293">
        <v>0</v>
      </c>
      <c r="L3293">
        <v>126</v>
      </c>
      <c r="M3293">
        <v>61.578825999999999</v>
      </c>
      <c r="N3293">
        <v>1</v>
      </c>
      <c r="O3293" s="1" t="s">
        <v>562</v>
      </c>
      <c r="P3293">
        <v>9305.18</v>
      </c>
      <c r="Q3293">
        <v>1721.46</v>
      </c>
      <c r="R3293">
        <v>0</v>
      </c>
      <c r="S3293" s="1" t="s">
        <v>870</v>
      </c>
      <c r="T3293" s="1"/>
      <c r="U3293">
        <v>7765.0909000000001</v>
      </c>
      <c r="V3293">
        <v>0</v>
      </c>
      <c r="W3293">
        <v>77810</v>
      </c>
    </row>
    <row r="3294" spans="1:23" x14ac:dyDescent="0.25">
      <c r="A3294" s="1" t="s">
        <v>37</v>
      </c>
      <c r="B3294" s="1"/>
      <c r="C3294" s="1" t="s">
        <v>202</v>
      </c>
      <c r="D3294">
        <v>10321</v>
      </c>
      <c r="E3294" s="1"/>
      <c r="F3294" s="1" t="s">
        <v>337</v>
      </c>
      <c r="G3294">
        <v>2010</v>
      </c>
      <c r="H3294">
        <v>8812.7800000000007</v>
      </c>
      <c r="I3294">
        <v>3</v>
      </c>
      <c r="J3294" s="1" t="s">
        <v>411</v>
      </c>
      <c r="K3294">
        <v>0</v>
      </c>
      <c r="L3294">
        <v>126</v>
      </c>
      <c r="M3294">
        <v>69.887231999999997</v>
      </c>
      <c r="N3294">
        <v>1</v>
      </c>
      <c r="O3294" s="1" t="s">
        <v>562</v>
      </c>
      <c r="P3294">
        <v>9641.08</v>
      </c>
      <c r="Q3294">
        <v>1783.6</v>
      </c>
      <c r="R3294">
        <v>0</v>
      </c>
      <c r="S3294" s="1" t="s">
        <v>870</v>
      </c>
      <c r="T3294" s="1"/>
      <c r="U3294">
        <v>8812.7724400000006</v>
      </c>
      <c r="V3294">
        <v>0</v>
      </c>
      <c r="W3294">
        <v>77810</v>
      </c>
    </row>
    <row r="3295" spans="1:23" x14ac:dyDescent="0.25">
      <c r="A3295" s="1" t="s">
        <v>37</v>
      </c>
      <c r="B3295" s="1"/>
      <c r="C3295" s="1" t="s">
        <v>202</v>
      </c>
      <c r="D3295">
        <v>10321</v>
      </c>
      <c r="E3295" s="1"/>
      <c r="F3295" s="1" t="s">
        <v>337</v>
      </c>
      <c r="G3295">
        <v>2009</v>
      </c>
      <c r="H3295">
        <v>10869.72</v>
      </c>
      <c r="I3295">
        <v>4</v>
      </c>
      <c r="J3295" s="1" t="s">
        <v>411</v>
      </c>
      <c r="K3295">
        <v>0</v>
      </c>
      <c r="L3295">
        <v>126</v>
      </c>
      <c r="M3295">
        <v>86.199206000000004</v>
      </c>
      <c r="N3295">
        <v>1</v>
      </c>
      <c r="O3295" s="1" t="s">
        <v>562</v>
      </c>
      <c r="P3295">
        <v>16171.75</v>
      </c>
      <c r="Q3295">
        <v>2991.77</v>
      </c>
      <c r="R3295">
        <v>0</v>
      </c>
      <c r="S3295" s="1" t="s">
        <v>870</v>
      </c>
      <c r="T3295" s="1"/>
      <c r="U3295">
        <v>10869.72753</v>
      </c>
      <c r="V3295">
        <v>0</v>
      </c>
      <c r="W3295">
        <v>77810</v>
      </c>
    </row>
    <row r="3296" spans="1:23" x14ac:dyDescent="0.25">
      <c r="A3296" s="1" t="s">
        <v>37</v>
      </c>
      <c r="B3296" s="1"/>
      <c r="C3296" s="1" t="s">
        <v>202</v>
      </c>
      <c r="D3296">
        <v>10321</v>
      </c>
      <c r="E3296" s="1"/>
      <c r="F3296" s="1" t="s">
        <v>337</v>
      </c>
      <c r="G3296">
        <v>2008</v>
      </c>
      <c r="H3296">
        <v>5436.94</v>
      </c>
      <c r="I3296">
        <v>7</v>
      </c>
      <c r="J3296" s="1" t="s">
        <v>411</v>
      </c>
      <c r="K3296">
        <v>0</v>
      </c>
      <c r="L3296">
        <v>126</v>
      </c>
      <c r="M3296">
        <v>43.116098000000001</v>
      </c>
      <c r="N3296">
        <v>1</v>
      </c>
      <c r="O3296" s="1" t="s">
        <v>562</v>
      </c>
      <c r="P3296">
        <v>5681.25</v>
      </c>
      <c r="Q3296">
        <v>1051.05</v>
      </c>
      <c r="R3296">
        <v>0</v>
      </c>
      <c r="S3296" s="1" t="s">
        <v>870</v>
      </c>
      <c r="T3296" s="1"/>
      <c r="U3296">
        <v>5436.9395699999995</v>
      </c>
      <c r="V3296">
        <v>0</v>
      </c>
      <c r="W3296">
        <v>77810</v>
      </c>
    </row>
    <row r="3297" spans="1:23" x14ac:dyDescent="0.25">
      <c r="A3297" s="1" t="s">
        <v>37</v>
      </c>
      <c r="B3297" s="1"/>
      <c r="C3297" s="1" t="s">
        <v>203</v>
      </c>
      <c r="D3297">
        <v>9222</v>
      </c>
      <c r="E3297" s="1"/>
      <c r="F3297" s="1" t="s">
        <v>338</v>
      </c>
      <c r="G3297">
        <v>2015</v>
      </c>
      <c r="H3297">
        <v>399525.39</v>
      </c>
      <c r="I3297">
        <v>5</v>
      </c>
      <c r="J3297" s="1"/>
      <c r="K3297">
        <v>0</v>
      </c>
      <c r="L3297">
        <v>11252</v>
      </c>
      <c r="M3297">
        <v>35.506740000000001</v>
      </c>
      <c r="N3297">
        <v>1</v>
      </c>
      <c r="O3297" s="1" t="s">
        <v>563</v>
      </c>
      <c r="P3297">
        <v>456078.82</v>
      </c>
      <c r="Q3297">
        <v>836.59</v>
      </c>
      <c r="R3297">
        <v>1</v>
      </c>
      <c r="S3297" s="1"/>
      <c r="T3297" s="1"/>
      <c r="U3297">
        <v>11451</v>
      </c>
      <c r="V3297">
        <v>74423</v>
      </c>
      <c r="W3297">
        <v>74422</v>
      </c>
    </row>
    <row r="3298" spans="1:23" x14ac:dyDescent="0.25">
      <c r="A3298" s="1" t="s">
        <v>37</v>
      </c>
      <c r="B3298" s="1"/>
      <c r="C3298" s="1" t="s">
        <v>203</v>
      </c>
      <c r="D3298">
        <v>9222</v>
      </c>
      <c r="E3298" s="1"/>
      <c r="F3298" s="1" t="s">
        <v>338</v>
      </c>
      <c r="G3298">
        <v>2015</v>
      </c>
      <c r="H3298">
        <v>405400</v>
      </c>
      <c r="I3298">
        <v>5</v>
      </c>
      <c r="J3298" s="1"/>
      <c r="K3298">
        <v>0</v>
      </c>
      <c r="L3298">
        <v>11252</v>
      </c>
      <c r="M3298">
        <v>36.028829999999999</v>
      </c>
      <c r="N3298">
        <v>1</v>
      </c>
      <c r="O3298" s="1" t="s">
        <v>562</v>
      </c>
      <c r="P3298">
        <v>463110.57</v>
      </c>
      <c r="Q3298">
        <v>29639.07</v>
      </c>
      <c r="R3298">
        <v>0</v>
      </c>
      <c r="S3298" s="1"/>
      <c r="T3298" s="1"/>
      <c r="U3298">
        <v>405400</v>
      </c>
      <c r="V3298">
        <v>0</v>
      </c>
      <c r="W3298">
        <v>74423</v>
      </c>
    </row>
    <row r="3299" spans="1:23" x14ac:dyDescent="0.25">
      <c r="A3299" s="1" t="s">
        <v>37</v>
      </c>
      <c r="B3299" s="1"/>
      <c r="C3299" s="1" t="s">
        <v>203</v>
      </c>
      <c r="D3299">
        <v>9222</v>
      </c>
      <c r="E3299" s="1"/>
      <c r="F3299" s="1" t="s">
        <v>338</v>
      </c>
      <c r="G3299">
        <v>2014</v>
      </c>
      <c r="H3299">
        <v>763515.31</v>
      </c>
      <c r="I3299">
        <v>12</v>
      </c>
      <c r="J3299" s="1"/>
      <c r="K3299">
        <v>0</v>
      </c>
      <c r="L3299">
        <v>11252</v>
      </c>
      <c r="M3299">
        <v>67.855361000000002</v>
      </c>
      <c r="N3299">
        <v>1</v>
      </c>
      <c r="O3299" s="1" t="s">
        <v>563</v>
      </c>
      <c r="P3299">
        <v>917751.24</v>
      </c>
      <c r="Q3299">
        <v>1683.47</v>
      </c>
      <c r="R3299">
        <v>1</v>
      </c>
      <c r="S3299" s="1"/>
      <c r="T3299" s="1"/>
      <c r="U3299">
        <v>21883.5</v>
      </c>
      <c r="V3299">
        <v>74423</v>
      </c>
      <c r="W3299">
        <v>74422</v>
      </c>
    </row>
    <row r="3300" spans="1:23" x14ac:dyDescent="0.25">
      <c r="A3300" s="1" t="s">
        <v>37</v>
      </c>
      <c r="B3300" s="1"/>
      <c r="C3300" s="1" t="s">
        <v>203</v>
      </c>
      <c r="D3300">
        <v>9222</v>
      </c>
      <c r="E3300" s="1"/>
      <c r="F3300" s="1" t="s">
        <v>338</v>
      </c>
      <c r="G3300">
        <v>2014</v>
      </c>
      <c r="H3300">
        <v>702150</v>
      </c>
      <c r="I3300">
        <v>12</v>
      </c>
      <c r="J3300" s="1"/>
      <c r="K3300">
        <v>0</v>
      </c>
      <c r="L3300">
        <v>11252</v>
      </c>
      <c r="M3300">
        <v>62.401685000000001</v>
      </c>
      <c r="N3300">
        <v>1</v>
      </c>
      <c r="O3300" s="1" t="s">
        <v>562</v>
      </c>
      <c r="P3300">
        <v>846112.91</v>
      </c>
      <c r="Q3300">
        <v>54151.23</v>
      </c>
      <c r="R3300">
        <v>0</v>
      </c>
      <c r="S3300" s="1"/>
      <c r="T3300" s="1"/>
      <c r="U3300">
        <v>702150</v>
      </c>
      <c r="V3300">
        <v>0</v>
      </c>
      <c r="W3300">
        <v>74423</v>
      </c>
    </row>
    <row r="3301" spans="1:23" x14ac:dyDescent="0.25">
      <c r="A3301" s="1" t="s">
        <v>37</v>
      </c>
      <c r="B3301" s="1"/>
      <c r="C3301" s="1" t="s">
        <v>203</v>
      </c>
      <c r="D3301">
        <v>9222</v>
      </c>
      <c r="E3301" s="1"/>
      <c r="F3301" s="1" t="s">
        <v>338</v>
      </c>
      <c r="G3301">
        <v>2013</v>
      </c>
      <c r="H3301">
        <v>957852.62</v>
      </c>
      <c r="I3301">
        <v>12</v>
      </c>
      <c r="J3301" s="1"/>
      <c r="K3301">
        <v>0</v>
      </c>
      <c r="L3301">
        <v>11252</v>
      </c>
      <c r="M3301">
        <v>85.126564000000002</v>
      </c>
      <c r="N3301">
        <v>1</v>
      </c>
      <c r="O3301" s="1" t="s">
        <v>563</v>
      </c>
      <c r="P3301">
        <v>1019473.36</v>
      </c>
      <c r="Q3301">
        <v>1870.05</v>
      </c>
      <c r="R3301">
        <v>1</v>
      </c>
      <c r="S3301" s="1"/>
      <c r="T3301" s="1"/>
      <c r="U3301">
        <v>27453.5</v>
      </c>
      <c r="V3301">
        <v>74423</v>
      </c>
      <c r="W3301">
        <v>74422</v>
      </c>
    </row>
    <row r="3302" spans="1:23" x14ac:dyDescent="0.25">
      <c r="A3302" s="1" t="s">
        <v>37</v>
      </c>
      <c r="B3302" s="1"/>
      <c r="C3302" s="1" t="s">
        <v>203</v>
      </c>
      <c r="D3302">
        <v>9222</v>
      </c>
      <c r="E3302" s="1"/>
      <c r="F3302" s="1" t="s">
        <v>338</v>
      </c>
      <c r="G3302">
        <v>2013</v>
      </c>
      <c r="H3302">
        <v>852250</v>
      </c>
      <c r="I3302">
        <v>12</v>
      </c>
      <c r="J3302" s="1"/>
      <c r="K3302">
        <v>0</v>
      </c>
      <c r="L3302">
        <v>11252</v>
      </c>
      <c r="M3302">
        <v>75.741416999999998</v>
      </c>
      <c r="N3302">
        <v>1</v>
      </c>
      <c r="O3302" s="1" t="s">
        <v>562</v>
      </c>
      <c r="P3302">
        <v>897627.06</v>
      </c>
      <c r="Q3302">
        <v>57448.14</v>
      </c>
      <c r="R3302">
        <v>0</v>
      </c>
      <c r="S3302" s="1"/>
      <c r="T3302" s="1"/>
      <c r="U3302">
        <v>852250</v>
      </c>
      <c r="V3302">
        <v>0</v>
      </c>
      <c r="W3302">
        <v>74423</v>
      </c>
    </row>
    <row r="3303" spans="1:23" x14ac:dyDescent="0.25">
      <c r="A3303" s="1" t="s">
        <v>37</v>
      </c>
      <c r="B3303" s="1"/>
      <c r="C3303" s="1" t="s">
        <v>203</v>
      </c>
      <c r="D3303">
        <v>9222</v>
      </c>
      <c r="E3303" s="1"/>
      <c r="F3303" s="1" t="s">
        <v>338</v>
      </c>
      <c r="G3303">
        <v>2012</v>
      </c>
      <c r="H3303">
        <v>1162255.68</v>
      </c>
      <c r="I3303">
        <v>12</v>
      </c>
      <c r="J3303" s="1"/>
      <c r="K3303">
        <v>0</v>
      </c>
      <c r="L3303">
        <v>11252</v>
      </c>
      <c r="M3303">
        <v>103.292334</v>
      </c>
      <c r="N3303">
        <v>1</v>
      </c>
      <c r="O3303" s="1" t="s">
        <v>563</v>
      </c>
      <c r="P3303">
        <v>1269699.8400000001</v>
      </c>
      <c r="Q3303">
        <v>6732.45</v>
      </c>
      <c r="R3303">
        <v>1</v>
      </c>
      <c r="S3303" s="1"/>
      <c r="T3303" s="1"/>
      <c r="U3303">
        <v>33312</v>
      </c>
      <c r="V3303">
        <v>74423</v>
      </c>
      <c r="W3303">
        <v>74422</v>
      </c>
    </row>
    <row r="3304" spans="1:23" x14ac:dyDescent="0.25">
      <c r="A3304" s="1" t="s">
        <v>37</v>
      </c>
      <c r="B3304" s="1"/>
      <c r="C3304" s="1" t="s">
        <v>203</v>
      </c>
      <c r="D3304">
        <v>9222</v>
      </c>
      <c r="E3304" s="1"/>
      <c r="F3304" s="1" t="s">
        <v>338</v>
      </c>
      <c r="G3304">
        <v>2012</v>
      </c>
      <c r="H3304">
        <v>861000</v>
      </c>
      <c r="I3304">
        <v>12</v>
      </c>
      <c r="J3304" s="1"/>
      <c r="K3304">
        <v>0</v>
      </c>
      <c r="L3304">
        <v>11252</v>
      </c>
      <c r="M3304">
        <v>76.519048999999995</v>
      </c>
      <c r="N3304">
        <v>1</v>
      </c>
      <c r="O3304" s="1" t="s">
        <v>562</v>
      </c>
      <c r="P3304">
        <v>918220.91</v>
      </c>
      <c r="Q3304">
        <v>169870.87</v>
      </c>
      <c r="R3304">
        <v>0</v>
      </c>
      <c r="S3304" s="1"/>
      <c r="T3304" s="1"/>
      <c r="U3304">
        <v>861000</v>
      </c>
      <c r="V3304">
        <v>0</v>
      </c>
      <c r="W3304">
        <v>74423</v>
      </c>
    </row>
    <row r="3305" spans="1:23" x14ac:dyDescent="0.25">
      <c r="A3305" s="1" t="s">
        <v>37</v>
      </c>
      <c r="B3305" s="1"/>
      <c r="C3305" s="1" t="s">
        <v>203</v>
      </c>
      <c r="D3305">
        <v>9222</v>
      </c>
      <c r="E3305" s="1"/>
      <c r="F3305" s="1" t="s">
        <v>338</v>
      </c>
      <c r="G3305">
        <v>2011</v>
      </c>
      <c r="H3305">
        <v>884427</v>
      </c>
      <c r="I3305">
        <v>12</v>
      </c>
      <c r="J3305" s="1"/>
      <c r="K3305">
        <v>0</v>
      </c>
      <c r="L3305">
        <v>11252</v>
      </c>
      <c r="M3305">
        <v>78.601061000000001</v>
      </c>
      <c r="N3305">
        <v>1</v>
      </c>
      <c r="O3305" s="1" t="s">
        <v>562</v>
      </c>
      <c r="P3305">
        <v>981624.53</v>
      </c>
      <c r="Q3305">
        <v>181600.53</v>
      </c>
      <c r="R3305">
        <v>0</v>
      </c>
      <c r="S3305" s="1"/>
      <c r="T3305" s="1"/>
      <c r="U3305">
        <v>884427</v>
      </c>
      <c r="V3305">
        <v>0</v>
      </c>
      <c r="W3305">
        <v>74423</v>
      </c>
    </row>
    <row r="3306" spans="1:23" x14ac:dyDescent="0.25">
      <c r="A3306" s="1" t="s">
        <v>37</v>
      </c>
      <c r="B3306" s="1"/>
      <c r="C3306" s="1" t="s">
        <v>203</v>
      </c>
      <c r="D3306">
        <v>9222</v>
      </c>
      <c r="E3306" s="1"/>
      <c r="F3306" s="1" t="s">
        <v>338</v>
      </c>
      <c r="G3306">
        <v>2011</v>
      </c>
      <c r="H3306">
        <v>1184082.8500000001</v>
      </c>
      <c r="I3306">
        <v>12</v>
      </c>
      <c r="J3306" s="1"/>
      <c r="K3306">
        <v>0</v>
      </c>
      <c r="L3306">
        <v>11252</v>
      </c>
      <c r="M3306">
        <v>105.23216499999999</v>
      </c>
      <c r="N3306">
        <v>1</v>
      </c>
      <c r="O3306" s="1" t="s">
        <v>563</v>
      </c>
      <c r="P3306">
        <v>1382331.48</v>
      </c>
      <c r="Q3306">
        <v>7329.65</v>
      </c>
      <c r="R3306">
        <v>1</v>
      </c>
      <c r="S3306" s="1"/>
      <c r="T3306" s="1"/>
      <c r="U3306">
        <v>33937.599999999999</v>
      </c>
      <c r="V3306">
        <v>74423</v>
      </c>
      <c r="W3306">
        <v>74422</v>
      </c>
    </row>
    <row r="3307" spans="1:23" x14ac:dyDescent="0.25">
      <c r="A3307" s="1" t="s">
        <v>37</v>
      </c>
      <c r="B3307" s="1"/>
      <c r="C3307" s="1" t="s">
        <v>203</v>
      </c>
      <c r="D3307">
        <v>9222</v>
      </c>
      <c r="E3307" s="1"/>
      <c r="F3307" s="1" t="s">
        <v>338</v>
      </c>
      <c r="G3307">
        <v>2010</v>
      </c>
      <c r="H3307">
        <v>1063897</v>
      </c>
      <c r="I3307">
        <v>12</v>
      </c>
      <c r="J3307" s="1"/>
      <c r="K3307">
        <v>0</v>
      </c>
      <c r="L3307">
        <v>11252</v>
      </c>
      <c r="M3307">
        <v>94.550972000000002</v>
      </c>
      <c r="N3307">
        <v>1</v>
      </c>
      <c r="O3307" s="1" t="s">
        <v>562</v>
      </c>
      <c r="P3307">
        <v>959992.23</v>
      </c>
      <c r="Q3307">
        <v>177598.55</v>
      </c>
      <c r="R3307">
        <v>0</v>
      </c>
      <c r="S3307" s="1"/>
      <c r="T3307" s="1"/>
      <c r="U3307">
        <v>1063897</v>
      </c>
      <c r="V3307">
        <v>0</v>
      </c>
      <c r="W3307">
        <v>74423</v>
      </c>
    </row>
    <row r="3308" spans="1:23" x14ac:dyDescent="0.25">
      <c r="A3308" s="1" t="s">
        <v>37</v>
      </c>
      <c r="B3308" s="1"/>
      <c r="C3308" s="1" t="s">
        <v>203</v>
      </c>
      <c r="D3308">
        <v>9222</v>
      </c>
      <c r="E3308" s="1"/>
      <c r="F3308" s="1" t="s">
        <v>338</v>
      </c>
      <c r="G3308">
        <v>2010</v>
      </c>
      <c r="H3308">
        <v>1152828.3799999999</v>
      </c>
      <c r="I3308">
        <v>12</v>
      </c>
      <c r="J3308" s="1"/>
      <c r="K3308">
        <v>0</v>
      </c>
      <c r="L3308">
        <v>11252</v>
      </c>
      <c r="M3308">
        <v>102.454508</v>
      </c>
      <c r="N3308">
        <v>1</v>
      </c>
      <c r="O3308" s="1" t="s">
        <v>563</v>
      </c>
      <c r="P3308">
        <v>1115953.51</v>
      </c>
      <c r="Q3308">
        <v>5917.2</v>
      </c>
      <c r="R3308">
        <v>1</v>
      </c>
      <c r="S3308" s="1"/>
      <c r="T3308" s="1"/>
      <c r="U3308">
        <v>33041.800000000003</v>
      </c>
      <c r="V3308">
        <v>74423</v>
      </c>
      <c r="W3308">
        <v>74422</v>
      </c>
    </row>
    <row r="3309" spans="1:23" x14ac:dyDescent="0.25">
      <c r="A3309" s="1" t="s">
        <v>37</v>
      </c>
      <c r="B3309" s="1"/>
      <c r="C3309" s="1" t="s">
        <v>203</v>
      </c>
      <c r="D3309">
        <v>9222</v>
      </c>
      <c r="E3309" s="1"/>
      <c r="F3309" s="1" t="s">
        <v>338</v>
      </c>
      <c r="G3309">
        <v>2009</v>
      </c>
      <c r="H3309">
        <v>956609</v>
      </c>
      <c r="I3309">
        <v>12</v>
      </c>
      <c r="J3309" s="1"/>
      <c r="K3309">
        <v>0</v>
      </c>
      <c r="L3309">
        <v>11252</v>
      </c>
      <c r="M3309">
        <v>85.016041000000001</v>
      </c>
      <c r="N3309">
        <v>1</v>
      </c>
      <c r="O3309" s="1" t="s">
        <v>562</v>
      </c>
      <c r="P3309">
        <v>1030945.48</v>
      </c>
      <c r="Q3309">
        <v>190724.91</v>
      </c>
      <c r="R3309">
        <v>0</v>
      </c>
      <c r="S3309" s="1"/>
      <c r="T3309" s="1"/>
      <c r="U3309">
        <v>956609</v>
      </c>
      <c r="V3309">
        <v>0</v>
      </c>
      <c r="W3309">
        <v>74423</v>
      </c>
    </row>
    <row r="3310" spans="1:23" x14ac:dyDescent="0.25">
      <c r="A3310" s="1" t="s">
        <v>37</v>
      </c>
      <c r="B3310" s="1"/>
      <c r="C3310" s="1" t="s">
        <v>203</v>
      </c>
      <c r="D3310">
        <v>9222</v>
      </c>
      <c r="E3310" s="1"/>
      <c r="F3310" s="1" t="s">
        <v>338</v>
      </c>
      <c r="G3310">
        <v>2009</v>
      </c>
      <c r="H3310">
        <v>951980.64</v>
      </c>
      <c r="I3310">
        <v>12</v>
      </c>
      <c r="J3310" s="1"/>
      <c r="K3310">
        <v>0</v>
      </c>
      <c r="L3310">
        <v>11252</v>
      </c>
      <c r="M3310">
        <v>84.604708000000002</v>
      </c>
      <c r="N3310">
        <v>1</v>
      </c>
      <c r="O3310" s="1" t="s">
        <v>563</v>
      </c>
      <c r="P3310">
        <v>1207709.7</v>
      </c>
      <c r="Q3310">
        <v>6403.74</v>
      </c>
      <c r="R3310">
        <v>1</v>
      </c>
      <c r="S3310" s="1"/>
      <c r="T3310" s="1"/>
      <c r="U3310">
        <v>27285.200000000001</v>
      </c>
      <c r="V3310">
        <v>74423</v>
      </c>
      <c r="W3310">
        <v>74422</v>
      </c>
    </row>
    <row r="3311" spans="1:23" x14ac:dyDescent="0.25">
      <c r="A3311" s="1" t="s">
        <v>37</v>
      </c>
      <c r="B3311" s="1"/>
      <c r="C3311" s="1" t="s">
        <v>203</v>
      </c>
      <c r="D3311">
        <v>9222</v>
      </c>
      <c r="E3311" s="1"/>
      <c r="F3311" s="1" t="s">
        <v>338</v>
      </c>
      <c r="G3311">
        <v>2008</v>
      </c>
      <c r="H3311">
        <v>780873</v>
      </c>
      <c r="I3311">
        <v>12</v>
      </c>
      <c r="J3311" s="1"/>
      <c r="K3311">
        <v>0</v>
      </c>
      <c r="L3311">
        <v>11252</v>
      </c>
      <c r="M3311">
        <v>69.397979000000007</v>
      </c>
      <c r="N3311">
        <v>1</v>
      </c>
      <c r="O3311" s="1" t="s">
        <v>562</v>
      </c>
      <c r="P3311">
        <v>914104.63</v>
      </c>
      <c r="Q3311">
        <v>169109.35</v>
      </c>
      <c r="R3311">
        <v>0</v>
      </c>
      <c r="S3311" s="1"/>
      <c r="T3311" s="1"/>
      <c r="U3311">
        <v>780873</v>
      </c>
      <c r="V3311">
        <v>0</v>
      </c>
      <c r="W3311">
        <v>74423</v>
      </c>
    </row>
    <row r="3312" spans="1:23" x14ac:dyDescent="0.25">
      <c r="A3312" s="1" t="s">
        <v>37</v>
      </c>
      <c r="B3312" s="1"/>
      <c r="C3312" s="1" t="s">
        <v>203</v>
      </c>
      <c r="D3312">
        <v>9222</v>
      </c>
      <c r="E3312" s="1"/>
      <c r="F3312" s="1" t="s">
        <v>338</v>
      </c>
      <c r="G3312">
        <v>2008</v>
      </c>
      <c r="H3312">
        <v>870725.3</v>
      </c>
      <c r="I3312">
        <v>12</v>
      </c>
      <c r="J3312" s="1"/>
      <c r="K3312">
        <v>0</v>
      </c>
      <c r="L3312">
        <v>11252</v>
      </c>
      <c r="M3312">
        <v>77.383358999999999</v>
      </c>
      <c r="N3312">
        <v>1</v>
      </c>
      <c r="O3312" s="1" t="s">
        <v>563</v>
      </c>
      <c r="P3312">
        <v>1043625.02</v>
      </c>
      <c r="Q3312">
        <v>5533.7</v>
      </c>
      <c r="R3312">
        <v>1</v>
      </c>
      <c r="S3312" s="1"/>
      <c r="T3312" s="1"/>
      <c r="U3312">
        <v>24956.3</v>
      </c>
      <c r="V3312">
        <v>74423</v>
      </c>
      <c r="W3312">
        <v>74422</v>
      </c>
    </row>
    <row r="3313" spans="1:23" x14ac:dyDescent="0.25">
      <c r="A3313" s="1" t="s">
        <v>37</v>
      </c>
      <c r="B3313" s="1"/>
      <c r="C3313" s="1" t="s">
        <v>191</v>
      </c>
      <c r="D3313">
        <v>9224</v>
      </c>
      <c r="E3313" s="1"/>
      <c r="F3313" s="1" t="s">
        <v>319</v>
      </c>
      <c r="G3313">
        <v>2015</v>
      </c>
      <c r="H3313">
        <v>7633.63</v>
      </c>
      <c r="I3313">
        <v>5</v>
      </c>
      <c r="J3313" s="1"/>
      <c r="K3313">
        <v>0</v>
      </c>
      <c r="L3313">
        <v>4404</v>
      </c>
      <c r="M3313">
        <v>1.7333000000000001</v>
      </c>
      <c r="N3313">
        <v>2</v>
      </c>
      <c r="O3313" s="1" t="s">
        <v>569</v>
      </c>
      <c r="P3313">
        <v>7633.63</v>
      </c>
      <c r="Q3313">
        <v>2290.09</v>
      </c>
      <c r="R3313">
        <v>0</v>
      </c>
      <c r="S3313" s="1" t="s">
        <v>1071</v>
      </c>
      <c r="T3313" s="1" t="s">
        <v>1328</v>
      </c>
      <c r="U3313">
        <v>7633.625</v>
      </c>
      <c r="V3313">
        <v>0</v>
      </c>
      <c r="W3313">
        <v>72740</v>
      </c>
    </row>
    <row r="3314" spans="1:23" x14ac:dyDescent="0.25">
      <c r="A3314" s="1" t="s">
        <v>37</v>
      </c>
      <c r="B3314" s="1"/>
      <c r="C3314" s="1" t="s">
        <v>191</v>
      </c>
      <c r="D3314">
        <v>9224</v>
      </c>
      <c r="E3314" s="1"/>
      <c r="F3314" s="1" t="s">
        <v>319</v>
      </c>
      <c r="G3314">
        <v>2014</v>
      </c>
      <c r="H3314">
        <v>86243.16</v>
      </c>
      <c r="I3314">
        <v>12</v>
      </c>
      <c r="J3314" s="1"/>
      <c r="K3314">
        <v>0</v>
      </c>
      <c r="L3314">
        <v>4404</v>
      </c>
      <c r="M3314">
        <v>19.582470000000001</v>
      </c>
      <c r="N3314">
        <v>2</v>
      </c>
      <c r="O3314" s="1" t="s">
        <v>569</v>
      </c>
      <c r="P3314">
        <v>86243.16</v>
      </c>
      <c r="Q3314">
        <v>25872.94</v>
      </c>
      <c r="R3314">
        <v>0</v>
      </c>
      <c r="S3314" s="1" t="s">
        <v>1071</v>
      </c>
      <c r="T3314" s="1" t="s">
        <v>1328</v>
      </c>
      <c r="U3314">
        <v>86243.163</v>
      </c>
      <c r="V3314">
        <v>0</v>
      </c>
      <c r="W3314">
        <v>72740</v>
      </c>
    </row>
    <row r="3315" spans="1:23" x14ac:dyDescent="0.25">
      <c r="A3315" s="1" t="s">
        <v>37</v>
      </c>
      <c r="B3315" s="1"/>
      <c r="C3315" s="1" t="s">
        <v>191</v>
      </c>
      <c r="D3315">
        <v>9224</v>
      </c>
      <c r="E3315" s="1"/>
      <c r="F3315" s="1" t="s">
        <v>319</v>
      </c>
      <c r="G3315">
        <v>2013</v>
      </c>
      <c r="H3315">
        <v>84551.05</v>
      </c>
      <c r="I3315">
        <v>12</v>
      </c>
      <c r="J3315" s="1"/>
      <c r="K3315">
        <v>0</v>
      </c>
      <c r="L3315">
        <v>4404</v>
      </c>
      <c r="M3315">
        <v>19.198257999999999</v>
      </c>
      <c r="N3315">
        <v>2</v>
      </c>
      <c r="O3315" s="1" t="s">
        <v>569</v>
      </c>
      <c r="P3315">
        <v>84551.05</v>
      </c>
      <c r="Q3315">
        <v>25365.32</v>
      </c>
      <c r="R3315">
        <v>0</v>
      </c>
      <c r="S3315" s="1" t="s">
        <v>1071</v>
      </c>
      <c r="T3315" s="1" t="s">
        <v>1328</v>
      </c>
      <c r="U3315">
        <v>84551.032999999996</v>
      </c>
      <c r="V3315">
        <v>0</v>
      </c>
      <c r="W3315">
        <v>72740</v>
      </c>
    </row>
    <row r="3316" spans="1:23" x14ac:dyDescent="0.25">
      <c r="A3316" s="1" t="s">
        <v>37</v>
      </c>
      <c r="B3316" s="1"/>
      <c r="C3316" s="1" t="s">
        <v>191</v>
      </c>
      <c r="D3316">
        <v>9224</v>
      </c>
      <c r="E3316" s="1"/>
      <c r="F3316" s="1" t="s">
        <v>319</v>
      </c>
      <c r="G3316">
        <v>2012</v>
      </c>
      <c r="H3316">
        <v>90437.48</v>
      </c>
      <c r="I3316">
        <v>12</v>
      </c>
      <c r="J3316" s="1"/>
      <c r="K3316">
        <v>0</v>
      </c>
      <c r="L3316">
        <v>4404</v>
      </c>
      <c r="M3316">
        <v>20.534837</v>
      </c>
      <c r="N3316">
        <v>2</v>
      </c>
      <c r="O3316" s="1" t="s">
        <v>569</v>
      </c>
      <c r="P3316">
        <v>90437.48</v>
      </c>
      <c r="Q3316">
        <v>36175</v>
      </c>
      <c r="R3316">
        <v>0</v>
      </c>
      <c r="S3316" s="1" t="s">
        <v>1071</v>
      </c>
      <c r="T3316" s="1" t="s">
        <v>1328</v>
      </c>
      <c r="U3316">
        <v>90437.47</v>
      </c>
      <c r="V3316">
        <v>0</v>
      </c>
      <c r="W3316">
        <v>72740</v>
      </c>
    </row>
    <row r="3317" spans="1:23" x14ac:dyDescent="0.25">
      <c r="A3317" s="1" t="s">
        <v>37</v>
      </c>
      <c r="B3317" s="1"/>
      <c r="C3317" s="1" t="s">
        <v>191</v>
      </c>
      <c r="D3317">
        <v>9224</v>
      </c>
      <c r="E3317" s="1"/>
      <c r="F3317" s="1" t="s">
        <v>319</v>
      </c>
      <c r="G3317">
        <v>2011</v>
      </c>
      <c r="H3317">
        <v>118919.97</v>
      </c>
      <c r="I3317">
        <v>12</v>
      </c>
      <c r="J3317" s="1"/>
      <c r="K3317">
        <v>0</v>
      </c>
      <c r="L3317">
        <v>4404</v>
      </c>
      <c r="M3317">
        <v>27.002103999999999</v>
      </c>
      <c r="N3317">
        <v>2</v>
      </c>
      <c r="O3317" s="1" t="s">
        <v>569</v>
      </c>
      <c r="P3317">
        <v>118919.97</v>
      </c>
      <c r="Q3317">
        <v>55773.47</v>
      </c>
      <c r="R3317">
        <v>0</v>
      </c>
      <c r="S3317" s="1" t="s">
        <v>1071</v>
      </c>
      <c r="T3317" s="1" t="s">
        <v>1328</v>
      </c>
      <c r="U3317">
        <v>118919.97100000001</v>
      </c>
      <c r="V3317">
        <v>0</v>
      </c>
      <c r="W3317">
        <v>72740</v>
      </c>
    </row>
    <row r="3318" spans="1:23" x14ac:dyDescent="0.25">
      <c r="A3318" s="1" t="s">
        <v>37</v>
      </c>
      <c r="B3318" s="1"/>
      <c r="C3318" s="1" t="s">
        <v>191</v>
      </c>
      <c r="D3318">
        <v>9224</v>
      </c>
      <c r="E3318" s="1"/>
      <c r="F3318" s="1" t="s">
        <v>319</v>
      </c>
      <c r="G3318">
        <v>2010</v>
      </c>
      <c r="H3318">
        <v>108923.1</v>
      </c>
      <c r="I3318">
        <v>12</v>
      </c>
      <c r="J3318" s="1"/>
      <c r="K3318">
        <v>0</v>
      </c>
      <c r="L3318">
        <v>4404</v>
      </c>
      <c r="M3318">
        <v>24.732203999999999</v>
      </c>
      <c r="N3318">
        <v>2</v>
      </c>
      <c r="O3318" s="1" t="s">
        <v>569</v>
      </c>
      <c r="P3318">
        <v>108923.1</v>
      </c>
      <c r="Q3318">
        <v>51084.94</v>
      </c>
      <c r="R3318">
        <v>0</v>
      </c>
      <c r="S3318" s="1" t="s">
        <v>1071</v>
      </c>
      <c r="T3318" s="1" t="s">
        <v>1328</v>
      </c>
      <c r="U3318">
        <v>108923.08900000001</v>
      </c>
      <c r="V3318">
        <v>0</v>
      </c>
      <c r="W3318">
        <v>72740</v>
      </c>
    </row>
    <row r="3319" spans="1:23" x14ac:dyDescent="0.25">
      <c r="A3319" s="1" t="s">
        <v>37</v>
      </c>
      <c r="B3319" s="1"/>
      <c r="C3319" s="1" t="s">
        <v>191</v>
      </c>
      <c r="D3319">
        <v>9224</v>
      </c>
      <c r="E3319" s="1"/>
      <c r="F3319" s="1" t="s">
        <v>319</v>
      </c>
      <c r="G3319">
        <v>2009</v>
      </c>
      <c r="H3319">
        <v>102984.96000000001</v>
      </c>
      <c r="I3319">
        <v>12</v>
      </c>
      <c r="J3319" s="1"/>
      <c r="K3319">
        <v>0</v>
      </c>
      <c r="L3319">
        <v>4404</v>
      </c>
      <c r="M3319">
        <v>23.383883000000001</v>
      </c>
      <c r="N3319">
        <v>2</v>
      </c>
      <c r="O3319" s="1" t="s">
        <v>569</v>
      </c>
      <c r="P3319">
        <v>102984.96000000001</v>
      </c>
      <c r="Q3319">
        <v>48299.97</v>
      </c>
      <c r="R3319">
        <v>0</v>
      </c>
      <c r="S3319" s="1" t="s">
        <v>1071</v>
      </c>
      <c r="T3319" s="1" t="s">
        <v>1328</v>
      </c>
      <c r="U3319">
        <v>102984.961</v>
      </c>
      <c r="V3319">
        <v>0</v>
      </c>
      <c r="W3319">
        <v>72740</v>
      </c>
    </row>
    <row r="3320" spans="1:23" x14ac:dyDescent="0.25">
      <c r="A3320" s="1" t="s">
        <v>37</v>
      </c>
      <c r="B3320" s="1"/>
      <c r="C3320" s="1" t="s">
        <v>191</v>
      </c>
      <c r="D3320">
        <v>9224</v>
      </c>
      <c r="E3320" s="1"/>
      <c r="F3320" s="1" t="s">
        <v>319</v>
      </c>
      <c r="G3320">
        <v>2008</v>
      </c>
      <c r="H3320">
        <v>81710.399999999994</v>
      </c>
      <c r="I3320">
        <v>12</v>
      </c>
      <c r="J3320" s="1"/>
      <c r="K3320">
        <v>0</v>
      </c>
      <c r="L3320">
        <v>4404</v>
      </c>
      <c r="M3320">
        <v>18.553256999999999</v>
      </c>
      <c r="N3320">
        <v>2</v>
      </c>
      <c r="O3320" s="1" t="s">
        <v>569</v>
      </c>
      <c r="P3320">
        <v>81710.399999999994</v>
      </c>
      <c r="Q3320">
        <v>38322.18</v>
      </c>
      <c r="R3320">
        <v>0</v>
      </c>
      <c r="S3320" s="1" t="s">
        <v>1071</v>
      </c>
      <c r="T3320" s="1" t="s">
        <v>1328</v>
      </c>
      <c r="U3320">
        <v>81710.404999999999</v>
      </c>
      <c r="V3320">
        <v>0</v>
      </c>
      <c r="W3320">
        <v>72740</v>
      </c>
    </row>
    <row r="3321" spans="1:23" x14ac:dyDescent="0.25">
      <c r="A3321" s="1" t="s">
        <v>37</v>
      </c>
      <c r="B3321" s="1"/>
      <c r="C3321" s="1" t="s">
        <v>191</v>
      </c>
      <c r="D3321">
        <v>9224</v>
      </c>
      <c r="E3321" s="1"/>
      <c r="F3321" s="1" t="s">
        <v>319</v>
      </c>
      <c r="G3321">
        <v>2008</v>
      </c>
      <c r="H3321">
        <v>30153.67</v>
      </c>
      <c r="I3321">
        <v>3</v>
      </c>
      <c r="J3321" s="1" t="s">
        <v>491</v>
      </c>
      <c r="K3321">
        <v>0</v>
      </c>
      <c r="L3321">
        <v>4404</v>
      </c>
      <c r="M3321">
        <v>6.8467260000000003</v>
      </c>
      <c r="N3321">
        <v>2</v>
      </c>
      <c r="O3321" s="1" t="s">
        <v>569</v>
      </c>
      <c r="P3321">
        <v>30153.67</v>
      </c>
      <c r="Q3321">
        <v>14142.08</v>
      </c>
      <c r="R3321">
        <v>0</v>
      </c>
      <c r="S3321" s="1" t="s">
        <v>810</v>
      </c>
      <c r="T3321" s="1"/>
      <c r="U3321">
        <v>30153.67742</v>
      </c>
      <c r="V3321">
        <v>0</v>
      </c>
      <c r="W3321">
        <v>77971</v>
      </c>
    </row>
    <row r="3322" spans="1:23" x14ac:dyDescent="0.25">
      <c r="A3322" s="1" t="s">
        <v>37</v>
      </c>
      <c r="B3322" s="1"/>
      <c r="C3322" s="1" t="s">
        <v>192</v>
      </c>
      <c r="D3322">
        <v>10230</v>
      </c>
      <c r="E3322" s="1"/>
      <c r="F3322" s="1" t="s">
        <v>320</v>
      </c>
      <c r="G3322">
        <v>2015</v>
      </c>
      <c r="H3322">
        <v>4661.21</v>
      </c>
      <c r="I3322">
        <v>5</v>
      </c>
      <c r="J3322" s="1" t="s">
        <v>399</v>
      </c>
      <c r="K3322">
        <v>0</v>
      </c>
      <c r="L3322">
        <v>711</v>
      </c>
      <c r="M3322">
        <v>6.5549280000000003</v>
      </c>
      <c r="N3322">
        <v>2</v>
      </c>
      <c r="O3322" s="1" t="s">
        <v>569</v>
      </c>
      <c r="P3322">
        <v>4661.21</v>
      </c>
      <c r="Q3322">
        <v>1398.37</v>
      </c>
      <c r="R3322">
        <v>0</v>
      </c>
      <c r="S3322" s="1" t="s">
        <v>1072</v>
      </c>
      <c r="T3322" s="1" t="s">
        <v>1329</v>
      </c>
      <c r="U3322">
        <v>4661.223</v>
      </c>
      <c r="V3322">
        <v>0</v>
      </c>
      <c r="W3322">
        <v>77501</v>
      </c>
    </row>
    <row r="3323" spans="1:23" x14ac:dyDescent="0.25">
      <c r="A3323" s="1" t="s">
        <v>37</v>
      </c>
      <c r="B3323" s="1"/>
      <c r="C3323" s="1" t="s">
        <v>192</v>
      </c>
      <c r="D3323">
        <v>10230</v>
      </c>
      <c r="E3323" s="1"/>
      <c r="F3323" s="1" t="s">
        <v>320</v>
      </c>
      <c r="G3323">
        <v>2014</v>
      </c>
      <c r="H3323">
        <v>15086.48</v>
      </c>
      <c r="I3323">
        <v>12</v>
      </c>
      <c r="J3323" s="1" t="s">
        <v>399</v>
      </c>
      <c r="K3323">
        <v>0</v>
      </c>
      <c r="L3323">
        <v>711</v>
      </c>
      <c r="M3323">
        <v>21.215693000000002</v>
      </c>
      <c r="N3323">
        <v>2</v>
      </c>
      <c r="O3323" s="1" t="s">
        <v>569</v>
      </c>
      <c r="P3323">
        <v>15086.48</v>
      </c>
      <c r="Q3323">
        <v>4525.9399999999996</v>
      </c>
      <c r="R3323">
        <v>0</v>
      </c>
      <c r="S3323" s="1" t="s">
        <v>1072</v>
      </c>
      <c r="T3323" s="1" t="s">
        <v>1329</v>
      </c>
      <c r="U3323">
        <v>15086.470600000001</v>
      </c>
      <c r="V3323">
        <v>0</v>
      </c>
      <c r="W3323">
        <v>77501</v>
      </c>
    </row>
    <row r="3324" spans="1:23" x14ac:dyDescent="0.25">
      <c r="A3324" s="1" t="s">
        <v>37</v>
      </c>
      <c r="B3324" s="1"/>
      <c r="C3324" s="1" t="s">
        <v>192</v>
      </c>
      <c r="D3324">
        <v>10230</v>
      </c>
      <c r="E3324" s="1"/>
      <c r="F3324" s="1" t="s">
        <v>320</v>
      </c>
      <c r="G3324">
        <v>2013</v>
      </c>
      <c r="H3324">
        <v>12593</v>
      </c>
      <c r="I3324">
        <v>12</v>
      </c>
      <c r="J3324" s="1" t="s">
        <v>399</v>
      </c>
      <c r="K3324">
        <v>0</v>
      </c>
      <c r="L3324">
        <v>711</v>
      </c>
      <c r="M3324">
        <v>17.709181999999998</v>
      </c>
      <c r="N3324">
        <v>2</v>
      </c>
      <c r="O3324" s="1" t="s">
        <v>569</v>
      </c>
      <c r="P3324">
        <v>12593</v>
      </c>
      <c r="Q3324">
        <v>3777.91</v>
      </c>
      <c r="R3324">
        <v>0</v>
      </c>
      <c r="S3324" s="1" t="s">
        <v>1072</v>
      </c>
      <c r="T3324" s="1" t="s">
        <v>1329</v>
      </c>
      <c r="U3324">
        <v>12593.002</v>
      </c>
      <c r="V3324">
        <v>0</v>
      </c>
      <c r="W3324">
        <v>77501</v>
      </c>
    </row>
    <row r="3325" spans="1:23" x14ac:dyDescent="0.25">
      <c r="A3325" s="1" t="s">
        <v>37</v>
      </c>
      <c r="B3325" s="1"/>
      <c r="C3325" s="1" t="s">
        <v>192</v>
      </c>
      <c r="D3325">
        <v>10230</v>
      </c>
      <c r="E3325" s="1"/>
      <c r="F3325" s="1" t="s">
        <v>320</v>
      </c>
      <c r="G3325">
        <v>2012</v>
      </c>
      <c r="H3325">
        <v>11867.13</v>
      </c>
      <c r="I3325">
        <v>12</v>
      </c>
      <c r="J3325" s="1" t="s">
        <v>399</v>
      </c>
      <c r="K3325">
        <v>0</v>
      </c>
      <c r="L3325">
        <v>711</v>
      </c>
      <c r="M3325">
        <v>16.688412</v>
      </c>
      <c r="N3325">
        <v>2</v>
      </c>
      <c r="O3325" s="1" t="s">
        <v>569</v>
      </c>
      <c r="P3325">
        <v>11867.13</v>
      </c>
      <c r="Q3325">
        <v>4746.8500000000004</v>
      </c>
      <c r="R3325">
        <v>0</v>
      </c>
      <c r="S3325" s="1" t="s">
        <v>1072</v>
      </c>
      <c r="T3325" s="1" t="s">
        <v>1329</v>
      </c>
      <c r="U3325">
        <v>11867.135</v>
      </c>
      <c r="V3325">
        <v>0</v>
      </c>
      <c r="W3325">
        <v>77501</v>
      </c>
    </row>
    <row r="3326" spans="1:23" x14ac:dyDescent="0.25">
      <c r="A3326" s="1" t="s">
        <v>37</v>
      </c>
      <c r="B3326" s="1"/>
      <c r="C3326" s="1" t="s">
        <v>192</v>
      </c>
      <c r="D3326">
        <v>10230</v>
      </c>
      <c r="E3326" s="1"/>
      <c r="F3326" s="1" t="s">
        <v>320</v>
      </c>
      <c r="G3326">
        <v>2011</v>
      </c>
      <c r="H3326">
        <v>12006.28</v>
      </c>
      <c r="I3326">
        <v>10</v>
      </c>
      <c r="J3326" s="1" t="s">
        <v>399</v>
      </c>
      <c r="K3326">
        <v>0</v>
      </c>
      <c r="L3326">
        <v>711</v>
      </c>
      <c r="M3326">
        <v>16.884094999999999</v>
      </c>
      <c r="N3326">
        <v>2</v>
      </c>
      <c r="O3326" s="1" t="s">
        <v>569</v>
      </c>
      <c r="P3326">
        <v>12006.28</v>
      </c>
      <c r="Q3326">
        <v>5630.94</v>
      </c>
      <c r="R3326">
        <v>0</v>
      </c>
      <c r="S3326" s="1" t="s">
        <v>1072</v>
      </c>
      <c r="T3326" s="1" t="s">
        <v>1329</v>
      </c>
      <c r="U3326">
        <v>12006.27274</v>
      </c>
      <c r="V3326">
        <v>0</v>
      </c>
      <c r="W3326">
        <v>77501</v>
      </c>
    </row>
    <row r="3327" spans="1:23" x14ac:dyDescent="0.25">
      <c r="A3327" s="1" t="s">
        <v>37</v>
      </c>
      <c r="B3327" s="1"/>
      <c r="C3327" s="1" t="s">
        <v>192</v>
      </c>
      <c r="D3327">
        <v>10230</v>
      </c>
      <c r="E3327" s="1"/>
      <c r="F3327" s="1" t="s">
        <v>320</v>
      </c>
      <c r="G3327">
        <v>2010</v>
      </c>
      <c r="H3327">
        <v>12242.7</v>
      </c>
      <c r="I3327">
        <v>11</v>
      </c>
      <c r="J3327" s="1" t="s">
        <v>399</v>
      </c>
      <c r="K3327">
        <v>0</v>
      </c>
      <c r="L3327">
        <v>711</v>
      </c>
      <c r="M3327">
        <v>17.216564999999999</v>
      </c>
      <c r="N3327">
        <v>2</v>
      </c>
      <c r="O3327" s="1" t="s">
        <v>569</v>
      </c>
      <c r="P3327">
        <v>12242.7</v>
      </c>
      <c r="Q3327">
        <v>5741.83</v>
      </c>
      <c r="R3327">
        <v>0</v>
      </c>
      <c r="S3327" s="1" t="s">
        <v>1072</v>
      </c>
      <c r="T3327" s="1" t="s">
        <v>1329</v>
      </c>
      <c r="U3327">
        <v>12242.698700000001</v>
      </c>
      <c r="V3327">
        <v>0</v>
      </c>
      <c r="W3327">
        <v>77501</v>
      </c>
    </row>
    <row r="3328" spans="1:23" x14ac:dyDescent="0.25">
      <c r="A3328" s="1" t="s">
        <v>37</v>
      </c>
      <c r="B3328" s="1"/>
      <c r="C3328" s="1" t="s">
        <v>192</v>
      </c>
      <c r="D3328">
        <v>10230</v>
      </c>
      <c r="E3328" s="1"/>
      <c r="F3328" s="1" t="s">
        <v>320</v>
      </c>
      <c r="G3328">
        <v>2009</v>
      </c>
      <c r="H3328">
        <v>12565.03</v>
      </c>
      <c r="I3328">
        <v>14</v>
      </c>
      <c r="J3328" s="1" t="s">
        <v>399</v>
      </c>
      <c r="K3328">
        <v>0</v>
      </c>
      <c r="L3328">
        <v>711</v>
      </c>
      <c r="M3328">
        <v>17.669848999999999</v>
      </c>
      <c r="N3328">
        <v>2</v>
      </c>
      <c r="O3328" s="1" t="s">
        <v>569</v>
      </c>
      <c r="P3328">
        <v>12565.03</v>
      </c>
      <c r="Q3328">
        <v>5892.99</v>
      </c>
      <c r="R3328">
        <v>0</v>
      </c>
      <c r="S3328" s="1" t="s">
        <v>1072</v>
      </c>
      <c r="T3328" s="1" t="s">
        <v>1329</v>
      </c>
      <c r="U3328">
        <v>12565.028560000001</v>
      </c>
      <c r="V3328">
        <v>0</v>
      </c>
      <c r="W3328">
        <v>77501</v>
      </c>
    </row>
    <row r="3329" spans="1:23" x14ac:dyDescent="0.25">
      <c r="A3329" s="1" t="s">
        <v>37</v>
      </c>
      <c r="B3329" s="1"/>
      <c r="C3329" s="1" t="s">
        <v>192</v>
      </c>
      <c r="D3329">
        <v>10230</v>
      </c>
      <c r="E3329" s="1"/>
      <c r="F3329" s="1" t="s">
        <v>320</v>
      </c>
      <c r="G3329">
        <v>2008</v>
      </c>
      <c r="H3329">
        <v>12884.55</v>
      </c>
      <c r="I3329">
        <v>9</v>
      </c>
      <c r="J3329" s="1" t="s">
        <v>399</v>
      </c>
      <c r="K3329">
        <v>0</v>
      </c>
      <c r="L3329">
        <v>711</v>
      </c>
      <c r="M3329">
        <v>18.119181000000001</v>
      </c>
      <c r="N3329">
        <v>2</v>
      </c>
      <c r="O3329" s="1" t="s">
        <v>569</v>
      </c>
      <c r="P3329">
        <v>12884.55</v>
      </c>
      <c r="Q3329">
        <v>6042.85</v>
      </c>
      <c r="R3329">
        <v>0</v>
      </c>
      <c r="S3329" s="1" t="s">
        <v>1072</v>
      </c>
      <c r="T3329" s="1" t="s">
        <v>1329</v>
      </c>
      <c r="U3329">
        <v>12884.5435</v>
      </c>
      <c r="V3329">
        <v>0</v>
      </c>
      <c r="W3329">
        <v>77501</v>
      </c>
    </row>
    <row r="3330" spans="1:23" x14ac:dyDescent="0.25">
      <c r="A3330" s="1" t="s">
        <v>37</v>
      </c>
      <c r="B3330" s="1"/>
      <c r="C3330" s="1" t="s">
        <v>193</v>
      </c>
      <c r="D3330">
        <v>10991</v>
      </c>
      <c r="E3330" s="1"/>
      <c r="F3330" s="1" t="s">
        <v>321</v>
      </c>
      <c r="G3330">
        <v>2015</v>
      </c>
      <c r="H3330">
        <v>21108.55</v>
      </c>
      <c r="I3330">
        <v>3</v>
      </c>
      <c r="J3330" s="1" t="s">
        <v>421</v>
      </c>
      <c r="K3330">
        <v>0</v>
      </c>
      <c r="L3330">
        <v>1475</v>
      </c>
      <c r="M3330">
        <v>14.309911</v>
      </c>
      <c r="N3330">
        <v>2</v>
      </c>
      <c r="O3330" s="1" t="s">
        <v>569</v>
      </c>
      <c r="P3330">
        <v>21108.55</v>
      </c>
      <c r="Q3330">
        <v>6332.57</v>
      </c>
      <c r="R3330">
        <v>0</v>
      </c>
      <c r="S3330" s="1" t="s">
        <v>1073</v>
      </c>
      <c r="T3330" s="1"/>
      <c r="U3330">
        <v>21108.553189999999</v>
      </c>
      <c r="V3330">
        <v>0</v>
      </c>
      <c r="W3330">
        <v>79756</v>
      </c>
    </row>
    <row r="3331" spans="1:23" x14ac:dyDescent="0.25">
      <c r="A3331" s="1" t="s">
        <v>37</v>
      </c>
      <c r="B3331" s="1"/>
      <c r="C3331" s="1" t="s">
        <v>193</v>
      </c>
      <c r="D3331">
        <v>10991</v>
      </c>
      <c r="E3331" s="1"/>
      <c r="F3331" s="1" t="s">
        <v>321</v>
      </c>
      <c r="G3331">
        <v>2014</v>
      </c>
      <c r="H3331">
        <v>61236.36</v>
      </c>
      <c r="I3331">
        <v>10</v>
      </c>
      <c r="J3331" s="1" t="s">
        <v>421</v>
      </c>
      <c r="K3331">
        <v>0</v>
      </c>
      <c r="L3331">
        <v>1475</v>
      </c>
      <c r="M3331">
        <v>41.513361000000003</v>
      </c>
      <c r="N3331">
        <v>2</v>
      </c>
      <c r="O3331" s="1" t="s">
        <v>569</v>
      </c>
      <c r="P3331">
        <v>61236.36</v>
      </c>
      <c r="Q3331">
        <v>18370.900000000001</v>
      </c>
      <c r="R3331">
        <v>0</v>
      </c>
      <c r="S3331" s="1" t="s">
        <v>1073</v>
      </c>
      <c r="T3331" s="1"/>
      <c r="U3331">
        <v>61236.359850000001</v>
      </c>
      <c r="V3331">
        <v>0</v>
      </c>
      <c r="W3331">
        <v>79756</v>
      </c>
    </row>
    <row r="3332" spans="1:23" x14ac:dyDescent="0.25">
      <c r="A3332" s="1" t="s">
        <v>37</v>
      </c>
      <c r="B3332" s="1"/>
      <c r="C3332" s="1" t="s">
        <v>193</v>
      </c>
      <c r="D3332">
        <v>10991</v>
      </c>
      <c r="E3332" s="1"/>
      <c r="F3332" s="1" t="s">
        <v>321</v>
      </c>
      <c r="G3332">
        <v>2013</v>
      </c>
      <c r="H3332">
        <v>63221.45</v>
      </c>
      <c r="I3332">
        <v>11</v>
      </c>
      <c r="J3332" s="1" t="s">
        <v>421</v>
      </c>
      <c r="K3332">
        <v>0</v>
      </c>
      <c r="L3332">
        <v>1475</v>
      </c>
      <c r="M3332">
        <v>42.859093999999999</v>
      </c>
      <c r="N3332">
        <v>2</v>
      </c>
      <c r="O3332" s="1" t="s">
        <v>569</v>
      </c>
      <c r="P3332">
        <v>63221.45</v>
      </c>
      <c r="Q3332">
        <v>18966.43</v>
      </c>
      <c r="R3332">
        <v>0</v>
      </c>
      <c r="S3332" s="1" t="s">
        <v>1073</v>
      </c>
      <c r="T3332" s="1"/>
      <c r="U3332">
        <v>63221.441800000001</v>
      </c>
      <c r="V3332">
        <v>0</v>
      </c>
      <c r="W3332">
        <v>79756</v>
      </c>
    </row>
    <row r="3333" spans="1:23" x14ac:dyDescent="0.25">
      <c r="A3333" s="1" t="s">
        <v>37</v>
      </c>
      <c r="B3333" s="1"/>
      <c r="C3333" s="1" t="s">
        <v>193</v>
      </c>
      <c r="D3333">
        <v>10991</v>
      </c>
      <c r="E3333" s="1"/>
      <c r="F3333" s="1" t="s">
        <v>321</v>
      </c>
      <c r="G3333">
        <v>2012</v>
      </c>
      <c r="H3333">
        <v>60121.35</v>
      </c>
      <c r="I3333">
        <v>11</v>
      </c>
      <c r="J3333" s="1" t="s">
        <v>421</v>
      </c>
      <c r="K3333">
        <v>0</v>
      </c>
      <c r="L3333">
        <v>1475</v>
      </c>
      <c r="M3333">
        <v>40.757474000000002</v>
      </c>
      <c r="N3333">
        <v>2</v>
      </c>
      <c r="O3333" s="1" t="s">
        <v>569</v>
      </c>
      <c r="P3333">
        <v>60121.35</v>
      </c>
      <c r="Q3333">
        <v>24048.53</v>
      </c>
      <c r="R3333">
        <v>0</v>
      </c>
      <c r="S3333" s="1" t="s">
        <v>1073</v>
      </c>
      <c r="T3333" s="1"/>
      <c r="U3333">
        <v>60121.359450000004</v>
      </c>
      <c r="V3333">
        <v>0</v>
      </c>
      <c r="W3333">
        <v>79756</v>
      </c>
    </row>
    <row r="3334" spans="1:23" x14ac:dyDescent="0.25">
      <c r="A3334" s="1" t="s">
        <v>37</v>
      </c>
      <c r="B3334" s="1"/>
      <c r="C3334" s="1" t="s">
        <v>193</v>
      </c>
      <c r="D3334">
        <v>10991</v>
      </c>
      <c r="E3334" s="1"/>
      <c r="F3334" s="1" t="s">
        <v>321</v>
      </c>
      <c r="G3334">
        <v>2011</v>
      </c>
      <c r="H3334">
        <v>53848.94</v>
      </c>
      <c r="I3334">
        <v>8</v>
      </c>
      <c r="J3334" s="1" t="s">
        <v>421</v>
      </c>
      <c r="K3334">
        <v>0</v>
      </c>
      <c r="L3334">
        <v>1475</v>
      </c>
      <c r="M3334">
        <v>36.505279999999999</v>
      </c>
      <c r="N3334">
        <v>2</v>
      </c>
      <c r="O3334" s="1" t="s">
        <v>569</v>
      </c>
      <c r="P3334">
        <v>53848.94</v>
      </c>
      <c r="Q3334">
        <v>25255.15</v>
      </c>
      <c r="R3334">
        <v>0</v>
      </c>
      <c r="S3334" s="1" t="s">
        <v>1073</v>
      </c>
      <c r="T3334" s="1"/>
      <c r="U3334">
        <v>53848.92209</v>
      </c>
      <c r="V3334">
        <v>0</v>
      </c>
      <c r="W3334">
        <v>79756</v>
      </c>
    </row>
    <row r="3335" spans="1:23" x14ac:dyDescent="0.25">
      <c r="A3335" s="1" t="s">
        <v>37</v>
      </c>
      <c r="B3335" s="1"/>
      <c r="C3335" s="1" t="s">
        <v>193</v>
      </c>
      <c r="D3335">
        <v>10991</v>
      </c>
      <c r="E3335" s="1"/>
      <c r="F3335" s="1" t="s">
        <v>321</v>
      </c>
      <c r="G3335">
        <v>2010</v>
      </c>
      <c r="H3335">
        <v>72670.460000000006</v>
      </c>
      <c r="I3335">
        <v>12</v>
      </c>
      <c r="J3335" s="1" t="s">
        <v>421</v>
      </c>
      <c r="K3335">
        <v>0</v>
      </c>
      <c r="L3335">
        <v>1475</v>
      </c>
      <c r="M3335">
        <v>49.264767999999997</v>
      </c>
      <c r="N3335">
        <v>2</v>
      </c>
      <c r="O3335" s="1" t="s">
        <v>569</v>
      </c>
      <c r="P3335">
        <v>72670.460000000006</v>
      </c>
      <c r="Q3335">
        <v>34082.449999999997</v>
      </c>
      <c r="R3335">
        <v>0</v>
      </c>
      <c r="S3335" s="1" t="s">
        <v>1073</v>
      </c>
      <c r="T3335" s="1"/>
      <c r="U3335">
        <v>72670.449349999995</v>
      </c>
      <c r="V3335">
        <v>0</v>
      </c>
      <c r="W3335">
        <v>79756</v>
      </c>
    </row>
    <row r="3336" spans="1:23" x14ac:dyDescent="0.25">
      <c r="A3336" s="1" t="s">
        <v>37</v>
      </c>
      <c r="B3336" s="1"/>
      <c r="C3336" s="1" t="s">
        <v>193</v>
      </c>
      <c r="D3336">
        <v>10991</v>
      </c>
      <c r="E3336" s="1"/>
      <c r="F3336" s="1" t="s">
        <v>321</v>
      </c>
      <c r="G3336">
        <v>2009</v>
      </c>
      <c r="H3336">
        <v>74017.78</v>
      </c>
      <c r="I3336">
        <v>11</v>
      </c>
      <c r="J3336" s="1" t="s">
        <v>421</v>
      </c>
      <c r="K3336">
        <v>0</v>
      </c>
      <c r="L3336">
        <v>1475</v>
      </c>
      <c r="M3336">
        <v>50.178142999999999</v>
      </c>
      <c r="N3336">
        <v>2</v>
      </c>
      <c r="O3336" s="1" t="s">
        <v>569</v>
      </c>
      <c r="P3336">
        <v>74017.78</v>
      </c>
      <c r="Q3336">
        <v>34714.36</v>
      </c>
      <c r="R3336">
        <v>0</v>
      </c>
      <c r="S3336" s="1" t="s">
        <v>1073</v>
      </c>
      <c r="T3336" s="1"/>
      <c r="U3336">
        <v>74017.785260000004</v>
      </c>
      <c r="V3336">
        <v>0</v>
      </c>
      <c r="W3336">
        <v>79756</v>
      </c>
    </row>
    <row r="3337" spans="1:23" x14ac:dyDescent="0.25">
      <c r="A3337" s="1" t="s">
        <v>37</v>
      </c>
      <c r="B3337" s="1"/>
      <c r="C3337" s="1" t="s">
        <v>193</v>
      </c>
      <c r="D3337">
        <v>10991</v>
      </c>
      <c r="E3337" s="1"/>
      <c r="F3337" s="1" t="s">
        <v>321</v>
      </c>
      <c r="G3337">
        <v>2008</v>
      </c>
      <c r="H3337">
        <v>62175.19</v>
      </c>
      <c r="I3337">
        <v>13</v>
      </c>
      <c r="J3337" s="1" t="s">
        <v>421</v>
      </c>
      <c r="K3337">
        <v>0</v>
      </c>
      <c r="L3337">
        <v>1475</v>
      </c>
      <c r="M3337">
        <v>42.149813000000002</v>
      </c>
      <c r="N3337">
        <v>2</v>
      </c>
      <c r="O3337" s="1" t="s">
        <v>569</v>
      </c>
      <c r="P3337">
        <v>62175.19</v>
      </c>
      <c r="Q3337">
        <v>29160.2</v>
      </c>
      <c r="R3337">
        <v>0</v>
      </c>
      <c r="S3337" s="1" t="s">
        <v>1073</v>
      </c>
      <c r="T3337" s="1"/>
      <c r="U3337">
        <v>62175.19354</v>
      </c>
      <c r="V3337">
        <v>0</v>
      </c>
      <c r="W3337">
        <v>79756</v>
      </c>
    </row>
    <row r="3338" spans="1:23" x14ac:dyDescent="0.25">
      <c r="A3338" s="1" t="s">
        <v>37</v>
      </c>
      <c r="B3338" s="1"/>
      <c r="C3338" s="1" t="s">
        <v>193</v>
      </c>
      <c r="D3338">
        <v>9220</v>
      </c>
      <c r="E3338" s="1"/>
      <c r="F3338" s="1" t="s">
        <v>322</v>
      </c>
      <c r="G3338">
        <v>2015</v>
      </c>
      <c r="H3338">
        <v>84665.67</v>
      </c>
      <c r="I3338">
        <v>5</v>
      </c>
      <c r="J3338" s="1" t="s">
        <v>448</v>
      </c>
      <c r="K3338">
        <v>0</v>
      </c>
      <c r="L3338">
        <v>7549</v>
      </c>
      <c r="M3338">
        <v>11.215332</v>
      </c>
      <c r="N3338">
        <v>2</v>
      </c>
      <c r="O3338" s="1" t="s">
        <v>569</v>
      </c>
      <c r="P3338">
        <v>84665.67</v>
      </c>
      <c r="Q3338">
        <v>25399.7</v>
      </c>
      <c r="R3338">
        <v>0</v>
      </c>
      <c r="S3338" s="1" t="s">
        <v>1074</v>
      </c>
      <c r="T3338" s="1"/>
      <c r="U3338">
        <v>84665.666509999995</v>
      </c>
      <c r="V3338">
        <v>0</v>
      </c>
      <c r="W3338">
        <v>78606</v>
      </c>
    </row>
    <row r="3339" spans="1:23" x14ac:dyDescent="0.25">
      <c r="A3339" s="1" t="s">
        <v>37</v>
      </c>
      <c r="B3339" s="1"/>
      <c r="C3339" s="1" t="s">
        <v>193</v>
      </c>
      <c r="D3339">
        <v>9220</v>
      </c>
      <c r="E3339" s="1"/>
      <c r="F3339" s="1" t="s">
        <v>322</v>
      </c>
      <c r="G3339">
        <v>2014</v>
      </c>
      <c r="H3339">
        <v>174323.22</v>
      </c>
      <c r="I3339">
        <v>12</v>
      </c>
      <c r="J3339" s="1" t="s">
        <v>448</v>
      </c>
      <c r="K3339">
        <v>0</v>
      </c>
      <c r="L3339">
        <v>7549</v>
      </c>
      <c r="M3339">
        <v>23.091919999999998</v>
      </c>
      <c r="N3339">
        <v>2</v>
      </c>
      <c r="O3339" s="1" t="s">
        <v>569</v>
      </c>
      <c r="P3339">
        <v>174323.22</v>
      </c>
      <c r="Q3339">
        <v>52296.98</v>
      </c>
      <c r="R3339">
        <v>0</v>
      </c>
      <c r="S3339" s="1" t="s">
        <v>1074</v>
      </c>
      <c r="T3339" s="1"/>
      <c r="U3339">
        <v>174323.22115</v>
      </c>
      <c r="V3339">
        <v>0</v>
      </c>
      <c r="W3339">
        <v>78606</v>
      </c>
    </row>
    <row r="3340" spans="1:23" x14ac:dyDescent="0.25">
      <c r="A3340" s="1" t="s">
        <v>37</v>
      </c>
      <c r="B3340" s="1"/>
      <c r="C3340" s="1" t="s">
        <v>193</v>
      </c>
      <c r="D3340">
        <v>9220</v>
      </c>
      <c r="E3340" s="1"/>
      <c r="F3340" s="1" t="s">
        <v>322</v>
      </c>
      <c r="G3340">
        <v>2013</v>
      </c>
      <c r="H3340">
        <v>170431.86</v>
      </c>
      <c r="I3340">
        <v>12</v>
      </c>
      <c r="J3340" s="1" t="s">
        <v>448</v>
      </c>
      <c r="K3340">
        <v>0</v>
      </c>
      <c r="L3340">
        <v>7549</v>
      </c>
      <c r="M3340">
        <v>22.576447000000002</v>
      </c>
      <c r="N3340">
        <v>2</v>
      </c>
      <c r="O3340" s="1" t="s">
        <v>569</v>
      </c>
      <c r="P3340">
        <v>170431.86</v>
      </c>
      <c r="Q3340">
        <v>51129.56</v>
      </c>
      <c r="R3340">
        <v>0</v>
      </c>
      <c r="S3340" s="1" t="s">
        <v>1074</v>
      </c>
      <c r="T3340" s="1"/>
      <c r="U3340">
        <v>170431.8682</v>
      </c>
      <c r="V3340">
        <v>0</v>
      </c>
      <c r="W3340">
        <v>78606</v>
      </c>
    </row>
    <row r="3341" spans="1:23" x14ac:dyDescent="0.25">
      <c r="A3341" s="1" t="s">
        <v>37</v>
      </c>
      <c r="B3341" s="1"/>
      <c r="C3341" s="1" t="s">
        <v>193</v>
      </c>
      <c r="D3341">
        <v>9220</v>
      </c>
      <c r="E3341" s="1"/>
      <c r="F3341" s="1" t="s">
        <v>322</v>
      </c>
      <c r="G3341">
        <v>2012</v>
      </c>
      <c r="H3341">
        <v>162594.85</v>
      </c>
      <c r="I3341">
        <v>12</v>
      </c>
      <c r="J3341" s="1" t="s">
        <v>448</v>
      </c>
      <c r="K3341">
        <v>0</v>
      </c>
      <c r="L3341">
        <v>7549</v>
      </c>
      <c r="M3341">
        <v>21.538309000000002</v>
      </c>
      <c r="N3341">
        <v>2</v>
      </c>
      <c r="O3341" s="1" t="s">
        <v>569</v>
      </c>
      <c r="P3341">
        <v>162594.85</v>
      </c>
      <c r="Q3341">
        <v>65037.95</v>
      </c>
      <c r="R3341">
        <v>0</v>
      </c>
      <c r="S3341" s="1" t="s">
        <v>1074</v>
      </c>
      <c r="T3341" s="1"/>
      <c r="U3341">
        <v>162594.83055000001</v>
      </c>
      <c r="V3341">
        <v>0</v>
      </c>
      <c r="W3341">
        <v>78606</v>
      </c>
    </row>
    <row r="3342" spans="1:23" x14ac:dyDescent="0.25">
      <c r="A3342" s="1" t="s">
        <v>37</v>
      </c>
      <c r="B3342" s="1"/>
      <c r="C3342" s="1" t="s">
        <v>193</v>
      </c>
      <c r="D3342">
        <v>9220</v>
      </c>
      <c r="E3342" s="1"/>
      <c r="F3342" s="1" t="s">
        <v>322</v>
      </c>
      <c r="G3342">
        <v>2011</v>
      </c>
      <c r="H3342">
        <v>181504.63</v>
      </c>
      <c r="I3342">
        <v>12</v>
      </c>
      <c r="J3342" s="1" t="s">
        <v>448</v>
      </c>
      <c r="K3342">
        <v>0</v>
      </c>
      <c r="L3342">
        <v>7549</v>
      </c>
      <c r="M3342">
        <v>24.043213999999999</v>
      </c>
      <c r="N3342">
        <v>2</v>
      </c>
      <c r="O3342" s="1" t="s">
        <v>569</v>
      </c>
      <c r="P3342">
        <v>181504.63</v>
      </c>
      <c r="Q3342">
        <v>85125.69</v>
      </c>
      <c r="R3342">
        <v>0</v>
      </c>
      <c r="S3342" s="1" t="s">
        <v>1074</v>
      </c>
      <c r="T3342" s="1"/>
      <c r="U3342">
        <v>181504.65101</v>
      </c>
      <c r="V3342">
        <v>0</v>
      </c>
      <c r="W3342">
        <v>78606</v>
      </c>
    </row>
    <row r="3343" spans="1:23" x14ac:dyDescent="0.25">
      <c r="A3343" s="1" t="s">
        <v>37</v>
      </c>
      <c r="B3343" s="1"/>
      <c r="C3343" s="1" t="s">
        <v>193</v>
      </c>
      <c r="D3343">
        <v>9220</v>
      </c>
      <c r="E3343" s="1"/>
      <c r="F3343" s="1" t="s">
        <v>322</v>
      </c>
      <c r="G3343">
        <v>2010</v>
      </c>
      <c r="H3343">
        <v>218232.36</v>
      </c>
      <c r="I3343">
        <v>2</v>
      </c>
      <c r="J3343" s="1" t="s">
        <v>448</v>
      </c>
      <c r="K3343">
        <v>0</v>
      </c>
      <c r="L3343">
        <v>7549</v>
      </c>
      <c r="M3343">
        <v>28.908394000000001</v>
      </c>
      <c r="N3343">
        <v>2</v>
      </c>
      <c r="O3343" s="1" t="s">
        <v>569</v>
      </c>
      <c r="P3343">
        <v>218232.36</v>
      </c>
      <c r="Q3343">
        <v>102350.95</v>
      </c>
      <c r="R3343">
        <v>0</v>
      </c>
      <c r="S3343" s="1" t="s">
        <v>1074</v>
      </c>
      <c r="T3343" s="1"/>
      <c r="U3343">
        <v>218232.36191000001</v>
      </c>
      <c r="V3343">
        <v>0</v>
      </c>
      <c r="W3343">
        <v>78606</v>
      </c>
    </row>
    <row r="3344" spans="1:23" x14ac:dyDescent="0.25">
      <c r="A3344" s="1" t="s">
        <v>37</v>
      </c>
      <c r="B3344" s="1"/>
      <c r="C3344" s="1" t="s">
        <v>193</v>
      </c>
      <c r="D3344">
        <v>9220</v>
      </c>
      <c r="E3344" s="1"/>
      <c r="F3344" s="1" t="s">
        <v>322</v>
      </c>
      <c r="G3344">
        <v>2009</v>
      </c>
      <c r="H3344">
        <v>229054.33</v>
      </c>
      <c r="I3344">
        <v>1</v>
      </c>
      <c r="J3344" s="1" t="s">
        <v>448</v>
      </c>
      <c r="K3344">
        <v>0</v>
      </c>
      <c r="L3344">
        <v>7549</v>
      </c>
      <c r="M3344">
        <v>30.341937999999999</v>
      </c>
      <c r="N3344">
        <v>2</v>
      </c>
      <c r="O3344" s="1" t="s">
        <v>569</v>
      </c>
      <c r="P3344">
        <v>229054.33</v>
      </c>
      <c r="Q3344">
        <v>107426.42</v>
      </c>
      <c r="R3344">
        <v>0</v>
      </c>
      <c r="S3344" s="1" t="s">
        <v>1074</v>
      </c>
      <c r="T3344" s="1"/>
      <c r="U3344">
        <v>229054.32806</v>
      </c>
      <c r="V3344">
        <v>0</v>
      </c>
      <c r="W3344">
        <v>78606</v>
      </c>
    </row>
    <row r="3345" spans="1:23" x14ac:dyDescent="0.25">
      <c r="A3345" s="1" t="s">
        <v>37</v>
      </c>
      <c r="B3345" s="1"/>
      <c r="C3345" s="1" t="s">
        <v>193</v>
      </c>
      <c r="D3345">
        <v>9220</v>
      </c>
      <c r="E3345" s="1"/>
      <c r="F3345" s="1" t="s">
        <v>322</v>
      </c>
      <c r="G3345">
        <v>2008</v>
      </c>
      <c r="H3345">
        <v>248925.81</v>
      </c>
      <c r="I3345">
        <v>9</v>
      </c>
      <c r="J3345" s="1" t="s">
        <v>448</v>
      </c>
      <c r="K3345">
        <v>0</v>
      </c>
      <c r="L3345">
        <v>7549</v>
      </c>
      <c r="M3345">
        <v>32.974235999999998</v>
      </c>
      <c r="N3345">
        <v>2</v>
      </c>
      <c r="O3345" s="1" t="s">
        <v>569</v>
      </c>
      <c r="P3345">
        <v>248925.81</v>
      </c>
      <c r="Q3345">
        <v>116746.16</v>
      </c>
      <c r="R3345">
        <v>0</v>
      </c>
      <c r="S3345" s="1" t="s">
        <v>1074</v>
      </c>
      <c r="T3345" s="1"/>
      <c r="U3345">
        <v>248925.78236000001</v>
      </c>
      <c r="V3345">
        <v>0</v>
      </c>
      <c r="W3345">
        <v>78606</v>
      </c>
    </row>
    <row r="3346" spans="1:23" x14ac:dyDescent="0.25">
      <c r="A3346" s="1" t="s">
        <v>37</v>
      </c>
      <c r="B3346" s="1"/>
      <c r="C3346" s="1" t="s">
        <v>193</v>
      </c>
      <c r="D3346">
        <v>11000</v>
      </c>
      <c r="E3346" s="1"/>
      <c r="F3346" s="1" t="s">
        <v>323</v>
      </c>
      <c r="G3346">
        <v>2015</v>
      </c>
      <c r="H3346">
        <v>860</v>
      </c>
      <c r="I3346">
        <v>3</v>
      </c>
      <c r="J3346" s="1" t="s">
        <v>421</v>
      </c>
      <c r="K3346">
        <v>0</v>
      </c>
      <c r="L3346">
        <v>652</v>
      </c>
      <c r="M3346">
        <v>1.318816</v>
      </c>
      <c r="N3346">
        <v>2</v>
      </c>
      <c r="O3346" s="1" t="s">
        <v>569</v>
      </c>
      <c r="P3346">
        <v>860</v>
      </c>
      <c r="Q3346">
        <v>258</v>
      </c>
      <c r="R3346">
        <v>0</v>
      </c>
      <c r="S3346" s="1" t="s">
        <v>1075</v>
      </c>
      <c r="T3346" s="1" t="s">
        <v>1330</v>
      </c>
      <c r="U3346">
        <v>860</v>
      </c>
      <c r="V3346">
        <v>0</v>
      </c>
      <c r="W3346">
        <v>79720</v>
      </c>
    </row>
    <row r="3347" spans="1:23" x14ac:dyDescent="0.25">
      <c r="A3347" s="1" t="s">
        <v>37</v>
      </c>
      <c r="B3347" s="1"/>
      <c r="C3347" s="1" t="s">
        <v>193</v>
      </c>
      <c r="D3347">
        <v>11000</v>
      </c>
      <c r="E3347" s="1"/>
      <c r="F3347" s="1" t="s">
        <v>323</v>
      </c>
      <c r="G3347">
        <v>2014</v>
      </c>
      <c r="H3347">
        <v>2141.29</v>
      </c>
      <c r="I3347">
        <v>9</v>
      </c>
      <c r="J3347" s="1" t="s">
        <v>421</v>
      </c>
      <c r="K3347">
        <v>0</v>
      </c>
      <c r="L3347">
        <v>652</v>
      </c>
      <c r="M3347">
        <v>3.2836829999999999</v>
      </c>
      <c r="N3347">
        <v>2</v>
      </c>
      <c r="O3347" s="1" t="s">
        <v>569</v>
      </c>
      <c r="P3347">
        <v>2141.29</v>
      </c>
      <c r="Q3347">
        <v>642.4</v>
      </c>
      <c r="R3347">
        <v>0</v>
      </c>
      <c r="S3347" s="1" t="s">
        <v>1075</v>
      </c>
      <c r="T3347" s="1" t="s">
        <v>1330</v>
      </c>
      <c r="U3347">
        <v>2141.3000099999999</v>
      </c>
      <c r="V3347">
        <v>0</v>
      </c>
      <c r="W3347">
        <v>79720</v>
      </c>
    </row>
    <row r="3348" spans="1:23" x14ac:dyDescent="0.25">
      <c r="A3348" s="1" t="s">
        <v>37</v>
      </c>
      <c r="B3348" s="1"/>
      <c r="C3348" s="1" t="s">
        <v>193</v>
      </c>
      <c r="D3348">
        <v>11000</v>
      </c>
      <c r="E3348" s="1"/>
      <c r="F3348" s="1" t="s">
        <v>323</v>
      </c>
      <c r="G3348">
        <v>2013</v>
      </c>
      <c r="H3348">
        <v>1896.06</v>
      </c>
      <c r="I3348">
        <v>12</v>
      </c>
      <c r="J3348" s="1" t="s">
        <v>421</v>
      </c>
      <c r="K3348">
        <v>0</v>
      </c>
      <c r="L3348">
        <v>652</v>
      </c>
      <c r="M3348">
        <v>2.9076209999999998</v>
      </c>
      <c r="N3348">
        <v>2</v>
      </c>
      <c r="O3348" s="1" t="s">
        <v>569</v>
      </c>
      <c r="P3348">
        <v>1896.06</v>
      </c>
      <c r="Q3348">
        <v>568.83000000000004</v>
      </c>
      <c r="R3348">
        <v>0</v>
      </c>
      <c r="S3348" s="1" t="s">
        <v>1075</v>
      </c>
      <c r="T3348" s="1" t="s">
        <v>1330</v>
      </c>
      <c r="U3348">
        <v>1896.05485</v>
      </c>
      <c r="V3348">
        <v>0</v>
      </c>
      <c r="W3348">
        <v>79720</v>
      </c>
    </row>
    <row r="3349" spans="1:23" x14ac:dyDescent="0.25">
      <c r="A3349" s="1" t="s">
        <v>37</v>
      </c>
      <c r="B3349" s="1"/>
      <c r="C3349" s="1" t="s">
        <v>193</v>
      </c>
      <c r="D3349">
        <v>11000</v>
      </c>
      <c r="E3349" s="1"/>
      <c r="F3349" s="1" t="s">
        <v>323</v>
      </c>
      <c r="G3349">
        <v>2012</v>
      </c>
      <c r="H3349">
        <v>1952.57</v>
      </c>
      <c r="I3349">
        <v>11</v>
      </c>
      <c r="J3349" s="1" t="s">
        <v>421</v>
      </c>
      <c r="K3349">
        <v>0</v>
      </c>
      <c r="L3349">
        <v>652</v>
      </c>
      <c r="M3349">
        <v>2.9942799999999998</v>
      </c>
      <c r="N3349">
        <v>2</v>
      </c>
      <c r="O3349" s="1" t="s">
        <v>569</v>
      </c>
      <c r="P3349">
        <v>1952.57</v>
      </c>
      <c r="Q3349">
        <v>781.04</v>
      </c>
      <c r="R3349">
        <v>0</v>
      </c>
      <c r="S3349" s="1" t="s">
        <v>1075</v>
      </c>
      <c r="T3349" s="1" t="s">
        <v>1330</v>
      </c>
      <c r="U3349">
        <v>1952.57374</v>
      </c>
      <c r="V3349">
        <v>0</v>
      </c>
      <c r="W3349">
        <v>79720</v>
      </c>
    </row>
    <row r="3350" spans="1:23" x14ac:dyDescent="0.25">
      <c r="A3350" s="1" t="s">
        <v>37</v>
      </c>
      <c r="B3350" s="1"/>
      <c r="C3350" s="1" t="s">
        <v>193</v>
      </c>
      <c r="D3350">
        <v>11000</v>
      </c>
      <c r="E3350" s="1"/>
      <c r="F3350" s="1" t="s">
        <v>323</v>
      </c>
      <c r="G3350">
        <v>2011</v>
      </c>
      <c r="H3350">
        <v>2098.98</v>
      </c>
      <c r="I3350">
        <v>8</v>
      </c>
      <c r="J3350" s="1" t="s">
        <v>421</v>
      </c>
      <c r="K3350">
        <v>0</v>
      </c>
      <c r="L3350">
        <v>652</v>
      </c>
      <c r="M3350">
        <v>3.2187999999999999</v>
      </c>
      <c r="N3350">
        <v>2</v>
      </c>
      <c r="O3350" s="1" t="s">
        <v>569</v>
      </c>
      <c r="P3350">
        <v>2098.98</v>
      </c>
      <c r="Q3350">
        <v>984.43</v>
      </c>
      <c r="R3350">
        <v>0</v>
      </c>
      <c r="S3350" s="1" t="s">
        <v>1075</v>
      </c>
      <c r="T3350" s="1" t="s">
        <v>1330</v>
      </c>
      <c r="U3350">
        <v>2098.9805200000001</v>
      </c>
      <c r="V3350">
        <v>0</v>
      </c>
      <c r="W3350">
        <v>79720</v>
      </c>
    </row>
    <row r="3351" spans="1:23" x14ac:dyDescent="0.25">
      <c r="A3351" s="1" t="s">
        <v>37</v>
      </c>
      <c r="B3351" s="1"/>
      <c r="C3351" s="1" t="s">
        <v>193</v>
      </c>
      <c r="D3351">
        <v>11000</v>
      </c>
      <c r="E3351" s="1"/>
      <c r="F3351" s="1" t="s">
        <v>323</v>
      </c>
      <c r="G3351">
        <v>2010</v>
      </c>
      <c r="H3351">
        <v>4681.32</v>
      </c>
      <c r="I3351">
        <v>12</v>
      </c>
      <c r="J3351" s="1" t="s">
        <v>421</v>
      </c>
      <c r="K3351">
        <v>0</v>
      </c>
      <c r="L3351">
        <v>652</v>
      </c>
      <c r="M3351">
        <v>7.1788369999999997</v>
      </c>
      <c r="N3351">
        <v>2</v>
      </c>
      <c r="O3351" s="1" t="s">
        <v>569</v>
      </c>
      <c r="P3351">
        <v>4681.32</v>
      </c>
      <c r="Q3351">
        <v>2195.54</v>
      </c>
      <c r="R3351">
        <v>0</v>
      </c>
      <c r="S3351" s="1" t="s">
        <v>1075</v>
      </c>
      <c r="T3351" s="1" t="s">
        <v>1330</v>
      </c>
      <c r="U3351">
        <v>4681.3194800000001</v>
      </c>
      <c r="V3351">
        <v>0</v>
      </c>
      <c r="W3351">
        <v>79720</v>
      </c>
    </row>
    <row r="3352" spans="1:23" x14ac:dyDescent="0.25">
      <c r="A3352" s="1" t="s">
        <v>37</v>
      </c>
      <c r="B3352" s="1"/>
      <c r="C3352" s="1" t="s">
        <v>193</v>
      </c>
      <c r="D3352">
        <v>11000</v>
      </c>
      <c r="E3352" s="1"/>
      <c r="F3352" s="1" t="s">
        <v>323</v>
      </c>
      <c r="G3352">
        <v>2009</v>
      </c>
      <c r="H3352">
        <v>5361.31</v>
      </c>
      <c r="I3352">
        <v>11</v>
      </c>
      <c r="J3352" s="1" t="s">
        <v>421</v>
      </c>
      <c r="K3352">
        <v>0</v>
      </c>
      <c r="L3352">
        <v>652</v>
      </c>
      <c r="M3352">
        <v>8.2216070000000006</v>
      </c>
      <c r="N3352">
        <v>2</v>
      </c>
      <c r="O3352" s="1" t="s">
        <v>569</v>
      </c>
      <c r="P3352">
        <v>5361.31</v>
      </c>
      <c r="Q3352">
        <v>2514.46</v>
      </c>
      <c r="R3352">
        <v>0</v>
      </c>
      <c r="S3352" s="1" t="s">
        <v>1075</v>
      </c>
      <c r="T3352" s="1" t="s">
        <v>1330</v>
      </c>
      <c r="U3352">
        <v>5361.3198199999997</v>
      </c>
      <c r="V3352">
        <v>0</v>
      </c>
      <c r="W3352">
        <v>79720</v>
      </c>
    </row>
    <row r="3353" spans="1:23" x14ac:dyDescent="0.25">
      <c r="A3353" s="1" t="s">
        <v>37</v>
      </c>
      <c r="B3353" s="1"/>
      <c r="C3353" s="1" t="s">
        <v>193</v>
      </c>
      <c r="D3353">
        <v>11000</v>
      </c>
      <c r="E3353" s="1"/>
      <c r="F3353" s="1" t="s">
        <v>323</v>
      </c>
      <c r="G3353">
        <v>2008</v>
      </c>
      <c r="H3353">
        <v>5222.07</v>
      </c>
      <c r="I3353">
        <v>12</v>
      </c>
      <c r="J3353" s="1" t="s">
        <v>421</v>
      </c>
      <c r="K3353">
        <v>0</v>
      </c>
      <c r="L3353">
        <v>652</v>
      </c>
      <c r="M3353">
        <v>8.0080810000000007</v>
      </c>
      <c r="N3353">
        <v>2</v>
      </c>
      <c r="O3353" s="1" t="s">
        <v>569</v>
      </c>
      <c r="P3353">
        <v>5222.07</v>
      </c>
      <c r="Q3353">
        <v>2449.15</v>
      </c>
      <c r="R3353">
        <v>0</v>
      </c>
      <c r="S3353" s="1" t="s">
        <v>1075</v>
      </c>
      <c r="T3353" s="1" t="s">
        <v>1330</v>
      </c>
      <c r="U3353">
        <v>5222.0645100000002</v>
      </c>
      <c r="V3353">
        <v>0</v>
      </c>
      <c r="W3353">
        <v>79720</v>
      </c>
    </row>
    <row r="3354" spans="1:23" x14ac:dyDescent="0.25">
      <c r="A3354" s="1" t="s">
        <v>37</v>
      </c>
      <c r="B3354" s="1"/>
      <c r="C3354" s="1" t="s">
        <v>194</v>
      </c>
      <c r="D3354">
        <v>14253</v>
      </c>
      <c r="E3354" s="1" t="s">
        <v>243</v>
      </c>
      <c r="F3354" s="1" t="s">
        <v>325</v>
      </c>
      <c r="G3354">
        <v>2015</v>
      </c>
      <c r="H3354">
        <v>102306.08</v>
      </c>
      <c r="I3354">
        <v>5</v>
      </c>
      <c r="J3354" s="1" t="s">
        <v>478</v>
      </c>
      <c r="K3354">
        <v>0</v>
      </c>
      <c r="L3354">
        <v>6105</v>
      </c>
      <c r="M3354">
        <v>16.757477999999999</v>
      </c>
      <c r="N3354">
        <v>2</v>
      </c>
      <c r="O3354" s="1" t="s">
        <v>569</v>
      </c>
      <c r="P3354">
        <v>102306.08</v>
      </c>
      <c r="Q3354">
        <v>30691.83</v>
      </c>
      <c r="R3354">
        <v>0</v>
      </c>
      <c r="S3354" s="1" t="s">
        <v>1076</v>
      </c>
      <c r="T3354" s="1" t="s">
        <v>1331</v>
      </c>
      <c r="U3354">
        <v>102306.08</v>
      </c>
      <c r="V3354">
        <v>0</v>
      </c>
      <c r="W3354">
        <v>72734</v>
      </c>
    </row>
    <row r="3355" spans="1:23" x14ac:dyDescent="0.25">
      <c r="A3355" s="1" t="s">
        <v>37</v>
      </c>
      <c r="B3355" s="1"/>
      <c r="C3355" s="1" t="s">
        <v>194</v>
      </c>
      <c r="D3355">
        <v>14253</v>
      </c>
      <c r="E3355" s="1" t="s">
        <v>243</v>
      </c>
      <c r="F3355" s="1" t="s">
        <v>325</v>
      </c>
      <c r="G3355">
        <v>2014</v>
      </c>
      <c r="H3355">
        <v>256603.32</v>
      </c>
      <c r="I3355">
        <v>12</v>
      </c>
      <c r="J3355" s="1" t="s">
        <v>478</v>
      </c>
      <c r="K3355">
        <v>0</v>
      </c>
      <c r="L3355">
        <v>6105</v>
      </c>
      <c r="M3355">
        <v>42.030977</v>
      </c>
      <c r="N3355">
        <v>2</v>
      </c>
      <c r="O3355" s="1" t="s">
        <v>569</v>
      </c>
      <c r="P3355">
        <v>256603.32</v>
      </c>
      <c r="Q3355">
        <v>76981.009999999995</v>
      </c>
      <c r="R3355">
        <v>0</v>
      </c>
      <c r="S3355" s="1" t="s">
        <v>1076</v>
      </c>
      <c r="T3355" s="1" t="s">
        <v>1331</v>
      </c>
      <c r="U3355">
        <v>256603.32</v>
      </c>
      <c r="V3355">
        <v>0</v>
      </c>
      <c r="W3355">
        <v>72734</v>
      </c>
    </row>
    <row r="3356" spans="1:23" x14ac:dyDescent="0.25">
      <c r="A3356" s="1" t="s">
        <v>37</v>
      </c>
      <c r="B3356" s="1"/>
      <c r="C3356" s="1" t="s">
        <v>194</v>
      </c>
      <c r="D3356">
        <v>14253</v>
      </c>
      <c r="E3356" s="1" t="s">
        <v>243</v>
      </c>
      <c r="F3356" s="1" t="s">
        <v>325</v>
      </c>
      <c r="G3356">
        <v>2013</v>
      </c>
      <c r="H3356">
        <v>260471.35</v>
      </c>
      <c r="I3356">
        <v>12</v>
      </c>
      <c r="J3356" s="1" t="s">
        <v>478</v>
      </c>
      <c r="K3356">
        <v>0</v>
      </c>
      <c r="L3356">
        <v>6105</v>
      </c>
      <c r="M3356">
        <v>42.664549999999998</v>
      </c>
      <c r="N3356">
        <v>2</v>
      </c>
      <c r="O3356" s="1" t="s">
        <v>569</v>
      </c>
      <c r="P3356">
        <v>260471.35</v>
      </c>
      <c r="Q3356">
        <v>78141.38</v>
      </c>
      <c r="R3356">
        <v>0</v>
      </c>
      <c r="S3356" s="1" t="s">
        <v>1076</v>
      </c>
      <c r="T3356" s="1" t="s">
        <v>1331</v>
      </c>
      <c r="U3356">
        <v>260471.35</v>
      </c>
      <c r="V3356">
        <v>0</v>
      </c>
      <c r="W3356">
        <v>72734</v>
      </c>
    </row>
    <row r="3357" spans="1:23" x14ac:dyDescent="0.25">
      <c r="A3357" s="1" t="s">
        <v>37</v>
      </c>
      <c r="B3357" s="1"/>
      <c r="C3357" s="1" t="s">
        <v>194</v>
      </c>
      <c r="D3357">
        <v>14253</v>
      </c>
      <c r="E3357" s="1" t="s">
        <v>243</v>
      </c>
      <c r="F3357" s="1" t="s">
        <v>325</v>
      </c>
      <c r="G3357">
        <v>2012</v>
      </c>
      <c r="H3357">
        <v>319573.8</v>
      </c>
      <c r="I3357">
        <v>12</v>
      </c>
      <c r="J3357" s="1" t="s">
        <v>478</v>
      </c>
      <c r="K3357">
        <v>0</v>
      </c>
      <c r="L3357">
        <v>6105</v>
      </c>
      <c r="M3357">
        <v>52.345382999999998</v>
      </c>
      <c r="N3357">
        <v>2</v>
      </c>
      <c r="O3357" s="1" t="s">
        <v>569</v>
      </c>
      <c r="P3357">
        <v>319573.8</v>
      </c>
      <c r="Q3357">
        <v>127829.52</v>
      </c>
      <c r="R3357">
        <v>0</v>
      </c>
      <c r="S3357" s="1" t="s">
        <v>1076</v>
      </c>
      <c r="T3357" s="1" t="s">
        <v>1331</v>
      </c>
      <c r="U3357">
        <v>319573.8</v>
      </c>
      <c r="V3357">
        <v>0</v>
      </c>
      <c r="W3357">
        <v>72734</v>
      </c>
    </row>
    <row r="3358" spans="1:23" x14ac:dyDescent="0.25">
      <c r="A3358" s="1" t="s">
        <v>37</v>
      </c>
      <c r="B3358" s="1"/>
      <c r="C3358" s="1" t="s">
        <v>194</v>
      </c>
      <c r="D3358">
        <v>14253</v>
      </c>
      <c r="E3358" s="1" t="s">
        <v>243</v>
      </c>
      <c r="F3358" s="1" t="s">
        <v>325</v>
      </c>
      <c r="G3358">
        <v>2011</v>
      </c>
      <c r="H3358">
        <v>366245.88</v>
      </c>
      <c r="I3358">
        <v>12</v>
      </c>
      <c r="J3358" s="1" t="s">
        <v>478</v>
      </c>
      <c r="K3358">
        <v>0</v>
      </c>
      <c r="L3358">
        <v>6105</v>
      </c>
      <c r="M3358">
        <v>59.990152000000002</v>
      </c>
      <c r="N3358">
        <v>2</v>
      </c>
      <c r="O3358" s="1" t="s">
        <v>569</v>
      </c>
      <c r="P3358">
        <v>366245.88</v>
      </c>
      <c r="Q3358">
        <v>171769.32</v>
      </c>
      <c r="R3358">
        <v>0</v>
      </c>
      <c r="S3358" s="1" t="s">
        <v>1076</v>
      </c>
      <c r="T3358" s="1" t="s">
        <v>1331</v>
      </c>
      <c r="U3358">
        <v>366245.87647000002</v>
      </c>
      <c r="V3358">
        <v>0</v>
      </c>
      <c r="W3358">
        <v>72734</v>
      </c>
    </row>
    <row r="3359" spans="1:23" x14ac:dyDescent="0.25">
      <c r="A3359" s="1" t="s">
        <v>37</v>
      </c>
      <c r="B3359" s="1"/>
      <c r="C3359" s="1" t="s">
        <v>194</v>
      </c>
      <c r="D3359">
        <v>14253</v>
      </c>
      <c r="E3359" s="1" t="s">
        <v>243</v>
      </c>
      <c r="F3359" s="1" t="s">
        <v>325</v>
      </c>
      <c r="G3359">
        <v>2010</v>
      </c>
      <c r="H3359">
        <v>358148.07</v>
      </c>
      <c r="I3359">
        <v>5</v>
      </c>
      <c r="J3359" s="1" t="s">
        <v>478</v>
      </c>
      <c r="K3359">
        <v>0</v>
      </c>
      <c r="L3359">
        <v>6105</v>
      </c>
      <c r="M3359">
        <v>58.663750999999998</v>
      </c>
      <c r="N3359">
        <v>2</v>
      </c>
      <c r="O3359" s="1" t="s">
        <v>569</v>
      </c>
      <c r="P3359">
        <v>358148.07</v>
      </c>
      <c r="Q3359">
        <v>167971.44</v>
      </c>
      <c r="R3359">
        <v>0</v>
      </c>
      <c r="S3359" s="1" t="s">
        <v>1076</v>
      </c>
      <c r="T3359" s="1" t="s">
        <v>1331</v>
      </c>
      <c r="U3359">
        <v>358148.07971999998</v>
      </c>
      <c r="V3359">
        <v>0</v>
      </c>
      <c r="W3359">
        <v>72734</v>
      </c>
    </row>
    <row r="3360" spans="1:23" x14ac:dyDescent="0.25">
      <c r="A3360" s="1" t="s">
        <v>37</v>
      </c>
      <c r="B3360" s="1"/>
      <c r="C3360" s="1" t="s">
        <v>194</v>
      </c>
      <c r="D3360">
        <v>14253</v>
      </c>
      <c r="E3360" s="1" t="s">
        <v>243</v>
      </c>
      <c r="F3360" s="1" t="s">
        <v>325</v>
      </c>
      <c r="G3360">
        <v>2009</v>
      </c>
      <c r="H3360">
        <v>372662.37</v>
      </c>
      <c r="I3360">
        <v>4</v>
      </c>
      <c r="J3360" s="1" t="s">
        <v>478</v>
      </c>
      <c r="K3360">
        <v>0</v>
      </c>
      <c r="L3360">
        <v>6105</v>
      </c>
      <c r="M3360">
        <v>61.041156999999998</v>
      </c>
      <c r="N3360">
        <v>2</v>
      </c>
      <c r="O3360" s="1" t="s">
        <v>569</v>
      </c>
      <c r="P3360">
        <v>372662.37</v>
      </c>
      <c r="Q3360">
        <v>174778.66</v>
      </c>
      <c r="R3360">
        <v>0</v>
      </c>
      <c r="S3360" s="1" t="s">
        <v>1076</v>
      </c>
      <c r="T3360" s="1" t="s">
        <v>1331</v>
      </c>
      <c r="U3360">
        <v>372662.3567</v>
      </c>
      <c r="V3360">
        <v>0</v>
      </c>
      <c r="W3360">
        <v>72734</v>
      </c>
    </row>
    <row r="3361" spans="1:23" x14ac:dyDescent="0.25">
      <c r="A3361" s="1" t="s">
        <v>37</v>
      </c>
      <c r="B3361" s="1"/>
      <c r="C3361" s="1" t="s">
        <v>194</v>
      </c>
      <c r="D3361">
        <v>14253</v>
      </c>
      <c r="E3361" s="1" t="s">
        <v>243</v>
      </c>
      <c r="F3361" s="1" t="s">
        <v>325</v>
      </c>
      <c r="G3361">
        <v>2008</v>
      </c>
      <c r="H3361">
        <v>329525.78999999998</v>
      </c>
      <c r="I3361">
        <v>11</v>
      </c>
      <c r="J3361" s="1" t="s">
        <v>478</v>
      </c>
      <c r="K3361">
        <v>0</v>
      </c>
      <c r="L3361">
        <v>6105</v>
      </c>
      <c r="M3361">
        <v>53.975493999999998</v>
      </c>
      <c r="N3361">
        <v>2</v>
      </c>
      <c r="O3361" s="1" t="s">
        <v>569</v>
      </c>
      <c r="P3361">
        <v>329525.78999999998</v>
      </c>
      <c r="Q3361">
        <v>154547.60999999999</v>
      </c>
      <c r="R3361">
        <v>0</v>
      </c>
      <c r="S3361" s="1" t="s">
        <v>1076</v>
      </c>
      <c r="T3361" s="1" t="s">
        <v>1331</v>
      </c>
      <c r="U3361">
        <v>329525.80645999999</v>
      </c>
      <c r="V3361">
        <v>0</v>
      </c>
      <c r="W3361">
        <v>72734</v>
      </c>
    </row>
    <row r="3362" spans="1:23" x14ac:dyDescent="0.25">
      <c r="A3362" s="1" t="s">
        <v>37</v>
      </c>
      <c r="B3362" s="1"/>
      <c r="C3362" s="1" t="s">
        <v>195</v>
      </c>
      <c r="D3362">
        <v>9518</v>
      </c>
      <c r="E3362" s="1"/>
      <c r="F3362" s="1" t="s">
        <v>327</v>
      </c>
      <c r="G3362">
        <v>2015</v>
      </c>
      <c r="H3362">
        <v>23503.439999999999</v>
      </c>
      <c r="I3362">
        <v>5</v>
      </c>
      <c r="J3362" s="1"/>
      <c r="K3362">
        <v>0</v>
      </c>
      <c r="L3362">
        <v>2128</v>
      </c>
      <c r="M3362">
        <v>11.04433</v>
      </c>
      <c r="N3362">
        <v>2</v>
      </c>
      <c r="O3362" s="1" t="s">
        <v>569</v>
      </c>
      <c r="P3362">
        <v>23503.439999999999</v>
      </c>
      <c r="Q3362">
        <v>7051.04</v>
      </c>
      <c r="R3362">
        <v>0</v>
      </c>
      <c r="S3362" s="1" t="s">
        <v>1077</v>
      </c>
      <c r="T3362" s="1" t="s">
        <v>1332</v>
      </c>
      <c r="U3362">
        <v>23503.439999999999</v>
      </c>
      <c r="V3362">
        <v>0</v>
      </c>
      <c r="W3362">
        <v>74428</v>
      </c>
    </row>
    <row r="3363" spans="1:23" x14ac:dyDescent="0.25">
      <c r="A3363" s="1" t="s">
        <v>37</v>
      </c>
      <c r="B3363" s="1"/>
      <c r="C3363" s="1" t="s">
        <v>195</v>
      </c>
      <c r="D3363">
        <v>9518</v>
      </c>
      <c r="E3363" s="1"/>
      <c r="F3363" s="1" t="s">
        <v>327</v>
      </c>
      <c r="G3363">
        <v>2014</v>
      </c>
      <c r="H3363">
        <v>59331.39</v>
      </c>
      <c r="I3363">
        <v>12</v>
      </c>
      <c r="J3363" s="1"/>
      <c r="K3363">
        <v>0</v>
      </c>
      <c r="L3363">
        <v>2128</v>
      </c>
      <c r="M3363">
        <v>27.879981999999998</v>
      </c>
      <c r="N3363">
        <v>2</v>
      </c>
      <c r="O3363" s="1" t="s">
        <v>569</v>
      </c>
      <c r="P3363">
        <v>59331.39</v>
      </c>
      <c r="Q3363">
        <v>17799.400000000001</v>
      </c>
      <c r="R3363">
        <v>0</v>
      </c>
      <c r="S3363" s="1" t="s">
        <v>1077</v>
      </c>
      <c r="T3363" s="1" t="s">
        <v>1332</v>
      </c>
      <c r="U3363">
        <v>59331.396000000001</v>
      </c>
      <c r="V3363">
        <v>0</v>
      </c>
      <c r="W3363">
        <v>74428</v>
      </c>
    </row>
    <row r="3364" spans="1:23" x14ac:dyDescent="0.25">
      <c r="A3364" s="1" t="s">
        <v>37</v>
      </c>
      <c r="B3364" s="1"/>
      <c r="C3364" s="1" t="s">
        <v>195</v>
      </c>
      <c r="D3364">
        <v>9518</v>
      </c>
      <c r="E3364" s="1"/>
      <c r="F3364" s="1" t="s">
        <v>327</v>
      </c>
      <c r="G3364">
        <v>2013</v>
      </c>
      <c r="H3364">
        <v>58118.17</v>
      </c>
      <c r="I3364">
        <v>12</v>
      </c>
      <c r="J3364" s="1"/>
      <c r="K3364">
        <v>0</v>
      </c>
      <c r="L3364">
        <v>2128</v>
      </c>
      <c r="M3364">
        <v>27.309885999999999</v>
      </c>
      <c r="N3364">
        <v>2</v>
      </c>
      <c r="O3364" s="1" t="s">
        <v>569</v>
      </c>
      <c r="P3364">
        <v>58118.17</v>
      </c>
      <c r="Q3364">
        <v>17435.45</v>
      </c>
      <c r="R3364">
        <v>0</v>
      </c>
      <c r="S3364" s="1" t="s">
        <v>1077</v>
      </c>
      <c r="T3364" s="1" t="s">
        <v>1332</v>
      </c>
      <c r="U3364">
        <v>58118.171999999999</v>
      </c>
      <c r="V3364">
        <v>0</v>
      </c>
      <c r="W3364">
        <v>74428</v>
      </c>
    </row>
    <row r="3365" spans="1:23" x14ac:dyDescent="0.25">
      <c r="A3365" s="1" t="s">
        <v>37</v>
      </c>
      <c r="B3365" s="1"/>
      <c r="C3365" s="1" t="s">
        <v>195</v>
      </c>
      <c r="D3365">
        <v>9518</v>
      </c>
      <c r="E3365" s="1"/>
      <c r="F3365" s="1" t="s">
        <v>327</v>
      </c>
      <c r="G3365">
        <v>2012</v>
      </c>
      <c r="H3365">
        <v>59815.97</v>
      </c>
      <c r="I3365">
        <v>12</v>
      </c>
      <c r="J3365" s="1"/>
      <c r="K3365">
        <v>0</v>
      </c>
      <c r="L3365">
        <v>2128</v>
      </c>
      <c r="M3365">
        <v>28.107686999999999</v>
      </c>
      <c r="N3365">
        <v>2</v>
      </c>
      <c r="O3365" s="1" t="s">
        <v>569</v>
      </c>
      <c r="P3365">
        <v>59815.97</v>
      </c>
      <c r="Q3365">
        <v>23926.41</v>
      </c>
      <c r="R3365">
        <v>0</v>
      </c>
      <c r="S3365" s="1" t="s">
        <v>1077</v>
      </c>
      <c r="T3365" s="1" t="s">
        <v>1332</v>
      </c>
      <c r="U3365">
        <v>59815.98</v>
      </c>
      <c r="V3365">
        <v>0</v>
      </c>
      <c r="W3365">
        <v>74428</v>
      </c>
    </row>
    <row r="3366" spans="1:23" x14ac:dyDescent="0.25">
      <c r="A3366" s="1" t="s">
        <v>37</v>
      </c>
      <c r="B3366" s="1"/>
      <c r="C3366" s="1" t="s">
        <v>195</v>
      </c>
      <c r="D3366">
        <v>9518</v>
      </c>
      <c r="E3366" s="1"/>
      <c r="F3366" s="1" t="s">
        <v>327</v>
      </c>
      <c r="G3366">
        <v>2011</v>
      </c>
      <c r="H3366">
        <v>59206.21</v>
      </c>
      <c r="I3366">
        <v>12</v>
      </c>
      <c r="J3366" s="1"/>
      <c r="K3366">
        <v>0</v>
      </c>
      <c r="L3366">
        <v>2128</v>
      </c>
      <c r="M3366">
        <v>27.821159000000002</v>
      </c>
      <c r="N3366">
        <v>2</v>
      </c>
      <c r="O3366" s="1" t="s">
        <v>569</v>
      </c>
      <c r="P3366">
        <v>59206.21</v>
      </c>
      <c r="Q3366">
        <v>27767.72</v>
      </c>
      <c r="R3366">
        <v>0</v>
      </c>
      <c r="S3366" s="1" t="s">
        <v>1077</v>
      </c>
      <c r="T3366" s="1" t="s">
        <v>1332</v>
      </c>
      <c r="U3366">
        <v>59206.211499999998</v>
      </c>
      <c r="V3366">
        <v>0</v>
      </c>
      <c r="W3366">
        <v>74428</v>
      </c>
    </row>
    <row r="3367" spans="1:23" x14ac:dyDescent="0.25">
      <c r="A3367" s="1" t="s">
        <v>37</v>
      </c>
      <c r="B3367" s="1"/>
      <c r="C3367" s="1" t="s">
        <v>195</v>
      </c>
      <c r="D3367">
        <v>9518</v>
      </c>
      <c r="E3367" s="1"/>
      <c r="F3367" s="1" t="s">
        <v>327</v>
      </c>
      <c r="G3367">
        <v>2010</v>
      </c>
      <c r="H3367">
        <v>56026.2</v>
      </c>
      <c r="I3367">
        <v>12</v>
      </c>
      <c r="J3367" s="1"/>
      <c r="K3367">
        <v>0</v>
      </c>
      <c r="L3367">
        <v>2128</v>
      </c>
      <c r="M3367">
        <v>26.326864</v>
      </c>
      <c r="N3367">
        <v>2</v>
      </c>
      <c r="O3367" s="1" t="s">
        <v>569</v>
      </c>
      <c r="P3367">
        <v>56026.2</v>
      </c>
      <c r="Q3367">
        <v>26276.29</v>
      </c>
      <c r="R3367">
        <v>0</v>
      </c>
      <c r="S3367" s="1" t="s">
        <v>1077</v>
      </c>
      <c r="T3367" s="1" t="s">
        <v>1332</v>
      </c>
      <c r="U3367">
        <v>56026.2</v>
      </c>
      <c r="V3367">
        <v>0</v>
      </c>
      <c r="W3367">
        <v>74428</v>
      </c>
    </row>
    <row r="3368" spans="1:23" x14ac:dyDescent="0.25">
      <c r="A3368" s="1" t="s">
        <v>37</v>
      </c>
      <c r="B3368" s="1"/>
      <c r="C3368" s="1" t="s">
        <v>195</v>
      </c>
      <c r="D3368">
        <v>9518</v>
      </c>
      <c r="E3368" s="1"/>
      <c r="F3368" s="1" t="s">
        <v>327</v>
      </c>
      <c r="G3368">
        <v>2009</v>
      </c>
      <c r="H3368">
        <v>54486.32</v>
      </c>
      <c r="I3368">
        <v>12</v>
      </c>
      <c r="J3368" s="1"/>
      <c r="K3368">
        <v>0</v>
      </c>
      <c r="L3368">
        <v>2128</v>
      </c>
      <c r="M3368">
        <v>25.603269999999998</v>
      </c>
      <c r="N3368">
        <v>2</v>
      </c>
      <c r="O3368" s="1" t="s">
        <v>569</v>
      </c>
      <c r="P3368">
        <v>54486.32</v>
      </c>
      <c r="Q3368">
        <v>25554.09</v>
      </c>
      <c r="R3368">
        <v>0</v>
      </c>
      <c r="S3368" s="1" t="s">
        <v>1077</v>
      </c>
      <c r="T3368" s="1" t="s">
        <v>1332</v>
      </c>
      <c r="U3368">
        <v>54486.32</v>
      </c>
      <c r="V3368">
        <v>0</v>
      </c>
      <c r="W3368">
        <v>74428</v>
      </c>
    </row>
    <row r="3369" spans="1:23" x14ac:dyDescent="0.25">
      <c r="A3369" s="1" t="s">
        <v>37</v>
      </c>
      <c r="B3369" s="1"/>
      <c r="C3369" s="1" t="s">
        <v>195</v>
      </c>
      <c r="D3369">
        <v>9518</v>
      </c>
      <c r="E3369" s="1"/>
      <c r="F3369" s="1" t="s">
        <v>327</v>
      </c>
      <c r="G3369">
        <v>2008</v>
      </c>
      <c r="H3369">
        <v>54788.88</v>
      </c>
      <c r="I3369">
        <v>12</v>
      </c>
      <c r="J3369" s="1"/>
      <c r="K3369">
        <v>0</v>
      </c>
      <c r="L3369">
        <v>2128</v>
      </c>
      <c r="M3369">
        <v>25.745443999999999</v>
      </c>
      <c r="N3369">
        <v>2</v>
      </c>
      <c r="O3369" s="1" t="s">
        <v>569</v>
      </c>
      <c r="P3369">
        <v>54788.88</v>
      </c>
      <c r="Q3369">
        <v>25696.01</v>
      </c>
      <c r="R3369">
        <v>0</v>
      </c>
      <c r="S3369" s="1" t="s">
        <v>1077</v>
      </c>
      <c r="T3369" s="1" t="s">
        <v>1332</v>
      </c>
      <c r="U3369">
        <v>54788.88</v>
      </c>
      <c r="V3369">
        <v>0</v>
      </c>
      <c r="W3369">
        <v>74428</v>
      </c>
    </row>
    <row r="3370" spans="1:23" x14ac:dyDescent="0.25">
      <c r="A3370" s="1" t="s">
        <v>37</v>
      </c>
      <c r="B3370" s="1"/>
      <c r="C3370" s="1" t="s">
        <v>195</v>
      </c>
      <c r="D3370">
        <v>9519</v>
      </c>
      <c r="E3370" s="1"/>
      <c r="F3370" s="1" t="s">
        <v>328</v>
      </c>
      <c r="G3370">
        <v>2015</v>
      </c>
      <c r="H3370">
        <v>3980.65</v>
      </c>
      <c r="I3370">
        <v>5</v>
      </c>
      <c r="J3370" s="1"/>
      <c r="K3370">
        <v>0</v>
      </c>
      <c r="L3370">
        <v>353</v>
      </c>
      <c r="M3370">
        <v>11.273434999999999</v>
      </c>
      <c r="N3370">
        <v>2</v>
      </c>
      <c r="O3370" s="1" t="s">
        <v>569</v>
      </c>
      <c r="P3370">
        <v>3980.65</v>
      </c>
      <c r="Q3370">
        <v>1194.2</v>
      </c>
      <c r="R3370">
        <v>1</v>
      </c>
      <c r="S3370" s="1"/>
      <c r="T3370" s="1"/>
      <c r="U3370">
        <v>3980.6500999999998</v>
      </c>
      <c r="V3370">
        <v>0</v>
      </c>
      <c r="W3370">
        <v>74431</v>
      </c>
    </row>
    <row r="3371" spans="1:23" x14ac:dyDescent="0.25">
      <c r="A3371" s="1" t="s">
        <v>37</v>
      </c>
      <c r="B3371" s="1"/>
      <c r="C3371" s="1" t="s">
        <v>195</v>
      </c>
      <c r="D3371">
        <v>9519</v>
      </c>
      <c r="E3371" s="1"/>
      <c r="F3371" s="1" t="s">
        <v>328</v>
      </c>
      <c r="G3371">
        <v>2014</v>
      </c>
      <c r="H3371">
        <v>9780.8700000000008</v>
      </c>
      <c r="I3371">
        <v>12</v>
      </c>
      <c r="J3371" s="1"/>
      <c r="K3371">
        <v>0</v>
      </c>
      <c r="L3371">
        <v>353</v>
      </c>
      <c r="M3371">
        <v>27.7</v>
      </c>
      <c r="N3371">
        <v>2</v>
      </c>
      <c r="O3371" s="1" t="s">
        <v>569</v>
      </c>
      <c r="P3371">
        <v>9780.8700000000008</v>
      </c>
      <c r="Q3371">
        <v>2934.26</v>
      </c>
      <c r="R3371">
        <v>1</v>
      </c>
      <c r="S3371" s="1"/>
      <c r="T3371" s="1"/>
      <c r="U3371">
        <v>9780.8588999999993</v>
      </c>
      <c r="V3371">
        <v>0</v>
      </c>
      <c r="W3371">
        <v>74431</v>
      </c>
    </row>
    <row r="3372" spans="1:23" x14ac:dyDescent="0.25">
      <c r="A3372" s="1" t="s">
        <v>37</v>
      </c>
      <c r="B3372" s="1"/>
      <c r="C3372" s="1" t="s">
        <v>195</v>
      </c>
      <c r="D3372">
        <v>9519</v>
      </c>
      <c r="E3372" s="1"/>
      <c r="F3372" s="1" t="s">
        <v>328</v>
      </c>
      <c r="G3372">
        <v>2013</v>
      </c>
      <c r="H3372">
        <v>9876.92</v>
      </c>
      <c r="I3372">
        <v>12</v>
      </c>
      <c r="J3372" s="1"/>
      <c r="K3372">
        <v>0</v>
      </c>
      <c r="L3372">
        <v>353</v>
      </c>
      <c r="M3372">
        <v>27.972019</v>
      </c>
      <c r="N3372">
        <v>2</v>
      </c>
      <c r="O3372" s="1" t="s">
        <v>569</v>
      </c>
      <c r="P3372">
        <v>9876.92</v>
      </c>
      <c r="Q3372">
        <v>2963.07</v>
      </c>
      <c r="R3372">
        <v>1</v>
      </c>
      <c r="S3372" s="1"/>
      <c r="T3372" s="1"/>
      <c r="U3372">
        <v>9876.9233000000004</v>
      </c>
      <c r="V3372">
        <v>0</v>
      </c>
      <c r="W3372">
        <v>74431</v>
      </c>
    </row>
    <row r="3373" spans="1:23" x14ac:dyDescent="0.25">
      <c r="A3373" s="1" t="s">
        <v>37</v>
      </c>
      <c r="B3373" s="1"/>
      <c r="C3373" s="1" t="s">
        <v>195</v>
      </c>
      <c r="D3373">
        <v>9519</v>
      </c>
      <c r="E3373" s="1"/>
      <c r="F3373" s="1" t="s">
        <v>328</v>
      </c>
      <c r="G3373">
        <v>2012</v>
      </c>
      <c r="H3373">
        <v>10974.2</v>
      </c>
      <c r="I3373">
        <v>12</v>
      </c>
      <c r="J3373" s="1"/>
      <c r="K3373">
        <v>0</v>
      </c>
      <c r="L3373">
        <v>353</v>
      </c>
      <c r="M3373">
        <v>31.07958</v>
      </c>
      <c r="N3373">
        <v>2</v>
      </c>
      <c r="O3373" s="1" t="s">
        <v>569</v>
      </c>
      <c r="P3373">
        <v>10974.2</v>
      </c>
      <c r="Q3373">
        <v>4389.68</v>
      </c>
      <c r="R3373">
        <v>1</v>
      </c>
      <c r="S3373" s="1"/>
      <c r="T3373" s="1"/>
      <c r="U3373">
        <v>10974.2017</v>
      </c>
      <c r="V3373">
        <v>0</v>
      </c>
      <c r="W3373">
        <v>74431</v>
      </c>
    </row>
    <row r="3374" spans="1:23" x14ac:dyDescent="0.25">
      <c r="A3374" s="1" t="s">
        <v>37</v>
      </c>
      <c r="B3374" s="1"/>
      <c r="C3374" s="1" t="s">
        <v>195</v>
      </c>
      <c r="D3374">
        <v>9519</v>
      </c>
      <c r="E3374" s="1"/>
      <c r="F3374" s="1" t="s">
        <v>328</v>
      </c>
      <c r="G3374">
        <v>2011</v>
      </c>
      <c r="H3374">
        <v>9567.1200000000008</v>
      </c>
      <c r="I3374">
        <v>12</v>
      </c>
      <c r="J3374" s="1"/>
      <c r="K3374">
        <v>0</v>
      </c>
      <c r="L3374">
        <v>353</v>
      </c>
      <c r="M3374">
        <v>27.094646999999998</v>
      </c>
      <c r="N3374">
        <v>2</v>
      </c>
      <c r="O3374" s="1" t="s">
        <v>569</v>
      </c>
      <c r="P3374">
        <v>9567.1200000000008</v>
      </c>
      <c r="Q3374">
        <v>4486.9799999999996</v>
      </c>
      <c r="R3374">
        <v>1</v>
      </c>
      <c r="S3374" s="1"/>
      <c r="T3374" s="1"/>
      <c r="U3374">
        <v>9567.1404000000002</v>
      </c>
      <c r="V3374">
        <v>0</v>
      </c>
      <c r="W3374">
        <v>74431</v>
      </c>
    </row>
    <row r="3375" spans="1:23" x14ac:dyDescent="0.25">
      <c r="A3375" s="1" t="s">
        <v>37</v>
      </c>
      <c r="B3375" s="1"/>
      <c r="C3375" s="1" t="s">
        <v>195</v>
      </c>
      <c r="D3375">
        <v>9519</v>
      </c>
      <c r="E3375" s="1"/>
      <c r="F3375" s="1" t="s">
        <v>328</v>
      </c>
      <c r="G3375">
        <v>2010</v>
      </c>
      <c r="H3375">
        <v>9022.5499999999993</v>
      </c>
      <c r="I3375">
        <v>12</v>
      </c>
      <c r="J3375" s="1"/>
      <c r="K3375">
        <v>0</v>
      </c>
      <c r="L3375">
        <v>353</v>
      </c>
      <c r="M3375">
        <v>25.552392999999999</v>
      </c>
      <c r="N3375">
        <v>2</v>
      </c>
      <c r="O3375" s="1" t="s">
        <v>569</v>
      </c>
      <c r="P3375">
        <v>9022.5499999999993</v>
      </c>
      <c r="Q3375">
        <v>4231.58</v>
      </c>
      <c r="R3375">
        <v>1</v>
      </c>
      <c r="S3375" s="1"/>
      <c r="T3375" s="1"/>
      <c r="U3375">
        <v>9022.5499999999993</v>
      </c>
      <c r="V3375">
        <v>0</v>
      </c>
      <c r="W3375">
        <v>74431</v>
      </c>
    </row>
    <row r="3376" spans="1:23" x14ac:dyDescent="0.25">
      <c r="A3376" s="1" t="s">
        <v>37</v>
      </c>
      <c r="B3376" s="1"/>
      <c r="C3376" s="1" t="s">
        <v>195</v>
      </c>
      <c r="D3376">
        <v>9519</v>
      </c>
      <c r="E3376" s="1"/>
      <c r="F3376" s="1" t="s">
        <v>328</v>
      </c>
      <c r="G3376">
        <v>2009</v>
      </c>
      <c r="H3376">
        <v>7359.31</v>
      </c>
      <c r="I3376">
        <v>12</v>
      </c>
      <c r="J3376" s="1"/>
      <c r="K3376">
        <v>0</v>
      </c>
      <c r="L3376">
        <v>353</v>
      </c>
      <c r="M3376">
        <v>20.841999000000001</v>
      </c>
      <c r="N3376">
        <v>2</v>
      </c>
      <c r="O3376" s="1" t="s">
        <v>569</v>
      </c>
      <c r="P3376">
        <v>7359.31</v>
      </c>
      <c r="Q3376">
        <v>3451.51</v>
      </c>
      <c r="R3376">
        <v>1</v>
      </c>
      <c r="S3376" s="1"/>
      <c r="T3376" s="1"/>
      <c r="U3376">
        <v>7359.3046000000004</v>
      </c>
      <c r="V3376">
        <v>0</v>
      </c>
      <c r="W3376">
        <v>74431</v>
      </c>
    </row>
    <row r="3377" spans="1:23" x14ac:dyDescent="0.25">
      <c r="A3377" s="1" t="s">
        <v>37</v>
      </c>
      <c r="B3377" s="1"/>
      <c r="C3377" s="1" t="s">
        <v>195</v>
      </c>
      <c r="D3377">
        <v>9519</v>
      </c>
      <c r="E3377" s="1"/>
      <c r="F3377" s="1" t="s">
        <v>328</v>
      </c>
      <c r="G3377">
        <v>2008</v>
      </c>
      <c r="H3377">
        <v>6825.05</v>
      </c>
      <c r="I3377">
        <v>12</v>
      </c>
      <c r="J3377" s="1"/>
      <c r="K3377">
        <v>0</v>
      </c>
      <c r="L3377">
        <v>353</v>
      </c>
      <c r="M3377">
        <v>19.328942999999999</v>
      </c>
      <c r="N3377">
        <v>2</v>
      </c>
      <c r="O3377" s="1" t="s">
        <v>569</v>
      </c>
      <c r="P3377">
        <v>6825.05</v>
      </c>
      <c r="Q3377">
        <v>3200.95</v>
      </c>
      <c r="R3377">
        <v>1</v>
      </c>
      <c r="S3377" s="1"/>
      <c r="T3377" s="1"/>
      <c r="U3377">
        <v>6825.0438000000004</v>
      </c>
      <c r="V3377">
        <v>0</v>
      </c>
      <c r="W3377">
        <v>74431</v>
      </c>
    </row>
    <row r="3378" spans="1:23" x14ac:dyDescent="0.25">
      <c r="A3378" s="1" t="s">
        <v>37</v>
      </c>
      <c r="B3378" s="1" t="s">
        <v>81</v>
      </c>
      <c r="C3378" s="1" t="s">
        <v>196</v>
      </c>
      <c r="D3378">
        <v>5481</v>
      </c>
      <c r="E3378" s="1"/>
      <c r="F3378" s="1" t="s">
        <v>330</v>
      </c>
      <c r="G3378">
        <v>2015</v>
      </c>
      <c r="H3378">
        <v>8323.7099999999991</v>
      </c>
      <c r="I3378">
        <v>5</v>
      </c>
      <c r="J3378" s="1" t="s">
        <v>402</v>
      </c>
      <c r="K3378">
        <v>0</v>
      </c>
      <c r="L3378">
        <v>1273</v>
      </c>
      <c r="M3378">
        <v>6.5381429999999998</v>
      </c>
      <c r="N3378">
        <v>2</v>
      </c>
      <c r="O3378" s="1" t="s">
        <v>569</v>
      </c>
      <c r="P3378">
        <v>8323.7099999999991</v>
      </c>
      <c r="Q3378">
        <v>3329.49</v>
      </c>
      <c r="R3378">
        <v>0</v>
      </c>
      <c r="S3378" s="1" t="s">
        <v>1078</v>
      </c>
      <c r="T3378" s="1" t="s">
        <v>1333</v>
      </c>
      <c r="U3378">
        <v>8323.7099999999991</v>
      </c>
      <c r="V3378">
        <v>0</v>
      </c>
      <c r="W3378">
        <v>57944</v>
      </c>
    </row>
    <row r="3379" spans="1:23" x14ac:dyDescent="0.25">
      <c r="A3379" s="1" t="s">
        <v>37</v>
      </c>
      <c r="B3379" s="1" t="s">
        <v>81</v>
      </c>
      <c r="C3379" s="1" t="s">
        <v>196</v>
      </c>
      <c r="D3379">
        <v>5481</v>
      </c>
      <c r="E3379" s="1"/>
      <c r="F3379" s="1" t="s">
        <v>330</v>
      </c>
      <c r="G3379">
        <v>2014</v>
      </c>
      <c r="H3379">
        <v>38841.730000000003</v>
      </c>
      <c r="I3379">
        <v>12</v>
      </c>
      <c r="J3379" s="1" t="s">
        <v>402</v>
      </c>
      <c r="K3379">
        <v>0</v>
      </c>
      <c r="L3379">
        <v>1273</v>
      </c>
      <c r="M3379">
        <v>30.509567000000001</v>
      </c>
      <c r="N3379">
        <v>2</v>
      </c>
      <c r="O3379" s="1" t="s">
        <v>569</v>
      </c>
      <c r="P3379">
        <v>38841.730000000003</v>
      </c>
      <c r="Q3379">
        <v>15536.69</v>
      </c>
      <c r="R3379">
        <v>0</v>
      </c>
      <c r="S3379" s="1" t="s">
        <v>1078</v>
      </c>
      <c r="T3379" s="1" t="s">
        <v>1333</v>
      </c>
      <c r="U3379">
        <v>38841.72</v>
      </c>
      <c r="V3379">
        <v>0</v>
      </c>
      <c r="W3379">
        <v>57944</v>
      </c>
    </row>
    <row r="3380" spans="1:23" x14ac:dyDescent="0.25">
      <c r="A3380" s="1" t="s">
        <v>37</v>
      </c>
      <c r="B3380" s="1" t="s">
        <v>81</v>
      </c>
      <c r="C3380" s="1" t="s">
        <v>196</v>
      </c>
      <c r="D3380">
        <v>5481</v>
      </c>
      <c r="E3380" s="1"/>
      <c r="F3380" s="1" t="s">
        <v>330</v>
      </c>
      <c r="G3380">
        <v>2013</v>
      </c>
      <c r="H3380">
        <v>38751.71</v>
      </c>
      <c r="I3380">
        <v>12</v>
      </c>
      <c r="J3380" s="1" t="s">
        <v>402</v>
      </c>
      <c r="K3380">
        <v>0</v>
      </c>
      <c r="L3380">
        <v>1273</v>
      </c>
      <c r="M3380">
        <v>30.438856999999999</v>
      </c>
      <c r="N3380">
        <v>2</v>
      </c>
      <c r="O3380" s="1" t="s">
        <v>569</v>
      </c>
      <c r="P3380">
        <v>38751.71</v>
      </c>
      <c r="Q3380">
        <v>15500.69</v>
      </c>
      <c r="R3380">
        <v>0</v>
      </c>
      <c r="S3380" s="1" t="s">
        <v>1078</v>
      </c>
      <c r="T3380" s="1" t="s">
        <v>1333</v>
      </c>
      <c r="U3380">
        <v>38751.72</v>
      </c>
      <c r="V3380">
        <v>0</v>
      </c>
      <c r="W3380">
        <v>57944</v>
      </c>
    </row>
    <row r="3381" spans="1:23" x14ac:dyDescent="0.25">
      <c r="A3381" s="1" t="s">
        <v>37</v>
      </c>
      <c r="B3381" s="1" t="s">
        <v>81</v>
      </c>
      <c r="C3381" s="1" t="s">
        <v>196</v>
      </c>
      <c r="D3381">
        <v>5481</v>
      </c>
      <c r="E3381" s="1"/>
      <c r="F3381" s="1" t="s">
        <v>330</v>
      </c>
      <c r="G3381">
        <v>2012</v>
      </c>
      <c r="H3381">
        <v>46931.62</v>
      </c>
      <c r="I3381">
        <v>12</v>
      </c>
      <c r="J3381" s="1" t="s">
        <v>402</v>
      </c>
      <c r="K3381">
        <v>0</v>
      </c>
      <c r="L3381">
        <v>1273</v>
      </c>
      <c r="M3381">
        <v>36.864047999999997</v>
      </c>
      <c r="N3381">
        <v>2</v>
      </c>
      <c r="O3381" s="1" t="s">
        <v>569</v>
      </c>
      <c r="P3381">
        <v>46931.62</v>
      </c>
      <c r="Q3381">
        <v>18772.63</v>
      </c>
      <c r="R3381">
        <v>0</v>
      </c>
      <c r="S3381" s="1" t="s">
        <v>1078</v>
      </c>
      <c r="T3381" s="1" t="s">
        <v>1333</v>
      </c>
      <c r="U3381">
        <v>46931.61</v>
      </c>
      <c r="V3381">
        <v>0</v>
      </c>
      <c r="W3381">
        <v>57944</v>
      </c>
    </row>
    <row r="3382" spans="1:23" x14ac:dyDescent="0.25">
      <c r="A3382" s="1" t="s">
        <v>37</v>
      </c>
      <c r="B3382" s="1" t="s">
        <v>81</v>
      </c>
      <c r="C3382" s="1" t="s">
        <v>196</v>
      </c>
      <c r="D3382">
        <v>5481</v>
      </c>
      <c r="E3382" s="1"/>
      <c r="F3382" s="1" t="s">
        <v>330</v>
      </c>
      <c r="G3382">
        <v>2011</v>
      </c>
      <c r="H3382">
        <v>51089.79</v>
      </c>
      <c r="I3382">
        <v>12</v>
      </c>
      <c r="J3382" s="1" t="s">
        <v>402</v>
      </c>
      <c r="K3382">
        <v>0</v>
      </c>
      <c r="L3382">
        <v>1273</v>
      </c>
      <c r="M3382">
        <v>40.130225000000003</v>
      </c>
      <c r="N3382">
        <v>2</v>
      </c>
      <c r="O3382" s="1" t="s">
        <v>569</v>
      </c>
      <c r="P3382">
        <v>51089.79</v>
      </c>
      <c r="Q3382">
        <v>23961.1</v>
      </c>
      <c r="R3382">
        <v>0</v>
      </c>
      <c r="S3382" s="1" t="s">
        <v>1078</v>
      </c>
      <c r="T3382" s="1" t="s">
        <v>1333</v>
      </c>
      <c r="U3382">
        <v>51089.775000000001</v>
      </c>
      <c r="V3382">
        <v>0</v>
      </c>
      <c r="W3382">
        <v>57944</v>
      </c>
    </row>
    <row r="3383" spans="1:23" x14ac:dyDescent="0.25">
      <c r="A3383" s="1" t="s">
        <v>37</v>
      </c>
      <c r="B3383" s="1" t="s">
        <v>81</v>
      </c>
      <c r="C3383" s="1" t="s">
        <v>196</v>
      </c>
      <c r="D3383">
        <v>5481</v>
      </c>
      <c r="E3383" s="1"/>
      <c r="F3383" s="1" t="s">
        <v>330</v>
      </c>
      <c r="G3383">
        <v>2010</v>
      </c>
      <c r="H3383">
        <v>60836.28</v>
      </c>
      <c r="I3383">
        <v>12</v>
      </c>
      <c r="J3383" s="1" t="s">
        <v>402</v>
      </c>
      <c r="K3383">
        <v>0</v>
      </c>
      <c r="L3383">
        <v>1273</v>
      </c>
      <c r="M3383">
        <v>47.785938999999999</v>
      </c>
      <c r="N3383">
        <v>2</v>
      </c>
      <c r="O3383" s="1" t="s">
        <v>569</v>
      </c>
      <c r="P3383">
        <v>60836.28</v>
      </c>
      <c r="Q3383">
        <v>28532.21</v>
      </c>
      <c r="R3383">
        <v>0</v>
      </c>
      <c r="S3383" s="1" t="s">
        <v>1078</v>
      </c>
      <c r="T3383" s="1" t="s">
        <v>1333</v>
      </c>
      <c r="U3383">
        <v>60836.28</v>
      </c>
      <c r="V3383">
        <v>0</v>
      </c>
      <c r="W3383">
        <v>57944</v>
      </c>
    </row>
    <row r="3384" spans="1:23" x14ac:dyDescent="0.25">
      <c r="A3384" s="1" t="s">
        <v>37</v>
      </c>
      <c r="B3384" s="1" t="s">
        <v>81</v>
      </c>
      <c r="C3384" s="1" t="s">
        <v>196</v>
      </c>
      <c r="D3384">
        <v>5481</v>
      </c>
      <c r="E3384" s="1"/>
      <c r="F3384" s="1" t="s">
        <v>330</v>
      </c>
      <c r="G3384">
        <v>2009</v>
      </c>
      <c r="H3384">
        <v>55630.99</v>
      </c>
      <c r="I3384">
        <v>12</v>
      </c>
      <c r="J3384" s="1" t="s">
        <v>402</v>
      </c>
      <c r="K3384">
        <v>0</v>
      </c>
      <c r="L3384">
        <v>1273</v>
      </c>
      <c r="M3384">
        <v>43.697265999999999</v>
      </c>
      <c r="N3384">
        <v>2</v>
      </c>
      <c r="O3384" s="1" t="s">
        <v>569</v>
      </c>
      <c r="P3384">
        <v>55630.99</v>
      </c>
      <c r="Q3384">
        <v>26090.95</v>
      </c>
      <c r="R3384">
        <v>0</v>
      </c>
      <c r="S3384" s="1" t="s">
        <v>1078</v>
      </c>
      <c r="T3384" s="1" t="s">
        <v>1333</v>
      </c>
      <c r="U3384">
        <v>55630.995000000003</v>
      </c>
      <c r="V3384">
        <v>0</v>
      </c>
      <c r="W3384">
        <v>57944</v>
      </c>
    </row>
    <row r="3385" spans="1:23" x14ac:dyDescent="0.25">
      <c r="A3385" s="1" t="s">
        <v>37</v>
      </c>
      <c r="B3385" s="1" t="s">
        <v>81</v>
      </c>
      <c r="C3385" s="1" t="s">
        <v>196</v>
      </c>
      <c r="D3385">
        <v>5481</v>
      </c>
      <c r="E3385" s="1"/>
      <c r="F3385" s="1" t="s">
        <v>330</v>
      </c>
      <c r="G3385">
        <v>2008</v>
      </c>
      <c r="H3385">
        <v>52911.32</v>
      </c>
      <c r="I3385">
        <v>12</v>
      </c>
      <c r="J3385" s="1" t="s">
        <v>402</v>
      </c>
      <c r="K3385">
        <v>0</v>
      </c>
      <c r="L3385">
        <v>1273</v>
      </c>
      <c r="M3385">
        <v>41.561008000000001</v>
      </c>
      <c r="N3385">
        <v>2</v>
      </c>
      <c r="O3385" s="1" t="s">
        <v>569</v>
      </c>
      <c r="P3385">
        <v>52911.32</v>
      </c>
      <c r="Q3385">
        <v>24815.4</v>
      </c>
      <c r="R3385">
        <v>0</v>
      </c>
      <c r="S3385" s="1" t="s">
        <v>1078</v>
      </c>
      <c r="T3385" s="1" t="s">
        <v>1333</v>
      </c>
      <c r="U3385">
        <v>52911.315000000002</v>
      </c>
      <c r="V3385">
        <v>0</v>
      </c>
      <c r="W3385">
        <v>57944</v>
      </c>
    </row>
    <row r="3386" spans="1:23" x14ac:dyDescent="0.25">
      <c r="A3386" s="1" t="s">
        <v>37</v>
      </c>
      <c r="B3386" s="1" t="s">
        <v>81</v>
      </c>
      <c r="C3386" s="1" t="s">
        <v>196</v>
      </c>
      <c r="D3386">
        <v>5479</v>
      </c>
      <c r="E3386" s="1"/>
      <c r="F3386" s="1" t="s">
        <v>331</v>
      </c>
      <c r="G3386">
        <v>2015</v>
      </c>
      <c r="H3386">
        <v>38446.31</v>
      </c>
      <c r="I3386">
        <v>5</v>
      </c>
      <c r="J3386" s="1" t="s">
        <v>402</v>
      </c>
      <c r="K3386">
        <v>0</v>
      </c>
      <c r="L3386">
        <v>6089</v>
      </c>
      <c r="M3386">
        <v>6.3139560000000001</v>
      </c>
      <c r="N3386">
        <v>2</v>
      </c>
      <c r="O3386" s="1" t="s">
        <v>569</v>
      </c>
      <c r="P3386">
        <v>38446.31</v>
      </c>
      <c r="Q3386">
        <v>15378.53</v>
      </c>
      <c r="R3386">
        <v>0</v>
      </c>
      <c r="S3386" s="1" t="s">
        <v>1079</v>
      </c>
      <c r="T3386" s="1" t="s">
        <v>1334</v>
      </c>
      <c r="U3386">
        <v>38446.310859999998</v>
      </c>
      <c r="V3386">
        <v>0</v>
      </c>
      <c r="W3386">
        <v>57931</v>
      </c>
    </row>
    <row r="3387" spans="1:23" x14ac:dyDescent="0.25">
      <c r="A3387" s="1" t="s">
        <v>37</v>
      </c>
      <c r="B3387" s="1" t="s">
        <v>81</v>
      </c>
      <c r="C3387" s="1" t="s">
        <v>196</v>
      </c>
      <c r="D3387">
        <v>5479</v>
      </c>
      <c r="E3387" s="1"/>
      <c r="F3387" s="1" t="s">
        <v>331</v>
      </c>
      <c r="G3387">
        <v>2014</v>
      </c>
      <c r="H3387">
        <v>87631.7</v>
      </c>
      <c r="I3387">
        <v>12</v>
      </c>
      <c r="J3387" s="1" t="s">
        <v>402</v>
      </c>
      <c r="K3387">
        <v>0</v>
      </c>
      <c r="L3387">
        <v>6089</v>
      </c>
      <c r="M3387">
        <v>14.391567999999999</v>
      </c>
      <c r="N3387">
        <v>2</v>
      </c>
      <c r="O3387" s="1" t="s">
        <v>569</v>
      </c>
      <c r="P3387">
        <v>87631.7</v>
      </c>
      <c r="Q3387">
        <v>35052.68</v>
      </c>
      <c r="R3387">
        <v>0</v>
      </c>
      <c r="S3387" s="1" t="s">
        <v>1079</v>
      </c>
      <c r="T3387" s="1" t="s">
        <v>1334</v>
      </c>
      <c r="U3387">
        <v>87631.712499999994</v>
      </c>
      <c r="V3387">
        <v>0</v>
      </c>
      <c r="W3387">
        <v>57931</v>
      </c>
    </row>
    <row r="3388" spans="1:23" x14ac:dyDescent="0.25">
      <c r="A3388" s="1" t="s">
        <v>37</v>
      </c>
      <c r="B3388" s="1" t="s">
        <v>81</v>
      </c>
      <c r="C3388" s="1" t="s">
        <v>196</v>
      </c>
      <c r="D3388">
        <v>5479</v>
      </c>
      <c r="E3388" s="1"/>
      <c r="F3388" s="1" t="s">
        <v>331</v>
      </c>
      <c r="G3388">
        <v>2013</v>
      </c>
      <c r="H3388">
        <v>92200.11</v>
      </c>
      <c r="I3388">
        <v>12</v>
      </c>
      <c r="J3388" s="1" t="s">
        <v>402</v>
      </c>
      <c r="K3388">
        <v>0</v>
      </c>
      <c r="L3388">
        <v>6089</v>
      </c>
      <c r="M3388">
        <v>15.141828</v>
      </c>
      <c r="N3388">
        <v>2</v>
      </c>
      <c r="O3388" s="1" t="s">
        <v>569</v>
      </c>
      <c r="P3388">
        <v>92200.11</v>
      </c>
      <c r="Q3388">
        <v>36880.04</v>
      </c>
      <c r="R3388">
        <v>0</v>
      </c>
      <c r="S3388" s="1" t="s">
        <v>1079</v>
      </c>
      <c r="T3388" s="1" t="s">
        <v>1334</v>
      </c>
      <c r="U3388">
        <v>92200.114400000006</v>
      </c>
      <c r="V3388">
        <v>0</v>
      </c>
      <c r="W3388">
        <v>57931</v>
      </c>
    </row>
    <row r="3389" spans="1:23" x14ac:dyDescent="0.25">
      <c r="A3389" s="1" t="s">
        <v>37</v>
      </c>
      <c r="B3389" s="1" t="s">
        <v>81</v>
      </c>
      <c r="C3389" s="1" t="s">
        <v>196</v>
      </c>
      <c r="D3389">
        <v>5479</v>
      </c>
      <c r="E3389" s="1"/>
      <c r="F3389" s="1" t="s">
        <v>331</v>
      </c>
      <c r="G3389">
        <v>2012</v>
      </c>
      <c r="H3389">
        <v>92315.3</v>
      </c>
      <c r="I3389">
        <v>12</v>
      </c>
      <c r="J3389" s="1" t="s">
        <v>402</v>
      </c>
      <c r="K3389">
        <v>0</v>
      </c>
      <c r="L3389">
        <v>6089</v>
      </c>
      <c r="M3389">
        <v>15.160746</v>
      </c>
      <c r="N3389">
        <v>2</v>
      </c>
      <c r="O3389" s="1" t="s">
        <v>569</v>
      </c>
      <c r="P3389">
        <v>92315.3</v>
      </c>
      <c r="Q3389">
        <v>36926.11</v>
      </c>
      <c r="R3389">
        <v>0</v>
      </c>
      <c r="S3389" s="1" t="s">
        <v>1079</v>
      </c>
      <c r="T3389" s="1" t="s">
        <v>1334</v>
      </c>
      <c r="U3389">
        <v>92315.296090000003</v>
      </c>
      <c r="V3389">
        <v>0</v>
      </c>
      <c r="W3389">
        <v>57931</v>
      </c>
    </row>
    <row r="3390" spans="1:23" x14ac:dyDescent="0.25">
      <c r="A3390" s="1" t="s">
        <v>37</v>
      </c>
      <c r="B3390" s="1" t="s">
        <v>81</v>
      </c>
      <c r="C3390" s="1" t="s">
        <v>196</v>
      </c>
      <c r="D3390">
        <v>5479</v>
      </c>
      <c r="E3390" s="1"/>
      <c r="F3390" s="1" t="s">
        <v>331</v>
      </c>
      <c r="G3390">
        <v>2011</v>
      </c>
      <c r="H3390">
        <v>105786.63</v>
      </c>
      <c r="I3390">
        <v>12</v>
      </c>
      <c r="J3390" s="1" t="s">
        <v>402</v>
      </c>
      <c r="K3390">
        <v>0</v>
      </c>
      <c r="L3390">
        <v>6089</v>
      </c>
      <c r="M3390">
        <v>17.373114000000001</v>
      </c>
      <c r="N3390">
        <v>2</v>
      </c>
      <c r="O3390" s="1" t="s">
        <v>569</v>
      </c>
      <c r="P3390">
        <v>105786.63</v>
      </c>
      <c r="Q3390">
        <v>49613.94</v>
      </c>
      <c r="R3390">
        <v>0</v>
      </c>
      <c r="S3390" s="1" t="s">
        <v>1079</v>
      </c>
      <c r="T3390" s="1" t="s">
        <v>1334</v>
      </c>
      <c r="U3390">
        <v>105786.61788999999</v>
      </c>
      <c r="V3390">
        <v>0</v>
      </c>
      <c r="W3390">
        <v>57931</v>
      </c>
    </row>
    <row r="3391" spans="1:23" x14ac:dyDescent="0.25">
      <c r="A3391" s="1" t="s">
        <v>37</v>
      </c>
      <c r="B3391" s="1" t="s">
        <v>81</v>
      </c>
      <c r="C3391" s="1" t="s">
        <v>196</v>
      </c>
      <c r="D3391">
        <v>5479</v>
      </c>
      <c r="E3391" s="1"/>
      <c r="F3391" s="1" t="s">
        <v>331</v>
      </c>
      <c r="G3391">
        <v>2010</v>
      </c>
      <c r="H3391">
        <v>118134.21</v>
      </c>
      <c r="I3391">
        <v>12</v>
      </c>
      <c r="J3391" s="1" t="s">
        <v>402</v>
      </c>
      <c r="K3391">
        <v>0</v>
      </c>
      <c r="L3391">
        <v>6089</v>
      </c>
      <c r="M3391">
        <v>19.400931</v>
      </c>
      <c r="N3391">
        <v>2</v>
      </c>
      <c r="O3391" s="1" t="s">
        <v>569</v>
      </c>
      <c r="P3391">
        <v>118134.21</v>
      </c>
      <c r="Q3391">
        <v>55404.94</v>
      </c>
      <c r="R3391">
        <v>0</v>
      </c>
      <c r="S3391" s="1" t="s">
        <v>1079</v>
      </c>
      <c r="T3391" s="1" t="s">
        <v>1334</v>
      </c>
      <c r="U3391">
        <v>118134.18795000001</v>
      </c>
      <c r="V3391">
        <v>0</v>
      </c>
      <c r="W3391">
        <v>57931</v>
      </c>
    </row>
    <row r="3392" spans="1:23" x14ac:dyDescent="0.25">
      <c r="A3392" s="1" t="s">
        <v>37</v>
      </c>
      <c r="B3392" s="1" t="s">
        <v>81</v>
      </c>
      <c r="C3392" s="1" t="s">
        <v>196</v>
      </c>
      <c r="D3392">
        <v>5479</v>
      </c>
      <c r="E3392" s="1"/>
      <c r="F3392" s="1" t="s">
        <v>331</v>
      </c>
      <c r="G3392">
        <v>2009</v>
      </c>
      <c r="H3392">
        <v>142863.92000000001</v>
      </c>
      <c r="I3392">
        <v>12</v>
      </c>
      <c r="J3392" s="1" t="s">
        <v>402</v>
      </c>
      <c r="K3392">
        <v>0</v>
      </c>
      <c r="L3392">
        <v>6089</v>
      </c>
      <c r="M3392">
        <v>23.462239</v>
      </c>
      <c r="N3392">
        <v>2</v>
      </c>
      <c r="O3392" s="1" t="s">
        <v>569</v>
      </c>
      <c r="P3392">
        <v>142863.92000000001</v>
      </c>
      <c r="Q3392">
        <v>67003.149999999994</v>
      </c>
      <c r="R3392">
        <v>0</v>
      </c>
      <c r="S3392" s="1" t="s">
        <v>1079</v>
      </c>
      <c r="T3392" s="1" t="s">
        <v>1334</v>
      </c>
      <c r="U3392">
        <v>142863.90932999999</v>
      </c>
      <c r="V3392">
        <v>0</v>
      </c>
      <c r="W3392">
        <v>57931</v>
      </c>
    </row>
    <row r="3393" spans="1:23" x14ac:dyDescent="0.25">
      <c r="A3393" s="1" t="s">
        <v>37</v>
      </c>
      <c r="B3393" s="1" t="s">
        <v>81</v>
      </c>
      <c r="C3393" s="1" t="s">
        <v>196</v>
      </c>
      <c r="D3393">
        <v>5479</v>
      </c>
      <c r="E3393" s="1"/>
      <c r="F3393" s="1" t="s">
        <v>331</v>
      </c>
      <c r="G3393">
        <v>2008</v>
      </c>
      <c r="H3393">
        <v>167829.08</v>
      </c>
      <c r="I3393">
        <v>12</v>
      </c>
      <c r="J3393" s="1" t="s">
        <v>402</v>
      </c>
      <c r="K3393">
        <v>0</v>
      </c>
      <c r="L3393">
        <v>6089</v>
      </c>
      <c r="M3393">
        <v>27.562214000000001</v>
      </c>
      <c r="N3393">
        <v>2</v>
      </c>
      <c r="O3393" s="1" t="s">
        <v>569</v>
      </c>
      <c r="P3393">
        <v>167829.08</v>
      </c>
      <c r="Q3393">
        <v>78711.839999999997</v>
      </c>
      <c r="R3393">
        <v>0</v>
      </c>
      <c r="S3393" s="1" t="s">
        <v>1079</v>
      </c>
      <c r="T3393" s="1" t="s">
        <v>1334</v>
      </c>
      <c r="U3393">
        <v>167829.08</v>
      </c>
      <c r="V3393">
        <v>0</v>
      </c>
      <c r="W3393">
        <v>57931</v>
      </c>
    </row>
    <row r="3394" spans="1:23" x14ac:dyDescent="0.25">
      <c r="A3394" s="1" t="s">
        <v>37</v>
      </c>
      <c r="B3394" s="1" t="s">
        <v>81</v>
      </c>
      <c r="C3394" s="1" t="s">
        <v>196</v>
      </c>
      <c r="D3394">
        <v>13265</v>
      </c>
      <c r="E3394" s="1"/>
      <c r="F3394" s="1" t="s">
        <v>384</v>
      </c>
      <c r="G3394">
        <v>2015</v>
      </c>
      <c r="H3394">
        <v>55954.97</v>
      </c>
      <c r="I3394">
        <v>5</v>
      </c>
      <c r="J3394" s="1"/>
      <c r="K3394">
        <v>0</v>
      </c>
      <c r="L3394">
        <v>3000</v>
      </c>
      <c r="M3394">
        <v>18.651033999999999</v>
      </c>
      <c r="N3394">
        <v>2</v>
      </c>
      <c r="O3394" s="1" t="s">
        <v>569</v>
      </c>
      <c r="P3394">
        <v>55954.97</v>
      </c>
      <c r="Q3394">
        <v>16786.5</v>
      </c>
      <c r="R3394">
        <v>0</v>
      </c>
      <c r="S3394" s="1" t="s">
        <v>1080</v>
      </c>
      <c r="T3394" s="1" t="s">
        <v>1335</v>
      </c>
      <c r="U3394">
        <v>55954.968000000001</v>
      </c>
      <c r="V3394">
        <v>0</v>
      </c>
      <c r="W3394">
        <v>90713</v>
      </c>
    </row>
    <row r="3395" spans="1:23" x14ac:dyDescent="0.25">
      <c r="A3395" s="1" t="s">
        <v>37</v>
      </c>
      <c r="B3395" s="1" t="s">
        <v>81</v>
      </c>
      <c r="C3395" s="1" t="s">
        <v>196</v>
      </c>
      <c r="D3395">
        <v>13265</v>
      </c>
      <c r="E3395" s="1"/>
      <c r="F3395" s="1" t="s">
        <v>384</v>
      </c>
      <c r="G3395">
        <v>2014</v>
      </c>
      <c r="H3395">
        <v>151054.75</v>
      </c>
      <c r="I3395">
        <v>12</v>
      </c>
      <c r="J3395" s="1"/>
      <c r="K3395">
        <v>0</v>
      </c>
      <c r="L3395">
        <v>3000</v>
      </c>
      <c r="M3395">
        <v>50.349905</v>
      </c>
      <c r="N3395">
        <v>2</v>
      </c>
      <c r="O3395" s="1" t="s">
        <v>569</v>
      </c>
      <c r="P3395">
        <v>151054.75</v>
      </c>
      <c r="Q3395">
        <v>45316.43</v>
      </c>
      <c r="R3395">
        <v>0</v>
      </c>
      <c r="S3395" s="1" t="s">
        <v>1080</v>
      </c>
      <c r="T3395" s="1" t="s">
        <v>1335</v>
      </c>
      <c r="U3395">
        <v>151054.75099999999</v>
      </c>
      <c r="V3395">
        <v>0</v>
      </c>
      <c r="W3395">
        <v>90713</v>
      </c>
    </row>
    <row r="3396" spans="1:23" x14ac:dyDescent="0.25">
      <c r="A3396" s="1" t="s">
        <v>37</v>
      </c>
      <c r="B3396" s="1" t="s">
        <v>81</v>
      </c>
      <c r="C3396" s="1" t="s">
        <v>196</v>
      </c>
      <c r="D3396">
        <v>13265</v>
      </c>
      <c r="E3396" s="1"/>
      <c r="F3396" s="1" t="s">
        <v>384</v>
      </c>
      <c r="G3396">
        <v>2013</v>
      </c>
      <c r="H3396">
        <v>159172.20000000001</v>
      </c>
      <c r="I3396">
        <v>12</v>
      </c>
      <c r="J3396" s="1"/>
      <c r="K3396">
        <v>0</v>
      </c>
      <c r="L3396">
        <v>3000</v>
      </c>
      <c r="M3396">
        <v>53.055630999999998</v>
      </c>
      <c r="N3396">
        <v>2</v>
      </c>
      <c r="O3396" s="1" t="s">
        <v>569</v>
      </c>
      <c r="P3396">
        <v>159172.20000000001</v>
      </c>
      <c r="Q3396">
        <v>47751.66</v>
      </c>
      <c r="R3396">
        <v>0</v>
      </c>
      <c r="S3396" s="1" t="s">
        <v>1080</v>
      </c>
      <c r="T3396" s="1" t="s">
        <v>1335</v>
      </c>
      <c r="U3396">
        <v>159172.20000000001</v>
      </c>
      <c r="V3396">
        <v>0</v>
      </c>
      <c r="W3396">
        <v>90713</v>
      </c>
    </row>
    <row r="3397" spans="1:23" x14ac:dyDescent="0.25">
      <c r="A3397" s="1" t="s">
        <v>37</v>
      </c>
      <c r="B3397" s="1" t="s">
        <v>81</v>
      </c>
      <c r="C3397" s="1" t="s">
        <v>196</v>
      </c>
      <c r="D3397">
        <v>13265</v>
      </c>
      <c r="E3397" s="1"/>
      <c r="F3397" s="1" t="s">
        <v>384</v>
      </c>
      <c r="G3397">
        <v>2012</v>
      </c>
      <c r="H3397">
        <v>152591.16</v>
      </c>
      <c r="I3397">
        <v>12</v>
      </c>
      <c r="J3397" s="1"/>
      <c r="K3397">
        <v>0</v>
      </c>
      <c r="L3397">
        <v>3000</v>
      </c>
      <c r="M3397">
        <v>50.862023999999998</v>
      </c>
      <c r="N3397">
        <v>2</v>
      </c>
      <c r="O3397" s="1" t="s">
        <v>569</v>
      </c>
      <c r="P3397">
        <v>152591.16</v>
      </c>
      <c r="Q3397">
        <v>61036.44</v>
      </c>
      <c r="R3397">
        <v>0</v>
      </c>
      <c r="S3397" s="1" t="s">
        <v>1080</v>
      </c>
      <c r="T3397" s="1" t="s">
        <v>1335</v>
      </c>
      <c r="U3397">
        <v>152591.16</v>
      </c>
      <c r="V3397">
        <v>0</v>
      </c>
      <c r="W3397">
        <v>90713</v>
      </c>
    </row>
    <row r="3398" spans="1:23" x14ac:dyDescent="0.25">
      <c r="A3398" s="1" t="s">
        <v>37</v>
      </c>
      <c r="B3398" s="1" t="s">
        <v>81</v>
      </c>
      <c r="C3398" s="1" t="s">
        <v>196</v>
      </c>
      <c r="D3398">
        <v>13265</v>
      </c>
      <c r="E3398" s="1"/>
      <c r="F3398" s="1" t="s">
        <v>384</v>
      </c>
      <c r="G3398">
        <v>2011</v>
      </c>
      <c r="H3398">
        <v>132369.60000000001</v>
      </c>
      <c r="I3398">
        <v>5</v>
      </c>
      <c r="J3398" s="1" t="s">
        <v>426</v>
      </c>
      <c r="K3398">
        <v>0</v>
      </c>
      <c r="L3398">
        <v>3000</v>
      </c>
      <c r="M3398">
        <v>44.121729000000002</v>
      </c>
      <c r="N3398">
        <v>2</v>
      </c>
      <c r="O3398" s="1" t="s">
        <v>569</v>
      </c>
      <c r="P3398">
        <v>132369.60000000001</v>
      </c>
      <c r="Q3398">
        <v>62081.34</v>
      </c>
      <c r="R3398">
        <v>0</v>
      </c>
      <c r="S3398" s="1" t="s">
        <v>1081</v>
      </c>
      <c r="T3398" s="1" t="s">
        <v>1335</v>
      </c>
      <c r="U3398">
        <v>132369.61326000001</v>
      </c>
      <c r="V3398">
        <v>0</v>
      </c>
      <c r="W3398">
        <v>89185</v>
      </c>
    </row>
    <row r="3399" spans="1:23" x14ac:dyDescent="0.25">
      <c r="A3399" s="1" t="s">
        <v>37</v>
      </c>
      <c r="B3399" s="1" t="s">
        <v>81</v>
      </c>
      <c r="C3399" s="1" t="s">
        <v>196</v>
      </c>
      <c r="D3399">
        <v>13265</v>
      </c>
      <c r="E3399" s="1"/>
      <c r="F3399" s="1" t="s">
        <v>384</v>
      </c>
      <c r="G3399">
        <v>2011</v>
      </c>
      <c r="H3399">
        <v>14665.02</v>
      </c>
      <c r="I3399">
        <v>1</v>
      </c>
      <c r="J3399" s="1"/>
      <c r="K3399">
        <v>0</v>
      </c>
      <c r="L3399">
        <v>3000</v>
      </c>
      <c r="M3399">
        <v>4.8881769999999998</v>
      </c>
      <c r="N3399">
        <v>2</v>
      </c>
      <c r="O3399" s="1" t="s">
        <v>569</v>
      </c>
      <c r="P3399">
        <v>14665.02</v>
      </c>
      <c r="Q3399">
        <v>6877.89</v>
      </c>
      <c r="R3399">
        <v>0</v>
      </c>
      <c r="S3399" s="1" t="s">
        <v>1080</v>
      </c>
      <c r="T3399" s="1" t="s">
        <v>1335</v>
      </c>
      <c r="U3399">
        <v>14665.02</v>
      </c>
      <c r="V3399">
        <v>0</v>
      </c>
      <c r="W3399">
        <v>90713</v>
      </c>
    </row>
    <row r="3400" spans="1:23" x14ac:dyDescent="0.25">
      <c r="A3400" s="1" t="s">
        <v>37</v>
      </c>
      <c r="B3400" s="1" t="s">
        <v>81</v>
      </c>
      <c r="C3400" s="1" t="s">
        <v>196</v>
      </c>
      <c r="D3400">
        <v>13265</v>
      </c>
      <c r="E3400" s="1"/>
      <c r="F3400" s="1" t="s">
        <v>384</v>
      </c>
      <c r="G3400">
        <v>2010</v>
      </c>
      <c r="H3400">
        <v>68413.19</v>
      </c>
      <c r="I3400">
        <v>4</v>
      </c>
      <c r="J3400" s="1" t="s">
        <v>426</v>
      </c>
      <c r="K3400">
        <v>0</v>
      </c>
      <c r="L3400">
        <v>3000</v>
      </c>
      <c r="M3400">
        <v>22.803636000000001</v>
      </c>
      <c r="N3400">
        <v>2</v>
      </c>
      <c r="O3400" s="1" t="s">
        <v>569</v>
      </c>
      <c r="P3400">
        <v>68413.19</v>
      </c>
      <c r="Q3400">
        <v>32085.77</v>
      </c>
      <c r="R3400">
        <v>0</v>
      </c>
      <c r="S3400" s="1" t="s">
        <v>1081</v>
      </c>
      <c r="T3400" s="1" t="s">
        <v>1335</v>
      </c>
      <c r="U3400">
        <v>68413.158150000003</v>
      </c>
      <c r="V3400">
        <v>0</v>
      </c>
      <c r="W3400">
        <v>89185</v>
      </c>
    </row>
    <row r="3401" spans="1:23" x14ac:dyDescent="0.25">
      <c r="A3401" s="1" t="s">
        <v>37</v>
      </c>
      <c r="B3401" s="1" t="s">
        <v>81</v>
      </c>
      <c r="C3401" s="1" t="s">
        <v>196</v>
      </c>
      <c r="D3401">
        <v>13265</v>
      </c>
      <c r="E3401" s="1"/>
      <c r="F3401" s="1" t="s">
        <v>384</v>
      </c>
      <c r="G3401">
        <v>2009</v>
      </c>
      <c r="H3401">
        <v>1228.25</v>
      </c>
      <c r="I3401">
        <v>1</v>
      </c>
      <c r="J3401" s="1" t="s">
        <v>426</v>
      </c>
      <c r="K3401">
        <v>0</v>
      </c>
      <c r="L3401">
        <v>3000</v>
      </c>
      <c r="M3401">
        <v>0.40940300000000002</v>
      </c>
      <c r="N3401">
        <v>2</v>
      </c>
      <c r="O3401" s="1" t="s">
        <v>569</v>
      </c>
      <c r="P3401">
        <v>1228.25</v>
      </c>
      <c r="Q3401">
        <v>576.04</v>
      </c>
      <c r="R3401">
        <v>0</v>
      </c>
      <c r="S3401" s="1" t="s">
        <v>1081</v>
      </c>
      <c r="T3401" s="1" t="s">
        <v>1335</v>
      </c>
      <c r="U3401">
        <v>1228.22855</v>
      </c>
      <c r="V3401">
        <v>0</v>
      </c>
      <c r="W3401">
        <v>89185</v>
      </c>
    </row>
    <row r="3402" spans="1:23" x14ac:dyDescent="0.25">
      <c r="A3402" s="1" t="s">
        <v>37</v>
      </c>
      <c r="B3402" s="1"/>
      <c r="C3402" s="1" t="s">
        <v>197</v>
      </c>
      <c r="D3402">
        <v>10161</v>
      </c>
      <c r="E3402" s="1"/>
      <c r="F3402" s="1" t="s">
        <v>332</v>
      </c>
      <c r="G3402">
        <v>2015</v>
      </c>
      <c r="H3402">
        <v>2457.15</v>
      </c>
      <c r="I3402">
        <v>5</v>
      </c>
      <c r="J3402" s="1" t="s">
        <v>426</v>
      </c>
      <c r="K3402">
        <v>0</v>
      </c>
      <c r="L3402">
        <v>265</v>
      </c>
      <c r="M3402">
        <v>9.2687659999999994</v>
      </c>
      <c r="N3402">
        <v>2</v>
      </c>
      <c r="O3402" s="1" t="s">
        <v>569</v>
      </c>
      <c r="P3402">
        <v>2457.15</v>
      </c>
      <c r="Q3402">
        <v>737.14</v>
      </c>
      <c r="R3402">
        <v>0</v>
      </c>
      <c r="S3402" s="1" t="s">
        <v>1082</v>
      </c>
      <c r="T3402" s="1"/>
      <c r="U3402">
        <v>2457.1419999999998</v>
      </c>
      <c r="V3402">
        <v>0</v>
      </c>
      <c r="W3402">
        <v>77142</v>
      </c>
    </row>
    <row r="3403" spans="1:23" x14ac:dyDescent="0.25">
      <c r="A3403" s="1" t="s">
        <v>37</v>
      </c>
      <c r="B3403" s="1"/>
      <c r="C3403" s="1" t="s">
        <v>197</v>
      </c>
      <c r="D3403">
        <v>10161</v>
      </c>
      <c r="E3403" s="1"/>
      <c r="F3403" s="1" t="s">
        <v>332</v>
      </c>
      <c r="G3403">
        <v>2014</v>
      </c>
      <c r="H3403">
        <v>6127.19</v>
      </c>
      <c r="I3403">
        <v>12</v>
      </c>
      <c r="J3403" s="1" t="s">
        <v>426</v>
      </c>
      <c r="K3403">
        <v>0</v>
      </c>
      <c r="L3403">
        <v>265</v>
      </c>
      <c r="M3403">
        <v>23.112749000000001</v>
      </c>
      <c r="N3403">
        <v>2</v>
      </c>
      <c r="O3403" s="1" t="s">
        <v>569</v>
      </c>
      <c r="P3403">
        <v>6127.19</v>
      </c>
      <c r="Q3403">
        <v>1838.15</v>
      </c>
      <c r="R3403">
        <v>0</v>
      </c>
      <c r="S3403" s="1" t="s">
        <v>1082</v>
      </c>
      <c r="T3403" s="1"/>
      <c r="U3403">
        <v>6127.1890000000003</v>
      </c>
      <c r="V3403">
        <v>0</v>
      </c>
      <c r="W3403">
        <v>77142</v>
      </c>
    </row>
    <row r="3404" spans="1:23" x14ac:dyDescent="0.25">
      <c r="A3404" s="1" t="s">
        <v>37</v>
      </c>
      <c r="B3404" s="1"/>
      <c r="C3404" s="1" t="s">
        <v>197</v>
      </c>
      <c r="D3404">
        <v>10161</v>
      </c>
      <c r="E3404" s="1"/>
      <c r="F3404" s="1" t="s">
        <v>332</v>
      </c>
      <c r="G3404">
        <v>2013</v>
      </c>
      <c r="H3404">
        <v>6023.46</v>
      </c>
      <c r="I3404">
        <v>12</v>
      </c>
      <c r="J3404" s="1" t="s">
        <v>426</v>
      </c>
      <c r="K3404">
        <v>0</v>
      </c>
      <c r="L3404">
        <v>265</v>
      </c>
      <c r="M3404">
        <v>22.721463</v>
      </c>
      <c r="N3404">
        <v>2</v>
      </c>
      <c r="O3404" s="1" t="s">
        <v>569</v>
      </c>
      <c r="P3404">
        <v>6023.46</v>
      </c>
      <c r="Q3404">
        <v>1807.03</v>
      </c>
      <c r="R3404">
        <v>0</v>
      </c>
      <c r="S3404" s="1" t="s">
        <v>1082</v>
      </c>
      <c r="T3404" s="1"/>
      <c r="U3404">
        <v>6023.442</v>
      </c>
      <c r="V3404">
        <v>0</v>
      </c>
      <c r="W3404">
        <v>77142</v>
      </c>
    </row>
    <row r="3405" spans="1:23" x14ac:dyDescent="0.25">
      <c r="A3405" s="1" t="s">
        <v>37</v>
      </c>
      <c r="B3405" s="1"/>
      <c r="C3405" s="1" t="s">
        <v>197</v>
      </c>
      <c r="D3405">
        <v>10161</v>
      </c>
      <c r="E3405" s="1"/>
      <c r="F3405" s="1" t="s">
        <v>332</v>
      </c>
      <c r="G3405">
        <v>2012</v>
      </c>
      <c r="H3405">
        <v>4963.0200000000004</v>
      </c>
      <c r="I3405">
        <v>12</v>
      </c>
      <c r="J3405" s="1" t="s">
        <v>426</v>
      </c>
      <c r="K3405">
        <v>0</v>
      </c>
      <c r="L3405">
        <v>265</v>
      </c>
      <c r="M3405">
        <v>18.721312000000001</v>
      </c>
      <c r="N3405">
        <v>2</v>
      </c>
      <c r="O3405" s="1" t="s">
        <v>569</v>
      </c>
      <c r="P3405">
        <v>4963.0200000000004</v>
      </c>
      <c r="Q3405">
        <v>1985.21</v>
      </c>
      <c r="R3405">
        <v>0</v>
      </c>
      <c r="S3405" s="1" t="s">
        <v>1082</v>
      </c>
      <c r="T3405" s="1"/>
      <c r="U3405">
        <v>4963.0129999999999</v>
      </c>
      <c r="V3405">
        <v>0</v>
      </c>
      <c r="W3405">
        <v>77142</v>
      </c>
    </row>
    <row r="3406" spans="1:23" x14ac:dyDescent="0.25">
      <c r="A3406" s="1" t="s">
        <v>37</v>
      </c>
      <c r="B3406" s="1"/>
      <c r="C3406" s="1" t="s">
        <v>197</v>
      </c>
      <c r="D3406">
        <v>10161</v>
      </c>
      <c r="E3406" s="1"/>
      <c r="F3406" s="1" t="s">
        <v>332</v>
      </c>
      <c r="G3406">
        <v>2011</v>
      </c>
      <c r="H3406">
        <v>5121.58</v>
      </c>
      <c r="I3406">
        <v>7</v>
      </c>
      <c r="J3406" s="1" t="s">
        <v>426</v>
      </c>
      <c r="K3406">
        <v>0</v>
      </c>
      <c r="L3406">
        <v>265</v>
      </c>
      <c r="M3406">
        <v>19.319426</v>
      </c>
      <c r="N3406">
        <v>2</v>
      </c>
      <c r="O3406" s="1" t="s">
        <v>569</v>
      </c>
      <c r="P3406">
        <v>5121.58</v>
      </c>
      <c r="Q3406">
        <v>2402.0100000000002</v>
      </c>
      <c r="R3406">
        <v>0</v>
      </c>
      <c r="S3406" s="1" t="s">
        <v>1082</v>
      </c>
      <c r="T3406" s="1"/>
      <c r="U3406">
        <v>5121.5789999999997</v>
      </c>
      <c r="V3406">
        <v>0</v>
      </c>
      <c r="W3406">
        <v>77142</v>
      </c>
    </row>
    <row r="3407" spans="1:23" x14ac:dyDescent="0.25">
      <c r="A3407" s="1" t="s">
        <v>37</v>
      </c>
      <c r="B3407" s="1"/>
      <c r="C3407" s="1" t="s">
        <v>197</v>
      </c>
      <c r="D3407">
        <v>10161</v>
      </c>
      <c r="E3407" s="1"/>
      <c r="F3407" s="1" t="s">
        <v>332</v>
      </c>
      <c r="G3407">
        <v>2010</v>
      </c>
      <c r="H3407">
        <v>5789.27</v>
      </c>
      <c r="I3407">
        <v>7</v>
      </c>
      <c r="J3407" s="1" t="s">
        <v>426</v>
      </c>
      <c r="K3407">
        <v>0</v>
      </c>
      <c r="L3407">
        <v>265</v>
      </c>
      <c r="M3407">
        <v>21.838061</v>
      </c>
      <c r="N3407">
        <v>2</v>
      </c>
      <c r="O3407" s="1" t="s">
        <v>569</v>
      </c>
      <c r="P3407">
        <v>5789.27</v>
      </c>
      <c r="Q3407">
        <v>2715.17</v>
      </c>
      <c r="R3407">
        <v>0</v>
      </c>
      <c r="S3407" s="1" t="s">
        <v>1082</v>
      </c>
      <c r="T3407" s="1"/>
      <c r="U3407">
        <v>5789.27556</v>
      </c>
      <c r="V3407">
        <v>0</v>
      </c>
      <c r="W3407">
        <v>77142</v>
      </c>
    </row>
    <row r="3408" spans="1:23" x14ac:dyDescent="0.25">
      <c r="A3408" s="1" t="s">
        <v>37</v>
      </c>
      <c r="B3408" s="1"/>
      <c r="C3408" s="1" t="s">
        <v>197</v>
      </c>
      <c r="D3408">
        <v>10161</v>
      </c>
      <c r="E3408" s="1"/>
      <c r="F3408" s="1" t="s">
        <v>332</v>
      </c>
      <c r="G3408">
        <v>2009</v>
      </c>
      <c r="H3408">
        <v>5002.12</v>
      </c>
      <c r="I3408">
        <v>4</v>
      </c>
      <c r="J3408" s="1" t="s">
        <v>426</v>
      </c>
      <c r="K3408">
        <v>0</v>
      </c>
      <c r="L3408">
        <v>265</v>
      </c>
      <c r="M3408">
        <v>18.868804000000001</v>
      </c>
      <c r="N3408">
        <v>2</v>
      </c>
      <c r="O3408" s="1" t="s">
        <v>569</v>
      </c>
      <c r="P3408">
        <v>5002.12</v>
      </c>
      <c r="Q3408">
        <v>2346</v>
      </c>
      <c r="R3408">
        <v>0</v>
      </c>
      <c r="S3408" s="1" t="s">
        <v>1082</v>
      </c>
      <c r="T3408" s="1"/>
      <c r="U3408">
        <v>5002.1351500000001</v>
      </c>
      <c r="V3408">
        <v>0</v>
      </c>
      <c r="W3408">
        <v>77142</v>
      </c>
    </row>
    <row r="3409" spans="1:23" x14ac:dyDescent="0.25">
      <c r="A3409" s="1" t="s">
        <v>37</v>
      </c>
      <c r="B3409" s="1"/>
      <c r="C3409" s="1" t="s">
        <v>197</v>
      </c>
      <c r="D3409">
        <v>10161</v>
      </c>
      <c r="E3409" s="1"/>
      <c r="F3409" s="1" t="s">
        <v>332</v>
      </c>
      <c r="G3409">
        <v>2008</v>
      </c>
      <c r="H3409">
        <v>7047.75</v>
      </c>
      <c r="I3409">
        <v>6</v>
      </c>
      <c r="J3409" s="1" t="s">
        <v>426</v>
      </c>
      <c r="K3409">
        <v>0</v>
      </c>
      <c r="L3409">
        <v>265</v>
      </c>
      <c r="M3409">
        <v>26.585249999999998</v>
      </c>
      <c r="N3409">
        <v>2</v>
      </c>
      <c r="O3409" s="1" t="s">
        <v>569</v>
      </c>
      <c r="P3409">
        <v>7047.75</v>
      </c>
      <c r="Q3409">
        <v>3305.4</v>
      </c>
      <c r="R3409">
        <v>0</v>
      </c>
      <c r="S3409" s="1" t="s">
        <v>1082</v>
      </c>
      <c r="T3409" s="1"/>
      <c r="U3409">
        <v>7047.7538500000001</v>
      </c>
      <c r="V3409">
        <v>0</v>
      </c>
      <c r="W3409">
        <v>77142</v>
      </c>
    </row>
    <row r="3410" spans="1:23" x14ac:dyDescent="0.25">
      <c r="A3410" s="1" t="s">
        <v>37</v>
      </c>
      <c r="B3410" s="1" t="s">
        <v>82</v>
      </c>
      <c r="C3410" s="1" t="s">
        <v>198</v>
      </c>
      <c r="D3410">
        <v>6369</v>
      </c>
      <c r="E3410" s="1"/>
      <c r="F3410" s="1" t="s">
        <v>333</v>
      </c>
      <c r="G3410">
        <v>2015</v>
      </c>
      <c r="H3410">
        <v>1708.21</v>
      </c>
      <c r="I3410">
        <v>5</v>
      </c>
      <c r="J3410" s="1" t="s">
        <v>411</v>
      </c>
      <c r="K3410">
        <v>0</v>
      </c>
      <c r="L3410">
        <v>110</v>
      </c>
      <c r="M3410">
        <v>15.515077</v>
      </c>
      <c r="N3410">
        <v>2</v>
      </c>
      <c r="O3410" s="1" t="s">
        <v>569</v>
      </c>
      <c r="P3410">
        <v>1708.21</v>
      </c>
      <c r="Q3410">
        <v>683.28</v>
      </c>
      <c r="R3410">
        <v>0</v>
      </c>
      <c r="S3410" s="1" t="s">
        <v>1083</v>
      </c>
      <c r="T3410" s="1" t="s">
        <v>1336</v>
      </c>
      <c r="U3410">
        <v>1708.1980000000001</v>
      </c>
      <c r="V3410">
        <v>0</v>
      </c>
      <c r="W3410">
        <v>62718</v>
      </c>
    </row>
    <row r="3411" spans="1:23" x14ac:dyDescent="0.25">
      <c r="A3411" s="1" t="s">
        <v>37</v>
      </c>
      <c r="B3411" s="1" t="s">
        <v>82</v>
      </c>
      <c r="C3411" s="1" t="s">
        <v>198</v>
      </c>
      <c r="D3411">
        <v>6369</v>
      </c>
      <c r="E3411" s="1"/>
      <c r="F3411" s="1" t="s">
        <v>333</v>
      </c>
      <c r="G3411">
        <v>2014</v>
      </c>
      <c r="H3411">
        <v>2568.38</v>
      </c>
      <c r="I3411">
        <v>12</v>
      </c>
      <c r="J3411" s="1" t="s">
        <v>411</v>
      </c>
      <c r="K3411">
        <v>0</v>
      </c>
      <c r="L3411">
        <v>110</v>
      </c>
      <c r="M3411">
        <v>23.327701999999999</v>
      </c>
      <c r="N3411">
        <v>2</v>
      </c>
      <c r="O3411" s="1" t="s">
        <v>569</v>
      </c>
      <c r="P3411">
        <v>2568.38</v>
      </c>
      <c r="Q3411">
        <v>1027.3499999999999</v>
      </c>
      <c r="R3411">
        <v>0</v>
      </c>
      <c r="S3411" s="1" t="s">
        <v>1083</v>
      </c>
      <c r="T3411" s="1" t="s">
        <v>1336</v>
      </c>
      <c r="U3411">
        <v>2568.39</v>
      </c>
      <c r="V3411">
        <v>0</v>
      </c>
      <c r="W3411">
        <v>62718</v>
      </c>
    </row>
    <row r="3412" spans="1:23" x14ac:dyDescent="0.25">
      <c r="A3412" s="1" t="s">
        <v>37</v>
      </c>
      <c r="B3412" s="1" t="s">
        <v>82</v>
      </c>
      <c r="C3412" s="1" t="s">
        <v>198</v>
      </c>
      <c r="D3412">
        <v>6369</v>
      </c>
      <c r="E3412" s="1"/>
      <c r="F3412" s="1" t="s">
        <v>333</v>
      </c>
      <c r="G3412">
        <v>2013</v>
      </c>
      <c r="H3412">
        <v>1950.51</v>
      </c>
      <c r="I3412">
        <v>12</v>
      </c>
      <c r="J3412" s="1" t="s">
        <v>411</v>
      </c>
      <c r="K3412">
        <v>0</v>
      </c>
      <c r="L3412">
        <v>110</v>
      </c>
      <c r="M3412">
        <v>17.715803000000001</v>
      </c>
      <c r="N3412">
        <v>2</v>
      </c>
      <c r="O3412" s="1" t="s">
        <v>569</v>
      </c>
      <c r="P3412">
        <v>1950.51</v>
      </c>
      <c r="Q3412">
        <v>780.2</v>
      </c>
      <c r="R3412">
        <v>0</v>
      </c>
      <c r="S3412" s="1" t="s">
        <v>1083</v>
      </c>
      <c r="T3412" s="1" t="s">
        <v>1336</v>
      </c>
      <c r="U3412">
        <v>1950.501</v>
      </c>
      <c r="V3412">
        <v>0</v>
      </c>
      <c r="W3412">
        <v>62718</v>
      </c>
    </row>
    <row r="3413" spans="1:23" x14ac:dyDescent="0.25">
      <c r="A3413" s="1" t="s">
        <v>37</v>
      </c>
      <c r="B3413" s="1" t="s">
        <v>82</v>
      </c>
      <c r="C3413" s="1" t="s">
        <v>198</v>
      </c>
      <c r="D3413">
        <v>6369</v>
      </c>
      <c r="E3413" s="1"/>
      <c r="F3413" s="1" t="s">
        <v>333</v>
      </c>
      <c r="G3413">
        <v>2012</v>
      </c>
      <c r="H3413">
        <v>1550.01</v>
      </c>
      <c r="I3413">
        <v>16</v>
      </c>
      <c r="J3413" s="1" t="s">
        <v>411</v>
      </c>
      <c r="K3413">
        <v>0</v>
      </c>
      <c r="L3413">
        <v>110</v>
      </c>
      <c r="M3413">
        <v>14.078201</v>
      </c>
      <c r="N3413">
        <v>2</v>
      </c>
      <c r="O3413" s="1" t="s">
        <v>569</v>
      </c>
      <c r="P3413">
        <v>1550.01</v>
      </c>
      <c r="Q3413">
        <v>620.01</v>
      </c>
      <c r="R3413">
        <v>0</v>
      </c>
      <c r="S3413" s="1" t="s">
        <v>1083</v>
      </c>
      <c r="T3413" s="1" t="s">
        <v>1336</v>
      </c>
      <c r="U3413">
        <v>1550.0344399999999</v>
      </c>
      <c r="V3413">
        <v>0</v>
      </c>
      <c r="W3413">
        <v>62718</v>
      </c>
    </row>
    <row r="3414" spans="1:23" x14ac:dyDescent="0.25">
      <c r="A3414" s="1" t="s">
        <v>37</v>
      </c>
      <c r="B3414" s="1" t="s">
        <v>82</v>
      </c>
      <c r="C3414" s="1" t="s">
        <v>198</v>
      </c>
      <c r="D3414">
        <v>6369</v>
      </c>
      <c r="E3414" s="1"/>
      <c r="F3414" s="1" t="s">
        <v>333</v>
      </c>
      <c r="G3414">
        <v>2011</v>
      </c>
      <c r="H3414">
        <v>2311.7800000000002</v>
      </c>
      <c r="I3414">
        <v>5</v>
      </c>
      <c r="J3414" s="1" t="s">
        <v>411</v>
      </c>
      <c r="K3414">
        <v>0</v>
      </c>
      <c r="L3414">
        <v>110</v>
      </c>
      <c r="M3414">
        <v>20.997093</v>
      </c>
      <c r="N3414">
        <v>2</v>
      </c>
      <c r="O3414" s="1" t="s">
        <v>569</v>
      </c>
      <c r="P3414">
        <v>2311.7800000000002</v>
      </c>
      <c r="Q3414">
        <v>1084.22</v>
      </c>
      <c r="R3414">
        <v>0</v>
      </c>
      <c r="S3414" s="1" t="s">
        <v>1083</v>
      </c>
      <c r="T3414" s="1" t="s">
        <v>1336</v>
      </c>
      <c r="U3414">
        <v>2311.7734999999998</v>
      </c>
      <c r="V3414">
        <v>0</v>
      </c>
      <c r="W3414">
        <v>62718</v>
      </c>
    </row>
    <row r="3415" spans="1:23" x14ac:dyDescent="0.25">
      <c r="A3415" s="1" t="s">
        <v>37</v>
      </c>
      <c r="B3415" s="1" t="s">
        <v>82</v>
      </c>
      <c r="C3415" s="1" t="s">
        <v>198</v>
      </c>
      <c r="D3415">
        <v>6369</v>
      </c>
      <c r="E3415" s="1"/>
      <c r="F3415" s="1" t="s">
        <v>333</v>
      </c>
      <c r="G3415">
        <v>2010</v>
      </c>
      <c r="H3415">
        <v>2856.28</v>
      </c>
      <c r="I3415">
        <v>3</v>
      </c>
      <c r="J3415" s="1" t="s">
        <v>411</v>
      </c>
      <c r="K3415">
        <v>0</v>
      </c>
      <c r="L3415">
        <v>110</v>
      </c>
      <c r="M3415">
        <v>25.942596999999999</v>
      </c>
      <c r="N3415">
        <v>2</v>
      </c>
      <c r="O3415" s="1" t="s">
        <v>569</v>
      </c>
      <c r="P3415">
        <v>2856.28</v>
      </c>
      <c r="Q3415">
        <v>1339.62</v>
      </c>
      <c r="R3415">
        <v>0</v>
      </c>
      <c r="S3415" s="1" t="s">
        <v>1083</v>
      </c>
      <c r="T3415" s="1" t="s">
        <v>1336</v>
      </c>
      <c r="U3415">
        <v>2856.28206</v>
      </c>
      <c r="V3415">
        <v>0</v>
      </c>
      <c r="W3415">
        <v>62718</v>
      </c>
    </row>
    <row r="3416" spans="1:23" x14ac:dyDescent="0.25">
      <c r="A3416" s="1" t="s">
        <v>37</v>
      </c>
      <c r="B3416" s="1" t="s">
        <v>82</v>
      </c>
      <c r="C3416" s="1" t="s">
        <v>198</v>
      </c>
      <c r="D3416">
        <v>6369</v>
      </c>
      <c r="E3416" s="1"/>
      <c r="F3416" s="1" t="s">
        <v>333</v>
      </c>
      <c r="G3416">
        <v>2009</v>
      </c>
      <c r="H3416">
        <v>3474.76</v>
      </c>
      <c r="I3416">
        <v>4</v>
      </c>
      <c r="J3416" s="1" t="s">
        <v>411</v>
      </c>
      <c r="K3416">
        <v>0</v>
      </c>
      <c r="L3416">
        <v>110</v>
      </c>
      <c r="M3416">
        <v>31.560036</v>
      </c>
      <c r="N3416">
        <v>2</v>
      </c>
      <c r="O3416" s="1" t="s">
        <v>569</v>
      </c>
      <c r="P3416">
        <v>3474.76</v>
      </c>
      <c r="Q3416">
        <v>1629.69</v>
      </c>
      <c r="R3416">
        <v>0</v>
      </c>
      <c r="S3416" s="1" t="s">
        <v>1083</v>
      </c>
      <c r="T3416" s="1" t="s">
        <v>1336</v>
      </c>
      <c r="U3416">
        <v>3474.7777700000001</v>
      </c>
      <c r="V3416">
        <v>0</v>
      </c>
      <c r="W3416">
        <v>62718</v>
      </c>
    </row>
    <row r="3417" spans="1:23" x14ac:dyDescent="0.25">
      <c r="A3417" s="1" t="s">
        <v>37</v>
      </c>
      <c r="B3417" s="1" t="s">
        <v>82</v>
      </c>
      <c r="C3417" s="1" t="s">
        <v>198</v>
      </c>
      <c r="D3417">
        <v>6369</v>
      </c>
      <c r="E3417" s="1"/>
      <c r="F3417" s="1" t="s">
        <v>333</v>
      </c>
      <c r="G3417">
        <v>2008</v>
      </c>
      <c r="H3417">
        <v>3231.22</v>
      </c>
      <c r="I3417">
        <v>10</v>
      </c>
      <c r="J3417" s="1" t="s">
        <v>411</v>
      </c>
      <c r="K3417">
        <v>0</v>
      </c>
      <c r="L3417">
        <v>110</v>
      </c>
      <c r="M3417">
        <v>29.348047000000001</v>
      </c>
      <c r="N3417">
        <v>2</v>
      </c>
      <c r="O3417" s="1" t="s">
        <v>569</v>
      </c>
      <c r="P3417">
        <v>3231.22</v>
      </c>
      <c r="Q3417">
        <v>1515.44</v>
      </c>
      <c r="R3417">
        <v>0</v>
      </c>
      <c r="S3417" s="1" t="s">
        <v>1083</v>
      </c>
      <c r="T3417" s="1" t="s">
        <v>1336</v>
      </c>
      <c r="U3417">
        <v>3231.2222200000001</v>
      </c>
      <c r="V3417">
        <v>0</v>
      </c>
      <c r="W3417">
        <v>62718</v>
      </c>
    </row>
    <row r="3418" spans="1:23" x14ac:dyDescent="0.25">
      <c r="A3418" s="1" t="s">
        <v>37</v>
      </c>
      <c r="B3418" s="1" t="s">
        <v>82</v>
      </c>
      <c r="C3418" s="1" t="s">
        <v>199</v>
      </c>
      <c r="D3418">
        <v>5474</v>
      </c>
      <c r="E3418" s="1"/>
      <c r="F3418" s="1" t="s">
        <v>334</v>
      </c>
      <c r="G3418">
        <v>2015</v>
      </c>
      <c r="H3418">
        <v>84176.47</v>
      </c>
      <c r="I3418">
        <v>5</v>
      </c>
      <c r="J3418" s="1" t="s">
        <v>393</v>
      </c>
      <c r="K3418">
        <v>0</v>
      </c>
      <c r="L3418">
        <v>10600</v>
      </c>
      <c r="M3418">
        <v>7.9411009999999997</v>
      </c>
      <c r="N3418">
        <v>2</v>
      </c>
      <c r="O3418" s="1" t="s">
        <v>569</v>
      </c>
      <c r="P3418">
        <v>84176.47</v>
      </c>
      <c r="Q3418">
        <v>33670.589999999997</v>
      </c>
      <c r="R3418">
        <v>0</v>
      </c>
      <c r="S3418" s="1" t="s">
        <v>1084</v>
      </c>
      <c r="T3418" s="1" t="s">
        <v>1337</v>
      </c>
      <c r="U3418">
        <v>84176.47</v>
      </c>
      <c r="V3418">
        <v>0</v>
      </c>
      <c r="W3418">
        <v>57910</v>
      </c>
    </row>
    <row r="3419" spans="1:23" x14ac:dyDescent="0.25">
      <c r="A3419" s="1" t="s">
        <v>37</v>
      </c>
      <c r="B3419" s="1" t="s">
        <v>82</v>
      </c>
      <c r="C3419" s="1" t="s">
        <v>199</v>
      </c>
      <c r="D3419">
        <v>5474</v>
      </c>
      <c r="E3419" s="1"/>
      <c r="F3419" s="1" t="s">
        <v>334</v>
      </c>
      <c r="G3419">
        <v>2014</v>
      </c>
      <c r="H3419">
        <v>185903.96</v>
      </c>
      <c r="I3419">
        <v>12</v>
      </c>
      <c r="J3419" s="1" t="s">
        <v>393</v>
      </c>
      <c r="K3419">
        <v>0</v>
      </c>
      <c r="L3419">
        <v>10600</v>
      </c>
      <c r="M3419">
        <v>17.537942999999999</v>
      </c>
      <c r="N3419">
        <v>2</v>
      </c>
      <c r="O3419" s="1" t="s">
        <v>569</v>
      </c>
      <c r="P3419">
        <v>185903.96</v>
      </c>
      <c r="Q3419">
        <v>74361.570000000007</v>
      </c>
      <c r="R3419">
        <v>0</v>
      </c>
      <c r="S3419" s="1" t="s">
        <v>1084</v>
      </c>
      <c r="T3419" s="1" t="s">
        <v>1337</v>
      </c>
      <c r="U3419">
        <v>185903.96</v>
      </c>
      <c r="V3419">
        <v>0</v>
      </c>
      <c r="W3419">
        <v>57910</v>
      </c>
    </row>
    <row r="3420" spans="1:23" x14ac:dyDescent="0.25">
      <c r="A3420" s="1" t="s">
        <v>37</v>
      </c>
      <c r="B3420" s="1" t="s">
        <v>82</v>
      </c>
      <c r="C3420" s="1" t="s">
        <v>199</v>
      </c>
      <c r="D3420">
        <v>5474</v>
      </c>
      <c r="E3420" s="1"/>
      <c r="F3420" s="1" t="s">
        <v>334</v>
      </c>
      <c r="G3420">
        <v>2013</v>
      </c>
      <c r="H3420">
        <v>190219.44</v>
      </c>
      <c r="I3420">
        <v>12</v>
      </c>
      <c r="J3420" s="1" t="s">
        <v>393</v>
      </c>
      <c r="K3420">
        <v>0</v>
      </c>
      <c r="L3420">
        <v>10600</v>
      </c>
      <c r="M3420">
        <v>17.945060000000002</v>
      </c>
      <c r="N3420">
        <v>2</v>
      </c>
      <c r="O3420" s="1" t="s">
        <v>569</v>
      </c>
      <c r="P3420">
        <v>190219.44</v>
      </c>
      <c r="Q3420">
        <v>76087.77</v>
      </c>
      <c r="R3420">
        <v>0</v>
      </c>
      <c r="S3420" s="1" t="s">
        <v>1084</v>
      </c>
      <c r="T3420" s="1" t="s">
        <v>1337</v>
      </c>
      <c r="U3420">
        <v>190219.44</v>
      </c>
      <c r="V3420">
        <v>0</v>
      </c>
      <c r="W3420">
        <v>57910</v>
      </c>
    </row>
    <row r="3421" spans="1:23" x14ac:dyDescent="0.25">
      <c r="A3421" s="1" t="s">
        <v>37</v>
      </c>
      <c r="B3421" s="1" t="s">
        <v>82</v>
      </c>
      <c r="C3421" s="1" t="s">
        <v>199</v>
      </c>
      <c r="D3421">
        <v>5474</v>
      </c>
      <c r="E3421" s="1"/>
      <c r="F3421" s="1" t="s">
        <v>334</v>
      </c>
      <c r="G3421">
        <v>2012</v>
      </c>
      <c r="H3421">
        <v>179286.64</v>
      </c>
      <c r="I3421">
        <v>12</v>
      </c>
      <c r="J3421" s="1" t="s">
        <v>393</v>
      </c>
      <c r="K3421">
        <v>0</v>
      </c>
      <c r="L3421">
        <v>10600</v>
      </c>
      <c r="M3421">
        <v>16.913674</v>
      </c>
      <c r="N3421">
        <v>2</v>
      </c>
      <c r="O3421" s="1" t="s">
        <v>569</v>
      </c>
      <c r="P3421">
        <v>179286.64</v>
      </c>
      <c r="Q3421">
        <v>71714.649999999994</v>
      </c>
      <c r="R3421">
        <v>0</v>
      </c>
      <c r="S3421" s="1" t="s">
        <v>1084</v>
      </c>
      <c r="T3421" s="1" t="s">
        <v>1337</v>
      </c>
      <c r="U3421">
        <v>179286.639</v>
      </c>
      <c r="V3421">
        <v>0</v>
      </c>
      <c r="W3421">
        <v>57910</v>
      </c>
    </row>
    <row r="3422" spans="1:23" x14ac:dyDescent="0.25">
      <c r="A3422" s="1" t="s">
        <v>37</v>
      </c>
      <c r="B3422" s="1" t="s">
        <v>82</v>
      </c>
      <c r="C3422" s="1" t="s">
        <v>199</v>
      </c>
      <c r="D3422">
        <v>5474</v>
      </c>
      <c r="E3422" s="1"/>
      <c r="F3422" s="1" t="s">
        <v>334</v>
      </c>
      <c r="G3422">
        <v>2011</v>
      </c>
      <c r="H3422">
        <v>213137.63</v>
      </c>
      <c r="I3422">
        <v>12</v>
      </c>
      <c r="J3422" s="1" t="s">
        <v>393</v>
      </c>
      <c r="K3422">
        <v>0</v>
      </c>
      <c r="L3422">
        <v>10600</v>
      </c>
      <c r="M3422">
        <v>20.107133000000001</v>
      </c>
      <c r="N3422">
        <v>2</v>
      </c>
      <c r="O3422" s="1" t="s">
        <v>569</v>
      </c>
      <c r="P3422">
        <v>213137.63</v>
      </c>
      <c r="Q3422">
        <v>99961.54</v>
      </c>
      <c r="R3422">
        <v>0</v>
      </c>
      <c r="S3422" s="1" t="s">
        <v>1084</v>
      </c>
      <c r="T3422" s="1" t="s">
        <v>1337</v>
      </c>
      <c r="U3422">
        <v>213137.63</v>
      </c>
      <c r="V3422">
        <v>0</v>
      </c>
      <c r="W3422">
        <v>57910</v>
      </c>
    </row>
    <row r="3423" spans="1:23" x14ac:dyDescent="0.25">
      <c r="A3423" s="1" t="s">
        <v>37</v>
      </c>
      <c r="B3423" s="1" t="s">
        <v>82</v>
      </c>
      <c r="C3423" s="1" t="s">
        <v>199</v>
      </c>
      <c r="D3423">
        <v>5474</v>
      </c>
      <c r="E3423" s="1"/>
      <c r="F3423" s="1" t="s">
        <v>334</v>
      </c>
      <c r="G3423">
        <v>2010</v>
      </c>
      <c r="H3423">
        <v>233814.17</v>
      </c>
      <c r="I3423">
        <v>12</v>
      </c>
      <c r="J3423" s="1" t="s">
        <v>393</v>
      </c>
      <c r="K3423">
        <v>0</v>
      </c>
      <c r="L3423">
        <v>10600</v>
      </c>
      <c r="M3423">
        <v>22.057732000000001</v>
      </c>
      <c r="N3423">
        <v>2</v>
      </c>
      <c r="O3423" s="1" t="s">
        <v>569</v>
      </c>
      <c r="P3423">
        <v>233814.17</v>
      </c>
      <c r="Q3423">
        <v>109658.85</v>
      </c>
      <c r="R3423">
        <v>0</v>
      </c>
      <c r="S3423" s="1" t="s">
        <v>1084</v>
      </c>
      <c r="T3423" s="1" t="s">
        <v>1337</v>
      </c>
      <c r="U3423">
        <v>233814.17</v>
      </c>
      <c r="V3423">
        <v>0</v>
      </c>
      <c r="W3423">
        <v>57910</v>
      </c>
    </row>
    <row r="3424" spans="1:23" x14ac:dyDescent="0.25">
      <c r="A3424" s="1" t="s">
        <v>37</v>
      </c>
      <c r="B3424" s="1" t="s">
        <v>82</v>
      </c>
      <c r="C3424" s="1" t="s">
        <v>199</v>
      </c>
      <c r="D3424">
        <v>5474</v>
      </c>
      <c r="E3424" s="1"/>
      <c r="F3424" s="1" t="s">
        <v>334</v>
      </c>
      <c r="G3424">
        <v>2009</v>
      </c>
      <c r="H3424">
        <v>249709.16</v>
      </c>
      <c r="I3424">
        <v>12</v>
      </c>
      <c r="J3424" s="1" t="s">
        <v>393</v>
      </c>
      <c r="K3424">
        <v>0</v>
      </c>
      <c r="L3424">
        <v>10600</v>
      </c>
      <c r="M3424">
        <v>23.557245000000002</v>
      </c>
      <c r="N3424">
        <v>2</v>
      </c>
      <c r="O3424" s="1" t="s">
        <v>569</v>
      </c>
      <c r="P3424">
        <v>249709.16</v>
      </c>
      <c r="Q3424">
        <v>117113.59</v>
      </c>
      <c r="R3424">
        <v>0</v>
      </c>
      <c r="S3424" s="1" t="s">
        <v>1084</v>
      </c>
      <c r="T3424" s="1" t="s">
        <v>1337</v>
      </c>
      <c r="U3424">
        <v>249709.155</v>
      </c>
      <c r="V3424">
        <v>0</v>
      </c>
      <c r="W3424">
        <v>57910</v>
      </c>
    </row>
    <row r="3425" spans="1:23" x14ac:dyDescent="0.25">
      <c r="A3425" s="1" t="s">
        <v>37</v>
      </c>
      <c r="B3425" s="1" t="s">
        <v>82</v>
      </c>
      <c r="C3425" s="1" t="s">
        <v>199</v>
      </c>
      <c r="D3425">
        <v>5474</v>
      </c>
      <c r="E3425" s="1"/>
      <c r="F3425" s="1" t="s">
        <v>334</v>
      </c>
      <c r="G3425">
        <v>2008</v>
      </c>
      <c r="H3425">
        <v>253384.8</v>
      </c>
      <c r="I3425">
        <v>12</v>
      </c>
      <c r="J3425" s="1" t="s">
        <v>393</v>
      </c>
      <c r="K3425">
        <v>0</v>
      </c>
      <c r="L3425">
        <v>10600</v>
      </c>
      <c r="M3425">
        <v>23.904</v>
      </c>
      <c r="N3425">
        <v>2</v>
      </c>
      <c r="O3425" s="1" t="s">
        <v>569</v>
      </c>
      <c r="P3425">
        <v>253384.8</v>
      </c>
      <c r="Q3425">
        <v>118837.47</v>
      </c>
      <c r="R3425">
        <v>0</v>
      </c>
      <c r="S3425" s="1" t="s">
        <v>1084</v>
      </c>
      <c r="T3425" s="1" t="s">
        <v>1337</v>
      </c>
      <c r="U3425">
        <v>253384.8</v>
      </c>
      <c r="V3425">
        <v>0</v>
      </c>
      <c r="W3425">
        <v>57910</v>
      </c>
    </row>
    <row r="3426" spans="1:23" x14ac:dyDescent="0.25">
      <c r="A3426" s="1" t="s">
        <v>37</v>
      </c>
      <c r="B3426" s="1"/>
      <c r="C3426" s="1" t="s">
        <v>238</v>
      </c>
      <c r="D3426">
        <v>5534</v>
      </c>
      <c r="E3426" s="1"/>
      <c r="F3426" s="1" t="s">
        <v>385</v>
      </c>
      <c r="G3426">
        <v>2015</v>
      </c>
      <c r="H3426">
        <v>9527.8799999999992</v>
      </c>
      <c r="I3426">
        <v>5</v>
      </c>
      <c r="J3426" s="1" t="s">
        <v>543</v>
      </c>
      <c r="K3426">
        <v>0</v>
      </c>
      <c r="L3426">
        <v>1021</v>
      </c>
      <c r="M3426">
        <v>9.3309949999999997</v>
      </c>
      <c r="N3426">
        <v>2</v>
      </c>
      <c r="O3426" s="1" t="s">
        <v>569</v>
      </c>
      <c r="P3426">
        <v>9527.8799999999992</v>
      </c>
      <c r="Q3426">
        <v>3811.15</v>
      </c>
      <c r="R3426">
        <v>0</v>
      </c>
      <c r="S3426" s="1" t="s">
        <v>1085</v>
      </c>
      <c r="T3426" s="1"/>
      <c r="U3426">
        <v>9527.8799999999992</v>
      </c>
      <c r="V3426">
        <v>0</v>
      </c>
      <c r="W3426">
        <v>58251</v>
      </c>
    </row>
    <row r="3427" spans="1:23" x14ac:dyDescent="0.25">
      <c r="A3427" s="1" t="s">
        <v>37</v>
      </c>
      <c r="B3427" s="1"/>
      <c r="C3427" s="1" t="s">
        <v>238</v>
      </c>
      <c r="D3427">
        <v>5534</v>
      </c>
      <c r="E3427" s="1"/>
      <c r="F3427" s="1" t="s">
        <v>385</v>
      </c>
      <c r="G3427">
        <v>2014</v>
      </c>
      <c r="H3427">
        <v>20858.16</v>
      </c>
      <c r="I3427">
        <v>12</v>
      </c>
      <c r="J3427" s="1" t="s">
        <v>543</v>
      </c>
      <c r="K3427">
        <v>0</v>
      </c>
      <c r="L3427">
        <v>1021</v>
      </c>
      <c r="M3427">
        <v>20.427147000000001</v>
      </c>
      <c r="N3427">
        <v>2</v>
      </c>
      <c r="O3427" s="1" t="s">
        <v>569</v>
      </c>
      <c r="P3427">
        <v>20858.16</v>
      </c>
      <c r="Q3427">
        <v>8343.25</v>
      </c>
      <c r="R3427">
        <v>0</v>
      </c>
      <c r="S3427" s="1" t="s">
        <v>1085</v>
      </c>
      <c r="T3427" s="1"/>
      <c r="U3427">
        <v>20858.16</v>
      </c>
      <c r="V3427">
        <v>0</v>
      </c>
      <c r="W3427">
        <v>58251</v>
      </c>
    </row>
    <row r="3428" spans="1:23" x14ac:dyDescent="0.25">
      <c r="A3428" s="1" t="s">
        <v>37</v>
      </c>
      <c r="B3428" s="1"/>
      <c r="C3428" s="1" t="s">
        <v>238</v>
      </c>
      <c r="D3428">
        <v>5534</v>
      </c>
      <c r="E3428" s="1"/>
      <c r="F3428" s="1" t="s">
        <v>385</v>
      </c>
      <c r="G3428">
        <v>2013</v>
      </c>
      <c r="H3428">
        <v>16773.95</v>
      </c>
      <c r="I3428">
        <v>12</v>
      </c>
      <c r="J3428" s="1" t="s">
        <v>543</v>
      </c>
      <c r="K3428">
        <v>0</v>
      </c>
      <c r="L3428">
        <v>1021</v>
      </c>
      <c r="M3428">
        <v>16.427333000000001</v>
      </c>
      <c r="N3428">
        <v>2</v>
      </c>
      <c r="O3428" s="1" t="s">
        <v>569</v>
      </c>
      <c r="P3428">
        <v>16773.95</v>
      </c>
      <c r="Q3428">
        <v>6709.58</v>
      </c>
      <c r="R3428">
        <v>0</v>
      </c>
      <c r="S3428" s="1" t="s">
        <v>1085</v>
      </c>
      <c r="T3428" s="1"/>
      <c r="U3428">
        <v>16773.95</v>
      </c>
      <c r="V3428">
        <v>0</v>
      </c>
      <c r="W3428">
        <v>58251</v>
      </c>
    </row>
    <row r="3429" spans="1:23" x14ac:dyDescent="0.25">
      <c r="A3429" s="1" t="s">
        <v>37</v>
      </c>
      <c r="B3429" s="1"/>
      <c r="C3429" s="1" t="s">
        <v>238</v>
      </c>
      <c r="D3429">
        <v>5534</v>
      </c>
      <c r="E3429" s="1"/>
      <c r="F3429" s="1" t="s">
        <v>385</v>
      </c>
      <c r="G3429">
        <v>2012</v>
      </c>
      <c r="H3429">
        <v>16000.57</v>
      </c>
      <c r="I3429">
        <v>12</v>
      </c>
      <c r="J3429" s="1" t="s">
        <v>543</v>
      </c>
      <c r="K3429">
        <v>0</v>
      </c>
      <c r="L3429">
        <v>1021</v>
      </c>
      <c r="M3429">
        <v>15.669934</v>
      </c>
      <c r="N3429">
        <v>2</v>
      </c>
      <c r="O3429" s="1" t="s">
        <v>569</v>
      </c>
      <c r="P3429">
        <v>16000.57</v>
      </c>
      <c r="Q3429">
        <v>6400.24</v>
      </c>
      <c r="R3429">
        <v>0</v>
      </c>
      <c r="S3429" s="1" t="s">
        <v>1085</v>
      </c>
      <c r="T3429" s="1"/>
      <c r="U3429">
        <v>16000.57</v>
      </c>
      <c r="V3429">
        <v>0</v>
      </c>
      <c r="W3429">
        <v>58251</v>
      </c>
    </row>
    <row r="3430" spans="1:23" x14ac:dyDescent="0.25">
      <c r="A3430" s="1" t="s">
        <v>37</v>
      </c>
      <c r="B3430" s="1"/>
      <c r="C3430" s="1" t="s">
        <v>238</v>
      </c>
      <c r="D3430">
        <v>5534</v>
      </c>
      <c r="E3430" s="1"/>
      <c r="F3430" s="1" t="s">
        <v>385</v>
      </c>
      <c r="G3430">
        <v>2011</v>
      </c>
      <c r="H3430">
        <v>17378.689999999999</v>
      </c>
      <c r="I3430">
        <v>12</v>
      </c>
      <c r="J3430" s="1" t="s">
        <v>543</v>
      </c>
      <c r="K3430">
        <v>0</v>
      </c>
      <c r="L3430">
        <v>1021</v>
      </c>
      <c r="M3430">
        <v>17.019576000000001</v>
      </c>
      <c r="N3430">
        <v>2</v>
      </c>
      <c r="O3430" s="1" t="s">
        <v>569</v>
      </c>
      <c r="P3430">
        <v>17378.689999999999</v>
      </c>
      <c r="Q3430">
        <v>8150.59</v>
      </c>
      <c r="R3430">
        <v>0</v>
      </c>
      <c r="S3430" s="1" t="s">
        <v>1085</v>
      </c>
      <c r="T3430" s="1"/>
      <c r="U3430">
        <v>17378.689999999999</v>
      </c>
      <c r="V3430">
        <v>0</v>
      </c>
      <c r="W3430">
        <v>58251</v>
      </c>
    </row>
    <row r="3431" spans="1:23" x14ac:dyDescent="0.25">
      <c r="A3431" s="1" t="s">
        <v>37</v>
      </c>
      <c r="B3431" s="1"/>
      <c r="C3431" s="1" t="s">
        <v>238</v>
      </c>
      <c r="D3431">
        <v>5534</v>
      </c>
      <c r="E3431" s="1"/>
      <c r="F3431" s="1" t="s">
        <v>385</v>
      </c>
      <c r="G3431">
        <v>2010</v>
      </c>
      <c r="H3431">
        <v>20724.22</v>
      </c>
      <c r="I3431">
        <v>12</v>
      </c>
      <c r="J3431" s="1" t="s">
        <v>543</v>
      </c>
      <c r="K3431">
        <v>0</v>
      </c>
      <c r="L3431">
        <v>1021</v>
      </c>
      <c r="M3431">
        <v>20.295974000000001</v>
      </c>
      <c r="N3431">
        <v>2</v>
      </c>
      <c r="O3431" s="1" t="s">
        <v>569</v>
      </c>
      <c r="P3431">
        <v>20724.22</v>
      </c>
      <c r="Q3431">
        <v>9719.66</v>
      </c>
      <c r="R3431">
        <v>0</v>
      </c>
      <c r="S3431" s="1" t="s">
        <v>1085</v>
      </c>
      <c r="T3431" s="1"/>
      <c r="U3431">
        <v>20724.22</v>
      </c>
      <c r="V3431">
        <v>0</v>
      </c>
      <c r="W3431">
        <v>58251</v>
      </c>
    </row>
    <row r="3432" spans="1:23" x14ac:dyDescent="0.25">
      <c r="A3432" s="1" t="s">
        <v>37</v>
      </c>
      <c r="B3432" s="1"/>
      <c r="C3432" s="1" t="s">
        <v>238</v>
      </c>
      <c r="D3432">
        <v>5534</v>
      </c>
      <c r="E3432" s="1"/>
      <c r="F3432" s="1" t="s">
        <v>385</v>
      </c>
      <c r="G3432">
        <v>2009</v>
      </c>
      <c r="H3432">
        <v>22612.33</v>
      </c>
      <c r="I3432">
        <v>12</v>
      </c>
      <c r="J3432" s="1" t="s">
        <v>543</v>
      </c>
      <c r="K3432">
        <v>0</v>
      </c>
      <c r="L3432">
        <v>1021</v>
      </c>
      <c r="M3432">
        <v>22.145068999999999</v>
      </c>
      <c r="N3432">
        <v>2</v>
      </c>
      <c r="O3432" s="1" t="s">
        <v>569</v>
      </c>
      <c r="P3432">
        <v>22612.33</v>
      </c>
      <c r="Q3432">
        <v>10605.17</v>
      </c>
      <c r="R3432">
        <v>0</v>
      </c>
      <c r="S3432" s="1" t="s">
        <v>1085</v>
      </c>
      <c r="T3432" s="1"/>
      <c r="U3432">
        <v>22612.33</v>
      </c>
      <c r="V3432">
        <v>0</v>
      </c>
      <c r="W3432">
        <v>58251</v>
      </c>
    </row>
    <row r="3433" spans="1:23" x14ac:dyDescent="0.25">
      <c r="A3433" s="1" t="s">
        <v>37</v>
      </c>
      <c r="B3433" s="1"/>
      <c r="C3433" s="1" t="s">
        <v>238</v>
      </c>
      <c r="D3433">
        <v>5534</v>
      </c>
      <c r="E3433" s="1"/>
      <c r="F3433" s="1" t="s">
        <v>385</v>
      </c>
      <c r="G3433">
        <v>2008</v>
      </c>
      <c r="H3433">
        <v>21267.87</v>
      </c>
      <c r="I3433">
        <v>12</v>
      </c>
      <c r="J3433" s="1" t="s">
        <v>543</v>
      </c>
      <c r="K3433">
        <v>0</v>
      </c>
      <c r="L3433">
        <v>1021</v>
      </c>
      <c r="M3433">
        <v>20.828389999999999</v>
      </c>
      <c r="N3433">
        <v>2</v>
      </c>
      <c r="O3433" s="1" t="s">
        <v>569</v>
      </c>
      <c r="P3433">
        <v>21267.87</v>
      </c>
      <c r="Q3433">
        <v>9974.64</v>
      </c>
      <c r="R3433">
        <v>0</v>
      </c>
      <c r="S3433" s="1" t="s">
        <v>1085</v>
      </c>
      <c r="T3433" s="1"/>
      <c r="U3433">
        <v>21267.87</v>
      </c>
      <c r="V3433">
        <v>0</v>
      </c>
      <c r="W3433">
        <v>58251</v>
      </c>
    </row>
    <row r="3434" spans="1:23" x14ac:dyDescent="0.25">
      <c r="A3434" s="1" t="s">
        <v>37</v>
      </c>
      <c r="B3434" s="1" t="s">
        <v>66</v>
      </c>
      <c r="C3434" s="1" t="s">
        <v>200</v>
      </c>
      <c r="D3434">
        <v>5471</v>
      </c>
      <c r="E3434" s="1"/>
      <c r="F3434" s="1" t="s">
        <v>335</v>
      </c>
      <c r="G3434">
        <v>2015</v>
      </c>
      <c r="H3434">
        <v>99332.84</v>
      </c>
      <c r="I3434">
        <v>5</v>
      </c>
      <c r="J3434" s="1" t="s">
        <v>402</v>
      </c>
      <c r="K3434">
        <v>0</v>
      </c>
      <c r="L3434">
        <v>8656</v>
      </c>
      <c r="M3434">
        <v>11.475472</v>
      </c>
      <c r="N3434">
        <v>2</v>
      </c>
      <c r="O3434" s="1" t="s">
        <v>569</v>
      </c>
      <c r="P3434">
        <v>99332.84</v>
      </c>
      <c r="Q3434">
        <v>39733.129999999997</v>
      </c>
      <c r="R3434">
        <v>0</v>
      </c>
      <c r="S3434" s="1" t="s">
        <v>1086</v>
      </c>
      <c r="T3434" s="1" t="s">
        <v>1338</v>
      </c>
      <c r="U3434">
        <v>99332.84</v>
      </c>
      <c r="V3434">
        <v>0</v>
      </c>
      <c r="W3434">
        <v>57890</v>
      </c>
    </row>
    <row r="3435" spans="1:23" x14ac:dyDescent="0.25">
      <c r="A3435" s="1" t="s">
        <v>37</v>
      </c>
      <c r="B3435" s="1" t="s">
        <v>66</v>
      </c>
      <c r="C3435" s="1" t="s">
        <v>200</v>
      </c>
      <c r="D3435">
        <v>5471</v>
      </c>
      <c r="E3435" s="1"/>
      <c r="F3435" s="1" t="s">
        <v>335</v>
      </c>
      <c r="G3435">
        <v>2014</v>
      </c>
      <c r="H3435">
        <v>239212.4</v>
      </c>
      <c r="I3435">
        <v>12</v>
      </c>
      <c r="J3435" s="1" t="s">
        <v>402</v>
      </c>
      <c r="K3435">
        <v>0</v>
      </c>
      <c r="L3435">
        <v>8656</v>
      </c>
      <c r="M3435">
        <v>27.635124000000001</v>
      </c>
      <c r="N3435">
        <v>2</v>
      </c>
      <c r="O3435" s="1" t="s">
        <v>569</v>
      </c>
      <c r="P3435">
        <v>239212.4</v>
      </c>
      <c r="Q3435">
        <v>95684.96</v>
      </c>
      <c r="R3435">
        <v>0</v>
      </c>
      <c r="S3435" s="1" t="s">
        <v>1086</v>
      </c>
      <c r="T3435" s="1" t="s">
        <v>1338</v>
      </c>
      <c r="U3435">
        <v>239212.4</v>
      </c>
      <c r="V3435">
        <v>0</v>
      </c>
      <c r="W3435">
        <v>57890</v>
      </c>
    </row>
    <row r="3436" spans="1:23" x14ac:dyDescent="0.25">
      <c r="A3436" s="1" t="s">
        <v>37</v>
      </c>
      <c r="B3436" s="1" t="s">
        <v>66</v>
      </c>
      <c r="C3436" s="1" t="s">
        <v>200</v>
      </c>
      <c r="D3436">
        <v>5471</v>
      </c>
      <c r="E3436" s="1"/>
      <c r="F3436" s="1" t="s">
        <v>335</v>
      </c>
      <c r="G3436">
        <v>2013</v>
      </c>
      <c r="H3436">
        <v>227324</v>
      </c>
      <c r="I3436">
        <v>12</v>
      </c>
      <c r="J3436" s="1" t="s">
        <v>402</v>
      </c>
      <c r="K3436">
        <v>0</v>
      </c>
      <c r="L3436">
        <v>8656</v>
      </c>
      <c r="M3436">
        <v>26.261710999999998</v>
      </c>
      <c r="N3436">
        <v>2</v>
      </c>
      <c r="O3436" s="1" t="s">
        <v>569</v>
      </c>
      <c r="P3436">
        <v>227324</v>
      </c>
      <c r="Q3436">
        <v>90929.59</v>
      </c>
      <c r="R3436">
        <v>0</v>
      </c>
      <c r="S3436" s="1" t="s">
        <v>1086</v>
      </c>
      <c r="T3436" s="1" t="s">
        <v>1338</v>
      </c>
      <c r="U3436">
        <v>227324</v>
      </c>
      <c r="V3436">
        <v>0</v>
      </c>
      <c r="W3436">
        <v>57890</v>
      </c>
    </row>
    <row r="3437" spans="1:23" x14ac:dyDescent="0.25">
      <c r="A3437" s="1" t="s">
        <v>37</v>
      </c>
      <c r="B3437" s="1" t="s">
        <v>66</v>
      </c>
      <c r="C3437" s="1" t="s">
        <v>200</v>
      </c>
      <c r="D3437">
        <v>5471</v>
      </c>
      <c r="E3437" s="1"/>
      <c r="F3437" s="1" t="s">
        <v>335</v>
      </c>
      <c r="G3437">
        <v>2012</v>
      </c>
      <c r="H3437">
        <v>296276.99</v>
      </c>
      <c r="I3437">
        <v>12</v>
      </c>
      <c r="J3437" s="1" t="s">
        <v>402</v>
      </c>
      <c r="K3437">
        <v>0</v>
      </c>
      <c r="L3437">
        <v>8656</v>
      </c>
      <c r="M3437">
        <v>34.227536999999998</v>
      </c>
      <c r="N3437">
        <v>2</v>
      </c>
      <c r="O3437" s="1" t="s">
        <v>569</v>
      </c>
      <c r="P3437">
        <v>296276.99</v>
      </c>
      <c r="Q3437">
        <v>118510.78</v>
      </c>
      <c r="R3437">
        <v>0</v>
      </c>
      <c r="S3437" s="1" t="s">
        <v>1086</v>
      </c>
      <c r="T3437" s="1" t="s">
        <v>1338</v>
      </c>
      <c r="U3437">
        <v>296276.99</v>
      </c>
      <c r="V3437">
        <v>0</v>
      </c>
      <c r="W3437">
        <v>57890</v>
      </c>
    </row>
    <row r="3438" spans="1:23" x14ac:dyDescent="0.25">
      <c r="A3438" s="1" t="s">
        <v>37</v>
      </c>
      <c r="B3438" s="1" t="s">
        <v>66</v>
      </c>
      <c r="C3438" s="1" t="s">
        <v>200</v>
      </c>
      <c r="D3438">
        <v>5471</v>
      </c>
      <c r="E3438" s="1"/>
      <c r="F3438" s="1" t="s">
        <v>335</v>
      </c>
      <c r="G3438">
        <v>2011</v>
      </c>
      <c r="H3438">
        <v>423317.69</v>
      </c>
      <c r="I3438">
        <v>12</v>
      </c>
      <c r="J3438" s="1" t="s">
        <v>402</v>
      </c>
      <c r="K3438">
        <v>0</v>
      </c>
      <c r="L3438">
        <v>8656</v>
      </c>
      <c r="M3438">
        <v>48.903973999999998</v>
      </c>
      <c r="N3438">
        <v>2</v>
      </c>
      <c r="O3438" s="1" t="s">
        <v>569</v>
      </c>
      <c r="P3438">
        <v>423317.69</v>
      </c>
      <c r="Q3438">
        <v>198536</v>
      </c>
      <c r="R3438">
        <v>0</v>
      </c>
      <c r="S3438" s="1" t="s">
        <v>1086</v>
      </c>
      <c r="T3438" s="1" t="s">
        <v>1338</v>
      </c>
      <c r="U3438">
        <v>423317.69099999999</v>
      </c>
      <c r="V3438">
        <v>0</v>
      </c>
      <c r="W3438">
        <v>57890</v>
      </c>
    </row>
    <row r="3439" spans="1:23" x14ac:dyDescent="0.25">
      <c r="A3439" s="1" t="s">
        <v>37</v>
      </c>
      <c r="B3439" s="1" t="s">
        <v>66</v>
      </c>
      <c r="C3439" s="1" t="s">
        <v>200</v>
      </c>
      <c r="D3439">
        <v>5471</v>
      </c>
      <c r="E3439" s="1"/>
      <c r="F3439" s="1" t="s">
        <v>335</v>
      </c>
      <c r="G3439">
        <v>2010</v>
      </c>
      <c r="H3439">
        <v>587872.5</v>
      </c>
      <c r="I3439">
        <v>12</v>
      </c>
      <c r="J3439" s="1" t="s">
        <v>402</v>
      </c>
      <c r="K3439">
        <v>0</v>
      </c>
      <c r="L3439">
        <v>8656</v>
      </c>
      <c r="M3439">
        <v>67.914244999999994</v>
      </c>
      <c r="N3439">
        <v>2</v>
      </c>
      <c r="O3439" s="1" t="s">
        <v>569</v>
      </c>
      <c r="P3439">
        <v>587872.5</v>
      </c>
      <c r="Q3439">
        <v>275712.21000000002</v>
      </c>
      <c r="R3439">
        <v>0</v>
      </c>
      <c r="S3439" s="1" t="s">
        <v>1086</v>
      </c>
      <c r="T3439" s="1" t="s">
        <v>1338</v>
      </c>
      <c r="U3439">
        <v>587872.5</v>
      </c>
      <c r="V3439">
        <v>0</v>
      </c>
      <c r="W3439">
        <v>57890</v>
      </c>
    </row>
    <row r="3440" spans="1:23" x14ac:dyDescent="0.25">
      <c r="A3440" s="1" t="s">
        <v>37</v>
      </c>
      <c r="B3440" s="1" t="s">
        <v>66</v>
      </c>
      <c r="C3440" s="1" t="s">
        <v>200</v>
      </c>
      <c r="D3440">
        <v>5471</v>
      </c>
      <c r="E3440" s="1"/>
      <c r="F3440" s="1" t="s">
        <v>335</v>
      </c>
      <c r="G3440">
        <v>2009</v>
      </c>
      <c r="H3440">
        <v>584792.52</v>
      </c>
      <c r="I3440">
        <v>12</v>
      </c>
      <c r="J3440" s="1" t="s">
        <v>402</v>
      </c>
      <c r="K3440">
        <v>0</v>
      </c>
      <c r="L3440">
        <v>8656</v>
      </c>
      <c r="M3440">
        <v>67.558429000000004</v>
      </c>
      <c r="N3440">
        <v>2</v>
      </c>
      <c r="O3440" s="1" t="s">
        <v>569</v>
      </c>
      <c r="P3440">
        <v>584792.52</v>
      </c>
      <c r="Q3440">
        <v>274267.69</v>
      </c>
      <c r="R3440">
        <v>0</v>
      </c>
      <c r="S3440" s="1" t="s">
        <v>1086</v>
      </c>
      <c r="T3440" s="1" t="s">
        <v>1338</v>
      </c>
      <c r="U3440">
        <v>584792.52</v>
      </c>
      <c r="V3440">
        <v>0</v>
      </c>
      <c r="W3440">
        <v>57890</v>
      </c>
    </row>
    <row r="3441" spans="1:23" x14ac:dyDescent="0.25">
      <c r="A3441" s="1" t="s">
        <v>37</v>
      </c>
      <c r="B3441" s="1" t="s">
        <v>66</v>
      </c>
      <c r="C3441" s="1" t="s">
        <v>200</v>
      </c>
      <c r="D3441">
        <v>5471</v>
      </c>
      <c r="E3441" s="1"/>
      <c r="F3441" s="1" t="s">
        <v>335</v>
      </c>
      <c r="G3441">
        <v>2008</v>
      </c>
      <c r="H3441">
        <v>598843.44999999995</v>
      </c>
      <c r="I3441">
        <v>12</v>
      </c>
      <c r="J3441" s="1" t="s">
        <v>402</v>
      </c>
      <c r="K3441">
        <v>0</v>
      </c>
      <c r="L3441">
        <v>8656</v>
      </c>
      <c r="M3441">
        <v>69.181668999999999</v>
      </c>
      <c r="N3441">
        <v>2</v>
      </c>
      <c r="O3441" s="1" t="s">
        <v>569</v>
      </c>
      <c r="P3441">
        <v>598843.44999999995</v>
      </c>
      <c r="Q3441">
        <v>280857.58</v>
      </c>
      <c r="R3441">
        <v>0</v>
      </c>
      <c r="S3441" s="1" t="s">
        <v>1086</v>
      </c>
      <c r="T3441" s="1" t="s">
        <v>1338</v>
      </c>
      <c r="U3441">
        <v>598843.44999999995</v>
      </c>
      <c r="V3441">
        <v>0</v>
      </c>
      <c r="W3441">
        <v>57890</v>
      </c>
    </row>
    <row r="3442" spans="1:23" x14ac:dyDescent="0.25">
      <c r="A3442" s="1" t="s">
        <v>37</v>
      </c>
      <c r="B3442" s="1"/>
      <c r="C3442" s="1" t="s">
        <v>201</v>
      </c>
      <c r="D3442">
        <v>9223</v>
      </c>
      <c r="E3442" s="1"/>
      <c r="F3442" s="1" t="s">
        <v>336</v>
      </c>
      <c r="G3442">
        <v>2015</v>
      </c>
      <c r="H3442">
        <v>-602.84</v>
      </c>
      <c r="I3442">
        <v>5</v>
      </c>
      <c r="J3442" s="1"/>
      <c r="K3442">
        <v>0</v>
      </c>
      <c r="L3442">
        <v>7936</v>
      </c>
      <c r="M3442">
        <v>-7.5961000000000001E-2</v>
      </c>
      <c r="N3442">
        <v>2</v>
      </c>
      <c r="O3442" s="1" t="s">
        <v>570</v>
      </c>
      <c r="P3442">
        <v>-602.84</v>
      </c>
      <c r="Q3442">
        <v>-282.73</v>
      </c>
      <c r="R3442">
        <v>0</v>
      </c>
      <c r="S3442" s="1" t="s">
        <v>1087</v>
      </c>
      <c r="T3442" s="1"/>
      <c r="U3442">
        <v>602.84</v>
      </c>
      <c r="V3442">
        <v>0</v>
      </c>
      <c r="W3442">
        <v>96367</v>
      </c>
    </row>
    <row r="3443" spans="1:23" x14ac:dyDescent="0.25">
      <c r="A3443" s="1" t="s">
        <v>37</v>
      </c>
      <c r="B3443" s="1"/>
      <c r="C3443" s="1" t="s">
        <v>201</v>
      </c>
      <c r="D3443">
        <v>9223</v>
      </c>
      <c r="E3443" s="1"/>
      <c r="F3443" s="1" t="s">
        <v>336</v>
      </c>
      <c r="G3443">
        <v>2015</v>
      </c>
      <c r="H3443">
        <v>57918.1</v>
      </c>
      <c r="I3443">
        <v>5</v>
      </c>
      <c r="J3443" s="1"/>
      <c r="K3443">
        <v>0</v>
      </c>
      <c r="L3443">
        <v>7936</v>
      </c>
      <c r="M3443">
        <v>7.2980549999999997</v>
      </c>
      <c r="N3443">
        <v>2</v>
      </c>
      <c r="O3443" s="1" t="s">
        <v>569</v>
      </c>
      <c r="P3443">
        <v>57918.1</v>
      </c>
      <c r="Q3443">
        <v>17375.43</v>
      </c>
      <c r="R3443">
        <v>0</v>
      </c>
      <c r="S3443" s="1"/>
      <c r="T3443" s="1"/>
      <c r="U3443">
        <v>57918.1</v>
      </c>
      <c r="V3443">
        <v>0</v>
      </c>
      <c r="W3443">
        <v>72738</v>
      </c>
    </row>
    <row r="3444" spans="1:23" x14ac:dyDescent="0.25">
      <c r="A3444" s="1" t="s">
        <v>37</v>
      </c>
      <c r="B3444" s="1"/>
      <c r="C3444" s="1" t="s">
        <v>201</v>
      </c>
      <c r="D3444">
        <v>9223</v>
      </c>
      <c r="E3444" s="1"/>
      <c r="F3444" s="1" t="s">
        <v>336</v>
      </c>
      <c r="G3444">
        <v>2014</v>
      </c>
      <c r="H3444">
        <v>-1590.64</v>
      </c>
      <c r="I3444">
        <v>12</v>
      </c>
      <c r="J3444" s="1"/>
      <c r="K3444">
        <v>0</v>
      </c>
      <c r="L3444">
        <v>7936</v>
      </c>
      <c r="M3444">
        <v>-0.20043</v>
      </c>
      <c r="N3444">
        <v>2</v>
      </c>
      <c r="O3444" s="1" t="s">
        <v>570</v>
      </c>
      <c r="P3444">
        <v>-1590.64</v>
      </c>
      <c r="Q3444">
        <v>-746.02</v>
      </c>
      <c r="R3444">
        <v>0</v>
      </c>
      <c r="S3444" s="1" t="s">
        <v>1087</v>
      </c>
      <c r="T3444" s="1"/>
      <c r="U3444">
        <v>1590.64</v>
      </c>
      <c r="V3444">
        <v>0</v>
      </c>
      <c r="W3444">
        <v>96367</v>
      </c>
    </row>
    <row r="3445" spans="1:23" x14ac:dyDescent="0.25">
      <c r="A3445" s="1" t="s">
        <v>37</v>
      </c>
      <c r="B3445" s="1"/>
      <c r="C3445" s="1" t="s">
        <v>201</v>
      </c>
      <c r="D3445">
        <v>9223</v>
      </c>
      <c r="E3445" s="1"/>
      <c r="F3445" s="1" t="s">
        <v>336</v>
      </c>
      <c r="G3445">
        <v>2014</v>
      </c>
      <c r="H3445">
        <v>139222.93</v>
      </c>
      <c r="I3445">
        <v>12</v>
      </c>
      <c r="J3445" s="1"/>
      <c r="K3445">
        <v>0</v>
      </c>
      <c r="L3445">
        <v>7936</v>
      </c>
      <c r="M3445">
        <v>17.54299</v>
      </c>
      <c r="N3445">
        <v>2</v>
      </c>
      <c r="O3445" s="1" t="s">
        <v>569</v>
      </c>
      <c r="P3445">
        <v>139222.93</v>
      </c>
      <c r="Q3445">
        <v>41766.870000000003</v>
      </c>
      <c r="R3445">
        <v>0</v>
      </c>
      <c r="S3445" s="1"/>
      <c r="T3445" s="1"/>
      <c r="U3445">
        <v>139222.93</v>
      </c>
      <c r="V3445">
        <v>0</v>
      </c>
      <c r="W3445">
        <v>72738</v>
      </c>
    </row>
    <row r="3446" spans="1:23" x14ac:dyDescent="0.25">
      <c r="A3446" s="1" t="s">
        <v>37</v>
      </c>
      <c r="B3446" s="1"/>
      <c r="C3446" s="1" t="s">
        <v>201</v>
      </c>
      <c r="D3446">
        <v>9223</v>
      </c>
      <c r="E3446" s="1"/>
      <c r="F3446" s="1" t="s">
        <v>336</v>
      </c>
      <c r="G3446">
        <v>2013</v>
      </c>
      <c r="H3446">
        <v>131570.67000000001</v>
      </c>
      <c r="I3446">
        <v>12</v>
      </c>
      <c r="J3446" s="1"/>
      <c r="K3446">
        <v>0</v>
      </c>
      <c r="L3446">
        <v>7936</v>
      </c>
      <c r="M3446">
        <v>16.578755999999998</v>
      </c>
      <c r="N3446">
        <v>2</v>
      </c>
      <c r="O3446" s="1" t="s">
        <v>569</v>
      </c>
      <c r="P3446">
        <v>131570.67000000001</v>
      </c>
      <c r="Q3446">
        <v>39471.19</v>
      </c>
      <c r="R3446">
        <v>0</v>
      </c>
      <c r="S3446" s="1"/>
      <c r="T3446" s="1"/>
      <c r="U3446">
        <v>131570.67000000001</v>
      </c>
      <c r="V3446">
        <v>0</v>
      </c>
      <c r="W3446">
        <v>72738</v>
      </c>
    </row>
    <row r="3447" spans="1:23" x14ac:dyDescent="0.25">
      <c r="A3447" s="1" t="s">
        <v>37</v>
      </c>
      <c r="B3447" s="1"/>
      <c r="C3447" s="1" t="s">
        <v>201</v>
      </c>
      <c r="D3447">
        <v>9223</v>
      </c>
      <c r="E3447" s="1"/>
      <c r="F3447" s="1" t="s">
        <v>336</v>
      </c>
      <c r="G3447">
        <v>2013</v>
      </c>
      <c r="H3447">
        <v>-427.87</v>
      </c>
      <c r="I3447">
        <v>12</v>
      </c>
      <c r="J3447" s="1"/>
      <c r="K3447">
        <v>0</v>
      </c>
      <c r="L3447">
        <v>7936</v>
      </c>
      <c r="M3447">
        <v>-5.3913999999999997E-2</v>
      </c>
      <c r="N3447">
        <v>2</v>
      </c>
      <c r="O3447" s="1" t="s">
        <v>570</v>
      </c>
      <c r="P3447">
        <v>-427.87</v>
      </c>
      <c r="Q3447">
        <v>-200.68</v>
      </c>
      <c r="R3447">
        <v>0</v>
      </c>
      <c r="S3447" s="1" t="s">
        <v>1087</v>
      </c>
      <c r="T3447" s="1"/>
      <c r="U3447">
        <v>427.87</v>
      </c>
      <c r="V3447">
        <v>0</v>
      </c>
      <c r="W3447">
        <v>96367</v>
      </c>
    </row>
    <row r="3448" spans="1:23" x14ac:dyDescent="0.25">
      <c r="A3448" s="1" t="s">
        <v>37</v>
      </c>
      <c r="B3448" s="1"/>
      <c r="C3448" s="1" t="s">
        <v>201</v>
      </c>
      <c r="D3448">
        <v>9223</v>
      </c>
      <c r="E3448" s="1"/>
      <c r="F3448" s="1" t="s">
        <v>336</v>
      </c>
      <c r="G3448">
        <v>2012</v>
      </c>
      <c r="H3448">
        <v>19556</v>
      </c>
      <c r="I3448">
        <v>3</v>
      </c>
      <c r="J3448" s="1" t="s">
        <v>527</v>
      </c>
      <c r="K3448">
        <v>0</v>
      </c>
      <c r="L3448">
        <v>7936</v>
      </c>
      <c r="M3448">
        <v>2.4641820000000001</v>
      </c>
      <c r="N3448">
        <v>2</v>
      </c>
      <c r="O3448" s="1" t="s">
        <v>569</v>
      </c>
      <c r="P3448">
        <v>19556</v>
      </c>
      <c r="Q3448">
        <v>7822.4</v>
      </c>
      <c r="R3448">
        <v>1</v>
      </c>
      <c r="S3448" s="1" t="s">
        <v>1088</v>
      </c>
      <c r="T3448" s="1"/>
      <c r="U3448">
        <v>19556</v>
      </c>
      <c r="V3448">
        <v>0</v>
      </c>
      <c r="W3448">
        <v>88836</v>
      </c>
    </row>
    <row r="3449" spans="1:23" x14ac:dyDescent="0.25">
      <c r="A3449" s="1" t="s">
        <v>37</v>
      </c>
      <c r="B3449" s="1"/>
      <c r="C3449" s="1" t="s">
        <v>201</v>
      </c>
      <c r="D3449">
        <v>9223</v>
      </c>
      <c r="E3449" s="1"/>
      <c r="F3449" s="1" t="s">
        <v>336</v>
      </c>
      <c r="G3449">
        <v>2012</v>
      </c>
      <c r="H3449">
        <v>29.21</v>
      </c>
      <c r="I3449">
        <v>2</v>
      </c>
      <c r="J3449" s="1" t="s">
        <v>544</v>
      </c>
      <c r="K3449">
        <v>0</v>
      </c>
      <c r="L3449">
        <v>7936</v>
      </c>
      <c r="M3449">
        <v>3.6800000000000001E-3</v>
      </c>
      <c r="N3449">
        <v>2</v>
      </c>
      <c r="O3449" s="1" t="s">
        <v>569</v>
      </c>
      <c r="P3449">
        <v>29.21</v>
      </c>
      <c r="Q3449">
        <v>13.7</v>
      </c>
      <c r="R3449">
        <v>1</v>
      </c>
      <c r="S3449" s="1" t="s">
        <v>1089</v>
      </c>
      <c r="T3449" s="1"/>
      <c r="U3449">
        <v>29.214289999999998</v>
      </c>
      <c r="V3449">
        <v>0</v>
      </c>
      <c r="W3449">
        <v>89644</v>
      </c>
    </row>
    <row r="3450" spans="1:23" x14ac:dyDescent="0.25">
      <c r="A3450" s="1" t="s">
        <v>37</v>
      </c>
      <c r="B3450" s="1"/>
      <c r="C3450" s="1" t="s">
        <v>201</v>
      </c>
      <c r="D3450">
        <v>9223</v>
      </c>
      <c r="E3450" s="1"/>
      <c r="F3450" s="1" t="s">
        <v>336</v>
      </c>
      <c r="G3450">
        <v>2012</v>
      </c>
      <c r="H3450">
        <v>1081</v>
      </c>
      <c r="I3450">
        <v>2</v>
      </c>
      <c r="J3450" s="1" t="s">
        <v>544</v>
      </c>
      <c r="K3450">
        <v>0</v>
      </c>
      <c r="L3450">
        <v>7936</v>
      </c>
      <c r="M3450">
        <v>0.136213</v>
      </c>
      <c r="N3450">
        <v>2</v>
      </c>
      <c r="O3450" s="1" t="s">
        <v>569</v>
      </c>
      <c r="P3450">
        <v>1081</v>
      </c>
      <c r="Q3450">
        <v>432.4</v>
      </c>
      <c r="R3450">
        <v>1</v>
      </c>
      <c r="S3450" s="1" t="s">
        <v>1090</v>
      </c>
      <c r="T3450" s="1"/>
      <c r="U3450">
        <v>1081</v>
      </c>
      <c r="V3450">
        <v>0</v>
      </c>
      <c r="W3450">
        <v>90859</v>
      </c>
    </row>
    <row r="3451" spans="1:23" x14ac:dyDescent="0.25">
      <c r="A3451" s="1" t="s">
        <v>37</v>
      </c>
      <c r="B3451" s="1"/>
      <c r="C3451" s="1" t="s">
        <v>201</v>
      </c>
      <c r="D3451">
        <v>9223</v>
      </c>
      <c r="E3451" s="1"/>
      <c r="F3451" s="1" t="s">
        <v>336</v>
      </c>
      <c r="G3451">
        <v>2012</v>
      </c>
      <c r="H3451">
        <v>950.27</v>
      </c>
      <c r="I3451">
        <v>2</v>
      </c>
      <c r="J3451" s="1" t="s">
        <v>544</v>
      </c>
      <c r="K3451">
        <v>0</v>
      </c>
      <c r="L3451">
        <v>7936</v>
      </c>
      <c r="M3451">
        <v>0.11974</v>
      </c>
      <c r="N3451">
        <v>2</v>
      </c>
      <c r="O3451" s="1" t="s">
        <v>569</v>
      </c>
      <c r="P3451">
        <v>950.27</v>
      </c>
      <c r="Q3451">
        <v>380.11</v>
      </c>
      <c r="R3451">
        <v>1</v>
      </c>
      <c r="S3451" s="1" t="s">
        <v>1091</v>
      </c>
      <c r="T3451" s="1"/>
      <c r="U3451">
        <v>950.27026999999998</v>
      </c>
      <c r="V3451">
        <v>0</v>
      </c>
      <c r="W3451">
        <v>90860</v>
      </c>
    </row>
    <row r="3452" spans="1:23" x14ac:dyDescent="0.25">
      <c r="A3452" s="1" t="s">
        <v>37</v>
      </c>
      <c r="B3452" s="1"/>
      <c r="C3452" s="1" t="s">
        <v>201</v>
      </c>
      <c r="D3452">
        <v>9223</v>
      </c>
      <c r="E3452" s="1"/>
      <c r="F3452" s="1" t="s">
        <v>336</v>
      </c>
      <c r="G3452">
        <v>2012</v>
      </c>
      <c r="H3452">
        <v>144451.42000000001</v>
      </c>
      <c r="I3452">
        <v>11</v>
      </c>
      <c r="J3452" s="1"/>
      <c r="K3452">
        <v>0</v>
      </c>
      <c r="L3452">
        <v>7936</v>
      </c>
      <c r="M3452">
        <v>18.201813999999999</v>
      </c>
      <c r="N3452">
        <v>2</v>
      </c>
      <c r="O3452" s="1" t="s">
        <v>569</v>
      </c>
      <c r="P3452">
        <v>144451.42000000001</v>
      </c>
      <c r="Q3452">
        <v>57780.56</v>
      </c>
      <c r="R3452">
        <v>0</v>
      </c>
      <c r="S3452" s="1"/>
      <c r="T3452" s="1"/>
      <c r="U3452">
        <v>144451.41803</v>
      </c>
      <c r="V3452">
        <v>0</v>
      </c>
      <c r="W3452">
        <v>72738</v>
      </c>
    </row>
    <row r="3453" spans="1:23" x14ac:dyDescent="0.25">
      <c r="A3453" s="1" t="s">
        <v>37</v>
      </c>
      <c r="B3453" s="1"/>
      <c r="C3453" s="1" t="s">
        <v>201</v>
      </c>
      <c r="D3453">
        <v>9223</v>
      </c>
      <c r="E3453" s="1"/>
      <c r="F3453" s="1" t="s">
        <v>336</v>
      </c>
      <c r="G3453">
        <v>2012</v>
      </c>
      <c r="H3453">
        <v>46.2</v>
      </c>
      <c r="I3453">
        <v>1</v>
      </c>
      <c r="J3453" s="1" t="s">
        <v>545</v>
      </c>
      <c r="K3453">
        <v>0</v>
      </c>
      <c r="L3453">
        <v>7936</v>
      </c>
      <c r="M3453">
        <v>5.8209999999999998E-3</v>
      </c>
      <c r="N3453">
        <v>2</v>
      </c>
      <c r="O3453" s="1" t="s">
        <v>569</v>
      </c>
      <c r="P3453">
        <v>46.2</v>
      </c>
      <c r="Q3453">
        <v>21.67</v>
      </c>
      <c r="R3453">
        <v>1</v>
      </c>
      <c r="S3453" s="1" t="s">
        <v>1092</v>
      </c>
      <c r="T3453" s="1"/>
      <c r="U3453">
        <v>46.2</v>
      </c>
      <c r="V3453">
        <v>0</v>
      </c>
      <c r="W3453">
        <v>89645</v>
      </c>
    </row>
    <row r="3454" spans="1:23" x14ac:dyDescent="0.25">
      <c r="A3454" s="1" t="s">
        <v>37</v>
      </c>
      <c r="B3454" s="1"/>
      <c r="C3454" s="1" t="s">
        <v>201</v>
      </c>
      <c r="D3454">
        <v>9223</v>
      </c>
      <c r="E3454" s="1"/>
      <c r="F3454" s="1" t="s">
        <v>336</v>
      </c>
      <c r="G3454">
        <v>2012</v>
      </c>
      <c r="H3454">
        <v>741.41</v>
      </c>
      <c r="I3454">
        <v>2</v>
      </c>
      <c r="J3454" s="1" t="s">
        <v>544</v>
      </c>
      <c r="K3454">
        <v>0</v>
      </c>
      <c r="L3454">
        <v>7936</v>
      </c>
      <c r="M3454">
        <v>9.3422000000000005E-2</v>
      </c>
      <c r="N3454">
        <v>2</v>
      </c>
      <c r="O3454" s="1" t="s">
        <v>569</v>
      </c>
      <c r="P3454">
        <v>741.41</v>
      </c>
      <c r="Q3454">
        <v>296.56</v>
      </c>
      <c r="R3454">
        <v>1</v>
      </c>
      <c r="S3454" s="1" t="s">
        <v>1093</v>
      </c>
      <c r="T3454" s="1"/>
      <c r="U3454">
        <v>741.40540999999996</v>
      </c>
      <c r="V3454">
        <v>0</v>
      </c>
      <c r="W3454">
        <v>90861</v>
      </c>
    </row>
    <row r="3455" spans="1:23" x14ac:dyDescent="0.25">
      <c r="A3455" s="1" t="s">
        <v>37</v>
      </c>
      <c r="B3455" s="1"/>
      <c r="C3455" s="1" t="s">
        <v>201</v>
      </c>
      <c r="D3455">
        <v>9223</v>
      </c>
      <c r="E3455" s="1"/>
      <c r="F3455" s="1" t="s">
        <v>336</v>
      </c>
      <c r="G3455">
        <v>2012</v>
      </c>
      <c r="H3455">
        <v>0</v>
      </c>
      <c r="I3455">
        <v>12</v>
      </c>
      <c r="J3455" s="1"/>
      <c r="K3455">
        <v>0</v>
      </c>
      <c r="L3455">
        <v>7936</v>
      </c>
      <c r="M3455">
        <v>0</v>
      </c>
      <c r="N3455">
        <v>2</v>
      </c>
      <c r="O3455" s="1" t="s">
        <v>570</v>
      </c>
      <c r="P3455">
        <v>0</v>
      </c>
      <c r="Q3455">
        <v>0</v>
      </c>
      <c r="R3455">
        <v>0</v>
      </c>
      <c r="S3455" s="1" t="s">
        <v>1087</v>
      </c>
      <c r="T3455" s="1"/>
      <c r="U3455">
        <v>0</v>
      </c>
      <c r="V3455">
        <v>0</v>
      </c>
      <c r="W3455">
        <v>96367</v>
      </c>
    </row>
    <row r="3456" spans="1:23" x14ac:dyDescent="0.25">
      <c r="A3456" s="1" t="s">
        <v>37</v>
      </c>
      <c r="B3456" s="1"/>
      <c r="C3456" s="1" t="s">
        <v>201</v>
      </c>
      <c r="D3456">
        <v>9223</v>
      </c>
      <c r="E3456" s="1"/>
      <c r="F3456" s="1" t="s">
        <v>336</v>
      </c>
      <c r="G3456">
        <v>2011</v>
      </c>
      <c r="H3456">
        <v>52492.71</v>
      </c>
      <c r="I3456">
        <v>4</v>
      </c>
      <c r="J3456" s="1" t="s">
        <v>527</v>
      </c>
      <c r="K3456">
        <v>0</v>
      </c>
      <c r="L3456">
        <v>7936</v>
      </c>
      <c r="M3456">
        <v>6.6144210000000001</v>
      </c>
      <c r="N3456">
        <v>2</v>
      </c>
      <c r="O3456" s="1" t="s">
        <v>569</v>
      </c>
      <c r="P3456">
        <v>52492.71</v>
      </c>
      <c r="Q3456">
        <v>24619.09</v>
      </c>
      <c r="R3456">
        <v>1</v>
      </c>
      <c r="S3456" s="1" t="s">
        <v>1088</v>
      </c>
      <c r="T3456" s="1"/>
      <c r="U3456">
        <v>52492.726410000003</v>
      </c>
      <c r="V3456">
        <v>0</v>
      </c>
      <c r="W3456">
        <v>88836</v>
      </c>
    </row>
    <row r="3457" spans="1:23" x14ac:dyDescent="0.25">
      <c r="A3457" s="1" t="s">
        <v>37</v>
      </c>
      <c r="B3457" s="1"/>
      <c r="C3457" s="1" t="s">
        <v>201</v>
      </c>
      <c r="D3457">
        <v>9223</v>
      </c>
      <c r="E3457" s="1"/>
      <c r="F3457" s="1" t="s">
        <v>336</v>
      </c>
      <c r="G3457">
        <v>2011</v>
      </c>
      <c r="H3457">
        <v>8333.1299999999992</v>
      </c>
      <c r="I3457">
        <v>3</v>
      </c>
      <c r="J3457" s="1" t="s">
        <v>544</v>
      </c>
      <c r="K3457">
        <v>0</v>
      </c>
      <c r="L3457">
        <v>7936</v>
      </c>
      <c r="M3457">
        <v>1.050028</v>
      </c>
      <c r="N3457">
        <v>2</v>
      </c>
      <c r="O3457" s="1" t="s">
        <v>569</v>
      </c>
      <c r="P3457">
        <v>8333.1299999999992</v>
      </c>
      <c r="Q3457">
        <v>3908.24</v>
      </c>
      <c r="R3457">
        <v>1</v>
      </c>
      <c r="S3457" s="1" t="s">
        <v>1089</v>
      </c>
      <c r="T3457" s="1"/>
      <c r="U3457">
        <v>8333.1345299999994</v>
      </c>
      <c r="V3457">
        <v>0</v>
      </c>
      <c r="W3457">
        <v>89644</v>
      </c>
    </row>
    <row r="3458" spans="1:23" x14ac:dyDescent="0.25">
      <c r="A3458" s="1" t="s">
        <v>37</v>
      </c>
      <c r="B3458" s="1"/>
      <c r="C3458" s="1" t="s">
        <v>201</v>
      </c>
      <c r="D3458">
        <v>9223</v>
      </c>
      <c r="E3458" s="1"/>
      <c r="F3458" s="1" t="s">
        <v>336</v>
      </c>
      <c r="G3458">
        <v>2011</v>
      </c>
      <c r="H3458">
        <v>0</v>
      </c>
      <c r="I3458">
        <v>12</v>
      </c>
      <c r="J3458" s="1"/>
      <c r="K3458">
        <v>0</v>
      </c>
      <c r="L3458">
        <v>7936</v>
      </c>
      <c r="M3458">
        <v>0</v>
      </c>
      <c r="N3458">
        <v>2</v>
      </c>
      <c r="O3458" s="1" t="s">
        <v>570</v>
      </c>
      <c r="P3458">
        <v>0</v>
      </c>
      <c r="Q3458">
        <v>0</v>
      </c>
      <c r="R3458">
        <v>0</v>
      </c>
      <c r="S3458" s="1" t="s">
        <v>1087</v>
      </c>
      <c r="T3458" s="1"/>
      <c r="U3458">
        <v>0</v>
      </c>
      <c r="V3458">
        <v>0</v>
      </c>
      <c r="W3458">
        <v>96367</v>
      </c>
    </row>
    <row r="3459" spans="1:23" x14ac:dyDescent="0.25">
      <c r="A3459" s="1" t="s">
        <v>37</v>
      </c>
      <c r="B3459" s="1"/>
      <c r="C3459" s="1" t="s">
        <v>201</v>
      </c>
      <c r="D3459">
        <v>9223</v>
      </c>
      <c r="E3459" s="1"/>
      <c r="F3459" s="1" t="s">
        <v>336</v>
      </c>
      <c r="G3459">
        <v>2011</v>
      </c>
      <c r="H3459">
        <v>173155.25</v>
      </c>
      <c r="I3459">
        <v>12</v>
      </c>
      <c r="J3459" s="1"/>
      <c r="K3459">
        <v>0</v>
      </c>
      <c r="L3459">
        <v>7936</v>
      </c>
      <c r="M3459">
        <v>21.818681999999999</v>
      </c>
      <c r="N3459">
        <v>2</v>
      </c>
      <c r="O3459" s="1" t="s">
        <v>569</v>
      </c>
      <c r="P3459">
        <v>173155.25</v>
      </c>
      <c r="Q3459">
        <v>81209.8</v>
      </c>
      <c r="R3459">
        <v>0</v>
      </c>
      <c r="S3459" s="1"/>
      <c r="T3459" s="1"/>
      <c r="U3459">
        <v>173155.25552000001</v>
      </c>
      <c r="V3459">
        <v>0</v>
      </c>
      <c r="W3459">
        <v>72738</v>
      </c>
    </row>
    <row r="3460" spans="1:23" x14ac:dyDescent="0.25">
      <c r="A3460" s="1" t="s">
        <v>37</v>
      </c>
      <c r="B3460" s="1"/>
      <c r="C3460" s="1" t="s">
        <v>201</v>
      </c>
      <c r="D3460">
        <v>9223</v>
      </c>
      <c r="E3460" s="1"/>
      <c r="F3460" s="1" t="s">
        <v>336</v>
      </c>
      <c r="G3460">
        <v>2011</v>
      </c>
      <c r="H3460">
        <v>32954.54</v>
      </c>
      <c r="I3460">
        <v>3</v>
      </c>
      <c r="J3460" s="1" t="s">
        <v>545</v>
      </c>
      <c r="K3460">
        <v>0</v>
      </c>
      <c r="L3460">
        <v>7936</v>
      </c>
      <c r="M3460">
        <v>4.1524850000000004</v>
      </c>
      <c r="N3460">
        <v>2</v>
      </c>
      <c r="O3460" s="1" t="s">
        <v>569</v>
      </c>
      <c r="P3460">
        <v>32954.54</v>
      </c>
      <c r="Q3460">
        <v>15455.67</v>
      </c>
      <c r="R3460">
        <v>1</v>
      </c>
      <c r="S3460" s="1" t="s">
        <v>1092</v>
      </c>
      <c r="T3460" s="1"/>
      <c r="U3460">
        <v>32954.519209999999</v>
      </c>
      <c r="V3460">
        <v>0</v>
      </c>
      <c r="W3460">
        <v>89645</v>
      </c>
    </row>
    <row r="3461" spans="1:23" x14ac:dyDescent="0.25">
      <c r="A3461" s="1" t="s">
        <v>37</v>
      </c>
      <c r="B3461" s="1"/>
      <c r="C3461" s="1" t="s">
        <v>201</v>
      </c>
      <c r="D3461">
        <v>9223</v>
      </c>
      <c r="E3461" s="1"/>
      <c r="F3461" s="1" t="s">
        <v>336</v>
      </c>
      <c r="G3461">
        <v>2011</v>
      </c>
      <c r="H3461">
        <v>10769.73</v>
      </c>
      <c r="I3461">
        <v>1</v>
      </c>
      <c r="J3461" s="1" t="s">
        <v>544</v>
      </c>
      <c r="K3461">
        <v>0</v>
      </c>
      <c r="L3461">
        <v>7936</v>
      </c>
      <c r="M3461">
        <v>1.3570549999999999</v>
      </c>
      <c r="N3461">
        <v>2</v>
      </c>
      <c r="O3461" s="1" t="s">
        <v>569</v>
      </c>
      <c r="P3461">
        <v>10769.73</v>
      </c>
      <c r="Q3461">
        <v>5051.01</v>
      </c>
      <c r="R3461">
        <v>1</v>
      </c>
      <c r="S3461" s="1" t="s">
        <v>1091</v>
      </c>
      <c r="T3461" s="1"/>
      <c r="U3461">
        <v>10769.729729999999</v>
      </c>
      <c r="V3461">
        <v>0</v>
      </c>
      <c r="W3461">
        <v>90860</v>
      </c>
    </row>
    <row r="3462" spans="1:23" x14ac:dyDescent="0.25">
      <c r="A3462" s="1" t="s">
        <v>37</v>
      </c>
      <c r="B3462" s="1"/>
      <c r="C3462" s="1" t="s">
        <v>201</v>
      </c>
      <c r="D3462">
        <v>9223</v>
      </c>
      <c r="E3462" s="1"/>
      <c r="F3462" s="1" t="s">
        <v>336</v>
      </c>
      <c r="G3462">
        <v>2011</v>
      </c>
      <c r="H3462">
        <v>8402.6</v>
      </c>
      <c r="I3462">
        <v>1</v>
      </c>
      <c r="J3462" s="1" t="s">
        <v>544</v>
      </c>
      <c r="K3462">
        <v>0</v>
      </c>
      <c r="L3462">
        <v>7936</v>
      </c>
      <c r="M3462">
        <v>1.0587819999999999</v>
      </c>
      <c r="N3462">
        <v>2</v>
      </c>
      <c r="O3462" s="1" t="s">
        <v>569</v>
      </c>
      <c r="P3462">
        <v>8402.6</v>
      </c>
      <c r="Q3462">
        <v>3940.82</v>
      </c>
      <c r="R3462">
        <v>1</v>
      </c>
      <c r="S3462" s="1" t="s">
        <v>1093</v>
      </c>
      <c r="T3462" s="1"/>
      <c r="U3462">
        <v>8402.5946000000004</v>
      </c>
      <c r="V3462">
        <v>0</v>
      </c>
      <c r="W3462">
        <v>90861</v>
      </c>
    </row>
    <row r="3463" spans="1:23" x14ac:dyDescent="0.25">
      <c r="A3463" s="1" t="s">
        <v>37</v>
      </c>
      <c r="B3463" s="1"/>
      <c r="C3463" s="1" t="s">
        <v>201</v>
      </c>
      <c r="D3463">
        <v>9223</v>
      </c>
      <c r="E3463" s="1"/>
      <c r="F3463" s="1" t="s">
        <v>336</v>
      </c>
      <c r="G3463">
        <v>2010</v>
      </c>
      <c r="H3463">
        <v>0</v>
      </c>
      <c r="I3463">
        <v>12</v>
      </c>
      <c r="J3463" s="1"/>
      <c r="K3463">
        <v>0</v>
      </c>
      <c r="L3463">
        <v>7936</v>
      </c>
      <c r="M3463">
        <v>0</v>
      </c>
      <c r="N3463">
        <v>2</v>
      </c>
      <c r="O3463" s="1" t="s">
        <v>570</v>
      </c>
      <c r="P3463">
        <v>0</v>
      </c>
      <c r="Q3463">
        <v>0</v>
      </c>
      <c r="R3463">
        <v>0</v>
      </c>
      <c r="S3463" s="1" t="s">
        <v>1087</v>
      </c>
      <c r="T3463" s="1"/>
      <c r="U3463">
        <v>0</v>
      </c>
      <c r="V3463">
        <v>0</v>
      </c>
      <c r="W3463">
        <v>96367</v>
      </c>
    </row>
    <row r="3464" spans="1:23" x14ac:dyDescent="0.25">
      <c r="A3464" s="1" t="s">
        <v>37</v>
      </c>
      <c r="B3464" s="1"/>
      <c r="C3464" s="1" t="s">
        <v>201</v>
      </c>
      <c r="D3464">
        <v>9223</v>
      </c>
      <c r="E3464" s="1"/>
      <c r="F3464" s="1" t="s">
        <v>336</v>
      </c>
      <c r="G3464">
        <v>2010</v>
      </c>
      <c r="H3464">
        <v>197978.77</v>
      </c>
      <c r="I3464">
        <v>12</v>
      </c>
      <c r="J3464" s="1"/>
      <c r="K3464">
        <v>0</v>
      </c>
      <c r="L3464">
        <v>7936</v>
      </c>
      <c r="M3464">
        <v>24.946607</v>
      </c>
      <c r="N3464">
        <v>2</v>
      </c>
      <c r="O3464" s="1" t="s">
        <v>569</v>
      </c>
      <c r="P3464">
        <v>197978.77</v>
      </c>
      <c r="Q3464">
        <v>92852.04</v>
      </c>
      <c r="R3464">
        <v>0</v>
      </c>
      <c r="S3464" s="1"/>
      <c r="T3464" s="1"/>
      <c r="U3464">
        <v>197978.76449</v>
      </c>
      <c r="V3464">
        <v>0</v>
      </c>
      <c r="W3464">
        <v>72738</v>
      </c>
    </row>
    <row r="3465" spans="1:23" x14ac:dyDescent="0.25">
      <c r="A3465" s="1" t="s">
        <v>37</v>
      </c>
      <c r="B3465" s="1"/>
      <c r="C3465" s="1" t="s">
        <v>201</v>
      </c>
      <c r="D3465">
        <v>9223</v>
      </c>
      <c r="E3465" s="1"/>
      <c r="F3465" s="1" t="s">
        <v>336</v>
      </c>
      <c r="G3465">
        <v>2010</v>
      </c>
      <c r="H3465">
        <v>5077.2700000000004</v>
      </c>
      <c r="I3465">
        <v>1</v>
      </c>
      <c r="J3465" s="1" t="s">
        <v>527</v>
      </c>
      <c r="K3465">
        <v>0</v>
      </c>
      <c r="L3465">
        <v>7936</v>
      </c>
      <c r="M3465">
        <v>0.639768</v>
      </c>
      <c r="N3465">
        <v>2</v>
      </c>
      <c r="O3465" s="1" t="s">
        <v>569</v>
      </c>
      <c r="P3465">
        <v>5077.2700000000004</v>
      </c>
      <c r="Q3465">
        <v>2381.2399999999998</v>
      </c>
      <c r="R3465">
        <v>1</v>
      </c>
      <c r="S3465" s="1" t="s">
        <v>1088</v>
      </c>
      <c r="T3465" s="1"/>
      <c r="U3465">
        <v>5077.27358</v>
      </c>
      <c r="V3465">
        <v>0</v>
      </c>
      <c r="W3465">
        <v>88836</v>
      </c>
    </row>
    <row r="3466" spans="1:23" x14ac:dyDescent="0.25">
      <c r="A3466" s="1" t="s">
        <v>37</v>
      </c>
      <c r="B3466" s="1"/>
      <c r="C3466" s="1" t="s">
        <v>201</v>
      </c>
      <c r="D3466">
        <v>9223</v>
      </c>
      <c r="E3466" s="1"/>
      <c r="F3466" s="1" t="s">
        <v>336</v>
      </c>
      <c r="G3466">
        <v>2010</v>
      </c>
      <c r="H3466">
        <v>721.65</v>
      </c>
      <c r="I3466">
        <v>1</v>
      </c>
      <c r="J3466" s="1" t="s">
        <v>544</v>
      </c>
      <c r="K3466">
        <v>0</v>
      </c>
      <c r="L3466">
        <v>7936</v>
      </c>
      <c r="M3466">
        <v>9.0931999999999999E-2</v>
      </c>
      <c r="N3466">
        <v>2</v>
      </c>
      <c r="O3466" s="1" t="s">
        <v>569</v>
      </c>
      <c r="P3466">
        <v>721.65</v>
      </c>
      <c r="Q3466">
        <v>338.45</v>
      </c>
      <c r="R3466">
        <v>1</v>
      </c>
      <c r="S3466" s="1" t="s">
        <v>1089</v>
      </c>
      <c r="T3466" s="1"/>
      <c r="U3466">
        <v>721.65116</v>
      </c>
      <c r="V3466">
        <v>0</v>
      </c>
      <c r="W3466">
        <v>89644</v>
      </c>
    </row>
    <row r="3467" spans="1:23" x14ac:dyDescent="0.25">
      <c r="A3467" s="1" t="s">
        <v>37</v>
      </c>
      <c r="B3467" s="1"/>
      <c r="C3467" s="1" t="s">
        <v>201</v>
      </c>
      <c r="D3467">
        <v>9223</v>
      </c>
      <c r="E3467" s="1"/>
      <c r="F3467" s="1" t="s">
        <v>336</v>
      </c>
      <c r="G3467">
        <v>2010</v>
      </c>
      <c r="H3467">
        <v>4036.28</v>
      </c>
      <c r="I3467">
        <v>1</v>
      </c>
      <c r="J3467" s="1" t="s">
        <v>545</v>
      </c>
      <c r="K3467">
        <v>0</v>
      </c>
      <c r="L3467">
        <v>7936</v>
      </c>
      <c r="M3467">
        <v>0.50859699999999997</v>
      </c>
      <c r="N3467">
        <v>2</v>
      </c>
      <c r="O3467" s="1" t="s">
        <v>569</v>
      </c>
      <c r="P3467">
        <v>4036.28</v>
      </c>
      <c r="Q3467">
        <v>1893.02</v>
      </c>
      <c r="R3467">
        <v>1</v>
      </c>
      <c r="S3467" s="1" t="s">
        <v>1092</v>
      </c>
      <c r="T3467" s="1"/>
      <c r="U3467">
        <v>4036.2807699999998</v>
      </c>
      <c r="V3467">
        <v>0</v>
      </c>
      <c r="W3467">
        <v>89645</v>
      </c>
    </row>
    <row r="3468" spans="1:23" x14ac:dyDescent="0.25">
      <c r="A3468" s="1" t="s">
        <v>37</v>
      </c>
      <c r="B3468" s="1"/>
      <c r="C3468" s="1" t="s">
        <v>201</v>
      </c>
      <c r="D3468">
        <v>9223</v>
      </c>
      <c r="E3468" s="1"/>
      <c r="F3468" s="1" t="s">
        <v>336</v>
      </c>
      <c r="G3468">
        <v>2009</v>
      </c>
      <c r="H3468">
        <v>208336.01</v>
      </c>
      <c r="I3468">
        <v>12</v>
      </c>
      <c r="J3468" s="1"/>
      <c r="K3468">
        <v>0</v>
      </c>
      <c r="L3468">
        <v>7936</v>
      </c>
      <c r="M3468">
        <v>26.251685999999999</v>
      </c>
      <c r="N3468">
        <v>2</v>
      </c>
      <c r="O3468" s="1" t="s">
        <v>569</v>
      </c>
      <c r="P3468">
        <v>208336.01</v>
      </c>
      <c r="Q3468">
        <v>97709.59</v>
      </c>
      <c r="R3468">
        <v>0</v>
      </c>
      <c r="S3468" s="1"/>
      <c r="T3468" s="1"/>
      <c r="U3468">
        <v>208336.01</v>
      </c>
      <c r="V3468">
        <v>0</v>
      </c>
      <c r="W3468">
        <v>72738</v>
      </c>
    </row>
    <row r="3469" spans="1:23" x14ac:dyDescent="0.25">
      <c r="A3469" s="1" t="s">
        <v>37</v>
      </c>
      <c r="B3469" s="1"/>
      <c r="C3469" s="1" t="s">
        <v>201</v>
      </c>
      <c r="D3469">
        <v>9223</v>
      </c>
      <c r="E3469" s="1"/>
      <c r="F3469" s="1" t="s">
        <v>336</v>
      </c>
      <c r="G3469">
        <v>2009</v>
      </c>
      <c r="H3469">
        <v>0</v>
      </c>
      <c r="I3469">
        <v>12</v>
      </c>
      <c r="J3469" s="1"/>
      <c r="K3469">
        <v>0</v>
      </c>
      <c r="L3469">
        <v>7936</v>
      </c>
      <c r="M3469">
        <v>0</v>
      </c>
      <c r="N3469">
        <v>2</v>
      </c>
      <c r="O3469" s="1" t="s">
        <v>570</v>
      </c>
      <c r="P3469">
        <v>0</v>
      </c>
      <c r="Q3469">
        <v>0</v>
      </c>
      <c r="R3469">
        <v>0</v>
      </c>
      <c r="S3469" s="1" t="s">
        <v>1087</v>
      </c>
      <c r="T3469" s="1"/>
      <c r="U3469">
        <v>0</v>
      </c>
      <c r="V3469">
        <v>0</v>
      </c>
      <c r="W3469">
        <v>96367</v>
      </c>
    </row>
    <row r="3470" spans="1:23" x14ac:dyDescent="0.25">
      <c r="A3470" s="1" t="s">
        <v>37</v>
      </c>
      <c r="B3470" s="1"/>
      <c r="C3470" s="1" t="s">
        <v>201</v>
      </c>
      <c r="D3470">
        <v>9223</v>
      </c>
      <c r="E3470" s="1"/>
      <c r="F3470" s="1" t="s">
        <v>336</v>
      </c>
      <c r="G3470">
        <v>2008</v>
      </c>
      <c r="H3470">
        <v>206271.23</v>
      </c>
      <c r="I3470">
        <v>12</v>
      </c>
      <c r="J3470" s="1"/>
      <c r="K3470">
        <v>0</v>
      </c>
      <c r="L3470">
        <v>7936</v>
      </c>
      <c r="M3470">
        <v>25.991510000000002</v>
      </c>
      <c r="N3470">
        <v>2</v>
      </c>
      <c r="O3470" s="1" t="s">
        <v>569</v>
      </c>
      <c r="P3470">
        <v>206271.23</v>
      </c>
      <c r="Q3470">
        <v>96741.2</v>
      </c>
      <c r="R3470">
        <v>0</v>
      </c>
      <c r="S3470" s="1"/>
      <c r="T3470" s="1"/>
      <c r="U3470">
        <v>206271.22500000001</v>
      </c>
      <c r="V3470">
        <v>0</v>
      </c>
      <c r="W3470">
        <v>72738</v>
      </c>
    </row>
    <row r="3471" spans="1:23" x14ac:dyDescent="0.25">
      <c r="A3471" s="1" t="s">
        <v>37</v>
      </c>
      <c r="B3471" s="1"/>
      <c r="C3471" s="1" t="s">
        <v>201</v>
      </c>
      <c r="D3471">
        <v>9223</v>
      </c>
      <c r="E3471" s="1"/>
      <c r="F3471" s="1" t="s">
        <v>336</v>
      </c>
      <c r="G3471">
        <v>2008</v>
      </c>
      <c r="H3471">
        <v>0</v>
      </c>
      <c r="I3471">
        <v>12</v>
      </c>
      <c r="J3471" s="1"/>
      <c r="K3471">
        <v>0</v>
      </c>
      <c r="L3471">
        <v>7936</v>
      </c>
      <c r="M3471">
        <v>0</v>
      </c>
      <c r="N3471">
        <v>2</v>
      </c>
      <c r="O3471" s="1" t="s">
        <v>570</v>
      </c>
      <c r="P3471">
        <v>0</v>
      </c>
      <c r="Q3471">
        <v>0</v>
      </c>
      <c r="R3471">
        <v>0</v>
      </c>
      <c r="S3471" s="1" t="s">
        <v>1087</v>
      </c>
      <c r="T3471" s="1"/>
      <c r="U3471">
        <v>0</v>
      </c>
      <c r="V3471">
        <v>0</v>
      </c>
      <c r="W3471">
        <v>96367</v>
      </c>
    </row>
    <row r="3472" spans="1:23" x14ac:dyDescent="0.25">
      <c r="A3472" s="1" t="s">
        <v>37</v>
      </c>
      <c r="B3472" s="1"/>
      <c r="C3472" s="1" t="s">
        <v>202</v>
      </c>
      <c r="D3472">
        <v>10321</v>
      </c>
      <c r="E3472" s="1"/>
      <c r="F3472" s="1" t="s">
        <v>337</v>
      </c>
      <c r="G3472">
        <v>2015</v>
      </c>
      <c r="H3472">
        <v>3974.45</v>
      </c>
      <c r="I3472">
        <v>5</v>
      </c>
      <c r="J3472" s="1" t="s">
        <v>411</v>
      </c>
      <c r="K3472">
        <v>0</v>
      </c>
      <c r="L3472">
        <v>126</v>
      </c>
      <c r="M3472">
        <v>31.518239000000001</v>
      </c>
      <c r="N3472">
        <v>2</v>
      </c>
      <c r="O3472" s="1" t="s">
        <v>569</v>
      </c>
      <c r="P3472">
        <v>3974.45</v>
      </c>
      <c r="Q3472">
        <v>1192.32</v>
      </c>
      <c r="R3472">
        <v>0</v>
      </c>
      <c r="S3472" s="1" t="s">
        <v>1094</v>
      </c>
      <c r="T3472" s="1" t="s">
        <v>1339</v>
      </c>
      <c r="U3472">
        <v>3974.4358000000002</v>
      </c>
      <c r="V3472">
        <v>0</v>
      </c>
      <c r="W3472">
        <v>77808</v>
      </c>
    </row>
    <row r="3473" spans="1:23" x14ac:dyDescent="0.25">
      <c r="A3473" s="1" t="s">
        <v>37</v>
      </c>
      <c r="B3473" s="1"/>
      <c r="C3473" s="1" t="s">
        <v>202</v>
      </c>
      <c r="D3473">
        <v>10321</v>
      </c>
      <c r="E3473" s="1"/>
      <c r="F3473" s="1" t="s">
        <v>337</v>
      </c>
      <c r="G3473">
        <v>2014</v>
      </c>
      <c r="H3473">
        <v>5023.71</v>
      </c>
      <c r="I3473">
        <v>12</v>
      </c>
      <c r="J3473" s="1" t="s">
        <v>411</v>
      </c>
      <c r="K3473">
        <v>0</v>
      </c>
      <c r="L3473">
        <v>126</v>
      </c>
      <c r="M3473">
        <v>39.839095</v>
      </c>
      <c r="N3473">
        <v>2</v>
      </c>
      <c r="O3473" s="1" t="s">
        <v>569</v>
      </c>
      <c r="P3473">
        <v>5023.71</v>
      </c>
      <c r="Q3473">
        <v>1507.11</v>
      </c>
      <c r="R3473">
        <v>0</v>
      </c>
      <c r="S3473" s="1" t="s">
        <v>1094</v>
      </c>
      <c r="T3473" s="1" t="s">
        <v>1339</v>
      </c>
      <c r="U3473">
        <v>5023.7110000000002</v>
      </c>
      <c r="V3473">
        <v>0</v>
      </c>
      <c r="W3473">
        <v>77808</v>
      </c>
    </row>
    <row r="3474" spans="1:23" x14ac:dyDescent="0.25">
      <c r="A3474" s="1" t="s">
        <v>37</v>
      </c>
      <c r="B3474" s="1"/>
      <c r="C3474" s="1" t="s">
        <v>202</v>
      </c>
      <c r="D3474">
        <v>10321</v>
      </c>
      <c r="E3474" s="1"/>
      <c r="F3474" s="1" t="s">
        <v>337</v>
      </c>
      <c r="G3474">
        <v>2013</v>
      </c>
      <c r="H3474">
        <v>2966.65</v>
      </c>
      <c r="I3474">
        <v>12</v>
      </c>
      <c r="J3474" s="1" t="s">
        <v>411</v>
      </c>
      <c r="K3474">
        <v>0</v>
      </c>
      <c r="L3474">
        <v>126</v>
      </c>
      <c r="M3474">
        <v>23.526168999999999</v>
      </c>
      <c r="N3474">
        <v>2</v>
      </c>
      <c r="O3474" s="1" t="s">
        <v>569</v>
      </c>
      <c r="P3474">
        <v>2966.65</v>
      </c>
      <c r="Q3474">
        <v>889.99</v>
      </c>
      <c r="R3474">
        <v>0</v>
      </c>
      <c r="S3474" s="1" t="s">
        <v>1094</v>
      </c>
      <c r="T3474" s="1" t="s">
        <v>1339</v>
      </c>
      <c r="U3474">
        <v>2966.6464999999998</v>
      </c>
      <c r="V3474">
        <v>0</v>
      </c>
      <c r="W3474">
        <v>77808</v>
      </c>
    </row>
    <row r="3475" spans="1:23" x14ac:dyDescent="0.25">
      <c r="A3475" s="1" t="s">
        <v>37</v>
      </c>
      <c r="B3475" s="1"/>
      <c r="C3475" s="1" t="s">
        <v>202</v>
      </c>
      <c r="D3475">
        <v>10321</v>
      </c>
      <c r="E3475" s="1"/>
      <c r="F3475" s="1" t="s">
        <v>337</v>
      </c>
      <c r="G3475">
        <v>2012</v>
      </c>
      <c r="H3475">
        <v>3340.51</v>
      </c>
      <c r="I3475">
        <v>15</v>
      </c>
      <c r="J3475" s="1" t="s">
        <v>411</v>
      </c>
      <c r="K3475">
        <v>0</v>
      </c>
      <c r="L3475">
        <v>126</v>
      </c>
      <c r="M3475">
        <v>26.490959</v>
      </c>
      <c r="N3475">
        <v>2</v>
      </c>
      <c r="O3475" s="1" t="s">
        <v>569</v>
      </c>
      <c r="P3475">
        <v>3340.51</v>
      </c>
      <c r="Q3475">
        <v>1336.2</v>
      </c>
      <c r="R3475">
        <v>0</v>
      </c>
      <c r="S3475" s="1" t="s">
        <v>1094</v>
      </c>
      <c r="T3475" s="1" t="s">
        <v>1339</v>
      </c>
      <c r="U3475">
        <v>3340.5163899999998</v>
      </c>
      <c r="V3475">
        <v>0</v>
      </c>
      <c r="W3475">
        <v>77808</v>
      </c>
    </row>
    <row r="3476" spans="1:23" x14ac:dyDescent="0.25">
      <c r="A3476" s="1" t="s">
        <v>37</v>
      </c>
      <c r="B3476" s="1"/>
      <c r="C3476" s="1" t="s">
        <v>202</v>
      </c>
      <c r="D3476">
        <v>10321</v>
      </c>
      <c r="E3476" s="1"/>
      <c r="F3476" s="1" t="s">
        <v>337</v>
      </c>
      <c r="G3476">
        <v>2011</v>
      </c>
      <c r="H3476">
        <v>1450.17</v>
      </c>
      <c r="I3476">
        <v>5</v>
      </c>
      <c r="J3476" s="1" t="s">
        <v>411</v>
      </c>
      <c r="K3476">
        <v>0</v>
      </c>
      <c r="L3476">
        <v>126</v>
      </c>
      <c r="M3476">
        <v>11.500158000000001</v>
      </c>
      <c r="N3476">
        <v>2</v>
      </c>
      <c r="O3476" s="1" t="s">
        <v>569</v>
      </c>
      <c r="P3476">
        <v>1450.17</v>
      </c>
      <c r="Q3476">
        <v>680.14</v>
      </c>
      <c r="R3476">
        <v>0</v>
      </c>
      <c r="S3476" s="1" t="s">
        <v>1094</v>
      </c>
      <c r="T3476" s="1" t="s">
        <v>1339</v>
      </c>
      <c r="U3476">
        <v>1450.1742899999999</v>
      </c>
      <c r="V3476">
        <v>0</v>
      </c>
      <c r="W3476">
        <v>77808</v>
      </c>
    </row>
    <row r="3477" spans="1:23" x14ac:dyDescent="0.25">
      <c r="A3477" s="1" t="s">
        <v>37</v>
      </c>
      <c r="B3477" s="1"/>
      <c r="C3477" s="1" t="s">
        <v>202</v>
      </c>
      <c r="D3477">
        <v>10321</v>
      </c>
      <c r="E3477" s="1"/>
      <c r="F3477" s="1" t="s">
        <v>337</v>
      </c>
      <c r="G3477">
        <v>2010</v>
      </c>
      <c r="H3477">
        <v>281.89</v>
      </c>
      <c r="I3477">
        <v>3</v>
      </c>
      <c r="J3477" s="1" t="s">
        <v>411</v>
      </c>
      <c r="K3477">
        <v>0</v>
      </c>
      <c r="L3477">
        <v>126</v>
      </c>
      <c r="M3477">
        <v>2.2354479999999999</v>
      </c>
      <c r="N3477">
        <v>2</v>
      </c>
      <c r="O3477" s="1" t="s">
        <v>569</v>
      </c>
      <c r="P3477">
        <v>281.89</v>
      </c>
      <c r="Q3477">
        <v>132.22999999999999</v>
      </c>
      <c r="R3477">
        <v>0</v>
      </c>
      <c r="S3477" s="1" t="s">
        <v>1094</v>
      </c>
      <c r="T3477" s="1" t="s">
        <v>1339</v>
      </c>
      <c r="U3477">
        <v>281.89819999999997</v>
      </c>
      <c r="V3477">
        <v>0</v>
      </c>
      <c r="W3477">
        <v>77808</v>
      </c>
    </row>
    <row r="3478" spans="1:23" x14ac:dyDescent="0.25">
      <c r="A3478" s="1" t="s">
        <v>37</v>
      </c>
      <c r="B3478" s="1"/>
      <c r="C3478" s="1" t="s">
        <v>202</v>
      </c>
      <c r="D3478">
        <v>10321</v>
      </c>
      <c r="E3478" s="1"/>
      <c r="F3478" s="1" t="s">
        <v>337</v>
      </c>
      <c r="G3478">
        <v>2009</v>
      </c>
      <c r="H3478">
        <v>483.58</v>
      </c>
      <c r="I3478">
        <v>4</v>
      </c>
      <c r="J3478" s="1" t="s">
        <v>411</v>
      </c>
      <c r="K3478">
        <v>0</v>
      </c>
      <c r="L3478">
        <v>126</v>
      </c>
      <c r="M3478">
        <v>3.834892</v>
      </c>
      <c r="N3478">
        <v>2</v>
      </c>
      <c r="O3478" s="1" t="s">
        <v>569</v>
      </c>
      <c r="P3478">
        <v>483.58</v>
      </c>
      <c r="Q3478">
        <v>226.81</v>
      </c>
      <c r="R3478">
        <v>0</v>
      </c>
      <c r="S3478" s="1" t="s">
        <v>1094</v>
      </c>
      <c r="T3478" s="1" t="s">
        <v>1339</v>
      </c>
      <c r="U3478">
        <v>483.60178000000002</v>
      </c>
      <c r="V3478">
        <v>0</v>
      </c>
      <c r="W3478">
        <v>77808</v>
      </c>
    </row>
    <row r="3479" spans="1:23" x14ac:dyDescent="0.25">
      <c r="A3479" s="1" t="s">
        <v>37</v>
      </c>
      <c r="B3479" s="1"/>
      <c r="C3479" s="1" t="s">
        <v>202</v>
      </c>
      <c r="D3479">
        <v>10321</v>
      </c>
      <c r="E3479" s="1"/>
      <c r="F3479" s="1" t="s">
        <v>337</v>
      </c>
      <c r="G3479">
        <v>2008</v>
      </c>
      <c r="H3479">
        <v>3704.38</v>
      </c>
      <c r="I3479">
        <v>7</v>
      </c>
      <c r="J3479" s="1" t="s">
        <v>411</v>
      </c>
      <c r="K3479">
        <v>0</v>
      </c>
      <c r="L3479">
        <v>126</v>
      </c>
      <c r="M3479">
        <v>29.376525999999998</v>
      </c>
      <c r="N3479">
        <v>2</v>
      </c>
      <c r="O3479" s="1" t="s">
        <v>569</v>
      </c>
      <c r="P3479">
        <v>3704.38</v>
      </c>
      <c r="Q3479">
        <v>1737.34</v>
      </c>
      <c r="R3479">
        <v>0</v>
      </c>
      <c r="S3479" s="1" t="s">
        <v>1094</v>
      </c>
      <c r="T3479" s="1" t="s">
        <v>1339</v>
      </c>
      <c r="U3479">
        <v>3704.3791299999998</v>
      </c>
      <c r="V3479">
        <v>0</v>
      </c>
      <c r="W3479">
        <v>77808</v>
      </c>
    </row>
    <row r="3480" spans="1:23" x14ac:dyDescent="0.25">
      <c r="A3480" s="1" t="s">
        <v>37</v>
      </c>
      <c r="B3480" s="1"/>
      <c r="C3480" s="1" t="s">
        <v>203</v>
      </c>
      <c r="D3480">
        <v>9222</v>
      </c>
      <c r="E3480" s="1"/>
      <c r="F3480" s="1" t="s">
        <v>338</v>
      </c>
      <c r="G3480">
        <v>2015</v>
      </c>
      <c r="H3480">
        <v>114095.87</v>
      </c>
      <c r="I3480">
        <v>5</v>
      </c>
      <c r="J3480" s="1"/>
      <c r="K3480">
        <v>0</v>
      </c>
      <c r="L3480">
        <v>11252</v>
      </c>
      <c r="M3480">
        <v>10.139962000000001</v>
      </c>
      <c r="N3480">
        <v>2</v>
      </c>
      <c r="O3480" s="1" t="s">
        <v>569</v>
      </c>
      <c r="P3480">
        <v>114095.87</v>
      </c>
      <c r="Q3480">
        <v>34228.76</v>
      </c>
      <c r="R3480">
        <v>0</v>
      </c>
      <c r="S3480" s="1" t="s">
        <v>1095</v>
      </c>
      <c r="T3480" s="1" t="s">
        <v>1340</v>
      </c>
      <c r="U3480">
        <v>114095.878</v>
      </c>
      <c r="V3480">
        <v>0</v>
      </c>
      <c r="W3480">
        <v>72736</v>
      </c>
    </row>
    <row r="3481" spans="1:23" x14ac:dyDescent="0.25">
      <c r="A3481" s="1" t="s">
        <v>37</v>
      </c>
      <c r="B3481" s="1"/>
      <c r="C3481" s="1" t="s">
        <v>203</v>
      </c>
      <c r="D3481">
        <v>9222</v>
      </c>
      <c r="E3481" s="1"/>
      <c r="F3481" s="1" t="s">
        <v>338</v>
      </c>
      <c r="G3481">
        <v>2014</v>
      </c>
      <c r="H3481">
        <v>247210.38</v>
      </c>
      <c r="I3481">
        <v>12</v>
      </c>
      <c r="J3481" s="1"/>
      <c r="K3481">
        <v>0</v>
      </c>
      <c r="L3481">
        <v>11252</v>
      </c>
      <c r="M3481">
        <v>21.970154000000001</v>
      </c>
      <c r="N3481">
        <v>2</v>
      </c>
      <c r="O3481" s="1" t="s">
        <v>569</v>
      </c>
      <c r="P3481">
        <v>247210.38</v>
      </c>
      <c r="Q3481">
        <v>74163.14</v>
      </c>
      <c r="R3481">
        <v>0</v>
      </c>
      <c r="S3481" s="1" t="s">
        <v>1095</v>
      </c>
      <c r="T3481" s="1" t="s">
        <v>1340</v>
      </c>
      <c r="U3481">
        <v>247210.35800000001</v>
      </c>
      <c r="V3481">
        <v>0</v>
      </c>
      <c r="W3481">
        <v>72736</v>
      </c>
    </row>
    <row r="3482" spans="1:23" x14ac:dyDescent="0.25">
      <c r="A3482" s="1" t="s">
        <v>37</v>
      </c>
      <c r="B3482" s="1"/>
      <c r="C3482" s="1" t="s">
        <v>203</v>
      </c>
      <c r="D3482">
        <v>9222</v>
      </c>
      <c r="E3482" s="1"/>
      <c r="F3482" s="1" t="s">
        <v>338</v>
      </c>
      <c r="G3482">
        <v>2013</v>
      </c>
      <c r="H3482">
        <v>236543.33</v>
      </c>
      <c r="I3482">
        <v>12</v>
      </c>
      <c r="J3482" s="1"/>
      <c r="K3482">
        <v>0</v>
      </c>
      <c r="L3482">
        <v>11252</v>
      </c>
      <c r="M3482">
        <v>21.022148999999999</v>
      </c>
      <c r="N3482">
        <v>2</v>
      </c>
      <c r="O3482" s="1" t="s">
        <v>569</v>
      </c>
      <c r="P3482">
        <v>236543.33</v>
      </c>
      <c r="Q3482">
        <v>70962.990000000005</v>
      </c>
      <c r="R3482">
        <v>0</v>
      </c>
      <c r="S3482" s="1" t="s">
        <v>1095</v>
      </c>
      <c r="T3482" s="1" t="s">
        <v>1340</v>
      </c>
      <c r="U3482">
        <v>236543.33300000001</v>
      </c>
      <c r="V3482">
        <v>0</v>
      </c>
      <c r="W3482">
        <v>72736</v>
      </c>
    </row>
    <row r="3483" spans="1:23" x14ac:dyDescent="0.25">
      <c r="A3483" s="1" t="s">
        <v>37</v>
      </c>
      <c r="B3483" s="1"/>
      <c r="C3483" s="1" t="s">
        <v>203</v>
      </c>
      <c r="D3483">
        <v>9222</v>
      </c>
      <c r="E3483" s="1"/>
      <c r="F3483" s="1" t="s">
        <v>338</v>
      </c>
      <c r="G3483">
        <v>2012</v>
      </c>
      <c r="H3483">
        <v>267396.07</v>
      </c>
      <c r="I3483">
        <v>12</v>
      </c>
      <c r="J3483" s="1"/>
      <c r="K3483">
        <v>0</v>
      </c>
      <c r="L3483">
        <v>11252</v>
      </c>
      <c r="M3483">
        <v>23.764102999999999</v>
      </c>
      <c r="N3483">
        <v>2</v>
      </c>
      <c r="O3483" s="1" t="s">
        <v>569</v>
      </c>
      <c r="P3483">
        <v>267396.07</v>
      </c>
      <c r="Q3483">
        <v>106958.42</v>
      </c>
      <c r="R3483">
        <v>0</v>
      </c>
      <c r="S3483" s="1" t="s">
        <v>1095</v>
      </c>
      <c r="T3483" s="1" t="s">
        <v>1340</v>
      </c>
      <c r="U3483">
        <v>267396.08500000002</v>
      </c>
      <c r="V3483">
        <v>0</v>
      </c>
      <c r="W3483">
        <v>72736</v>
      </c>
    </row>
    <row r="3484" spans="1:23" x14ac:dyDescent="0.25">
      <c r="A3484" s="1" t="s">
        <v>37</v>
      </c>
      <c r="B3484" s="1"/>
      <c r="C3484" s="1" t="s">
        <v>203</v>
      </c>
      <c r="D3484">
        <v>9222</v>
      </c>
      <c r="E3484" s="1"/>
      <c r="F3484" s="1" t="s">
        <v>338</v>
      </c>
      <c r="G3484">
        <v>2011</v>
      </c>
      <c r="H3484">
        <v>319369.57</v>
      </c>
      <c r="I3484">
        <v>12</v>
      </c>
      <c r="J3484" s="1"/>
      <c r="K3484">
        <v>0</v>
      </c>
      <c r="L3484">
        <v>11252</v>
      </c>
      <c r="M3484">
        <v>28.383108</v>
      </c>
      <c r="N3484">
        <v>2</v>
      </c>
      <c r="O3484" s="1" t="s">
        <v>569</v>
      </c>
      <c r="P3484">
        <v>319369.57</v>
      </c>
      <c r="Q3484">
        <v>149784.32000000001</v>
      </c>
      <c r="R3484">
        <v>0</v>
      </c>
      <c r="S3484" s="1" t="s">
        <v>1095</v>
      </c>
      <c r="T3484" s="1" t="s">
        <v>1340</v>
      </c>
      <c r="U3484">
        <v>319369.56400000001</v>
      </c>
      <c r="V3484">
        <v>0</v>
      </c>
      <c r="W3484">
        <v>72736</v>
      </c>
    </row>
    <row r="3485" spans="1:23" x14ac:dyDescent="0.25">
      <c r="A3485" s="1" t="s">
        <v>37</v>
      </c>
      <c r="B3485" s="1"/>
      <c r="C3485" s="1" t="s">
        <v>203</v>
      </c>
      <c r="D3485">
        <v>9222</v>
      </c>
      <c r="E3485" s="1"/>
      <c r="F3485" s="1" t="s">
        <v>338</v>
      </c>
      <c r="G3485">
        <v>2010</v>
      </c>
      <c r="H3485">
        <v>387591.37</v>
      </c>
      <c r="I3485">
        <v>12</v>
      </c>
      <c r="J3485" s="1"/>
      <c r="K3485">
        <v>0</v>
      </c>
      <c r="L3485">
        <v>11252</v>
      </c>
      <c r="M3485">
        <v>34.446136000000003</v>
      </c>
      <c r="N3485">
        <v>2</v>
      </c>
      <c r="O3485" s="1" t="s">
        <v>569</v>
      </c>
      <c r="P3485">
        <v>387591.37</v>
      </c>
      <c r="Q3485">
        <v>181780.36</v>
      </c>
      <c r="R3485">
        <v>0</v>
      </c>
      <c r="S3485" s="1" t="s">
        <v>1095</v>
      </c>
      <c r="T3485" s="1" t="s">
        <v>1340</v>
      </c>
      <c r="U3485">
        <v>387591.35544000001</v>
      </c>
      <c r="V3485">
        <v>0</v>
      </c>
      <c r="W3485">
        <v>72736</v>
      </c>
    </row>
    <row r="3486" spans="1:23" x14ac:dyDescent="0.25">
      <c r="A3486" s="1" t="s">
        <v>37</v>
      </c>
      <c r="B3486" s="1"/>
      <c r="C3486" s="1" t="s">
        <v>203</v>
      </c>
      <c r="D3486">
        <v>9222</v>
      </c>
      <c r="E3486" s="1"/>
      <c r="F3486" s="1" t="s">
        <v>338</v>
      </c>
      <c r="G3486">
        <v>2009</v>
      </c>
      <c r="H3486">
        <v>568204.76</v>
      </c>
      <c r="I3486">
        <v>12</v>
      </c>
      <c r="J3486" s="1"/>
      <c r="K3486">
        <v>0</v>
      </c>
      <c r="L3486">
        <v>11252</v>
      </c>
      <c r="M3486">
        <v>50.497663000000003</v>
      </c>
      <c r="N3486">
        <v>2</v>
      </c>
      <c r="O3486" s="1" t="s">
        <v>569</v>
      </c>
      <c r="P3486">
        <v>568204.76</v>
      </c>
      <c r="Q3486">
        <v>266488.03999999998</v>
      </c>
      <c r="R3486">
        <v>0</v>
      </c>
      <c r="S3486" s="1" t="s">
        <v>1095</v>
      </c>
      <c r="T3486" s="1" t="s">
        <v>1340</v>
      </c>
      <c r="U3486">
        <v>568204.73684999999</v>
      </c>
      <c r="V3486">
        <v>0</v>
      </c>
      <c r="W3486">
        <v>72736</v>
      </c>
    </row>
    <row r="3487" spans="1:23" x14ac:dyDescent="0.25">
      <c r="A3487" s="1" t="s">
        <v>37</v>
      </c>
      <c r="B3487" s="1"/>
      <c r="C3487" s="1" t="s">
        <v>203</v>
      </c>
      <c r="D3487">
        <v>9222</v>
      </c>
      <c r="E3487" s="1"/>
      <c r="F3487" s="1" t="s">
        <v>338</v>
      </c>
      <c r="G3487">
        <v>2008</v>
      </c>
      <c r="H3487">
        <v>466601.06</v>
      </c>
      <c r="I3487">
        <v>12</v>
      </c>
      <c r="J3487" s="1"/>
      <c r="K3487">
        <v>0</v>
      </c>
      <c r="L3487">
        <v>11252</v>
      </c>
      <c r="M3487">
        <v>41.467908999999999</v>
      </c>
      <c r="N3487">
        <v>2</v>
      </c>
      <c r="O3487" s="1" t="s">
        <v>569</v>
      </c>
      <c r="P3487">
        <v>466601.06</v>
      </c>
      <c r="Q3487">
        <v>218835.92</v>
      </c>
      <c r="R3487">
        <v>0</v>
      </c>
      <c r="S3487" s="1" t="s">
        <v>1095</v>
      </c>
      <c r="T3487" s="1" t="s">
        <v>1340</v>
      </c>
      <c r="U3487">
        <v>466601.08214999997</v>
      </c>
      <c r="V3487">
        <v>0</v>
      </c>
      <c r="W3487">
        <v>72736</v>
      </c>
    </row>
    <row r="3488" spans="1:23" x14ac:dyDescent="0.25">
      <c r="A3488" s="1" t="s">
        <v>37</v>
      </c>
      <c r="B3488" s="1"/>
      <c r="C3488" s="1" t="s">
        <v>203</v>
      </c>
      <c r="D3488">
        <v>9222</v>
      </c>
      <c r="E3488" s="1"/>
      <c r="F3488" s="1" t="s">
        <v>338</v>
      </c>
      <c r="G3488">
        <v>2008</v>
      </c>
      <c r="H3488">
        <v>68741.039999999994</v>
      </c>
      <c r="I3488">
        <v>1</v>
      </c>
      <c r="J3488" s="1" t="s">
        <v>546</v>
      </c>
      <c r="K3488">
        <v>0</v>
      </c>
      <c r="L3488">
        <v>11252</v>
      </c>
      <c r="M3488">
        <v>6.1091740000000003</v>
      </c>
      <c r="N3488">
        <v>2</v>
      </c>
      <c r="O3488" s="1" t="s">
        <v>569</v>
      </c>
      <c r="P3488">
        <v>68741.039999999994</v>
      </c>
      <c r="Q3488">
        <v>32239.55</v>
      </c>
      <c r="R3488">
        <v>0</v>
      </c>
      <c r="S3488" s="1"/>
      <c r="T3488" s="1"/>
      <c r="U3488">
        <v>68741.035709999996</v>
      </c>
      <c r="V3488">
        <v>0</v>
      </c>
      <c r="W3488">
        <v>77715</v>
      </c>
    </row>
    <row r="3489" spans="1:23" x14ac:dyDescent="0.25">
      <c r="A3489" s="1" t="s">
        <v>37</v>
      </c>
      <c r="B3489" s="1"/>
      <c r="C3489" s="1" t="s">
        <v>239</v>
      </c>
      <c r="D3489">
        <v>5956</v>
      </c>
      <c r="E3489" s="1"/>
      <c r="F3489" s="1" t="s">
        <v>386</v>
      </c>
      <c r="G3489">
        <v>2015</v>
      </c>
      <c r="H3489">
        <v>6956.85</v>
      </c>
      <c r="I3489">
        <v>5</v>
      </c>
      <c r="J3489" s="1"/>
      <c r="K3489">
        <v>0</v>
      </c>
      <c r="L3489">
        <v>186</v>
      </c>
      <c r="M3489">
        <v>37.382320999999997</v>
      </c>
      <c r="N3489">
        <v>2</v>
      </c>
      <c r="O3489" s="1" t="s">
        <v>569</v>
      </c>
      <c r="P3489">
        <v>6956.85</v>
      </c>
      <c r="Q3489">
        <v>2087.0500000000002</v>
      </c>
      <c r="R3489">
        <v>0</v>
      </c>
      <c r="S3489" s="1" t="s">
        <v>1096</v>
      </c>
      <c r="T3489" s="1" t="s">
        <v>1341</v>
      </c>
      <c r="U3489">
        <v>6956.8440000000001</v>
      </c>
      <c r="V3489">
        <v>0</v>
      </c>
      <c r="W3489">
        <v>91057</v>
      </c>
    </row>
    <row r="3490" spans="1:23" x14ac:dyDescent="0.25">
      <c r="A3490" s="1" t="s">
        <v>37</v>
      </c>
      <c r="B3490" s="1"/>
      <c r="C3490" s="1" t="s">
        <v>239</v>
      </c>
      <c r="D3490">
        <v>5956</v>
      </c>
      <c r="E3490" s="1"/>
      <c r="F3490" s="1" t="s">
        <v>386</v>
      </c>
      <c r="G3490">
        <v>2014</v>
      </c>
      <c r="H3490">
        <v>9754.02</v>
      </c>
      <c r="I3490">
        <v>12</v>
      </c>
      <c r="J3490" s="1"/>
      <c r="K3490">
        <v>0</v>
      </c>
      <c r="L3490">
        <v>186</v>
      </c>
      <c r="M3490">
        <v>52.412787999999999</v>
      </c>
      <c r="N3490">
        <v>2</v>
      </c>
      <c r="O3490" s="1" t="s">
        <v>569</v>
      </c>
      <c r="P3490">
        <v>9754.02</v>
      </c>
      <c r="Q3490">
        <v>2926.22</v>
      </c>
      <c r="R3490">
        <v>0</v>
      </c>
      <c r="S3490" s="1" t="s">
        <v>1096</v>
      </c>
      <c r="T3490" s="1" t="s">
        <v>1341</v>
      </c>
      <c r="U3490">
        <v>9754.0329000000002</v>
      </c>
      <c r="V3490">
        <v>0</v>
      </c>
      <c r="W3490">
        <v>91057</v>
      </c>
    </row>
    <row r="3491" spans="1:23" x14ac:dyDescent="0.25">
      <c r="A3491" s="1" t="s">
        <v>37</v>
      </c>
      <c r="B3491" s="1"/>
      <c r="C3491" s="1" t="s">
        <v>239</v>
      </c>
      <c r="D3491">
        <v>5956</v>
      </c>
      <c r="E3491" s="1"/>
      <c r="F3491" s="1" t="s">
        <v>386</v>
      </c>
      <c r="G3491">
        <v>2013</v>
      </c>
      <c r="H3491">
        <v>14117.16</v>
      </c>
      <c r="I3491">
        <v>12</v>
      </c>
      <c r="J3491" s="1"/>
      <c r="K3491">
        <v>0</v>
      </c>
      <c r="L3491">
        <v>186</v>
      </c>
      <c r="M3491">
        <v>75.857924999999994</v>
      </c>
      <c r="N3491">
        <v>2</v>
      </c>
      <c r="O3491" s="1" t="s">
        <v>569</v>
      </c>
      <c r="P3491">
        <v>14117.16</v>
      </c>
      <c r="Q3491">
        <v>4235.13</v>
      </c>
      <c r="R3491">
        <v>0</v>
      </c>
      <c r="S3491" s="1" t="s">
        <v>1096</v>
      </c>
      <c r="T3491" s="1" t="s">
        <v>1341</v>
      </c>
      <c r="U3491">
        <v>14117.149600000001</v>
      </c>
      <c r="V3491">
        <v>0</v>
      </c>
      <c r="W3491">
        <v>91057</v>
      </c>
    </row>
    <row r="3492" spans="1:23" x14ac:dyDescent="0.25">
      <c r="A3492" s="1" t="s">
        <v>37</v>
      </c>
      <c r="B3492" s="1"/>
      <c r="C3492" s="1" t="s">
        <v>239</v>
      </c>
      <c r="D3492">
        <v>5956</v>
      </c>
      <c r="E3492" s="1"/>
      <c r="F3492" s="1" t="s">
        <v>386</v>
      </c>
      <c r="G3492">
        <v>2012</v>
      </c>
      <c r="H3492">
        <v>1061.05</v>
      </c>
      <c r="I3492">
        <v>1</v>
      </c>
      <c r="J3492" s="1" t="s">
        <v>411</v>
      </c>
      <c r="K3492">
        <v>0</v>
      </c>
      <c r="L3492">
        <v>186</v>
      </c>
      <c r="M3492">
        <v>5.7015039999999999</v>
      </c>
      <c r="N3492">
        <v>2</v>
      </c>
      <c r="O3492" s="1" t="s">
        <v>569</v>
      </c>
      <c r="P3492">
        <v>1061.05</v>
      </c>
      <c r="Q3492">
        <v>424.42</v>
      </c>
      <c r="R3492">
        <v>0</v>
      </c>
      <c r="S3492" s="1" t="s">
        <v>1097</v>
      </c>
      <c r="T3492" s="1"/>
      <c r="U3492">
        <v>1061.0526299999999</v>
      </c>
      <c r="V3492">
        <v>0</v>
      </c>
      <c r="W3492">
        <v>60013</v>
      </c>
    </row>
    <row r="3493" spans="1:23" x14ac:dyDescent="0.25">
      <c r="A3493" s="1" t="s">
        <v>37</v>
      </c>
      <c r="B3493" s="1"/>
      <c r="C3493" s="1" t="s">
        <v>239</v>
      </c>
      <c r="D3493">
        <v>5956</v>
      </c>
      <c r="E3493" s="1"/>
      <c r="F3493" s="1" t="s">
        <v>386</v>
      </c>
      <c r="G3493">
        <v>2012</v>
      </c>
      <c r="H3493">
        <v>14954.97</v>
      </c>
      <c r="I3493">
        <v>11</v>
      </c>
      <c r="J3493" s="1"/>
      <c r="K3493">
        <v>0</v>
      </c>
      <c r="L3493">
        <v>186</v>
      </c>
      <c r="M3493">
        <v>80.359859999999998</v>
      </c>
      <c r="N3493">
        <v>2</v>
      </c>
      <c r="O3493" s="1" t="s">
        <v>569</v>
      </c>
      <c r="P3493">
        <v>14954.97</v>
      </c>
      <c r="Q3493">
        <v>5981.99</v>
      </c>
      <c r="R3493">
        <v>0</v>
      </c>
      <c r="S3493" s="1" t="s">
        <v>1096</v>
      </c>
      <c r="T3493" s="1" t="s">
        <v>1341</v>
      </c>
      <c r="U3493">
        <v>14954.9766</v>
      </c>
      <c r="V3493">
        <v>0</v>
      </c>
      <c r="W3493">
        <v>91057</v>
      </c>
    </row>
    <row r="3494" spans="1:23" x14ac:dyDescent="0.25">
      <c r="A3494" s="1" t="s">
        <v>37</v>
      </c>
      <c r="B3494" s="1"/>
      <c r="C3494" s="1" t="s">
        <v>239</v>
      </c>
      <c r="D3494">
        <v>5956</v>
      </c>
      <c r="E3494" s="1"/>
      <c r="F3494" s="1" t="s">
        <v>386</v>
      </c>
      <c r="G3494">
        <v>2011</v>
      </c>
      <c r="H3494">
        <v>19450.830000000002</v>
      </c>
      <c r="I3494">
        <v>3</v>
      </c>
      <c r="J3494" s="1" t="s">
        <v>411</v>
      </c>
      <c r="K3494">
        <v>0</v>
      </c>
      <c r="L3494">
        <v>186</v>
      </c>
      <c r="M3494">
        <v>104.518162</v>
      </c>
      <c r="N3494">
        <v>2</v>
      </c>
      <c r="O3494" s="1" t="s">
        <v>569</v>
      </c>
      <c r="P3494">
        <v>19450.830000000002</v>
      </c>
      <c r="Q3494">
        <v>9122.42</v>
      </c>
      <c r="R3494">
        <v>0</v>
      </c>
      <c r="S3494" s="1" t="s">
        <v>1097</v>
      </c>
      <c r="T3494" s="1"/>
      <c r="U3494">
        <v>19450.804499999998</v>
      </c>
      <c r="V3494">
        <v>0</v>
      </c>
      <c r="W3494">
        <v>60013</v>
      </c>
    </row>
    <row r="3495" spans="1:23" x14ac:dyDescent="0.25">
      <c r="A3495" s="1" t="s">
        <v>37</v>
      </c>
      <c r="B3495" s="1"/>
      <c r="C3495" s="1" t="s">
        <v>239</v>
      </c>
      <c r="D3495">
        <v>5956</v>
      </c>
      <c r="E3495" s="1"/>
      <c r="F3495" s="1" t="s">
        <v>386</v>
      </c>
      <c r="G3495">
        <v>2010</v>
      </c>
      <c r="H3495">
        <v>22283.279999999999</v>
      </c>
      <c r="I3495">
        <v>4</v>
      </c>
      <c r="J3495" s="1" t="s">
        <v>411</v>
      </c>
      <c r="K3495">
        <v>0</v>
      </c>
      <c r="L3495">
        <v>186</v>
      </c>
      <c r="M3495">
        <v>119.73820499999999</v>
      </c>
      <c r="N3495">
        <v>2</v>
      </c>
      <c r="O3495" s="1" t="s">
        <v>569</v>
      </c>
      <c r="P3495">
        <v>22283.279999999999</v>
      </c>
      <c r="Q3495">
        <v>10450.870000000001</v>
      </c>
      <c r="R3495">
        <v>0</v>
      </c>
      <c r="S3495" s="1" t="s">
        <v>1097</v>
      </c>
      <c r="T3495" s="1"/>
      <c r="U3495">
        <v>22283.30503</v>
      </c>
      <c r="V3495">
        <v>0</v>
      </c>
      <c r="W3495">
        <v>60013</v>
      </c>
    </row>
    <row r="3496" spans="1:23" x14ac:dyDescent="0.25">
      <c r="A3496" s="1" t="s">
        <v>37</v>
      </c>
      <c r="B3496" s="1"/>
      <c r="C3496" s="1" t="s">
        <v>239</v>
      </c>
      <c r="D3496">
        <v>5956</v>
      </c>
      <c r="E3496" s="1"/>
      <c r="F3496" s="1" t="s">
        <v>386</v>
      </c>
      <c r="G3496">
        <v>2009</v>
      </c>
      <c r="H3496">
        <v>20185.009999999998</v>
      </c>
      <c r="I3496">
        <v>3</v>
      </c>
      <c r="J3496" s="1" t="s">
        <v>411</v>
      </c>
      <c r="K3496">
        <v>0</v>
      </c>
      <c r="L3496">
        <v>186</v>
      </c>
      <c r="M3496">
        <v>108.463245</v>
      </c>
      <c r="N3496">
        <v>2</v>
      </c>
      <c r="O3496" s="1" t="s">
        <v>569</v>
      </c>
      <c r="P3496">
        <v>20185.009999999998</v>
      </c>
      <c r="Q3496">
        <v>9466.7900000000009</v>
      </c>
      <c r="R3496">
        <v>0</v>
      </c>
      <c r="S3496" s="1" t="s">
        <v>1097</v>
      </c>
      <c r="T3496" s="1"/>
      <c r="U3496">
        <v>20185.024389999999</v>
      </c>
      <c r="V3496">
        <v>0</v>
      </c>
      <c r="W3496">
        <v>60013</v>
      </c>
    </row>
    <row r="3497" spans="1:23" x14ac:dyDescent="0.25">
      <c r="A3497" s="1" t="s">
        <v>37</v>
      </c>
      <c r="B3497" s="1"/>
      <c r="C3497" s="1" t="s">
        <v>239</v>
      </c>
      <c r="D3497">
        <v>5956</v>
      </c>
      <c r="E3497" s="1"/>
      <c r="F3497" s="1" t="s">
        <v>386</v>
      </c>
      <c r="G3497">
        <v>2008</v>
      </c>
      <c r="H3497">
        <v>16721.919999999998</v>
      </c>
      <c r="I3497">
        <v>6</v>
      </c>
      <c r="J3497" s="1" t="s">
        <v>411</v>
      </c>
      <c r="K3497">
        <v>0</v>
      </c>
      <c r="L3497">
        <v>186</v>
      </c>
      <c r="M3497">
        <v>89.854485999999994</v>
      </c>
      <c r="N3497">
        <v>2</v>
      </c>
      <c r="O3497" s="1" t="s">
        <v>569</v>
      </c>
      <c r="P3497">
        <v>16721.919999999998</v>
      </c>
      <c r="Q3497">
        <v>7842.59</v>
      </c>
      <c r="R3497">
        <v>0</v>
      </c>
      <c r="S3497" s="1" t="s">
        <v>1097</v>
      </c>
      <c r="T3497" s="1"/>
      <c r="U3497">
        <v>16721.92772</v>
      </c>
      <c r="V3497">
        <v>0</v>
      </c>
      <c r="W3497">
        <v>60013</v>
      </c>
    </row>
    <row r="3498" spans="1:23" x14ac:dyDescent="0.25">
      <c r="A3498" s="1" t="s">
        <v>37</v>
      </c>
      <c r="B3498" s="1"/>
      <c r="C3498" s="1" t="s">
        <v>239</v>
      </c>
      <c r="D3498">
        <v>5942</v>
      </c>
      <c r="E3498" s="1"/>
      <c r="F3498" s="1" t="s">
        <v>387</v>
      </c>
      <c r="G3498">
        <v>2015</v>
      </c>
      <c r="H3498">
        <v>2913.97</v>
      </c>
      <c r="I3498">
        <v>5</v>
      </c>
      <c r="J3498" s="1"/>
      <c r="K3498">
        <v>0</v>
      </c>
      <c r="L3498">
        <v>506</v>
      </c>
      <c r="M3498">
        <v>5.7576960000000001</v>
      </c>
      <c r="N3498">
        <v>2</v>
      </c>
      <c r="O3498" s="1" t="s">
        <v>569</v>
      </c>
      <c r="P3498">
        <v>2913.97</v>
      </c>
      <c r="Q3498">
        <v>874.18</v>
      </c>
      <c r="R3498">
        <v>0</v>
      </c>
      <c r="S3498" s="1"/>
      <c r="T3498" s="1" t="s">
        <v>1342</v>
      </c>
      <c r="U3498">
        <v>2913.9720000000002</v>
      </c>
      <c r="V3498">
        <v>0</v>
      </c>
      <c r="W3498">
        <v>91058</v>
      </c>
    </row>
    <row r="3499" spans="1:23" x14ac:dyDescent="0.25">
      <c r="A3499" s="1" t="s">
        <v>37</v>
      </c>
      <c r="B3499" s="1"/>
      <c r="C3499" s="1" t="s">
        <v>239</v>
      </c>
      <c r="D3499">
        <v>5942</v>
      </c>
      <c r="E3499" s="1"/>
      <c r="F3499" s="1" t="s">
        <v>387</v>
      </c>
      <c r="G3499">
        <v>2014</v>
      </c>
      <c r="H3499">
        <v>6942.41</v>
      </c>
      <c r="I3499">
        <v>12</v>
      </c>
      <c r="J3499" s="1"/>
      <c r="K3499">
        <v>0</v>
      </c>
      <c r="L3499">
        <v>506</v>
      </c>
      <c r="M3499">
        <v>13.717466</v>
      </c>
      <c r="N3499">
        <v>2</v>
      </c>
      <c r="O3499" s="1" t="s">
        <v>569</v>
      </c>
      <c r="P3499">
        <v>6942.41</v>
      </c>
      <c r="Q3499">
        <v>2082.71</v>
      </c>
      <c r="R3499">
        <v>0</v>
      </c>
      <c r="S3499" s="1"/>
      <c r="T3499" s="1" t="s">
        <v>1342</v>
      </c>
      <c r="U3499">
        <v>6942.3977999999997</v>
      </c>
      <c r="V3499">
        <v>0</v>
      </c>
      <c r="W3499">
        <v>91058</v>
      </c>
    </row>
    <row r="3500" spans="1:23" x14ac:dyDescent="0.25">
      <c r="A3500" s="1" t="s">
        <v>37</v>
      </c>
      <c r="B3500" s="1"/>
      <c r="C3500" s="1" t="s">
        <v>239</v>
      </c>
      <c r="D3500">
        <v>5942</v>
      </c>
      <c r="E3500" s="1"/>
      <c r="F3500" s="1" t="s">
        <v>387</v>
      </c>
      <c r="G3500">
        <v>2013</v>
      </c>
      <c r="H3500">
        <v>4957</v>
      </c>
      <c r="I3500">
        <v>12</v>
      </c>
      <c r="J3500" s="1"/>
      <c r="K3500">
        <v>0</v>
      </c>
      <c r="L3500">
        <v>506</v>
      </c>
      <c r="M3500">
        <v>9.7945069999999994</v>
      </c>
      <c r="N3500">
        <v>2</v>
      </c>
      <c r="O3500" s="1" t="s">
        <v>569</v>
      </c>
      <c r="P3500">
        <v>4957</v>
      </c>
      <c r="Q3500">
        <v>1487.11</v>
      </c>
      <c r="R3500">
        <v>0</v>
      </c>
      <c r="S3500" s="1"/>
      <c r="T3500" s="1" t="s">
        <v>1342</v>
      </c>
      <c r="U3500">
        <v>4956.9885999999997</v>
      </c>
      <c r="V3500">
        <v>0</v>
      </c>
      <c r="W3500">
        <v>91058</v>
      </c>
    </row>
    <row r="3501" spans="1:23" x14ac:dyDescent="0.25">
      <c r="A3501" s="1" t="s">
        <v>37</v>
      </c>
      <c r="B3501" s="1"/>
      <c r="C3501" s="1" t="s">
        <v>239</v>
      </c>
      <c r="D3501">
        <v>5942</v>
      </c>
      <c r="E3501" s="1"/>
      <c r="F3501" s="1" t="s">
        <v>387</v>
      </c>
      <c r="G3501">
        <v>2012</v>
      </c>
      <c r="H3501">
        <v>429</v>
      </c>
      <c r="I3501">
        <v>2</v>
      </c>
      <c r="J3501" s="1" t="s">
        <v>547</v>
      </c>
      <c r="K3501">
        <v>0</v>
      </c>
      <c r="L3501">
        <v>506</v>
      </c>
      <c r="M3501">
        <v>0.84765800000000002</v>
      </c>
      <c r="N3501">
        <v>2</v>
      </c>
      <c r="O3501" s="1" t="s">
        <v>569</v>
      </c>
      <c r="P3501">
        <v>429</v>
      </c>
      <c r="Q3501">
        <v>171.6</v>
      </c>
      <c r="R3501">
        <v>0</v>
      </c>
      <c r="S3501" s="1" t="s">
        <v>1098</v>
      </c>
      <c r="T3501" s="1"/>
      <c r="U3501">
        <v>429</v>
      </c>
      <c r="V3501">
        <v>0</v>
      </c>
      <c r="W3501">
        <v>59942</v>
      </c>
    </row>
    <row r="3502" spans="1:23" x14ac:dyDescent="0.25">
      <c r="A3502" s="1" t="s">
        <v>37</v>
      </c>
      <c r="B3502" s="1"/>
      <c r="C3502" s="1" t="s">
        <v>239</v>
      </c>
      <c r="D3502">
        <v>5942</v>
      </c>
      <c r="E3502" s="1"/>
      <c r="F3502" s="1" t="s">
        <v>387</v>
      </c>
      <c r="G3502">
        <v>2012</v>
      </c>
      <c r="H3502">
        <v>5386.1</v>
      </c>
      <c r="I3502">
        <v>11</v>
      </c>
      <c r="J3502" s="1"/>
      <c r="K3502">
        <v>0</v>
      </c>
      <c r="L3502">
        <v>506</v>
      </c>
      <c r="M3502">
        <v>10.642363</v>
      </c>
      <c r="N3502">
        <v>2</v>
      </c>
      <c r="O3502" s="1" t="s">
        <v>569</v>
      </c>
      <c r="P3502">
        <v>5386.1</v>
      </c>
      <c r="Q3502">
        <v>2154.44</v>
      </c>
      <c r="R3502">
        <v>0</v>
      </c>
      <c r="S3502" s="1"/>
      <c r="T3502" s="1" t="s">
        <v>1342</v>
      </c>
      <c r="U3502">
        <v>5386.0956999999999</v>
      </c>
      <c r="V3502">
        <v>0</v>
      </c>
      <c r="W3502">
        <v>91058</v>
      </c>
    </row>
    <row r="3503" spans="1:23" x14ac:dyDescent="0.25">
      <c r="A3503" s="1" t="s">
        <v>37</v>
      </c>
      <c r="B3503" s="1"/>
      <c r="C3503" s="1" t="s">
        <v>239</v>
      </c>
      <c r="D3503">
        <v>5942</v>
      </c>
      <c r="E3503" s="1"/>
      <c r="F3503" s="1" t="s">
        <v>387</v>
      </c>
      <c r="G3503">
        <v>2011</v>
      </c>
      <c r="H3503">
        <v>2823.85</v>
      </c>
      <c r="I3503">
        <v>4</v>
      </c>
      <c r="J3503" s="1" t="s">
        <v>547</v>
      </c>
      <c r="K3503">
        <v>0</v>
      </c>
      <c r="L3503">
        <v>506</v>
      </c>
      <c r="M3503">
        <v>5.5796279999999996</v>
      </c>
      <c r="N3503">
        <v>2</v>
      </c>
      <c r="O3503" s="1" t="s">
        <v>569</v>
      </c>
      <c r="P3503">
        <v>2823.85</v>
      </c>
      <c r="Q3503">
        <v>1324.38</v>
      </c>
      <c r="R3503">
        <v>0</v>
      </c>
      <c r="S3503" s="1" t="s">
        <v>1098</v>
      </c>
      <c r="T3503" s="1"/>
      <c r="U3503">
        <v>2823.8571499999998</v>
      </c>
      <c r="V3503">
        <v>0</v>
      </c>
      <c r="W3503">
        <v>59942</v>
      </c>
    </row>
    <row r="3504" spans="1:23" x14ac:dyDescent="0.25">
      <c r="A3504" s="1" t="s">
        <v>37</v>
      </c>
      <c r="B3504" s="1"/>
      <c r="C3504" s="1" t="s">
        <v>239</v>
      </c>
      <c r="D3504">
        <v>5942</v>
      </c>
      <c r="E3504" s="1"/>
      <c r="F3504" s="1" t="s">
        <v>387</v>
      </c>
      <c r="G3504">
        <v>2010</v>
      </c>
      <c r="H3504">
        <v>3011.94</v>
      </c>
      <c r="I3504">
        <v>5</v>
      </c>
      <c r="J3504" s="1" t="s">
        <v>547</v>
      </c>
      <c r="K3504">
        <v>0</v>
      </c>
      <c r="L3504">
        <v>506</v>
      </c>
      <c r="M3504">
        <v>5.9512739999999997</v>
      </c>
      <c r="N3504">
        <v>2</v>
      </c>
      <c r="O3504" s="1" t="s">
        <v>569</v>
      </c>
      <c r="P3504">
        <v>3011.94</v>
      </c>
      <c r="Q3504">
        <v>1412.59</v>
      </c>
      <c r="R3504">
        <v>0</v>
      </c>
      <c r="S3504" s="1" t="s">
        <v>1098</v>
      </c>
      <c r="T3504" s="1"/>
      <c r="U3504">
        <v>3011.9397199999999</v>
      </c>
      <c r="V3504">
        <v>0</v>
      </c>
      <c r="W3504">
        <v>59942</v>
      </c>
    </row>
    <row r="3505" spans="1:23" x14ac:dyDescent="0.25">
      <c r="A3505" s="1" t="s">
        <v>37</v>
      </c>
      <c r="B3505" s="1"/>
      <c r="C3505" s="1" t="s">
        <v>239</v>
      </c>
      <c r="D3505">
        <v>5942</v>
      </c>
      <c r="E3505" s="1"/>
      <c r="F3505" s="1" t="s">
        <v>387</v>
      </c>
      <c r="G3505">
        <v>2009</v>
      </c>
      <c r="H3505">
        <v>2173.35</v>
      </c>
      <c r="I3505">
        <v>4</v>
      </c>
      <c r="J3505" s="1" t="s">
        <v>547</v>
      </c>
      <c r="K3505">
        <v>0</v>
      </c>
      <c r="L3505">
        <v>506</v>
      </c>
      <c r="M3505">
        <v>4.2943090000000002</v>
      </c>
      <c r="N3505">
        <v>2</v>
      </c>
      <c r="O3505" s="1" t="s">
        <v>569</v>
      </c>
      <c r="P3505">
        <v>2173.35</v>
      </c>
      <c r="Q3505">
        <v>1019.3</v>
      </c>
      <c r="R3505">
        <v>0</v>
      </c>
      <c r="S3505" s="1" t="s">
        <v>1098</v>
      </c>
      <c r="T3505" s="1"/>
      <c r="U3505">
        <v>2173.3523799999998</v>
      </c>
      <c r="V3505">
        <v>0</v>
      </c>
      <c r="W3505">
        <v>59942</v>
      </c>
    </row>
    <row r="3506" spans="1:23" x14ac:dyDescent="0.25">
      <c r="A3506" s="1" t="s">
        <v>37</v>
      </c>
      <c r="B3506" s="1"/>
      <c r="C3506" s="1" t="s">
        <v>239</v>
      </c>
      <c r="D3506">
        <v>5942</v>
      </c>
      <c r="E3506" s="1"/>
      <c r="F3506" s="1" t="s">
        <v>387</v>
      </c>
      <c r="G3506">
        <v>2008</v>
      </c>
      <c r="H3506">
        <v>2267.73</v>
      </c>
      <c r="I3506">
        <v>6</v>
      </c>
      <c r="J3506" s="1" t="s">
        <v>547</v>
      </c>
      <c r="K3506">
        <v>0</v>
      </c>
      <c r="L3506">
        <v>506</v>
      </c>
      <c r="M3506">
        <v>4.4807940000000004</v>
      </c>
      <c r="N3506">
        <v>2</v>
      </c>
      <c r="O3506" s="1" t="s">
        <v>569</v>
      </c>
      <c r="P3506">
        <v>2267.73</v>
      </c>
      <c r="Q3506">
        <v>1063.57</v>
      </c>
      <c r="R3506">
        <v>0</v>
      </c>
      <c r="S3506" s="1" t="s">
        <v>1098</v>
      </c>
      <c r="T3506" s="1"/>
      <c r="U3506">
        <v>2267.7364699999998</v>
      </c>
      <c r="V3506">
        <v>0</v>
      </c>
      <c r="W3506">
        <v>59942</v>
      </c>
    </row>
    <row r="3507" spans="1:23" x14ac:dyDescent="0.25">
      <c r="A3507" s="1" t="s">
        <v>38</v>
      </c>
      <c r="B3507" s="1"/>
      <c r="C3507" s="1" t="s">
        <v>204</v>
      </c>
      <c r="D3507">
        <v>10165</v>
      </c>
      <c r="E3507" s="1"/>
      <c r="F3507" s="1" t="s">
        <v>339</v>
      </c>
      <c r="G3507">
        <v>2015</v>
      </c>
      <c r="H3507">
        <v>13.46</v>
      </c>
      <c r="I3507">
        <v>5</v>
      </c>
      <c r="J3507" s="1" t="s">
        <v>449</v>
      </c>
      <c r="K3507">
        <v>0</v>
      </c>
      <c r="L3507">
        <v>168</v>
      </c>
      <c r="M3507">
        <v>8.0071000000000003E-2</v>
      </c>
      <c r="N3507">
        <v>3</v>
      </c>
      <c r="O3507" s="1" t="s">
        <v>560</v>
      </c>
      <c r="P3507">
        <v>13.46</v>
      </c>
      <c r="Q3507">
        <v>10.76</v>
      </c>
      <c r="R3507">
        <v>0</v>
      </c>
      <c r="S3507" s="1" t="s">
        <v>694</v>
      </c>
      <c r="T3507" s="1"/>
      <c r="U3507">
        <v>13.454000000000001</v>
      </c>
      <c r="V3507">
        <v>0</v>
      </c>
      <c r="W3507">
        <v>77158</v>
      </c>
    </row>
    <row r="3508" spans="1:23" x14ac:dyDescent="0.25">
      <c r="A3508" s="1" t="s">
        <v>38</v>
      </c>
      <c r="B3508" s="1"/>
      <c r="C3508" s="1" t="s">
        <v>204</v>
      </c>
      <c r="D3508">
        <v>10165</v>
      </c>
      <c r="E3508" s="1"/>
      <c r="F3508" s="1" t="s">
        <v>339</v>
      </c>
      <c r="G3508">
        <v>2014</v>
      </c>
      <c r="H3508">
        <v>117.61</v>
      </c>
      <c r="I3508">
        <v>12</v>
      </c>
      <c r="J3508" s="1" t="s">
        <v>449</v>
      </c>
      <c r="K3508">
        <v>0</v>
      </c>
      <c r="L3508">
        <v>168</v>
      </c>
      <c r="M3508">
        <v>0.69964300000000001</v>
      </c>
      <c r="N3508">
        <v>3</v>
      </c>
      <c r="O3508" s="1" t="s">
        <v>560</v>
      </c>
      <c r="P3508">
        <v>117.61</v>
      </c>
      <c r="Q3508">
        <v>94.06</v>
      </c>
      <c r="R3508">
        <v>0</v>
      </c>
      <c r="S3508" s="1" t="s">
        <v>694</v>
      </c>
      <c r="T3508" s="1"/>
      <c r="U3508">
        <v>117.583</v>
      </c>
      <c r="V3508">
        <v>0</v>
      </c>
      <c r="W3508">
        <v>77158</v>
      </c>
    </row>
    <row r="3509" spans="1:23" x14ac:dyDescent="0.25">
      <c r="A3509" s="1" t="s">
        <v>38</v>
      </c>
      <c r="B3509" s="1"/>
      <c r="C3509" s="1" t="s">
        <v>204</v>
      </c>
      <c r="D3509">
        <v>10165</v>
      </c>
      <c r="E3509" s="1"/>
      <c r="F3509" s="1" t="s">
        <v>339</v>
      </c>
      <c r="G3509">
        <v>2013</v>
      </c>
      <c r="H3509">
        <v>209.76</v>
      </c>
      <c r="I3509">
        <v>12</v>
      </c>
      <c r="J3509" s="1" t="s">
        <v>449</v>
      </c>
      <c r="K3509">
        <v>0</v>
      </c>
      <c r="L3509">
        <v>168</v>
      </c>
      <c r="M3509">
        <v>1.2478279999999999</v>
      </c>
      <c r="N3509">
        <v>3</v>
      </c>
      <c r="O3509" s="1" t="s">
        <v>560</v>
      </c>
      <c r="P3509">
        <v>209.76</v>
      </c>
      <c r="Q3509">
        <v>167.81</v>
      </c>
      <c r="R3509">
        <v>0</v>
      </c>
      <c r="S3509" s="1" t="s">
        <v>694</v>
      </c>
      <c r="T3509" s="1"/>
      <c r="U3509">
        <v>209.75800000000001</v>
      </c>
      <c r="V3509">
        <v>0</v>
      </c>
      <c r="W3509">
        <v>77158</v>
      </c>
    </row>
    <row r="3510" spans="1:23" x14ac:dyDescent="0.25">
      <c r="A3510" s="1" t="s">
        <v>38</v>
      </c>
      <c r="B3510" s="1"/>
      <c r="C3510" s="1" t="s">
        <v>204</v>
      </c>
      <c r="D3510">
        <v>10165</v>
      </c>
      <c r="E3510" s="1"/>
      <c r="F3510" s="1" t="s">
        <v>339</v>
      </c>
      <c r="G3510">
        <v>2012</v>
      </c>
      <c r="H3510">
        <v>164.39</v>
      </c>
      <c r="I3510">
        <v>12</v>
      </c>
      <c r="J3510" s="1" t="s">
        <v>449</v>
      </c>
      <c r="K3510">
        <v>0</v>
      </c>
      <c r="L3510">
        <v>168</v>
      </c>
      <c r="M3510">
        <v>0.97792900000000005</v>
      </c>
      <c r="N3510">
        <v>3</v>
      </c>
      <c r="O3510" s="1" t="s">
        <v>560</v>
      </c>
      <c r="P3510">
        <v>164.39</v>
      </c>
      <c r="Q3510">
        <v>131.5</v>
      </c>
      <c r="R3510">
        <v>0</v>
      </c>
      <c r="S3510" s="1" t="s">
        <v>694</v>
      </c>
      <c r="T3510" s="1"/>
      <c r="U3510">
        <v>164.37854999999999</v>
      </c>
      <c r="V3510">
        <v>0</v>
      </c>
      <c r="W3510">
        <v>77158</v>
      </c>
    </row>
    <row r="3511" spans="1:23" x14ac:dyDescent="0.25">
      <c r="A3511" s="1" t="s">
        <v>38</v>
      </c>
      <c r="B3511" s="1"/>
      <c r="C3511" s="1" t="s">
        <v>204</v>
      </c>
      <c r="D3511">
        <v>10165</v>
      </c>
      <c r="E3511" s="1"/>
      <c r="F3511" s="1" t="s">
        <v>339</v>
      </c>
      <c r="G3511">
        <v>2011</v>
      </c>
      <c r="H3511">
        <v>48.06</v>
      </c>
      <c r="I3511">
        <v>10</v>
      </c>
      <c r="J3511" s="1" t="s">
        <v>449</v>
      </c>
      <c r="K3511">
        <v>0</v>
      </c>
      <c r="L3511">
        <v>168</v>
      </c>
      <c r="M3511">
        <v>0.28590100000000002</v>
      </c>
      <c r="N3511">
        <v>3</v>
      </c>
      <c r="O3511" s="1" t="s">
        <v>560</v>
      </c>
      <c r="P3511">
        <v>48.06</v>
      </c>
      <c r="Q3511">
        <v>38.44</v>
      </c>
      <c r="R3511">
        <v>0</v>
      </c>
      <c r="S3511" s="1" t="s">
        <v>694</v>
      </c>
      <c r="T3511" s="1"/>
      <c r="U3511">
        <v>48.045450000000002</v>
      </c>
      <c r="V3511">
        <v>0</v>
      </c>
      <c r="W3511">
        <v>77158</v>
      </c>
    </row>
    <row r="3512" spans="1:23" x14ac:dyDescent="0.25">
      <c r="A3512" s="1" t="s">
        <v>38</v>
      </c>
      <c r="B3512" s="1"/>
      <c r="C3512" s="1" t="s">
        <v>204</v>
      </c>
      <c r="D3512">
        <v>10165</v>
      </c>
      <c r="E3512" s="1"/>
      <c r="F3512" s="1" t="s">
        <v>339</v>
      </c>
      <c r="G3512">
        <v>2010</v>
      </c>
      <c r="H3512">
        <v>1.19</v>
      </c>
      <c r="I3512">
        <v>3</v>
      </c>
      <c r="J3512" s="1" t="s">
        <v>449</v>
      </c>
      <c r="K3512">
        <v>0</v>
      </c>
      <c r="L3512">
        <v>168</v>
      </c>
      <c r="M3512">
        <v>7.0790000000000002E-3</v>
      </c>
      <c r="N3512">
        <v>3</v>
      </c>
      <c r="O3512" s="1" t="s">
        <v>560</v>
      </c>
      <c r="P3512">
        <v>1.19</v>
      </c>
      <c r="Q3512">
        <v>0.96</v>
      </c>
      <c r="R3512">
        <v>0</v>
      </c>
      <c r="S3512" s="1" t="s">
        <v>694</v>
      </c>
      <c r="T3512" s="1"/>
      <c r="U3512">
        <v>1.1927700000000001</v>
      </c>
      <c r="V3512">
        <v>0</v>
      </c>
      <c r="W3512">
        <v>77158</v>
      </c>
    </row>
    <row r="3513" spans="1:23" x14ac:dyDescent="0.25">
      <c r="A3513" s="1" t="s">
        <v>38</v>
      </c>
      <c r="B3513" s="1"/>
      <c r="C3513" s="1" t="s">
        <v>204</v>
      </c>
      <c r="D3513">
        <v>10165</v>
      </c>
      <c r="E3513" s="1"/>
      <c r="F3513" s="1" t="s">
        <v>339</v>
      </c>
      <c r="G3513">
        <v>2009</v>
      </c>
      <c r="H3513">
        <v>103.5</v>
      </c>
      <c r="I3513">
        <v>6</v>
      </c>
      <c r="J3513" s="1" t="s">
        <v>449</v>
      </c>
      <c r="K3513">
        <v>0</v>
      </c>
      <c r="L3513">
        <v>168</v>
      </c>
      <c r="M3513">
        <v>0.61570400000000003</v>
      </c>
      <c r="N3513">
        <v>3</v>
      </c>
      <c r="O3513" s="1" t="s">
        <v>560</v>
      </c>
      <c r="P3513">
        <v>103.5</v>
      </c>
      <c r="Q3513">
        <v>82.81</v>
      </c>
      <c r="R3513">
        <v>0</v>
      </c>
      <c r="S3513" s="1" t="s">
        <v>694</v>
      </c>
      <c r="T3513" s="1"/>
      <c r="U3513">
        <v>103.50167</v>
      </c>
      <c r="V3513">
        <v>0</v>
      </c>
      <c r="W3513">
        <v>77158</v>
      </c>
    </row>
    <row r="3514" spans="1:23" x14ac:dyDescent="0.25">
      <c r="A3514" s="1" t="s">
        <v>38</v>
      </c>
      <c r="B3514" s="1"/>
      <c r="C3514" s="1" t="s">
        <v>204</v>
      </c>
      <c r="D3514">
        <v>10165</v>
      </c>
      <c r="E3514" s="1"/>
      <c r="F3514" s="1" t="s">
        <v>339</v>
      </c>
      <c r="G3514">
        <v>2008</v>
      </c>
      <c r="H3514">
        <v>167.78</v>
      </c>
      <c r="I3514">
        <v>6</v>
      </c>
      <c r="J3514" s="1" t="s">
        <v>449</v>
      </c>
      <c r="K3514">
        <v>0</v>
      </c>
      <c r="L3514">
        <v>168</v>
      </c>
      <c r="M3514">
        <v>0.99809599999999998</v>
      </c>
      <c r="N3514">
        <v>3</v>
      </c>
      <c r="O3514" s="1" t="s">
        <v>560</v>
      </c>
      <c r="P3514">
        <v>167.78</v>
      </c>
      <c r="Q3514">
        <v>134.22</v>
      </c>
      <c r="R3514">
        <v>0</v>
      </c>
      <c r="S3514" s="1" t="s">
        <v>694</v>
      </c>
      <c r="T3514" s="1"/>
      <c r="U3514">
        <v>167.77807000000001</v>
      </c>
      <c r="V3514">
        <v>0</v>
      </c>
      <c r="W3514">
        <v>77158</v>
      </c>
    </row>
    <row r="3515" spans="1:23" x14ac:dyDescent="0.25">
      <c r="A3515" s="1" t="s">
        <v>38</v>
      </c>
      <c r="B3515" s="1"/>
      <c r="C3515" s="1" t="s">
        <v>205</v>
      </c>
      <c r="D3515">
        <v>10166</v>
      </c>
      <c r="E3515" s="1"/>
      <c r="F3515" s="1" t="s">
        <v>340</v>
      </c>
      <c r="G3515">
        <v>2015</v>
      </c>
      <c r="H3515">
        <v>7</v>
      </c>
      <c r="I3515">
        <v>5</v>
      </c>
      <c r="J3515" s="1" t="s">
        <v>432</v>
      </c>
      <c r="K3515">
        <v>0</v>
      </c>
      <c r="L3515">
        <v>228</v>
      </c>
      <c r="M3515">
        <v>3.0688E-2</v>
      </c>
      <c r="N3515">
        <v>3</v>
      </c>
      <c r="O3515" s="1" t="s">
        <v>560</v>
      </c>
      <c r="P3515">
        <v>7</v>
      </c>
      <c r="Q3515">
        <v>5.6</v>
      </c>
      <c r="R3515">
        <v>0</v>
      </c>
      <c r="S3515" s="1" t="s">
        <v>695</v>
      </c>
      <c r="T3515" s="1"/>
      <c r="U3515">
        <v>7</v>
      </c>
      <c r="V3515">
        <v>0</v>
      </c>
      <c r="W3515">
        <v>77161</v>
      </c>
    </row>
    <row r="3516" spans="1:23" x14ac:dyDescent="0.25">
      <c r="A3516" s="1" t="s">
        <v>38</v>
      </c>
      <c r="B3516" s="1"/>
      <c r="C3516" s="1" t="s">
        <v>205</v>
      </c>
      <c r="D3516">
        <v>10166</v>
      </c>
      <c r="E3516" s="1"/>
      <c r="F3516" s="1" t="s">
        <v>340</v>
      </c>
      <c r="G3516">
        <v>2014</v>
      </c>
      <c r="H3516">
        <v>28.3</v>
      </c>
      <c r="I3516">
        <v>12</v>
      </c>
      <c r="J3516" s="1" t="s">
        <v>432</v>
      </c>
      <c r="K3516">
        <v>0</v>
      </c>
      <c r="L3516">
        <v>228</v>
      </c>
      <c r="M3516">
        <v>0.124068</v>
      </c>
      <c r="N3516">
        <v>3</v>
      </c>
      <c r="O3516" s="1" t="s">
        <v>560</v>
      </c>
      <c r="P3516">
        <v>28.3</v>
      </c>
      <c r="Q3516">
        <v>22.64</v>
      </c>
      <c r="R3516">
        <v>0</v>
      </c>
      <c r="S3516" s="1" t="s">
        <v>695</v>
      </c>
      <c r="T3516" s="1"/>
      <c r="U3516">
        <v>28.3</v>
      </c>
      <c r="V3516">
        <v>0</v>
      </c>
      <c r="W3516">
        <v>77161</v>
      </c>
    </row>
    <row r="3517" spans="1:23" x14ac:dyDescent="0.25">
      <c r="A3517" s="1" t="s">
        <v>38</v>
      </c>
      <c r="B3517" s="1"/>
      <c r="C3517" s="1" t="s">
        <v>205</v>
      </c>
      <c r="D3517">
        <v>10166</v>
      </c>
      <c r="E3517" s="1"/>
      <c r="F3517" s="1" t="s">
        <v>340</v>
      </c>
      <c r="G3517">
        <v>2013</v>
      </c>
      <c r="H3517">
        <v>80.900000000000006</v>
      </c>
      <c r="I3517">
        <v>12</v>
      </c>
      <c r="J3517" s="1" t="s">
        <v>432</v>
      </c>
      <c r="K3517">
        <v>0</v>
      </c>
      <c r="L3517">
        <v>228</v>
      </c>
      <c r="M3517">
        <v>0.35466900000000001</v>
      </c>
      <c r="N3517">
        <v>3</v>
      </c>
      <c r="O3517" s="1" t="s">
        <v>560</v>
      </c>
      <c r="P3517">
        <v>80.900000000000006</v>
      </c>
      <c r="Q3517">
        <v>64.72</v>
      </c>
      <c r="R3517">
        <v>0</v>
      </c>
      <c r="S3517" s="1" t="s">
        <v>695</v>
      </c>
      <c r="T3517" s="1"/>
      <c r="U3517">
        <v>80.900000000000006</v>
      </c>
      <c r="V3517">
        <v>0</v>
      </c>
      <c r="W3517">
        <v>77161</v>
      </c>
    </row>
    <row r="3518" spans="1:23" x14ac:dyDescent="0.25">
      <c r="A3518" s="1" t="s">
        <v>38</v>
      </c>
      <c r="B3518" s="1"/>
      <c r="C3518" s="1" t="s">
        <v>205</v>
      </c>
      <c r="D3518">
        <v>10166</v>
      </c>
      <c r="E3518" s="1"/>
      <c r="F3518" s="1" t="s">
        <v>340</v>
      </c>
      <c r="G3518">
        <v>2012</v>
      </c>
      <c r="H3518">
        <v>52.7</v>
      </c>
      <c r="I3518">
        <v>12</v>
      </c>
      <c r="J3518" s="1" t="s">
        <v>432</v>
      </c>
      <c r="K3518">
        <v>0</v>
      </c>
      <c r="L3518">
        <v>228</v>
      </c>
      <c r="M3518">
        <v>0.23103899999999999</v>
      </c>
      <c r="N3518">
        <v>3</v>
      </c>
      <c r="O3518" s="1" t="s">
        <v>560</v>
      </c>
      <c r="P3518">
        <v>52.7</v>
      </c>
      <c r="Q3518">
        <v>42.16</v>
      </c>
      <c r="R3518">
        <v>0</v>
      </c>
      <c r="S3518" s="1" t="s">
        <v>695</v>
      </c>
      <c r="T3518" s="1"/>
      <c r="U3518">
        <v>52.7</v>
      </c>
      <c r="V3518">
        <v>0</v>
      </c>
      <c r="W3518">
        <v>77161</v>
      </c>
    </row>
    <row r="3519" spans="1:23" x14ac:dyDescent="0.25">
      <c r="A3519" s="1" t="s">
        <v>38</v>
      </c>
      <c r="B3519" s="1"/>
      <c r="C3519" s="1" t="s">
        <v>205</v>
      </c>
      <c r="D3519">
        <v>10166</v>
      </c>
      <c r="E3519" s="1"/>
      <c r="F3519" s="1" t="s">
        <v>340</v>
      </c>
      <c r="G3519">
        <v>2011</v>
      </c>
      <c r="H3519">
        <v>11.99</v>
      </c>
      <c r="I3519">
        <v>8</v>
      </c>
      <c r="J3519" s="1" t="s">
        <v>432</v>
      </c>
      <c r="K3519">
        <v>0</v>
      </c>
      <c r="L3519">
        <v>228</v>
      </c>
      <c r="M3519">
        <v>5.2564E-2</v>
      </c>
      <c r="N3519">
        <v>3</v>
      </c>
      <c r="O3519" s="1" t="s">
        <v>560</v>
      </c>
      <c r="P3519">
        <v>11.99</v>
      </c>
      <c r="Q3519">
        <v>9.61</v>
      </c>
      <c r="R3519">
        <v>0</v>
      </c>
      <c r="S3519" s="1" t="s">
        <v>695</v>
      </c>
      <c r="T3519" s="1"/>
      <c r="U3519">
        <v>12.000019999999999</v>
      </c>
      <c r="V3519">
        <v>0</v>
      </c>
      <c r="W3519">
        <v>77161</v>
      </c>
    </row>
    <row r="3520" spans="1:23" x14ac:dyDescent="0.25">
      <c r="A3520" s="1" t="s">
        <v>38</v>
      </c>
      <c r="B3520" s="1"/>
      <c r="C3520" s="1" t="s">
        <v>205</v>
      </c>
      <c r="D3520">
        <v>10166</v>
      </c>
      <c r="E3520" s="1"/>
      <c r="F3520" s="1" t="s">
        <v>340</v>
      </c>
      <c r="G3520">
        <v>2010</v>
      </c>
      <c r="H3520">
        <v>1.59</v>
      </c>
      <c r="I3520">
        <v>3</v>
      </c>
      <c r="J3520" s="1" t="s">
        <v>432</v>
      </c>
      <c r="K3520">
        <v>0</v>
      </c>
      <c r="L3520">
        <v>228</v>
      </c>
      <c r="M3520">
        <v>6.9699999999999996E-3</v>
      </c>
      <c r="N3520">
        <v>3</v>
      </c>
      <c r="O3520" s="1" t="s">
        <v>560</v>
      </c>
      <c r="P3520">
        <v>1.59</v>
      </c>
      <c r="Q3520">
        <v>1.28</v>
      </c>
      <c r="R3520">
        <v>0</v>
      </c>
      <c r="S3520" s="1" t="s">
        <v>695</v>
      </c>
      <c r="T3520" s="1"/>
      <c r="U3520">
        <v>1.5963700000000001</v>
      </c>
      <c r="V3520">
        <v>0</v>
      </c>
      <c r="W3520">
        <v>77161</v>
      </c>
    </row>
    <row r="3521" spans="1:23" x14ac:dyDescent="0.25">
      <c r="A3521" s="1" t="s">
        <v>38</v>
      </c>
      <c r="B3521" s="1"/>
      <c r="C3521" s="1" t="s">
        <v>205</v>
      </c>
      <c r="D3521">
        <v>10166</v>
      </c>
      <c r="E3521" s="1"/>
      <c r="F3521" s="1" t="s">
        <v>340</v>
      </c>
      <c r="G3521">
        <v>2009</v>
      </c>
      <c r="H3521">
        <v>44.59</v>
      </c>
      <c r="I3521">
        <v>6</v>
      </c>
      <c r="J3521" s="1" t="s">
        <v>432</v>
      </c>
      <c r="K3521">
        <v>0</v>
      </c>
      <c r="L3521">
        <v>228</v>
      </c>
      <c r="M3521">
        <v>0.19548399999999999</v>
      </c>
      <c r="N3521">
        <v>3</v>
      </c>
      <c r="O3521" s="1" t="s">
        <v>560</v>
      </c>
      <c r="P3521">
        <v>44.59</v>
      </c>
      <c r="Q3521">
        <v>35.68</v>
      </c>
      <c r="R3521">
        <v>0</v>
      </c>
      <c r="S3521" s="1" t="s">
        <v>695</v>
      </c>
      <c r="T3521" s="1"/>
      <c r="U3521">
        <v>44.59807</v>
      </c>
      <c r="V3521">
        <v>0</v>
      </c>
      <c r="W3521">
        <v>77161</v>
      </c>
    </row>
    <row r="3522" spans="1:23" x14ac:dyDescent="0.25">
      <c r="A3522" s="1" t="s">
        <v>38</v>
      </c>
      <c r="B3522" s="1"/>
      <c r="C3522" s="1" t="s">
        <v>205</v>
      </c>
      <c r="D3522">
        <v>10166</v>
      </c>
      <c r="E3522" s="1"/>
      <c r="F3522" s="1" t="s">
        <v>340</v>
      </c>
      <c r="G3522">
        <v>2008</v>
      </c>
      <c r="H3522">
        <v>76.569999999999993</v>
      </c>
      <c r="I3522">
        <v>6</v>
      </c>
      <c r="J3522" s="1" t="s">
        <v>432</v>
      </c>
      <c r="K3522">
        <v>0</v>
      </c>
      <c r="L3522">
        <v>228</v>
      </c>
      <c r="M3522">
        <v>0.33568599999999998</v>
      </c>
      <c r="N3522">
        <v>3</v>
      </c>
      <c r="O3522" s="1" t="s">
        <v>560</v>
      </c>
      <c r="P3522">
        <v>76.569999999999993</v>
      </c>
      <c r="Q3522">
        <v>61.23</v>
      </c>
      <c r="R3522">
        <v>0</v>
      </c>
      <c r="S3522" s="1" t="s">
        <v>695</v>
      </c>
      <c r="T3522" s="1"/>
      <c r="U3522">
        <v>76.574820000000003</v>
      </c>
      <c r="V3522">
        <v>0</v>
      </c>
      <c r="W3522">
        <v>77161</v>
      </c>
    </row>
    <row r="3523" spans="1:23" x14ac:dyDescent="0.25">
      <c r="A3523" s="1" t="s">
        <v>38</v>
      </c>
      <c r="B3523" s="1"/>
      <c r="C3523" s="1" t="s">
        <v>206</v>
      </c>
      <c r="D3523">
        <v>10170</v>
      </c>
      <c r="E3523" s="1"/>
      <c r="F3523" s="1" t="s">
        <v>206</v>
      </c>
      <c r="G3523">
        <v>2015</v>
      </c>
      <c r="H3523">
        <v>7.4</v>
      </c>
      <c r="I3523">
        <v>5</v>
      </c>
      <c r="J3523" s="1" t="s">
        <v>451</v>
      </c>
      <c r="K3523">
        <v>0</v>
      </c>
      <c r="L3523">
        <v>247</v>
      </c>
      <c r="M3523">
        <v>2.9947000000000001E-2</v>
      </c>
      <c r="N3523">
        <v>3</v>
      </c>
      <c r="O3523" s="1" t="s">
        <v>560</v>
      </c>
      <c r="P3523">
        <v>7.4</v>
      </c>
      <c r="Q3523">
        <v>5.92</v>
      </c>
      <c r="R3523">
        <v>0</v>
      </c>
      <c r="S3523" s="1" t="s">
        <v>696</v>
      </c>
      <c r="T3523" s="1"/>
      <c r="U3523">
        <v>7.4</v>
      </c>
      <c r="V3523">
        <v>0</v>
      </c>
      <c r="W3523">
        <v>77184</v>
      </c>
    </row>
    <row r="3524" spans="1:23" x14ac:dyDescent="0.25">
      <c r="A3524" s="1" t="s">
        <v>38</v>
      </c>
      <c r="B3524" s="1"/>
      <c r="C3524" s="1" t="s">
        <v>206</v>
      </c>
      <c r="D3524">
        <v>10170</v>
      </c>
      <c r="E3524" s="1"/>
      <c r="F3524" s="1" t="s">
        <v>206</v>
      </c>
      <c r="G3524">
        <v>2014</v>
      </c>
      <c r="H3524">
        <v>16.899999999999999</v>
      </c>
      <c r="I3524">
        <v>12</v>
      </c>
      <c r="J3524" s="1" t="s">
        <v>451</v>
      </c>
      <c r="K3524">
        <v>0</v>
      </c>
      <c r="L3524">
        <v>247</v>
      </c>
      <c r="M3524">
        <v>6.8392999999999995E-2</v>
      </c>
      <c r="N3524">
        <v>3</v>
      </c>
      <c r="O3524" s="1" t="s">
        <v>560</v>
      </c>
      <c r="P3524">
        <v>16.899999999999999</v>
      </c>
      <c r="Q3524">
        <v>13.52</v>
      </c>
      <c r="R3524">
        <v>0</v>
      </c>
      <c r="S3524" s="1" t="s">
        <v>696</v>
      </c>
      <c r="T3524" s="1"/>
      <c r="U3524">
        <v>16.899999999999999</v>
      </c>
      <c r="V3524">
        <v>0</v>
      </c>
      <c r="W3524">
        <v>77184</v>
      </c>
    </row>
    <row r="3525" spans="1:23" x14ac:dyDescent="0.25">
      <c r="A3525" s="1" t="s">
        <v>38</v>
      </c>
      <c r="B3525" s="1"/>
      <c r="C3525" s="1" t="s">
        <v>206</v>
      </c>
      <c r="D3525">
        <v>10170</v>
      </c>
      <c r="E3525" s="1"/>
      <c r="F3525" s="1" t="s">
        <v>206</v>
      </c>
      <c r="G3525">
        <v>2013</v>
      </c>
      <c r="H3525">
        <v>25.8</v>
      </c>
      <c r="I3525">
        <v>12</v>
      </c>
      <c r="J3525" s="1" t="s">
        <v>451</v>
      </c>
      <c r="K3525">
        <v>0</v>
      </c>
      <c r="L3525">
        <v>247</v>
      </c>
      <c r="M3525">
        <v>0.104411</v>
      </c>
      <c r="N3525">
        <v>3</v>
      </c>
      <c r="O3525" s="1" t="s">
        <v>560</v>
      </c>
      <c r="P3525">
        <v>25.8</v>
      </c>
      <c r="Q3525">
        <v>20.64</v>
      </c>
      <c r="R3525">
        <v>0</v>
      </c>
      <c r="S3525" s="1" t="s">
        <v>696</v>
      </c>
      <c r="T3525" s="1"/>
      <c r="U3525">
        <v>25.8</v>
      </c>
      <c r="V3525">
        <v>0</v>
      </c>
      <c r="W3525">
        <v>77184</v>
      </c>
    </row>
    <row r="3526" spans="1:23" x14ac:dyDescent="0.25">
      <c r="A3526" s="1" t="s">
        <v>38</v>
      </c>
      <c r="B3526" s="1"/>
      <c r="C3526" s="1" t="s">
        <v>206</v>
      </c>
      <c r="D3526">
        <v>10170</v>
      </c>
      <c r="E3526" s="1"/>
      <c r="F3526" s="1" t="s">
        <v>206</v>
      </c>
      <c r="G3526">
        <v>2012</v>
      </c>
      <c r="H3526">
        <v>22.8</v>
      </c>
      <c r="I3526">
        <v>12</v>
      </c>
      <c r="J3526" s="1" t="s">
        <v>451</v>
      </c>
      <c r="K3526">
        <v>0</v>
      </c>
      <c r="L3526">
        <v>247</v>
      </c>
      <c r="M3526">
        <v>9.2270000000000005E-2</v>
      </c>
      <c r="N3526">
        <v>3</v>
      </c>
      <c r="O3526" s="1" t="s">
        <v>560</v>
      </c>
      <c r="P3526">
        <v>22.8</v>
      </c>
      <c r="Q3526">
        <v>18.239999999999998</v>
      </c>
      <c r="R3526">
        <v>0</v>
      </c>
      <c r="S3526" s="1" t="s">
        <v>696</v>
      </c>
      <c r="T3526" s="1"/>
      <c r="U3526">
        <v>22.8</v>
      </c>
      <c r="V3526">
        <v>0</v>
      </c>
      <c r="W3526">
        <v>77184</v>
      </c>
    </row>
    <row r="3527" spans="1:23" x14ac:dyDescent="0.25">
      <c r="A3527" s="1" t="s">
        <v>38</v>
      </c>
      <c r="B3527" s="1"/>
      <c r="C3527" s="1" t="s">
        <v>206</v>
      </c>
      <c r="D3527">
        <v>10170</v>
      </c>
      <c r="E3527" s="1"/>
      <c r="F3527" s="1" t="s">
        <v>206</v>
      </c>
      <c r="G3527">
        <v>2011</v>
      </c>
      <c r="H3527">
        <v>22.36</v>
      </c>
      <c r="I3527">
        <v>7</v>
      </c>
      <c r="J3527" s="1" t="s">
        <v>451</v>
      </c>
      <c r="K3527">
        <v>0</v>
      </c>
      <c r="L3527">
        <v>247</v>
      </c>
      <c r="M3527">
        <v>9.0489E-2</v>
      </c>
      <c r="N3527">
        <v>3</v>
      </c>
      <c r="O3527" s="1" t="s">
        <v>560</v>
      </c>
      <c r="P3527">
        <v>22.36</v>
      </c>
      <c r="Q3527">
        <v>17.87</v>
      </c>
      <c r="R3527">
        <v>0</v>
      </c>
      <c r="S3527" s="1" t="s">
        <v>696</v>
      </c>
      <c r="T3527" s="1"/>
      <c r="U3527">
        <v>22.340589999999999</v>
      </c>
      <c r="V3527">
        <v>0</v>
      </c>
      <c r="W3527">
        <v>77184</v>
      </c>
    </row>
    <row r="3528" spans="1:23" x14ac:dyDescent="0.25">
      <c r="A3528" s="1" t="s">
        <v>38</v>
      </c>
      <c r="B3528" s="1"/>
      <c r="C3528" s="1" t="s">
        <v>206</v>
      </c>
      <c r="D3528">
        <v>10170</v>
      </c>
      <c r="E3528" s="1"/>
      <c r="F3528" s="1" t="s">
        <v>206</v>
      </c>
      <c r="G3528">
        <v>2010</v>
      </c>
      <c r="H3528">
        <v>20.77</v>
      </c>
      <c r="I3528">
        <v>2</v>
      </c>
      <c r="J3528" s="1" t="s">
        <v>451</v>
      </c>
      <c r="K3528">
        <v>0</v>
      </c>
      <c r="L3528">
        <v>247</v>
      </c>
      <c r="M3528">
        <v>8.4055000000000005E-2</v>
      </c>
      <c r="N3528">
        <v>3</v>
      </c>
      <c r="O3528" s="1" t="s">
        <v>560</v>
      </c>
      <c r="P3528">
        <v>20.77</v>
      </c>
      <c r="Q3528">
        <v>16.649999999999999</v>
      </c>
      <c r="R3528">
        <v>0</v>
      </c>
      <c r="S3528" s="1" t="s">
        <v>696</v>
      </c>
      <c r="T3528" s="1"/>
      <c r="U3528">
        <v>20.776289999999999</v>
      </c>
      <c r="V3528">
        <v>0</v>
      </c>
      <c r="W3528">
        <v>77184</v>
      </c>
    </row>
    <row r="3529" spans="1:23" x14ac:dyDescent="0.25">
      <c r="A3529" s="1" t="s">
        <v>38</v>
      </c>
      <c r="B3529" s="1"/>
      <c r="C3529" s="1" t="s">
        <v>206</v>
      </c>
      <c r="D3529">
        <v>10170</v>
      </c>
      <c r="E3529" s="1"/>
      <c r="F3529" s="1" t="s">
        <v>206</v>
      </c>
      <c r="G3529">
        <v>2009</v>
      </c>
      <c r="H3529">
        <v>166.94</v>
      </c>
      <c r="I3529">
        <v>4</v>
      </c>
      <c r="J3529" s="1" t="s">
        <v>451</v>
      </c>
      <c r="K3529">
        <v>0</v>
      </c>
      <c r="L3529">
        <v>247</v>
      </c>
      <c r="M3529">
        <v>0.67559599999999997</v>
      </c>
      <c r="N3529">
        <v>3</v>
      </c>
      <c r="O3529" s="1" t="s">
        <v>560</v>
      </c>
      <c r="P3529">
        <v>166.94</v>
      </c>
      <c r="Q3529">
        <v>133.58000000000001</v>
      </c>
      <c r="R3529">
        <v>0</v>
      </c>
      <c r="S3529" s="1" t="s">
        <v>696</v>
      </c>
      <c r="T3529" s="1"/>
      <c r="U3529">
        <v>166.94978</v>
      </c>
      <c r="V3529">
        <v>0</v>
      </c>
      <c r="W3529">
        <v>77184</v>
      </c>
    </row>
    <row r="3530" spans="1:23" x14ac:dyDescent="0.25">
      <c r="A3530" s="1" t="s">
        <v>38</v>
      </c>
      <c r="B3530" s="1"/>
      <c r="C3530" s="1" t="s">
        <v>206</v>
      </c>
      <c r="D3530">
        <v>10170</v>
      </c>
      <c r="E3530" s="1"/>
      <c r="F3530" s="1" t="s">
        <v>206</v>
      </c>
      <c r="G3530">
        <v>2008</v>
      </c>
      <c r="H3530">
        <v>56.25</v>
      </c>
      <c r="I3530">
        <v>4</v>
      </c>
      <c r="J3530" s="1" t="s">
        <v>451</v>
      </c>
      <c r="K3530">
        <v>0</v>
      </c>
      <c r="L3530">
        <v>247</v>
      </c>
      <c r="M3530">
        <v>0.22764000000000001</v>
      </c>
      <c r="N3530">
        <v>3</v>
      </c>
      <c r="O3530" s="1" t="s">
        <v>560</v>
      </c>
      <c r="P3530">
        <v>56.25</v>
      </c>
      <c r="Q3530">
        <v>45</v>
      </c>
      <c r="R3530">
        <v>0</v>
      </c>
      <c r="S3530" s="1" t="s">
        <v>696</v>
      </c>
      <c r="T3530" s="1"/>
      <c r="U3530">
        <v>56.257849999999998</v>
      </c>
      <c r="V3530">
        <v>0</v>
      </c>
      <c r="W3530">
        <v>77184</v>
      </c>
    </row>
    <row r="3531" spans="1:23" x14ac:dyDescent="0.25">
      <c r="A3531" s="1" t="s">
        <v>38</v>
      </c>
      <c r="B3531" s="1"/>
      <c r="C3531" s="1" t="s">
        <v>207</v>
      </c>
      <c r="D3531">
        <v>10202</v>
      </c>
      <c r="E3531" s="1"/>
      <c r="F3531" s="1" t="s">
        <v>207</v>
      </c>
      <c r="G3531">
        <v>2015</v>
      </c>
      <c r="H3531">
        <v>1.3</v>
      </c>
      <c r="I3531">
        <v>5</v>
      </c>
      <c r="J3531" s="1" t="s">
        <v>399</v>
      </c>
      <c r="K3531">
        <v>0</v>
      </c>
      <c r="L3531">
        <v>123</v>
      </c>
      <c r="M3531">
        <v>1.056E-2</v>
      </c>
      <c r="N3531">
        <v>3</v>
      </c>
      <c r="O3531" s="1" t="s">
        <v>560</v>
      </c>
      <c r="P3531">
        <v>1.3</v>
      </c>
      <c r="Q3531">
        <v>1.05</v>
      </c>
      <c r="R3531">
        <v>0</v>
      </c>
      <c r="S3531" s="1" t="s">
        <v>697</v>
      </c>
      <c r="T3531" s="1"/>
      <c r="U3531">
        <v>1.2989999999999999</v>
      </c>
      <c r="V3531">
        <v>0</v>
      </c>
      <c r="W3531">
        <v>77351</v>
      </c>
    </row>
    <row r="3532" spans="1:23" x14ac:dyDescent="0.25">
      <c r="A3532" s="1" t="s">
        <v>38</v>
      </c>
      <c r="B3532" s="1"/>
      <c r="C3532" s="1" t="s">
        <v>207</v>
      </c>
      <c r="D3532">
        <v>10202</v>
      </c>
      <c r="E3532" s="1"/>
      <c r="F3532" s="1" t="s">
        <v>207</v>
      </c>
      <c r="G3532">
        <v>2014</v>
      </c>
      <c r="H3532">
        <v>6.94</v>
      </c>
      <c r="I3532">
        <v>12</v>
      </c>
      <c r="J3532" s="1" t="s">
        <v>399</v>
      </c>
      <c r="K3532">
        <v>0</v>
      </c>
      <c r="L3532">
        <v>123</v>
      </c>
      <c r="M3532">
        <v>5.6376000000000002E-2</v>
      </c>
      <c r="N3532">
        <v>3</v>
      </c>
      <c r="O3532" s="1" t="s">
        <v>560</v>
      </c>
      <c r="P3532">
        <v>6.94</v>
      </c>
      <c r="Q3532">
        <v>5.55</v>
      </c>
      <c r="R3532">
        <v>0</v>
      </c>
      <c r="S3532" s="1" t="s">
        <v>697</v>
      </c>
      <c r="T3532" s="1"/>
      <c r="U3532">
        <v>6.9450000000000003</v>
      </c>
      <c r="V3532">
        <v>0</v>
      </c>
      <c r="W3532">
        <v>77351</v>
      </c>
    </row>
    <row r="3533" spans="1:23" x14ac:dyDescent="0.25">
      <c r="A3533" s="1" t="s">
        <v>38</v>
      </c>
      <c r="B3533" s="1"/>
      <c r="C3533" s="1" t="s">
        <v>207</v>
      </c>
      <c r="D3533">
        <v>10202</v>
      </c>
      <c r="E3533" s="1"/>
      <c r="F3533" s="1" t="s">
        <v>207</v>
      </c>
      <c r="G3533">
        <v>2013</v>
      </c>
      <c r="H3533">
        <v>9.26</v>
      </c>
      <c r="I3533">
        <v>12</v>
      </c>
      <c r="J3533" s="1" t="s">
        <v>399</v>
      </c>
      <c r="K3533">
        <v>0</v>
      </c>
      <c r="L3533">
        <v>123</v>
      </c>
      <c r="M3533">
        <v>7.5222999999999998E-2</v>
      </c>
      <c r="N3533">
        <v>3</v>
      </c>
      <c r="O3533" s="1" t="s">
        <v>560</v>
      </c>
      <c r="P3533">
        <v>9.26</v>
      </c>
      <c r="Q3533">
        <v>7.41</v>
      </c>
      <c r="R3533">
        <v>0</v>
      </c>
      <c r="S3533" s="1" t="s">
        <v>697</v>
      </c>
      <c r="T3533" s="1"/>
      <c r="U3533">
        <v>9.2569999999999997</v>
      </c>
      <c r="V3533">
        <v>0</v>
      </c>
      <c r="W3533">
        <v>77351</v>
      </c>
    </row>
    <row r="3534" spans="1:23" x14ac:dyDescent="0.25">
      <c r="A3534" s="1" t="s">
        <v>38</v>
      </c>
      <c r="B3534" s="1"/>
      <c r="C3534" s="1" t="s">
        <v>207</v>
      </c>
      <c r="D3534">
        <v>10202</v>
      </c>
      <c r="E3534" s="1"/>
      <c r="F3534" s="1" t="s">
        <v>207</v>
      </c>
      <c r="G3534">
        <v>2012</v>
      </c>
      <c r="H3534">
        <v>24.04</v>
      </c>
      <c r="I3534">
        <v>12</v>
      </c>
      <c r="J3534" s="1" t="s">
        <v>399</v>
      </c>
      <c r="K3534">
        <v>0</v>
      </c>
      <c r="L3534">
        <v>123</v>
      </c>
      <c r="M3534">
        <v>0.19528799999999999</v>
      </c>
      <c r="N3534">
        <v>3</v>
      </c>
      <c r="O3534" s="1" t="s">
        <v>560</v>
      </c>
      <c r="P3534">
        <v>24.04</v>
      </c>
      <c r="Q3534">
        <v>19.23</v>
      </c>
      <c r="R3534">
        <v>0</v>
      </c>
      <c r="S3534" s="1" t="s">
        <v>697</v>
      </c>
      <c r="T3534" s="1"/>
      <c r="U3534">
        <v>24.038</v>
      </c>
      <c r="V3534">
        <v>0</v>
      </c>
      <c r="W3534">
        <v>77351</v>
      </c>
    </row>
    <row r="3535" spans="1:23" x14ac:dyDescent="0.25">
      <c r="A3535" s="1" t="s">
        <v>38</v>
      </c>
      <c r="B3535" s="1"/>
      <c r="C3535" s="1" t="s">
        <v>207</v>
      </c>
      <c r="D3535">
        <v>10202</v>
      </c>
      <c r="E3535" s="1"/>
      <c r="F3535" s="1" t="s">
        <v>207</v>
      </c>
      <c r="G3535">
        <v>2011</v>
      </c>
      <c r="H3535">
        <v>53.27</v>
      </c>
      <c r="I3535">
        <v>5</v>
      </c>
      <c r="J3535" s="1" t="s">
        <v>399</v>
      </c>
      <c r="K3535">
        <v>0</v>
      </c>
      <c r="L3535">
        <v>123</v>
      </c>
      <c r="M3535">
        <v>0.43273699999999998</v>
      </c>
      <c r="N3535">
        <v>3</v>
      </c>
      <c r="O3535" s="1" t="s">
        <v>560</v>
      </c>
      <c r="P3535">
        <v>53.27</v>
      </c>
      <c r="Q3535">
        <v>42.64</v>
      </c>
      <c r="R3535">
        <v>0</v>
      </c>
      <c r="S3535" s="1" t="s">
        <v>697</v>
      </c>
      <c r="T3535" s="1"/>
      <c r="U3535">
        <v>53.28078</v>
      </c>
      <c r="V3535">
        <v>0</v>
      </c>
      <c r="W3535">
        <v>77351</v>
      </c>
    </row>
    <row r="3536" spans="1:23" x14ac:dyDescent="0.25">
      <c r="A3536" s="1" t="s">
        <v>38</v>
      </c>
      <c r="B3536" s="1"/>
      <c r="C3536" s="1" t="s">
        <v>207</v>
      </c>
      <c r="D3536">
        <v>10202</v>
      </c>
      <c r="E3536" s="1"/>
      <c r="F3536" s="1" t="s">
        <v>207</v>
      </c>
      <c r="G3536">
        <v>2010</v>
      </c>
      <c r="H3536">
        <v>6.98</v>
      </c>
      <c r="I3536">
        <v>2</v>
      </c>
      <c r="J3536" s="1" t="s">
        <v>399</v>
      </c>
      <c r="K3536">
        <v>0</v>
      </c>
      <c r="L3536">
        <v>123</v>
      </c>
      <c r="M3536">
        <v>5.6701000000000001E-2</v>
      </c>
      <c r="N3536">
        <v>3</v>
      </c>
      <c r="O3536" s="1" t="s">
        <v>560</v>
      </c>
      <c r="P3536">
        <v>6.98</v>
      </c>
      <c r="Q3536">
        <v>5.59</v>
      </c>
      <c r="R3536">
        <v>0</v>
      </c>
      <c r="S3536" s="1" t="s">
        <v>697</v>
      </c>
      <c r="T3536" s="1"/>
      <c r="U3536">
        <v>6.9807699999999997</v>
      </c>
      <c r="V3536">
        <v>0</v>
      </c>
      <c r="W3536">
        <v>77351</v>
      </c>
    </row>
    <row r="3537" spans="1:23" x14ac:dyDescent="0.25">
      <c r="A3537" s="1" t="s">
        <v>38</v>
      </c>
      <c r="B3537" s="1"/>
      <c r="C3537" s="1" t="s">
        <v>207</v>
      </c>
      <c r="D3537">
        <v>10202</v>
      </c>
      <c r="E3537" s="1"/>
      <c r="F3537" s="1" t="s">
        <v>207</v>
      </c>
      <c r="G3537">
        <v>2009</v>
      </c>
      <c r="H3537">
        <v>5.82</v>
      </c>
      <c r="I3537">
        <v>2</v>
      </c>
      <c r="J3537" s="1" t="s">
        <v>399</v>
      </c>
      <c r="K3537">
        <v>0</v>
      </c>
      <c r="L3537">
        <v>123</v>
      </c>
      <c r="M3537">
        <v>4.7278000000000001E-2</v>
      </c>
      <c r="N3537">
        <v>3</v>
      </c>
      <c r="O3537" s="1" t="s">
        <v>560</v>
      </c>
      <c r="P3537">
        <v>5.82</v>
      </c>
      <c r="Q3537">
        <v>4.6500000000000004</v>
      </c>
      <c r="R3537">
        <v>0</v>
      </c>
      <c r="S3537" s="1" t="s">
        <v>697</v>
      </c>
      <c r="T3537" s="1"/>
      <c r="U3537">
        <v>5.8125299999999998</v>
      </c>
      <c r="V3537">
        <v>0</v>
      </c>
      <c r="W3537">
        <v>77351</v>
      </c>
    </row>
    <row r="3538" spans="1:23" x14ac:dyDescent="0.25">
      <c r="A3538" s="1" t="s">
        <v>38</v>
      </c>
      <c r="B3538" s="1"/>
      <c r="C3538" s="1" t="s">
        <v>207</v>
      </c>
      <c r="D3538">
        <v>10202</v>
      </c>
      <c r="E3538" s="1"/>
      <c r="F3538" s="1" t="s">
        <v>207</v>
      </c>
      <c r="G3538">
        <v>2008</v>
      </c>
      <c r="H3538">
        <v>7.88</v>
      </c>
      <c r="I3538">
        <v>5</v>
      </c>
      <c r="J3538" s="1" t="s">
        <v>399</v>
      </c>
      <c r="K3538">
        <v>0</v>
      </c>
      <c r="L3538">
        <v>123</v>
      </c>
      <c r="M3538">
        <v>6.4011999999999999E-2</v>
      </c>
      <c r="N3538">
        <v>3</v>
      </c>
      <c r="O3538" s="1" t="s">
        <v>560</v>
      </c>
      <c r="P3538">
        <v>7.88</v>
      </c>
      <c r="Q3538">
        <v>6.32</v>
      </c>
      <c r="R3538">
        <v>0</v>
      </c>
      <c r="S3538" s="1" t="s">
        <v>697</v>
      </c>
      <c r="T3538" s="1"/>
      <c r="U3538">
        <v>7.8929400000000003</v>
      </c>
      <c r="V3538">
        <v>0</v>
      </c>
      <c r="W3538">
        <v>77351</v>
      </c>
    </row>
    <row r="3539" spans="1:23" x14ac:dyDescent="0.25">
      <c r="A3539" s="1" t="s">
        <v>38</v>
      </c>
      <c r="B3539" s="1"/>
      <c r="C3539" s="1" t="s">
        <v>204</v>
      </c>
      <c r="D3539">
        <v>10165</v>
      </c>
      <c r="E3539" s="1"/>
      <c r="F3539" s="1" t="s">
        <v>339</v>
      </c>
      <c r="G3539">
        <v>2015</v>
      </c>
      <c r="H3539">
        <v>11003</v>
      </c>
      <c r="I3539">
        <v>5</v>
      </c>
      <c r="J3539" s="1" t="s">
        <v>432</v>
      </c>
      <c r="K3539">
        <v>0</v>
      </c>
      <c r="L3539">
        <v>168</v>
      </c>
      <c r="M3539">
        <v>65.455085999999994</v>
      </c>
      <c r="N3539">
        <v>1</v>
      </c>
      <c r="O3539" s="1" t="s">
        <v>562</v>
      </c>
      <c r="P3539">
        <v>11003</v>
      </c>
      <c r="Q3539">
        <v>704.19</v>
      </c>
      <c r="R3539">
        <v>0</v>
      </c>
      <c r="S3539" s="1" t="s">
        <v>871</v>
      </c>
      <c r="T3539" s="1"/>
      <c r="U3539">
        <v>11003</v>
      </c>
      <c r="V3539">
        <v>0</v>
      </c>
      <c r="W3539">
        <v>77179</v>
      </c>
    </row>
    <row r="3540" spans="1:23" x14ac:dyDescent="0.25">
      <c r="A3540" s="1" t="s">
        <v>38</v>
      </c>
      <c r="B3540" s="1"/>
      <c r="C3540" s="1" t="s">
        <v>204</v>
      </c>
      <c r="D3540">
        <v>10165</v>
      </c>
      <c r="E3540" s="1"/>
      <c r="F3540" s="1" t="s">
        <v>339</v>
      </c>
      <c r="G3540">
        <v>2014</v>
      </c>
      <c r="H3540">
        <v>12914</v>
      </c>
      <c r="I3540">
        <v>12</v>
      </c>
      <c r="J3540" s="1" t="s">
        <v>432</v>
      </c>
      <c r="K3540">
        <v>0</v>
      </c>
      <c r="L3540">
        <v>168</v>
      </c>
      <c r="M3540">
        <v>76.823318999999998</v>
      </c>
      <c r="N3540">
        <v>1</v>
      </c>
      <c r="O3540" s="1" t="s">
        <v>562</v>
      </c>
      <c r="P3540">
        <v>12914</v>
      </c>
      <c r="Q3540">
        <v>826.51</v>
      </c>
      <c r="R3540">
        <v>0</v>
      </c>
      <c r="S3540" s="1" t="s">
        <v>871</v>
      </c>
      <c r="T3540" s="1"/>
      <c r="U3540">
        <v>12914</v>
      </c>
      <c r="V3540">
        <v>0</v>
      </c>
      <c r="W3540">
        <v>77179</v>
      </c>
    </row>
    <row r="3541" spans="1:23" x14ac:dyDescent="0.25">
      <c r="A3541" s="1" t="s">
        <v>38</v>
      </c>
      <c r="B3541" s="1"/>
      <c r="C3541" s="1" t="s">
        <v>204</v>
      </c>
      <c r="D3541">
        <v>10165</v>
      </c>
      <c r="E3541" s="1"/>
      <c r="F3541" s="1" t="s">
        <v>339</v>
      </c>
      <c r="G3541">
        <v>2013</v>
      </c>
      <c r="H3541">
        <v>17799</v>
      </c>
      <c r="I3541">
        <v>12</v>
      </c>
      <c r="J3541" s="1" t="s">
        <v>432</v>
      </c>
      <c r="K3541">
        <v>0</v>
      </c>
      <c r="L3541">
        <v>168</v>
      </c>
      <c r="M3541">
        <v>105.883402</v>
      </c>
      <c r="N3541">
        <v>1</v>
      </c>
      <c r="O3541" s="1" t="s">
        <v>562</v>
      </c>
      <c r="P3541">
        <v>17799</v>
      </c>
      <c r="Q3541">
        <v>1139.1300000000001</v>
      </c>
      <c r="R3541">
        <v>0</v>
      </c>
      <c r="S3541" s="1" t="s">
        <v>871</v>
      </c>
      <c r="T3541" s="1"/>
      <c r="U3541">
        <v>17799</v>
      </c>
      <c r="V3541">
        <v>0</v>
      </c>
      <c r="W3541">
        <v>77179</v>
      </c>
    </row>
    <row r="3542" spans="1:23" x14ac:dyDescent="0.25">
      <c r="A3542" s="1" t="s">
        <v>38</v>
      </c>
      <c r="B3542" s="1"/>
      <c r="C3542" s="1" t="s">
        <v>204</v>
      </c>
      <c r="D3542">
        <v>10165</v>
      </c>
      <c r="E3542" s="1"/>
      <c r="F3542" s="1" t="s">
        <v>339</v>
      </c>
      <c r="G3542">
        <v>2012</v>
      </c>
      <c r="H3542">
        <v>22487</v>
      </c>
      <c r="I3542">
        <v>12</v>
      </c>
      <c r="J3542" s="1" t="s">
        <v>432</v>
      </c>
      <c r="K3542">
        <v>0</v>
      </c>
      <c r="L3542">
        <v>168</v>
      </c>
      <c r="M3542">
        <v>133.77156400000001</v>
      </c>
      <c r="N3542">
        <v>1</v>
      </c>
      <c r="O3542" s="1" t="s">
        <v>562</v>
      </c>
      <c r="P3542">
        <v>22487</v>
      </c>
      <c r="Q3542">
        <v>4160.09</v>
      </c>
      <c r="R3542">
        <v>0</v>
      </c>
      <c r="S3542" s="1" t="s">
        <v>871</v>
      </c>
      <c r="T3542" s="1"/>
      <c r="U3542">
        <v>22487</v>
      </c>
      <c r="V3542">
        <v>0</v>
      </c>
      <c r="W3542">
        <v>77179</v>
      </c>
    </row>
    <row r="3543" spans="1:23" x14ac:dyDescent="0.25">
      <c r="A3543" s="1" t="s">
        <v>38</v>
      </c>
      <c r="B3543" s="1"/>
      <c r="C3543" s="1" t="s">
        <v>204</v>
      </c>
      <c r="D3543">
        <v>10165</v>
      </c>
      <c r="E3543" s="1"/>
      <c r="F3543" s="1" t="s">
        <v>339</v>
      </c>
      <c r="G3543">
        <v>2011</v>
      </c>
      <c r="H3543">
        <v>17844.009999999998</v>
      </c>
      <c r="I3543">
        <v>8</v>
      </c>
      <c r="J3543" s="1" t="s">
        <v>432</v>
      </c>
      <c r="K3543">
        <v>0</v>
      </c>
      <c r="L3543">
        <v>168</v>
      </c>
      <c r="M3543">
        <v>106.15116</v>
      </c>
      <c r="N3543">
        <v>1</v>
      </c>
      <c r="O3543" s="1" t="s">
        <v>562</v>
      </c>
      <c r="P3543">
        <v>17844.009999999998</v>
      </c>
      <c r="Q3543">
        <v>3301.12</v>
      </c>
      <c r="R3543">
        <v>0</v>
      </c>
      <c r="S3543" s="1" t="s">
        <v>871</v>
      </c>
      <c r="T3543" s="1"/>
      <c r="U3543">
        <v>17844.018189999999</v>
      </c>
      <c r="V3543">
        <v>0</v>
      </c>
      <c r="W3543">
        <v>77179</v>
      </c>
    </row>
    <row r="3544" spans="1:23" x14ac:dyDescent="0.25">
      <c r="A3544" s="1" t="s">
        <v>38</v>
      </c>
      <c r="B3544" s="1"/>
      <c r="C3544" s="1" t="s">
        <v>204</v>
      </c>
      <c r="D3544">
        <v>10165</v>
      </c>
      <c r="E3544" s="1"/>
      <c r="F3544" s="1" t="s">
        <v>339</v>
      </c>
      <c r="G3544">
        <v>2010</v>
      </c>
      <c r="H3544">
        <v>2323.0700000000002</v>
      </c>
      <c r="I3544">
        <v>3</v>
      </c>
      <c r="J3544" s="1" t="s">
        <v>432</v>
      </c>
      <c r="K3544">
        <v>0</v>
      </c>
      <c r="L3544">
        <v>168</v>
      </c>
      <c r="M3544">
        <v>13.819571</v>
      </c>
      <c r="N3544">
        <v>1</v>
      </c>
      <c r="O3544" s="1" t="s">
        <v>562</v>
      </c>
      <c r="P3544">
        <v>2323.0700000000002</v>
      </c>
      <c r="Q3544">
        <v>429.75</v>
      </c>
      <c r="R3544">
        <v>0</v>
      </c>
      <c r="S3544" s="1" t="s">
        <v>871</v>
      </c>
      <c r="T3544" s="1"/>
      <c r="U3544">
        <v>2323.0721800000001</v>
      </c>
      <c r="V3544">
        <v>0</v>
      </c>
      <c r="W3544">
        <v>77179</v>
      </c>
    </row>
    <row r="3545" spans="1:23" x14ac:dyDescent="0.25">
      <c r="A3545" s="1" t="s">
        <v>38</v>
      </c>
      <c r="B3545" s="1"/>
      <c r="C3545" s="1" t="s">
        <v>204</v>
      </c>
      <c r="D3545">
        <v>10165</v>
      </c>
      <c r="E3545" s="1"/>
      <c r="F3545" s="1" t="s">
        <v>339</v>
      </c>
      <c r="G3545">
        <v>2009</v>
      </c>
      <c r="H3545">
        <v>13800.9</v>
      </c>
      <c r="I3545">
        <v>6</v>
      </c>
      <c r="J3545" s="1" t="s">
        <v>432</v>
      </c>
      <c r="K3545">
        <v>0</v>
      </c>
      <c r="L3545">
        <v>168</v>
      </c>
      <c r="M3545">
        <v>82.099345</v>
      </c>
      <c r="N3545">
        <v>1</v>
      </c>
      <c r="O3545" s="1" t="s">
        <v>562</v>
      </c>
      <c r="P3545">
        <v>13800.9</v>
      </c>
      <c r="Q3545">
        <v>2553.15</v>
      </c>
      <c r="R3545">
        <v>0</v>
      </c>
      <c r="S3545" s="1" t="s">
        <v>871</v>
      </c>
      <c r="T3545" s="1"/>
      <c r="U3545">
        <v>13800.90964</v>
      </c>
      <c r="V3545">
        <v>0</v>
      </c>
      <c r="W3545">
        <v>77179</v>
      </c>
    </row>
    <row r="3546" spans="1:23" x14ac:dyDescent="0.25">
      <c r="A3546" s="1" t="s">
        <v>38</v>
      </c>
      <c r="B3546" s="1"/>
      <c r="C3546" s="1" t="s">
        <v>204</v>
      </c>
      <c r="D3546">
        <v>10165</v>
      </c>
      <c r="E3546" s="1"/>
      <c r="F3546" s="1" t="s">
        <v>339</v>
      </c>
      <c r="G3546">
        <v>2008</v>
      </c>
      <c r="H3546">
        <v>18175.11</v>
      </c>
      <c r="I3546">
        <v>5</v>
      </c>
      <c r="J3546" s="1" t="s">
        <v>432</v>
      </c>
      <c r="K3546">
        <v>0</v>
      </c>
      <c r="L3546">
        <v>168</v>
      </c>
      <c r="M3546">
        <v>108.12081999999999</v>
      </c>
      <c r="N3546">
        <v>1</v>
      </c>
      <c r="O3546" s="1" t="s">
        <v>562</v>
      </c>
      <c r="P3546">
        <v>18175.11</v>
      </c>
      <c r="Q3546">
        <v>3362.4</v>
      </c>
      <c r="R3546">
        <v>0</v>
      </c>
      <c r="S3546" s="1" t="s">
        <v>871</v>
      </c>
      <c r="T3546" s="1"/>
      <c r="U3546">
        <v>18175.10989</v>
      </c>
      <c r="V3546">
        <v>0</v>
      </c>
      <c r="W3546">
        <v>77179</v>
      </c>
    </row>
    <row r="3547" spans="1:23" x14ac:dyDescent="0.25">
      <c r="A3547" s="1" t="s">
        <v>38</v>
      </c>
      <c r="B3547" s="1"/>
      <c r="C3547" s="1" t="s">
        <v>205</v>
      </c>
      <c r="D3547">
        <v>10166</v>
      </c>
      <c r="E3547" s="1"/>
      <c r="F3547" s="1" t="s">
        <v>340</v>
      </c>
      <c r="G3547">
        <v>2015</v>
      </c>
      <c r="H3547">
        <v>6020</v>
      </c>
      <c r="I3547">
        <v>5</v>
      </c>
      <c r="J3547" s="1" t="s">
        <v>432</v>
      </c>
      <c r="K3547">
        <v>0</v>
      </c>
      <c r="L3547">
        <v>228</v>
      </c>
      <c r="M3547">
        <v>26.391933000000002</v>
      </c>
      <c r="N3547">
        <v>1</v>
      </c>
      <c r="O3547" s="1" t="s">
        <v>562</v>
      </c>
      <c r="P3547">
        <v>6550.35</v>
      </c>
      <c r="Q3547">
        <v>419.22</v>
      </c>
      <c r="R3547">
        <v>0</v>
      </c>
      <c r="S3547" s="1" t="s">
        <v>872</v>
      </c>
      <c r="T3547" s="1"/>
      <c r="U3547">
        <v>6020</v>
      </c>
      <c r="V3547">
        <v>0</v>
      </c>
      <c r="W3547">
        <v>77196</v>
      </c>
    </row>
    <row r="3548" spans="1:23" x14ac:dyDescent="0.25">
      <c r="A3548" s="1" t="s">
        <v>38</v>
      </c>
      <c r="B3548" s="1"/>
      <c r="C3548" s="1" t="s">
        <v>205</v>
      </c>
      <c r="D3548">
        <v>10166</v>
      </c>
      <c r="E3548" s="1"/>
      <c r="F3548" s="1" t="s">
        <v>340</v>
      </c>
      <c r="G3548">
        <v>2014</v>
      </c>
      <c r="H3548">
        <v>17102</v>
      </c>
      <c r="I3548">
        <v>12</v>
      </c>
      <c r="J3548" s="1" t="s">
        <v>432</v>
      </c>
      <c r="K3548">
        <v>0</v>
      </c>
      <c r="L3548">
        <v>228</v>
      </c>
      <c r="M3548">
        <v>74.975887</v>
      </c>
      <c r="N3548">
        <v>1</v>
      </c>
      <c r="O3548" s="1" t="s">
        <v>562</v>
      </c>
      <c r="P3548">
        <v>21158.99</v>
      </c>
      <c r="Q3548">
        <v>1354.16</v>
      </c>
      <c r="R3548">
        <v>0</v>
      </c>
      <c r="S3548" s="1" t="s">
        <v>872</v>
      </c>
      <c r="T3548" s="1"/>
      <c r="U3548">
        <v>17102</v>
      </c>
      <c r="V3548">
        <v>0</v>
      </c>
      <c r="W3548">
        <v>77196</v>
      </c>
    </row>
    <row r="3549" spans="1:23" x14ac:dyDescent="0.25">
      <c r="A3549" s="1" t="s">
        <v>38</v>
      </c>
      <c r="B3549" s="1"/>
      <c r="C3549" s="1" t="s">
        <v>205</v>
      </c>
      <c r="D3549">
        <v>10166</v>
      </c>
      <c r="E3549" s="1"/>
      <c r="F3549" s="1" t="s">
        <v>340</v>
      </c>
      <c r="G3549">
        <v>2013</v>
      </c>
      <c r="H3549">
        <v>31007</v>
      </c>
      <c r="I3549">
        <v>12</v>
      </c>
      <c r="J3549" s="1" t="s">
        <v>432</v>
      </c>
      <c r="K3549">
        <v>0</v>
      </c>
      <c r="L3549">
        <v>228</v>
      </c>
      <c r="M3549">
        <v>135.935992</v>
      </c>
      <c r="N3549">
        <v>1</v>
      </c>
      <c r="O3549" s="1" t="s">
        <v>562</v>
      </c>
      <c r="P3549">
        <v>32122.16</v>
      </c>
      <c r="Q3549">
        <v>2055.81</v>
      </c>
      <c r="R3549">
        <v>0</v>
      </c>
      <c r="S3549" s="1" t="s">
        <v>872</v>
      </c>
      <c r="T3549" s="1"/>
      <c r="U3549">
        <v>31007</v>
      </c>
      <c r="V3549">
        <v>0</v>
      </c>
      <c r="W3549">
        <v>77196</v>
      </c>
    </row>
    <row r="3550" spans="1:23" x14ac:dyDescent="0.25">
      <c r="A3550" s="1" t="s">
        <v>38</v>
      </c>
      <c r="B3550" s="1"/>
      <c r="C3550" s="1" t="s">
        <v>205</v>
      </c>
      <c r="D3550">
        <v>10166</v>
      </c>
      <c r="E3550" s="1"/>
      <c r="F3550" s="1" t="s">
        <v>340</v>
      </c>
      <c r="G3550">
        <v>2012</v>
      </c>
      <c r="H3550">
        <v>33141</v>
      </c>
      <c r="I3550">
        <v>12</v>
      </c>
      <c r="J3550" s="1" t="s">
        <v>432</v>
      </c>
      <c r="K3550">
        <v>0</v>
      </c>
      <c r="L3550">
        <v>228</v>
      </c>
      <c r="M3550">
        <v>145.291538</v>
      </c>
      <c r="N3550">
        <v>1</v>
      </c>
      <c r="O3550" s="1" t="s">
        <v>562</v>
      </c>
      <c r="P3550">
        <v>34740.18</v>
      </c>
      <c r="Q3550">
        <v>6426.93</v>
      </c>
      <c r="R3550">
        <v>0</v>
      </c>
      <c r="S3550" s="1" t="s">
        <v>872</v>
      </c>
      <c r="T3550" s="1"/>
      <c r="U3550">
        <v>33141</v>
      </c>
      <c r="V3550">
        <v>0</v>
      </c>
      <c r="W3550">
        <v>77196</v>
      </c>
    </row>
    <row r="3551" spans="1:23" x14ac:dyDescent="0.25">
      <c r="A3551" s="1" t="s">
        <v>38</v>
      </c>
      <c r="B3551" s="1"/>
      <c r="C3551" s="1" t="s">
        <v>205</v>
      </c>
      <c r="D3551">
        <v>10166</v>
      </c>
      <c r="E3551" s="1"/>
      <c r="F3551" s="1" t="s">
        <v>340</v>
      </c>
      <c r="G3551">
        <v>2011</v>
      </c>
      <c r="H3551">
        <v>20681</v>
      </c>
      <c r="I3551">
        <v>9</v>
      </c>
      <c r="J3551" s="1" t="s">
        <v>432</v>
      </c>
      <c r="K3551">
        <v>0</v>
      </c>
      <c r="L3551">
        <v>228</v>
      </c>
      <c r="M3551">
        <v>90.666374000000005</v>
      </c>
      <c r="N3551">
        <v>1</v>
      </c>
      <c r="O3551" s="1" t="s">
        <v>562</v>
      </c>
      <c r="P3551">
        <v>24409.75</v>
      </c>
      <c r="Q3551">
        <v>4515.8100000000004</v>
      </c>
      <c r="R3551">
        <v>0</v>
      </c>
      <c r="S3551" s="1" t="s">
        <v>872</v>
      </c>
      <c r="T3551" s="1"/>
      <c r="U3551">
        <v>20680.99999</v>
      </c>
      <c r="V3551">
        <v>0</v>
      </c>
      <c r="W3551">
        <v>77196</v>
      </c>
    </row>
    <row r="3552" spans="1:23" x14ac:dyDescent="0.25">
      <c r="A3552" s="1" t="s">
        <v>38</v>
      </c>
      <c r="B3552" s="1"/>
      <c r="C3552" s="1" t="s">
        <v>205</v>
      </c>
      <c r="D3552">
        <v>10166</v>
      </c>
      <c r="E3552" s="1"/>
      <c r="F3552" s="1" t="s">
        <v>340</v>
      </c>
      <c r="G3552">
        <v>2010</v>
      </c>
      <c r="H3552">
        <v>19397.63</v>
      </c>
      <c r="I3552">
        <v>3</v>
      </c>
      <c r="J3552" s="1" t="s">
        <v>432</v>
      </c>
      <c r="K3552">
        <v>0</v>
      </c>
      <c r="L3552">
        <v>228</v>
      </c>
      <c r="M3552">
        <v>85.040025999999997</v>
      </c>
      <c r="N3552">
        <v>1</v>
      </c>
      <c r="O3552" s="1" t="s">
        <v>562</v>
      </c>
      <c r="P3552">
        <v>25188.04</v>
      </c>
      <c r="Q3552">
        <v>4659.78</v>
      </c>
      <c r="R3552">
        <v>0</v>
      </c>
      <c r="S3552" s="1" t="s">
        <v>872</v>
      </c>
      <c r="T3552" s="1"/>
      <c r="U3552">
        <v>19397.626509999998</v>
      </c>
      <c r="V3552">
        <v>0</v>
      </c>
      <c r="W3552">
        <v>77196</v>
      </c>
    </row>
    <row r="3553" spans="1:23" x14ac:dyDescent="0.25">
      <c r="A3553" s="1" t="s">
        <v>38</v>
      </c>
      <c r="B3553" s="1"/>
      <c r="C3553" s="1" t="s">
        <v>205</v>
      </c>
      <c r="D3553">
        <v>10166</v>
      </c>
      <c r="E3553" s="1"/>
      <c r="F3553" s="1" t="s">
        <v>340</v>
      </c>
      <c r="G3553">
        <v>2009</v>
      </c>
      <c r="H3553">
        <v>23293.16</v>
      </c>
      <c r="I3553">
        <v>6</v>
      </c>
      <c r="J3553" s="1" t="s">
        <v>432</v>
      </c>
      <c r="K3553">
        <v>0</v>
      </c>
      <c r="L3553">
        <v>228</v>
      </c>
      <c r="M3553">
        <v>102.11819300000001</v>
      </c>
      <c r="N3553">
        <v>1</v>
      </c>
      <c r="O3553" s="1" t="s">
        <v>562</v>
      </c>
      <c r="P3553">
        <v>26103.87</v>
      </c>
      <c r="Q3553">
        <v>4829.2</v>
      </c>
      <c r="R3553">
        <v>0</v>
      </c>
      <c r="S3553" s="1" t="s">
        <v>872</v>
      </c>
      <c r="T3553" s="1"/>
      <c r="U3553">
        <v>23293.179069999998</v>
      </c>
      <c r="V3553">
        <v>0</v>
      </c>
      <c r="W3553">
        <v>77196</v>
      </c>
    </row>
    <row r="3554" spans="1:23" x14ac:dyDescent="0.25">
      <c r="A3554" s="1" t="s">
        <v>38</v>
      </c>
      <c r="B3554" s="1"/>
      <c r="C3554" s="1" t="s">
        <v>205</v>
      </c>
      <c r="D3554">
        <v>10166</v>
      </c>
      <c r="E3554" s="1"/>
      <c r="F3554" s="1" t="s">
        <v>340</v>
      </c>
      <c r="G3554">
        <v>2008</v>
      </c>
      <c r="H3554">
        <v>21858.07</v>
      </c>
      <c r="I3554">
        <v>6</v>
      </c>
      <c r="J3554" s="1" t="s">
        <v>432</v>
      </c>
      <c r="K3554">
        <v>0</v>
      </c>
      <c r="L3554">
        <v>228</v>
      </c>
      <c r="M3554">
        <v>95.826697999999993</v>
      </c>
      <c r="N3554">
        <v>1</v>
      </c>
      <c r="O3554" s="1" t="s">
        <v>562</v>
      </c>
      <c r="P3554">
        <v>24835.61</v>
      </c>
      <c r="Q3554">
        <v>4594.59</v>
      </c>
      <c r="R3554">
        <v>0</v>
      </c>
      <c r="S3554" s="1" t="s">
        <v>872</v>
      </c>
      <c r="T3554" s="1"/>
      <c r="U3554">
        <v>21858.062569999998</v>
      </c>
      <c r="V3554">
        <v>0</v>
      </c>
      <c r="W3554">
        <v>77196</v>
      </c>
    </row>
    <row r="3555" spans="1:23" x14ac:dyDescent="0.25">
      <c r="A3555" s="1" t="s">
        <v>38</v>
      </c>
      <c r="B3555" s="1"/>
      <c r="C3555" s="1" t="s">
        <v>207</v>
      </c>
      <c r="D3555">
        <v>10202</v>
      </c>
      <c r="E3555" s="1"/>
      <c r="F3555" s="1" t="s">
        <v>207</v>
      </c>
      <c r="G3555">
        <v>2015</v>
      </c>
      <c r="H3555">
        <v>5699.81</v>
      </c>
      <c r="I3555">
        <v>5</v>
      </c>
      <c r="J3555" s="1" t="s">
        <v>410</v>
      </c>
      <c r="K3555">
        <v>0</v>
      </c>
      <c r="L3555">
        <v>123</v>
      </c>
      <c r="M3555">
        <v>46.302273999999997</v>
      </c>
      <c r="N3555">
        <v>1</v>
      </c>
      <c r="O3555" s="1" t="s">
        <v>564</v>
      </c>
      <c r="P3555">
        <v>6487.56</v>
      </c>
      <c r="Q3555">
        <v>1371.99</v>
      </c>
      <c r="R3555">
        <v>0</v>
      </c>
      <c r="S3555" s="1" t="s">
        <v>873</v>
      </c>
      <c r="T3555" s="1" t="s">
        <v>1225</v>
      </c>
      <c r="U3555">
        <v>527.76</v>
      </c>
      <c r="V3555">
        <v>0</v>
      </c>
      <c r="W3555">
        <v>77352</v>
      </c>
    </row>
    <row r="3556" spans="1:23" x14ac:dyDescent="0.25">
      <c r="A3556" s="1" t="s">
        <v>38</v>
      </c>
      <c r="B3556" s="1"/>
      <c r="C3556" s="1" t="s">
        <v>207</v>
      </c>
      <c r="D3556">
        <v>10202</v>
      </c>
      <c r="E3556" s="1"/>
      <c r="F3556" s="1" t="s">
        <v>207</v>
      </c>
      <c r="G3556">
        <v>2014</v>
      </c>
      <c r="H3556">
        <v>8995.9699999999993</v>
      </c>
      <c r="I3556">
        <v>12</v>
      </c>
      <c r="J3556" s="1" t="s">
        <v>410</v>
      </c>
      <c r="K3556">
        <v>0</v>
      </c>
      <c r="L3556">
        <v>123</v>
      </c>
      <c r="M3556">
        <v>73.078553999999997</v>
      </c>
      <c r="N3556">
        <v>1</v>
      </c>
      <c r="O3556" s="1" t="s">
        <v>564</v>
      </c>
      <c r="P3556">
        <v>10651.85</v>
      </c>
      <c r="Q3556">
        <v>2252.66</v>
      </c>
      <c r="R3556">
        <v>0</v>
      </c>
      <c r="S3556" s="1" t="s">
        <v>873</v>
      </c>
      <c r="T3556" s="1" t="s">
        <v>1225</v>
      </c>
      <c r="U3556">
        <v>832.96</v>
      </c>
      <c r="V3556">
        <v>0</v>
      </c>
      <c r="W3556">
        <v>77352</v>
      </c>
    </row>
    <row r="3557" spans="1:23" x14ac:dyDescent="0.25">
      <c r="A3557" s="1" t="s">
        <v>38</v>
      </c>
      <c r="B3557" s="1"/>
      <c r="C3557" s="1" t="s">
        <v>207</v>
      </c>
      <c r="D3557">
        <v>10202</v>
      </c>
      <c r="E3557" s="1"/>
      <c r="F3557" s="1" t="s">
        <v>207</v>
      </c>
      <c r="G3557">
        <v>2013</v>
      </c>
      <c r="H3557">
        <v>22827.66</v>
      </c>
      <c r="I3557">
        <v>13</v>
      </c>
      <c r="J3557" s="1" t="s">
        <v>410</v>
      </c>
      <c r="K3557">
        <v>0</v>
      </c>
      <c r="L3557">
        <v>123</v>
      </c>
      <c r="M3557">
        <v>185.439967</v>
      </c>
      <c r="N3557">
        <v>1</v>
      </c>
      <c r="O3557" s="1" t="s">
        <v>564</v>
      </c>
      <c r="P3557">
        <v>23840.52</v>
      </c>
      <c r="Q3557">
        <v>5041.82</v>
      </c>
      <c r="R3557">
        <v>0</v>
      </c>
      <c r="S3557" s="1" t="s">
        <v>873</v>
      </c>
      <c r="T3557" s="1" t="s">
        <v>1225</v>
      </c>
      <c r="U3557">
        <v>2113.6725200000001</v>
      </c>
      <c r="V3557">
        <v>0</v>
      </c>
      <c r="W3557">
        <v>77352</v>
      </c>
    </row>
    <row r="3558" spans="1:23" x14ac:dyDescent="0.25">
      <c r="A3558" s="1" t="s">
        <v>38</v>
      </c>
      <c r="B3558" s="1"/>
      <c r="C3558" s="1" t="s">
        <v>207</v>
      </c>
      <c r="D3558">
        <v>10202</v>
      </c>
      <c r="E3558" s="1"/>
      <c r="F3558" s="1" t="s">
        <v>207</v>
      </c>
      <c r="G3558">
        <v>2012</v>
      </c>
      <c r="H3558">
        <v>35299.360000000001</v>
      </c>
      <c r="I3558">
        <v>12</v>
      </c>
      <c r="J3558" s="1" t="s">
        <v>410</v>
      </c>
      <c r="K3558">
        <v>0</v>
      </c>
      <c r="L3558">
        <v>123</v>
      </c>
      <c r="M3558">
        <v>286.753533</v>
      </c>
      <c r="N3558">
        <v>1</v>
      </c>
      <c r="O3558" s="1" t="s">
        <v>564</v>
      </c>
      <c r="P3558">
        <v>38336.29</v>
      </c>
      <c r="Q3558">
        <v>8107.42</v>
      </c>
      <c r="R3558">
        <v>0</v>
      </c>
      <c r="S3558" s="1" t="s">
        <v>873</v>
      </c>
      <c r="T3558" s="1" t="s">
        <v>1225</v>
      </c>
      <c r="U3558">
        <v>3268.4582999999998</v>
      </c>
      <c r="V3558">
        <v>0</v>
      </c>
      <c r="W3558">
        <v>77352</v>
      </c>
    </row>
    <row r="3559" spans="1:23" x14ac:dyDescent="0.25">
      <c r="A3559" s="1" t="s">
        <v>38</v>
      </c>
      <c r="B3559" s="1"/>
      <c r="C3559" s="1" t="s">
        <v>207</v>
      </c>
      <c r="D3559">
        <v>10202</v>
      </c>
      <c r="E3559" s="1"/>
      <c r="F3559" s="1" t="s">
        <v>207</v>
      </c>
      <c r="G3559">
        <v>2011</v>
      </c>
      <c r="H3559">
        <v>40495.67</v>
      </c>
      <c r="I3559">
        <v>12</v>
      </c>
      <c r="J3559" s="1" t="s">
        <v>410</v>
      </c>
      <c r="K3559">
        <v>0</v>
      </c>
      <c r="L3559">
        <v>123</v>
      </c>
      <c r="M3559">
        <v>328.96563700000002</v>
      </c>
      <c r="N3559">
        <v>1</v>
      </c>
      <c r="O3559" s="1" t="s">
        <v>564</v>
      </c>
      <c r="P3559">
        <v>47304.92</v>
      </c>
      <c r="Q3559">
        <v>10004.120000000001</v>
      </c>
      <c r="R3559">
        <v>0</v>
      </c>
      <c r="S3559" s="1" t="s">
        <v>873</v>
      </c>
      <c r="T3559" s="1" t="s">
        <v>1225</v>
      </c>
      <c r="U3559">
        <v>3749.5999900000002</v>
      </c>
      <c r="V3559">
        <v>0</v>
      </c>
      <c r="W3559">
        <v>77352</v>
      </c>
    </row>
    <row r="3560" spans="1:23" x14ac:dyDescent="0.25">
      <c r="A3560" s="1" t="s">
        <v>38</v>
      </c>
      <c r="B3560" s="1"/>
      <c r="C3560" s="1" t="s">
        <v>207</v>
      </c>
      <c r="D3560">
        <v>10202</v>
      </c>
      <c r="E3560" s="1"/>
      <c r="F3560" s="1" t="s">
        <v>207</v>
      </c>
      <c r="G3560">
        <v>2010</v>
      </c>
      <c r="H3560">
        <v>28178.29</v>
      </c>
      <c r="I3560">
        <v>8</v>
      </c>
      <c r="J3560" s="1" t="s">
        <v>410</v>
      </c>
      <c r="K3560">
        <v>0</v>
      </c>
      <c r="L3560">
        <v>123</v>
      </c>
      <c r="M3560">
        <v>228.905686</v>
      </c>
      <c r="N3560">
        <v>1</v>
      </c>
      <c r="O3560" s="1" t="s">
        <v>564</v>
      </c>
      <c r="P3560">
        <v>25711.16</v>
      </c>
      <c r="Q3560">
        <v>5437.42</v>
      </c>
      <c r="R3560">
        <v>0</v>
      </c>
      <c r="S3560" s="1" t="s">
        <v>873</v>
      </c>
      <c r="T3560" s="1" t="s">
        <v>1225</v>
      </c>
      <c r="U3560">
        <v>2609.10068</v>
      </c>
      <c r="V3560">
        <v>0</v>
      </c>
      <c r="W3560">
        <v>77352</v>
      </c>
    </row>
    <row r="3561" spans="1:23" x14ac:dyDescent="0.25">
      <c r="A3561" s="1" t="s">
        <v>38</v>
      </c>
      <c r="B3561" s="1"/>
      <c r="C3561" s="1" t="s">
        <v>207</v>
      </c>
      <c r="D3561">
        <v>10202</v>
      </c>
      <c r="E3561" s="1"/>
      <c r="F3561" s="1" t="s">
        <v>207</v>
      </c>
      <c r="G3561">
        <v>2009</v>
      </c>
      <c r="H3561">
        <v>20966.11</v>
      </c>
      <c r="I3561">
        <v>2</v>
      </c>
      <c r="J3561" s="1" t="s">
        <v>410</v>
      </c>
      <c r="K3561">
        <v>0</v>
      </c>
      <c r="L3561">
        <v>123</v>
      </c>
      <c r="M3561">
        <v>170.31770900000001</v>
      </c>
      <c r="N3561">
        <v>1</v>
      </c>
      <c r="O3561" s="1" t="s">
        <v>564</v>
      </c>
      <c r="P3561">
        <v>28238.59</v>
      </c>
      <c r="Q3561">
        <v>5971.92</v>
      </c>
      <c r="R3561">
        <v>0</v>
      </c>
      <c r="S3561" s="1" t="s">
        <v>873</v>
      </c>
      <c r="T3561" s="1" t="s">
        <v>1225</v>
      </c>
      <c r="U3561">
        <v>1941.30882</v>
      </c>
      <c r="V3561">
        <v>0</v>
      </c>
      <c r="W3561">
        <v>77352</v>
      </c>
    </row>
    <row r="3562" spans="1:23" x14ac:dyDescent="0.25">
      <c r="A3562" s="1" t="s">
        <v>38</v>
      </c>
      <c r="B3562" s="1"/>
      <c r="C3562" s="1" t="s">
        <v>207</v>
      </c>
      <c r="D3562">
        <v>10202</v>
      </c>
      <c r="E3562" s="1"/>
      <c r="F3562" s="1" t="s">
        <v>207</v>
      </c>
      <c r="G3562">
        <v>2008</v>
      </c>
      <c r="H3562">
        <v>17385.55</v>
      </c>
      <c r="I3562">
        <v>5</v>
      </c>
      <c r="J3562" s="1" t="s">
        <v>410</v>
      </c>
      <c r="K3562">
        <v>0</v>
      </c>
      <c r="L3562">
        <v>123</v>
      </c>
      <c r="M3562">
        <v>141.231112</v>
      </c>
      <c r="N3562">
        <v>1</v>
      </c>
      <c r="O3562" s="1" t="s">
        <v>564</v>
      </c>
      <c r="P3562">
        <v>19971.91</v>
      </c>
      <c r="Q3562">
        <v>4223.68</v>
      </c>
      <c r="R3562">
        <v>0</v>
      </c>
      <c r="S3562" s="1" t="s">
        <v>873</v>
      </c>
      <c r="T3562" s="1" t="s">
        <v>1225</v>
      </c>
      <c r="U3562">
        <v>1609.7724900000001</v>
      </c>
      <c r="V3562">
        <v>0</v>
      </c>
      <c r="W3562">
        <v>77352</v>
      </c>
    </row>
    <row r="3563" spans="1:23" x14ac:dyDescent="0.25">
      <c r="A3563" s="1" t="s">
        <v>38</v>
      </c>
      <c r="B3563" s="1"/>
      <c r="C3563" s="1" t="s">
        <v>204</v>
      </c>
      <c r="D3563">
        <v>10165</v>
      </c>
      <c r="E3563" s="1"/>
      <c r="F3563" s="1" t="s">
        <v>339</v>
      </c>
      <c r="G3563">
        <v>2015</v>
      </c>
      <c r="H3563">
        <v>624.67999999999995</v>
      </c>
      <c r="I3563">
        <v>5</v>
      </c>
      <c r="J3563" s="1" t="s">
        <v>416</v>
      </c>
      <c r="K3563">
        <v>0</v>
      </c>
      <c r="L3563">
        <v>168</v>
      </c>
      <c r="M3563">
        <v>3.7161209999999998</v>
      </c>
      <c r="N3563">
        <v>2</v>
      </c>
      <c r="O3563" s="1" t="s">
        <v>569</v>
      </c>
      <c r="P3563">
        <v>624.67999999999995</v>
      </c>
      <c r="Q3563">
        <v>187.4</v>
      </c>
      <c r="R3563">
        <v>0</v>
      </c>
      <c r="S3563" s="1" t="s">
        <v>1099</v>
      </c>
      <c r="T3563" s="1"/>
      <c r="U3563">
        <v>624.68002999999999</v>
      </c>
      <c r="V3563">
        <v>0</v>
      </c>
      <c r="W3563">
        <v>77157</v>
      </c>
    </row>
    <row r="3564" spans="1:23" x14ac:dyDescent="0.25">
      <c r="A3564" s="1" t="s">
        <v>38</v>
      </c>
      <c r="B3564" s="1"/>
      <c r="C3564" s="1" t="s">
        <v>204</v>
      </c>
      <c r="D3564">
        <v>10165</v>
      </c>
      <c r="E3564" s="1"/>
      <c r="F3564" s="1" t="s">
        <v>339</v>
      </c>
      <c r="G3564">
        <v>2014</v>
      </c>
      <c r="H3564">
        <v>8003.22</v>
      </c>
      <c r="I3564">
        <v>12</v>
      </c>
      <c r="J3564" s="1" t="s">
        <v>416</v>
      </c>
      <c r="K3564">
        <v>0</v>
      </c>
      <c r="L3564">
        <v>168</v>
      </c>
      <c r="M3564">
        <v>47.609875000000002</v>
      </c>
      <c r="N3564">
        <v>2</v>
      </c>
      <c r="O3564" s="1" t="s">
        <v>569</v>
      </c>
      <c r="P3564">
        <v>8003.22</v>
      </c>
      <c r="Q3564">
        <v>2400.9699999999998</v>
      </c>
      <c r="R3564">
        <v>0</v>
      </c>
      <c r="S3564" s="1" t="s">
        <v>1099</v>
      </c>
      <c r="T3564" s="1"/>
      <c r="U3564">
        <v>8003.2303599999996</v>
      </c>
      <c r="V3564">
        <v>0</v>
      </c>
      <c r="W3564">
        <v>77157</v>
      </c>
    </row>
    <row r="3565" spans="1:23" x14ac:dyDescent="0.25">
      <c r="A3565" s="1" t="s">
        <v>38</v>
      </c>
      <c r="B3565" s="1"/>
      <c r="C3565" s="1" t="s">
        <v>204</v>
      </c>
      <c r="D3565">
        <v>10165</v>
      </c>
      <c r="E3565" s="1"/>
      <c r="F3565" s="1" t="s">
        <v>339</v>
      </c>
      <c r="G3565">
        <v>2013</v>
      </c>
      <c r="H3565">
        <v>10504.58</v>
      </c>
      <c r="I3565">
        <v>12</v>
      </c>
      <c r="J3565" s="1" t="s">
        <v>416</v>
      </c>
      <c r="K3565">
        <v>0</v>
      </c>
      <c r="L3565">
        <v>168</v>
      </c>
      <c r="M3565">
        <v>62.490065000000001</v>
      </c>
      <c r="N3565">
        <v>2</v>
      </c>
      <c r="O3565" s="1" t="s">
        <v>569</v>
      </c>
      <c r="P3565">
        <v>10504.58</v>
      </c>
      <c r="Q3565">
        <v>3151.37</v>
      </c>
      <c r="R3565">
        <v>0</v>
      </c>
      <c r="S3565" s="1" t="s">
        <v>1099</v>
      </c>
      <c r="T3565" s="1"/>
      <c r="U3565">
        <v>10504.586799999999</v>
      </c>
      <c r="V3565">
        <v>0</v>
      </c>
      <c r="W3565">
        <v>77157</v>
      </c>
    </row>
    <row r="3566" spans="1:23" x14ac:dyDescent="0.25">
      <c r="A3566" s="1" t="s">
        <v>38</v>
      </c>
      <c r="B3566" s="1"/>
      <c r="C3566" s="1" t="s">
        <v>204</v>
      </c>
      <c r="D3566">
        <v>10165</v>
      </c>
      <c r="E3566" s="1"/>
      <c r="F3566" s="1" t="s">
        <v>339</v>
      </c>
      <c r="G3566">
        <v>2012</v>
      </c>
      <c r="H3566">
        <v>13356.28</v>
      </c>
      <c r="I3566">
        <v>12</v>
      </c>
      <c r="J3566" s="1" t="s">
        <v>416</v>
      </c>
      <c r="K3566">
        <v>0</v>
      </c>
      <c r="L3566">
        <v>168</v>
      </c>
      <c r="M3566">
        <v>79.454372000000006</v>
      </c>
      <c r="N3566">
        <v>2</v>
      </c>
      <c r="O3566" s="1" t="s">
        <v>569</v>
      </c>
      <c r="P3566">
        <v>13356.28</v>
      </c>
      <c r="Q3566">
        <v>5342.5</v>
      </c>
      <c r="R3566">
        <v>0</v>
      </c>
      <c r="S3566" s="1" t="s">
        <v>1099</v>
      </c>
      <c r="T3566" s="1"/>
      <c r="U3566">
        <v>13356.270500000001</v>
      </c>
      <c r="V3566">
        <v>0</v>
      </c>
      <c r="W3566">
        <v>77157</v>
      </c>
    </row>
    <row r="3567" spans="1:23" x14ac:dyDescent="0.25">
      <c r="A3567" s="1" t="s">
        <v>38</v>
      </c>
      <c r="B3567" s="1"/>
      <c r="C3567" s="1" t="s">
        <v>204</v>
      </c>
      <c r="D3567">
        <v>10165</v>
      </c>
      <c r="E3567" s="1"/>
      <c r="F3567" s="1" t="s">
        <v>339</v>
      </c>
      <c r="G3567">
        <v>2011</v>
      </c>
      <c r="H3567">
        <v>4128</v>
      </c>
      <c r="I3567">
        <v>12</v>
      </c>
      <c r="J3567" s="1" t="s">
        <v>416</v>
      </c>
      <c r="K3567">
        <v>0</v>
      </c>
      <c r="L3567">
        <v>168</v>
      </c>
      <c r="M3567">
        <v>24.556811</v>
      </c>
      <c r="N3567">
        <v>2</v>
      </c>
      <c r="O3567" s="1" t="s">
        <v>569</v>
      </c>
      <c r="P3567">
        <v>4128</v>
      </c>
      <c r="Q3567">
        <v>1936.04</v>
      </c>
      <c r="R3567">
        <v>0</v>
      </c>
      <c r="S3567" s="1" t="s">
        <v>1099</v>
      </c>
      <c r="T3567" s="1"/>
      <c r="U3567">
        <v>4128.0065599999998</v>
      </c>
      <c r="V3567">
        <v>0</v>
      </c>
      <c r="W3567">
        <v>77157</v>
      </c>
    </row>
    <row r="3568" spans="1:23" x14ac:dyDescent="0.25">
      <c r="A3568" s="1" t="s">
        <v>38</v>
      </c>
      <c r="B3568" s="1"/>
      <c r="C3568" s="1" t="s">
        <v>204</v>
      </c>
      <c r="D3568">
        <v>10165</v>
      </c>
      <c r="E3568" s="1"/>
      <c r="F3568" s="1" t="s">
        <v>339</v>
      </c>
      <c r="G3568">
        <v>2010</v>
      </c>
      <c r="H3568">
        <v>1026.9000000000001</v>
      </c>
      <c r="I3568">
        <v>8</v>
      </c>
      <c r="J3568" s="1" t="s">
        <v>416</v>
      </c>
      <c r="K3568">
        <v>0</v>
      </c>
      <c r="L3568">
        <v>168</v>
      </c>
      <c r="M3568">
        <v>6.1088630000000004</v>
      </c>
      <c r="N3568">
        <v>2</v>
      </c>
      <c r="O3568" s="1" t="s">
        <v>569</v>
      </c>
      <c r="P3568">
        <v>1026.9000000000001</v>
      </c>
      <c r="Q3568">
        <v>481.62</v>
      </c>
      <c r="R3568">
        <v>0</v>
      </c>
      <c r="S3568" s="1" t="s">
        <v>1099</v>
      </c>
      <c r="T3568" s="1"/>
      <c r="U3568">
        <v>1026.9001900000001</v>
      </c>
      <c r="V3568">
        <v>0</v>
      </c>
      <c r="W3568">
        <v>77157</v>
      </c>
    </row>
    <row r="3569" spans="1:23" x14ac:dyDescent="0.25">
      <c r="A3569" s="1" t="s">
        <v>38</v>
      </c>
      <c r="B3569" s="1"/>
      <c r="C3569" s="1" t="s">
        <v>204</v>
      </c>
      <c r="D3569">
        <v>10165</v>
      </c>
      <c r="E3569" s="1"/>
      <c r="F3569" s="1" t="s">
        <v>339</v>
      </c>
      <c r="G3569">
        <v>2009</v>
      </c>
      <c r="H3569">
        <v>5745.49</v>
      </c>
      <c r="I3569">
        <v>6</v>
      </c>
      <c r="J3569" s="1" t="s">
        <v>416</v>
      </c>
      <c r="K3569">
        <v>0</v>
      </c>
      <c r="L3569">
        <v>168</v>
      </c>
      <c r="M3569">
        <v>34.179000000000002</v>
      </c>
      <c r="N3569">
        <v>2</v>
      </c>
      <c r="O3569" s="1" t="s">
        <v>569</v>
      </c>
      <c r="P3569">
        <v>5745.49</v>
      </c>
      <c r="Q3569">
        <v>2694.63</v>
      </c>
      <c r="R3569">
        <v>0</v>
      </c>
      <c r="S3569" s="1" t="s">
        <v>1099</v>
      </c>
      <c r="T3569" s="1"/>
      <c r="U3569">
        <v>5745.4775799999998</v>
      </c>
      <c r="V3569">
        <v>0</v>
      </c>
      <c r="W3569">
        <v>77157</v>
      </c>
    </row>
    <row r="3570" spans="1:23" x14ac:dyDescent="0.25">
      <c r="A3570" s="1" t="s">
        <v>38</v>
      </c>
      <c r="B3570" s="1"/>
      <c r="C3570" s="1" t="s">
        <v>204</v>
      </c>
      <c r="D3570">
        <v>10165</v>
      </c>
      <c r="E3570" s="1"/>
      <c r="F3570" s="1" t="s">
        <v>339</v>
      </c>
      <c r="G3570">
        <v>2008</v>
      </c>
      <c r="H3570">
        <v>9190.75</v>
      </c>
      <c r="I3570">
        <v>6</v>
      </c>
      <c r="J3570" s="1" t="s">
        <v>416</v>
      </c>
      <c r="K3570">
        <v>0</v>
      </c>
      <c r="L3570">
        <v>168</v>
      </c>
      <c r="M3570">
        <v>54.674301</v>
      </c>
      <c r="N3570">
        <v>2</v>
      </c>
      <c r="O3570" s="1" t="s">
        <v>569</v>
      </c>
      <c r="P3570">
        <v>9190.75</v>
      </c>
      <c r="Q3570">
        <v>4310.47</v>
      </c>
      <c r="R3570">
        <v>0</v>
      </c>
      <c r="S3570" s="1" t="s">
        <v>1099</v>
      </c>
      <c r="T3570" s="1"/>
      <c r="U3570">
        <v>9190.75612</v>
      </c>
      <c r="V3570">
        <v>0</v>
      </c>
      <c r="W3570">
        <v>77157</v>
      </c>
    </row>
    <row r="3571" spans="1:23" x14ac:dyDescent="0.25">
      <c r="A3571" s="1" t="s">
        <v>38</v>
      </c>
      <c r="B3571" s="1"/>
      <c r="C3571" s="1" t="s">
        <v>205</v>
      </c>
      <c r="D3571">
        <v>10166</v>
      </c>
      <c r="E3571" s="1"/>
      <c r="F3571" s="1" t="s">
        <v>340</v>
      </c>
      <c r="G3571">
        <v>2015</v>
      </c>
      <c r="H3571">
        <v>5813.69</v>
      </c>
      <c r="I3571">
        <v>4</v>
      </c>
      <c r="J3571" s="1" t="s">
        <v>416</v>
      </c>
      <c r="K3571">
        <v>0</v>
      </c>
      <c r="L3571">
        <v>228</v>
      </c>
      <c r="M3571">
        <v>25.487461</v>
      </c>
      <c r="N3571">
        <v>2</v>
      </c>
      <c r="O3571" s="1" t="s">
        <v>569</v>
      </c>
      <c r="P3571">
        <v>5813.69</v>
      </c>
      <c r="Q3571">
        <v>1744.12</v>
      </c>
      <c r="R3571">
        <v>0</v>
      </c>
      <c r="S3571" s="1" t="s">
        <v>1100</v>
      </c>
      <c r="T3571" s="1"/>
      <c r="U3571">
        <v>5813.6949999999997</v>
      </c>
      <c r="V3571">
        <v>0</v>
      </c>
      <c r="W3571">
        <v>77160</v>
      </c>
    </row>
    <row r="3572" spans="1:23" x14ac:dyDescent="0.25">
      <c r="A3572" s="1" t="s">
        <v>38</v>
      </c>
      <c r="B3572" s="1"/>
      <c r="C3572" s="1" t="s">
        <v>205</v>
      </c>
      <c r="D3572">
        <v>10166</v>
      </c>
      <c r="E3572" s="1"/>
      <c r="F3572" s="1" t="s">
        <v>340</v>
      </c>
      <c r="G3572">
        <v>2014</v>
      </c>
      <c r="H3572">
        <v>7935.25</v>
      </c>
      <c r="I3572">
        <v>11</v>
      </c>
      <c r="J3572" s="1" t="s">
        <v>416</v>
      </c>
      <c r="K3572">
        <v>0</v>
      </c>
      <c r="L3572">
        <v>228</v>
      </c>
      <c r="M3572">
        <v>34.788468999999999</v>
      </c>
      <c r="N3572">
        <v>2</v>
      </c>
      <c r="O3572" s="1" t="s">
        <v>569</v>
      </c>
      <c r="P3572">
        <v>7935.25</v>
      </c>
      <c r="Q3572">
        <v>2380.56</v>
      </c>
      <c r="R3572">
        <v>0</v>
      </c>
      <c r="S3572" s="1" t="s">
        <v>1100</v>
      </c>
      <c r="T3572" s="1"/>
      <c r="U3572">
        <v>7935.26</v>
      </c>
      <c r="V3572">
        <v>0</v>
      </c>
      <c r="W3572">
        <v>77160</v>
      </c>
    </row>
    <row r="3573" spans="1:23" x14ac:dyDescent="0.25">
      <c r="A3573" s="1" t="s">
        <v>38</v>
      </c>
      <c r="B3573" s="1"/>
      <c r="C3573" s="1" t="s">
        <v>205</v>
      </c>
      <c r="D3573">
        <v>10166</v>
      </c>
      <c r="E3573" s="1"/>
      <c r="F3573" s="1" t="s">
        <v>340</v>
      </c>
      <c r="G3573">
        <v>2013</v>
      </c>
      <c r="H3573">
        <v>4160.1899999999996</v>
      </c>
      <c r="I3573">
        <v>12</v>
      </c>
      <c r="J3573" s="1" t="s">
        <v>416</v>
      </c>
      <c r="K3573">
        <v>0</v>
      </c>
      <c r="L3573">
        <v>228</v>
      </c>
      <c r="M3573">
        <v>18.238448000000002</v>
      </c>
      <c r="N3573">
        <v>2</v>
      </c>
      <c r="O3573" s="1" t="s">
        <v>569</v>
      </c>
      <c r="P3573">
        <v>4160.1899999999996</v>
      </c>
      <c r="Q3573">
        <v>1248.07</v>
      </c>
      <c r="R3573">
        <v>0</v>
      </c>
      <c r="S3573" s="1" t="s">
        <v>1100</v>
      </c>
      <c r="T3573" s="1"/>
      <c r="U3573">
        <v>4160.1949999999997</v>
      </c>
      <c r="V3573">
        <v>0</v>
      </c>
      <c r="W3573">
        <v>77160</v>
      </c>
    </row>
    <row r="3574" spans="1:23" x14ac:dyDescent="0.25">
      <c r="A3574" s="1" t="s">
        <v>38</v>
      </c>
      <c r="B3574" s="1"/>
      <c r="C3574" s="1" t="s">
        <v>205</v>
      </c>
      <c r="D3574">
        <v>10166</v>
      </c>
      <c r="E3574" s="1"/>
      <c r="F3574" s="1" t="s">
        <v>340</v>
      </c>
      <c r="G3574">
        <v>2012</v>
      </c>
      <c r="H3574">
        <v>3164.27</v>
      </c>
      <c r="I3574">
        <v>12</v>
      </c>
      <c r="J3574" s="1" t="s">
        <v>416</v>
      </c>
      <c r="K3574">
        <v>0</v>
      </c>
      <c r="L3574">
        <v>228</v>
      </c>
      <c r="M3574">
        <v>13.872292</v>
      </c>
      <c r="N3574">
        <v>2</v>
      </c>
      <c r="O3574" s="1" t="s">
        <v>569</v>
      </c>
      <c r="P3574">
        <v>3164.27</v>
      </c>
      <c r="Q3574">
        <v>1265.7</v>
      </c>
      <c r="R3574">
        <v>0</v>
      </c>
      <c r="S3574" s="1" t="s">
        <v>1100</v>
      </c>
      <c r="T3574" s="1"/>
      <c r="U3574">
        <v>3164.2739999999999</v>
      </c>
      <c r="V3574">
        <v>0</v>
      </c>
      <c r="W3574">
        <v>77160</v>
      </c>
    </row>
    <row r="3575" spans="1:23" x14ac:dyDescent="0.25">
      <c r="A3575" s="1" t="s">
        <v>38</v>
      </c>
      <c r="B3575" s="1"/>
      <c r="C3575" s="1" t="s">
        <v>205</v>
      </c>
      <c r="D3575">
        <v>10166</v>
      </c>
      <c r="E3575" s="1"/>
      <c r="F3575" s="1" t="s">
        <v>340</v>
      </c>
      <c r="G3575">
        <v>2011</v>
      </c>
      <c r="H3575">
        <v>2034.61</v>
      </c>
      <c r="I3575">
        <v>12</v>
      </c>
      <c r="J3575" s="1" t="s">
        <v>416</v>
      </c>
      <c r="K3575">
        <v>0</v>
      </c>
      <c r="L3575">
        <v>228</v>
      </c>
      <c r="M3575">
        <v>8.9198149999999998</v>
      </c>
      <c r="N3575">
        <v>2</v>
      </c>
      <c r="O3575" s="1" t="s">
        <v>569</v>
      </c>
      <c r="P3575">
        <v>2034.61</v>
      </c>
      <c r="Q3575">
        <v>954.23</v>
      </c>
      <c r="R3575">
        <v>0</v>
      </c>
      <c r="S3575" s="1" t="s">
        <v>1100</v>
      </c>
      <c r="T3575" s="1"/>
      <c r="U3575">
        <v>2034.604</v>
      </c>
      <c r="V3575">
        <v>0</v>
      </c>
      <c r="W3575">
        <v>77160</v>
      </c>
    </row>
    <row r="3576" spans="1:23" x14ac:dyDescent="0.25">
      <c r="A3576" s="1" t="s">
        <v>38</v>
      </c>
      <c r="B3576" s="1"/>
      <c r="C3576" s="1" t="s">
        <v>205</v>
      </c>
      <c r="D3576">
        <v>10166</v>
      </c>
      <c r="E3576" s="1"/>
      <c r="F3576" s="1" t="s">
        <v>340</v>
      </c>
      <c r="G3576">
        <v>2010</v>
      </c>
      <c r="H3576">
        <v>1200.08</v>
      </c>
      <c r="I3576">
        <v>7</v>
      </c>
      <c r="J3576" s="1" t="s">
        <v>416</v>
      </c>
      <c r="K3576">
        <v>0</v>
      </c>
      <c r="L3576">
        <v>228</v>
      </c>
      <c r="M3576">
        <v>5.2612009999999998</v>
      </c>
      <c r="N3576">
        <v>2</v>
      </c>
      <c r="O3576" s="1" t="s">
        <v>569</v>
      </c>
      <c r="P3576">
        <v>1200.08</v>
      </c>
      <c r="Q3576">
        <v>562.83000000000004</v>
      </c>
      <c r="R3576">
        <v>0</v>
      </c>
      <c r="S3576" s="1" t="s">
        <v>1100</v>
      </c>
      <c r="T3576" s="1"/>
      <c r="U3576">
        <v>1200.0851299999999</v>
      </c>
      <c r="V3576">
        <v>0</v>
      </c>
      <c r="W3576">
        <v>77160</v>
      </c>
    </row>
    <row r="3577" spans="1:23" x14ac:dyDescent="0.25">
      <c r="A3577" s="1" t="s">
        <v>38</v>
      </c>
      <c r="B3577" s="1"/>
      <c r="C3577" s="1" t="s">
        <v>205</v>
      </c>
      <c r="D3577">
        <v>10166</v>
      </c>
      <c r="E3577" s="1"/>
      <c r="F3577" s="1" t="s">
        <v>340</v>
      </c>
      <c r="G3577">
        <v>2009</v>
      </c>
      <c r="H3577">
        <v>2390.1799999999998</v>
      </c>
      <c r="I3577">
        <v>5</v>
      </c>
      <c r="J3577" s="1" t="s">
        <v>416</v>
      </c>
      <c r="K3577">
        <v>0</v>
      </c>
      <c r="L3577">
        <v>228</v>
      </c>
      <c r="M3577">
        <v>10.478649000000001</v>
      </c>
      <c r="N3577">
        <v>2</v>
      </c>
      <c r="O3577" s="1" t="s">
        <v>569</v>
      </c>
      <c r="P3577">
        <v>2390.1799999999998</v>
      </c>
      <c r="Q3577">
        <v>1120.98</v>
      </c>
      <c r="R3577">
        <v>0</v>
      </c>
      <c r="S3577" s="1" t="s">
        <v>1100</v>
      </c>
      <c r="T3577" s="1"/>
      <c r="U3577">
        <v>2390.1671099999999</v>
      </c>
      <c r="V3577">
        <v>0</v>
      </c>
      <c r="W3577">
        <v>77160</v>
      </c>
    </row>
    <row r="3578" spans="1:23" x14ac:dyDescent="0.25">
      <c r="A3578" s="1" t="s">
        <v>38</v>
      </c>
      <c r="B3578" s="1"/>
      <c r="C3578" s="1" t="s">
        <v>205</v>
      </c>
      <c r="D3578">
        <v>10166</v>
      </c>
      <c r="E3578" s="1"/>
      <c r="F3578" s="1" t="s">
        <v>340</v>
      </c>
      <c r="G3578">
        <v>2008</v>
      </c>
      <c r="H3578">
        <v>3617.26</v>
      </c>
      <c r="I3578">
        <v>6</v>
      </c>
      <c r="J3578" s="1" t="s">
        <v>416</v>
      </c>
      <c r="K3578">
        <v>0</v>
      </c>
      <c r="L3578">
        <v>228</v>
      </c>
      <c r="M3578">
        <v>15.858219999999999</v>
      </c>
      <c r="N3578">
        <v>2</v>
      </c>
      <c r="O3578" s="1" t="s">
        <v>569</v>
      </c>
      <c r="P3578">
        <v>3617.26</v>
      </c>
      <c r="Q3578">
        <v>1696.51</v>
      </c>
      <c r="R3578">
        <v>0</v>
      </c>
      <c r="S3578" s="1" t="s">
        <v>1100</v>
      </c>
      <c r="T3578" s="1"/>
      <c r="U3578">
        <v>3617.2612800000002</v>
      </c>
      <c r="V3578">
        <v>0</v>
      </c>
      <c r="W3578">
        <v>77160</v>
      </c>
    </row>
    <row r="3579" spans="1:23" x14ac:dyDescent="0.25">
      <c r="A3579" s="1" t="s">
        <v>38</v>
      </c>
      <c r="B3579" s="1"/>
      <c r="C3579" s="1" t="s">
        <v>206</v>
      </c>
      <c r="D3579">
        <v>10170</v>
      </c>
      <c r="E3579" s="1"/>
      <c r="F3579" s="1" t="s">
        <v>206</v>
      </c>
      <c r="G3579">
        <v>2015</v>
      </c>
      <c r="H3579">
        <v>10327.35</v>
      </c>
      <c r="I3579">
        <v>5</v>
      </c>
      <c r="J3579" s="1" t="s">
        <v>416</v>
      </c>
      <c r="K3579">
        <v>0</v>
      </c>
      <c r="L3579">
        <v>247</v>
      </c>
      <c r="M3579">
        <v>41.794212000000002</v>
      </c>
      <c r="N3579">
        <v>2</v>
      </c>
      <c r="O3579" s="1" t="s">
        <v>569</v>
      </c>
      <c r="P3579">
        <v>10327.35</v>
      </c>
      <c r="Q3579">
        <v>3098.21</v>
      </c>
      <c r="R3579">
        <v>0</v>
      </c>
      <c r="S3579" s="1" t="s">
        <v>1101</v>
      </c>
      <c r="T3579" s="1" t="s">
        <v>1343</v>
      </c>
      <c r="U3579">
        <v>10327.356</v>
      </c>
      <c r="V3579">
        <v>0</v>
      </c>
      <c r="W3579">
        <v>77183</v>
      </c>
    </row>
    <row r="3580" spans="1:23" x14ac:dyDescent="0.25">
      <c r="A3580" s="1" t="s">
        <v>38</v>
      </c>
      <c r="B3580" s="1"/>
      <c r="C3580" s="1" t="s">
        <v>206</v>
      </c>
      <c r="D3580">
        <v>10170</v>
      </c>
      <c r="E3580" s="1"/>
      <c r="F3580" s="1" t="s">
        <v>206</v>
      </c>
      <c r="G3580">
        <v>2014</v>
      </c>
      <c r="H3580">
        <v>14525.01</v>
      </c>
      <c r="I3580">
        <v>12</v>
      </c>
      <c r="J3580" s="1" t="s">
        <v>416</v>
      </c>
      <c r="K3580">
        <v>0</v>
      </c>
      <c r="L3580">
        <v>247</v>
      </c>
      <c r="M3580">
        <v>58.781910000000003</v>
      </c>
      <c r="N3580">
        <v>2</v>
      </c>
      <c r="O3580" s="1" t="s">
        <v>569</v>
      </c>
      <c r="P3580">
        <v>14525.01</v>
      </c>
      <c r="Q3580">
        <v>4357.51</v>
      </c>
      <c r="R3580">
        <v>0</v>
      </c>
      <c r="S3580" s="1" t="s">
        <v>1101</v>
      </c>
      <c r="T3580" s="1" t="s">
        <v>1343</v>
      </c>
      <c r="U3580">
        <v>14525.009</v>
      </c>
      <c r="V3580">
        <v>0</v>
      </c>
      <c r="W3580">
        <v>77183</v>
      </c>
    </row>
    <row r="3581" spans="1:23" x14ac:dyDescent="0.25">
      <c r="A3581" s="1" t="s">
        <v>38</v>
      </c>
      <c r="B3581" s="1"/>
      <c r="C3581" s="1" t="s">
        <v>206</v>
      </c>
      <c r="D3581">
        <v>10170</v>
      </c>
      <c r="E3581" s="1"/>
      <c r="F3581" s="1" t="s">
        <v>206</v>
      </c>
      <c r="G3581">
        <v>2013</v>
      </c>
      <c r="H3581">
        <v>15998.19</v>
      </c>
      <c r="I3581">
        <v>12</v>
      </c>
      <c r="J3581" s="1" t="s">
        <v>416</v>
      </c>
      <c r="K3581">
        <v>0</v>
      </c>
      <c r="L3581">
        <v>247</v>
      </c>
      <c r="M3581">
        <v>64.743786999999998</v>
      </c>
      <c r="N3581">
        <v>2</v>
      </c>
      <c r="O3581" s="1" t="s">
        <v>569</v>
      </c>
      <c r="P3581">
        <v>15998.19</v>
      </c>
      <c r="Q3581">
        <v>4799.45</v>
      </c>
      <c r="R3581">
        <v>0</v>
      </c>
      <c r="S3581" s="1" t="s">
        <v>1101</v>
      </c>
      <c r="T3581" s="1" t="s">
        <v>1343</v>
      </c>
      <c r="U3581">
        <v>15998.174000000001</v>
      </c>
      <c r="V3581">
        <v>0</v>
      </c>
      <c r="W3581">
        <v>77183</v>
      </c>
    </row>
    <row r="3582" spans="1:23" x14ac:dyDescent="0.25">
      <c r="A3582" s="1" t="s">
        <v>38</v>
      </c>
      <c r="B3582" s="1"/>
      <c r="C3582" s="1" t="s">
        <v>206</v>
      </c>
      <c r="D3582">
        <v>10170</v>
      </c>
      <c r="E3582" s="1"/>
      <c r="F3582" s="1" t="s">
        <v>206</v>
      </c>
      <c r="G3582">
        <v>2012</v>
      </c>
      <c r="H3582">
        <v>13306.81</v>
      </c>
      <c r="I3582">
        <v>12</v>
      </c>
      <c r="J3582" s="1" t="s">
        <v>416</v>
      </c>
      <c r="K3582">
        <v>0</v>
      </c>
      <c r="L3582">
        <v>247</v>
      </c>
      <c r="M3582">
        <v>53.851922000000002</v>
      </c>
      <c r="N3582">
        <v>2</v>
      </c>
      <c r="O3582" s="1" t="s">
        <v>569</v>
      </c>
      <c r="P3582">
        <v>13306.81</v>
      </c>
      <c r="Q3582">
        <v>5322.72</v>
      </c>
      <c r="R3582">
        <v>0</v>
      </c>
      <c r="S3582" s="1" t="s">
        <v>1101</v>
      </c>
      <c r="T3582" s="1" t="s">
        <v>1343</v>
      </c>
      <c r="U3582">
        <v>13306.8051</v>
      </c>
      <c r="V3582">
        <v>0</v>
      </c>
      <c r="W3582">
        <v>77183</v>
      </c>
    </row>
    <row r="3583" spans="1:23" x14ac:dyDescent="0.25">
      <c r="A3583" s="1" t="s">
        <v>38</v>
      </c>
      <c r="B3583" s="1"/>
      <c r="C3583" s="1" t="s">
        <v>206</v>
      </c>
      <c r="D3583">
        <v>10170</v>
      </c>
      <c r="E3583" s="1"/>
      <c r="F3583" s="1" t="s">
        <v>206</v>
      </c>
      <c r="G3583">
        <v>2011</v>
      </c>
      <c r="H3583">
        <v>16760.68</v>
      </c>
      <c r="I3583">
        <v>12</v>
      </c>
      <c r="J3583" s="1" t="s">
        <v>416</v>
      </c>
      <c r="K3583">
        <v>0</v>
      </c>
      <c r="L3583">
        <v>247</v>
      </c>
      <c r="M3583">
        <v>67.829542000000004</v>
      </c>
      <c r="N3583">
        <v>2</v>
      </c>
      <c r="O3583" s="1" t="s">
        <v>569</v>
      </c>
      <c r="P3583">
        <v>16760.68</v>
      </c>
      <c r="Q3583">
        <v>7860.75</v>
      </c>
      <c r="R3583">
        <v>0</v>
      </c>
      <c r="S3583" s="1" t="s">
        <v>1101</v>
      </c>
      <c r="T3583" s="1" t="s">
        <v>1343</v>
      </c>
      <c r="U3583">
        <v>16760.691999999999</v>
      </c>
      <c r="V3583">
        <v>0</v>
      </c>
      <c r="W3583">
        <v>77183</v>
      </c>
    </row>
    <row r="3584" spans="1:23" x14ac:dyDescent="0.25">
      <c r="A3584" s="1" t="s">
        <v>38</v>
      </c>
      <c r="B3584" s="1"/>
      <c r="C3584" s="1" t="s">
        <v>206</v>
      </c>
      <c r="D3584">
        <v>10170</v>
      </c>
      <c r="E3584" s="1"/>
      <c r="F3584" s="1" t="s">
        <v>206</v>
      </c>
      <c r="G3584">
        <v>2010</v>
      </c>
      <c r="H3584">
        <v>21589.57</v>
      </c>
      <c r="I3584">
        <v>8</v>
      </c>
      <c r="J3584" s="1" t="s">
        <v>416</v>
      </c>
      <c r="K3584">
        <v>0</v>
      </c>
      <c r="L3584">
        <v>247</v>
      </c>
      <c r="M3584">
        <v>87.371791999999999</v>
      </c>
      <c r="N3584">
        <v>2</v>
      </c>
      <c r="O3584" s="1" t="s">
        <v>569</v>
      </c>
      <c r="P3584">
        <v>21589.57</v>
      </c>
      <c r="Q3584">
        <v>10125.5</v>
      </c>
      <c r="R3584">
        <v>0</v>
      </c>
      <c r="S3584" s="1" t="s">
        <v>1101</v>
      </c>
      <c r="T3584" s="1" t="s">
        <v>1343</v>
      </c>
      <c r="U3584">
        <v>21589.57115</v>
      </c>
      <c r="V3584">
        <v>0</v>
      </c>
      <c r="W3584">
        <v>77183</v>
      </c>
    </row>
    <row r="3585" spans="1:23" x14ac:dyDescent="0.25">
      <c r="A3585" s="1" t="s">
        <v>38</v>
      </c>
      <c r="B3585" s="1"/>
      <c r="C3585" s="1" t="s">
        <v>206</v>
      </c>
      <c r="D3585">
        <v>10170</v>
      </c>
      <c r="E3585" s="1"/>
      <c r="F3585" s="1" t="s">
        <v>206</v>
      </c>
      <c r="G3585">
        <v>2009</v>
      </c>
      <c r="H3585">
        <v>24180.55</v>
      </c>
      <c r="I3585">
        <v>3</v>
      </c>
      <c r="J3585" s="1" t="s">
        <v>416</v>
      </c>
      <c r="K3585">
        <v>0</v>
      </c>
      <c r="L3585">
        <v>247</v>
      </c>
      <c r="M3585">
        <v>97.857344999999995</v>
      </c>
      <c r="N3585">
        <v>2</v>
      </c>
      <c r="O3585" s="1" t="s">
        <v>569</v>
      </c>
      <c r="P3585">
        <v>24180.55</v>
      </c>
      <c r="Q3585">
        <v>11340.66</v>
      </c>
      <c r="R3585">
        <v>0</v>
      </c>
      <c r="S3585" s="1" t="s">
        <v>1101</v>
      </c>
      <c r="T3585" s="1" t="s">
        <v>1343</v>
      </c>
      <c r="U3585">
        <v>24180.542880000001</v>
      </c>
      <c r="V3585">
        <v>0</v>
      </c>
      <c r="W3585">
        <v>77183</v>
      </c>
    </row>
    <row r="3586" spans="1:23" x14ac:dyDescent="0.25">
      <c r="A3586" s="1" t="s">
        <v>38</v>
      </c>
      <c r="B3586" s="1"/>
      <c r="C3586" s="1" t="s">
        <v>206</v>
      </c>
      <c r="D3586">
        <v>10170</v>
      </c>
      <c r="E3586" s="1"/>
      <c r="F3586" s="1" t="s">
        <v>206</v>
      </c>
      <c r="G3586">
        <v>2008</v>
      </c>
      <c r="H3586">
        <v>21214.46</v>
      </c>
      <c r="I3586">
        <v>6</v>
      </c>
      <c r="J3586" s="1" t="s">
        <v>416</v>
      </c>
      <c r="K3586">
        <v>0</v>
      </c>
      <c r="L3586">
        <v>247</v>
      </c>
      <c r="M3586">
        <v>85.853742999999994</v>
      </c>
      <c r="N3586">
        <v>2</v>
      </c>
      <c r="O3586" s="1" t="s">
        <v>569</v>
      </c>
      <c r="P3586">
        <v>21214.46</v>
      </c>
      <c r="Q3586">
        <v>9949.6</v>
      </c>
      <c r="R3586">
        <v>0</v>
      </c>
      <c r="S3586" s="1" t="s">
        <v>1101</v>
      </c>
      <c r="T3586" s="1" t="s">
        <v>1343</v>
      </c>
      <c r="U3586">
        <v>21214.466039999999</v>
      </c>
      <c r="V3586">
        <v>0</v>
      </c>
      <c r="W3586">
        <v>77183</v>
      </c>
    </row>
    <row r="3587" spans="1:23" x14ac:dyDescent="0.25">
      <c r="A3587" s="1" t="s">
        <v>38</v>
      </c>
      <c r="B3587" s="1"/>
      <c r="C3587" s="1" t="s">
        <v>207</v>
      </c>
      <c r="D3587">
        <v>10202</v>
      </c>
      <c r="E3587" s="1"/>
      <c r="F3587" s="1" t="s">
        <v>207</v>
      </c>
      <c r="G3587">
        <v>2015</v>
      </c>
      <c r="H3587">
        <v>1122.96</v>
      </c>
      <c r="I3587">
        <v>5</v>
      </c>
      <c r="J3587" s="1" t="s">
        <v>416</v>
      </c>
      <c r="K3587">
        <v>0</v>
      </c>
      <c r="L3587">
        <v>123</v>
      </c>
      <c r="M3587">
        <v>9.1223390000000002</v>
      </c>
      <c r="N3587">
        <v>2</v>
      </c>
      <c r="O3587" s="1" t="s">
        <v>569</v>
      </c>
      <c r="P3587">
        <v>1122.96</v>
      </c>
      <c r="Q3587">
        <v>336.9</v>
      </c>
      <c r="R3587">
        <v>0</v>
      </c>
      <c r="S3587" s="1" t="s">
        <v>1102</v>
      </c>
      <c r="T3587" s="1" t="s">
        <v>1344</v>
      </c>
      <c r="U3587">
        <v>1122.9670000000001</v>
      </c>
      <c r="V3587">
        <v>0</v>
      </c>
      <c r="W3587">
        <v>77350</v>
      </c>
    </row>
    <row r="3588" spans="1:23" x14ac:dyDescent="0.25">
      <c r="A3588" s="1" t="s">
        <v>38</v>
      </c>
      <c r="B3588" s="1"/>
      <c r="C3588" s="1" t="s">
        <v>207</v>
      </c>
      <c r="D3588">
        <v>10202</v>
      </c>
      <c r="E3588" s="1"/>
      <c r="F3588" s="1" t="s">
        <v>207</v>
      </c>
      <c r="G3588">
        <v>2014</v>
      </c>
      <c r="H3588">
        <v>1665.01</v>
      </c>
      <c r="I3588">
        <v>12</v>
      </c>
      <c r="J3588" s="1" t="s">
        <v>416</v>
      </c>
      <c r="K3588">
        <v>0</v>
      </c>
      <c r="L3588">
        <v>123</v>
      </c>
      <c r="M3588">
        <v>13.52567</v>
      </c>
      <c r="N3588">
        <v>2</v>
      </c>
      <c r="O3588" s="1" t="s">
        <v>569</v>
      </c>
      <c r="P3588">
        <v>1665.01</v>
      </c>
      <c r="Q3588">
        <v>499.5</v>
      </c>
      <c r="R3588">
        <v>0</v>
      </c>
      <c r="S3588" s="1" t="s">
        <v>1102</v>
      </c>
      <c r="T3588" s="1" t="s">
        <v>1344</v>
      </c>
      <c r="U3588">
        <v>1664.9929999999999</v>
      </c>
      <c r="V3588">
        <v>0</v>
      </c>
      <c r="W3588">
        <v>77350</v>
      </c>
    </row>
    <row r="3589" spans="1:23" x14ac:dyDescent="0.25">
      <c r="A3589" s="1" t="s">
        <v>38</v>
      </c>
      <c r="B3589" s="1"/>
      <c r="C3589" s="1" t="s">
        <v>207</v>
      </c>
      <c r="D3589">
        <v>10202</v>
      </c>
      <c r="E3589" s="1"/>
      <c r="F3589" s="1" t="s">
        <v>207</v>
      </c>
      <c r="G3589">
        <v>2013</v>
      </c>
      <c r="H3589">
        <v>2835.17</v>
      </c>
      <c r="I3589">
        <v>12</v>
      </c>
      <c r="J3589" s="1" t="s">
        <v>416</v>
      </c>
      <c r="K3589">
        <v>0</v>
      </c>
      <c r="L3589">
        <v>123</v>
      </c>
      <c r="M3589">
        <v>23.031437</v>
      </c>
      <c r="N3589">
        <v>2</v>
      </c>
      <c r="O3589" s="1" t="s">
        <v>569</v>
      </c>
      <c r="P3589">
        <v>2835.17</v>
      </c>
      <c r="Q3589">
        <v>850.56</v>
      </c>
      <c r="R3589">
        <v>0</v>
      </c>
      <c r="S3589" s="1" t="s">
        <v>1102</v>
      </c>
      <c r="T3589" s="1" t="s">
        <v>1344</v>
      </c>
      <c r="U3589">
        <v>2835.1729999999998</v>
      </c>
      <c r="V3589">
        <v>0</v>
      </c>
      <c r="W3589">
        <v>77350</v>
      </c>
    </row>
    <row r="3590" spans="1:23" x14ac:dyDescent="0.25">
      <c r="A3590" s="1" t="s">
        <v>38</v>
      </c>
      <c r="B3590" s="1"/>
      <c r="C3590" s="1" t="s">
        <v>207</v>
      </c>
      <c r="D3590">
        <v>10202</v>
      </c>
      <c r="E3590" s="1"/>
      <c r="F3590" s="1" t="s">
        <v>207</v>
      </c>
      <c r="G3590">
        <v>2012</v>
      </c>
      <c r="H3590">
        <v>2082.44</v>
      </c>
      <c r="I3590">
        <v>12</v>
      </c>
      <c r="J3590" s="1" t="s">
        <v>416</v>
      </c>
      <c r="K3590">
        <v>0</v>
      </c>
      <c r="L3590">
        <v>123</v>
      </c>
      <c r="M3590">
        <v>16.916653</v>
      </c>
      <c r="N3590">
        <v>2</v>
      </c>
      <c r="O3590" s="1" t="s">
        <v>569</v>
      </c>
      <c r="P3590">
        <v>2082.44</v>
      </c>
      <c r="Q3590">
        <v>832.97</v>
      </c>
      <c r="R3590">
        <v>0</v>
      </c>
      <c r="S3590" s="1" t="s">
        <v>1102</v>
      </c>
      <c r="T3590" s="1" t="s">
        <v>1344</v>
      </c>
      <c r="U3590">
        <v>2082.4279999999999</v>
      </c>
      <c r="V3590">
        <v>0</v>
      </c>
      <c r="W3590">
        <v>77350</v>
      </c>
    </row>
    <row r="3591" spans="1:23" x14ac:dyDescent="0.25">
      <c r="A3591" s="1" t="s">
        <v>38</v>
      </c>
      <c r="B3591" s="1"/>
      <c r="C3591" s="1" t="s">
        <v>207</v>
      </c>
      <c r="D3591">
        <v>10202</v>
      </c>
      <c r="E3591" s="1"/>
      <c r="F3591" s="1" t="s">
        <v>207</v>
      </c>
      <c r="G3591">
        <v>2011</v>
      </c>
      <c r="H3591">
        <v>1890.7</v>
      </c>
      <c r="I3591">
        <v>12</v>
      </c>
      <c r="J3591" s="1" t="s">
        <v>416</v>
      </c>
      <c r="K3591">
        <v>0</v>
      </c>
      <c r="L3591">
        <v>123</v>
      </c>
      <c r="M3591">
        <v>15.359057</v>
      </c>
      <c r="N3591">
        <v>2</v>
      </c>
      <c r="O3591" s="1" t="s">
        <v>569</v>
      </c>
      <c r="P3591">
        <v>1890.7</v>
      </c>
      <c r="Q3591">
        <v>886.75</v>
      </c>
      <c r="R3591">
        <v>0</v>
      </c>
      <c r="S3591" s="1" t="s">
        <v>1102</v>
      </c>
      <c r="T3591" s="1" t="s">
        <v>1344</v>
      </c>
      <c r="U3591">
        <v>1890.7149999999999</v>
      </c>
      <c r="V3591">
        <v>0</v>
      </c>
      <c r="W3591">
        <v>77350</v>
      </c>
    </row>
    <row r="3592" spans="1:23" x14ac:dyDescent="0.25">
      <c r="A3592" s="1" t="s">
        <v>38</v>
      </c>
      <c r="B3592" s="1"/>
      <c r="C3592" s="1" t="s">
        <v>207</v>
      </c>
      <c r="D3592">
        <v>10202</v>
      </c>
      <c r="E3592" s="1"/>
      <c r="F3592" s="1" t="s">
        <v>207</v>
      </c>
      <c r="G3592">
        <v>2010</v>
      </c>
      <c r="H3592">
        <v>2110.15</v>
      </c>
      <c r="I3592">
        <v>8</v>
      </c>
      <c r="J3592" s="1" t="s">
        <v>416</v>
      </c>
      <c r="K3592">
        <v>0</v>
      </c>
      <c r="L3592">
        <v>123</v>
      </c>
      <c r="M3592">
        <v>17.141753999999999</v>
      </c>
      <c r="N3592">
        <v>2</v>
      </c>
      <c r="O3592" s="1" t="s">
        <v>569</v>
      </c>
      <c r="P3592">
        <v>2110.15</v>
      </c>
      <c r="Q3592">
        <v>989.66</v>
      </c>
      <c r="R3592">
        <v>0</v>
      </c>
      <c r="S3592" s="1" t="s">
        <v>1102</v>
      </c>
      <c r="T3592" s="1" t="s">
        <v>1344</v>
      </c>
      <c r="U3592">
        <v>2110.1451499999998</v>
      </c>
      <c r="V3592">
        <v>0</v>
      </c>
      <c r="W3592">
        <v>77350</v>
      </c>
    </row>
    <row r="3593" spans="1:23" x14ac:dyDescent="0.25">
      <c r="A3593" s="1" t="s">
        <v>38</v>
      </c>
      <c r="B3593" s="1"/>
      <c r="C3593" s="1" t="s">
        <v>207</v>
      </c>
      <c r="D3593">
        <v>10202</v>
      </c>
      <c r="E3593" s="1"/>
      <c r="F3593" s="1" t="s">
        <v>207</v>
      </c>
      <c r="G3593">
        <v>2009</v>
      </c>
      <c r="H3593">
        <v>2154.9</v>
      </c>
      <c r="I3593">
        <v>2</v>
      </c>
      <c r="J3593" s="1" t="s">
        <v>416</v>
      </c>
      <c r="K3593">
        <v>0</v>
      </c>
      <c r="L3593">
        <v>123</v>
      </c>
      <c r="M3593">
        <v>17.505279999999999</v>
      </c>
      <c r="N3593">
        <v>2</v>
      </c>
      <c r="O3593" s="1" t="s">
        <v>569</v>
      </c>
      <c r="P3593">
        <v>2154.9</v>
      </c>
      <c r="Q3593">
        <v>1010.66</v>
      </c>
      <c r="R3593">
        <v>0</v>
      </c>
      <c r="S3593" s="1" t="s">
        <v>1102</v>
      </c>
      <c r="T3593" s="1" t="s">
        <v>1344</v>
      </c>
      <c r="U3593">
        <v>2154.8693699999999</v>
      </c>
      <c r="V3593">
        <v>0</v>
      </c>
      <c r="W3593">
        <v>77350</v>
      </c>
    </row>
    <row r="3594" spans="1:23" x14ac:dyDescent="0.25">
      <c r="A3594" s="1" t="s">
        <v>38</v>
      </c>
      <c r="B3594" s="1"/>
      <c r="C3594" s="1" t="s">
        <v>207</v>
      </c>
      <c r="D3594">
        <v>10202</v>
      </c>
      <c r="E3594" s="1"/>
      <c r="F3594" s="1" t="s">
        <v>207</v>
      </c>
      <c r="G3594">
        <v>2008</v>
      </c>
      <c r="H3594">
        <v>1482</v>
      </c>
      <c r="I3594">
        <v>7</v>
      </c>
      <c r="J3594" s="1" t="s">
        <v>416</v>
      </c>
      <c r="K3594">
        <v>0</v>
      </c>
      <c r="L3594">
        <v>123</v>
      </c>
      <c r="M3594">
        <v>12.038992</v>
      </c>
      <c r="N3594">
        <v>2</v>
      </c>
      <c r="O3594" s="1" t="s">
        <v>569</v>
      </c>
      <c r="P3594">
        <v>1482</v>
      </c>
      <c r="Q3594">
        <v>695.04</v>
      </c>
      <c r="R3594">
        <v>0</v>
      </c>
      <c r="S3594" s="1" t="s">
        <v>1102</v>
      </c>
      <c r="T3594" s="1" t="s">
        <v>1344</v>
      </c>
      <c r="U3594">
        <v>1481.9829</v>
      </c>
      <c r="V3594">
        <v>0</v>
      </c>
      <c r="W3594">
        <v>77350</v>
      </c>
    </row>
    <row r="3595" spans="1:23" x14ac:dyDescent="0.25">
      <c r="A3595" s="1" t="s">
        <v>38</v>
      </c>
      <c r="B3595" s="1" t="s">
        <v>96</v>
      </c>
      <c r="C3595" s="1" t="s">
        <v>240</v>
      </c>
      <c r="D3595">
        <v>13663</v>
      </c>
      <c r="E3595" s="1" t="s">
        <v>243</v>
      </c>
      <c r="F3595" s="1" t="s">
        <v>388</v>
      </c>
      <c r="G3595">
        <v>2014</v>
      </c>
      <c r="H3595">
        <v>948.03</v>
      </c>
      <c r="I3595">
        <v>4</v>
      </c>
      <c r="J3595" s="1" t="s">
        <v>431</v>
      </c>
      <c r="K3595">
        <v>0</v>
      </c>
      <c r="L3595">
        <v>74</v>
      </c>
      <c r="M3595">
        <v>12.793927</v>
      </c>
      <c r="N3595">
        <v>2</v>
      </c>
      <c r="O3595" s="1" t="s">
        <v>569</v>
      </c>
      <c r="P3595">
        <v>948.03</v>
      </c>
      <c r="Q3595">
        <v>284.39999999999998</v>
      </c>
      <c r="R3595">
        <v>0</v>
      </c>
      <c r="S3595" s="1" t="s">
        <v>1103</v>
      </c>
      <c r="T3595" s="1" t="s">
        <v>1345</v>
      </c>
      <c r="U3595">
        <v>948.03615000000002</v>
      </c>
      <c r="V3595">
        <v>0</v>
      </c>
      <c r="W3595">
        <v>91253</v>
      </c>
    </row>
    <row r="3596" spans="1:23" x14ac:dyDescent="0.25">
      <c r="A3596" s="1" t="s">
        <v>38</v>
      </c>
      <c r="B3596" s="1" t="s">
        <v>96</v>
      </c>
      <c r="C3596" s="1" t="s">
        <v>240</v>
      </c>
      <c r="D3596">
        <v>13663</v>
      </c>
      <c r="E3596" s="1" t="s">
        <v>243</v>
      </c>
      <c r="F3596" s="1" t="s">
        <v>388</v>
      </c>
      <c r="G3596">
        <v>2013</v>
      </c>
      <c r="H3596">
        <v>825.97</v>
      </c>
      <c r="I3596">
        <v>4</v>
      </c>
      <c r="J3596" s="1" t="s">
        <v>431</v>
      </c>
      <c r="K3596">
        <v>0</v>
      </c>
      <c r="L3596">
        <v>74</v>
      </c>
      <c r="M3596">
        <v>11.146693000000001</v>
      </c>
      <c r="N3596">
        <v>2</v>
      </c>
      <c r="O3596" s="1" t="s">
        <v>569</v>
      </c>
      <c r="P3596">
        <v>825.97</v>
      </c>
      <c r="Q3596">
        <v>247.78</v>
      </c>
      <c r="R3596">
        <v>0</v>
      </c>
      <c r="S3596" s="1" t="s">
        <v>1103</v>
      </c>
      <c r="T3596" s="1" t="s">
        <v>1345</v>
      </c>
      <c r="U3596">
        <v>825.96384999999998</v>
      </c>
      <c r="V3596">
        <v>0</v>
      </c>
      <c r="W3596">
        <v>91253</v>
      </c>
    </row>
    <row r="3597" spans="1:23" x14ac:dyDescent="0.25">
      <c r="A3597" s="1" t="s">
        <v>39</v>
      </c>
      <c r="B3597" s="1" t="s">
        <v>83</v>
      </c>
      <c r="C3597" s="1" t="s">
        <v>208</v>
      </c>
      <c r="D3597">
        <v>6339</v>
      </c>
      <c r="E3597" s="1"/>
      <c r="F3597" s="1" t="s">
        <v>341</v>
      </c>
      <c r="G3597">
        <v>2015</v>
      </c>
      <c r="H3597">
        <v>0</v>
      </c>
      <c r="I3597">
        <v>5</v>
      </c>
      <c r="J3597" s="1" t="s">
        <v>421</v>
      </c>
      <c r="K3597">
        <v>0</v>
      </c>
      <c r="L3597">
        <v>0</v>
      </c>
      <c r="M3597">
        <v>0</v>
      </c>
      <c r="N3597">
        <v>3</v>
      </c>
      <c r="O3597" s="1" t="s">
        <v>560</v>
      </c>
      <c r="P3597">
        <v>0</v>
      </c>
      <c r="Q3597">
        <v>0</v>
      </c>
      <c r="R3597">
        <v>1</v>
      </c>
      <c r="S3597" s="1" t="s">
        <v>698</v>
      </c>
      <c r="T3597" s="1"/>
      <c r="U3597">
        <v>0</v>
      </c>
      <c r="V3597">
        <v>0</v>
      </c>
      <c r="W3597">
        <v>57739</v>
      </c>
    </row>
    <row r="3598" spans="1:23" x14ac:dyDescent="0.25">
      <c r="A3598" s="1" t="s">
        <v>39</v>
      </c>
      <c r="B3598" s="1" t="s">
        <v>83</v>
      </c>
      <c r="C3598" s="1" t="s">
        <v>208</v>
      </c>
      <c r="D3598">
        <v>6339</v>
      </c>
      <c r="E3598" s="1"/>
      <c r="F3598" s="1" t="s">
        <v>341</v>
      </c>
      <c r="G3598">
        <v>2014</v>
      </c>
      <c r="H3598">
        <v>9.01</v>
      </c>
      <c r="I3598">
        <v>12</v>
      </c>
      <c r="J3598" s="1" t="s">
        <v>421</v>
      </c>
      <c r="K3598">
        <v>0</v>
      </c>
      <c r="L3598">
        <v>0</v>
      </c>
      <c r="M3598">
        <v>90.1</v>
      </c>
      <c r="N3598">
        <v>3</v>
      </c>
      <c r="O3598" s="1" t="s">
        <v>560</v>
      </c>
      <c r="P3598">
        <v>9.01</v>
      </c>
      <c r="Q3598">
        <v>7.21</v>
      </c>
      <c r="R3598">
        <v>1</v>
      </c>
      <c r="S3598" s="1" t="s">
        <v>698</v>
      </c>
      <c r="T3598" s="1"/>
      <c r="U3598">
        <v>9</v>
      </c>
      <c r="V3598">
        <v>0</v>
      </c>
      <c r="W3598">
        <v>57739</v>
      </c>
    </row>
    <row r="3599" spans="1:23" x14ac:dyDescent="0.25">
      <c r="A3599" s="1" t="s">
        <v>39</v>
      </c>
      <c r="B3599" s="1" t="s">
        <v>83</v>
      </c>
      <c r="C3599" s="1" t="s">
        <v>208</v>
      </c>
      <c r="D3599">
        <v>6339</v>
      </c>
      <c r="E3599" s="1"/>
      <c r="F3599" s="1" t="s">
        <v>341</v>
      </c>
      <c r="G3599">
        <v>2013</v>
      </c>
      <c r="H3599">
        <v>5</v>
      </c>
      <c r="I3599">
        <v>11</v>
      </c>
      <c r="J3599" s="1" t="s">
        <v>421</v>
      </c>
      <c r="K3599">
        <v>0</v>
      </c>
      <c r="L3599">
        <v>0</v>
      </c>
      <c r="M3599">
        <v>50</v>
      </c>
      <c r="N3599">
        <v>3</v>
      </c>
      <c r="O3599" s="1" t="s">
        <v>560</v>
      </c>
      <c r="P3599">
        <v>5</v>
      </c>
      <c r="Q3599">
        <v>4.01</v>
      </c>
      <c r="R3599">
        <v>1</v>
      </c>
      <c r="S3599" s="1" t="s">
        <v>698</v>
      </c>
      <c r="T3599" s="1"/>
      <c r="U3599">
        <v>5</v>
      </c>
      <c r="V3599">
        <v>0</v>
      </c>
      <c r="W3599">
        <v>57739</v>
      </c>
    </row>
    <row r="3600" spans="1:23" x14ac:dyDescent="0.25">
      <c r="A3600" s="1" t="s">
        <v>39</v>
      </c>
      <c r="B3600" s="1" t="s">
        <v>83</v>
      </c>
      <c r="C3600" s="1" t="s">
        <v>208</v>
      </c>
      <c r="D3600">
        <v>6339</v>
      </c>
      <c r="E3600" s="1"/>
      <c r="F3600" s="1" t="s">
        <v>341</v>
      </c>
      <c r="G3600">
        <v>2012</v>
      </c>
      <c r="H3600">
        <v>31.01</v>
      </c>
      <c r="I3600">
        <v>13</v>
      </c>
      <c r="J3600" s="1" t="s">
        <v>421</v>
      </c>
      <c r="K3600">
        <v>0</v>
      </c>
      <c r="L3600">
        <v>0</v>
      </c>
      <c r="M3600">
        <v>310.10000000000002</v>
      </c>
      <c r="N3600">
        <v>3</v>
      </c>
      <c r="O3600" s="1" t="s">
        <v>560</v>
      </c>
      <c r="P3600">
        <v>31.01</v>
      </c>
      <c r="Q3600">
        <v>24.79</v>
      </c>
      <c r="R3600">
        <v>1</v>
      </c>
      <c r="S3600" s="1" t="s">
        <v>698</v>
      </c>
      <c r="T3600" s="1"/>
      <c r="U3600">
        <v>31</v>
      </c>
      <c r="V3600">
        <v>0</v>
      </c>
      <c r="W3600">
        <v>57739</v>
      </c>
    </row>
    <row r="3601" spans="1:23" x14ac:dyDescent="0.25">
      <c r="A3601" s="1" t="s">
        <v>39</v>
      </c>
      <c r="B3601" s="1" t="s">
        <v>83</v>
      </c>
      <c r="C3601" s="1" t="s">
        <v>208</v>
      </c>
      <c r="D3601">
        <v>6339</v>
      </c>
      <c r="E3601" s="1"/>
      <c r="F3601" s="1" t="s">
        <v>341</v>
      </c>
      <c r="G3601">
        <v>2011</v>
      </c>
      <c r="H3601">
        <v>8</v>
      </c>
      <c r="I3601">
        <v>12</v>
      </c>
      <c r="J3601" s="1" t="s">
        <v>421</v>
      </c>
      <c r="K3601">
        <v>0</v>
      </c>
      <c r="L3601">
        <v>0</v>
      </c>
      <c r="M3601">
        <v>80</v>
      </c>
      <c r="N3601">
        <v>3</v>
      </c>
      <c r="O3601" s="1" t="s">
        <v>560</v>
      </c>
      <c r="P3601">
        <v>8</v>
      </c>
      <c r="Q3601">
        <v>6.41</v>
      </c>
      <c r="R3601">
        <v>1</v>
      </c>
      <c r="S3601" s="1" t="s">
        <v>698</v>
      </c>
      <c r="T3601" s="1"/>
      <c r="U3601">
        <v>8</v>
      </c>
      <c r="V3601">
        <v>0</v>
      </c>
      <c r="W3601">
        <v>57739</v>
      </c>
    </row>
    <row r="3602" spans="1:23" x14ac:dyDescent="0.25">
      <c r="A3602" s="1" t="s">
        <v>39</v>
      </c>
      <c r="B3602" s="1" t="s">
        <v>83</v>
      </c>
      <c r="C3602" s="1" t="s">
        <v>208</v>
      </c>
      <c r="D3602">
        <v>6339</v>
      </c>
      <c r="E3602" s="1"/>
      <c r="F3602" s="1" t="s">
        <v>341</v>
      </c>
      <c r="G3602">
        <v>2010</v>
      </c>
      <c r="H3602">
        <v>5</v>
      </c>
      <c r="I3602">
        <v>12</v>
      </c>
      <c r="J3602" s="1" t="s">
        <v>421</v>
      </c>
      <c r="K3602">
        <v>0</v>
      </c>
      <c r="L3602">
        <v>0</v>
      </c>
      <c r="M3602">
        <v>50</v>
      </c>
      <c r="N3602">
        <v>3</v>
      </c>
      <c r="O3602" s="1" t="s">
        <v>560</v>
      </c>
      <c r="P3602">
        <v>5</v>
      </c>
      <c r="Q3602">
        <v>4</v>
      </c>
      <c r="R3602">
        <v>1</v>
      </c>
      <c r="S3602" s="1" t="s">
        <v>698</v>
      </c>
      <c r="T3602" s="1"/>
      <c r="U3602">
        <v>5</v>
      </c>
      <c r="V3602">
        <v>0</v>
      </c>
      <c r="W3602">
        <v>57739</v>
      </c>
    </row>
    <row r="3603" spans="1:23" x14ac:dyDescent="0.25">
      <c r="A3603" s="1" t="s">
        <v>39</v>
      </c>
      <c r="B3603" s="1" t="s">
        <v>83</v>
      </c>
      <c r="C3603" s="1" t="s">
        <v>208</v>
      </c>
      <c r="D3603">
        <v>6339</v>
      </c>
      <c r="E3603" s="1"/>
      <c r="F3603" s="1" t="s">
        <v>341</v>
      </c>
      <c r="G3603">
        <v>2009</v>
      </c>
      <c r="H3603">
        <v>10</v>
      </c>
      <c r="I3603">
        <v>12</v>
      </c>
      <c r="J3603" s="1" t="s">
        <v>421</v>
      </c>
      <c r="K3603">
        <v>0</v>
      </c>
      <c r="L3603">
        <v>0</v>
      </c>
      <c r="M3603">
        <v>100</v>
      </c>
      <c r="N3603">
        <v>3</v>
      </c>
      <c r="O3603" s="1" t="s">
        <v>560</v>
      </c>
      <c r="P3603">
        <v>10</v>
      </c>
      <c r="Q3603">
        <v>8</v>
      </c>
      <c r="R3603">
        <v>1</v>
      </c>
      <c r="S3603" s="1" t="s">
        <v>698</v>
      </c>
      <c r="T3603" s="1"/>
      <c r="U3603">
        <v>10</v>
      </c>
      <c r="V3603">
        <v>0</v>
      </c>
      <c r="W3603">
        <v>57739</v>
      </c>
    </row>
    <row r="3604" spans="1:23" x14ac:dyDescent="0.25">
      <c r="A3604" s="1" t="s">
        <v>39</v>
      </c>
      <c r="B3604" s="1" t="s">
        <v>83</v>
      </c>
      <c r="C3604" s="1" t="s">
        <v>208</v>
      </c>
      <c r="D3604">
        <v>6339</v>
      </c>
      <c r="E3604" s="1"/>
      <c r="F3604" s="1" t="s">
        <v>341</v>
      </c>
      <c r="G3604">
        <v>2008</v>
      </c>
      <c r="H3604">
        <v>17</v>
      </c>
      <c r="I3604">
        <v>12</v>
      </c>
      <c r="J3604" s="1" t="s">
        <v>421</v>
      </c>
      <c r="K3604">
        <v>0</v>
      </c>
      <c r="L3604">
        <v>0</v>
      </c>
      <c r="M3604">
        <v>170</v>
      </c>
      <c r="N3604">
        <v>3</v>
      </c>
      <c r="O3604" s="1" t="s">
        <v>560</v>
      </c>
      <c r="P3604">
        <v>17</v>
      </c>
      <c r="Q3604">
        <v>13.61</v>
      </c>
      <c r="R3604">
        <v>1</v>
      </c>
      <c r="S3604" s="1" t="s">
        <v>698</v>
      </c>
      <c r="T3604" s="1"/>
      <c r="U3604">
        <v>17</v>
      </c>
      <c r="V3604">
        <v>0</v>
      </c>
      <c r="W3604">
        <v>57739</v>
      </c>
    </row>
    <row r="3605" spans="1:23" x14ac:dyDescent="0.25">
      <c r="A3605" s="1" t="s">
        <v>39</v>
      </c>
      <c r="B3605" s="1" t="s">
        <v>83</v>
      </c>
      <c r="C3605" s="1" t="s">
        <v>208</v>
      </c>
      <c r="D3605">
        <v>5452</v>
      </c>
      <c r="E3605" s="1"/>
      <c r="F3605" s="1" t="s">
        <v>342</v>
      </c>
      <c r="G3605">
        <v>2015</v>
      </c>
      <c r="H3605">
        <v>1809.34</v>
      </c>
      <c r="I3605">
        <v>5</v>
      </c>
      <c r="J3605" s="1" t="s">
        <v>402</v>
      </c>
      <c r="K3605">
        <v>0</v>
      </c>
      <c r="L3605">
        <v>0</v>
      </c>
      <c r="M3605">
        <v>18093.400000000001</v>
      </c>
      <c r="N3605">
        <v>3</v>
      </c>
      <c r="O3605" s="1" t="s">
        <v>560</v>
      </c>
      <c r="P3605">
        <v>1809.34</v>
      </c>
      <c r="Q3605">
        <v>0</v>
      </c>
      <c r="R3605">
        <v>1</v>
      </c>
      <c r="S3605" s="1" t="s">
        <v>699</v>
      </c>
      <c r="T3605" s="1"/>
      <c r="U3605">
        <v>1809.34</v>
      </c>
      <c r="V3605">
        <v>0</v>
      </c>
      <c r="W3605">
        <v>57547</v>
      </c>
    </row>
    <row r="3606" spans="1:23" x14ac:dyDescent="0.25">
      <c r="A3606" s="1" t="s">
        <v>39</v>
      </c>
      <c r="B3606" s="1" t="s">
        <v>83</v>
      </c>
      <c r="C3606" s="1" t="s">
        <v>208</v>
      </c>
      <c r="D3606">
        <v>5452</v>
      </c>
      <c r="E3606" s="1"/>
      <c r="F3606" s="1" t="s">
        <v>342</v>
      </c>
      <c r="G3606">
        <v>2015</v>
      </c>
      <c r="H3606">
        <v>72.25</v>
      </c>
      <c r="I3606">
        <v>5</v>
      </c>
      <c r="J3606" s="1" t="s">
        <v>421</v>
      </c>
      <c r="K3606">
        <v>0</v>
      </c>
      <c r="L3606">
        <v>0</v>
      </c>
      <c r="M3606">
        <v>722.5</v>
      </c>
      <c r="N3606">
        <v>3</v>
      </c>
      <c r="O3606" s="1" t="s">
        <v>560</v>
      </c>
      <c r="P3606">
        <v>72.25</v>
      </c>
      <c r="Q3606">
        <v>57.8</v>
      </c>
      <c r="R3606">
        <v>1</v>
      </c>
      <c r="S3606" s="1" t="s">
        <v>700</v>
      </c>
      <c r="T3606" s="1"/>
      <c r="U3606">
        <v>72.250010000000003</v>
      </c>
      <c r="V3606">
        <v>0</v>
      </c>
      <c r="W3606">
        <v>57740</v>
      </c>
    </row>
    <row r="3607" spans="1:23" x14ac:dyDescent="0.25">
      <c r="A3607" s="1" t="s">
        <v>39</v>
      </c>
      <c r="B3607" s="1" t="s">
        <v>83</v>
      </c>
      <c r="C3607" s="1" t="s">
        <v>208</v>
      </c>
      <c r="D3607">
        <v>5452</v>
      </c>
      <c r="E3607" s="1"/>
      <c r="F3607" s="1" t="s">
        <v>342</v>
      </c>
      <c r="G3607">
        <v>2015</v>
      </c>
      <c r="H3607">
        <v>163.44</v>
      </c>
      <c r="I3607">
        <v>5</v>
      </c>
      <c r="J3607" s="1" t="s">
        <v>421</v>
      </c>
      <c r="K3607">
        <v>0</v>
      </c>
      <c r="L3607">
        <v>0</v>
      </c>
      <c r="M3607">
        <v>1634.4</v>
      </c>
      <c r="N3607">
        <v>3</v>
      </c>
      <c r="O3607" s="1" t="s">
        <v>560</v>
      </c>
      <c r="P3607">
        <v>163.44</v>
      </c>
      <c r="Q3607">
        <v>130.75</v>
      </c>
      <c r="R3607">
        <v>1</v>
      </c>
      <c r="S3607" s="1" t="s">
        <v>701</v>
      </c>
      <c r="T3607" s="1"/>
      <c r="U3607">
        <v>163.43751</v>
      </c>
      <c r="V3607">
        <v>0</v>
      </c>
      <c r="W3607">
        <v>57741</v>
      </c>
    </row>
    <row r="3608" spans="1:23" x14ac:dyDescent="0.25">
      <c r="A3608" s="1" t="s">
        <v>39</v>
      </c>
      <c r="B3608" s="1" t="s">
        <v>83</v>
      </c>
      <c r="C3608" s="1" t="s">
        <v>208</v>
      </c>
      <c r="D3608">
        <v>5452</v>
      </c>
      <c r="E3608" s="1"/>
      <c r="F3608" s="1" t="s">
        <v>342</v>
      </c>
      <c r="G3608">
        <v>2015</v>
      </c>
      <c r="H3608">
        <v>208.72</v>
      </c>
      <c r="I3608">
        <v>5</v>
      </c>
      <c r="J3608" s="1" t="s">
        <v>421</v>
      </c>
      <c r="K3608">
        <v>0</v>
      </c>
      <c r="L3608">
        <v>0</v>
      </c>
      <c r="M3608">
        <v>2087.1999999999998</v>
      </c>
      <c r="N3608">
        <v>3</v>
      </c>
      <c r="O3608" s="1" t="s">
        <v>560</v>
      </c>
      <c r="P3608">
        <v>208.72</v>
      </c>
      <c r="Q3608">
        <v>166.97</v>
      </c>
      <c r="R3608">
        <v>1</v>
      </c>
      <c r="S3608" s="1" t="s">
        <v>702</v>
      </c>
      <c r="T3608" s="1"/>
      <c r="U3608">
        <v>208.71875</v>
      </c>
      <c r="V3608">
        <v>0</v>
      </c>
      <c r="W3608">
        <v>57742</v>
      </c>
    </row>
    <row r="3609" spans="1:23" x14ac:dyDescent="0.25">
      <c r="A3609" s="1" t="s">
        <v>39</v>
      </c>
      <c r="B3609" s="1" t="s">
        <v>83</v>
      </c>
      <c r="C3609" s="1" t="s">
        <v>208</v>
      </c>
      <c r="D3609">
        <v>5452</v>
      </c>
      <c r="E3609" s="1"/>
      <c r="F3609" s="1" t="s">
        <v>342</v>
      </c>
      <c r="G3609">
        <v>2015</v>
      </c>
      <c r="H3609">
        <v>285.22000000000003</v>
      </c>
      <c r="I3609">
        <v>5</v>
      </c>
      <c r="J3609" s="1" t="s">
        <v>421</v>
      </c>
      <c r="K3609">
        <v>0</v>
      </c>
      <c r="L3609">
        <v>0</v>
      </c>
      <c r="M3609">
        <v>2852.2</v>
      </c>
      <c r="N3609">
        <v>3</v>
      </c>
      <c r="O3609" s="1" t="s">
        <v>560</v>
      </c>
      <c r="P3609">
        <v>285.22000000000003</v>
      </c>
      <c r="Q3609">
        <v>228.18</v>
      </c>
      <c r="R3609">
        <v>1</v>
      </c>
      <c r="S3609" s="1" t="s">
        <v>703</v>
      </c>
      <c r="T3609" s="1"/>
      <c r="U3609">
        <v>285.21875</v>
      </c>
      <c r="V3609">
        <v>0</v>
      </c>
      <c r="W3609">
        <v>57745</v>
      </c>
    </row>
    <row r="3610" spans="1:23" x14ac:dyDescent="0.25">
      <c r="A3610" s="1" t="s">
        <v>39</v>
      </c>
      <c r="B3610" s="1" t="s">
        <v>83</v>
      </c>
      <c r="C3610" s="1" t="s">
        <v>208</v>
      </c>
      <c r="D3610">
        <v>5452</v>
      </c>
      <c r="E3610" s="1"/>
      <c r="F3610" s="1" t="s">
        <v>342</v>
      </c>
      <c r="G3610">
        <v>2014</v>
      </c>
      <c r="H3610">
        <v>3927.85</v>
      </c>
      <c r="I3610">
        <v>12</v>
      </c>
      <c r="J3610" s="1" t="s">
        <v>402</v>
      </c>
      <c r="K3610">
        <v>0</v>
      </c>
      <c r="L3610">
        <v>0</v>
      </c>
      <c r="M3610">
        <v>39278.5</v>
      </c>
      <c r="N3610">
        <v>3</v>
      </c>
      <c r="O3610" s="1" t="s">
        <v>560</v>
      </c>
      <c r="P3610">
        <v>3927.85</v>
      </c>
      <c r="Q3610">
        <v>0</v>
      </c>
      <c r="R3610">
        <v>1</v>
      </c>
      <c r="S3610" s="1" t="s">
        <v>699</v>
      </c>
      <c r="T3610" s="1"/>
      <c r="U3610">
        <v>3927.85</v>
      </c>
      <c r="V3610">
        <v>0</v>
      </c>
      <c r="W3610">
        <v>57547</v>
      </c>
    </row>
    <row r="3611" spans="1:23" x14ac:dyDescent="0.25">
      <c r="A3611" s="1" t="s">
        <v>39</v>
      </c>
      <c r="B3611" s="1" t="s">
        <v>83</v>
      </c>
      <c r="C3611" s="1" t="s">
        <v>208</v>
      </c>
      <c r="D3611">
        <v>5452</v>
      </c>
      <c r="E3611" s="1"/>
      <c r="F3611" s="1" t="s">
        <v>342</v>
      </c>
      <c r="G3611">
        <v>2014</v>
      </c>
      <c r="H3611">
        <v>0</v>
      </c>
      <c r="I3611">
        <v>11</v>
      </c>
      <c r="J3611" s="1" t="s">
        <v>452</v>
      </c>
      <c r="K3611">
        <v>0</v>
      </c>
      <c r="L3611">
        <v>0</v>
      </c>
      <c r="M3611">
        <v>0</v>
      </c>
      <c r="N3611">
        <v>3</v>
      </c>
      <c r="O3611" s="1" t="s">
        <v>560</v>
      </c>
      <c r="P3611">
        <v>0</v>
      </c>
      <c r="Q3611">
        <v>0</v>
      </c>
      <c r="R3611">
        <v>1</v>
      </c>
      <c r="S3611" s="1" t="s">
        <v>704</v>
      </c>
      <c r="T3611" s="1"/>
      <c r="U3611">
        <v>0</v>
      </c>
      <c r="V3611">
        <v>0</v>
      </c>
      <c r="W3611">
        <v>57738</v>
      </c>
    </row>
    <row r="3612" spans="1:23" x14ac:dyDescent="0.25">
      <c r="A3612" s="1" t="s">
        <v>39</v>
      </c>
      <c r="B3612" s="1" t="s">
        <v>83</v>
      </c>
      <c r="C3612" s="1" t="s">
        <v>208</v>
      </c>
      <c r="D3612">
        <v>5452</v>
      </c>
      <c r="E3612" s="1"/>
      <c r="F3612" s="1" t="s">
        <v>342</v>
      </c>
      <c r="G3612">
        <v>2014</v>
      </c>
      <c r="H3612">
        <v>235.49</v>
      </c>
      <c r="I3612">
        <v>12</v>
      </c>
      <c r="J3612" s="1" t="s">
        <v>421</v>
      </c>
      <c r="K3612">
        <v>0</v>
      </c>
      <c r="L3612">
        <v>0</v>
      </c>
      <c r="M3612">
        <v>2354.9</v>
      </c>
      <c r="N3612">
        <v>3</v>
      </c>
      <c r="O3612" s="1" t="s">
        <v>560</v>
      </c>
      <c r="P3612">
        <v>235.49</v>
      </c>
      <c r="Q3612">
        <v>188.4</v>
      </c>
      <c r="R3612">
        <v>1</v>
      </c>
      <c r="S3612" s="1" t="s">
        <v>700</v>
      </c>
      <c r="T3612" s="1"/>
      <c r="U3612">
        <v>235.49193</v>
      </c>
      <c r="V3612">
        <v>0</v>
      </c>
      <c r="W3612">
        <v>57740</v>
      </c>
    </row>
    <row r="3613" spans="1:23" x14ac:dyDescent="0.25">
      <c r="A3613" s="1" t="s">
        <v>39</v>
      </c>
      <c r="B3613" s="1" t="s">
        <v>83</v>
      </c>
      <c r="C3613" s="1" t="s">
        <v>208</v>
      </c>
      <c r="D3613">
        <v>5452</v>
      </c>
      <c r="E3613" s="1"/>
      <c r="F3613" s="1" t="s">
        <v>342</v>
      </c>
      <c r="G3613">
        <v>2014</v>
      </c>
      <c r="H3613">
        <v>551.02</v>
      </c>
      <c r="I3613">
        <v>12</v>
      </c>
      <c r="J3613" s="1" t="s">
        <v>421</v>
      </c>
      <c r="K3613">
        <v>0</v>
      </c>
      <c r="L3613">
        <v>0</v>
      </c>
      <c r="M3613">
        <v>5510.2</v>
      </c>
      <c r="N3613">
        <v>3</v>
      </c>
      <c r="O3613" s="1" t="s">
        <v>560</v>
      </c>
      <c r="P3613">
        <v>551.02</v>
      </c>
      <c r="Q3613">
        <v>440.8</v>
      </c>
      <c r="R3613">
        <v>1</v>
      </c>
      <c r="S3613" s="1" t="s">
        <v>701</v>
      </c>
      <c r="T3613" s="1"/>
      <c r="U3613">
        <v>551.01412000000005</v>
      </c>
      <c r="V3613">
        <v>0</v>
      </c>
      <c r="W3613">
        <v>57741</v>
      </c>
    </row>
    <row r="3614" spans="1:23" x14ac:dyDescent="0.25">
      <c r="A3614" s="1" t="s">
        <v>39</v>
      </c>
      <c r="B3614" s="1" t="s">
        <v>83</v>
      </c>
      <c r="C3614" s="1" t="s">
        <v>208</v>
      </c>
      <c r="D3614">
        <v>5452</v>
      </c>
      <c r="E3614" s="1"/>
      <c r="F3614" s="1" t="s">
        <v>342</v>
      </c>
      <c r="G3614">
        <v>2014</v>
      </c>
      <c r="H3614">
        <v>732.86</v>
      </c>
      <c r="I3614">
        <v>12</v>
      </c>
      <c r="J3614" s="1" t="s">
        <v>421</v>
      </c>
      <c r="K3614">
        <v>0</v>
      </c>
      <c r="L3614">
        <v>0</v>
      </c>
      <c r="M3614">
        <v>7328.6</v>
      </c>
      <c r="N3614">
        <v>3</v>
      </c>
      <c r="O3614" s="1" t="s">
        <v>560</v>
      </c>
      <c r="P3614">
        <v>732.86</v>
      </c>
      <c r="Q3614">
        <v>586.29999999999995</v>
      </c>
      <c r="R3614">
        <v>1</v>
      </c>
      <c r="S3614" s="1" t="s">
        <v>702</v>
      </c>
      <c r="T3614" s="1"/>
      <c r="U3614">
        <v>732.86189000000002</v>
      </c>
      <c r="V3614">
        <v>0</v>
      </c>
      <c r="W3614">
        <v>57742</v>
      </c>
    </row>
    <row r="3615" spans="1:23" x14ac:dyDescent="0.25">
      <c r="A3615" s="1" t="s">
        <v>39</v>
      </c>
      <c r="B3615" s="1" t="s">
        <v>83</v>
      </c>
      <c r="C3615" s="1" t="s">
        <v>208</v>
      </c>
      <c r="D3615">
        <v>5452</v>
      </c>
      <c r="E3615" s="1"/>
      <c r="F3615" s="1" t="s">
        <v>342</v>
      </c>
      <c r="G3615">
        <v>2014</v>
      </c>
      <c r="H3615">
        <v>1857.46</v>
      </c>
      <c r="I3615">
        <v>12</v>
      </c>
      <c r="J3615" s="1" t="s">
        <v>421</v>
      </c>
      <c r="K3615">
        <v>0</v>
      </c>
      <c r="L3615">
        <v>0</v>
      </c>
      <c r="M3615">
        <v>18574.599999999999</v>
      </c>
      <c r="N3615">
        <v>3</v>
      </c>
      <c r="O3615" s="1" t="s">
        <v>560</v>
      </c>
      <c r="P3615">
        <v>1857.46</v>
      </c>
      <c r="Q3615">
        <v>1485.97</v>
      </c>
      <c r="R3615">
        <v>1</v>
      </c>
      <c r="S3615" s="1" t="s">
        <v>703</v>
      </c>
      <c r="T3615" s="1"/>
      <c r="U3615">
        <v>1857.45868</v>
      </c>
      <c r="V3615">
        <v>0</v>
      </c>
      <c r="W3615">
        <v>57745</v>
      </c>
    </row>
    <row r="3616" spans="1:23" x14ac:dyDescent="0.25">
      <c r="A3616" s="1" t="s">
        <v>39</v>
      </c>
      <c r="B3616" s="1" t="s">
        <v>83</v>
      </c>
      <c r="C3616" s="1" t="s">
        <v>208</v>
      </c>
      <c r="D3616">
        <v>5452</v>
      </c>
      <c r="E3616" s="1"/>
      <c r="F3616" s="1" t="s">
        <v>342</v>
      </c>
      <c r="G3616">
        <v>2013</v>
      </c>
      <c r="H3616">
        <v>4163.13</v>
      </c>
      <c r="I3616">
        <v>12</v>
      </c>
      <c r="J3616" s="1" t="s">
        <v>402</v>
      </c>
      <c r="K3616">
        <v>0</v>
      </c>
      <c r="L3616">
        <v>0</v>
      </c>
      <c r="M3616">
        <v>41631.300000000003</v>
      </c>
      <c r="N3616">
        <v>3</v>
      </c>
      <c r="O3616" s="1" t="s">
        <v>560</v>
      </c>
      <c r="P3616">
        <v>4163.13</v>
      </c>
      <c r="Q3616">
        <v>0</v>
      </c>
      <c r="R3616">
        <v>1</v>
      </c>
      <c r="S3616" s="1" t="s">
        <v>699</v>
      </c>
      <c r="T3616" s="1"/>
      <c r="U3616">
        <v>4163.13</v>
      </c>
      <c r="V3616">
        <v>0</v>
      </c>
      <c r="W3616">
        <v>57547</v>
      </c>
    </row>
    <row r="3617" spans="1:23" x14ac:dyDescent="0.25">
      <c r="A3617" s="1" t="s">
        <v>39</v>
      </c>
      <c r="B3617" s="1" t="s">
        <v>83</v>
      </c>
      <c r="C3617" s="1" t="s">
        <v>208</v>
      </c>
      <c r="D3617">
        <v>5452</v>
      </c>
      <c r="E3617" s="1"/>
      <c r="F3617" s="1" t="s">
        <v>342</v>
      </c>
      <c r="G3617">
        <v>2013</v>
      </c>
      <c r="H3617">
        <v>0</v>
      </c>
      <c r="I3617">
        <v>11</v>
      </c>
      <c r="J3617" s="1" t="s">
        <v>452</v>
      </c>
      <c r="K3617">
        <v>0</v>
      </c>
      <c r="L3617">
        <v>0</v>
      </c>
      <c r="M3617">
        <v>0</v>
      </c>
      <c r="N3617">
        <v>3</v>
      </c>
      <c r="O3617" s="1" t="s">
        <v>560</v>
      </c>
      <c r="P3617">
        <v>0</v>
      </c>
      <c r="Q3617">
        <v>0</v>
      </c>
      <c r="R3617">
        <v>1</v>
      </c>
      <c r="S3617" s="1" t="s">
        <v>704</v>
      </c>
      <c r="T3617" s="1"/>
      <c r="U3617">
        <v>0</v>
      </c>
      <c r="V3617">
        <v>0</v>
      </c>
      <c r="W3617">
        <v>57738</v>
      </c>
    </row>
    <row r="3618" spans="1:23" x14ac:dyDescent="0.25">
      <c r="A3618" s="1" t="s">
        <v>39</v>
      </c>
      <c r="B3618" s="1" t="s">
        <v>83</v>
      </c>
      <c r="C3618" s="1" t="s">
        <v>208</v>
      </c>
      <c r="D3618">
        <v>5452</v>
      </c>
      <c r="E3618" s="1"/>
      <c r="F3618" s="1" t="s">
        <v>342</v>
      </c>
      <c r="G3618">
        <v>2013</v>
      </c>
      <c r="H3618">
        <v>371.14</v>
      </c>
      <c r="I3618">
        <v>11</v>
      </c>
      <c r="J3618" s="1" t="s">
        <v>421</v>
      </c>
      <c r="K3618">
        <v>0</v>
      </c>
      <c r="L3618">
        <v>0</v>
      </c>
      <c r="M3618">
        <v>3711.4</v>
      </c>
      <c r="N3618">
        <v>3</v>
      </c>
      <c r="O3618" s="1" t="s">
        <v>560</v>
      </c>
      <c r="P3618">
        <v>371.14</v>
      </c>
      <c r="Q3618">
        <v>296.91000000000003</v>
      </c>
      <c r="R3618">
        <v>1</v>
      </c>
      <c r="S3618" s="1" t="s">
        <v>700</v>
      </c>
      <c r="T3618" s="1"/>
      <c r="U3618">
        <v>371.13686000000001</v>
      </c>
      <c r="V3618">
        <v>0</v>
      </c>
      <c r="W3618">
        <v>57740</v>
      </c>
    </row>
    <row r="3619" spans="1:23" x14ac:dyDescent="0.25">
      <c r="A3619" s="1" t="s">
        <v>39</v>
      </c>
      <c r="B3619" s="1" t="s">
        <v>83</v>
      </c>
      <c r="C3619" s="1" t="s">
        <v>208</v>
      </c>
      <c r="D3619">
        <v>5452</v>
      </c>
      <c r="E3619" s="1"/>
      <c r="F3619" s="1" t="s">
        <v>342</v>
      </c>
      <c r="G3619">
        <v>2013</v>
      </c>
      <c r="H3619">
        <v>515.73</v>
      </c>
      <c r="I3619">
        <v>11</v>
      </c>
      <c r="J3619" s="1" t="s">
        <v>421</v>
      </c>
      <c r="K3619">
        <v>0</v>
      </c>
      <c r="L3619">
        <v>0</v>
      </c>
      <c r="M3619">
        <v>5157.3</v>
      </c>
      <c r="N3619">
        <v>3</v>
      </c>
      <c r="O3619" s="1" t="s">
        <v>560</v>
      </c>
      <c r="P3619">
        <v>515.73</v>
      </c>
      <c r="Q3619">
        <v>412.59</v>
      </c>
      <c r="R3619">
        <v>1</v>
      </c>
      <c r="S3619" s="1" t="s">
        <v>701</v>
      </c>
      <c r="T3619" s="1"/>
      <c r="U3619">
        <v>515.73022000000003</v>
      </c>
      <c r="V3619">
        <v>0</v>
      </c>
      <c r="W3619">
        <v>57741</v>
      </c>
    </row>
    <row r="3620" spans="1:23" x14ac:dyDescent="0.25">
      <c r="A3620" s="1" t="s">
        <v>39</v>
      </c>
      <c r="B3620" s="1" t="s">
        <v>83</v>
      </c>
      <c r="C3620" s="1" t="s">
        <v>208</v>
      </c>
      <c r="D3620">
        <v>5452</v>
      </c>
      <c r="E3620" s="1"/>
      <c r="F3620" s="1" t="s">
        <v>342</v>
      </c>
      <c r="G3620">
        <v>2013</v>
      </c>
      <c r="H3620">
        <v>700.48</v>
      </c>
      <c r="I3620">
        <v>11</v>
      </c>
      <c r="J3620" s="1" t="s">
        <v>421</v>
      </c>
      <c r="K3620">
        <v>0</v>
      </c>
      <c r="L3620">
        <v>0</v>
      </c>
      <c r="M3620">
        <v>7004.8</v>
      </c>
      <c r="N3620">
        <v>3</v>
      </c>
      <c r="O3620" s="1" t="s">
        <v>560</v>
      </c>
      <c r="P3620">
        <v>700.48</v>
      </c>
      <c r="Q3620">
        <v>560.4</v>
      </c>
      <c r="R3620">
        <v>1</v>
      </c>
      <c r="S3620" s="1" t="s">
        <v>702</v>
      </c>
      <c r="T3620" s="1"/>
      <c r="U3620">
        <v>700.47995000000003</v>
      </c>
      <c r="V3620">
        <v>0</v>
      </c>
      <c r="W3620">
        <v>57742</v>
      </c>
    </row>
    <row r="3621" spans="1:23" x14ac:dyDescent="0.25">
      <c r="A3621" s="1" t="s">
        <v>39</v>
      </c>
      <c r="B3621" s="1" t="s">
        <v>83</v>
      </c>
      <c r="C3621" s="1" t="s">
        <v>208</v>
      </c>
      <c r="D3621">
        <v>5452</v>
      </c>
      <c r="E3621" s="1"/>
      <c r="F3621" s="1" t="s">
        <v>342</v>
      </c>
      <c r="G3621">
        <v>2013</v>
      </c>
      <c r="H3621">
        <v>708.84</v>
      </c>
      <c r="I3621">
        <v>11</v>
      </c>
      <c r="J3621" s="1" t="s">
        <v>421</v>
      </c>
      <c r="K3621">
        <v>0</v>
      </c>
      <c r="L3621">
        <v>0</v>
      </c>
      <c r="M3621">
        <v>7088.4</v>
      </c>
      <c r="N3621">
        <v>3</v>
      </c>
      <c r="O3621" s="1" t="s">
        <v>560</v>
      </c>
      <c r="P3621">
        <v>708.84</v>
      </c>
      <c r="Q3621">
        <v>567.08000000000004</v>
      </c>
      <c r="R3621">
        <v>1</v>
      </c>
      <c r="S3621" s="1" t="s">
        <v>703</v>
      </c>
      <c r="T3621" s="1"/>
      <c r="U3621">
        <v>708.83772999999997</v>
      </c>
      <c r="V3621">
        <v>0</v>
      </c>
      <c r="W3621">
        <v>57745</v>
      </c>
    </row>
    <row r="3622" spans="1:23" x14ac:dyDescent="0.25">
      <c r="A3622" s="1" t="s">
        <v>39</v>
      </c>
      <c r="B3622" s="1" t="s">
        <v>83</v>
      </c>
      <c r="C3622" s="1" t="s">
        <v>208</v>
      </c>
      <c r="D3622">
        <v>5452</v>
      </c>
      <c r="E3622" s="1"/>
      <c r="F3622" s="1" t="s">
        <v>342</v>
      </c>
      <c r="G3622">
        <v>2012</v>
      </c>
      <c r="H3622">
        <v>4099.18</v>
      </c>
      <c r="I3622">
        <v>12</v>
      </c>
      <c r="J3622" s="1" t="s">
        <v>402</v>
      </c>
      <c r="K3622">
        <v>0</v>
      </c>
      <c r="L3622">
        <v>0</v>
      </c>
      <c r="M3622">
        <v>40991.800000000003</v>
      </c>
      <c r="N3622">
        <v>3</v>
      </c>
      <c r="O3622" s="1" t="s">
        <v>560</v>
      </c>
      <c r="P3622">
        <v>4099.18</v>
      </c>
      <c r="Q3622">
        <v>0</v>
      </c>
      <c r="R3622">
        <v>1</v>
      </c>
      <c r="S3622" s="1" t="s">
        <v>699</v>
      </c>
      <c r="T3622" s="1"/>
      <c r="U3622">
        <v>4099.18</v>
      </c>
      <c r="V3622">
        <v>0</v>
      </c>
      <c r="W3622">
        <v>57547</v>
      </c>
    </row>
    <row r="3623" spans="1:23" x14ac:dyDescent="0.25">
      <c r="A3623" s="1" t="s">
        <v>39</v>
      </c>
      <c r="B3623" s="1" t="s">
        <v>83</v>
      </c>
      <c r="C3623" s="1" t="s">
        <v>208</v>
      </c>
      <c r="D3623">
        <v>5452</v>
      </c>
      <c r="E3623" s="1"/>
      <c r="F3623" s="1" t="s">
        <v>342</v>
      </c>
      <c r="G3623">
        <v>2012</v>
      </c>
      <c r="H3623">
        <v>0</v>
      </c>
      <c r="I3623">
        <v>13</v>
      </c>
      <c r="J3623" s="1" t="s">
        <v>452</v>
      </c>
      <c r="K3623">
        <v>0</v>
      </c>
      <c r="L3623">
        <v>0</v>
      </c>
      <c r="M3623">
        <v>0</v>
      </c>
      <c r="N3623">
        <v>3</v>
      </c>
      <c r="O3623" s="1" t="s">
        <v>560</v>
      </c>
      <c r="P3623">
        <v>0</v>
      </c>
      <c r="Q3623">
        <v>0</v>
      </c>
      <c r="R3623">
        <v>1</v>
      </c>
      <c r="S3623" s="1" t="s">
        <v>704</v>
      </c>
      <c r="T3623" s="1"/>
      <c r="U3623">
        <v>0</v>
      </c>
      <c r="V3623">
        <v>0</v>
      </c>
      <c r="W3623">
        <v>57738</v>
      </c>
    </row>
    <row r="3624" spans="1:23" x14ac:dyDescent="0.25">
      <c r="A3624" s="1" t="s">
        <v>39</v>
      </c>
      <c r="B3624" s="1" t="s">
        <v>83</v>
      </c>
      <c r="C3624" s="1" t="s">
        <v>208</v>
      </c>
      <c r="D3624">
        <v>5452</v>
      </c>
      <c r="E3624" s="1"/>
      <c r="F3624" s="1" t="s">
        <v>342</v>
      </c>
      <c r="G3624">
        <v>2012</v>
      </c>
      <c r="H3624">
        <v>259.42</v>
      </c>
      <c r="I3624">
        <v>13</v>
      </c>
      <c r="J3624" s="1" t="s">
        <v>421</v>
      </c>
      <c r="K3624">
        <v>0</v>
      </c>
      <c r="L3624">
        <v>0</v>
      </c>
      <c r="M3624">
        <v>2594.1999999999998</v>
      </c>
      <c r="N3624">
        <v>3</v>
      </c>
      <c r="O3624" s="1" t="s">
        <v>560</v>
      </c>
      <c r="P3624">
        <v>259.42</v>
      </c>
      <c r="Q3624">
        <v>207.54</v>
      </c>
      <c r="R3624">
        <v>1</v>
      </c>
      <c r="S3624" s="1" t="s">
        <v>700</v>
      </c>
      <c r="T3624" s="1"/>
      <c r="U3624">
        <v>259.42424</v>
      </c>
      <c r="V3624">
        <v>0</v>
      </c>
      <c r="W3624">
        <v>57740</v>
      </c>
    </row>
    <row r="3625" spans="1:23" x14ac:dyDescent="0.25">
      <c r="A3625" s="1" t="s">
        <v>39</v>
      </c>
      <c r="B3625" s="1" t="s">
        <v>83</v>
      </c>
      <c r="C3625" s="1" t="s">
        <v>208</v>
      </c>
      <c r="D3625">
        <v>5452</v>
      </c>
      <c r="E3625" s="1"/>
      <c r="F3625" s="1" t="s">
        <v>342</v>
      </c>
      <c r="G3625">
        <v>2012</v>
      </c>
      <c r="H3625">
        <v>516.17999999999995</v>
      </c>
      <c r="I3625">
        <v>13</v>
      </c>
      <c r="J3625" s="1" t="s">
        <v>421</v>
      </c>
      <c r="K3625">
        <v>0</v>
      </c>
      <c r="L3625">
        <v>0</v>
      </c>
      <c r="M3625">
        <v>5161.8</v>
      </c>
      <c r="N3625">
        <v>3</v>
      </c>
      <c r="O3625" s="1" t="s">
        <v>560</v>
      </c>
      <c r="P3625">
        <v>516.17999999999995</v>
      </c>
      <c r="Q3625">
        <v>412.95</v>
      </c>
      <c r="R3625">
        <v>1</v>
      </c>
      <c r="S3625" s="1" t="s">
        <v>701</v>
      </c>
      <c r="T3625" s="1"/>
      <c r="U3625">
        <v>516.18182000000002</v>
      </c>
      <c r="V3625">
        <v>0</v>
      </c>
      <c r="W3625">
        <v>57741</v>
      </c>
    </row>
    <row r="3626" spans="1:23" x14ac:dyDescent="0.25">
      <c r="A3626" s="1" t="s">
        <v>39</v>
      </c>
      <c r="B3626" s="1" t="s">
        <v>83</v>
      </c>
      <c r="C3626" s="1" t="s">
        <v>208</v>
      </c>
      <c r="D3626">
        <v>5452</v>
      </c>
      <c r="E3626" s="1"/>
      <c r="F3626" s="1" t="s">
        <v>342</v>
      </c>
      <c r="G3626">
        <v>2012</v>
      </c>
      <c r="H3626">
        <v>754.58</v>
      </c>
      <c r="I3626">
        <v>13</v>
      </c>
      <c r="J3626" s="1" t="s">
        <v>421</v>
      </c>
      <c r="K3626">
        <v>0</v>
      </c>
      <c r="L3626">
        <v>0</v>
      </c>
      <c r="M3626">
        <v>7545.8</v>
      </c>
      <c r="N3626">
        <v>3</v>
      </c>
      <c r="O3626" s="1" t="s">
        <v>560</v>
      </c>
      <c r="P3626">
        <v>754.58</v>
      </c>
      <c r="Q3626">
        <v>603.66</v>
      </c>
      <c r="R3626">
        <v>1</v>
      </c>
      <c r="S3626" s="1" t="s">
        <v>702</v>
      </c>
      <c r="T3626" s="1"/>
      <c r="U3626">
        <v>754.57574999999997</v>
      </c>
      <c r="V3626">
        <v>0</v>
      </c>
      <c r="W3626">
        <v>57742</v>
      </c>
    </row>
    <row r="3627" spans="1:23" x14ac:dyDescent="0.25">
      <c r="A3627" s="1" t="s">
        <v>39</v>
      </c>
      <c r="B3627" s="1" t="s">
        <v>83</v>
      </c>
      <c r="C3627" s="1" t="s">
        <v>208</v>
      </c>
      <c r="D3627">
        <v>5452</v>
      </c>
      <c r="E3627" s="1"/>
      <c r="F3627" s="1" t="s">
        <v>342</v>
      </c>
      <c r="G3627">
        <v>2012</v>
      </c>
      <c r="H3627">
        <v>706.62</v>
      </c>
      <c r="I3627">
        <v>13</v>
      </c>
      <c r="J3627" s="1" t="s">
        <v>421</v>
      </c>
      <c r="K3627">
        <v>0</v>
      </c>
      <c r="L3627">
        <v>0</v>
      </c>
      <c r="M3627">
        <v>7066.2</v>
      </c>
      <c r="N3627">
        <v>3</v>
      </c>
      <c r="O3627" s="1" t="s">
        <v>560</v>
      </c>
      <c r="P3627">
        <v>706.62</v>
      </c>
      <c r="Q3627">
        <v>565.28</v>
      </c>
      <c r="R3627">
        <v>1</v>
      </c>
      <c r="S3627" s="1" t="s">
        <v>703</v>
      </c>
      <c r="T3627" s="1"/>
      <c r="U3627">
        <v>706.60607000000005</v>
      </c>
      <c r="V3627">
        <v>0</v>
      </c>
      <c r="W3627">
        <v>57745</v>
      </c>
    </row>
    <row r="3628" spans="1:23" x14ac:dyDescent="0.25">
      <c r="A3628" s="1" t="s">
        <v>39</v>
      </c>
      <c r="B3628" s="1" t="s">
        <v>83</v>
      </c>
      <c r="C3628" s="1" t="s">
        <v>208</v>
      </c>
      <c r="D3628">
        <v>5452</v>
      </c>
      <c r="E3628" s="1"/>
      <c r="F3628" s="1" t="s">
        <v>342</v>
      </c>
      <c r="G3628">
        <v>2011</v>
      </c>
      <c r="H3628">
        <v>5630.71</v>
      </c>
      <c r="I3628">
        <v>12</v>
      </c>
      <c r="J3628" s="1" t="s">
        <v>402</v>
      </c>
      <c r="K3628">
        <v>0</v>
      </c>
      <c r="L3628">
        <v>0</v>
      </c>
      <c r="M3628">
        <v>56307.1</v>
      </c>
      <c r="N3628">
        <v>3</v>
      </c>
      <c r="O3628" s="1" t="s">
        <v>560</v>
      </c>
      <c r="P3628">
        <v>5630.71</v>
      </c>
      <c r="Q3628">
        <v>0</v>
      </c>
      <c r="R3628">
        <v>1</v>
      </c>
      <c r="S3628" s="1" t="s">
        <v>699</v>
      </c>
      <c r="T3628" s="1"/>
      <c r="U3628">
        <v>5630.71</v>
      </c>
      <c r="V3628">
        <v>0</v>
      </c>
      <c r="W3628">
        <v>57547</v>
      </c>
    </row>
    <row r="3629" spans="1:23" x14ac:dyDescent="0.25">
      <c r="A3629" s="1" t="s">
        <v>39</v>
      </c>
      <c r="B3629" s="1" t="s">
        <v>83</v>
      </c>
      <c r="C3629" s="1" t="s">
        <v>208</v>
      </c>
      <c r="D3629">
        <v>5452</v>
      </c>
      <c r="E3629" s="1"/>
      <c r="F3629" s="1" t="s">
        <v>342</v>
      </c>
      <c r="G3629">
        <v>2011</v>
      </c>
      <c r="H3629">
        <v>0</v>
      </c>
      <c r="I3629">
        <v>12</v>
      </c>
      <c r="J3629" s="1" t="s">
        <v>452</v>
      </c>
      <c r="K3629">
        <v>0</v>
      </c>
      <c r="L3629">
        <v>0</v>
      </c>
      <c r="M3629">
        <v>0</v>
      </c>
      <c r="N3629">
        <v>3</v>
      </c>
      <c r="O3629" s="1" t="s">
        <v>560</v>
      </c>
      <c r="P3629">
        <v>0</v>
      </c>
      <c r="Q3629">
        <v>0</v>
      </c>
      <c r="R3629">
        <v>1</v>
      </c>
      <c r="S3629" s="1" t="s">
        <v>704</v>
      </c>
      <c r="T3629" s="1"/>
      <c r="U3629">
        <v>0</v>
      </c>
      <c r="V3629">
        <v>0</v>
      </c>
      <c r="W3629">
        <v>57738</v>
      </c>
    </row>
    <row r="3630" spans="1:23" x14ac:dyDescent="0.25">
      <c r="A3630" s="1" t="s">
        <v>39</v>
      </c>
      <c r="B3630" s="1" t="s">
        <v>83</v>
      </c>
      <c r="C3630" s="1" t="s">
        <v>208</v>
      </c>
      <c r="D3630">
        <v>5452</v>
      </c>
      <c r="E3630" s="1"/>
      <c r="F3630" s="1" t="s">
        <v>342</v>
      </c>
      <c r="G3630">
        <v>2011</v>
      </c>
      <c r="H3630">
        <v>216.72</v>
      </c>
      <c r="I3630">
        <v>13</v>
      </c>
      <c r="J3630" s="1" t="s">
        <v>421</v>
      </c>
      <c r="K3630">
        <v>0</v>
      </c>
      <c r="L3630">
        <v>0</v>
      </c>
      <c r="M3630">
        <v>2167.1999999999998</v>
      </c>
      <c r="N3630">
        <v>3</v>
      </c>
      <c r="O3630" s="1" t="s">
        <v>560</v>
      </c>
      <c r="P3630">
        <v>216.72</v>
      </c>
      <c r="Q3630">
        <v>173.38</v>
      </c>
      <c r="R3630">
        <v>1</v>
      </c>
      <c r="S3630" s="1" t="s">
        <v>700</v>
      </c>
      <c r="T3630" s="1"/>
      <c r="U3630">
        <v>216.72727</v>
      </c>
      <c r="V3630">
        <v>0</v>
      </c>
      <c r="W3630">
        <v>57740</v>
      </c>
    </row>
    <row r="3631" spans="1:23" x14ac:dyDescent="0.25">
      <c r="A3631" s="1" t="s">
        <v>39</v>
      </c>
      <c r="B3631" s="1" t="s">
        <v>83</v>
      </c>
      <c r="C3631" s="1" t="s">
        <v>208</v>
      </c>
      <c r="D3631">
        <v>5452</v>
      </c>
      <c r="E3631" s="1"/>
      <c r="F3631" s="1" t="s">
        <v>342</v>
      </c>
      <c r="G3631">
        <v>2011</v>
      </c>
      <c r="H3631">
        <v>499.13</v>
      </c>
      <c r="I3631">
        <v>12</v>
      </c>
      <c r="J3631" s="1" t="s">
        <v>421</v>
      </c>
      <c r="K3631">
        <v>0</v>
      </c>
      <c r="L3631">
        <v>0</v>
      </c>
      <c r="M3631">
        <v>4991.3</v>
      </c>
      <c r="N3631">
        <v>3</v>
      </c>
      <c r="O3631" s="1" t="s">
        <v>560</v>
      </c>
      <c r="P3631">
        <v>499.13</v>
      </c>
      <c r="Q3631">
        <v>399.31</v>
      </c>
      <c r="R3631">
        <v>1</v>
      </c>
      <c r="S3631" s="1" t="s">
        <v>701</v>
      </c>
      <c r="T3631" s="1"/>
      <c r="U3631">
        <v>499.12121999999999</v>
      </c>
      <c r="V3631">
        <v>0</v>
      </c>
      <c r="W3631">
        <v>57741</v>
      </c>
    </row>
    <row r="3632" spans="1:23" x14ac:dyDescent="0.25">
      <c r="A3632" s="1" t="s">
        <v>39</v>
      </c>
      <c r="B3632" s="1" t="s">
        <v>83</v>
      </c>
      <c r="C3632" s="1" t="s">
        <v>208</v>
      </c>
      <c r="D3632">
        <v>5452</v>
      </c>
      <c r="E3632" s="1"/>
      <c r="F3632" s="1" t="s">
        <v>342</v>
      </c>
      <c r="G3632">
        <v>2011</v>
      </c>
      <c r="H3632">
        <v>707.88</v>
      </c>
      <c r="I3632">
        <v>12</v>
      </c>
      <c r="J3632" s="1" t="s">
        <v>421</v>
      </c>
      <c r="K3632">
        <v>0</v>
      </c>
      <c r="L3632">
        <v>0</v>
      </c>
      <c r="M3632">
        <v>7078.8</v>
      </c>
      <c r="N3632">
        <v>3</v>
      </c>
      <c r="O3632" s="1" t="s">
        <v>560</v>
      </c>
      <c r="P3632">
        <v>707.88</v>
      </c>
      <c r="Q3632">
        <v>566.29999999999995</v>
      </c>
      <c r="R3632">
        <v>1</v>
      </c>
      <c r="S3632" s="1" t="s">
        <v>702</v>
      </c>
      <c r="T3632" s="1"/>
      <c r="U3632">
        <v>707.87879999999996</v>
      </c>
      <c r="V3632">
        <v>0</v>
      </c>
      <c r="W3632">
        <v>57742</v>
      </c>
    </row>
    <row r="3633" spans="1:23" x14ac:dyDescent="0.25">
      <c r="A3633" s="1" t="s">
        <v>39</v>
      </c>
      <c r="B3633" s="1" t="s">
        <v>83</v>
      </c>
      <c r="C3633" s="1" t="s">
        <v>208</v>
      </c>
      <c r="D3633">
        <v>5452</v>
      </c>
      <c r="E3633" s="1"/>
      <c r="F3633" s="1" t="s">
        <v>342</v>
      </c>
      <c r="G3633">
        <v>2011</v>
      </c>
      <c r="H3633">
        <v>638.89</v>
      </c>
      <c r="I3633">
        <v>12</v>
      </c>
      <c r="J3633" s="1" t="s">
        <v>421</v>
      </c>
      <c r="K3633">
        <v>0</v>
      </c>
      <c r="L3633">
        <v>0</v>
      </c>
      <c r="M3633">
        <v>6388.9</v>
      </c>
      <c r="N3633">
        <v>3</v>
      </c>
      <c r="O3633" s="1" t="s">
        <v>560</v>
      </c>
      <c r="P3633">
        <v>638.89</v>
      </c>
      <c r="Q3633">
        <v>511.11</v>
      </c>
      <c r="R3633">
        <v>1</v>
      </c>
      <c r="S3633" s="1" t="s">
        <v>703</v>
      </c>
      <c r="T3633" s="1"/>
      <c r="U3633">
        <v>638.87878999999998</v>
      </c>
      <c r="V3633">
        <v>0</v>
      </c>
      <c r="W3633">
        <v>57745</v>
      </c>
    </row>
    <row r="3634" spans="1:23" x14ac:dyDescent="0.25">
      <c r="A3634" s="1" t="s">
        <v>39</v>
      </c>
      <c r="B3634" s="1" t="s">
        <v>83</v>
      </c>
      <c r="C3634" s="1" t="s">
        <v>208</v>
      </c>
      <c r="D3634">
        <v>5452</v>
      </c>
      <c r="E3634" s="1"/>
      <c r="F3634" s="1" t="s">
        <v>342</v>
      </c>
      <c r="G3634">
        <v>2010</v>
      </c>
      <c r="H3634">
        <v>7005.5</v>
      </c>
      <c r="I3634">
        <v>12</v>
      </c>
      <c r="J3634" s="1" t="s">
        <v>402</v>
      </c>
      <c r="K3634">
        <v>0</v>
      </c>
      <c r="L3634">
        <v>0</v>
      </c>
      <c r="M3634">
        <v>70055</v>
      </c>
      <c r="N3634">
        <v>3</v>
      </c>
      <c r="O3634" s="1" t="s">
        <v>560</v>
      </c>
      <c r="P3634">
        <v>7005.5</v>
      </c>
      <c r="Q3634">
        <v>0</v>
      </c>
      <c r="R3634">
        <v>1</v>
      </c>
      <c r="S3634" s="1" t="s">
        <v>699</v>
      </c>
      <c r="T3634" s="1"/>
      <c r="U3634">
        <v>7005.5001000000002</v>
      </c>
      <c r="V3634">
        <v>0</v>
      </c>
      <c r="W3634">
        <v>57547</v>
      </c>
    </row>
    <row r="3635" spans="1:23" x14ac:dyDescent="0.25">
      <c r="A3635" s="1" t="s">
        <v>39</v>
      </c>
      <c r="B3635" s="1" t="s">
        <v>83</v>
      </c>
      <c r="C3635" s="1" t="s">
        <v>208</v>
      </c>
      <c r="D3635">
        <v>5452</v>
      </c>
      <c r="E3635" s="1"/>
      <c r="F3635" s="1" t="s">
        <v>342</v>
      </c>
      <c r="G3635">
        <v>2010</v>
      </c>
      <c r="H3635">
        <v>0</v>
      </c>
      <c r="I3635">
        <v>12</v>
      </c>
      <c r="J3635" s="1" t="s">
        <v>452</v>
      </c>
      <c r="K3635">
        <v>0</v>
      </c>
      <c r="L3635">
        <v>0</v>
      </c>
      <c r="M3635">
        <v>0</v>
      </c>
      <c r="N3635">
        <v>3</v>
      </c>
      <c r="O3635" s="1" t="s">
        <v>560</v>
      </c>
      <c r="P3635">
        <v>0</v>
      </c>
      <c r="Q3635">
        <v>0</v>
      </c>
      <c r="R3635">
        <v>1</v>
      </c>
      <c r="S3635" s="1" t="s">
        <v>704</v>
      </c>
      <c r="T3635" s="1"/>
      <c r="U3635">
        <v>0</v>
      </c>
      <c r="V3635">
        <v>0</v>
      </c>
      <c r="W3635">
        <v>57738</v>
      </c>
    </row>
    <row r="3636" spans="1:23" x14ac:dyDescent="0.25">
      <c r="A3636" s="1" t="s">
        <v>39</v>
      </c>
      <c r="B3636" s="1" t="s">
        <v>83</v>
      </c>
      <c r="C3636" s="1" t="s">
        <v>208</v>
      </c>
      <c r="D3636">
        <v>5452</v>
      </c>
      <c r="E3636" s="1"/>
      <c r="F3636" s="1" t="s">
        <v>342</v>
      </c>
      <c r="G3636">
        <v>2010</v>
      </c>
      <c r="H3636">
        <v>183.75</v>
      </c>
      <c r="I3636">
        <v>12</v>
      </c>
      <c r="J3636" s="1" t="s">
        <v>421</v>
      </c>
      <c r="K3636">
        <v>0</v>
      </c>
      <c r="L3636">
        <v>0</v>
      </c>
      <c r="M3636">
        <v>1837.5</v>
      </c>
      <c r="N3636">
        <v>3</v>
      </c>
      <c r="O3636" s="1" t="s">
        <v>560</v>
      </c>
      <c r="P3636">
        <v>183.75</v>
      </c>
      <c r="Q3636">
        <v>147.01</v>
      </c>
      <c r="R3636">
        <v>1</v>
      </c>
      <c r="S3636" s="1" t="s">
        <v>700</v>
      </c>
      <c r="T3636" s="1"/>
      <c r="U3636">
        <v>183.76383000000001</v>
      </c>
      <c r="V3636">
        <v>0</v>
      </c>
      <c r="W3636">
        <v>57740</v>
      </c>
    </row>
    <row r="3637" spans="1:23" x14ac:dyDescent="0.25">
      <c r="A3637" s="1" t="s">
        <v>39</v>
      </c>
      <c r="B3637" s="1" t="s">
        <v>83</v>
      </c>
      <c r="C3637" s="1" t="s">
        <v>208</v>
      </c>
      <c r="D3637">
        <v>5452</v>
      </c>
      <c r="E3637" s="1"/>
      <c r="F3637" s="1" t="s">
        <v>342</v>
      </c>
      <c r="G3637">
        <v>2010</v>
      </c>
      <c r="H3637">
        <v>713.76</v>
      </c>
      <c r="I3637">
        <v>12</v>
      </c>
      <c r="J3637" s="1" t="s">
        <v>421</v>
      </c>
      <c r="K3637">
        <v>0</v>
      </c>
      <c r="L3637">
        <v>0</v>
      </c>
      <c r="M3637">
        <v>7137.6</v>
      </c>
      <c r="N3637">
        <v>3</v>
      </c>
      <c r="O3637" s="1" t="s">
        <v>560</v>
      </c>
      <c r="P3637">
        <v>713.76</v>
      </c>
      <c r="Q3637">
        <v>570.99</v>
      </c>
      <c r="R3637">
        <v>1</v>
      </c>
      <c r="S3637" s="1" t="s">
        <v>701</v>
      </c>
      <c r="T3637" s="1"/>
      <c r="U3637">
        <v>713.75043000000005</v>
      </c>
      <c r="V3637">
        <v>0</v>
      </c>
      <c r="W3637">
        <v>57741</v>
      </c>
    </row>
    <row r="3638" spans="1:23" x14ac:dyDescent="0.25">
      <c r="A3638" s="1" t="s">
        <v>39</v>
      </c>
      <c r="B3638" s="1" t="s">
        <v>83</v>
      </c>
      <c r="C3638" s="1" t="s">
        <v>208</v>
      </c>
      <c r="D3638">
        <v>5452</v>
      </c>
      <c r="E3638" s="1"/>
      <c r="F3638" s="1" t="s">
        <v>342</v>
      </c>
      <c r="G3638">
        <v>2010</v>
      </c>
      <c r="H3638">
        <v>879.88</v>
      </c>
      <c r="I3638">
        <v>12</v>
      </c>
      <c r="J3638" s="1" t="s">
        <v>421</v>
      </c>
      <c r="K3638">
        <v>0</v>
      </c>
      <c r="L3638">
        <v>0</v>
      </c>
      <c r="M3638">
        <v>8798.7999999999993</v>
      </c>
      <c r="N3638">
        <v>3</v>
      </c>
      <c r="O3638" s="1" t="s">
        <v>560</v>
      </c>
      <c r="P3638">
        <v>879.88</v>
      </c>
      <c r="Q3638">
        <v>703.92</v>
      </c>
      <c r="R3638">
        <v>1</v>
      </c>
      <c r="S3638" s="1" t="s">
        <v>702</v>
      </c>
      <c r="T3638" s="1"/>
      <c r="U3638">
        <v>879.89661000000001</v>
      </c>
      <c r="V3638">
        <v>0</v>
      </c>
      <c r="W3638">
        <v>57742</v>
      </c>
    </row>
    <row r="3639" spans="1:23" x14ac:dyDescent="0.25">
      <c r="A3639" s="1" t="s">
        <v>39</v>
      </c>
      <c r="B3639" s="1" t="s">
        <v>83</v>
      </c>
      <c r="C3639" s="1" t="s">
        <v>208</v>
      </c>
      <c r="D3639">
        <v>5452</v>
      </c>
      <c r="E3639" s="1"/>
      <c r="F3639" s="1" t="s">
        <v>342</v>
      </c>
      <c r="G3639">
        <v>2010</v>
      </c>
      <c r="H3639">
        <v>651.9</v>
      </c>
      <c r="I3639">
        <v>12</v>
      </c>
      <c r="J3639" s="1" t="s">
        <v>421</v>
      </c>
      <c r="K3639">
        <v>0</v>
      </c>
      <c r="L3639">
        <v>0</v>
      </c>
      <c r="M3639">
        <v>6519</v>
      </c>
      <c r="N3639">
        <v>3</v>
      </c>
      <c r="O3639" s="1" t="s">
        <v>560</v>
      </c>
      <c r="P3639">
        <v>651.9</v>
      </c>
      <c r="Q3639">
        <v>521.52</v>
      </c>
      <c r="R3639">
        <v>1</v>
      </c>
      <c r="S3639" s="1" t="s">
        <v>703</v>
      </c>
      <c r="T3639" s="1"/>
      <c r="U3639">
        <v>651.91175999999996</v>
      </c>
      <c r="V3639">
        <v>0</v>
      </c>
      <c r="W3639">
        <v>57745</v>
      </c>
    </row>
    <row r="3640" spans="1:23" x14ac:dyDescent="0.25">
      <c r="A3640" s="1" t="s">
        <v>39</v>
      </c>
      <c r="B3640" s="1" t="s">
        <v>83</v>
      </c>
      <c r="C3640" s="1" t="s">
        <v>208</v>
      </c>
      <c r="D3640">
        <v>5452</v>
      </c>
      <c r="E3640" s="1"/>
      <c r="F3640" s="1" t="s">
        <v>342</v>
      </c>
      <c r="G3640">
        <v>2009</v>
      </c>
      <c r="H3640">
        <v>3525.4</v>
      </c>
      <c r="I3640">
        <v>12</v>
      </c>
      <c r="J3640" s="1" t="s">
        <v>402</v>
      </c>
      <c r="K3640">
        <v>0</v>
      </c>
      <c r="L3640">
        <v>0</v>
      </c>
      <c r="M3640">
        <v>35254</v>
      </c>
      <c r="N3640">
        <v>3</v>
      </c>
      <c r="O3640" s="1" t="s">
        <v>560</v>
      </c>
      <c r="P3640">
        <v>3525.4</v>
      </c>
      <c r="Q3640">
        <v>0</v>
      </c>
      <c r="R3640">
        <v>1</v>
      </c>
      <c r="S3640" s="1" t="s">
        <v>699</v>
      </c>
      <c r="T3640" s="1"/>
      <c r="U3640">
        <v>3525.4</v>
      </c>
      <c r="V3640">
        <v>0</v>
      </c>
      <c r="W3640">
        <v>57547</v>
      </c>
    </row>
    <row r="3641" spans="1:23" x14ac:dyDescent="0.25">
      <c r="A3641" s="1" t="s">
        <v>39</v>
      </c>
      <c r="B3641" s="1" t="s">
        <v>83</v>
      </c>
      <c r="C3641" s="1" t="s">
        <v>208</v>
      </c>
      <c r="D3641">
        <v>5452</v>
      </c>
      <c r="E3641" s="1"/>
      <c r="F3641" s="1" t="s">
        <v>342</v>
      </c>
      <c r="G3641">
        <v>2009</v>
      </c>
      <c r="H3641">
        <v>0</v>
      </c>
      <c r="I3641">
        <v>12</v>
      </c>
      <c r="J3641" s="1" t="s">
        <v>452</v>
      </c>
      <c r="K3641">
        <v>0</v>
      </c>
      <c r="L3641">
        <v>0</v>
      </c>
      <c r="M3641">
        <v>0</v>
      </c>
      <c r="N3641">
        <v>3</v>
      </c>
      <c r="O3641" s="1" t="s">
        <v>560</v>
      </c>
      <c r="P3641">
        <v>0</v>
      </c>
      <c r="Q3641">
        <v>0</v>
      </c>
      <c r="R3641">
        <v>1</v>
      </c>
      <c r="S3641" s="1" t="s">
        <v>704</v>
      </c>
      <c r="T3641" s="1"/>
      <c r="U3641">
        <v>0</v>
      </c>
      <c r="V3641">
        <v>0</v>
      </c>
      <c r="W3641">
        <v>57738</v>
      </c>
    </row>
    <row r="3642" spans="1:23" x14ac:dyDescent="0.25">
      <c r="A3642" s="1" t="s">
        <v>39</v>
      </c>
      <c r="B3642" s="1" t="s">
        <v>83</v>
      </c>
      <c r="C3642" s="1" t="s">
        <v>208</v>
      </c>
      <c r="D3642">
        <v>5452</v>
      </c>
      <c r="E3642" s="1"/>
      <c r="F3642" s="1" t="s">
        <v>342</v>
      </c>
      <c r="G3642">
        <v>2009</v>
      </c>
      <c r="H3642">
        <v>159.78</v>
      </c>
      <c r="I3642">
        <v>12</v>
      </c>
      <c r="J3642" s="1" t="s">
        <v>421</v>
      </c>
      <c r="K3642">
        <v>0</v>
      </c>
      <c r="L3642">
        <v>0</v>
      </c>
      <c r="M3642">
        <v>1597.8</v>
      </c>
      <c r="N3642">
        <v>3</v>
      </c>
      <c r="O3642" s="1" t="s">
        <v>560</v>
      </c>
      <c r="P3642">
        <v>159.78</v>
      </c>
      <c r="Q3642">
        <v>127.82</v>
      </c>
      <c r="R3642">
        <v>1</v>
      </c>
      <c r="S3642" s="1" t="s">
        <v>700</v>
      </c>
      <c r="T3642" s="1"/>
      <c r="U3642">
        <v>159.76837</v>
      </c>
      <c r="V3642">
        <v>0</v>
      </c>
      <c r="W3642">
        <v>57740</v>
      </c>
    </row>
    <row r="3643" spans="1:23" x14ac:dyDescent="0.25">
      <c r="A3643" s="1" t="s">
        <v>39</v>
      </c>
      <c r="B3643" s="1" t="s">
        <v>83</v>
      </c>
      <c r="C3643" s="1" t="s">
        <v>208</v>
      </c>
      <c r="D3643">
        <v>5452</v>
      </c>
      <c r="E3643" s="1"/>
      <c r="F3643" s="1" t="s">
        <v>342</v>
      </c>
      <c r="G3643">
        <v>2009</v>
      </c>
      <c r="H3643">
        <v>598.1</v>
      </c>
      <c r="I3643">
        <v>12</v>
      </c>
      <c r="J3643" s="1" t="s">
        <v>421</v>
      </c>
      <c r="K3643">
        <v>0</v>
      </c>
      <c r="L3643">
        <v>0</v>
      </c>
      <c r="M3643">
        <v>5981</v>
      </c>
      <c r="N3643">
        <v>3</v>
      </c>
      <c r="O3643" s="1" t="s">
        <v>560</v>
      </c>
      <c r="P3643">
        <v>598.1</v>
      </c>
      <c r="Q3643">
        <v>478.49</v>
      </c>
      <c r="R3643">
        <v>1</v>
      </c>
      <c r="S3643" s="1" t="s">
        <v>701</v>
      </c>
      <c r="T3643" s="1"/>
      <c r="U3643">
        <v>598.10846000000004</v>
      </c>
      <c r="V3643">
        <v>0</v>
      </c>
      <c r="W3643">
        <v>57741</v>
      </c>
    </row>
    <row r="3644" spans="1:23" x14ac:dyDescent="0.25">
      <c r="A3644" s="1" t="s">
        <v>39</v>
      </c>
      <c r="B3644" s="1" t="s">
        <v>83</v>
      </c>
      <c r="C3644" s="1" t="s">
        <v>208</v>
      </c>
      <c r="D3644">
        <v>5452</v>
      </c>
      <c r="E3644" s="1"/>
      <c r="F3644" s="1" t="s">
        <v>342</v>
      </c>
      <c r="G3644">
        <v>2009</v>
      </c>
      <c r="H3644">
        <v>804.5</v>
      </c>
      <c r="I3644">
        <v>12</v>
      </c>
      <c r="J3644" s="1" t="s">
        <v>421</v>
      </c>
      <c r="K3644">
        <v>0</v>
      </c>
      <c r="L3644">
        <v>0</v>
      </c>
      <c r="M3644">
        <v>8045</v>
      </c>
      <c r="N3644">
        <v>3</v>
      </c>
      <c r="O3644" s="1" t="s">
        <v>560</v>
      </c>
      <c r="P3644">
        <v>804.5</v>
      </c>
      <c r="Q3644">
        <v>643.6</v>
      </c>
      <c r="R3644">
        <v>1</v>
      </c>
      <c r="S3644" s="1" t="s">
        <v>702</v>
      </c>
      <c r="T3644" s="1"/>
      <c r="U3644">
        <v>804.49449000000004</v>
      </c>
      <c r="V3644">
        <v>0</v>
      </c>
      <c r="W3644">
        <v>57742</v>
      </c>
    </row>
    <row r="3645" spans="1:23" x14ac:dyDescent="0.25">
      <c r="A3645" s="1" t="s">
        <v>39</v>
      </c>
      <c r="B3645" s="1" t="s">
        <v>83</v>
      </c>
      <c r="C3645" s="1" t="s">
        <v>208</v>
      </c>
      <c r="D3645">
        <v>5452</v>
      </c>
      <c r="E3645" s="1"/>
      <c r="F3645" s="1" t="s">
        <v>342</v>
      </c>
      <c r="G3645">
        <v>2009</v>
      </c>
      <c r="H3645">
        <v>797.47</v>
      </c>
      <c r="I3645">
        <v>12</v>
      </c>
      <c r="J3645" s="1" t="s">
        <v>421</v>
      </c>
      <c r="K3645">
        <v>0</v>
      </c>
      <c r="L3645">
        <v>0</v>
      </c>
      <c r="M3645">
        <v>7974.7</v>
      </c>
      <c r="N3645">
        <v>3</v>
      </c>
      <c r="O3645" s="1" t="s">
        <v>560</v>
      </c>
      <c r="P3645">
        <v>797.47</v>
      </c>
      <c r="Q3645">
        <v>637.96</v>
      </c>
      <c r="R3645">
        <v>1</v>
      </c>
      <c r="S3645" s="1" t="s">
        <v>703</v>
      </c>
      <c r="T3645" s="1"/>
      <c r="U3645">
        <v>797.46324000000004</v>
      </c>
      <c r="V3645">
        <v>0</v>
      </c>
      <c r="W3645">
        <v>57745</v>
      </c>
    </row>
    <row r="3646" spans="1:23" x14ac:dyDescent="0.25">
      <c r="A3646" s="1" t="s">
        <v>39</v>
      </c>
      <c r="B3646" s="1" t="s">
        <v>83</v>
      </c>
      <c r="C3646" s="1" t="s">
        <v>208</v>
      </c>
      <c r="D3646">
        <v>5452</v>
      </c>
      <c r="E3646" s="1"/>
      <c r="F3646" s="1" t="s">
        <v>342</v>
      </c>
      <c r="G3646">
        <v>2008</v>
      </c>
      <c r="H3646">
        <v>4024</v>
      </c>
      <c r="I3646">
        <v>12</v>
      </c>
      <c r="J3646" s="1" t="s">
        <v>402</v>
      </c>
      <c r="K3646">
        <v>0</v>
      </c>
      <c r="L3646">
        <v>0</v>
      </c>
      <c r="M3646">
        <v>40240</v>
      </c>
      <c r="N3646">
        <v>3</v>
      </c>
      <c r="O3646" s="1" t="s">
        <v>560</v>
      </c>
      <c r="P3646">
        <v>4024</v>
      </c>
      <c r="Q3646">
        <v>0</v>
      </c>
      <c r="R3646">
        <v>1</v>
      </c>
      <c r="S3646" s="1" t="s">
        <v>699</v>
      </c>
      <c r="T3646" s="1"/>
      <c r="U3646">
        <v>4024</v>
      </c>
      <c r="V3646">
        <v>0</v>
      </c>
      <c r="W3646">
        <v>57547</v>
      </c>
    </row>
    <row r="3647" spans="1:23" x14ac:dyDescent="0.25">
      <c r="A3647" s="1" t="s">
        <v>39</v>
      </c>
      <c r="B3647" s="1" t="s">
        <v>83</v>
      </c>
      <c r="C3647" s="1" t="s">
        <v>208</v>
      </c>
      <c r="D3647">
        <v>5452</v>
      </c>
      <c r="E3647" s="1"/>
      <c r="F3647" s="1" t="s">
        <v>342</v>
      </c>
      <c r="G3647">
        <v>2008</v>
      </c>
      <c r="H3647">
        <v>60.02</v>
      </c>
      <c r="I3647">
        <v>12</v>
      </c>
      <c r="J3647" s="1" t="s">
        <v>452</v>
      </c>
      <c r="K3647">
        <v>0</v>
      </c>
      <c r="L3647">
        <v>0</v>
      </c>
      <c r="M3647">
        <v>600.20000000000005</v>
      </c>
      <c r="N3647">
        <v>3</v>
      </c>
      <c r="O3647" s="1" t="s">
        <v>560</v>
      </c>
      <c r="P3647">
        <v>60.02</v>
      </c>
      <c r="Q3647">
        <v>48</v>
      </c>
      <c r="R3647">
        <v>1</v>
      </c>
      <c r="S3647" s="1" t="s">
        <v>704</v>
      </c>
      <c r="T3647" s="1"/>
      <c r="U3647">
        <v>60</v>
      </c>
      <c r="V3647">
        <v>0</v>
      </c>
      <c r="W3647">
        <v>57738</v>
      </c>
    </row>
    <row r="3648" spans="1:23" x14ac:dyDescent="0.25">
      <c r="A3648" s="1" t="s">
        <v>39</v>
      </c>
      <c r="B3648" s="1" t="s">
        <v>83</v>
      </c>
      <c r="C3648" s="1" t="s">
        <v>208</v>
      </c>
      <c r="D3648">
        <v>5452</v>
      </c>
      <c r="E3648" s="1"/>
      <c r="F3648" s="1" t="s">
        <v>342</v>
      </c>
      <c r="G3648">
        <v>2008</v>
      </c>
      <c r="H3648">
        <v>134.94999999999999</v>
      </c>
      <c r="I3648">
        <v>12</v>
      </c>
      <c r="J3648" s="1" t="s">
        <v>421</v>
      </c>
      <c r="K3648">
        <v>0</v>
      </c>
      <c r="L3648">
        <v>0</v>
      </c>
      <c r="M3648">
        <v>1349.5</v>
      </c>
      <c r="N3648">
        <v>3</v>
      </c>
      <c r="O3648" s="1" t="s">
        <v>560</v>
      </c>
      <c r="P3648">
        <v>134.94999999999999</v>
      </c>
      <c r="Q3648">
        <v>107.96</v>
      </c>
      <c r="R3648">
        <v>1</v>
      </c>
      <c r="S3648" s="1" t="s">
        <v>700</v>
      </c>
      <c r="T3648" s="1"/>
      <c r="U3648">
        <v>134.95265000000001</v>
      </c>
      <c r="V3648">
        <v>0</v>
      </c>
      <c r="W3648">
        <v>57740</v>
      </c>
    </row>
    <row r="3649" spans="1:23" x14ac:dyDescent="0.25">
      <c r="A3649" s="1" t="s">
        <v>39</v>
      </c>
      <c r="B3649" s="1" t="s">
        <v>83</v>
      </c>
      <c r="C3649" s="1" t="s">
        <v>208</v>
      </c>
      <c r="D3649">
        <v>5452</v>
      </c>
      <c r="E3649" s="1"/>
      <c r="F3649" s="1" t="s">
        <v>342</v>
      </c>
      <c r="G3649">
        <v>2008</v>
      </c>
      <c r="H3649">
        <v>523.11</v>
      </c>
      <c r="I3649">
        <v>12</v>
      </c>
      <c r="J3649" s="1" t="s">
        <v>421</v>
      </c>
      <c r="K3649">
        <v>0</v>
      </c>
      <c r="L3649">
        <v>0</v>
      </c>
      <c r="M3649">
        <v>5231.1000000000004</v>
      </c>
      <c r="N3649">
        <v>3</v>
      </c>
      <c r="O3649" s="1" t="s">
        <v>560</v>
      </c>
      <c r="P3649">
        <v>523.11</v>
      </c>
      <c r="Q3649">
        <v>418.51</v>
      </c>
      <c r="R3649">
        <v>1</v>
      </c>
      <c r="S3649" s="1" t="s">
        <v>701</v>
      </c>
      <c r="T3649" s="1"/>
      <c r="U3649">
        <v>523.11081000000001</v>
      </c>
      <c r="V3649">
        <v>0</v>
      </c>
      <c r="W3649">
        <v>57741</v>
      </c>
    </row>
    <row r="3650" spans="1:23" x14ac:dyDescent="0.25">
      <c r="A3650" s="1" t="s">
        <v>39</v>
      </c>
      <c r="B3650" s="1" t="s">
        <v>83</v>
      </c>
      <c r="C3650" s="1" t="s">
        <v>208</v>
      </c>
      <c r="D3650">
        <v>5452</v>
      </c>
      <c r="E3650" s="1"/>
      <c r="F3650" s="1" t="s">
        <v>342</v>
      </c>
      <c r="G3650">
        <v>2008</v>
      </c>
      <c r="H3650">
        <v>802.46</v>
      </c>
      <c r="I3650">
        <v>12</v>
      </c>
      <c r="J3650" s="1" t="s">
        <v>421</v>
      </c>
      <c r="K3650">
        <v>0</v>
      </c>
      <c r="L3650">
        <v>0</v>
      </c>
      <c r="M3650">
        <v>8024.6</v>
      </c>
      <c r="N3650">
        <v>3</v>
      </c>
      <c r="O3650" s="1" t="s">
        <v>560</v>
      </c>
      <c r="P3650">
        <v>802.46</v>
      </c>
      <c r="Q3650">
        <v>641.98</v>
      </c>
      <c r="R3650">
        <v>1</v>
      </c>
      <c r="S3650" s="1" t="s">
        <v>702</v>
      </c>
      <c r="T3650" s="1"/>
      <c r="U3650">
        <v>802.45737999999994</v>
      </c>
      <c r="V3650">
        <v>0</v>
      </c>
      <c r="W3650">
        <v>57742</v>
      </c>
    </row>
    <row r="3651" spans="1:23" x14ac:dyDescent="0.25">
      <c r="A3651" s="1" t="s">
        <v>39</v>
      </c>
      <c r="B3651" s="1" t="s">
        <v>83</v>
      </c>
      <c r="C3651" s="1" t="s">
        <v>208</v>
      </c>
      <c r="D3651">
        <v>5452</v>
      </c>
      <c r="E3651" s="1"/>
      <c r="F3651" s="1" t="s">
        <v>342</v>
      </c>
      <c r="G3651">
        <v>2008</v>
      </c>
      <c r="H3651">
        <v>1330.17</v>
      </c>
      <c r="I3651">
        <v>12</v>
      </c>
      <c r="J3651" s="1" t="s">
        <v>421</v>
      </c>
      <c r="K3651">
        <v>0</v>
      </c>
      <c r="L3651">
        <v>0</v>
      </c>
      <c r="M3651">
        <v>13301.7</v>
      </c>
      <c r="N3651">
        <v>3</v>
      </c>
      <c r="O3651" s="1" t="s">
        <v>560</v>
      </c>
      <c r="P3651">
        <v>1330.17</v>
      </c>
      <c r="Q3651">
        <v>1064.1300000000001</v>
      </c>
      <c r="R3651">
        <v>1</v>
      </c>
      <c r="S3651" s="1" t="s">
        <v>703</v>
      </c>
      <c r="T3651" s="1"/>
      <c r="U3651">
        <v>1330.17047</v>
      </c>
      <c r="V3651">
        <v>0</v>
      </c>
      <c r="W3651">
        <v>57745</v>
      </c>
    </row>
    <row r="3652" spans="1:23" x14ac:dyDescent="0.25">
      <c r="A3652" s="1" t="s">
        <v>39</v>
      </c>
      <c r="B3652" s="1" t="s">
        <v>83</v>
      </c>
      <c r="C3652" s="1" t="s">
        <v>208</v>
      </c>
      <c r="D3652">
        <v>5454</v>
      </c>
      <c r="E3652" s="1"/>
      <c r="F3652" s="1" t="s">
        <v>343</v>
      </c>
      <c r="G3652">
        <v>2011</v>
      </c>
      <c r="H3652">
        <v>66.19</v>
      </c>
      <c r="I3652">
        <v>7</v>
      </c>
      <c r="J3652" s="1" t="s">
        <v>453</v>
      </c>
      <c r="K3652">
        <v>0</v>
      </c>
      <c r="L3652">
        <v>50</v>
      </c>
      <c r="M3652">
        <v>1.3211569999999999</v>
      </c>
      <c r="N3652">
        <v>3</v>
      </c>
      <c r="O3652" s="1" t="s">
        <v>560</v>
      </c>
      <c r="P3652">
        <v>66.19</v>
      </c>
      <c r="Q3652">
        <v>0</v>
      </c>
      <c r="R3652">
        <v>1</v>
      </c>
      <c r="S3652" s="1" t="s">
        <v>705</v>
      </c>
      <c r="T3652" s="1"/>
      <c r="U3652">
        <v>66.181820000000002</v>
      </c>
      <c r="V3652">
        <v>0</v>
      </c>
      <c r="W3652">
        <v>84285</v>
      </c>
    </row>
    <row r="3653" spans="1:23" x14ac:dyDescent="0.25">
      <c r="A3653" s="1" t="s">
        <v>39</v>
      </c>
      <c r="B3653" s="1" t="s">
        <v>83</v>
      </c>
      <c r="C3653" s="1" t="s">
        <v>208</v>
      </c>
      <c r="D3653">
        <v>5454</v>
      </c>
      <c r="E3653" s="1"/>
      <c r="F3653" s="1" t="s">
        <v>343</v>
      </c>
      <c r="G3653">
        <v>2010</v>
      </c>
      <c r="H3653">
        <v>66.819999999999993</v>
      </c>
      <c r="I3653">
        <v>10</v>
      </c>
      <c r="J3653" s="1" t="s">
        <v>453</v>
      </c>
      <c r="K3653">
        <v>0</v>
      </c>
      <c r="L3653">
        <v>50</v>
      </c>
      <c r="M3653">
        <v>1.3337319999999999</v>
      </c>
      <c r="N3653">
        <v>3</v>
      </c>
      <c r="O3653" s="1" t="s">
        <v>560</v>
      </c>
      <c r="P3653">
        <v>66.819999999999993</v>
      </c>
      <c r="Q3653">
        <v>0</v>
      </c>
      <c r="R3653">
        <v>1</v>
      </c>
      <c r="S3653" s="1" t="s">
        <v>705</v>
      </c>
      <c r="T3653" s="1"/>
      <c r="U3653">
        <v>66.818179999999998</v>
      </c>
      <c r="V3653">
        <v>0</v>
      </c>
      <c r="W3653">
        <v>84285</v>
      </c>
    </row>
    <row r="3654" spans="1:23" x14ac:dyDescent="0.25">
      <c r="A3654" s="1" t="s">
        <v>39</v>
      </c>
      <c r="B3654" s="1" t="s">
        <v>83</v>
      </c>
      <c r="C3654" s="1" t="s">
        <v>208</v>
      </c>
      <c r="D3654">
        <v>5449</v>
      </c>
      <c r="E3654" s="1"/>
      <c r="F3654" s="1" t="s">
        <v>344</v>
      </c>
      <c r="G3654">
        <v>2015</v>
      </c>
      <c r="H3654">
        <v>5236.5</v>
      </c>
      <c r="I3654">
        <v>5</v>
      </c>
      <c r="J3654" s="1" t="s">
        <v>402</v>
      </c>
      <c r="K3654">
        <v>0</v>
      </c>
      <c r="L3654">
        <v>7709</v>
      </c>
      <c r="M3654">
        <v>0.67926200000000003</v>
      </c>
      <c r="N3654">
        <v>3</v>
      </c>
      <c r="O3654" s="1" t="s">
        <v>560</v>
      </c>
      <c r="P3654">
        <v>5236.5</v>
      </c>
      <c r="Q3654">
        <v>4189.2</v>
      </c>
      <c r="R3654">
        <v>0</v>
      </c>
      <c r="S3654" s="1" t="s">
        <v>706</v>
      </c>
      <c r="T3654" s="1"/>
      <c r="U3654">
        <v>5236.5</v>
      </c>
      <c r="V3654">
        <v>0</v>
      </c>
      <c r="W3654">
        <v>57535</v>
      </c>
    </row>
    <row r="3655" spans="1:23" x14ac:dyDescent="0.25">
      <c r="A3655" s="1" t="s">
        <v>39</v>
      </c>
      <c r="B3655" s="1" t="s">
        <v>83</v>
      </c>
      <c r="C3655" s="1" t="s">
        <v>208</v>
      </c>
      <c r="D3655">
        <v>5449</v>
      </c>
      <c r="E3655" s="1"/>
      <c r="F3655" s="1" t="s">
        <v>344</v>
      </c>
      <c r="G3655">
        <v>2014</v>
      </c>
      <c r="H3655">
        <v>14332.4</v>
      </c>
      <c r="I3655">
        <v>12</v>
      </c>
      <c r="J3655" s="1" t="s">
        <v>402</v>
      </c>
      <c r="K3655">
        <v>0</v>
      </c>
      <c r="L3655">
        <v>7709</v>
      </c>
      <c r="M3655">
        <v>1.8591530000000001</v>
      </c>
      <c r="N3655">
        <v>3</v>
      </c>
      <c r="O3655" s="1" t="s">
        <v>560</v>
      </c>
      <c r="P3655">
        <v>14332.4</v>
      </c>
      <c r="Q3655">
        <v>11465.92</v>
      </c>
      <c r="R3655">
        <v>0</v>
      </c>
      <c r="S3655" s="1" t="s">
        <v>706</v>
      </c>
      <c r="T3655" s="1"/>
      <c r="U3655">
        <v>14332.4</v>
      </c>
      <c r="V3655">
        <v>0</v>
      </c>
      <c r="W3655">
        <v>57535</v>
      </c>
    </row>
    <row r="3656" spans="1:23" x14ac:dyDescent="0.25">
      <c r="A3656" s="1" t="s">
        <v>39</v>
      </c>
      <c r="B3656" s="1" t="s">
        <v>83</v>
      </c>
      <c r="C3656" s="1" t="s">
        <v>208</v>
      </c>
      <c r="D3656">
        <v>5449</v>
      </c>
      <c r="E3656" s="1"/>
      <c r="F3656" s="1" t="s">
        <v>344</v>
      </c>
      <c r="G3656">
        <v>2013</v>
      </c>
      <c r="H3656">
        <v>12138.7</v>
      </c>
      <c r="I3656">
        <v>12</v>
      </c>
      <c r="J3656" s="1" t="s">
        <v>402</v>
      </c>
      <c r="K3656">
        <v>0</v>
      </c>
      <c r="L3656">
        <v>7709</v>
      </c>
      <c r="M3656">
        <v>1.5745929999999999</v>
      </c>
      <c r="N3656">
        <v>3</v>
      </c>
      <c r="O3656" s="1" t="s">
        <v>560</v>
      </c>
      <c r="P3656">
        <v>12138.7</v>
      </c>
      <c r="Q3656">
        <v>9710.9599999999991</v>
      </c>
      <c r="R3656">
        <v>0</v>
      </c>
      <c r="S3656" s="1" t="s">
        <v>706</v>
      </c>
      <c r="T3656" s="1"/>
      <c r="U3656">
        <v>12138.7</v>
      </c>
      <c r="V3656">
        <v>0</v>
      </c>
      <c r="W3656">
        <v>57535</v>
      </c>
    </row>
    <row r="3657" spans="1:23" x14ac:dyDescent="0.25">
      <c r="A3657" s="1" t="s">
        <v>39</v>
      </c>
      <c r="B3657" s="1" t="s">
        <v>83</v>
      </c>
      <c r="C3657" s="1" t="s">
        <v>208</v>
      </c>
      <c r="D3657">
        <v>5449</v>
      </c>
      <c r="E3657" s="1"/>
      <c r="F3657" s="1" t="s">
        <v>344</v>
      </c>
      <c r="G3657">
        <v>2012</v>
      </c>
      <c r="H3657">
        <v>11731.6</v>
      </c>
      <c r="I3657">
        <v>12</v>
      </c>
      <c r="J3657" s="1" t="s">
        <v>402</v>
      </c>
      <c r="K3657">
        <v>0</v>
      </c>
      <c r="L3657">
        <v>7709</v>
      </c>
      <c r="M3657">
        <v>1.5217849999999999</v>
      </c>
      <c r="N3657">
        <v>3</v>
      </c>
      <c r="O3657" s="1" t="s">
        <v>560</v>
      </c>
      <c r="P3657">
        <v>11731.6</v>
      </c>
      <c r="Q3657">
        <v>9385.2800000000007</v>
      </c>
      <c r="R3657">
        <v>0</v>
      </c>
      <c r="S3657" s="1" t="s">
        <v>706</v>
      </c>
      <c r="T3657" s="1"/>
      <c r="U3657">
        <v>11731.6</v>
      </c>
      <c r="V3657">
        <v>0</v>
      </c>
      <c r="W3657">
        <v>57535</v>
      </c>
    </row>
    <row r="3658" spans="1:23" x14ac:dyDescent="0.25">
      <c r="A3658" s="1" t="s">
        <v>39</v>
      </c>
      <c r="B3658" s="1" t="s">
        <v>83</v>
      </c>
      <c r="C3658" s="1" t="s">
        <v>208</v>
      </c>
      <c r="D3658">
        <v>5449</v>
      </c>
      <c r="E3658" s="1"/>
      <c r="F3658" s="1" t="s">
        <v>344</v>
      </c>
      <c r="G3658">
        <v>2011</v>
      </c>
      <c r="H3658">
        <v>10732</v>
      </c>
      <c r="I3658">
        <v>12</v>
      </c>
      <c r="J3658" s="1" t="s">
        <v>402</v>
      </c>
      <c r="K3658">
        <v>0</v>
      </c>
      <c r="L3658">
        <v>7709</v>
      </c>
      <c r="M3658">
        <v>1.39212</v>
      </c>
      <c r="N3658">
        <v>3</v>
      </c>
      <c r="O3658" s="1" t="s">
        <v>560</v>
      </c>
      <c r="P3658">
        <v>10732</v>
      </c>
      <c r="Q3658">
        <v>8585.6</v>
      </c>
      <c r="R3658">
        <v>0</v>
      </c>
      <c r="S3658" s="1" t="s">
        <v>706</v>
      </c>
      <c r="T3658" s="1"/>
      <c r="U3658">
        <v>10732</v>
      </c>
      <c r="V3658">
        <v>0</v>
      </c>
      <c r="W3658">
        <v>57535</v>
      </c>
    </row>
    <row r="3659" spans="1:23" x14ac:dyDescent="0.25">
      <c r="A3659" s="1" t="s">
        <v>39</v>
      </c>
      <c r="B3659" s="1" t="s">
        <v>83</v>
      </c>
      <c r="C3659" s="1" t="s">
        <v>208</v>
      </c>
      <c r="D3659">
        <v>5449</v>
      </c>
      <c r="E3659" s="1"/>
      <c r="F3659" s="1" t="s">
        <v>344</v>
      </c>
      <c r="G3659">
        <v>2010</v>
      </c>
      <c r="H3659">
        <v>11137</v>
      </c>
      <c r="I3659">
        <v>12</v>
      </c>
      <c r="J3659" s="1" t="s">
        <v>402</v>
      </c>
      <c r="K3659">
        <v>0</v>
      </c>
      <c r="L3659">
        <v>7709</v>
      </c>
      <c r="M3659">
        <v>1.4446559999999999</v>
      </c>
      <c r="N3659">
        <v>3</v>
      </c>
      <c r="O3659" s="1" t="s">
        <v>560</v>
      </c>
      <c r="P3659">
        <v>11137</v>
      </c>
      <c r="Q3659">
        <v>8909.6</v>
      </c>
      <c r="R3659">
        <v>0</v>
      </c>
      <c r="S3659" s="1" t="s">
        <v>706</v>
      </c>
      <c r="T3659" s="1"/>
      <c r="U3659">
        <v>11136.9998</v>
      </c>
      <c r="V3659">
        <v>0</v>
      </c>
      <c r="W3659">
        <v>57535</v>
      </c>
    </row>
    <row r="3660" spans="1:23" x14ac:dyDescent="0.25">
      <c r="A3660" s="1" t="s">
        <v>39</v>
      </c>
      <c r="B3660" s="1" t="s">
        <v>83</v>
      </c>
      <c r="C3660" s="1" t="s">
        <v>208</v>
      </c>
      <c r="D3660">
        <v>5449</v>
      </c>
      <c r="E3660" s="1"/>
      <c r="F3660" s="1" t="s">
        <v>344</v>
      </c>
      <c r="G3660">
        <v>2009</v>
      </c>
      <c r="H3660">
        <v>9340.4</v>
      </c>
      <c r="I3660">
        <v>12</v>
      </c>
      <c r="J3660" s="1" t="s">
        <v>402</v>
      </c>
      <c r="K3660">
        <v>0</v>
      </c>
      <c r="L3660">
        <v>7709</v>
      </c>
      <c r="M3660">
        <v>1.2116070000000001</v>
      </c>
      <c r="N3660">
        <v>3</v>
      </c>
      <c r="O3660" s="1" t="s">
        <v>560</v>
      </c>
      <c r="P3660">
        <v>9340.4</v>
      </c>
      <c r="Q3660">
        <v>7472.32</v>
      </c>
      <c r="R3660">
        <v>0</v>
      </c>
      <c r="S3660" s="1" t="s">
        <v>706</v>
      </c>
      <c r="T3660" s="1"/>
      <c r="U3660">
        <v>9340.4</v>
      </c>
      <c r="V3660">
        <v>0</v>
      </c>
      <c r="W3660">
        <v>57535</v>
      </c>
    </row>
    <row r="3661" spans="1:23" x14ac:dyDescent="0.25">
      <c r="A3661" s="1" t="s">
        <v>39</v>
      </c>
      <c r="B3661" s="1" t="s">
        <v>83</v>
      </c>
      <c r="C3661" s="1" t="s">
        <v>208</v>
      </c>
      <c r="D3661">
        <v>5449</v>
      </c>
      <c r="E3661" s="1"/>
      <c r="F3661" s="1" t="s">
        <v>344</v>
      </c>
      <c r="G3661">
        <v>2008</v>
      </c>
      <c r="H3661">
        <v>10220.200000000001</v>
      </c>
      <c r="I3661">
        <v>12</v>
      </c>
      <c r="J3661" s="1" t="s">
        <v>402</v>
      </c>
      <c r="K3661">
        <v>0</v>
      </c>
      <c r="L3661">
        <v>7709</v>
      </c>
      <c r="M3661">
        <v>1.325731</v>
      </c>
      <c r="N3661">
        <v>3</v>
      </c>
      <c r="O3661" s="1" t="s">
        <v>560</v>
      </c>
      <c r="P3661">
        <v>10220.200000000001</v>
      </c>
      <c r="Q3661">
        <v>8176.16</v>
      </c>
      <c r="R3661">
        <v>0</v>
      </c>
      <c r="S3661" s="1" t="s">
        <v>706</v>
      </c>
      <c r="T3661" s="1"/>
      <c r="U3661">
        <v>10220.200000000001</v>
      </c>
      <c r="V3661">
        <v>0</v>
      </c>
      <c r="W3661">
        <v>57535</v>
      </c>
    </row>
    <row r="3662" spans="1:23" x14ac:dyDescent="0.25">
      <c r="A3662" s="1" t="s">
        <v>39</v>
      </c>
      <c r="B3662" s="1" t="s">
        <v>83</v>
      </c>
      <c r="C3662" s="1" t="s">
        <v>208</v>
      </c>
      <c r="D3662">
        <v>5453</v>
      </c>
      <c r="E3662" s="1"/>
      <c r="F3662" s="1" t="s">
        <v>345</v>
      </c>
      <c r="G3662">
        <v>2015</v>
      </c>
      <c r="H3662">
        <v>211.21</v>
      </c>
      <c r="I3662">
        <v>5</v>
      </c>
      <c r="J3662" s="1" t="s">
        <v>421</v>
      </c>
      <c r="K3662">
        <v>0</v>
      </c>
      <c r="L3662">
        <v>610</v>
      </c>
      <c r="M3662">
        <v>0.34618900000000002</v>
      </c>
      <c r="N3662">
        <v>3</v>
      </c>
      <c r="O3662" s="1" t="s">
        <v>560</v>
      </c>
      <c r="P3662">
        <v>211.21</v>
      </c>
      <c r="Q3662">
        <v>0</v>
      </c>
      <c r="R3662">
        <v>1</v>
      </c>
      <c r="S3662" s="1" t="s">
        <v>707</v>
      </c>
      <c r="T3662" s="1"/>
      <c r="U3662">
        <v>211.21876</v>
      </c>
      <c r="V3662">
        <v>0</v>
      </c>
      <c r="W3662">
        <v>84286</v>
      </c>
    </row>
    <row r="3663" spans="1:23" x14ac:dyDescent="0.25">
      <c r="A3663" s="1" t="s">
        <v>39</v>
      </c>
      <c r="B3663" s="1" t="s">
        <v>83</v>
      </c>
      <c r="C3663" s="1" t="s">
        <v>208</v>
      </c>
      <c r="D3663">
        <v>5453</v>
      </c>
      <c r="E3663" s="1"/>
      <c r="F3663" s="1" t="s">
        <v>345</v>
      </c>
      <c r="G3663">
        <v>2014</v>
      </c>
      <c r="H3663">
        <v>473</v>
      </c>
      <c r="I3663">
        <v>12</v>
      </c>
      <c r="J3663" s="1" t="s">
        <v>421</v>
      </c>
      <c r="K3663">
        <v>0</v>
      </c>
      <c r="L3663">
        <v>610</v>
      </c>
      <c r="M3663">
        <v>0.77528200000000003</v>
      </c>
      <c r="N3663">
        <v>3</v>
      </c>
      <c r="O3663" s="1" t="s">
        <v>560</v>
      </c>
      <c r="P3663">
        <v>473</v>
      </c>
      <c r="Q3663">
        <v>0</v>
      </c>
      <c r="R3663">
        <v>1</v>
      </c>
      <c r="S3663" s="1" t="s">
        <v>707</v>
      </c>
      <c r="T3663" s="1"/>
      <c r="U3663">
        <v>473.00706000000002</v>
      </c>
      <c r="V3663">
        <v>0</v>
      </c>
      <c r="W3663">
        <v>84286</v>
      </c>
    </row>
    <row r="3664" spans="1:23" x14ac:dyDescent="0.25">
      <c r="A3664" s="1" t="s">
        <v>39</v>
      </c>
      <c r="B3664" s="1" t="s">
        <v>83</v>
      </c>
      <c r="C3664" s="1" t="s">
        <v>208</v>
      </c>
      <c r="D3664">
        <v>5453</v>
      </c>
      <c r="E3664" s="1"/>
      <c r="F3664" s="1" t="s">
        <v>345</v>
      </c>
      <c r="G3664">
        <v>2013</v>
      </c>
      <c r="H3664">
        <v>452.05</v>
      </c>
      <c r="I3664">
        <v>11</v>
      </c>
      <c r="J3664" s="1" t="s">
        <v>421</v>
      </c>
      <c r="K3664">
        <v>0</v>
      </c>
      <c r="L3664">
        <v>610</v>
      </c>
      <c r="M3664">
        <v>0.74094400000000005</v>
      </c>
      <c r="N3664">
        <v>3</v>
      </c>
      <c r="O3664" s="1" t="s">
        <v>560</v>
      </c>
      <c r="P3664">
        <v>452.05</v>
      </c>
      <c r="Q3664">
        <v>0</v>
      </c>
      <c r="R3664">
        <v>1</v>
      </c>
      <c r="S3664" s="1" t="s">
        <v>707</v>
      </c>
      <c r="T3664" s="1"/>
      <c r="U3664">
        <v>452.04692999999997</v>
      </c>
      <c r="V3664">
        <v>0</v>
      </c>
      <c r="W3664">
        <v>84286</v>
      </c>
    </row>
    <row r="3665" spans="1:23" x14ac:dyDescent="0.25">
      <c r="A3665" s="1" t="s">
        <v>39</v>
      </c>
      <c r="B3665" s="1" t="s">
        <v>83</v>
      </c>
      <c r="C3665" s="1" t="s">
        <v>208</v>
      </c>
      <c r="D3665">
        <v>5453</v>
      </c>
      <c r="E3665" s="1"/>
      <c r="F3665" s="1" t="s">
        <v>345</v>
      </c>
      <c r="G3665">
        <v>2012</v>
      </c>
      <c r="H3665">
        <v>447.57</v>
      </c>
      <c r="I3665">
        <v>13</v>
      </c>
      <c r="J3665" s="1" t="s">
        <v>421</v>
      </c>
      <c r="K3665">
        <v>0</v>
      </c>
      <c r="L3665">
        <v>610</v>
      </c>
      <c r="M3665">
        <v>0.73360099999999995</v>
      </c>
      <c r="N3665">
        <v>3</v>
      </c>
      <c r="O3665" s="1" t="s">
        <v>560</v>
      </c>
      <c r="P3665">
        <v>447.57</v>
      </c>
      <c r="Q3665">
        <v>0</v>
      </c>
      <c r="R3665">
        <v>1</v>
      </c>
      <c r="S3665" s="1" t="s">
        <v>707</v>
      </c>
      <c r="T3665" s="1"/>
      <c r="U3665">
        <v>447.57576</v>
      </c>
      <c r="V3665">
        <v>0</v>
      </c>
      <c r="W3665">
        <v>84286</v>
      </c>
    </row>
    <row r="3666" spans="1:23" x14ac:dyDescent="0.25">
      <c r="A3666" s="1" t="s">
        <v>39</v>
      </c>
      <c r="B3666" s="1" t="s">
        <v>83</v>
      </c>
      <c r="C3666" s="1" t="s">
        <v>208</v>
      </c>
      <c r="D3666">
        <v>5453</v>
      </c>
      <c r="E3666" s="1"/>
      <c r="F3666" s="1" t="s">
        <v>345</v>
      </c>
      <c r="G3666">
        <v>2011</v>
      </c>
      <c r="H3666">
        <v>433.85</v>
      </c>
      <c r="I3666">
        <v>12</v>
      </c>
      <c r="J3666" s="1" t="s">
        <v>421</v>
      </c>
      <c r="K3666">
        <v>0</v>
      </c>
      <c r="L3666">
        <v>610</v>
      </c>
      <c r="M3666">
        <v>0.71111199999999997</v>
      </c>
      <c r="N3666">
        <v>3</v>
      </c>
      <c r="O3666" s="1" t="s">
        <v>560</v>
      </c>
      <c r="P3666">
        <v>433.85</v>
      </c>
      <c r="Q3666">
        <v>0</v>
      </c>
      <c r="R3666">
        <v>1</v>
      </c>
      <c r="S3666" s="1" t="s">
        <v>707</v>
      </c>
      <c r="T3666" s="1"/>
      <c r="U3666">
        <v>433.84848</v>
      </c>
      <c r="V3666">
        <v>0</v>
      </c>
      <c r="W3666">
        <v>84286</v>
      </c>
    </row>
    <row r="3667" spans="1:23" x14ac:dyDescent="0.25">
      <c r="A3667" s="1" t="s">
        <v>39</v>
      </c>
      <c r="B3667" s="1" t="s">
        <v>83</v>
      </c>
      <c r="C3667" s="1" t="s">
        <v>208</v>
      </c>
      <c r="D3667">
        <v>5453</v>
      </c>
      <c r="E3667" s="1"/>
      <c r="F3667" s="1" t="s">
        <v>345</v>
      </c>
      <c r="G3667">
        <v>2010</v>
      </c>
      <c r="H3667">
        <v>452.31</v>
      </c>
      <c r="I3667">
        <v>12</v>
      </c>
      <c r="J3667" s="1" t="s">
        <v>421</v>
      </c>
      <c r="K3667">
        <v>0</v>
      </c>
      <c r="L3667">
        <v>610</v>
      </c>
      <c r="M3667">
        <v>0.74136999999999997</v>
      </c>
      <c r="N3667">
        <v>3</v>
      </c>
      <c r="O3667" s="1" t="s">
        <v>560</v>
      </c>
      <c r="P3667">
        <v>452.31</v>
      </c>
      <c r="Q3667">
        <v>0</v>
      </c>
      <c r="R3667">
        <v>1</v>
      </c>
      <c r="S3667" s="1" t="s">
        <v>707</v>
      </c>
      <c r="T3667" s="1"/>
      <c r="U3667">
        <v>452.30302999999998</v>
      </c>
      <c r="V3667">
        <v>0</v>
      </c>
      <c r="W3667">
        <v>84286</v>
      </c>
    </row>
    <row r="3668" spans="1:23" x14ac:dyDescent="0.25">
      <c r="A3668" s="1" t="s">
        <v>39</v>
      </c>
      <c r="B3668" s="1" t="s">
        <v>84</v>
      </c>
      <c r="C3668" s="1" t="s">
        <v>209</v>
      </c>
      <c r="D3668">
        <v>8932</v>
      </c>
      <c r="E3668" s="1" t="s">
        <v>243</v>
      </c>
      <c r="F3668" s="1" t="s">
        <v>346</v>
      </c>
      <c r="G3668">
        <v>2015</v>
      </c>
      <c r="H3668">
        <v>0</v>
      </c>
      <c r="I3668">
        <v>5</v>
      </c>
      <c r="J3668" s="1" t="s">
        <v>433</v>
      </c>
      <c r="K3668">
        <v>0</v>
      </c>
      <c r="L3668">
        <v>0</v>
      </c>
      <c r="M3668">
        <v>0</v>
      </c>
      <c r="N3668">
        <v>3</v>
      </c>
      <c r="O3668" s="1" t="s">
        <v>560</v>
      </c>
      <c r="P3668">
        <v>0</v>
      </c>
      <c r="Q3668">
        <v>0</v>
      </c>
      <c r="R3668">
        <v>1</v>
      </c>
      <c r="S3668" s="1" t="s">
        <v>708</v>
      </c>
      <c r="T3668" s="1"/>
      <c r="U3668">
        <v>0</v>
      </c>
      <c r="V3668">
        <v>0</v>
      </c>
      <c r="W3668">
        <v>70970</v>
      </c>
    </row>
    <row r="3669" spans="1:23" x14ac:dyDescent="0.25">
      <c r="A3669" s="1" t="s">
        <v>39</v>
      </c>
      <c r="B3669" s="1" t="s">
        <v>84</v>
      </c>
      <c r="C3669" s="1" t="s">
        <v>209</v>
      </c>
      <c r="D3669">
        <v>8932</v>
      </c>
      <c r="E3669" s="1" t="s">
        <v>243</v>
      </c>
      <c r="F3669" s="1" t="s">
        <v>346</v>
      </c>
      <c r="G3669">
        <v>2015</v>
      </c>
      <c r="H3669">
        <v>114.83</v>
      </c>
      <c r="I3669">
        <v>5</v>
      </c>
      <c r="J3669" s="1" t="s">
        <v>433</v>
      </c>
      <c r="K3669">
        <v>0</v>
      </c>
      <c r="L3669">
        <v>0</v>
      </c>
      <c r="M3669">
        <v>1148.3</v>
      </c>
      <c r="N3669">
        <v>3</v>
      </c>
      <c r="O3669" s="1" t="s">
        <v>560</v>
      </c>
      <c r="P3669">
        <v>114.83</v>
      </c>
      <c r="Q3669">
        <v>91.85</v>
      </c>
      <c r="R3669">
        <v>1</v>
      </c>
      <c r="S3669" s="1" t="s">
        <v>709</v>
      </c>
      <c r="T3669" s="1"/>
      <c r="U3669">
        <v>114.82353000000001</v>
      </c>
      <c r="V3669">
        <v>0</v>
      </c>
      <c r="W3669">
        <v>70972</v>
      </c>
    </row>
    <row r="3670" spans="1:23" x14ac:dyDescent="0.25">
      <c r="A3670" s="1" t="s">
        <v>39</v>
      </c>
      <c r="B3670" s="1" t="s">
        <v>84</v>
      </c>
      <c r="C3670" s="1" t="s">
        <v>209</v>
      </c>
      <c r="D3670">
        <v>8932</v>
      </c>
      <c r="E3670" s="1" t="s">
        <v>243</v>
      </c>
      <c r="F3670" s="1" t="s">
        <v>346</v>
      </c>
      <c r="G3670">
        <v>2015</v>
      </c>
      <c r="H3670">
        <v>677.94</v>
      </c>
      <c r="I3670">
        <v>5</v>
      </c>
      <c r="J3670" s="1" t="s">
        <v>433</v>
      </c>
      <c r="K3670">
        <v>0</v>
      </c>
      <c r="L3670">
        <v>0</v>
      </c>
      <c r="M3670">
        <v>6779.4</v>
      </c>
      <c r="N3670">
        <v>3</v>
      </c>
      <c r="O3670" s="1" t="s">
        <v>560</v>
      </c>
      <c r="P3670">
        <v>677.94</v>
      </c>
      <c r="Q3670">
        <v>542.35</v>
      </c>
      <c r="R3670">
        <v>1</v>
      </c>
      <c r="S3670" s="1" t="s">
        <v>710</v>
      </c>
      <c r="T3670" s="1"/>
      <c r="U3670">
        <v>677.94118000000003</v>
      </c>
      <c r="V3670">
        <v>0</v>
      </c>
      <c r="W3670">
        <v>70973</v>
      </c>
    </row>
    <row r="3671" spans="1:23" x14ac:dyDescent="0.25">
      <c r="A3671" s="1" t="s">
        <v>39</v>
      </c>
      <c r="B3671" s="1" t="s">
        <v>84</v>
      </c>
      <c r="C3671" s="1" t="s">
        <v>209</v>
      </c>
      <c r="D3671">
        <v>8932</v>
      </c>
      <c r="E3671" s="1" t="s">
        <v>243</v>
      </c>
      <c r="F3671" s="1" t="s">
        <v>346</v>
      </c>
      <c r="G3671">
        <v>2015</v>
      </c>
      <c r="H3671">
        <v>324.70999999999998</v>
      </c>
      <c r="I3671">
        <v>5</v>
      </c>
      <c r="J3671" s="1" t="s">
        <v>433</v>
      </c>
      <c r="K3671">
        <v>0</v>
      </c>
      <c r="L3671">
        <v>0</v>
      </c>
      <c r="M3671">
        <v>3247.1</v>
      </c>
      <c r="N3671">
        <v>3</v>
      </c>
      <c r="O3671" s="1" t="s">
        <v>560</v>
      </c>
      <c r="P3671">
        <v>324.70999999999998</v>
      </c>
      <c r="Q3671">
        <v>0</v>
      </c>
      <c r="R3671">
        <v>1</v>
      </c>
      <c r="S3671" s="1" t="s">
        <v>711</v>
      </c>
      <c r="T3671" s="1"/>
      <c r="U3671">
        <v>324.70587999999998</v>
      </c>
      <c r="V3671">
        <v>0</v>
      </c>
      <c r="W3671">
        <v>70974</v>
      </c>
    </row>
    <row r="3672" spans="1:23" x14ac:dyDescent="0.25">
      <c r="A3672" s="1" t="s">
        <v>39</v>
      </c>
      <c r="B3672" s="1" t="s">
        <v>84</v>
      </c>
      <c r="C3672" s="1" t="s">
        <v>209</v>
      </c>
      <c r="D3672">
        <v>8932</v>
      </c>
      <c r="E3672" s="1" t="s">
        <v>243</v>
      </c>
      <c r="F3672" s="1" t="s">
        <v>346</v>
      </c>
      <c r="G3672">
        <v>2015</v>
      </c>
      <c r="H3672">
        <v>0</v>
      </c>
      <c r="I3672">
        <v>5</v>
      </c>
      <c r="J3672" s="1" t="s">
        <v>433</v>
      </c>
      <c r="K3672">
        <v>0</v>
      </c>
      <c r="L3672">
        <v>0</v>
      </c>
      <c r="M3672">
        <v>0</v>
      </c>
      <c r="N3672">
        <v>3</v>
      </c>
      <c r="O3672" s="1" t="s">
        <v>560</v>
      </c>
      <c r="P3672">
        <v>0</v>
      </c>
      <c r="Q3672">
        <v>0</v>
      </c>
      <c r="R3672">
        <v>1</v>
      </c>
      <c r="S3672" s="1" t="s">
        <v>712</v>
      </c>
      <c r="T3672" s="1"/>
      <c r="U3672">
        <v>0</v>
      </c>
      <c r="V3672">
        <v>0</v>
      </c>
      <c r="W3672">
        <v>70975</v>
      </c>
    </row>
    <row r="3673" spans="1:23" x14ac:dyDescent="0.25">
      <c r="A3673" s="1" t="s">
        <v>39</v>
      </c>
      <c r="B3673" s="1" t="s">
        <v>84</v>
      </c>
      <c r="C3673" s="1" t="s">
        <v>209</v>
      </c>
      <c r="D3673">
        <v>8932</v>
      </c>
      <c r="E3673" s="1" t="s">
        <v>243</v>
      </c>
      <c r="F3673" s="1" t="s">
        <v>346</v>
      </c>
      <c r="G3673">
        <v>2015</v>
      </c>
      <c r="H3673">
        <v>165.76</v>
      </c>
      <c r="I3673">
        <v>5</v>
      </c>
      <c r="J3673" s="1" t="s">
        <v>433</v>
      </c>
      <c r="K3673">
        <v>0</v>
      </c>
      <c r="L3673">
        <v>0</v>
      </c>
      <c r="M3673">
        <v>1657.6</v>
      </c>
      <c r="N3673">
        <v>3</v>
      </c>
      <c r="O3673" s="1" t="s">
        <v>560</v>
      </c>
      <c r="P3673">
        <v>165.76</v>
      </c>
      <c r="Q3673">
        <v>0</v>
      </c>
      <c r="R3673">
        <v>1</v>
      </c>
      <c r="S3673" s="1" t="s">
        <v>713</v>
      </c>
      <c r="T3673" s="1"/>
      <c r="U3673">
        <v>165.7647</v>
      </c>
      <c r="V3673">
        <v>0</v>
      </c>
      <c r="W3673">
        <v>70976</v>
      </c>
    </row>
    <row r="3674" spans="1:23" x14ac:dyDescent="0.25">
      <c r="A3674" s="1" t="s">
        <v>39</v>
      </c>
      <c r="B3674" s="1" t="s">
        <v>84</v>
      </c>
      <c r="C3674" s="1" t="s">
        <v>209</v>
      </c>
      <c r="D3674">
        <v>8932</v>
      </c>
      <c r="E3674" s="1" t="s">
        <v>243</v>
      </c>
      <c r="F3674" s="1" t="s">
        <v>346</v>
      </c>
      <c r="G3674">
        <v>2015</v>
      </c>
      <c r="H3674">
        <v>0</v>
      </c>
      <c r="I3674">
        <v>5</v>
      </c>
      <c r="J3674" s="1" t="s">
        <v>433</v>
      </c>
      <c r="K3674">
        <v>0</v>
      </c>
      <c r="L3674">
        <v>0</v>
      </c>
      <c r="M3674">
        <v>0</v>
      </c>
      <c r="N3674">
        <v>3</v>
      </c>
      <c r="O3674" s="1" t="s">
        <v>560</v>
      </c>
      <c r="P3674">
        <v>0</v>
      </c>
      <c r="Q3674">
        <v>0</v>
      </c>
      <c r="R3674">
        <v>1</v>
      </c>
      <c r="S3674" s="1" t="s">
        <v>714</v>
      </c>
      <c r="T3674" s="1"/>
      <c r="U3674">
        <v>0</v>
      </c>
      <c r="V3674">
        <v>0</v>
      </c>
      <c r="W3674">
        <v>70977</v>
      </c>
    </row>
    <row r="3675" spans="1:23" x14ac:dyDescent="0.25">
      <c r="A3675" s="1" t="s">
        <v>39</v>
      </c>
      <c r="B3675" s="1" t="s">
        <v>84</v>
      </c>
      <c r="C3675" s="1" t="s">
        <v>209</v>
      </c>
      <c r="D3675">
        <v>8932</v>
      </c>
      <c r="E3675" s="1" t="s">
        <v>243</v>
      </c>
      <c r="F3675" s="1" t="s">
        <v>346</v>
      </c>
      <c r="G3675">
        <v>2014</v>
      </c>
      <c r="H3675">
        <v>0</v>
      </c>
      <c r="I3675">
        <v>12</v>
      </c>
      <c r="J3675" s="1" t="s">
        <v>433</v>
      </c>
      <c r="K3675">
        <v>0</v>
      </c>
      <c r="L3675">
        <v>0</v>
      </c>
      <c r="M3675">
        <v>0</v>
      </c>
      <c r="N3675">
        <v>3</v>
      </c>
      <c r="O3675" s="1" t="s">
        <v>560</v>
      </c>
      <c r="P3675">
        <v>0</v>
      </c>
      <c r="Q3675">
        <v>0</v>
      </c>
      <c r="R3675">
        <v>1</v>
      </c>
      <c r="S3675" s="1" t="s">
        <v>708</v>
      </c>
      <c r="T3675" s="1"/>
      <c r="U3675">
        <v>0</v>
      </c>
      <c r="V3675">
        <v>0</v>
      </c>
      <c r="W3675">
        <v>70970</v>
      </c>
    </row>
    <row r="3676" spans="1:23" x14ac:dyDescent="0.25">
      <c r="A3676" s="1" t="s">
        <v>39</v>
      </c>
      <c r="B3676" s="1" t="s">
        <v>84</v>
      </c>
      <c r="C3676" s="1" t="s">
        <v>209</v>
      </c>
      <c r="D3676">
        <v>8932</v>
      </c>
      <c r="E3676" s="1" t="s">
        <v>243</v>
      </c>
      <c r="F3676" s="1" t="s">
        <v>346</v>
      </c>
      <c r="G3676">
        <v>2014</v>
      </c>
      <c r="H3676">
        <v>349.92</v>
      </c>
      <c r="I3676">
        <v>12</v>
      </c>
      <c r="J3676" s="1" t="s">
        <v>433</v>
      </c>
      <c r="K3676">
        <v>0</v>
      </c>
      <c r="L3676">
        <v>0</v>
      </c>
      <c r="M3676">
        <v>3499.2</v>
      </c>
      <c r="N3676">
        <v>3</v>
      </c>
      <c r="O3676" s="1" t="s">
        <v>560</v>
      </c>
      <c r="P3676">
        <v>349.92</v>
      </c>
      <c r="Q3676">
        <v>279.95</v>
      </c>
      <c r="R3676">
        <v>1</v>
      </c>
      <c r="S3676" s="1" t="s">
        <v>709</v>
      </c>
      <c r="T3676" s="1"/>
      <c r="U3676">
        <v>349.92646000000002</v>
      </c>
      <c r="V3676">
        <v>0</v>
      </c>
      <c r="W3676">
        <v>70972</v>
      </c>
    </row>
    <row r="3677" spans="1:23" x14ac:dyDescent="0.25">
      <c r="A3677" s="1" t="s">
        <v>39</v>
      </c>
      <c r="B3677" s="1" t="s">
        <v>84</v>
      </c>
      <c r="C3677" s="1" t="s">
        <v>209</v>
      </c>
      <c r="D3677">
        <v>8932</v>
      </c>
      <c r="E3677" s="1" t="s">
        <v>243</v>
      </c>
      <c r="F3677" s="1" t="s">
        <v>346</v>
      </c>
      <c r="G3677">
        <v>2014</v>
      </c>
      <c r="H3677">
        <v>1865.21</v>
      </c>
      <c r="I3677">
        <v>12</v>
      </c>
      <c r="J3677" s="1" t="s">
        <v>433</v>
      </c>
      <c r="K3677">
        <v>0</v>
      </c>
      <c r="L3677">
        <v>0</v>
      </c>
      <c r="M3677">
        <v>18652.099999999999</v>
      </c>
      <c r="N3677">
        <v>3</v>
      </c>
      <c r="O3677" s="1" t="s">
        <v>560</v>
      </c>
      <c r="P3677">
        <v>1865.21</v>
      </c>
      <c r="Q3677">
        <v>1492.17</v>
      </c>
      <c r="R3677">
        <v>1</v>
      </c>
      <c r="S3677" s="1" t="s">
        <v>710</v>
      </c>
      <c r="T3677" s="1"/>
      <c r="U3677">
        <v>1865.21507</v>
      </c>
      <c r="V3677">
        <v>0</v>
      </c>
      <c r="W3677">
        <v>70973</v>
      </c>
    </row>
    <row r="3678" spans="1:23" x14ac:dyDescent="0.25">
      <c r="A3678" s="1" t="s">
        <v>39</v>
      </c>
      <c r="B3678" s="1" t="s">
        <v>84</v>
      </c>
      <c r="C3678" s="1" t="s">
        <v>209</v>
      </c>
      <c r="D3678">
        <v>8932</v>
      </c>
      <c r="E3678" s="1" t="s">
        <v>243</v>
      </c>
      <c r="F3678" s="1" t="s">
        <v>346</v>
      </c>
      <c r="G3678">
        <v>2014</v>
      </c>
      <c r="H3678">
        <v>902.44</v>
      </c>
      <c r="I3678">
        <v>12</v>
      </c>
      <c r="J3678" s="1" t="s">
        <v>433</v>
      </c>
      <c r="K3678">
        <v>0</v>
      </c>
      <c r="L3678">
        <v>0</v>
      </c>
      <c r="M3678">
        <v>9024.4</v>
      </c>
      <c r="N3678">
        <v>3</v>
      </c>
      <c r="O3678" s="1" t="s">
        <v>560</v>
      </c>
      <c r="P3678">
        <v>902.44</v>
      </c>
      <c r="Q3678">
        <v>0</v>
      </c>
      <c r="R3678">
        <v>1</v>
      </c>
      <c r="S3678" s="1" t="s">
        <v>711</v>
      </c>
      <c r="T3678" s="1"/>
      <c r="U3678">
        <v>902.45038</v>
      </c>
      <c r="V3678">
        <v>0</v>
      </c>
      <c r="W3678">
        <v>70974</v>
      </c>
    </row>
    <row r="3679" spans="1:23" x14ac:dyDescent="0.25">
      <c r="A3679" s="1" t="s">
        <v>39</v>
      </c>
      <c r="B3679" s="1" t="s">
        <v>84</v>
      </c>
      <c r="C3679" s="1" t="s">
        <v>209</v>
      </c>
      <c r="D3679">
        <v>8932</v>
      </c>
      <c r="E3679" s="1" t="s">
        <v>243</v>
      </c>
      <c r="F3679" s="1" t="s">
        <v>346</v>
      </c>
      <c r="G3679">
        <v>2014</v>
      </c>
      <c r="H3679">
        <v>1</v>
      </c>
      <c r="I3679">
        <v>11</v>
      </c>
      <c r="J3679" s="1" t="s">
        <v>433</v>
      </c>
      <c r="K3679">
        <v>0</v>
      </c>
      <c r="L3679">
        <v>0</v>
      </c>
      <c r="M3679">
        <v>10</v>
      </c>
      <c r="N3679">
        <v>3</v>
      </c>
      <c r="O3679" s="1" t="s">
        <v>560</v>
      </c>
      <c r="P3679">
        <v>1</v>
      </c>
      <c r="Q3679">
        <v>0</v>
      </c>
      <c r="R3679">
        <v>1</v>
      </c>
      <c r="S3679" s="1" t="s">
        <v>712</v>
      </c>
      <c r="T3679" s="1"/>
      <c r="U3679">
        <v>1</v>
      </c>
      <c r="V3679">
        <v>0</v>
      </c>
      <c r="W3679">
        <v>70975</v>
      </c>
    </row>
    <row r="3680" spans="1:23" x14ac:dyDescent="0.25">
      <c r="A3680" s="1" t="s">
        <v>39</v>
      </c>
      <c r="B3680" s="1" t="s">
        <v>84</v>
      </c>
      <c r="C3680" s="1" t="s">
        <v>209</v>
      </c>
      <c r="D3680">
        <v>8932</v>
      </c>
      <c r="E3680" s="1" t="s">
        <v>243</v>
      </c>
      <c r="F3680" s="1" t="s">
        <v>346</v>
      </c>
      <c r="G3680">
        <v>2014</v>
      </c>
      <c r="H3680">
        <v>562.45000000000005</v>
      </c>
      <c r="I3680">
        <v>12</v>
      </c>
      <c r="J3680" s="1" t="s">
        <v>433</v>
      </c>
      <c r="K3680">
        <v>0</v>
      </c>
      <c r="L3680">
        <v>0</v>
      </c>
      <c r="M3680">
        <v>5624.5</v>
      </c>
      <c r="N3680">
        <v>3</v>
      </c>
      <c r="O3680" s="1" t="s">
        <v>560</v>
      </c>
      <c r="P3680">
        <v>562.45000000000005</v>
      </c>
      <c r="Q3680">
        <v>0</v>
      </c>
      <c r="R3680">
        <v>1</v>
      </c>
      <c r="S3680" s="1" t="s">
        <v>713</v>
      </c>
      <c r="T3680" s="1"/>
      <c r="U3680">
        <v>562.45406000000003</v>
      </c>
      <c r="V3680">
        <v>0</v>
      </c>
      <c r="W3680">
        <v>70976</v>
      </c>
    </row>
    <row r="3681" spans="1:23" x14ac:dyDescent="0.25">
      <c r="A3681" s="1" t="s">
        <v>39</v>
      </c>
      <c r="B3681" s="1" t="s">
        <v>84</v>
      </c>
      <c r="C3681" s="1" t="s">
        <v>209</v>
      </c>
      <c r="D3681">
        <v>8932</v>
      </c>
      <c r="E3681" s="1" t="s">
        <v>243</v>
      </c>
      <c r="F3681" s="1" t="s">
        <v>346</v>
      </c>
      <c r="G3681">
        <v>2014</v>
      </c>
      <c r="H3681">
        <v>0</v>
      </c>
      <c r="I3681">
        <v>12</v>
      </c>
      <c r="J3681" s="1" t="s">
        <v>433</v>
      </c>
      <c r="K3681">
        <v>0</v>
      </c>
      <c r="L3681">
        <v>0</v>
      </c>
      <c r="M3681">
        <v>0</v>
      </c>
      <c r="N3681">
        <v>3</v>
      </c>
      <c r="O3681" s="1" t="s">
        <v>560</v>
      </c>
      <c r="P3681">
        <v>0</v>
      </c>
      <c r="Q3681">
        <v>0</v>
      </c>
      <c r="R3681">
        <v>1</v>
      </c>
      <c r="S3681" s="1" t="s">
        <v>714</v>
      </c>
      <c r="T3681" s="1"/>
      <c r="U3681">
        <v>0</v>
      </c>
      <c r="V3681">
        <v>0</v>
      </c>
      <c r="W3681">
        <v>70977</v>
      </c>
    </row>
    <row r="3682" spans="1:23" x14ac:dyDescent="0.25">
      <c r="A3682" s="1" t="s">
        <v>39</v>
      </c>
      <c r="B3682" s="1" t="s">
        <v>84</v>
      </c>
      <c r="C3682" s="1" t="s">
        <v>209</v>
      </c>
      <c r="D3682">
        <v>8932</v>
      </c>
      <c r="E3682" s="1" t="s">
        <v>243</v>
      </c>
      <c r="F3682" s="1" t="s">
        <v>346</v>
      </c>
      <c r="G3682">
        <v>2013</v>
      </c>
      <c r="H3682">
        <v>0</v>
      </c>
      <c r="I3682">
        <v>11</v>
      </c>
      <c r="J3682" s="1" t="s">
        <v>433</v>
      </c>
      <c r="K3682">
        <v>0</v>
      </c>
      <c r="L3682">
        <v>0</v>
      </c>
      <c r="M3682">
        <v>0</v>
      </c>
      <c r="N3682">
        <v>3</v>
      </c>
      <c r="O3682" s="1" t="s">
        <v>560</v>
      </c>
      <c r="P3682">
        <v>0</v>
      </c>
      <c r="Q3682">
        <v>0</v>
      </c>
      <c r="R3682">
        <v>1</v>
      </c>
      <c r="S3682" s="1" t="s">
        <v>708</v>
      </c>
      <c r="T3682" s="1"/>
      <c r="U3682">
        <v>0</v>
      </c>
      <c r="V3682">
        <v>0</v>
      </c>
      <c r="W3682">
        <v>70970</v>
      </c>
    </row>
    <row r="3683" spans="1:23" x14ac:dyDescent="0.25">
      <c r="A3683" s="1" t="s">
        <v>39</v>
      </c>
      <c r="B3683" s="1" t="s">
        <v>84</v>
      </c>
      <c r="C3683" s="1" t="s">
        <v>209</v>
      </c>
      <c r="D3683">
        <v>8932</v>
      </c>
      <c r="E3683" s="1" t="s">
        <v>243</v>
      </c>
      <c r="F3683" s="1" t="s">
        <v>346</v>
      </c>
      <c r="G3683">
        <v>2013</v>
      </c>
      <c r="H3683">
        <v>346.26</v>
      </c>
      <c r="I3683">
        <v>11</v>
      </c>
      <c r="J3683" s="1" t="s">
        <v>433</v>
      </c>
      <c r="K3683">
        <v>0</v>
      </c>
      <c r="L3683">
        <v>0</v>
      </c>
      <c r="M3683">
        <v>3462.6</v>
      </c>
      <c r="N3683">
        <v>3</v>
      </c>
      <c r="O3683" s="1" t="s">
        <v>560</v>
      </c>
      <c r="P3683">
        <v>346.26</v>
      </c>
      <c r="Q3683">
        <v>277</v>
      </c>
      <c r="R3683">
        <v>1</v>
      </c>
      <c r="S3683" s="1" t="s">
        <v>709</v>
      </c>
      <c r="T3683" s="1"/>
      <c r="U3683">
        <v>346.25000999999997</v>
      </c>
      <c r="V3683">
        <v>0</v>
      </c>
      <c r="W3683">
        <v>70972</v>
      </c>
    </row>
    <row r="3684" spans="1:23" x14ac:dyDescent="0.25">
      <c r="A3684" s="1" t="s">
        <v>39</v>
      </c>
      <c r="B3684" s="1" t="s">
        <v>84</v>
      </c>
      <c r="C3684" s="1" t="s">
        <v>209</v>
      </c>
      <c r="D3684">
        <v>8932</v>
      </c>
      <c r="E3684" s="1" t="s">
        <v>243</v>
      </c>
      <c r="F3684" s="1" t="s">
        <v>346</v>
      </c>
      <c r="G3684">
        <v>2013</v>
      </c>
      <c r="H3684">
        <v>1758.36</v>
      </c>
      <c r="I3684">
        <v>11</v>
      </c>
      <c r="J3684" s="1" t="s">
        <v>433</v>
      </c>
      <c r="K3684">
        <v>0</v>
      </c>
      <c r="L3684">
        <v>0</v>
      </c>
      <c r="M3684">
        <v>17583.599999999999</v>
      </c>
      <c r="N3684">
        <v>3</v>
      </c>
      <c r="O3684" s="1" t="s">
        <v>560</v>
      </c>
      <c r="P3684">
        <v>1758.36</v>
      </c>
      <c r="Q3684">
        <v>1406.69</v>
      </c>
      <c r="R3684">
        <v>1</v>
      </c>
      <c r="S3684" s="1" t="s">
        <v>710</v>
      </c>
      <c r="T3684" s="1"/>
      <c r="U3684">
        <v>1758.3588999999999</v>
      </c>
      <c r="V3684">
        <v>0</v>
      </c>
      <c r="W3684">
        <v>70973</v>
      </c>
    </row>
    <row r="3685" spans="1:23" x14ac:dyDescent="0.25">
      <c r="A3685" s="1" t="s">
        <v>39</v>
      </c>
      <c r="B3685" s="1" t="s">
        <v>84</v>
      </c>
      <c r="C3685" s="1" t="s">
        <v>209</v>
      </c>
      <c r="D3685">
        <v>8932</v>
      </c>
      <c r="E3685" s="1" t="s">
        <v>243</v>
      </c>
      <c r="F3685" s="1" t="s">
        <v>346</v>
      </c>
      <c r="G3685">
        <v>2013</v>
      </c>
      <c r="H3685">
        <v>1036.52</v>
      </c>
      <c r="I3685">
        <v>11</v>
      </c>
      <c r="J3685" s="1" t="s">
        <v>433</v>
      </c>
      <c r="K3685">
        <v>0</v>
      </c>
      <c r="L3685">
        <v>0</v>
      </c>
      <c r="M3685">
        <v>10365.200000000001</v>
      </c>
      <c r="N3685">
        <v>3</v>
      </c>
      <c r="O3685" s="1" t="s">
        <v>560</v>
      </c>
      <c r="P3685">
        <v>1036.52</v>
      </c>
      <c r="Q3685">
        <v>0</v>
      </c>
      <c r="R3685">
        <v>1</v>
      </c>
      <c r="S3685" s="1" t="s">
        <v>711</v>
      </c>
      <c r="T3685" s="1"/>
      <c r="U3685">
        <v>1036.5104100000001</v>
      </c>
      <c r="V3685">
        <v>0</v>
      </c>
      <c r="W3685">
        <v>70974</v>
      </c>
    </row>
    <row r="3686" spans="1:23" x14ac:dyDescent="0.25">
      <c r="A3686" s="1" t="s">
        <v>39</v>
      </c>
      <c r="B3686" s="1" t="s">
        <v>84</v>
      </c>
      <c r="C3686" s="1" t="s">
        <v>209</v>
      </c>
      <c r="D3686">
        <v>8932</v>
      </c>
      <c r="E3686" s="1" t="s">
        <v>243</v>
      </c>
      <c r="F3686" s="1" t="s">
        <v>346</v>
      </c>
      <c r="G3686">
        <v>2013</v>
      </c>
      <c r="H3686">
        <v>0</v>
      </c>
      <c r="I3686">
        <v>11</v>
      </c>
      <c r="J3686" s="1" t="s">
        <v>433</v>
      </c>
      <c r="K3686">
        <v>0</v>
      </c>
      <c r="L3686">
        <v>0</v>
      </c>
      <c r="M3686">
        <v>0</v>
      </c>
      <c r="N3686">
        <v>3</v>
      </c>
      <c r="O3686" s="1" t="s">
        <v>560</v>
      </c>
      <c r="P3686">
        <v>0</v>
      </c>
      <c r="Q3686">
        <v>0</v>
      </c>
      <c r="R3686">
        <v>1</v>
      </c>
      <c r="S3686" s="1" t="s">
        <v>712</v>
      </c>
      <c r="T3686" s="1"/>
      <c r="U3686">
        <v>0</v>
      </c>
      <c r="V3686">
        <v>0</v>
      </c>
      <c r="W3686">
        <v>70975</v>
      </c>
    </row>
    <row r="3687" spans="1:23" x14ac:dyDescent="0.25">
      <c r="A3687" s="1" t="s">
        <v>39</v>
      </c>
      <c r="B3687" s="1" t="s">
        <v>84</v>
      </c>
      <c r="C3687" s="1" t="s">
        <v>209</v>
      </c>
      <c r="D3687">
        <v>8932</v>
      </c>
      <c r="E3687" s="1" t="s">
        <v>243</v>
      </c>
      <c r="F3687" s="1" t="s">
        <v>346</v>
      </c>
      <c r="G3687">
        <v>2013</v>
      </c>
      <c r="H3687">
        <v>569.53</v>
      </c>
      <c r="I3687">
        <v>11</v>
      </c>
      <c r="J3687" s="1" t="s">
        <v>433</v>
      </c>
      <c r="K3687">
        <v>0</v>
      </c>
      <c r="L3687">
        <v>0</v>
      </c>
      <c r="M3687">
        <v>5695.3</v>
      </c>
      <c r="N3687">
        <v>3</v>
      </c>
      <c r="O3687" s="1" t="s">
        <v>560</v>
      </c>
      <c r="P3687">
        <v>569.53</v>
      </c>
      <c r="Q3687">
        <v>0</v>
      </c>
      <c r="R3687">
        <v>1</v>
      </c>
      <c r="S3687" s="1" t="s">
        <v>713</v>
      </c>
      <c r="T3687" s="1"/>
      <c r="U3687">
        <v>569.53884000000005</v>
      </c>
      <c r="V3687">
        <v>0</v>
      </c>
      <c r="W3687">
        <v>70976</v>
      </c>
    </row>
    <row r="3688" spans="1:23" x14ac:dyDescent="0.25">
      <c r="A3688" s="1" t="s">
        <v>39</v>
      </c>
      <c r="B3688" s="1" t="s">
        <v>84</v>
      </c>
      <c r="C3688" s="1" t="s">
        <v>209</v>
      </c>
      <c r="D3688">
        <v>8932</v>
      </c>
      <c r="E3688" s="1" t="s">
        <v>243</v>
      </c>
      <c r="F3688" s="1" t="s">
        <v>346</v>
      </c>
      <c r="G3688">
        <v>2013</v>
      </c>
      <c r="H3688">
        <v>0</v>
      </c>
      <c r="I3688">
        <v>11</v>
      </c>
      <c r="J3688" s="1" t="s">
        <v>433</v>
      </c>
      <c r="K3688">
        <v>0</v>
      </c>
      <c r="L3688">
        <v>0</v>
      </c>
      <c r="M3688">
        <v>0</v>
      </c>
      <c r="N3688">
        <v>3</v>
      </c>
      <c r="O3688" s="1" t="s">
        <v>560</v>
      </c>
      <c r="P3688">
        <v>0</v>
      </c>
      <c r="Q3688">
        <v>0</v>
      </c>
      <c r="R3688">
        <v>1</v>
      </c>
      <c r="S3688" s="1" t="s">
        <v>714</v>
      </c>
      <c r="T3688" s="1"/>
      <c r="U3688">
        <v>0</v>
      </c>
      <c r="V3688">
        <v>0</v>
      </c>
      <c r="W3688">
        <v>70977</v>
      </c>
    </row>
    <row r="3689" spans="1:23" x14ac:dyDescent="0.25">
      <c r="A3689" s="1" t="s">
        <v>39</v>
      </c>
      <c r="B3689" s="1" t="s">
        <v>84</v>
      </c>
      <c r="C3689" s="1" t="s">
        <v>209</v>
      </c>
      <c r="D3689">
        <v>8932</v>
      </c>
      <c r="E3689" s="1" t="s">
        <v>243</v>
      </c>
      <c r="F3689" s="1" t="s">
        <v>346</v>
      </c>
      <c r="G3689">
        <v>2012</v>
      </c>
      <c r="H3689">
        <v>0</v>
      </c>
      <c r="I3689">
        <v>12</v>
      </c>
      <c r="J3689" s="1" t="s">
        <v>433</v>
      </c>
      <c r="K3689">
        <v>0</v>
      </c>
      <c r="L3689">
        <v>0</v>
      </c>
      <c r="M3689">
        <v>0</v>
      </c>
      <c r="N3689">
        <v>3</v>
      </c>
      <c r="O3689" s="1" t="s">
        <v>560</v>
      </c>
      <c r="P3689">
        <v>0</v>
      </c>
      <c r="Q3689">
        <v>0</v>
      </c>
      <c r="R3689">
        <v>1</v>
      </c>
      <c r="S3689" s="1" t="s">
        <v>708</v>
      </c>
      <c r="T3689" s="1"/>
      <c r="U3689">
        <v>0</v>
      </c>
      <c r="V3689">
        <v>0</v>
      </c>
      <c r="W3689">
        <v>70970</v>
      </c>
    </row>
    <row r="3690" spans="1:23" x14ac:dyDescent="0.25">
      <c r="A3690" s="1" t="s">
        <v>39</v>
      </c>
      <c r="B3690" s="1" t="s">
        <v>84</v>
      </c>
      <c r="C3690" s="1" t="s">
        <v>209</v>
      </c>
      <c r="D3690">
        <v>8932</v>
      </c>
      <c r="E3690" s="1" t="s">
        <v>243</v>
      </c>
      <c r="F3690" s="1" t="s">
        <v>346</v>
      </c>
      <c r="G3690">
        <v>2012</v>
      </c>
      <c r="H3690">
        <v>91.92</v>
      </c>
      <c r="I3690">
        <v>7</v>
      </c>
      <c r="J3690" s="1" t="s">
        <v>454</v>
      </c>
      <c r="K3690">
        <v>0</v>
      </c>
      <c r="L3690">
        <v>0</v>
      </c>
      <c r="M3690">
        <v>919.2</v>
      </c>
      <c r="N3690">
        <v>3</v>
      </c>
      <c r="O3690" s="1" t="s">
        <v>560</v>
      </c>
      <c r="P3690">
        <v>91.92</v>
      </c>
      <c r="Q3690">
        <v>73.52</v>
      </c>
      <c r="R3690">
        <v>1</v>
      </c>
      <c r="S3690" s="1" t="s">
        <v>715</v>
      </c>
      <c r="T3690" s="1"/>
      <c r="U3690">
        <v>91.916669999999996</v>
      </c>
      <c r="V3690">
        <v>0</v>
      </c>
      <c r="W3690">
        <v>70971</v>
      </c>
    </row>
    <row r="3691" spans="1:23" x14ac:dyDescent="0.25">
      <c r="A3691" s="1" t="s">
        <v>39</v>
      </c>
      <c r="B3691" s="1" t="s">
        <v>84</v>
      </c>
      <c r="C3691" s="1" t="s">
        <v>209</v>
      </c>
      <c r="D3691">
        <v>8932</v>
      </c>
      <c r="E3691" s="1" t="s">
        <v>243</v>
      </c>
      <c r="F3691" s="1" t="s">
        <v>346</v>
      </c>
      <c r="G3691">
        <v>2012</v>
      </c>
      <c r="H3691">
        <v>366.41</v>
      </c>
      <c r="I3691">
        <v>12</v>
      </c>
      <c r="J3691" s="1" t="s">
        <v>433</v>
      </c>
      <c r="K3691">
        <v>0</v>
      </c>
      <c r="L3691">
        <v>0</v>
      </c>
      <c r="M3691">
        <v>3664.1</v>
      </c>
      <c r="N3691">
        <v>3</v>
      </c>
      <c r="O3691" s="1" t="s">
        <v>560</v>
      </c>
      <c r="P3691">
        <v>366.41</v>
      </c>
      <c r="Q3691">
        <v>293.14</v>
      </c>
      <c r="R3691">
        <v>1</v>
      </c>
      <c r="S3691" s="1" t="s">
        <v>709</v>
      </c>
      <c r="T3691" s="1"/>
      <c r="U3691">
        <v>366.41667000000001</v>
      </c>
      <c r="V3691">
        <v>0</v>
      </c>
      <c r="W3691">
        <v>70972</v>
      </c>
    </row>
    <row r="3692" spans="1:23" x14ac:dyDescent="0.25">
      <c r="A3692" s="1" t="s">
        <v>39</v>
      </c>
      <c r="B3692" s="1" t="s">
        <v>84</v>
      </c>
      <c r="C3692" s="1" t="s">
        <v>209</v>
      </c>
      <c r="D3692">
        <v>8932</v>
      </c>
      <c r="E3692" s="1" t="s">
        <v>243</v>
      </c>
      <c r="F3692" s="1" t="s">
        <v>346</v>
      </c>
      <c r="G3692">
        <v>2012</v>
      </c>
      <c r="H3692">
        <v>1610.16</v>
      </c>
      <c r="I3692">
        <v>12</v>
      </c>
      <c r="J3692" s="1" t="s">
        <v>433</v>
      </c>
      <c r="K3692">
        <v>0</v>
      </c>
      <c r="L3692">
        <v>0</v>
      </c>
      <c r="M3692">
        <v>16101.6</v>
      </c>
      <c r="N3692">
        <v>3</v>
      </c>
      <c r="O3692" s="1" t="s">
        <v>560</v>
      </c>
      <c r="P3692">
        <v>1610.16</v>
      </c>
      <c r="Q3692">
        <v>1288.1300000000001</v>
      </c>
      <c r="R3692">
        <v>1</v>
      </c>
      <c r="S3692" s="1" t="s">
        <v>710</v>
      </c>
      <c r="T3692" s="1"/>
      <c r="U3692">
        <v>1610.1515199999999</v>
      </c>
      <c r="V3692">
        <v>0</v>
      </c>
      <c r="W3692">
        <v>70973</v>
      </c>
    </row>
    <row r="3693" spans="1:23" x14ac:dyDescent="0.25">
      <c r="A3693" s="1" t="s">
        <v>39</v>
      </c>
      <c r="B3693" s="1" t="s">
        <v>84</v>
      </c>
      <c r="C3693" s="1" t="s">
        <v>209</v>
      </c>
      <c r="D3693">
        <v>8932</v>
      </c>
      <c r="E3693" s="1" t="s">
        <v>243</v>
      </c>
      <c r="F3693" s="1" t="s">
        <v>346</v>
      </c>
      <c r="G3693">
        <v>2012</v>
      </c>
      <c r="H3693">
        <v>996.17</v>
      </c>
      <c r="I3693">
        <v>12</v>
      </c>
      <c r="J3693" s="1" t="s">
        <v>433</v>
      </c>
      <c r="K3693">
        <v>0</v>
      </c>
      <c r="L3693">
        <v>0</v>
      </c>
      <c r="M3693">
        <v>9961.7000000000007</v>
      </c>
      <c r="N3693">
        <v>3</v>
      </c>
      <c r="O3693" s="1" t="s">
        <v>560</v>
      </c>
      <c r="P3693">
        <v>996.17</v>
      </c>
      <c r="Q3693">
        <v>0</v>
      </c>
      <c r="R3693">
        <v>1</v>
      </c>
      <c r="S3693" s="1" t="s">
        <v>711</v>
      </c>
      <c r="T3693" s="1"/>
      <c r="U3693">
        <v>996.16666999999995</v>
      </c>
      <c r="V3693">
        <v>0</v>
      </c>
      <c r="W3693">
        <v>70974</v>
      </c>
    </row>
    <row r="3694" spans="1:23" x14ac:dyDescent="0.25">
      <c r="A3694" s="1" t="s">
        <v>39</v>
      </c>
      <c r="B3694" s="1" t="s">
        <v>84</v>
      </c>
      <c r="C3694" s="1" t="s">
        <v>209</v>
      </c>
      <c r="D3694">
        <v>8932</v>
      </c>
      <c r="E3694" s="1" t="s">
        <v>243</v>
      </c>
      <c r="F3694" s="1" t="s">
        <v>346</v>
      </c>
      <c r="G3694">
        <v>2012</v>
      </c>
      <c r="H3694">
        <v>15.99</v>
      </c>
      <c r="I3694">
        <v>12</v>
      </c>
      <c r="J3694" s="1" t="s">
        <v>433</v>
      </c>
      <c r="K3694">
        <v>0</v>
      </c>
      <c r="L3694">
        <v>0</v>
      </c>
      <c r="M3694">
        <v>159.9</v>
      </c>
      <c r="N3694">
        <v>3</v>
      </c>
      <c r="O3694" s="1" t="s">
        <v>560</v>
      </c>
      <c r="P3694">
        <v>15.99</v>
      </c>
      <c r="Q3694">
        <v>0</v>
      </c>
      <c r="R3694">
        <v>1</v>
      </c>
      <c r="S3694" s="1" t="s">
        <v>712</v>
      </c>
      <c r="T3694" s="1"/>
      <c r="U3694">
        <v>16.00001</v>
      </c>
      <c r="V3694">
        <v>0</v>
      </c>
      <c r="W3694">
        <v>70975</v>
      </c>
    </row>
    <row r="3695" spans="1:23" x14ac:dyDescent="0.25">
      <c r="A3695" s="1" t="s">
        <v>39</v>
      </c>
      <c r="B3695" s="1" t="s">
        <v>84</v>
      </c>
      <c r="C3695" s="1" t="s">
        <v>209</v>
      </c>
      <c r="D3695">
        <v>8932</v>
      </c>
      <c r="E3695" s="1" t="s">
        <v>243</v>
      </c>
      <c r="F3695" s="1" t="s">
        <v>346</v>
      </c>
      <c r="G3695">
        <v>2012</v>
      </c>
      <c r="H3695">
        <v>513.66999999999996</v>
      </c>
      <c r="I3695">
        <v>12</v>
      </c>
      <c r="J3695" s="1" t="s">
        <v>433</v>
      </c>
      <c r="K3695">
        <v>0</v>
      </c>
      <c r="L3695">
        <v>0</v>
      </c>
      <c r="M3695">
        <v>5136.7</v>
      </c>
      <c r="N3695">
        <v>3</v>
      </c>
      <c r="O3695" s="1" t="s">
        <v>560</v>
      </c>
      <c r="P3695">
        <v>513.66999999999996</v>
      </c>
      <c r="Q3695">
        <v>0</v>
      </c>
      <c r="R3695">
        <v>1</v>
      </c>
      <c r="S3695" s="1" t="s">
        <v>713</v>
      </c>
      <c r="T3695" s="1"/>
      <c r="U3695">
        <v>513.65908000000002</v>
      </c>
      <c r="V3695">
        <v>0</v>
      </c>
      <c r="W3695">
        <v>70976</v>
      </c>
    </row>
    <row r="3696" spans="1:23" x14ac:dyDescent="0.25">
      <c r="A3696" s="1" t="s">
        <v>39</v>
      </c>
      <c r="B3696" s="1" t="s">
        <v>84</v>
      </c>
      <c r="C3696" s="1" t="s">
        <v>209</v>
      </c>
      <c r="D3696">
        <v>8932</v>
      </c>
      <c r="E3696" s="1" t="s">
        <v>243</v>
      </c>
      <c r="F3696" s="1" t="s">
        <v>346</v>
      </c>
      <c r="G3696">
        <v>2012</v>
      </c>
      <c r="H3696">
        <v>0</v>
      </c>
      <c r="I3696">
        <v>12</v>
      </c>
      <c r="J3696" s="1" t="s">
        <v>433</v>
      </c>
      <c r="K3696">
        <v>0</v>
      </c>
      <c r="L3696">
        <v>0</v>
      </c>
      <c r="M3696">
        <v>0</v>
      </c>
      <c r="N3696">
        <v>3</v>
      </c>
      <c r="O3696" s="1" t="s">
        <v>560</v>
      </c>
      <c r="P3696">
        <v>0</v>
      </c>
      <c r="Q3696">
        <v>0</v>
      </c>
      <c r="R3696">
        <v>1</v>
      </c>
      <c r="S3696" s="1" t="s">
        <v>714</v>
      </c>
      <c r="T3696" s="1"/>
      <c r="U3696">
        <v>0</v>
      </c>
      <c r="V3696">
        <v>0</v>
      </c>
      <c r="W3696">
        <v>70977</v>
      </c>
    </row>
    <row r="3697" spans="1:23" x14ac:dyDescent="0.25">
      <c r="A3697" s="1" t="s">
        <v>39</v>
      </c>
      <c r="B3697" s="1" t="s">
        <v>84</v>
      </c>
      <c r="C3697" s="1" t="s">
        <v>209</v>
      </c>
      <c r="D3697">
        <v>8932</v>
      </c>
      <c r="E3697" s="1" t="s">
        <v>243</v>
      </c>
      <c r="F3697" s="1" t="s">
        <v>346</v>
      </c>
      <c r="G3697">
        <v>2011</v>
      </c>
      <c r="H3697">
        <v>11</v>
      </c>
      <c r="I3697">
        <v>12</v>
      </c>
      <c r="J3697" s="1" t="s">
        <v>433</v>
      </c>
      <c r="K3697">
        <v>0</v>
      </c>
      <c r="L3697">
        <v>0</v>
      </c>
      <c r="M3697">
        <v>110</v>
      </c>
      <c r="N3697">
        <v>3</v>
      </c>
      <c r="O3697" s="1" t="s">
        <v>560</v>
      </c>
      <c r="P3697">
        <v>11</v>
      </c>
      <c r="Q3697">
        <v>8.8000000000000007</v>
      </c>
      <c r="R3697">
        <v>1</v>
      </c>
      <c r="S3697" s="1" t="s">
        <v>708</v>
      </c>
      <c r="T3697" s="1"/>
      <c r="U3697">
        <v>11</v>
      </c>
      <c r="V3697">
        <v>0</v>
      </c>
      <c r="W3697">
        <v>70970</v>
      </c>
    </row>
    <row r="3698" spans="1:23" x14ac:dyDescent="0.25">
      <c r="A3698" s="1" t="s">
        <v>39</v>
      </c>
      <c r="B3698" s="1" t="s">
        <v>84</v>
      </c>
      <c r="C3698" s="1" t="s">
        <v>209</v>
      </c>
      <c r="D3698">
        <v>8932</v>
      </c>
      <c r="E3698" s="1" t="s">
        <v>243</v>
      </c>
      <c r="F3698" s="1" t="s">
        <v>346</v>
      </c>
      <c r="G3698">
        <v>2011</v>
      </c>
      <c r="H3698">
        <v>184.28</v>
      </c>
      <c r="I3698">
        <v>12</v>
      </c>
      <c r="J3698" s="1" t="s">
        <v>454</v>
      </c>
      <c r="K3698">
        <v>0</v>
      </c>
      <c r="L3698">
        <v>0</v>
      </c>
      <c r="M3698">
        <v>1842.8</v>
      </c>
      <c r="N3698">
        <v>3</v>
      </c>
      <c r="O3698" s="1" t="s">
        <v>560</v>
      </c>
      <c r="P3698">
        <v>184.28</v>
      </c>
      <c r="Q3698">
        <v>147.41999999999999</v>
      </c>
      <c r="R3698">
        <v>1</v>
      </c>
      <c r="S3698" s="1" t="s">
        <v>715</v>
      </c>
      <c r="T3698" s="1"/>
      <c r="U3698">
        <v>184.28921</v>
      </c>
      <c r="V3698">
        <v>0</v>
      </c>
      <c r="W3698">
        <v>70971</v>
      </c>
    </row>
    <row r="3699" spans="1:23" x14ac:dyDescent="0.25">
      <c r="A3699" s="1" t="s">
        <v>39</v>
      </c>
      <c r="B3699" s="1" t="s">
        <v>84</v>
      </c>
      <c r="C3699" s="1" t="s">
        <v>209</v>
      </c>
      <c r="D3699">
        <v>8932</v>
      </c>
      <c r="E3699" s="1" t="s">
        <v>243</v>
      </c>
      <c r="F3699" s="1" t="s">
        <v>346</v>
      </c>
      <c r="G3699">
        <v>2011</v>
      </c>
      <c r="H3699">
        <v>361.41</v>
      </c>
      <c r="I3699">
        <v>12</v>
      </c>
      <c r="J3699" s="1" t="s">
        <v>433</v>
      </c>
      <c r="K3699">
        <v>0</v>
      </c>
      <c r="L3699">
        <v>0</v>
      </c>
      <c r="M3699">
        <v>3614.1</v>
      </c>
      <c r="N3699">
        <v>3</v>
      </c>
      <c r="O3699" s="1" t="s">
        <v>560</v>
      </c>
      <c r="P3699">
        <v>361.41</v>
      </c>
      <c r="Q3699">
        <v>289.11</v>
      </c>
      <c r="R3699">
        <v>1</v>
      </c>
      <c r="S3699" s="1" t="s">
        <v>709</v>
      </c>
      <c r="T3699" s="1"/>
      <c r="U3699">
        <v>361.40687000000003</v>
      </c>
      <c r="V3699">
        <v>0</v>
      </c>
      <c r="W3699">
        <v>70972</v>
      </c>
    </row>
    <row r="3700" spans="1:23" x14ac:dyDescent="0.25">
      <c r="A3700" s="1" t="s">
        <v>39</v>
      </c>
      <c r="B3700" s="1" t="s">
        <v>84</v>
      </c>
      <c r="C3700" s="1" t="s">
        <v>209</v>
      </c>
      <c r="D3700">
        <v>8932</v>
      </c>
      <c r="E3700" s="1" t="s">
        <v>243</v>
      </c>
      <c r="F3700" s="1" t="s">
        <v>346</v>
      </c>
      <c r="G3700">
        <v>2011</v>
      </c>
      <c r="H3700">
        <v>1670.92</v>
      </c>
      <c r="I3700">
        <v>12</v>
      </c>
      <c r="J3700" s="1" t="s">
        <v>433</v>
      </c>
      <c r="K3700">
        <v>0</v>
      </c>
      <c r="L3700">
        <v>0</v>
      </c>
      <c r="M3700">
        <v>16709.2</v>
      </c>
      <c r="N3700">
        <v>3</v>
      </c>
      <c r="O3700" s="1" t="s">
        <v>560</v>
      </c>
      <c r="P3700">
        <v>1670.92</v>
      </c>
      <c r="Q3700">
        <v>1336.74</v>
      </c>
      <c r="R3700">
        <v>1</v>
      </c>
      <c r="S3700" s="1" t="s">
        <v>710</v>
      </c>
      <c r="T3700" s="1"/>
      <c r="U3700">
        <v>1670.92157</v>
      </c>
      <c r="V3700">
        <v>0</v>
      </c>
      <c r="W3700">
        <v>70973</v>
      </c>
    </row>
    <row r="3701" spans="1:23" x14ac:dyDescent="0.25">
      <c r="A3701" s="1" t="s">
        <v>39</v>
      </c>
      <c r="B3701" s="1" t="s">
        <v>84</v>
      </c>
      <c r="C3701" s="1" t="s">
        <v>209</v>
      </c>
      <c r="D3701">
        <v>8932</v>
      </c>
      <c r="E3701" s="1" t="s">
        <v>243</v>
      </c>
      <c r="F3701" s="1" t="s">
        <v>346</v>
      </c>
      <c r="G3701">
        <v>2011</v>
      </c>
      <c r="H3701">
        <v>950.79</v>
      </c>
      <c r="I3701">
        <v>12</v>
      </c>
      <c r="J3701" s="1" t="s">
        <v>433</v>
      </c>
      <c r="K3701">
        <v>0</v>
      </c>
      <c r="L3701">
        <v>0</v>
      </c>
      <c r="M3701">
        <v>9507.9</v>
      </c>
      <c r="N3701">
        <v>3</v>
      </c>
      <c r="O3701" s="1" t="s">
        <v>560</v>
      </c>
      <c r="P3701">
        <v>950.79</v>
      </c>
      <c r="Q3701">
        <v>0</v>
      </c>
      <c r="R3701">
        <v>1</v>
      </c>
      <c r="S3701" s="1" t="s">
        <v>711</v>
      </c>
      <c r="T3701" s="1"/>
      <c r="U3701">
        <v>950.78431999999998</v>
      </c>
      <c r="V3701">
        <v>0</v>
      </c>
      <c r="W3701">
        <v>70974</v>
      </c>
    </row>
    <row r="3702" spans="1:23" x14ac:dyDescent="0.25">
      <c r="A3702" s="1" t="s">
        <v>39</v>
      </c>
      <c r="B3702" s="1" t="s">
        <v>84</v>
      </c>
      <c r="C3702" s="1" t="s">
        <v>209</v>
      </c>
      <c r="D3702">
        <v>8932</v>
      </c>
      <c r="E3702" s="1" t="s">
        <v>243</v>
      </c>
      <c r="F3702" s="1" t="s">
        <v>346</v>
      </c>
      <c r="G3702">
        <v>2011</v>
      </c>
      <c r="H3702">
        <v>0</v>
      </c>
      <c r="I3702">
        <v>12</v>
      </c>
      <c r="J3702" s="1" t="s">
        <v>433</v>
      </c>
      <c r="K3702">
        <v>0</v>
      </c>
      <c r="L3702">
        <v>0</v>
      </c>
      <c r="M3702">
        <v>0</v>
      </c>
      <c r="N3702">
        <v>3</v>
      </c>
      <c r="O3702" s="1" t="s">
        <v>560</v>
      </c>
      <c r="P3702">
        <v>0</v>
      </c>
      <c r="Q3702">
        <v>0</v>
      </c>
      <c r="R3702">
        <v>1</v>
      </c>
      <c r="S3702" s="1" t="s">
        <v>712</v>
      </c>
      <c r="T3702" s="1"/>
      <c r="U3702">
        <v>0</v>
      </c>
      <c r="V3702">
        <v>0</v>
      </c>
      <c r="W3702">
        <v>70975</v>
      </c>
    </row>
    <row r="3703" spans="1:23" x14ac:dyDescent="0.25">
      <c r="A3703" s="1" t="s">
        <v>39</v>
      </c>
      <c r="B3703" s="1" t="s">
        <v>84</v>
      </c>
      <c r="C3703" s="1" t="s">
        <v>209</v>
      </c>
      <c r="D3703">
        <v>8932</v>
      </c>
      <c r="E3703" s="1" t="s">
        <v>243</v>
      </c>
      <c r="F3703" s="1" t="s">
        <v>346</v>
      </c>
      <c r="G3703">
        <v>2011</v>
      </c>
      <c r="H3703">
        <v>465.2</v>
      </c>
      <c r="I3703">
        <v>12</v>
      </c>
      <c r="J3703" s="1" t="s">
        <v>433</v>
      </c>
      <c r="K3703">
        <v>0</v>
      </c>
      <c r="L3703">
        <v>0</v>
      </c>
      <c r="M3703">
        <v>4652</v>
      </c>
      <c r="N3703">
        <v>3</v>
      </c>
      <c r="O3703" s="1" t="s">
        <v>560</v>
      </c>
      <c r="P3703">
        <v>465.2</v>
      </c>
      <c r="Q3703">
        <v>0</v>
      </c>
      <c r="R3703">
        <v>1</v>
      </c>
      <c r="S3703" s="1" t="s">
        <v>713</v>
      </c>
      <c r="T3703" s="1"/>
      <c r="U3703">
        <v>465.20100000000002</v>
      </c>
      <c r="V3703">
        <v>0</v>
      </c>
      <c r="W3703">
        <v>70976</v>
      </c>
    </row>
    <row r="3704" spans="1:23" x14ac:dyDescent="0.25">
      <c r="A3704" s="1" t="s">
        <v>39</v>
      </c>
      <c r="B3704" s="1" t="s">
        <v>84</v>
      </c>
      <c r="C3704" s="1" t="s">
        <v>209</v>
      </c>
      <c r="D3704">
        <v>8932</v>
      </c>
      <c r="E3704" s="1" t="s">
        <v>243</v>
      </c>
      <c r="F3704" s="1" t="s">
        <v>346</v>
      </c>
      <c r="G3704">
        <v>2011</v>
      </c>
      <c r="H3704">
        <v>0</v>
      </c>
      <c r="I3704">
        <v>12</v>
      </c>
      <c r="J3704" s="1" t="s">
        <v>433</v>
      </c>
      <c r="K3704">
        <v>0</v>
      </c>
      <c r="L3704">
        <v>0</v>
      </c>
      <c r="M3704">
        <v>0</v>
      </c>
      <c r="N3704">
        <v>3</v>
      </c>
      <c r="O3704" s="1" t="s">
        <v>560</v>
      </c>
      <c r="P3704">
        <v>0</v>
      </c>
      <c r="Q3704">
        <v>0</v>
      </c>
      <c r="R3704">
        <v>1</v>
      </c>
      <c r="S3704" s="1" t="s">
        <v>714</v>
      </c>
      <c r="T3704" s="1"/>
      <c r="U3704">
        <v>0</v>
      </c>
      <c r="V3704">
        <v>0</v>
      </c>
      <c r="W3704">
        <v>70977</v>
      </c>
    </row>
    <row r="3705" spans="1:23" x14ac:dyDescent="0.25">
      <c r="A3705" s="1" t="s">
        <v>39</v>
      </c>
      <c r="B3705" s="1" t="s">
        <v>84</v>
      </c>
      <c r="C3705" s="1" t="s">
        <v>209</v>
      </c>
      <c r="D3705">
        <v>8932</v>
      </c>
      <c r="E3705" s="1" t="s">
        <v>243</v>
      </c>
      <c r="F3705" s="1" t="s">
        <v>346</v>
      </c>
      <c r="G3705">
        <v>2010</v>
      </c>
      <c r="H3705">
        <v>1</v>
      </c>
      <c r="I3705">
        <v>12</v>
      </c>
      <c r="J3705" s="1" t="s">
        <v>433</v>
      </c>
      <c r="K3705">
        <v>0</v>
      </c>
      <c r="L3705">
        <v>0</v>
      </c>
      <c r="M3705">
        <v>10</v>
      </c>
      <c r="N3705">
        <v>3</v>
      </c>
      <c r="O3705" s="1" t="s">
        <v>560</v>
      </c>
      <c r="P3705">
        <v>1</v>
      </c>
      <c r="Q3705">
        <v>0.8</v>
      </c>
      <c r="R3705">
        <v>1</v>
      </c>
      <c r="S3705" s="1" t="s">
        <v>708</v>
      </c>
      <c r="T3705" s="1"/>
      <c r="U3705">
        <v>1</v>
      </c>
      <c r="V3705">
        <v>0</v>
      </c>
      <c r="W3705">
        <v>70970</v>
      </c>
    </row>
    <row r="3706" spans="1:23" x14ac:dyDescent="0.25">
      <c r="A3706" s="1" t="s">
        <v>39</v>
      </c>
      <c r="B3706" s="1" t="s">
        <v>84</v>
      </c>
      <c r="C3706" s="1" t="s">
        <v>209</v>
      </c>
      <c r="D3706">
        <v>8932</v>
      </c>
      <c r="E3706" s="1" t="s">
        <v>243</v>
      </c>
      <c r="F3706" s="1" t="s">
        <v>346</v>
      </c>
      <c r="G3706">
        <v>2010</v>
      </c>
      <c r="H3706">
        <v>459.18</v>
      </c>
      <c r="I3706">
        <v>12</v>
      </c>
      <c r="J3706" s="1" t="s">
        <v>454</v>
      </c>
      <c r="K3706">
        <v>0</v>
      </c>
      <c r="L3706">
        <v>0</v>
      </c>
      <c r="M3706">
        <v>4591.8</v>
      </c>
      <c r="N3706">
        <v>3</v>
      </c>
      <c r="O3706" s="1" t="s">
        <v>560</v>
      </c>
      <c r="P3706">
        <v>459.18</v>
      </c>
      <c r="Q3706">
        <v>367.32</v>
      </c>
      <c r="R3706">
        <v>1</v>
      </c>
      <c r="S3706" s="1" t="s">
        <v>715</v>
      </c>
      <c r="T3706" s="1"/>
      <c r="U3706">
        <v>459.16552999999999</v>
      </c>
      <c r="V3706">
        <v>0</v>
      </c>
      <c r="W3706">
        <v>70971</v>
      </c>
    </row>
    <row r="3707" spans="1:23" x14ac:dyDescent="0.25">
      <c r="A3707" s="1" t="s">
        <v>39</v>
      </c>
      <c r="B3707" s="1" t="s">
        <v>84</v>
      </c>
      <c r="C3707" s="1" t="s">
        <v>209</v>
      </c>
      <c r="D3707">
        <v>8932</v>
      </c>
      <c r="E3707" s="1" t="s">
        <v>243</v>
      </c>
      <c r="F3707" s="1" t="s">
        <v>346</v>
      </c>
      <c r="G3707">
        <v>2010</v>
      </c>
      <c r="H3707">
        <v>360.41</v>
      </c>
      <c r="I3707">
        <v>12</v>
      </c>
      <c r="J3707" s="1" t="s">
        <v>433</v>
      </c>
      <c r="K3707">
        <v>0</v>
      </c>
      <c r="L3707">
        <v>0</v>
      </c>
      <c r="M3707">
        <v>3604.1</v>
      </c>
      <c r="N3707">
        <v>3</v>
      </c>
      <c r="O3707" s="1" t="s">
        <v>560</v>
      </c>
      <c r="P3707">
        <v>360.41</v>
      </c>
      <c r="Q3707">
        <v>288.33</v>
      </c>
      <c r="R3707">
        <v>1</v>
      </c>
      <c r="S3707" s="1" t="s">
        <v>709</v>
      </c>
      <c r="T3707" s="1"/>
      <c r="U3707">
        <v>360.40503000000001</v>
      </c>
      <c r="V3707">
        <v>0</v>
      </c>
      <c r="W3707">
        <v>70972</v>
      </c>
    </row>
    <row r="3708" spans="1:23" x14ac:dyDescent="0.25">
      <c r="A3708" s="1" t="s">
        <v>39</v>
      </c>
      <c r="B3708" s="1" t="s">
        <v>84</v>
      </c>
      <c r="C3708" s="1" t="s">
        <v>209</v>
      </c>
      <c r="D3708">
        <v>8932</v>
      </c>
      <c r="E3708" s="1" t="s">
        <v>243</v>
      </c>
      <c r="F3708" s="1" t="s">
        <v>346</v>
      </c>
      <c r="G3708">
        <v>2010</v>
      </c>
      <c r="H3708">
        <v>1376.98</v>
      </c>
      <c r="I3708">
        <v>12</v>
      </c>
      <c r="J3708" s="1" t="s">
        <v>433</v>
      </c>
      <c r="K3708">
        <v>0</v>
      </c>
      <c r="L3708">
        <v>0</v>
      </c>
      <c r="M3708">
        <v>13769.8</v>
      </c>
      <c r="N3708">
        <v>3</v>
      </c>
      <c r="O3708" s="1" t="s">
        <v>560</v>
      </c>
      <c r="P3708">
        <v>1376.98</v>
      </c>
      <c r="Q3708">
        <v>1101.58</v>
      </c>
      <c r="R3708">
        <v>1</v>
      </c>
      <c r="S3708" s="1" t="s">
        <v>710</v>
      </c>
      <c r="T3708" s="1"/>
      <c r="U3708">
        <v>1376.9831899999999</v>
      </c>
      <c r="V3708">
        <v>0</v>
      </c>
      <c r="W3708">
        <v>70973</v>
      </c>
    </row>
    <row r="3709" spans="1:23" x14ac:dyDescent="0.25">
      <c r="A3709" s="1" t="s">
        <v>39</v>
      </c>
      <c r="B3709" s="1" t="s">
        <v>84</v>
      </c>
      <c r="C3709" s="1" t="s">
        <v>209</v>
      </c>
      <c r="D3709">
        <v>8932</v>
      </c>
      <c r="E3709" s="1" t="s">
        <v>243</v>
      </c>
      <c r="F3709" s="1" t="s">
        <v>346</v>
      </c>
      <c r="G3709">
        <v>2010</v>
      </c>
      <c r="H3709">
        <v>992.91</v>
      </c>
      <c r="I3709">
        <v>12</v>
      </c>
      <c r="J3709" s="1" t="s">
        <v>433</v>
      </c>
      <c r="K3709">
        <v>0</v>
      </c>
      <c r="L3709">
        <v>0</v>
      </c>
      <c r="M3709">
        <v>9929.1</v>
      </c>
      <c r="N3709">
        <v>3</v>
      </c>
      <c r="O3709" s="1" t="s">
        <v>560</v>
      </c>
      <c r="P3709">
        <v>992.91</v>
      </c>
      <c r="Q3709">
        <v>0</v>
      </c>
      <c r="R3709">
        <v>1</v>
      </c>
      <c r="S3709" s="1" t="s">
        <v>711</v>
      </c>
      <c r="T3709" s="1"/>
      <c r="U3709">
        <v>992.89661999999998</v>
      </c>
      <c r="V3709">
        <v>0</v>
      </c>
      <c r="W3709">
        <v>70974</v>
      </c>
    </row>
    <row r="3710" spans="1:23" x14ac:dyDescent="0.25">
      <c r="A3710" s="1" t="s">
        <v>39</v>
      </c>
      <c r="B3710" s="1" t="s">
        <v>84</v>
      </c>
      <c r="C3710" s="1" t="s">
        <v>209</v>
      </c>
      <c r="D3710">
        <v>8932</v>
      </c>
      <c r="E3710" s="1" t="s">
        <v>243</v>
      </c>
      <c r="F3710" s="1" t="s">
        <v>346</v>
      </c>
      <c r="G3710">
        <v>2010</v>
      </c>
      <c r="H3710">
        <v>1</v>
      </c>
      <c r="I3710">
        <v>12</v>
      </c>
      <c r="J3710" s="1" t="s">
        <v>433</v>
      </c>
      <c r="K3710">
        <v>0</v>
      </c>
      <c r="L3710">
        <v>0</v>
      </c>
      <c r="M3710">
        <v>10</v>
      </c>
      <c r="N3710">
        <v>3</v>
      </c>
      <c r="O3710" s="1" t="s">
        <v>560</v>
      </c>
      <c r="P3710">
        <v>1</v>
      </c>
      <c r="Q3710">
        <v>0</v>
      </c>
      <c r="R3710">
        <v>1</v>
      </c>
      <c r="S3710" s="1" t="s">
        <v>712</v>
      </c>
      <c r="T3710" s="1"/>
      <c r="U3710">
        <v>1</v>
      </c>
      <c r="V3710">
        <v>0</v>
      </c>
      <c r="W3710">
        <v>70975</v>
      </c>
    </row>
    <row r="3711" spans="1:23" x14ac:dyDescent="0.25">
      <c r="A3711" s="1" t="s">
        <v>39</v>
      </c>
      <c r="B3711" s="1" t="s">
        <v>84</v>
      </c>
      <c r="C3711" s="1" t="s">
        <v>209</v>
      </c>
      <c r="D3711">
        <v>8932</v>
      </c>
      <c r="E3711" s="1" t="s">
        <v>243</v>
      </c>
      <c r="F3711" s="1" t="s">
        <v>346</v>
      </c>
      <c r="G3711">
        <v>2010</v>
      </c>
      <c r="H3711">
        <v>276.39999999999998</v>
      </c>
      <c r="I3711">
        <v>12</v>
      </c>
      <c r="J3711" s="1" t="s">
        <v>433</v>
      </c>
      <c r="K3711">
        <v>0</v>
      </c>
      <c r="L3711">
        <v>0</v>
      </c>
      <c r="M3711">
        <v>2764</v>
      </c>
      <c r="N3711">
        <v>3</v>
      </c>
      <c r="O3711" s="1" t="s">
        <v>560</v>
      </c>
      <c r="P3711">
        <v>276.39999999999998</v>
      </c>
      <c r="Q3711">
        <v>0</v>
      </c>
      <c r="R3711">
        <v>1</v>
      </c>
      <c r="S3711" s="1" t="s">
        <v>713</v>
      </c>
      <c r="T3711" s="1"/>
      <c r="U3711">
        <v>276.41093000000001</v>
      </c>
      <c r="V3711">
        <v>0</v>
      </c>
      <c r="W3711">
        <v>70976</v>
      </c>
    </row>
    <row r="3712" spans="1:23" x14ac:dyDescent="0.25">
      <c r="A3712" s="1" t="s">
        <v>39</v>
      </c>
      <c r="B3712" s="1" t="s">
        <v>84</v>
      </c>
      <c r="C3712" s="1" t="s">
        <v>209</v>
      </c>
      <c r="D3712">
        <v>8932</v>
      </c>
      <c r="E3712" s="1" t="s">
        <v>243</v>
      </c>
      <c r="F3712" s="1" t="s">
        <v>346</v>
      </c>
      <c r="G3712">
        <v>2010</v>
      </c>
      <c r="H3712">
        <v>0</v>
      </c>
      <c r="I3712">
        <v>12</v>
      </c>
      <c r="J3712" s="1" t="s">
        <v>433</v>
      </c>
      <c r="K3712">
        <v>0</v>
      </c>
      <c r="L3712">
        <v>0</v>
      </c>
      <c r="M3712">
        <v>0</v>
      </c>
      <c r="N3712">
        <v>3</v>
      </c>
      <c r="O3712" s="1" t="s">
        <v>560</v>
      </c>
      <c r="P3712">
        <v>0</v>
      </c>
      <c r="Q3712">
        <v>0</v>
      </c>
      <c r="R3712">
        <v>1</v>
      </c>
      <c r="S3712" s="1" t="s">
        <v>714</v>
      </c>
      <c r="T3712" s="1"/>
      <c r="U3712">
        <v>0</v>
      </c>
      <c r="V3712">
        <v>0</v>
      </c>
      <c r="W3712">
        <v>70977</v>
      </c>
    </row>
    <row r="3713" spans="1:23" x14ac:dyDescent="0.25">
      <c r="A3713" s="1" t="s">
        <v>39</v>
      </c>
      <c r="B3713" s="1" t="s">
        <v>84</v>
      </c>
      <c r="C3713" s="1" t="s">
        <v>209</v>
      </c>
      <c r="D3713">
        <v>8932</v>
      </c>
      <c r="E3713" s="1" t="s">
        <v>243</v>
      </c>
      <c r="F3713" s="1" t="s">
        <v>346</v>
      </c>
      <c r="G3713">
        <v>2009</v>
      </c>
      <c r="H3713">
        <v>0</v>
      </c>
      <c r="I3713">
        <v>11</v>
      </c>
      <c r="J3713" s="1" t="s">
        <v>433</v>
      </c>
      <c r="K3713">
        <v>0</v>
      </c>
      <c r="L3713">
        <v>0</v>
      </c>
      <c r="M3713">
        <v>0</v>
      </c>
      <c r="N3713">
        <v>3</v>
      </c>
      <c r="O3713" s="1" t="s">
        <v>560</v>
      </c>
      <c r="P3713">
        <v>0</v>
      </c>
      <c r="Q3713">
        <v>0</v>
      </c>
      <c r="R3713">
        <v>1</v>
      </c>
      <c r="S3713" s="1" t="s">
        <v>708</v>
      </c>
      <c r="T3713" s="1"/>
      <c r="U3713">
        <v>0</v>
      </c>
      <c r="V3713">
        <v>0</v>
      </c>
      <c r="W3713">
        <v>70970</v>
      </c>
    </row>
    <row r="3714" spans="1:23" x14ac:dyDescent="0.25">
      <c r="A3714" s="1" t="s">
        <v>39</v>
      </c>
      <c r="B3714" s="1" t="s">
        <v>84</v>
      </c>
      <c r="C3714" s="1" t="s">
        <v>209</v>
      </c>
      <c r="D3714">
        <v>8932</v>
      </c>
      <c r="E3714" s="1" t="s">
        <v>243</v>
      </c>
      <c r="F3714" s="1" t="s">
        <v>346</v>
      </c>
      <c r="G3714">
        <v>2009</v>
      </c>
      <c r="H3714">
        <v>168.09</v>
      </c>
      <c r="I3714">
        <v>11</v>
      </c>
      <c r="J3714" s="1" t="s">
        <v>454</v>
      </c>
      <c r="K3714">
        <v>0</v>
      </c>
      <c r="L3714">
        <v>0</v>
      </c>
      <c r="M3714">
        <v>1680.9</v>
      </c>
      <c r="N3714">
        <v>3</v>
      </c>
      <c r="O3714" s="1" t="s">
        <v>560</v>
      </c>
      <c r="P3714">
        <v>168.09</v>
      </c>
      <c r="Q3714">
        <v>134.44999999999999</v>
      </c>
      <c r="R3714">
        <v>1</v>
      </c>
      <c r="S3714" s="1" t="s">
        <v>715</v>
      </c>
      <c r="T3714" s="1"/>
      <c r="U3714">
        <v>168.08018000000001</v>
      </c>
      <c r="V3714">
        <v>0</v>
      </c>
      <c r="W3714">
        <v>70971</v>
      </c>
    </row>
    <row r="3715" spans="1:23" x14ac:dyDescent="0.25">
      <c r="A3715" s="1" t="s">
        <v>39</v>
      </c>
      <c r="B3715" s="1" t="s">
        <v>84</v>
      </c>
      <c r="C3715" s="1" t="s">
        <v>209</v>
      </c>
      <c r="D3715">
        <v>8932</v>
      </c>
      <c r="E3715" s="1" t="s">
        <v>243</v>
      </c>
      <c r="F3715" s="1" t="s">
        <v>346</v>
      </c>
      <c r="G3715">
        <v>2009</v>
      </c>
      <c r="H3715">
        <v>357.84</v>
      </c>
      <c r="I3715">
        <v>11</v>
      </c>
      <c r="J3715" s="1" t="s">
        <v>433</v>
      </c>
      <c r="K3715">
        <v>0</v>
      </c>
      <c r="L3715">
        <v>0</v>
      </c>
      <c r="M3715">
        <v>3578.4</v>
      </c>
      <c r="N3715">
        <v>3</v>
      </c>
      <c r="O3715" s="1" t="s">
        <v>560</v>
      </c>
      <c r="P3715">
        <v>357.84</v>
      </c>
      <c r="Q3715">
        <v>286.27</v>
      </c>
      <c r="R3715">
        <v>1</v>
      </c>
      <c r="S3715" s="1" t="s">
        <v>709</v>
      </c>
      <c r="T3715" s="1"/>
      <c r="U3715">
        <v>357.83593999999999</v>
      </c>
      <c r="V3715">
        <v>0</v>
      </c>
      <c r="W3715">
        <v>70972</v>
      </c>
    </row>
    <row r="3716" spans="1:23" x14ac:dyDescent="0.25">
      <c r="A3716" s="1" t="s">
        <v>39</v>
      </c>
      <c r="B3716" s="1" t="s">
        <v>84</v>
      </c>
      <c r="C3716" s="1" t="s">
        <v>209</v>
      </c>
      <c r="D3716">
        <v>8932</v>
      </c>
      <c r="E3716" s="1" t="s">
        <v>243</v>
      </c>
      <c r="F3716" s="1" t="s">
        <v>346</v>
      </c>
      <c r="G3716">
        <v>2009</v>
      </c>
      <c r="H3716">
        <v>1523.45</v>
      </c>
      <c r="I3716">
        <v>11</v>
      </c>
      <c r="J3716" s="1" t="s">
        <v>433</v>
      </c>
      <c r="K3716">
        <v>0</v>
      </c>
      <c r="L3716">
        <v>0</v>
      </c>
      <c r="M3716">
        <v>15234.5</v>
      </c>
      <c r="N3716">
        <v>3</v>
      </c>
      <c r="O3716" s="1" t="s">
        <v>560</v>
      </c>
      <c r="P3716">
        <v>1523.45</v>
      </c>
      <c r="Q3716">
        <v>1218.76</v>
      </c>
      <c r="R3716">
        <v>1</v>
      </c>
      <c r="S3716" s="1" t="s">
        <v>710</v>
      </c>
      <c r="T3716" s="1"/>
      <c r="U3716">
        <v>1523.4608499999999</v>
      </c>
      <c r="V3716">
        <v>0</v>
      </c>
      <c r="W3716">
        <v>70973</v>
      </c>
    </row>
    <row r="3717" spans="1:23" x14ac:dyDescent="0.25">
      <c r="A3717" s="1" t="s">
        <v>39</v>
      </c>
      <c r="B3717" s="1" t="s">
        <v>84</v>
      </c>
      <c r="C3717" s="1" t="s">
        <v>209</v>
      </c>
      <c r="D3717">
        <v>8932</v>
      </c>
      <c r="E3717" s="1" t="s">
        <v>243</v>
      </c>
      <c r="F3717" s="1" t="s">
        <v>346</v>
      </c>
      <c r="G3717">
        <v>2009</v>
      </c>
      <c r="H3717">
        <v>1044.6199999999999</v>
      </c>
      <c r="I3717">
        <v>11</v>
      </c>
      <c r="J3717" s="1" t="s">
        <v>433</v>
      </c>
      <c r="K3717">
        <v>0</v>
      </c>
      <c r="L3717">
        <v>0</v>
      </c>
      <c r="M3717">
        <v>10446.200000000001</v>
      </c>
      <c r="N3717">
        <v>3</v>
      </c>
      <c r="O3717" s="1" t="s">
        <v>560</v>
      </c>
      <c r="P3717">
        <v>1044.6199999999999</v>
      </c>
      <c r="Q3717">
        <v>0</v>
      </c>
      <c r="R3717">
        <v>1</v>
      </c>
      <c r="S3717" s="1" t="s">
        <v>711</v>
      </c>
      <c r="T3717" s="1"/>
      <c r="U3717">
        <v>1044.61473</v>
      </c>
      <c r="V3717">
        <v>0</v>
      </c>
      <c r="W3717">
        <v>70974</v>
      </c>
    </row>
    <row r="3718" spans="1:23" x14ac:dyDescent="0.25">
      <c r="A3718" s="1" t="s">
        <v>39</v>
      </c>
      <c r="B3718" s="1" t="s">
        <v>84</v>
      </c>
      <c r="C3718" s="1" t="s">
        <v>209</v>
      </c>
      <c r="D3718">
        <v>8932</v>
      </c>
      <c r="E3718" s="1" t="s">
        <v>243</v>
      </c>
      <c r="F3718" s="1" t="s">
        <v>346</v>
      </c>
      <c r="G3718">
        <v>2009</v>
      </c>
      <c r="H3718">
        <v>0</v>
      </c>
      <c r="I3718">
        <v>11</v>
      </c>
      <c r="J3718" s="1" t="s">
        <v>433</v>
      </c>
      <c r="K3718">
        <v>0</v>
      </c>
      <c r="L3718">
        <v>0</v>
      </c>
      <c r="M3718">
        <v>0</v>
      </c>
      <c r="N3718">
        <v>3</v>
      </c>
      <c r="O3718" s="1" t="s">
        <v>560</v>
      </c>
      <c r="P3718">
        <v>0</v>
      </c>
      <c r="Q3718">
        <v>0</v>
      </c>
      <c r="R3718">
        <v>1</v>
      </c>
      <c r="S3718" s="1" t="s">
        <v>712</v>
      </c>
      <c r="T3718" s="1"/>
      <c r="U3718">
        <v>0</v>
      </c>
      <c r="V3718">
        <v>0</v>
      </c>
      <c r="W3718">
        <v>70975</v>
      </c>
    </row>
    <row r="3719" spans="1:23" x14ac:dyDescent="0.25">
      <c r="A3719" s="1" t="s">
        <v>39</v>
      </c>
      <c r="B3719" s="1" t="s">
        <v>84</v>
      </c>
      <c r="C3719" s="1" t="s">
        <v>209</v>
      </c>
      <c r="D3719">
        <v>8932</v>
      </c>
      <c r="E3719" s="1" t="s">
        <v>243</v>
      </c>
      <c r="F3719" s="1" t="s">
        <v>346</v>
      </c>
      <c r="G3719">
        <v>2009</v>
      </c>
      <c r="H3719">
        <v>419.82</v>
      </c>
      <c r="I3719">
        <v>11</v>
      </c>
      <c r="J3719" s="1" t="s">
        <v>433</v>
      </c>
      <c r="K3719">
        <v>0</v>
      </c>
      <c r="L3719">
        <v>0</v>
      </c>
      <c r="M3719">
        <v>4198.2</v>
      </c>
      <c r="N3719">
        <v>3</v>
      </c>
      <c r="O3719" s="1" t="s">
        <v>560</v>
      </c>
      <c r="P3719">
        <v>419.82</v>
      </c>
      <c r="Q3719">
        <v>0</v>
      </c>
      <c r="R3719">
        <v>1</v>
      </c>
      <c r="S3719" s="1" t="s">
        <v>713</v>
      </c>
      <c r="T3719" s="1"/>
      <c r="U3719">
        <v>419.81013000000002</v>
      </c>
      <c r="V3719">
        <v>0</v>
      </c>
      <c r="W3719">
        <v>70976</v>
      </c>
    </row>
    <row r="3720" spans="1:23" x14ac:dyDescent="0.25">
      <c r="A3720" s="1" t="s">
        <v>39</v>
      </c>
      <c r="B3720" s="1" t="s">
        <v>84</v>
      </c>
      <c r="C3720" s="1" t="s">
        <v>209</v>
      </c>
      <c r="D3720">
        <v>8932</v>
      </c>
      <c r="E3720" s="1" t="s">
        <v>243</v>
      </c>
      <c r="F3720" s="1" t="s">
        <v>346</v>
      </c>
      <c r="G3720">
        <v>2009</v>
      </c>
      <c r="H3720">
        <v>0</v>
      </c>
      <c r="I3720">
        <v>11</v>
      </c>
      <c r="J3720" s="1" t="s">
        <v>433</v>
      </c>
      <c r="K3720">
        <v>0</v>
      </c>
      <c r="L3720">
        <v>0</v>
      </c>
      <c r="M3720">
        <v>0</v>
      </c>
      <c r="N3720">
        <v>3</v>
      </c>
      <c r="O3720" s="1" t="s">
        <v>560</v>
      </c>
      <c r="P3720">
        <v>0</v>
      </c>
      <c r="Q3720">
        <v>0</v>
      </c>
      <c r="R3720">
        <v>1</v>
      </c>
      <c r="S3720" s="1" t="s">
        <v>714</v>
      </c>
      <c r="T3720" s="1"/>
      <c r="U3720">
        <v>0</v>
      </c>
      <c r="V3720">
        <v>0</v>
      </c>
      <c r="W3720">
        <v>70977</v>
      </c>
    </row>
    <row r="3721" spans="1:23" x14ac:dyDescent="0.25">
      <c r="A3721" s="1" t="s">
        <v>39</v>
      </c>
      <c r="B3721" s="1" t="s">
        <v>84</v>
      </c>
      <c r="C3721" s="1" t="s">
        <v>209</v>
      </c>
      <c r="D3721">
        <v>8932</v>
      </c>
      <c r="E3721" s="1" t="s">
        <v>243</v>
      </c>
      <c r="F3721" s="1" t="s">
        <v>346</v>
      </c>
      <c r="G3721">
        <v>2008</v>
      </c>
      <c r="H3721">
        <v>3237.67</v>
      </c>
      <c r="I3721">
        <v>5</v>
      </c>
      <c r="J3721" s="1" t="s">
        <v>455</v>
      </c>
      <c r="K3721">
        <v>0</v>
      </c>
      <c r="L3721">
        <v>0</v>
      </c>
      <c r="M3721">
        <v>32376.7</v>
      </c>
      <c r="N3721">
        <v>3</v>
      </c>
      <c r="O3721" s="1" t="s">
        <v>560</v>
      </c>
      <c r="P3721">
        <v>3237.67</v>
      </c>
      <c r="Q3721">
        <v>2590.14</v>
      </c>
      <c r="R3721">
        <v>1</v>
      </c>
      <c r="S3721" s="1" t="s">
        <v>716</v>
      </c>
      <c r="T3721" s="1"/>
      <c r="U3721">
        <v>3237.6666700000001</v>
      </c>
      <c r="V3721">
        <v>0</v>
      </c>
      <c r="W3721">
        <v>70969</v>
      </c>
    </row>
    <row r="3722" spans="1:23" x14ac:dyDescent="0.25">
      <c r="A3722" s="1" t="s">
        <v>39</v>
      </c>
      <c r="B3722" s="1" t="s">
        <v>84</v>
      </c>
      <c r="C3722" s="1" t="s">
        <v>209</v>
      </c>
      <c r="D3722">
        <v>8932</v>
      </c>
      <c r="E3722" s="1" t="s">
        <v>243</v>
      </c>
      <c r="F3722" s="1" t="s">
        <v>346</v>
      </c>
      <c r="G3722">
        <v>2008</v>
      </c>
      <c r="H3722">
        <v>0</v>
      </c>
      <c r="I3722">
        <v>12</v>
      </c>
      <c r="J3722" s="1" t="s">
        <v>433</v>
      </c>
      <c r="K3722">
        <v>0</v>
      </c>
      <c r="L3722">
        <v>0</v>
      </c>
      <c r="M3722">
        <v>0</v>
      </c>
      <c r="N3722">
        <v>3</v>
      </c>
      <c r="O3722" s="1" t="s">
        <v>560</v>
      </c>
      <c r="P3722">
        <v>0</v>
      </c>
      <c r="Q3722">
        <v>0</v>
      </c>
      <c r="R3722">
        <v>1</v>
      </c>
      <c r="S3722" s="1" t="s">
        <v>708</v>
      </c>
      <c r="T3722" s="1"/>
      <c r="U3722">
        <v>0</v>
      </c>
      <c r="V3722">
        <v>0</v>
      </c>
      <c r="W3722">
        <v>70970</v>
      </c>
    </row>
    <row r="3723" spans="1:23" x14ac:dyDescent="0.25">
      <c r="A3723" s="1" t="s">
        <v>39</v>
      </c>
      <c r="B3723" s="1" t="s">
        <v>84</v>
      </c>
      <c r="C3723" s="1" t="s">
        <v>209</v>
      </c>
      <c r="D3723">
        <v>8932</v>
      </c>
      <c r="E3723" s="1" t="s">
        <v>243</v>
      </c>
      <c r="F3723" s="1" t="s">
        <v>346</v>
      </c>
      <c r="G3723">
        <v>2008</v>
      </c>
      <c r="H3723">
        <v>223.56</v>
      </c>
      <c r="I3723">
        <v>12</v>
      </c>
      <c r="J3723" s="1" t="s">
        <v>454</v>
      </c>
      <c r="K3723">
        <v>0</v>
      </c>
      <c r="L3723">
        <v>0</v>
      </c>
      <c r="M3723">
        <v>2235.6</v>
      </c>
      <c r="N3723">
        <v>3</v>
      </c>
      <c r="O3723" s="1" t="s">
        <v>560</v>
      </c>
      <c r="P3723">
        <v>223.56</v>
      </c>
      <c r="Q3723">
        <v>178.85</v>
      </c>
      <c r="R3723">
        <v>1</v>
      </c>
      <c r="S3723" s="1" t="s">
        <v>715</v>
      </c>
      <c r="T3723" s="1"/>
      <c r="U3723">
        <v>223.54838000000001</v>
      </c>
      <c r="V3723">
        <v>0</v>
      </c>
      <c r="W3723">
        <v>70971</v>
      </c>
    </row>
    <row r="3724" spans="1:23" x14ac:dyDescent="0.25">
      <c r="A3724" s="1" t="s">
        <v>39</v>
      </c>
      <c r="B3724" s="1" t="s">
        <v>84</v>
      </c>
      <c r="C3724" s="1" t="s">
        <v>209</v>
      </c>
      <c r="D3724">
        <v>8932</v>
      </c>
      <c r="E3724" s="1" t="s">
        <v>243</v>
      </c>
      <c r="F3724" s="1" t="s">
        <v>346</v>
      </c>
      <c r="G3724">
        <v>2008</v>
      </c>
      <c r="H3724">
        <v>332.65</v>
      </c>
      <c r="I3724">
        <v>12</v>
      </c>
      <c r="J3724" s="1" t="s">
        <v>433</v>
      </c>
      <c r="K3724">
        <v>0</v>
      </c>
      <c r="L3724">
        <v>0</v>
      </c>
      <c r="M3724">
        <v>3326.5</v>
      </c>
      <c r="N3724">
        <v>3</v>
      </c>
      <c r="O3724" s="1" t="s">
        <v>560</v>
      </c>
      <c r="P3724">
        <v>332.65</v>
      </c>
      <c r="Q3724">
        <v>266.12</v>
      </c>
      <c r="R3724">
        <v>1</v>
      </c>
      <c r="S3724" s="1" t="s">
        <v>709</v>
      </c>
      <c r="T3724" s="1"/>
      <c r="U3724">
        <v>332.66883999999999</v>
      </c>
      <c r="V3724">
        <v>0</v>
      </c>
      <c r="W3724">
        <v>70972</v>
      </c>
    </row>
    <row r="3725" spans="1:23" x14ac:dyDescent="0.25">
      <c r="A3725" s="1" t="s">
        <v>39</v>
      </c>
      <c r="B3725" s="1" t="s">
        <v>84</v>
      </c>
      <c r="C3725" s="1" t="s">
        <v>209</v>
      </c>
      <c r="D3725">
        <v>8932</v>
      </c>
      <c r="E3725" s="1" t="s">
        <v>243</v>
      </c>
      <c r="F3725" s="1" t="s">
        <v>346</v>
      </c>
      <c r="G3725">
        <v>2008</v>
      </c>
      <c r="H3725">
        <v>1381.16</v>
      </c>
      <c r="I3725">
        <v>12</v>
      </c>
      <c r="J3725" s="1" t="s">
        <v>433</v>
      </c>
      <c r="K3725">
        <v>0</v>
      </c>
      <c r="L3725">
        <v>0</v>
      </c>
      <c r="M3725">
        <v>13811.6</v>
      </c>
      <c r="N3725">
        <v>3</v>
      </c>
      <c r="O3725" s="1" t="s">
        <v>560</v>
      </c>
      <c r="P3725">
        <v>1381.16</v>
      </c>
      <c r="Q3725">
        <v>1104.93</v>
      </c>
      <c r="R3725">
        <v>1</v>
      </c>
      <c r="S3725" s="1" t="s">
        <v>710</v>
      </c>
      <c r="T3725" s="1"/>
      <c r="U3725">
        <v>1381.16776</v>
      </c>
      <c r="V3725">
        <v>0</v>
      </c>
      <c r="W3725">
        <v>70973</v>
      </c>
    </row>
    <row r="3726" spans="1:23" x14ac:dyDescent="0.25">
      <c r="A3726" s="1" t="s">
        <v>39</v>
      </c>
      <c r="B3726" s="1" t="s">
        <v>84</v>
      </c>
      <c r="C3726" s="1" t="s">
        <v>209</v>
      </c>
      <c r="D3726">
        <v>8932</v>
      </c>
      <c r="E3726" s="1" t="s">
        <v>243</v>
      </c>
      <c r="F3726" s="1" t="s">
        <v>346</v>
      </c>
      <c r="G3726">
        <v>2008</v>
      </c>
      <c r="H3726">
        <v>869.4</v>
      </c>
      <c r="I3726">
        <v>12</v>
      </c>
      <c r="J3726" s="1" t="s">
        <v>433</v>
      </c>
      <c r="K3726">
        <v>0</v>
      </c>
      <c r="L3726">
        <v>0</v>
      </c>
      <c r="M3726">
        <v>8694</v>
      </c>
      <c r="N3726">
        <v>3</v>
      </c>
      <c r="O3726" s="1" t="s">
        <v>560</v>
      </c>
      <c r="P3726">
        <v>869.4</v>
      </c>
      <c r="Q3726">
        <v>0</v>
      </c>
      <c r="R3726">
        <v>1</v>
      </c>
      <c r="S3726" s="1" t="s">
        <v>711</v>
      </c>
      <c r="T3726" s="1"/>
      <c r="U3726">
        <v>869.40428999999995</v>
      </c>
      <c r="V3726">
        <v>0</v>
      </c>
      <c r="W3726">
        <v>70974</v>
      </c>
    </row>
    <row r="3727" spans="1:23" x14ac:dyDescent="0.25">
      <c r="A3727" s="1" t="s">
        <v>39</v>
      </c>
      <c r="B3727" s="1" t="s">
        <v>84</v>
      </c>
      <c r="C3727" s="1" t="s">
        <v>209</v>
      </c>
      <c r="D3727">
        <v>8932</v>
      </c>
      <c r="E3727" s="1" t="s">
        <v>243</v>
      </c>
      <c r="F3727" s="1" t="s">
        <v>346</v>
      </c>
      <c r="G3727">
        <v>2008</v>
      </c>
      <c r="H3727">
        <v>0</v>
      </c>
      <c r="I3727">
        <v>12</v>
      </c>
      <c r="J3727" s="1" t="s">
        <v>433</v>
      </c>
      <c r="K3727">
        <v>0</v>
      </c>
      <c r="L3727">
        <v>0</v>
      </c>
      <c r="M3727">
        <v>0</v>
      </c>
      <c r="N3727">
        <v>3</v>
      </c>
      <c r="O3727" s="1" t="s">
        <v>560</v>
      </c>
      <c r="P3727">
        <v>0</v>
      </c>
      <c r="Q3727">
        <v>0</v>
      </c>
      <c r="R3727">
        <v>1</v>
      </c>
      <c r="S3727" s="1" t="s">
        <v>712</v>
      </c>
      <c r="T3727" s="1"/>
      <c r="U3727">
        <v>0</v>
      </c>
      <c r="V3727">
        <v>0</v>
      </c>
      <c r="W3727">
        <v>70975</v>
      </c>
    </row>
    <row r="3728" spans="1:23" x14ac:dyDescent="0.25">
      <c r="A3728" s="1" t="s">
        <v>39</v>
      </c>
      <c r="B3728" s="1" t="s">
        <v>84</v>
      </c>
      <c r="C3728" s="1" t="s">
        <v>209</v>
      </c>
      <c r="D3728">
        <v>8932</v>
      </c>
      <c r="E3728" s="1" t="s">
        <v>243</v>
      </c>
      <c r="F3728" s="1" t="s">
        <v>346</v>
      </c>
      <c r="G3728">
        <v>2008</v>
      </c>
      <c r="H3728">
        <v>361.24</v>
      </c>
      <c r="I3728">
        <v>12</v>
      </c>
      <c r="J3728" s="1" t="s">
        <v>433</v>
      </c>
      <c r="K3728">
        <v>0</v>
      </c>
      <c r="L3728">
        <v>0</v>
      </c>
      <c r="M3728">
        <v>3612.4</v>
      </c>
      <c r="N3728">
        <v>3</v>
      </c>
      <c r="O3728" s="1" t="s">
        <v>560</v>
      </c>
      <c r="P3728">
        <v>361.24</v>
      </c>
      <c r="Q3728">
        <v>0</v>
      </c>
      <c r="R3728">
        <v>1</v>
      </c>
      <c r="S3728" s="1" t="s">
        <v>713</v>
      </c>
      <c r="T3728" s="1"/>
      <c r="U3728">
        <v>361.22795000000002</v>
      </c>
      <c r="V3728">
        <v>0</v>
      </c>
      <c r="W3728">
        <v>70976</v>
      </c>
    </row>
    <row r="3729" spans="1:23" x14ac:dyDescent="0.25">
      <c r="A3729" s="1" t="s">
        <v>39</v>
      </c>
      <c r="B3729" s="1" t="s">
        <v>84</v>
      </c>
      <c r="C3729" s="1" t="s">
        <v>209</v>
      </c>
      <c r="D3729">
        <v>8932</v>
      </c>
      <c r="E3729" s="1" t="s">
        <v>243</v>
      </c>
      <c r="F3729" s="1" t="s">
        <v>346</v>
      </c>
      <c r="G3729">
        <v>2008</v>
      </c>
      <c r="H3729">
        <v>0</v>
      </c>
      <c r="I3729">
        <v>12</v>
      </c>
      <c r="J3729" s="1" t="s">
        <v>433</v>
      </c>
      <c r="K3729">
        <v>0</v>
      </c>
      <c r="L3729">
        <v>0</v>
      </c>
      <c r="M3729">
        <v>0</v>
      </c>
      <c r="N3729">
        <v>3</v>
      </c>
      <c r="O3729" s="1" t="s">
        <v>560</v>
      </c>
      <c r="P3729">
        <v>0</v>
      </c>
      <c r="Q3729">
        <v>0</v>
      </c>
      <c r="R3729">
        <v>1</v>
      </c>
      <c r="S3729" s="1" t="s">
        <v>714</v>
      </c>
      <c r="T3729" s="1"/>
      <c r="U3729">
        <v>0</v>
      </c>
      <c r="V3729">
        <v>0</v>
      </c>
      <c r="W3729">
        <v>70977</v>
      </c>
    </row>
    <row r="3730" spans="1:23" x14ac:dyDescent="0.25">
      <c r="A3730" s="1" t="s">
        <v>39</v>
      </c>
      <c r="B3730" s="1" t="s">
        <v>84</v>
      </c>
      <c r="C3730" s="1" t="s">
        <v>209</v>
      </c>
      <c r="D3730">
        <v>8878</v>
      </c>
      <c r="E3730" s="1"/>
      <c r="F3730" s="1" t="s">
        <v>347</v>
      </c>
      <c r="G3730">
        <v>2015</v>
      </c>
      <c r="H3730">
        <v>2393.4</v>
      </c>
      <c r="I3730">
        <v>5</v>
      </c>
      <c r="J3730" s="1"/>
      <c r="K3730">
        <v>0</v>
      </c>
      <c r="L3730">
        <v>3615</v>
      </c>
      <c r="M3730">
        <v>0.66205599999999998</v>
      </c>
      <c r="N3730">
        <v>3</v>
      </c>
      <c r="O3730" s="1" t="s">
        <v>560</v>
      </c>
      <c r="P3730">
        <v>2393.4</v>
      </c>
      <c r="Q3730">
        <v>1914.72</v>
      </c>
      <c r="R3730">
        <v>1</v>
      </c>
      <c r="S3730" s="1" t="s">
        <v>717</v>
      </c>
      <c r="T3730" s="1"/>
      <c r="U3730">
        <v>2393.4</v>
      </c>
      <c r="V3730">
        <v>0</v>
      </c>
      <c r="W3730">
        <v>76950</v>
      </c>
    </row>
    <row r="3731" spans="1:23" x14ac:dyDescent="0.25">
      <c r="A3731" s="1" t="s">
        <v>39</v>
      </c>
      <c r="B3731" s="1" t="s">
        <v>84</v>
      </c>
      <c r="C3731" s="1" t="s">
        <v>209</v>
      </c>
      <c r="D3731">
        <v>8878</v>
      </c>
      <c r="E3731" s="1"/>
      <c r="F3731" s="1" t="s">
        <v>347</v>
      </c>
      <c r="G3731">
        <v>2015</v>
      </c>
      <c r="H3731">
        <v>6224.08</v>
      </c>
      <c r="I3731">
        <v>5</v>
      </c>
      <c r="J3731" s="1"/>
      <c r="K3731">
        <v>0</v>
      </c>
      <c r="L3731">
        <v>3615</v>
      </c>
      <c r="M3731">
        <v>1.721689</v>
      </c>
      <c r="N3731">
        <v>3</v>
      </c>
      <c r="O3731" s="1" t="s">
        <v>560</v>
      </c>
      <c r="P3731">
        <v>6224.08</v>
      </c>
      <c r="Q3731">
        <v>4979.2700000000004</v>
      </c>
      <c r="R3731">
        <v>0</v>
      </c>
      <c r="S3731" s="1" t="s">
        <v>718</v>
      </c>
      <c r="T3731" s="1"/>
      <c r="U3731">
        <v>6224.08</v>
      </c>
      <c r="V3731">
        <v>0</v>
      </c>
      <c r="W3731">
        <v>76951</v>
      </c>
    </row>
    <row r="3732" spans="1:23" x14ac:dyDescent="0.25">
      <c r="A3732" s="1" t="s">
        <v>39</v>
      </c>
      <c r="B3732" s="1" t="s">
        <v>84</v>
      </c>
      <c r="C3732" s="1" t="s">
        <v>209</v>
      </c>
      <c r="D3732">
        <v>8878</v>
      </c>
      <c r="E3732" s="1"/>
      <c r="F3732" s="1" t="s">
        <v>347</v>
      </c>
      <c r="G3732">
        <v>2014</v>
      </c>
      <c r="H3732">
        <v>4405.3999999999996</v>
      </c>
      <c r="I3732">
        <v>12</v>
      </c>
      <c r="J3732" s="1"/>
      <c r="K3732">
        <v>0</v>
      </c>
      <c r="L3732">
        <v>3615</v>
      </c>
      <c r="M3732">
        <v>1.21861</v>
      </c>
      <c r="N3732">
        <v>3</v>
      </c>
      <c r="O3732" s="1" t="s">
        <v>560</v>
      </c>
      <c r="P3732">
        <v>4405.3999999999996</v>
      </c>
      <c r="Q3732">
        <v>3524.32</v>
      </c>
      <c r="R3732">
        <v>1</v>
      </c>
      <c r="S3732" s="1" t="s">
        <v>717</v>
      </c>
      <c r="T3732" s="1"/>
      <c r="U3732">
        <v>4405.3999999999996</v>
      </c>
      <c r="V3732">
        <v>0</v>
      </c>
      <c r="W3732">
        <v>76950</v>
      </c>
    </row>
    <row r="3733" spans="1:23" x14ac:dyDescent="0.25">
      <c r="A3733" s="1" t="s">
        <v>39</v>
      </c>
      <c r="B3733" s="1" t="s">
        <v>84</v>
      </c>
      <c r="C3733" s="1" t="s">
        <v>209</v>
      </c>
      <c r="D3733">
        <v>8878</v>
      </c>
      <c r="E3733" s="1"/>
      <c r="F3733" s="1" t="s">
        <v>347</v>
      </c>
      <c r="G3733">
        <v>2014</v>
      </c>
      <c r="H3733">
        <v>13068.72</v>
      </c>
      <c r="I3733">
        <v>12</v>
      </c>
      <c r="J3733" s="1"/>
      <c r="K3733">
        <v>0</v>
      </c>
      <c r="L3733">
        <v>3615</v>
      </c>
      <c r="M3733">
        <v>3.6150359999999999</v>
      </c>
      <c r="N3733">
        <v>3</v>
      </c>
      <c r="O3733" s="1" t="s">
        <v>560</v>
      </c>
      <c r="P3733">
        <v>13068.72</v>
      </c>
      <c r="Q3733">
        <v>10454.98</v>
      </c>
      <c r="R3733">
        <v>0</v>
      </c>
      <c r="S3733" s="1" t="s">
        <v>718</v>
      </c>
      <c r="T3733" s="1"/>
      <c r="U3733">
        <v>13068.72</v>
      </c>
      <c r="V3733">
        <v>0</v>
      </c>
      <c r="W3733">
        <v>76951</v>
      </c>
    </row>
    <row r="3734" spans="1:23" x14ac:dyDescent="0.25">
      <c r="A3734" s="1" t="s">
        <v>39</v>
      </c>
      <c r="B3734" s="1" t="s">
        <v>84</v>
      </c>
      <c r="C3734" s="1" t="s">
        <v>209</v>
      </c>
      <c r="D3734">
        <v>8878</v>
      </c>
      <c r="E3734" s="1"/>
      <c r="F3734" s="1" t="s">
        <v>347</v>
      </c>
      <c r="G3734">
        <v>2013</v>
      </c>
      <c r="H3734">
        <v>4142.3999999999996</v>
      </c>
      <c r="I3734">
        <v>12</v>
      </c>
      <c r="J3734" s="1"/>
      <c r="K3734">
        <v>0</v>
      </c>
      <c r="L3734">
        <v>3615</v>
      </c>
      <c r="M3734">
        <v>1.1458600000000001</v>
      </c>
      <c r="N3734">
        <v>3</v>
      </c>
      <c r="O3734" s="1" t="s">
        <v>560</v>
      </c>
      <c r="P3734">
        <v>4142.3999999999996</v>
      </c>
      <c r="Q3734">
        <v>3313.92</v>
      </c>
      <c r="R3734">
        <v>1</v>
      </c>
      <c r="S3734" s="1" t="s">
        <v>717</v>
      </c>
      <c r="T3734" s="1"/>
      <c r="U3734">
        <v>4142.3999999999996</v>
      </c>
      <c r="V3734">
        <v>0</v>
      </c>
      <c r="W3734">
        <v>76950</v>
      </c>
    </row>
    <row r="3735" spans="1:23" x14ac:dyDescent="0.25">
      <c r="A3735" s="1" t="s">
        <v>39</v>
      </c>
      <c r="B3735" s="1" t="s">
        <v>84</v>
      </c>
      <c r="C3735" s="1" t="s">
        <v>209</v>
      </c>
      <c r="D3735">
        <v>8878</v>
      </c>
      <c r="E3735" s="1"/>
      <c r="F3735" s="1" t="s">
        <v>347</v>
      </c>
      <c r="G3735">
        <v>2013</v>
      </c>
      <c r="H3735">
        <v>12865.27</v>
      </c>
      <c r="I3735">
        <v>12</v>
      </c>
      <c r="J3735" s="1"/>
      <c r="K3735">
        <v>0</v>
      </c>
      <c r="L3735">
        <v>3615</v>
      </c>
      <c r="M3735">
        <v>3.5587589999999998</v>
      </c>
      <c r="N3735">
        <v>3</v>
      </c>
      <c r="O3735" s="1" t="s">
        <v>560</v>
      </c>
      <c r="P3735">
        <v>12865.27</v>
      </c>
      <c r="Q3735">
        <v>10292.219999999999</v>
      </c>
      <c r="R3735">
        <v>0</v>
      </c>
      <c r="S3735" s="1" t="s">
        <v>718</v>
      </c>
      <c r="T3735" s="1"/>
      <c r="U3735">
        <v>12865.27</v>
      </c>
      <c r="V3735">
        <v>0</v>
      </c>
      <c r="W3735">
        <v>76951</v>
      </c>
    </row>
    <row r="3736" spans="1:23" x14ac:dyDescent="0.25">
      <c r="A3736" s="1" t="s">
        <v>39</v>
      </c>
      <c r="B3736" s="1" t="s">
        <v>84</v>
      </c>
      <c r="C3736" s="1" t="s">
        <v>209</v>
      </c>
      <c r="D3736">
        <v>8878</v>
      </c>
      <c r="E3736" s="1"/>
      <c r="F3736" s="1" t="s">
        <v>347</v>
      </c>
      <c r="G3736">
        <v>2012</v>
      </c>
      <c r="H3736">
        <v>7323</v>
      </c>
      <c r="I3736">
        <v>12</v>
      </c>
      <c r="J3736" s="1"/>
      <c r="K3736">
        <v>0</v>
      </c>
      <c r="L3736">
        <v>3615</v>
      </c>
      <c r="M3736">
        <v>2.0256699999999999</v>
      </c>
      <c r="N3736">
        <v>3</v>
      </c>
      <c r="O3736" s="1" t="s">
        <v>560</v>
      </c>
      <c r="P3736">
        <v>7323</v>
      </c>
      <c r="Q3736">
        <v>5858.4</v>
      </c>
      <c r="R3736">
        <v>1</v>
      </c>
      <c r="S3736" s="1" t="s">
        <v>717</v>
      </c>
      <c r="T3736" s="1"/>
      <c r="U3736">
        <v>7323</v>
      </c>
      <c r="V3736">
        <v>0</v>
      </c>
      <c r="W3736">
        <v>76950</v>
      </c>
    </row>
    <row r="3737" spans="1:23" x14ac:dyDescent="0.25">
      <c r="A3737" s="1" t="s">
        <v>39</v>
      </c>
      <c r="B3737" s="1" t="s">
        <v>84</v>
      </c>
      <c r="C3737" s="1" t="s">
        <v>209</v>
      </c>
      <c r="D3737">
        <v>8878</v>
      </c>
      <c r="E3737" s="1"/>
      <c r="F3737" s="1" t="s">
        <v>347</v>
      </c>
      <c r="G3737">
        <v>2012</v>
      </c>
      <c r="H3737">
        <v>14690</v>
      </c>
      <c r="I3737">
        <v>12</v>
      </c>
      <c r="J3737" s="1"/>
      <c r="K3737">
        <v>0</v>
      </c>
      <c r="L3737">
        <v>3615</v>
      </c>
      <c r="M3737">
        <v>4.0635110000000001</v>
      </c>
      <c r="N3737">
        <v>3</v>
      </c>
      <c r="O3737" s="1" t="s">
        <v>560</v>
      </c>
      <c r="P3737">
        <v>14690</v>
      </c>
      <c r="Q3737">
        <v>11751.99</v>
      </c>
      <c r="R3737">
        <v>0</v>
      </c>
      <c r="S3737" s="1" t="s">
        <v>718</v>
      </c>
      <c r="T3737" s="1"/>
      <c r="U3737">
        <v>14690</v>
      </c>
      <c r="V3737">
        <v>0</v>
      </c>
      <c r="W3737">
        <v>76951</v>
      </c>
    </row>
    <row r="3738" spans="1:23" x14ac:dyDescent="0.25">
      <c r="A3738" s="1" t="s">
        <v>39</v>
      </c>
      <c r="B3738" s="1" t="s">
        <v>84</v>
      </c>
      <c r="C3738" s="1" t="s">
        <v>209</v>
      </c>
      <c r="D3738">
        <v>8878</v>
      </c>
      <c r="E3738" s="1"/>
      <c r="F3738" s="1" t="s">
        <v>347</v>
      </c>
      <c r="G3738">
        <v>2011</v>
      </c>
      <c r="H3738">
        <v>7531.9</v>
      </c>
      <c r="I3738">
        <v>12</v>
      </c>
      <c r="J3738" s="1"/>
      <c r="K3738">
        <v>0</v>
      </c>
      <c r="L3738">
        <v>3615</v>
      </c>
      <c r="M3738">
        <v>2.0834549999999998</v>
      </c>
      <c r="N3738">
        <v>3</v>
      </c>
      <c r="O3738" s="1" t="s">
        <v>560</v>
      </c>
      <c r="P3738">
        <v>7531.9</v>
      </c>
      <c r="Q3738">
        <v>6025.52</v>
      </c>
      <c r="R3738">
        <v>1</v>
      </c>
      <c r="S3738" s="1" t="s">
        <v>717</v>
      </c>
      <c r="T3738" s="1"/>
      <c r="U3738">
        <v>7531.9</v>
      </c>
      <c r="V3738">
        <v>0</v>
      </c>
      <c r="W3738">
        <v>76950</v>
      </c>
    </row>
    <row r="3739" spans="1:23" x14ac:dyDescent="0.25">
      <c r="A3739" s="1" t="s">
        <v>39</v>
      </c>
      <c r="B3739" s="1" t="s">
        <v>84</v>
      </c>
      <c r="C3739" s="1" t="s">
        <v>209</v>
      </c>
      <c r="D3739">
        <v>8878</v>
      </c>
      <c r="E3739" s="1"/>
      <c r="F3739" s="1" t="s">
        <v>347</v>
      </c>
      <c r="G3739">
        <v>2011</v>
      </c>
      <c r="H3739">
        <v>12110.78</v>
      </c>
      <c r="I3739">
        <v>12</v>
      </c>
      <c r="J3739" s="1"/>
      <c r="K3739">
        <v>0</v>
      </c>
      <c r="L3739">
        <v>3615</v>
      </c>
      <c r="M3739">
        <v>3.3500529999999999</v>
      </c>
      <c r="N3739">
        <v>3</v>
      </c>
      <c r="O3739" s="1" t="s">
        <v>560</v>
      </c>
      <c r="P3739">
        <v>12110.78</v>
      </c>
      <c r="Q3739">
        <v>9688.6200000000008</v>
      </c>
      <c r="R3739">
        <v>0</v>
      </c>
      <c r="S3739" s="1" t="s">
        <v>718</v>
      </c>
      <c r="T3739" s="1"/>
      <c r="U3739">
        <v>12110.781000000001</v>
      </c>
      <c r="V3739">
        <v>0</v>
      </c>
      <c r="W3739">
        <v>76951</v>
      </c>
    </row>
    <row r="3740" spans="1:23" x14ac:dyDescent="0.25">
      <c r="A3740" s="1" t="s">
        <v>39</v>
      </c>
      <c r="B3740" s="1" t="s">
        <v>84</v>
      </c>
      <c r="C3740" s="1" t="s">
        <v>209</v>
      </c>
      <c r="D3740">
        <v>8878</v>
      </c>
      <c r="E3740" s="1"/>
      <c r="F3740" s="1" t="s">
        <v>347</v>
      </c>
      <c r="G3740">
        <v>2010</v>
      </c>
      <c r="H3740">
        <v>8587.2999999999993</v>
      </c>
      <c r="I3740">
        <v>12</v>
      </c>
      <c r="J3740" s="1"/>
      <c r="K3740">
        <v>0</v>
      </c>
      <c r="L3740">
        <v>3615</v>
      </c>
      <c r="M3740">
        <v>2.375397</v>
      </c>
      <c r="N3740">
        <v>3</v>
      </c>
      <c r="O3740" s="1" t="s">
        <v>560</v>
      </c>
      <c r="P3740">
        <v>8587.2999999999993</v>
      </c>
      <c r="Q3740">
        <v>6869.84</v>
      </c>
      <c r="R3740">
        <v>1</v>
      </c>
      <c r="S3740" s="1" t="s">
        <v>717</v>
      </c>
      <c r="T3740" s="1"/>
      <c r="U3740">
        <v>8587.2999999999993</v>
      </c>
      <c r="V3740">
        <v>0</v>
      </c>
      <c r="W3740">
        <v>76950</v>
      </c>
    </row>
    <row r="3741" spans="1:23" x14ac:dyDescent="0.25">
      <c r="A3741" s="1" t="s">
        <v>39</v>
      </c>
      <c r="B3741" s="1" t="s">
        <v>84</v>
      </c>
      <c r="C3741" s="1" t="s">
        <v>209</v>
      </c>
      <c r="D3741">
        <v>8878</v>
      </c>
      <c r="E3741" s="1"/>
      <c r="F3741" s="1" t="s">
        <v>347</v>
      </c>
      <c r="G3741">
        <v>2010</v>
      </c>
      <c r="H3741">
        <v>14794.59</v>
      </c>
      <c r="I3741">
        <v>12</v>
      </c>
      <c r="J3741" s="1"/>
      <c r="K3741">
        <v>0</v>
      </c>
      <c r="L3741">
        <v>3615</v>
      </c>
      <c r="M3741">
        <v>4.0924420000000001</v>
      </c>
      <c r="N3741">
        <v>3</v>
      </c>
      <c r="O3741" s="1" t="s">
        <v>560</v>
      </c>
      <c r="P3741">
        <v>14794.59</v>
      </c>
      <c r="Q3741">
        <v>11835.66</v>
      </c>
      <c r="R3741">
        <v>0</v>
      </c>
      <c r="S3741" s="1" t="s">
        <v>718</v>
      </c>
      <c r="T3741" s="1"/>
      <c r="U3741">
        <v>14794.589</v>
      </c>
      <c r="V3741">
        <v>0</v>
      </c>
      <c r="W3741">
        <v>76951</v>
      </c>
    </row>
    <row r="3742" spans="1:23" x14ac:dyDescent="0.25">
      <c r="A3742" s="1" t="s">
        <v>39</v>
      </c>
      <c r="B3742" s="1" t="s">
        <v>84</v>
      </c>
      <c r="C3742" s="1" t="s">
        <v>209</v>
      </c>
      <c r="D3742">
        <v>8878</v>
      </c>
      <c r="E3742" s="1"/>
      <c r="F3742" s="1" t="s">
        <v>347</v>
      </c>
      <c r="G3742">
        <v>2009</v>
      </c>
      <c r="H3742">
        <v>3715.19</v>
      </c>
      <c r="I3742">
        <v>3</v>
      </c>
      <c r="J3742" s="1" t="s">
        <v>456</v>
      </c>
      <c r="K3742">
        <v>0</v>
      </c>
      <c r="L3742">
        <v>3615</v>
      </c>
      <c r="M3742">
        <v>1.0276860000000001</v>
      </c>
      <c r="N3742">
        <v>3</v>
      </c>
      <c r="O3742" s="1" t="s">
        <v>560</v>
      </c>
      <c r="P3742">
        <v>3715.19</v>
      </c>
      <c r="Q3742">
        <v>2972.15</v>
      </c>
      <c r="R3742">
        <v>0</v>
      </c>
      <c r="S3742" s="1" t="s">
        <v>719</v>
      </c>
      <c r="T3742" s="1"/>
      <c r="U3742">
        <v>3715.19047</v>
      </c>
      <c r="V3742">
        <v>0</v>
      </c>
      <c r="W3742">
        <v>70699</v>
      </c>
    </row>
    <row r="3743" spans="1:23" x14ac:dyDescent="0.25">
      <c r="A3743" s="1" t="s">
        <v>39</v>
      </c>
      <c r="B3743" s="1" t="s">
        <v>84</v>
      </c>
      <c r="C3743" s="1" t="s">
        <v>209</v>
      </c>
      <c r="D3743">
        <v>8878</v>
      </c>
      <c r="E3743" s="1"/>
      <c r="F3743" s="1" t="s">
        <v>347</v>
      </c>
      <c r="G3743">
        <v>2009</v>
      </c>
      <c r="H3743">
        <v>7942.7</v>
      </c>
      <c r="I3743">
        <v>12</v>
      </c>
      <c r="J3743" s="1"/>
      <c r="K3743">
        <v>0</v>
      </c>
      <c r="L3743">
        <v>3615</v>
      </c>
      <c r="M3743">
        <v>2.1970890000000001</v>
      </c>
      <c r="N3743">
        <v>3</v>
      </c>
      <c r="O3743" s="1" t="s">
        <v>560</v>
      </c>
      <c r="P3743">
        <v>7942.7</v>
      </c>
      <c r="Q3743">
        <v>6354.16</v>
      </c>
      <c r="R3743">
        <v>1</v>
      </c>
      <c r="S3743" s="1" t="s">
        <v>717</v>
      </c>
      <c r="T3743" s="1"/>
      <c r="U3743">
        <v>7942.7</v>
      </c>
      <c r="V3743">
        <v>0</v>
      </c>
      <c r="W3743">
        <v>76950</v>
      </c>
    </row>
    <row r="3744" spans="1:23" x14ac:dyDescent="0.25">
      <c r="A3744" s="1" t="s">
        <v>39</v>
      </c>
      <c r="B3744" s="1" t="s">
        <v>84</v>
      </c>
      <c r="C3744" s="1" t="s">
        <v>209</v>
      </c>
      <c r="D3744">
        <v>8878</v>
      </c>
      <c r="E3744" s="1"/>
      <c r="F3744" s="1" t="s">
        <v>347</v>
      </c>
      <c r="G3744">
        <v>2009</v>
      </c>
      <c r="H3744">
        <v>10509.71</v>
      </c>
      <c r="I3744">
        <v>9</v>
      </c>
      <c r="J3744" s="1"/>
      <c r="K3744">
        <v>0</v>
      </c>
      <c r="L3744">
        <v>3615</v>
      </c>
      <c r="M3744">
        <v>2.9071690000000001</v>
      </c>
      <c r="N3744">
        <v>3</v>
      </c>
      <c r="O3744" s="1" t="s">
        <v>560</v>
      </c>
      <c r="P3744">
        <v>10509.71</v>
      </c>
      <c r="Q3744">
        <v>8407.76</v>
      </c>
      <c r="R3744">
        <v>0</v>
      </c>
      <c r="S3744" s="1" t="s">
        <v>718</v>
      </c>
      <c r="T3744" s="1"/>
      <c r="U3744">
        <v>10509.71</v>
      </c>
      <c r="V3744">
        <v>0</v>
      </c>
      <c r="W3744">
        <v>76951</v>
      </c>
    </row>
    <row r="3745" spans="1:23" x14ac:dyDescent="0.25">
      <c r="A3745" s="1" t="s">
        <v>39</v>
      </c>
      <c r="B3745" s="1" t="s">
        <v>84</v>
      </c>
      <c r="C3745" s="1" t="s">
        <v>209</v>
      </c>
      <c r="D3745">
        <v>8878</v>
      </c>
      <c r="E3745" s="1"/>
      <c r="F3745" s="1" t="s">
        <v>347</v>
      </c>
      <c r="G3745">
        <v>2008</v>
      </c>
      <c r="H3745">
        <v>13576.95</v>
      </c>
      <c r="I3745">
        <v>10</v>
      </c>
      <c r="J3745" s="1" t="s">
        <v>456</v>
      </c>
      <c r="K3745">
        <v>0</v>
      </c>
      <c r="L3745">
        <v>3615</v>
      </c>
      <c r="M3745">
        <v>3.7556219999999998</v>
      </c>
      <c r="N3745">
        <v>3</v>
      </c>
      <c r="O3745" s="1" t="s">
        <v>560</v>
      </c>
      <c r="P3745">
        <v>13576.95</v>
      </c>
      <c r="Q3745">
        <v>10861.55</v>
      </c>
      <c r="R3745">
        <v>0</v>
      </c>
      <c r="S3745" s="1" t="s">
        <v>719</v>
      </c>
      <c r="T3745" s="1"/>
      <c r="U3745">
        <v>13576.942859999999</v>
      </c>
      <c r="V3745">
        <v>0</v>
      </c>
      <c r="W3745">
        <v>70699</v>
      </c>
    </row>
    <row r="3746" spans="1:23" x14ac:dyDescent="0.25">
      <c r="A3746" s="1" t="s">
        <v>39</v>
      </c>
      <c r="B3746" s="1" t="s">
        <v>84</v>
      </c>
      <c r="C3746" s="1" t="s">
        <v>209</v>
      </c>
      <c r="D3746">
        <v>8878</v>
      </c>
      <c r="E3746" s="1"/>
      <c r="F3746" s="1" t="s">
        <v>347</v>
      </c>
      <c r="G3746">
        <v>2008</v>
      </c>
      <c r="H3746">
        <v>4559.1000000000004</v>
      </c>
      <c r="I3746">
        <v>8</v>
      </c>
      <c r="J3746" s="1"/>
      <c r="K3746">
        <v>0</v>
      </c>
      <c r="L3746">
        <v>3615</v>
      </c>
      <c r="M3746">
        <v>1.261126</v>
      </c>
      <c r="N3746">
        <v>3</v>
      </c>
      <c r="O3746" s="1" t="s">
        <v>560</v>
      </c>
      <c r="P3746">
        <v>4559.1000000000004</v>
      </c>
      <c r="Q3746">
        <v>3647.28</v>
      </c>
      <c r="R3746">
        <v>1</v>
      </c>
      <c r="S3746" s="1" t="s">
        <v>717</v>
      </c>
      <c r="T3746" s="1"/>
      <c r="U3746">
        <v>4559.1000000000004</v>
      </c>
      <c r="V3746">
        <v>0</v>
      </c>
      <c r="W3746">
        <v>76950</v>
      </c>
    </row>
    <row r="3747" spans="1:23" x14ac:dyDescent="0.25">
      <c r="A3747" s="1" t="s">
        <v>39</v>
      </c>
      <c r="B3747" s="1" t="s">
        <v>83</v>
      </c>
      <c r="C3747" s="1" t="s">
        <v>208</v>
      </c>
      <c r="D3747">
        <v>5450</v>
      </c>
      <c r="E3747" s="1"/>
      <c r="F3747" s="1" t="s">
        <v>365</v>
      </c>
      <c r="G3747">
        <v>2015</v>
      </c>
      <c r="H3747">
        <v>33889.5</v>
      </c>
      <c r="I3747">
        <v>5</v>
      </c>
      <c r="J3747" s="1" t="s">
        <v>421</v>
      </c>
      <c r="K3747">
        <v>0</v>
      </c>
      <c r="L3747">
        <v>0</v>
      </c>
      <c r="M3747">
        <v>338895</v>
      </c>
      <c r="N3747">
        <v>1</v>
      </c>
      <c r="O3747" s="1" t="s">
        <v>562</v>
      </c>
      <c r="P3747">
        <v>33889.5</v>
      </c>
      <c r="Q3747">
        <v>6269557.5</v>
      </c>
      <c r="R3747">
        <v>1</v>
      </c>
      <c r="S3747" s="1" t="s">
        <v>874</v>
      </c>
      <c r="T3747" s="1"/>
      <c r="U3747">
        <v>33889.500010000003</v>
      </c>
      <c r="V3747">
        <v>0</v>
      </c>
      <c r="W3747">
        <v>57561</v>
      </c>
    </row>
    <row r="3748" spans="1:23" x14ac:dyDescent="0.25">
      <c r="A3748" s="1" t="s">
        <v>39</v>
      </c>
      <c r="B3748" s="1" t="s">
        <v>83</v>
      </c>
      <c r="C3748" s="1" t="s">
        <v>208</v>
      </c>
      <c r="D3748">
        <v>5450</v>
      </c>
      <c r="E3748" s="1"/>
      <c r="F3748" s="1" t="s">
        <v>365</v>
      </c>
      <c r="G3748">
        <v>2015</v>
      </c>
      <c r="H3748">
        <v>99942.5</v>
      </c>
      <c r="I3748">
        <v>5</v>
      </c>
      <c r="J3748" s="1" t="s">
        <v>421</v>
      </c>
      <c r="K3748">
        <v>0</v>
      </c>
      <c r="L3748">
        <v>0</v>
      </c>
      <c r="M3748">
        <v>999425</v>
      </c>
      <c r="N3748">
        <v>1</v>
      </c>
      <c r="O3748" s="1" t="s">
        <v>562</v>
      </c>
      <c r="P3748">
        <v>99942.5</v>
      </c>
      <c r="Q3748">
        <v>18489362.5</v>
      </c>
      <c r="R3748">
        <v>1</v>
      </c>
      <c r="S3748" s="1" t="s">
        <v>875</v>
      </c>
      <c r="T3748" s="1"/>
      <c r="U3748">
        <v>99942.5</v>
      </c>
      <c r="V3748">
        <v>0</v>
      </c>
      <c r="W3748">
        <v>57630</v>
      </c>
    </row>
    <row r="3749" spans="1:23" x14ac:dyDescent="0.25">
      <c r="A3749" s="1" t="s">
        <v>39</v>
      </c>
      <c r="B3749" s="1" t="s">
        <v>83</v>
      </c>
      <c r="C3749" s="1" t="s">
        <v>208</v>
      </c>
      <c r="D3749">
        <v>5450</v>
      </c>
      <c r="E3749" s="1"/>
      <c r="F3749" s="1" t="s">
        <v>365</v>
      </c>
      <c r="G3749">
        <v>2015</v>
      </c>
      <c r="H3749">
        <v>266461.24</v>
      </c>
      <c r="I3749">
        <v>5</v>
      </c>
      <c r="J3749" s="1" t="s">
        <v>421</v>
      </c>
      <c r="K3749">
        <v>0</v>
      </c>
      <c r="L3749">
        <v>0</v>
      </c>
      <c r="M3749">
        <v>2664612.4</v>
      </c>
      <c r="N3749">
        <v>1</v>
      </c>
      <c r="O3749" s="1" t="s">
        <v>562</v>
      </c>
      <c r="P3749">
        <v>266461.24</v>
      </c>
      <c r="Q3749">
        <v>49295329.399999999</v>
      </c>
      <c r="R3749">
        <v>1</v>
      </c>
      <c r="S3749" s="1" t="s">
        <v>876</v>
      </c>
      <c r="T3749" s="1"/>
      <c r="U3749">
        <v>266461.25</v>
      </c>
      <c r="V3749">
        <v>0</v>
      </c>
      <c r="W3749">
        <v>57632</v>
      </c>
    </row>
    <row r="3750" spans="1:23" x14ac:dyDescent="0.25">
      <c r="A3750" s="1" t="s">
        <v>39</v>
      </c>
      <c r="B3750" s="1" t="s">
        <v>83</v>
      </c>
      <c r="C3750" s="1" t="s">
        <v>208</v>
      </c>
      <c r="D3750">
        <v>5450</v>
      </c>
      <c r="E3750" s="1"/>
      <c r="F3750" s="1" t="s">
        <v>365</v>
      </c>
      <c r="G3750">
        <v>2015</v>
      </c>
      <c r="H3750">
        <v>1387.76</v>
      </c>
      <c r="I3750">
        <v>5</v>
      </c>
      <c r="J3750" s="1" t="s">
        <v>421</v>
      </c>
      <c r="K3750">
        <v>0</v>
      </c>
      <c r="L3750">
        <v>0</v>
      </c>
      <c r="M3750">
        <v>13877.6</v>
      </c>
      <c r="N3750">
        <v>1</v>
      </c>
      <c r="O3750" s="1" t="s">
        <v>562</v>
      </c>
      <c r="P3750">
        <v>1387.76</v>
      </c>
      <c r="Q3750">
        <v>256735.6</v>
      </c>
      <c r="R3750">
        <v>1</v>
      </c>
      <c r="S3750" s="1" t="s">
        <v>877</v>
      </c>
      <c r="T3750" s="1"/>
      <c r="U3750">
        <v>1387.75</v>
      </c>
      <c r="V3750">
        <v>0</v>
      </c>
      <c r="W3750">
        <v>57638</v>
      </c>
    </row>
    <row r="3751" spans="1:23" x14ac:dyDescent="0.25">
      <c r="A3751" s="1" t="s">
        <v>39</v>
      </c>
      <c r="B3751" s="1" t="s">
        <v>83</v>
      </c>
      <c r="C3751" s="1" t="s">
        <v>208</v>
      </c>
      <c r="D3751">
        <v>5450</v>
      </c>
      <c r="E3751" s="1"/>
      <c r="F3751" s="1" t="s">
        <v>365</v>
      </c>
      <c r="G3751">
        <v>2015</v>
      </c>
      <c r="H3751">
        <v>57359.48</v>
      </c>
      <c r="I3751">
        <v>5</v>
      </c>
      <c r="J3751" s="1" t="s">
        <v>421</v>
      </c>
      <c r="K3751">
        <v>0</v>
      </c>
      <c r="L3751">
        <v>0</v>
      </c>
      <c r="M3751">
        <v>573594.80000000005</v>
      </c>
      <c r="N3751">
        <v>1</v>
      </c>
      <c r="O3751" s="1" t="s">
        <v>562</v>
      </c>
      <c r="P3751">
        <v>57359.48</v>
      </c>
      <c r="Q3751">
        <v>10611503.800000001</v>
      </c>
      <c r="R3751">
        <v>1</v>
      </c>
      <c r="S3751" s="1" t="s">
        <v>878</v>
      </c>
      <c r="T3751" s="1"/>
      <c r="U3751">
        <v>57359.468739999997</v>
      </c>
      <c r="V3751">
        <v>0</v>
      </c>
      <c r="W3751">
        <v>57557</v>
      </c>
    </row>
    <row r="3752" spans="1:23" x14ac:dyDescent="0.25">
      <c r="A3752" s="1" t="s">
        <v>39</v>
      </c>
      <c r="B3752" s="1" t="s">
        <v>83</v>
      </c>
      <c r="C3752" s="1" t="s">
        <v>208</v>
      </c>
      <c r="D3752">
        <v>5450</v>
      </c>
      <c r="E3752" s="1"/>
      <c r="F3752" s="1" t="s">
        <v>365</v>
      </c>
      <c r="G3752">
        <v>2015</v>
      </c>
      <c r="H3752">
        <v>1027.5</v>
      </c>
      <c r="I3752">
        <v>5</v>
      </c>
      <c r="J3752" s="1" t="s">
        <v>421</v>
      </c>
      <c r="K3752">
        <v>0</v>
      </c>
      <c r="L3752">
        <v>0</v>
      </c>
      <c r="M3752">
        <v>10275</v>
      </c>
      <c r="N3752">
        <v>1</v>
      </c>
      <c r="O3752" s="1" t="s">
        <v>562</v>
      </c>
      <c r="P3752">
        <v>1027.5</v>
      </c>
      <c r="Q3752">
        <v>190087.5</v>
      </c>
      <c r="R3752">
        <v>1</v>
      </c>
      <c r="S3752" s="1" t="s">
        <v>879</v>
      </c>
      <c r="T3752" s="1"/>
      <c r="U3752">
        <v>1027.50001</v>
      </c>
      <c r="V3752">
        <v>0</v>
      </c>
      <c r="W3752">
        <v>57559</v>
      </c>
    </row>
    <row r="3753" spans="1:23" x14ac:dyDescent="0.25">
      <c r="A3753" s="1" t="s">
        <v>39</v>
      </c>
      <c r="B3753" s="1" t="s">
        <v>83</v>
      </c>
      <c r="C3753" s="1" t="s">
        <v>208</v>
      </c>
      <c r="D3753">
        <v>5450</v>
      </c>
      <c r="E3753" s="1"/>
      <c r="F3753" s="1" t="s">
        <v>365</v>
      </c>
      <c r="G3753">
        <v>2015</v>
      </c>
      <c r="H3753">
        <v>54257.47</v>
      </c>
      <c r="I3753">
        <v>5</v>
      </c>
      <c r="J3753" s="1" t="s">
        <v>421</v>
      </c>
      <c r="K3753">
        <v>0</v>
      </c>
      <c r="L3753">
        <v>0</v>
      </c>
      <c r="M3753">
        <v>542574.69999999995</v>
      </c>
      <c r="N3753">
        <v>1</v>
      </c>
      <c r="O3753" s="1" t="s">
        <v>562</v>
      </c>
      <c r="P3753">
        <v>54257.47</v>
      </c>
      <c r="Q3753">
        <v>10037631.949999999</v>
      </c>
      <c r="R3753">
        <v>1</v>
      </c>
      <c r="S3753" s="1" t="s">
        <v>880</v>
      </c>
      <c r="T3753" s="1"/>
      <c r="U3753">
        <v>54257.46875</v>
      </c>
      <c r="V3753">
        <v>0</v>
      </c>
      <c r="W3753">
        <v>57626</v>
      </c>
    </row>
    <row r="3754" spans="1:23" x14ac:dyDescent="0.25">
      <c r="A3754" s="1" t="s">
        <v>39</v>
      </c>
      <c r="B3754" s="1" t="s">
        <v>83</v>
      </c>
      <c r="C3754" s="1" t="s">
        <v>208</v>
      </c>
      <c r="D3754">
        <v>5450</v>
      </c>
      <c r="E3754" s="1"/>
      <c r="F3754" s="1" t="s">
        <v>365</v>
      </c>
      <c r="G3754">
        <v>2015</v>
      </c>
      <c r="H3754">
        <v>7248.6</v>
      </c>
      <c r="I3754">
        <v>5</v>
      </c>
      <c r="J3754" s="1" t="s">
        <v>421</v>
      </c>
      <c r="K3754">
        <v>0</v>
      </c>
      <c r="L3754">
        <v>0</v>
      </c>
      <c r="M3754">
        <v>72486</v>
      </c>
      <c r="N3754">
        <v>1</v>
      </c>
      <c r="O3754" s="1" t="s">
        <v>562</v>
      </c>
      <c r="P3754">
        <v>7248.6</v>
      </c>
      <c r="Q3754">
        <v>1340991</v>
      </c>
      <c r="R3754">
        <v>1</v>
      </c>
      <c r="S3754" s="1" t="s">
        <v>881</v>
      </c>
      <c r="T3754" s="1"/>
      <c r="U3754">
        <v>7248.5937599999997</v>
      </c>
      <c r="V3754">
        <v>0</v>
      </c>
      <c r="W3754">
        <v>57628</v>
      </c>
    </row>
    <row r="3755" spans="1:23" x14ac:dyDescent="0.25">
      <c r="A3755" s="1" t="s">
        <v>39</v>
      </c>
      <c r="B3755" s="1" t="s">
        <v>83</v>
      </c>
      <c r="C3755" s="1" t="s">
        <v>208</v>
      </c>
      <c r="D3755">
        <v>5450</v>
      </c>
      <c r="E3755" s="1"/>
      <c r="F3755" s="1" t="s">
        <v>365</v>
      </c>
      <c r="G3755">
        <v>2015</v>
      </c>
      <c r="H3755">
        <v>24751.91</v>
      </c>
      <c r="I3755">
        <v>5</v>
      </c>
      <c r="J3755" s="1" t="s">
        <v>421</v>
      </c>
      <c r="K3755">
        <v>0</v>
      </c>
      <c r="L3755">
        <v>0</v>
      </c>
      <c r="M3755">
        <v>247519.1</v>
      </c>
      <c r="N3755">
        <v>1</v>
      </c>
      <c r="O3755" s="1" t="s">
        <v>562</v>
      </c>
      <c r="P3755">
        <v>24751.91</v>
      </c>
      <c r="Q3755">
        <v>4579103.3499999996</v>
      </c>
      <c r="R3755">
        <v>1</v>
      </c>
      <c r="S3755" s="1" t="s">
        <v>882</v>
      </c>
      <c r="T3755" s="1"/>
      <c r="U3755">
        <v>24751.90624</v>
      </c>
      <c r="V3755">
        <v>0</v>
      </c>
      <c r="W3755">
        <v>57634</v>
      </c>
    </row>
    <row r="3756" spans="1:23" x14ac:dyDescent="0.25">
      <c r="A3756" s="1" t="s">
        <v>39</v>
      </c>
      <c r="B3756" s="1" t="s">
        <v>83</v>
      </c>
      <c r="C3756" s="1" t="s">
        <v>208</v>
      </c>
      <c r="D3756">
        <v>5450</v>
      </c>
      <c r="E3756" s="1"/>
      <c r="F3756" s="1" t="s">
        <v>365</v>
      </c>
      <c r="G3756">
        <v>2015</v>
      </c>
      <c r="H3756">
        <v>5041.21</v>
      </c>
      <c r="I3756">
        <v>5</v>
      </c>
      <c r="J3756" s="1" t="s">
        <v>421</v>
      </c>
      <c r="K3756">
        <v>0</v>
      </c>
      <c r="L3756">
        <v>0</v>
      </c>
      <c r="M3756">
        <v>50412.1</v>
      </c>
      <c r="N3756">
        <v>1</v>
      </c>
      <c r="O3756" s="1" t="s">
        <v>562</v>
      </c>
      <c r="P3756">
        <v>5041.21</v>
      </c>
      <c r="Q3756">
        <v>932623.85</v>
      </c>
      <c r="R3756">
        <v>1</v>
      </c>
      <c r="S3756" s="1" t="s">
        <v>883</v>
      </c>
      <c r="T3756" s="1"/>
      <c r="U3756">
        <v>5041.2187599999997</v>
      </c>
      <c r="V3756">
        <v>0</v>
      </c>
      <c r="W3756">
        <v>57636</v>
      </c>
    </row>
    <row r="3757" spans="1:23" x14ac:dyDescent="0.25">
      <c r="A3757" s="1" t="s">
        <v>39</v>
      </c>
      <c r="B3757" s="1" t="s">
        <v>83</v>
      </c>
      <c r="C3757" s="1" t="s">
        <v>208</v>
      </c>
      <c r="D3757">
        <v>5450</v>
      </c>
      <c r="E3757" s="1"/>
      <c r="F3757" s="1" t="s">
        <v>365</v>
      </c>
      <c r="G3757">
        <v>2014</v>
      </c>
      <c r="H3757">
        <v>141320.34</v>
      </c>
      <c r="I3757">
        <v>12</v>
      </c>
      <c r="J3757" s="1" t="s">
        <v>421</v>
      </c>
      <c r="K3757">
        <v>0</v>
      </c>
      <c r="L3757">
        <v>0</v>
      </c>
      <c r="M3757">
        <v>1413203.4</v>
      </c>
      <c r="N3757">
        <v>1</v>
      </c>
      <c r="O3757" s="1" t="s">
        <v>562</v>
      </c>
      <c r="P3757">
        <v>141320.34</v>
      </c>
      <c r="Q3757">
        <v>13212162.24</v>
      </c>
      <c r="R3757">
        <v>1</v>
      </c>
      <c r="S3757" s="1" t="s">
        <v>878</v>
      </c>
      <c r="T3757" s="1"/>
      <c r="U3757">
        <v>141320.3377</v>
      </c>
      <c r="V3757">
        <v>0</v>
      </c>
      <c r="W3757">
        <v>57557</v>
      </c>
    </row>
    <row r="3758" spans="1:23" x14ac:dyDescent="0.25">
      <c r="A3758" s="1" t="s">
        <v>39</v>
      </c>
      <c r="B3758" s="1" t="s">
        <v>83</v>
      </c>
      <c r="C3758" s="1" t="s">
        <v>208</v>
      </c>
      <c r="D3758">
        <v>5450</v>
      </c>
      <c r="E3758" s="1"/>
      <c r="F3758" s="1" t="s">
        <v>365</v>
      </c>
      <c r="G3758">
        <v>2014</v>
      </c>
      <c r="H3758">
        <v>115462.39999999999</v>
      </c>
      <c r="I3758">
        <v>12</v>
      </c>
      <c r="J3758" s="1" t="s">
        <v>421</v>
      </c>
      <c r="K3758">
        <v>0</v>
      </c>
      <c r="L3758">
        <v>0</v>
      </c>
      <c r="M3758">
        <v>1154624</v>
      </c>
      <c r="N3758">
        <v>1</v>
      </c>
      <c r="O3758" s="1" t="s">
        <v>562</v>
      </c>
      <c r="P3758">
        <v>115462.39999999999</v>
      </c>
      <c r="Q3758">
        <v>10622099.449999999</v>
      </c>
      <c r="R3758">
        <v>1</v>
      </c>
      <c r="S3758" s="1" t="s">
        <v>880</v>
      </c>
      <c r="T3758" s="1"/>
      <c r="U3758">
        <v>115462.40222</v>
      </c>
      <c r="V3758">
        <v>0</v>
      </c>
      <c r="W3758">
        <v>57626</v>
      </c>
    </row>
    <row r="3759" spans="1:23" x14ac:dyDescent="0.25">
      <c r="A3759" s="1" t="s">
        <v>39</v>
      </c>
      <c r="B3759" s="1" t="s">
        <v>83</v>
      </c>
      <c r="C3759" s="1" t="s">
        <v>208</v>
      </c>
      <c r="D3759">
        <v>5450</v>
      </c>
      <c r="E3759" s="1"/>
      <c r="F3759" s="1" t="s">
        <v>365</v>
      </c>
      <c r="G3759">
        <v>2014</v>
      </c>
      <c r="H3759">
        <v>548012.62</v>
      </c>
      <c r="I3759">
        <v>11</v>
      </c>
      <c r="J3759" s="1" t="s">
        <v>421</v>
      </c>
      <c r="K3759">
        <v>0</v>
      </c>
      <c r="L3759">
        <v>0</v>
      </c>
      <c r="M3759">
        <v>5480126.2000000002</v>
      </c>
      <c r="N3759">
        <v>1</v>
      </c>
      <c r="O3759" s="1" t="s">
        <v>562</v>
      </c>
      <c r="P3759">
        <v>548012.62</v>
      </c>
      <c r="Q3759">
        <v>47483904.579999998</v>
      </c>
      <c r="R3759">
        <v>1</v>
      </c>
      <c r="S3759" s="1" t="s">
        <v>876</v>
      </c>
      <c r="T3759" s="1"/>
      <c r="U3759">
        <v>548012.62095999997</v>
      </c>
      <c r="V3759">
        <v>0</v>
      </c>
      <c r="W3759">
        <v>57632</v>
      </c>
    </row>
    <row r="3760" spans="1:23" x14ac:dyDescent="0.25">
      <c r="A3760" s="1" t="s">
        <v>39</v>
      </c>
      <c r="B3760" s="1" t="s">
        <v>83</v>
      </c>
      <c r="C3760" s="1" t="s">
        <v>208</v>
      </c>
      <c r="D3760">
        <v>5450</v>
      </c>
      <c r="E3760" s="1"/>
      <c r="F3760" s="1" t="s">
        <v>365</v>
      </c>
      <c r="G3760">
        <v>2014</v>
      </c>
      <c r="H3760">
        <v>24166.55</v>
      </c>
      <c r="I3760">
        <v>12</v>
      </c>
      <c r="J3760" s="1" t="s">
        <v>421</v>
      </c>
      <c r="K3760">
        <v>0</v>
      </c>
      <c r="L3760">
        <v>0</v>
      </c>
      <c r="M3760">
        <v>241665.5</v>
      </c>
      <c r="N3760">
        <v>1</v>
      </c>
      <c r="O3760" s="1" t="s">
        <v>562</v>
      </c>
      <c r="P3760">
        <v>24166.55</v>
      </c>
      <c r="Q3760">
        <v>44771.57</v>
      </c>
      <c r="R3760">
        <v>1</v>
      </c>
      <c r="S3760" s="1" t="s">
        <v>882</v>
      </c>
      <c r="T3760" s="1"/>
      <c r="U3760">
        <v>24166.54537</v>
      </c>
      <c r="V3760">
        <v>0</v>
      </c>
      <c r="W3760">
        <v>57634</v>
      </c>
    </row>
    <row r="3761" spans="1:23" x14ac:dyDescent="0.25">
      <c r="A3761" s="1" t="s">
        <v>39</v>
      </c>
      <c r="B3761" s="1" t="s">
        <v>83</v>
      </c>
      <c r="C3761" s="1" t="s">
        <v>208</v>
      </c>
      <c r="D3761">
        <v>5450</v>
      </c>
      <c r="E3761" s="1"/>
      <c r="F3761" s="1" t="s">
        <v>365</v>
      </c>
      <c r="G3761">
        <v>2014</v>
      </c>
      <c r="H3761">
        <v>4657.03</v>
      </c>
      <c r="I3761">
        <v>12</v>
      </c>
      <c r="J3761" s="1" t="s">
        <v>421</v>
      </c>
      <c r="K3761">
        <v>0</v>
      </c>
      <c r="L3761">
        <v>0</v>
      </c>
      <c r="M3761">
        <v>46570.3</v>
      </c>
      <c r="N3761">
        <v>1</v>
      </c>
      <c r="O3761" s="1" t="s">
        <v>562</v>
      </c>
      <c r="P3761">
        <v>4657.03</v>
      </c>
      <c r="Q3761">
        <v>335435.84999999998</v>
      </c>
      <c r="R3761">
        <v>1</v>
      </c>
      <c r="S3761" s="1" t="s">
        <v>879</v>
      </c>
      <c r="T3761" s="1"/>
      <c r="U3761">
        <v>4657.0161200000002</v>
      </c>
      <c r="V3761">
        <v>0</v>
      </c>
      <c r="W3761">
        <v>57559</v>
      </c>
    </row>
    <row r="3762" spans="1:23" x14ac:dyDescent="0.25">
      <c r="A3762" s="1" t="s">
        <v>39</v>
      </c>
      <c r="B3762" s="1" t="s">
        <v>83</v>
      </c>
      <c r="C3762" s="1" t="s">
        <v>208</v>
      </c>
      <c r="D3762">
        <v>5450</v>
      </c>
      <c r="E3762" s="1"/>
      <c r="F3762" s="1" t="s">
        <v>365</v>
      </c>
      <c r="G3762">
        <v>2014</v>
      </c>
      <c r="H3762">
        <v>86167.13</v>
      </c>
      <c r="I3762">
        <v>12</v>
      </c>
      <c r="J3762" s="1" t="s">
        <v>421</v>
      </c>
      <c r="K3762">
        <v>0</v>
      </c>
      <c r="L3762">
        <v>0</v>
      </c>
      <c r="M3762">
        <v>861671.3</v>
      </c>
      <c r="N3762">
        <v>1</v>
      </c>
      <c r="O3762" s="1" t="s">
        <v>562</v>
      </c>
      <c r="P3762">
        <v>86167.13</v>
      </c>
      <c r="Q3762">
        <v>6741064.9199999999</v>
      </c>
      <c r="R3762">
        <v>1</v>
      </c>
      <c r="S3762" s="1" t="s">
        <v>874</v>
      </c>
      <c r="T3762" s="1"/>
      <c r="U3762">
        <v>86167.145170000003</v>
      </c>
      <c r="V3762">
        <v>0</v>
      </c>
      <c r="W3762">
        <v>57561</v>
      </c>
    </row>
    <row r="3763" spans="1:23" x14ac:dyDescent="0.25">
      <c r="A3763" s="1" t="s">
        <v>39</v>
      </c>
      <c r="B3763" s="1" t="s">
        <v>83</v>
      </c>
      <c r="C3763" s="1" t="s">
        <v>208</v>
      </c>
      <c r="D3763">
        <v>5450</v>
      </c>
      <c r="E3763" s="1"/>
      <c r="F3763" s="1" t="s">
        <v>365</v>
      </c>
      <c r="G3763">
        <v>2014</v>
      </c>
      <c r="H3763">
        <v>9807.93</v>
      </c>
      <c r="I3763">
        <v>12</v>
      </c>
      <c r="J3763" s="1" t="s">
        <v>421</v>
      </c>
      <c r="K3763">
        <v>0</v>
      </c>
      <c r="L3763">
        <v>0</v>
      </c>
      <c r="M3763">
        <v>98079.3</v>
      </c>
      <c r="N3763">
        <v>1</v>
      </c>
      <c r="O3763" s="1" t="s">
        <v>562</v>
      </c>
      <c r="P3763">
        <v>9807.93</v>
      </c>
      <c r="Q3763">
        <v>734127.28</v>
      </c>
      <c r="R3763">
        <v>1</v>
      </c>
      <c r="S3763" s="1" t="s">
        <v>881</v>
      </c>
      <c r="T3763" s="1"/>
      <c r="U3763">
        <v>9807.92238</v>
      </c>
      <c r="V3763">
        <v>0</v>
      </c>
      <c r="W3763">
        <v>57628</v>
      </c>
    </row>
    <row r="3764" spans="1:23" x14ac:dyDescent="0.25">
      <c r="A3764" s="1" t="s">
        <v>39</v>
      </c>
      <c r="B3764" s="1" t="s">
        <v>83</v>
      </c>
      <c r="C3764" s="1" t="s">
        <v>208</v>
      </c>
      <c r="D3764">
        <v>5450</v>
      </c>
      <c r="E3764" s="1"/>
      <c r="F3764" s="1" t="s">
        <v>365</v>
      </c>
      <c r="G3764">
        <v>2014</v>
      </c>
      <c r="H3764">
        <v>269085.56</v>
      </c>
      <c r="I3764">
        <v>11</v>
      </c>
      <c r="J3764" s="1" t="s">
        <v>421</v>
      </c>
      <c r="K3764">
        <v>0</v>
      </c>
      <c r="L3764">
        <v>0</v>
      </c>
      <c r="M3764">
        <v>2690855.6</v>
      </c>
      <c r="N3764">
        <v>1</v>
      </c>
      <c r="O3764" s="1" t="s">
        <v>562</v>
      </c>
      <c r="P3764">
        <v>269085.56</v>
      </c>
      <c r="Q3764">
        <v>24754809.52</v>
      </c>
      <c r="R3764">
        <v>1</v>
      </c>
      <c r="S3764" s="1" t="s">
        <v>875</v>
      </c>
      <c r="T3764" s="1"/>
      <c r="U3764">
        <v>269085.56452000001</v>
      </c>
      <c r="V3764">
        <v>0</v>
      </c>
      <c r="W3764">
        <v>57630</v>
      </c>
    </row>
    <row r="3765" spans="1:23" x14ac:dyDescent="0.25">
      <c r="A3765" s="1" t="s">
        <v>39</v>
      </c>
      <c r="B3765" s="1" t="s">
        <v>83</v>
      </c>
      <c r="C3765" s="1" t="s">
        <v>208</v>
      </c>
      <c r="D3765">
        <v>5450</v>
      </c>
      <c r="E3765" s="1"/>
      <c r="F3765" s="1" t="s">
        <v>365</v>
      </c>
      <c r="G3765">
        <v>2014</v>
      </c>
      <c r="H3765">
        <v>9345.1</v>
      </c>
      <c r="I3765">
        <v>12</v>
      </c>
      <c r="J3765" s="1" t="s">
        <v>421</v>
      </c>
      <c r="K3765">
        <v>0</v>
      </c>
      <c r="L3765">
        <v>0</v>
      </c>
      <c r="M3765">
        <v>93451</v>
      </c>
      <c r="N3765">
        <v>1</v>
      </c>
      <c r="O3765" s="1" t="s">
        <v>562</v>
      </c>
      <c r="P3765">
        <v>9345.1</v>
      </c>
      <c r="Q3765">
        <v>644191.98</v>
      </c>
      <c r="R3765">
        <v>1</v>
      </c>
      <c r="S3765" s="1" t="s">
        <v>883</v>
      </c>
      <c r="T3765" s="1"/>
      <c r="U3765">
        <v>9345.1038200000003</v>
      </c>
      <c r="V3765">
        <v>0</v>
      </c>
      <c r="W3765">
        <v>57636</v>
      </c>
    </row>
    <row r="3766" spans="1:23" x14ac:dyDescent="0.25">
      <c r="A3766" s="1" t="s">
        <v>39</v>
      </c>
      <c r="B3766" s="1" t="s">
        <v>83</v>
      </c>
      <c r="C3766" s="1" t="s">
        <v>208</v>
      </c>
      <c r="D3766">
        <v>5450</v>
      </c>
      <c r="E3766" s="1"/>
      <c r="F3766" s="1" t="s">
        <v>365</v>
      </c>
      <c r="G3766">
        <v>2014</v>
      </c>
      <c r="H3766">
        <v>2641.4</v>
      </c>
      <c r="I3766">
        <v>12</v>
      </c>
      <c r="J3766" s="1" t="s">
        <v>421</v>
      </c>
      <c r="K3766">
        <v>0</v>
      </c>
      <c r="L3766">
        <v>0</v>
      </c>
      <c r="M3766">
        <v>26414</v>
      </c>
      <c r="N3766">
        <v>1</v>
      </c>
      <c r="O3766" s="1" t="s">
        <v>562</v>
      </c>
      <c r="P3766">
        <v>2641.4</v>
      </c>
      <c r="Q3766">
        <v>128201.36</v>
      </c>
      <c r="R3766">
        <v>1</v>
      </c>
      <c r="S3766" s="1" t="s">
        <v>877</v>
      </c>
      <c r="T3766" s="1"/>
      <c r="U3766">
        <v>2641.41129</v>
      </c>
      <c r="V3766">
        <v>0</v>
      </c>
      <c r="W3766">
        <v>57638</v>
      </c>
    </row>
    <row r="3767" spans="1:23" x14ac:dyDescent="0.25">
      <c r="A3767" s="1" t="s">
        <v>39</v>
      </c>
      <c r="B3767" s="1" t="s">
        <v>83</v>
      </c>
      <c r="C3767" s="1" t="s">
        <v>208</v>
      </c>
      <c r="D3767">
        <v>5450</v>
      </c>
      <c r="E3767" s="1"/>
      <c r="F3767" s="1" t="s">
        <v>365</v>
      </c>
      <c r="G3767">
        <v>2013</v>
      </c>
      <c r="H3767">
        <v>158122.99</v>
      </c>
      <c r="I3767">
        <v>11</v>
      </c>
      <c r="J3767" s="1" t="s">
        <v>421</v>
      </c>
      <c r="K3767">
        <v>0</v>
      </c>
      <c r="L3767">
        <v>0</v>
      </c>
      <c r="M3767">
        <v>1581229.9</v>
      </c>
      <c r="N3767">
        <v>1</v>
      </c>
      <c r="O3767" s="1" t="s">
        <v>562</v>
      </c>
      <c r="P3767">
        <v>158122.99</v>
      </c>
      <c r="Q3767">
        <v>29252.77</v>
      </c>
      <c r="R3767">
        <v>1</v>
      </c>
      <c r="S3767" s="1" t="s">
        <v>878</v>
      </c>
      <c r="T3767" s="1"/>
      <c r="U3767">
        <v>158122.98143000001</v>
      </c>
      <c r="V3767">
        <v>0</v>
      </c>
      <c r="W3767">
        <v>57557</v>
      </c>
    </row>
    <row r="3768" spans="1:23" x14ac:dyDescent="0.25">
      <c r="A3768" s="1" t="s">
        <v>39</v>
      </c>
      <c r="B3768" s="1" t="s">
        <v>83</v>
      </c>
      <c r="C3768" s="1" t="s">
        <v>208</v>
      </c>
      <c r="D3768">
        <v>5450</v>
      </c>
      <c r="E3768" s="1"/>
      <c r="F3768" s="1" t="s">
        <v>365</v>
      </c>
      <c r="G3768">
        <v>2013</v>
      </c>
      <c r="H3768">
        <v>127572.59</v>
      </c>
      <c r="I3768">
        <v>11</v>
      </c>
      <c r="J3768" s="1" t="s">
        <v>421</v>
      </c>
      <c r="K3768">
        <v>0</v>
      </c>
      <c r="L3768">
        <v>0</v>
      </c>
      <c r="M3768">
        <v>1275725.8999999999</v>
      </c>
      <c r="N3768">
        <v>1</v>
      </c>
      <c r="O3768" s="1" t="s">
        <v>562</v>
      </c>
      <c r="P3768">
        <v>127572.59</v>
      </c>
      <c r="Q3768">
        <v>23600.94</v>
      </c>
      <c r="R3768">
        <v>1</v>
      </c>
      <c r="S3768" s="1" t="s">
        <v>880</v>
      </c>
      <c r="T3768" s="1"/>
      <c r="U3768">
        <v>127572.58357</v>
      </c>
      <c r="V3768">
        <v>0</v>
      </c>
      <c r="W3768">
        <v>57626</v>
      </c>
    </row>
    <row r="3769" spans="1:23" x14ac:dyDescent="0.25">
      <c r="A3769" s="1" t="s">
        <v>39</v>
      </c>
      <c r="B3769" s="1" t="s">
        <v>83</v>
      </c>
      <c r="C3769" s="1" t="s">
        <v>208</v>
      </c>
      <c r="D3769">
        <v>5450</v>
      </c>
      <c r="E3769" s="1"/>
      <c r="F3769" s="1" t="s">
        <v>365</v>
      </c>
      <c r="G3769">
        <v>2013</v>
      </c>
      <c r="H3769">
        <v>459253.1</v>
      </c>
      <c r="I3769">
        <v>11</v>
      </c>
      <c r="J3769" s="1" t="s">
        <v>421</v>
      </c>
      <c r="K3769">
        <v>0</v>
      </c>
      <c r="L3769">
        <v>0</v>
      </c>
      <c r="M3769">
        <v>4592531</v>
      </c>
      <c r="N3769">
        <v>1</v>
      </c>
      <c r="O3769" s="1" t="s">
        <v>562</v>
      </c>
      <c r="P3769">
        <v>459253.1</v>
      </c>
      <c r="Q3769">
        <v>84961.81</v>
      </c>
      <c r="R3769">
        <v>1</v>
      </c>
      <c r="S3769" s="1" t="s">
        <v>876</v>
      </c>
      <c r="T3769" s="1"/>
      <c r="U3769">
        <v>459253.09872000001</v>
      </c>
      <c r="V3769">
        <v>0</v>
      </c>
      <c r="W3769">
        <v>57632</v>
      </c>
    </row>
    <row r="3770" spans="1:23" x14ac:dyDescent="0.25">
      <c r="A3770" s="1" t="s">
        <v>39</v>
      </c>
      <c r="B3770" s="1" t="s">
        <v>83</v>
      </c>
      <c r="C3770" s="1" t="s">
        <v>208</v>
      </c>
      <c r="D3770">
        <v>5450</v>
      </c>
      <c r="E3770" s="1"/>
      <c r="F3770" s="1" t="s">
        <v>365</v>
      </c>
      <c r="G3770">
        <v>2013</v>
      </c>
      <c r="H3770">
        <v>41258.22</v>
      </c>
      <c r="I3770">
        <v>11</v>
      </c>
      <c r="J3770" s="1" t="s">
        <v>421</v>
      </c>
      <c r="K3770">
        <v>0</v>
      </c>
      <c r="L3770">
        <v>0</v>
      </c>
      <c r="M3770">
        <v>412582.2</v>
      </c>
      <c r="N3770">
        <v>1</v>
      </c>
      <c r="O3770" s="1" t="s">
        <v>562</v>
      </c>
      <c r="P3770">
        <v>41258.22</v>
      </c>
      <c r="Q3770">
        <v>7632.78</v>
      </c>
      <c r="R3770">
        <v>1</v>
      </c>
      <c r="S3770" s="1" t="s">
        <v>882</v>
      </c>
      <c r="T3770" s="1"/>
      <c r="U3770">
        <v>41258.215040000003</v>
      </c>
      <c r="V3770">
        <v>0</v>
      </c>
      <c r="W3770">
        <v>57634</v>
      </c>
    </row>
    <row r="3771" spans="1:23" x14ac:dyDescent="0.25">
      <c r="A3771" s="1" t="s">
        <v>39</v>
      </c>
      <c r="B3771" s="1" t="s">
        <v>83</v>
      </c>
      <c r="C3771" s="1" t="s">
        <v>208</v>
      </c>
      <c r="D3771">
        <v>5450</v>
      </c>
      <c r="E3771" s="1"/>
      <c r="F3771" s="1" t="s">
        <v>365</v>
      </c>
      <c r="G3771">
        <v>2013</v>
      </c>
      <c r="H3771">
        <v>5634.87</v>
      </c>
      <c r="I3771">
        <v>11</v>
      </c>
      <c r="J3771" s="1" t="s">
        <v>421</v>
      </c>
      <c r="K3771">
        <v>0</v>
      </c>
      <c r="L3771">
        <v>0</v>
      </c>
      <c r="M3771">
        <v>56348.7</v>
      </c>
      <c r="N3771">
        <v>1</v>
      </c>
      <c r="O3771" s="1" t="s">
        <v>562</v>
      </c>
      <c r="P3771">
        <v>5634.87</v>
      </c>
      <c r="Q3771">
        <v>1042.46</v>
      </c>
      <c r="R3771">
        <v>1</v>
      </c>
      <c r="S3771" s="1" t="s">
        <v>879</v>
      </c>
      <c r="T3771" s="1"/>
      <c r="U3771">
        <v>5634.8778199999997</v>
      </c>
      <c r="V3771">
        <v>0</v>
      </c>
      <c r="W3771">
        <v>57559</v>
      </c>
    </row>
    <row r="3772" spans="1:23" x14ac:dyDescent="0.25">
      <c r="A3772" s="1" t="s">
        <v>39</v>
      </c>
      <c r="B3772" s="1" t="s">
        <v>83</v>
      </c>
      <c r="C3772" s="1" t="s">
        <v>208</v>
      </c>
      <c r="D3772">
        <v>5450</v>
      </c>
      <c r="E3772" s="1"/>
      <c r="F3772" s="1" t="s">
        <v>365</v>
      </c>
      <c r="G3772">
        <v>2013</v>
      </c>
      <c r="H3772">
        <v>116409.13</v>
      </c>
      <c r="I3772">
        <v>11</v>
      </c>
      <c r="J3772" s="1" t="s">
        <v>421</v>
      </c>
      <c r="K3772">
        <v>0</v>
      </c>
      <c r="L3772">
        <v>0</v>
      </c>
      <c r="M3772">
        <v>1164091.3</v>
      </c>
      <c r="N3772">
        <v>1</v>
      </c>
      <c r="O3772" s="1" t="s">
        <v>562</v>
      </c>
      <c r="P3772">
        <v>116409.13</v>
      </c>
      <c r="Q3772">
        <v>21535.69</v>
      </c>
      <c r="R3772">
        <v>1</v>
      </c>
      <c r="S3772" s="1" t="s">
        <v>874</v>
      </c>
      <c r="T3772" s="1"/>
      <c r="U3772">
        <v>116409.11242</v>
      </c>
      <c r="V3772">
        <v>0</v>
      </c>
      <c r="W3772">
        <v>57561</v>
      </c>
    </row>
    <row r="3773" spans="1:23" x14ac:dyDescent="0.25">
      <c r="A3773" s="1" t="s">
        <v>39</v>
      </c>
      <c r="B3773" s="1" t="s">
        <v>83</v>
      </c>
      <c r="C3773" s="1" t="s">
        <v>208</v>
      </c>
      <c r="D3773">
        <v>5450</v>
      </c>
      <c r="E3773" s="1"/>
      <c r="F3773" s="1" t="s">
        <v>365</v>
      </c>
      <c r="G3773">
        <v>2013</v>
      </c>
      <c r="H3773">
        <v>14669.97</v>
      </c>
      <c r="I3773">
        <v>11</v>
      </c>
      <c r="J3773" s="1" t="s">
        <v>421</v>
      </c>
      <c r="K3773">
        <v>0</v>
      </c>
      <c r="L3773">
        <v>0</v>
      </c>
      <c r="M3773">
        <v>146699.70000000001</v>
      </c>
      <c r="N3773">
        <v>1</v>
      </c>
      <c r="O3773" s="1" t="s">
        <v>562</v>
      </c>
      <c r="P3773">
        <v>14669.97</v>
      </c>
      <c r="Q3773">
        <v>2713.93</v>
      </c>
      <c r="R3773">
        <v>1</v>
      </c>
      <c r="S3773" s="1" t="s">
        <v>881</v>
      </c>
      <c r="T3773" s="1"/>
      <c r="U3773">
        <v>14669.968720000001</v>
      </c>
      <c r="V3773">
        <v>0</v>
      </c>
      <c r="W3773">
        <v>57628</v>
      </c>
    </row>
    <row r="3774" spans="1:23" x14ac:dyDescent="0.25">
      <c r="A3774" s="1" t="s">
        <v>39</v>
      </c>
      <c r="B3774" s="1" t="s">
        <v>83</v>
      </c>
      <c r="C3774" s="1" t="s">
        <v>208</v>
      </c>
      <c r="D3774">
        <v>5450</v>
      </c>
      <c r="E3774" s="1"/>
      <c r="F3774" s="1" t="s">
        <v>365</v>
      </c>
      <c r="G3774">
        <v>2013</v>
      </c>
      <c r="H3774">
        <v>270402.53999999998</v>
      </c>
      <c r="I3774">
        <v>11</v>
      </c>
      <c r="J3774" s="1" t="s">
        <v>421</v>
      </c>
      <c r="K3774">
        <v>0</v>
      </c>
      <c r="L3774">
        <v>0</v>
      </c>
      <c r="M3774">
        <v>2704025.4</v>
      </c>
      <c r="N3774">
        <v>1</v>
      </c>
      <c r="O3774" s="1" t="s">
        <v>562</v>
      </c>
      <c r="P3774">
        <v>270402.53999999998</v>
      </c>
      <c r="Q3774">
        <v>50024.47</v>
      </c>
      <c r="R3774">
        <v>1</v>
      </c>
      <c r="S3774" s="1" t="s">
        <v>875</v>
      </c>
      <c r="T3774" s="1"/>
      <c r="U3774">
        <v>270402.54155999998</v>
      </c>
      <c r="V3774">
        <v>0</v>
      </c>
      <c r="W3774">
        <v>57630</v>
      </c>
    </row>
    <row r="3775" spans="1:23" x14ac:dyDescent="0.25">
      <c r="A3775" s="1" t="s">
        <v>39</v>
      </c>
      <c r="B3775" s="1" t="s">
        <v>83</v>
      </c>
      <c r="C3775" s="1" t="s">
        <v>208</v>
      </c>
      <c r="D3775">
        <v>5450</v>
      </c>
      <c r="E3775" s="1"/>
      <c r="F3775" s="1" t="s">
        <v>365</v>
      </c>
      <c r="G3775">
        <v>2013</v>
      </c>
      <c r="H3775">
        <v>9304.01</v>
      </c>
      <c r="I3775">
        <v>11</v>
      </c>
      <c r="J3775" s="1" t="s">
        <v>421</v>
      </c>
      <c r="K3775">
        <v>0</v>
      </c>
      <c r="L3775">
        <v>0</v>
      </c>
      <c r="M3775">
        <v>93040.1</v>
      </c>
      <c r="N3775">
        <v>1</v>
      </c>
      <c r="O3775" s="1" t="s">
        <v>562</v>
      </c>
      <c r="P3775">
        <v>9304.01</v>
      </c>
      <c r="Q3775">
        <v>1721.24</v>
      </c>
      <c r="R3775">
        <v>1</v>
      </c>
      <c r="S3775" s="1" t="s">
        <v>883</v>
      </c>
      <c r="T3775" s="1"/>
      <c r="U3775">
        <v>9304.0107499999995</v>
      </c>
      <c r="V3775">
        <v>0</v>
      </c>
      <c r="W3775">
        <v>57636</v>
      </c>
    </row>
    <row r="3776" spans="1:23" x14ac:dyDescent="0.25">
      <c r="A3776" s="1" t="s">
        <v>39</v>
      </c>
      <c r="B3776" s="1" t="s">
        <v>83</v>
      </c>
      <c r="C3776" s="1" t="s">
        <v>208</v>
      </c>
      <c r="D3776">
        <v>5450</v>
      </c>
      <c r="E3776" s="1"/>
      <c r="F3776" s="1" t="s">
        <v>365</v>
      </c>
      <c r="G3776">
        <v>2013</v>
      </c>
      <c r="H3776">
        <v>11693.17</v>
      </c>
      <c r="I3776">
        <v>11</v>
      </c>
      <c r="J3776" s="1" t="s">
        <v>421</v>
      </c>
      <c r="K3776">
        <v>0</v>
      </c>
      <c r="L3776">
        <v>0</v>
      </c>
      <c r="M3776">
        <v>116931.7</v>
      </c>
      <c r="N3776">
        <v>1</v>
      </c>
      <c r="O3776" s="1" t="s">
        <v>562</v>
      </c>
      <c r="P3776">
        <v>11693.17</v>
      </c>
      <c r="Q3776">
        <v>2163.23</v>
      </c>
      <c r="R3776">
        <v>1</v>
      </c>
      <c r="S3776" s="1" t="s">
        <v>877</v>
      </c>
      <c r="T3776" s="1"/>
      <c r="U3776">
        <v>11693.17203</v>
      </c>
      <c r="V3776">
        <v>0</v>
      </c>
      <c r="W3776">
        <v>57638</v>
      </c>
    </row>
    <row r="3777" spans="1:23" x14ac:dyDescent="0.25">
      <c r="A3777" s="1" t="s">
        <v>39</v>
      </c>
      <c r="B3777" s="1" t="s">
        <v>83</v>
      </c>
      <c r="C3777" s="1" t="s">
        <v>208</v>
      </c>
      <c r="D3777">
        <v>5450</v>
      </c>
      <c r="E3777" s="1"/>
      <c r="F3777" s="1" t="s">
        <v>365</v>
      </c>
      <c r="G3777">
        <v>2012</v>
      </c>
      <c r="H3777">
        <v>166100.92000000001</v>
      </c>
      <c r="I3777">
        <v>13</v>
      </c>
      <c r="J3777" s="1" t="s">
        <v>421</v>
      </c>
      <c r="K3777">
        <v>0</v>
      </c>
      <c r="L3777">
        <v>0</v>
      </c>
      <c r="M3777">
        <v>1661009.2</v>
      </c>
      <c r="N3777">
        <v>1</v>
      </c>
      <c r="O3777" s="1" t="s">
        <v>562</v>
      </c>
      <c r="P3777">
        <v>166100.92000000001</v>
      </c>
      <c r="Q3777">
        <v>30728.66</v>
      </c>
      <c r="R3777">
        <v>1</v>
      </c>
      <c r="S3777" s="1" t="s">
        <v>878</v>
      </c>
      <c r="T3777" s="1"/>
      <c r="U3777">
        <v>166100.90908000001</v>
      </c>
      <c r="V3777">
        <v>0</v>
      </c>
      <c r="W3777">
        <v>57557</v>
      </c>
    </row>
    <row r="3778" spans="1:23" x14ac:dyDescent="0.25">
      <c r="A3778" s="1" t="s">
        <v>39</v>
      </c>
      <c r="B3778" s="1" t="s">
        <v>83</v>
      </c>
      <c r="C3778" s="1" t="s">
        <v>208</v>
      </c>
      <c r="D3778">
        <v>5450</v>
      </c>
      <c r="E3778" s="1"/>
      <c r="F3778" s="1" t="s">
        <v>365</v>
      </c>
      <c r="G3778">
        <v>2012</v>
      </c>
      <c r="H3778">
        <v>17292.43</v>
      </c>
      <c r="I3778">
        <v>13</v>
      </c>
      <c r="J3778" s="1" t="s">
        <v>421</v>
      </c>
      <c r="K3778">
        <v>0</v>
      </c>
      <c r="L3778">
        <v>0</v>
      </c>
      <c r="M3778">
        <v>172924.3</v>
      </c>
      <c r="N3778">
        <v>1</v>
      </c>
      <c r="O3778" s="1" t="s">
        <v>562</v>
      </c>
      <c r="P3778">
        <v>17292.43</v>
      </c>
      <c r="Q3778">
        <v>3199.1</v>
      </c>
      <c r="R3778">
        <v>1</v>
      </c>
      <c r="S3778" s="1" t="s">
        <v>879</v>
      </c>
      <c r="T3778" s="1"/>
      <c r="U3778">
        <v>17292.42424</v>
      </c>
      <c r="V3778">
        <v>0</v>
      </c>
      <c r="W3778">
        <v>57559</v>
      </c>
    </row>
    <row r="3779" spans="1:23" x14ac:dyDescent="0.25">
      <c r="A3779" s="1" t="s">
        <v>39</v>
      </c>
      <c r="B3779" s="1" t="s">
        <v>83</v>
      </c>
      <c r="C3779" s="1" t="s">
        <v>208</v>
      </c>
      <c r="D3779">
        <v>5450</v>
      </c>
      <c r="E3779" s="1"/>
      <c r="F3779" s="1" t="s">
        <v>365</v>
      </c>
      <c r="G3779">
        <v>2012</v>
      </c>
      <c r="H3779">
        <v>116777.99</v>
      </c>
      <c r="I3779">
        <v>13</v>
      </c>
      <c r="J3779" s="1" t="s">
        <v>421</v>
      </c>
      <c r="K3779">
        <v>0</v>
      </c>
      <c r="L3779">
        <v>0</v>
      </c>
      <c r="M3779">
        <v>1167779.8999999999</v>
      </c>
      <c r="N3779">
        <v>1</v>
      </c>
      <c r="O3779" s="1" t="s">
        <v>562</v>
      </c>
      <c r="P3779">
        <v>116777.99</v>
      </c>
      <c r="Q3779">
        <v>21603.91</v>
      </c>
      <c r="R3779">
        <v>1</v>
      </c>
      <c r="S3779" s="1" t="s">
        <v>880</v>
      </c>
      <c r="T3779" s="1"/>
      <c r="U3779">
        <v>116777.99999</v>
      </c>
      <c r="V3779">
        <v>0</v>
      </c>
      <c r="W3779">
        <v>57626</v>
      </c>
    </row>
    <row r="3780" spans="1:23" x14ac:dyDescent="0.25">
      <c r="A3780" s="1" t="s">
        <v>39</v>
      </c>
      <c r="B3780" s="1" t="s">
        <v>83</v>
      </c>
      <c r="C3780" s="1" t="s">
        <v>208</v>
      </c>
      <c r="D3780">
        <v>5450</v>
      </c>
      <c r="E3780" s="1"/>
      <c r="F3780" s="1" t="s">
        <v>365</v>
      </c>
      <c r="G3780">
        <v>2012</v>
      </c>
      <c r="H3780">
        <v>14851.93</v>
      </c>
      <c r="I3780">
        <v>13</v>
      </c>
      <c r="J3780" s="1" t="s">
        <v>421</v>
      </c>
      <c r="K3780">
        <v>0</v>
      </c>
      <c r="L3780">
        <v>0</v>
      </c>
      <c r="M3780">
        <v>148519.29999999999</v>
      </c>
      <c r="N3780">
        <v>1</v>
      </c>
      <c r="O3780" s="1" t="s">
        <v>562</v>
      </c>
      <c r="P3780">
        <v>14851.93</v>
      </c>
      <c r="Q3780">
        <v>2747.61</v>
      </c>
      <c r="R3780">
        <v>1</v>
      </c>
      <c r="S3780" s="1" t="s">
        <v>881</v>
      </c>
      <c r="T3780" s="1"/>
      <c r="U3780">
        <v>14851.93939</v>
      </c>
      <c r="V3780">
        <v>0</v>
      </c>
      <c r="W3780">
        <v>57628</v>
      </c>
    </row>
    <row r="3781" spans="1:23" x14ac:dyDescent="0.25">
      <c r="A3781" s="1" t="s">
        <v>39</v>
      </c>
      <c r="B3781" s="1" t="s">
        <v>83</v>
      </c>
      <c r="C3781" s="1" t="s">
        <v>208</v>
      </c>
      <c r="D3781">
        <v>5450</v>
      </c>
      <c r="E3781" s="1"/>
      <c r="F3781" s="1" t="s">
        <v>365</v>
      </c>
      <c r="G3781">
        <v>2012</v>
      </c>
      <c r="H3781">
        <v>39845.480000000003</v>
      </c>
      <c r="I3781">
        <v>13</v>
      </c>
      <c r="J3781" s="1" t="s">
        <v>421</v>
      </c>
      <c r="K3781">
        <v>0</v>
      </c>
      <c r="L3781">
        <v>0</v>
      </c>
      <c r="M3781">
        <v>398454.8</v>
      </c>
      <c r="N3781">
        <v>1</v>
      </c>
      <c r="O3781" s="1" t="s">
        <v>562</v>
      </c>
      <c r="P3781">
        <v>39845.480000000003</v>
      </c>
      <c r="Q3781">
        <v>7371.4</v>
      </c>
      <c r="R3781">
        <v>1</v>
      </c>
      <c r="S3781" s="1" t="s">
        <v>882</v>
      </c>
      <c r="T3781" s="1"/>
      <c r="U3781">
        <v>39845.484850000001</v>
      </c>
      <c r="V3781">
        <v>0</v>
      </c>
      <c r="W3781">
        <v>57634</v>
      </c>
    </row>
    <row r="3782" spans="1:23" x14ac:dyDescent="0.25">
      <c r="A3782" s="1" t="s">
        <v>39</v>
      </c>
      <c r="B3782" s="1" t="s">
        <v>83</v>
      </c>
      <c r="C3782" s="1" t="s">
        <v>208</v>
      </c>
      <c r="D3782">
        <v>5450</v>
      </c>
      <c r="E3782" s="1"/>
      <c r="F3782" s="1" t="s">
        <v>365</v>
      </c>
      <c r="G3782">
        <v>2012</v>
      </c>
      <c r="H3782">
        <v>6226.97</v>
      </c>
      <c r="I3782">
        <v>13</v>
      </c>
      <c r="J3782" s="1" t="s">
        <v>421</v>
      </c>
      <c r="K3782">
        <v>0</v>
      </c>
      <c r="L3782">
        <v>0</v>
      </c>
      <c r="M3782">
        <v>62269.7</v>
      </c>
      <c r="N3782">
        <v>1</v>
      </c>
      <c r="O3782" s="1" t="s">
        <v>562</v>
      </c>
      <c r="P3782">
        <v>6226.97</v>
      </c>
      <c r="Q3782">
        <v>1151.98</v>
      </c>
      <c r="R3782">
        <v>1</v>
      </c>
      <c r="S3782" s="1" t="s">
        <v>883</v>
      </c>
      <c r="T3782" s="1"/>
      <c r="U3782">
        <v>6226.9696999999996</v>
      </c>
      <c r="V3782">
        <v>0</v>
      </c>
      <c r="W3782">
        <v>57636</v>
      </c>
    </row>
    <row r="3783" spans="1:23" x14ac:dyDescent="0.25">
      <c r="A3783" s="1" t="s">
        <v>39</v>
      </c>
      <c r="B3783" s="1" t="s">
        <v>83</v>
      </c>
      <c r="C3783" s="1" t="s">
        <v>208</v>
      </c>
      <c r="D3783">
        <v>5450</v>
      </c>
      <c r="E3783" s="1"/>
      <c r="F3783" s="1" t="s">
        <v>365</v>
      </c>
      <c r="G3783">
        <v>2012</v>
      </c>
      <c r="H3783">
        <v>119114.66</v>
      </c>
      <c r="I3783">
        <v>13</v>
      </c>
      <c r="J3783" s="1" t="s">
        <v>421</v>
      </c>
      <c r="K3783">
        <v>0</v>
      </c>
      <c r="L3783">
        <v>0</v>
      </c>
      <c r="M3783">
        <v>1191146.6000000001</v>
      </c>
      <c r="N3783">
        <v>1</v>
      </c>
      <c r="O3783" s="1" t="s">
        <v>562</v>
      </c>
      <c r="P3783">
        <v>119114.66</v>
      </c>
      <c r="Q3783">
        <v>22036.22</v>
      </c>
      <c r="R3783">
        <v>1</v>
      </c>
      <c r="S3783" s="1" t="s">
        <v>874</v>
      </c>
      <c r="T3783" s="1"/>
      <c r="U3783">
        <v>119114.66665</v>
      </c>
      <c r="V3783">
        <v>0</v>
      </c>
      <c r="W3783">
        <v>57561</v>
      </c>
    </row>
    <row r="3784" spans="1:23" x14ac:dyDescent="0.25">
      <c r="A3784" s="1" t="s">
        <v>39</v>
      </c>
      <c r="B3784" s="1" t="s">
        <v>83</v>
      </c>
      <c r="C3784" s="1" t="s">
        <v>208</v>
      </c>
      <c r="D3784">
        <v>5450</v>
      </c>
      <c r="E3784" s="1"/>
      <c r="F3784" s="1" t="s">
        <v>365</v>
      </c>
      <c r="G3784">
        <v>2012</v>
      </c>
      <c r="H3784">
        <v>271053.03000000003</v>
      </c>
      <c r="I3784">
        <v>13</v>
      </c>
      <c r="J3784" s="1" t="s">
        <v>421</v>
      </c>
      <c r="K3784">
        <v>0</v>
      </c>
      <c r="L3784">
        <v>0</v>
      </c>
      <c r="M3784">
        <v>2710530.3</v>
      </c>
      <c r="N3784">
        <v>1</v>
      </c>
      <c r="O3784" s="1" t="s">
        <v>562</v>
      </c>
      <c r="P3784">
        <v>271053.03000000003</v>
      </c>
      <c r="Q3784">
        <v>50144.81</v>
      </c>
      <c r="R3784">
        <v>1</v>
      </c>
      <c r="S3784" s="1" t="s">
        <v>875</v>
      </c>
      <c r="T3784" s="1"/>
      <c r="U3784">
        <v>271053.03029999998</v>
      </c>
      <c r="V3784">
        <v>0</v>
      </c>
      <c r="W3784">
        <v>57630</v>
      </c>
    </row>
    <row r="3785" spans="1:23" x14ac:dyDescent="0.25">
      <c r="A3785" s="1" t="s">
        <v>39</v>
      </c>
      <c r="B3785" s="1" t="s">
        <v>83</v>
      </c>
      <c r="C3785" s="1" t="s">
        <v>208</v>
      </c>
      <c r="D3785">
        <v>5450</v>
      </c>
      <c r="E3785" s="1"/>
      <c r="F3785" s="1" t="s">
        <v>365</v>
      </c>
      <c r="G3785">
        <v>2012</v>
      </c>
      <c r="H3785">
        <v>389674.23999999999</v>
      </c>
      <c r="I3785">
        <v>13</v>
      </c>
      <c r="J3785" s="1" t="s">
        <v>421</v>
      </c>
      <c r="K3785">
        <v>0</v>
      </c>
      <c r="L3785">
        <v>0</v>
      </c>
      <c r="M3785">
        <v>3896742.4</v>
      </c>
      <c r="N3785">
        <v>1</v>
      </c>
      <c r="O3785" s="1" t="s">
        <v>562</v>
      </c>
      <c r="P3785">
        <v>389674.23999999999</v>
      </c>
      <c r="Q3785">
        <v>72089.73</v>
      </c>
      <c r="R3785">
        <v>1</v>
      </c>
      <c r="S3785" s="1" t="s">
        <v>876</v>
      </c>
      <c r="T3785" s="1"/>
      <c r="U3785">
        <v>389674.24242000002</v>
      </c>
      <c r="V3785">
        <v>0</v>
      </c>
      <c r="W3785">
        <v>57632</v>
      </c>
    </row>
    <row r="3786" spans="1:23" x14ac:dyDescent="0.25">
      <c r="A3786" s="1" t="s">
        <v>39</v>
      </c>
      <c r="B3786" s="1" t="s">
        <v>83</v>
      </c>
      <c r="C3786" s="1" t="s">
        <v>208</v>
      </c>
      <c r="D3786">
        <v>5450</v>
      </c>
      <c r="E3786" s="1"/>
      <c r="F3786" s="1" t="s">
        <v>365</v>
      </c>
      <c r="G3786">
        <v>2012</v>
      </c>
      <c r="H3786">
        <v>10780.33</v>
      </c>
      <c r="I3786">
        <v>13</v>
      </c>
      <c r="J3786" s="1" t="s">
        <v>421</v>
      </c>
      <c r="K3786">
        <v>0</v>
      </c>
      <c r="L3786">
        <v>0</v>
      </c>
      <c r="M3786">
        <v>107803.3</v>
      </c>
      <c r="N3786">
        <v>1</v>
      </c>
      <c r="O3786" s="1" t="s">
        <v>562</v>
      </c>
      <c r="P3786">
        <v>10780.33</v>
      </c>
      <c r="Q3786">
        <v>1994.35</v>
      </c>
      <c r="R3786">
        <v>1</v>
      </c>
      <c r="S3786" s="1" t="s">
        <v>877</v>
      </c>
      <c r="T3786" s="1"/>
      <c r="U3786">
        <v>10780.333339999999</v>
      </c>
      <c r="V3786">
        <v>0</v>
      </c>
      <c r="W3786">
        <v>57638</v>
      </c>
    </row>
    <row r="3787" spans="1:23" x14ac:dyDescent="0.25">
      <c r="A3787" s="1" t="s">
        <v>39</v>
      </c>
      <c r="B3787" s="1" t="s">
        <v>83</v>
      </c>
      <c r="C3787" s="1" t="s">
        <v>208</v>
      </c>
      <c r="D3787">
        <v>5450</v>
      </c>
      <c r="E3787" s="1"/>
      <c r="F3787" s="1" t="s">
        <v>365</v>
      </c>
      <c r="G3787">
        <v>2011</v>
      </c>
      <c r="H3787">
        <v>143361.88</v>
      </c>
      <c r="I3787">
        <v>12</v>
      </c>
      <c r="J3787" s="1" t="s">
        <v>421</v>
      </c>
      <c r="K3787">
        <v>0</v>
      </c>
      <c r="L3787">
        <v>0</v>
      </c>
      <c r="M3787">
        <v>1433618.8</v>
      </c>
      <c r="N3787">
        <v>1</v>
      </c>
      <c r="O3787" s="1" t="s">
        <v>562</v>
      </c>
      <c r="P3787">
        <v>143361.88</v>
      </c>
      <c r="Q3787">
        <v>26521.95</v>
      </c>
      <c r="R3787">
        <v>1</v>
      </c>
      <c r="S3787" s="1" t="s">
        <v>878</v>
      </c>
      <c r="T3787" s="1"/>
      <c r="U3787">
        <v>143361.87878999999</v>
      </c>
      <c r="V3787">
        <v>0</v>
      </c>
      <c r="W3787">
        <v>57557</v>
      </c>
    </row>
    <row r="3788" spans="1:23" x14ac:dyDescent="0.25">
      <c r="A3788" s="1" t="s">
        <v>39</v>
      </c>
      <c r="B3788" s="1" t="s">
        <v>83</v>
      </c>
      <c r="C3788" s="1" t="s">
        <v>208</v>
      </c>
      <c r="D3788">
        <v>5450</v>
      </c>
      <c r="E3788" s="1"/>
      <c r="F3788" s="1" t="s">
        <v>365</v>
      </c>
      <c r="G3788">
        <v>2011</v>
      </c>
      <c r="H3788">
        <v>8430.6</v>
      </c>
      <c r="I3788">
        <v>12</v>
      </c>
      <c r="J3788" s="1" t="s">
        <v>421</v>
      </c>
      <c r="K3788">
        <v>0</v>
      </c>
      <c r="L3788">
        <v>0</v>
      </c>
      <c r="M3788">
        <v>84306</v>
      </c>
      <c r="N3788">
        <v>1</v>
      </c>
      <c r="O3788" s="1" t="s">
        <v>562</v>
      </c>
      <c r="P3788">
        <v>8430.6</v>
      </c>
      <c r="Q3788">
        <v>1559.67</v>
      </c>
      <c r="R3788">
        <v>1</v>
      </c>
      <c r="S3788" s="1" t="s">
        <v>879</v>
      </c>
      <c r="T3788" s="1"/>
      <c r="U3788">
        <v>8430.6060799999996</v>
      </c>
      <c r="V3788">
        <v>0</v>
      </c>
      <c r="W3788">
        <v>57559</v>
      </c>
    </row>
    <row r="3789" spans="1:23" x14ac:dyDescent="0.25">
      <c r="A3789" s="1" t="s">
        <v>39</v>
      </c>
      <c r="B3789" s="1" t="s">
        <v>83</v>
      </c>
      <c r="C3789" s="1" t="s">
        <v>208</v>
      </c>
      <c r="D3789">
        <v>5450</v>
      </c>
      <c r="E3789" s="1"/>
      <c r="F3789" s="1" t="s">
        <v>365</v>
      </c>
      <c r="G3789">
        <v>2011</v>
      </c>
      <c r="H3789">
        <v>121794.79</v>
      </c>
      <c r="I3789">
        <v>12</v>
      </c>
      <c r="J3789" s="1" t="s">
        <v>421</v>
      </c>
      <c r="K3789">
        <v>0</v>
      </c>
      <c r="L3789">
        <v>0</v>
      </c>
      <c r="M3789">
        <v>1217947.8999999999</v>
      </c>
      <c r="N3789">
        <v>1</v>
      </c>
      <c r="O3789" s="1" t="s">
        <v>562</v>
      </c>
      <c r="P3789">
        <v>121794.79</v>
      </c>
      <c r="Q3789">
        <v>22532.05</v>
      </c>
      <c r="R3789">
        <v>1</v>
      </c>
      <c r="S3789" s="1" t="s">
        <v>880</v>
      </c>
      <c r="T3789" s="1"/>
      <c r="U3789">
        <v>121794.78789000001</v>
      </c>
      <c r="V3789">
        <v>0</v>
      </c>
      <c r="W3789">
        <v>57626</v>
      </c>
    </row>
    <row r="3790" spans="1:23" x14ac:dyDescent="0.25">
      <c r="A3790" s="1" t="s">
        <v>39</v>
      </c>
      <c r="B3790" s="1" t="s">
        <v>83</v>
      </c>
      <c r="C3790" s="1" t="s">
        <v>208</v>
      </c>
      <c r="D3790">
        <v>5450</v>
      </c>
      <c r="E3790" s="1"/>
      <c r="F3790" s="1" t="s">
        <v>365</v>
      </c>
      <c r="G3790">
        <v>2011</v>
      </c>
      <c r="H3790">
        <v>10064.43</v>
      </c>
      <c r="I3790">
        <v>12</v>
      </c>
      <c r="J3790" s="1" t="s">
        <v>421</v>
      </c>
      <c r="K3790">
        <v>0</v>
      </c>
      <c r="L3790">
        <v>0</v>
      </c>
      <c r="M3790">
        <v>100644.3</v>
      </c>
      <c r="N3790">
        <v>1</v>
      </c>
      <c r="O3790" s="1" t="s">
        <v>562</v>
      </c>
      <c r="P3790">
        <v>10064.43</v>
      </c>
      <c r="Q3790">
        <v>1861.93</v>
      </c>
      <c r="R3790">
        <v>1</v>
      </c>
      <c r="S3790" s="1" t="s">
        <v>881</v>
      </c>
      <c r="T3790" s="1"/>
      <c r="U3790">
        <v>10064.42425</v>
      </c>
      <c r="V3790">
        <v>0</v>
      </c>
      <c r="W3790">
        <v>57628</v>
      </c>
    </row>
    <row r="3791" spans="1:23" x14ac:dyDescent="0.25">
      <c r="A3791" s="1" t="s">
        <v>39</v>
      </c>
      <c r="B3791" s="1" t="s">
        <v>83</v>
      </c>
      <c r="C3791" s="1" t="s">
        <v>208</v>
      </c>
      <c r="D3791">
        <v>5450</v>
      </c>
      <c r="E3791" s="1"/>
      <c r="F3791" s="1" t="s">
        <v>365</v>
      </c>
      <c r="G3791">
        <v>2011</v>
      </c>
      <c r="H3791">
        <v>39577.86</v>
      </c>
      <c r="I3791">
        <v>12</v>
      </c>
      <c r="J3791" s="1" t="s">
        <v>421</v>
      </c>
      <c r="K3791">
        <v>0</v>
      </c>
      <c r="L3791">
        <v>0</v>
      </c>
      <c r="M3791">
        <v>395778.6</v>
      </c>
      <c r="N3791">
        <v>1</v>
      </c>
      <c r="O3791" s="1" t="s">
        <v>562</v>
      </c>
      <c r="P3791">
        <v>39577.86</v>
      </c>
      <c r="Q3791">
        <v>7321.91</v>
      </c>
      <c r="R3791">
        <v>1</v>
      </c>
      <c r="S3791" s="1" t="s">
        <v>882</v>
      </c>
      <c r="T3791" s="1"/>
      <c r="U3791">
        <v>39577.848489999997</v>
      </c>
      <c r="V3791">
        <v>0</v>
      </c>
      <c r="W3791">
        <v>57634</v>
      </c>
    </row>
    <row r="3792" spans="1:23" x14ac:dyDescent="0.25">
      <c r="A3792" s="1" t="s">
        <v>39</v>
      </c>
      <c r="B3792" s="1" t="s">
        <v>83</v>
      </c>
      <c r="C3792" s="1" t="s">
        <v>208</v>
      </c>
      <c r="D3792">
        <v>5450</v>
      </c>
      <c r="E3792" s="1"/>
      <c r="F3792" s="1" t="s">
        <v>365</v>
      </c>
      <c r="G3792">
        <v>2011</v>
      </c>
      <c r="H3792">
        <v>1376.44</v>
      </c>
      <c r="I3792">
        <v>12</v>
      </c>
      <c r="J3792" s="1" t="s">
        <v>421</v>
      </c>
      <c r="K3792">
        <v>0</v>
      </c>
      <c r="L3792">
        <v>0</v>
      </c>
      <c r="M3792">
        <v>13764.4</v>
      </c>
      <c r="N3792">
        <v>1</v>
      </c>
      <c r="O3792" s="1" t="s">
        <v>562</v>
      </c>
      <c r="P3792">
        <v>1376.44</v>
      </c>
      <c r="Q3792">
        <v>254.65</v>
      </c>
      <c r="R3792">
        <v>1</v>
      </c>
      <c r="S3792" s="1" t="s">
        <v>883</v>
      </c>
      <c r="T3792" s="1"/>
      <c r="U3792">
        <v>1376.45454</v>
      </c>
      <c r="V3792">
        <v>0</v>
      </c>
      <c r="W3792">
        <v>57636</v>
      </c>
    </row>
    <row r="3793" spans="1:23" x14ac:dyDescent="0.25">
      <c r="A3793" s="1" t="s">
        <v>39</v>
      </c>
      <c r="B3793" s="1" t="s">
        <v>83</v>
      </c>
      <c r="C3793" s="1" t="s">
        <v>208</v>
      </c>
      <c r="D3793">
        <v>5450</v>
      </c>
      <c r="E3793" s="1"/>
      <c r="F3793" s="1" t="s">
        <v>365</v>
      </c>
      <c r="G3793">
        <v>2011</v>
      </c>
      <c r="H3793">
        <v>120547.45</v>
      </c>
      <c r="I3793">
        <v>12</v>
      </c>
      <c r="J3793" s="1" t="s">
        <v>421</v>
      </c>
      <c r="K3793">
        <v>0</v>
      </c>
      <c r="L3793">
        <v>0</v>
      </c>
      <c r="M3793">
        <v>1205474.5</v>
      </c>
      <c r="N3793">
        <v>1</v>
      </c>
      <c r="O3793" s="1" t="s">
        <v>562</v>
      </c>
      <c r="P3793">
        <v>120547.45</v>
      </c>
      <c r="Q3793">
        <v>22301.27</v>
      </c>
      <c r="R3793">
        <v>1</v>
      </c>
      <c r="S3793" s="1" t="s">
        <v>874</v>
      </c>
      <c r="T3793" s="1"/>
      <c r="U3793">
        <v>120547.45456</v>
      </c>
      <c r="V3793">
        <v>0</v>
      </c>
      <c r="W3793">
        <v>57561</v>
      </c>
    </row>
    <row r="3794" spans="1:23" x14ac:dyDescent="0.25">
      <c r="A3794" s="1" t="s">
        <v>39</v>
      </c>
      <c r="B3794" s="1" t="s">
        <v>83</v>
      </c>
      <c r="C3794" s="1" t="s">
        <v>208</v>
      </c>
      <c r="D3794">
        <v>5450</v>
      </c>
      <c r="E3794" s="1"/>
      <c r="F3794" s="1" t="s">
        <v>365</v>
      </c>
      <c r="G3794">
        <v>2011</v>
      </c>
      <c r="H3794">
        <v>216851.22</v>
      </c>
      <c r="I3794">
        <v>12</v>
      </c>
      <c r="J3794" s="1" t="s">
        <v>421</v>
      </c>
      <c r="K3794">
        <v>0</v>
      </c>
      <c r="L3794">
        <v>0</v>
      </c>
      <c r="M3794">
        <v>2168512.2000000002</v>
      </c>
      <c r="N3794">
        <v>1</v>
      </c>
      <c r="O3794" s="1" t="s">
        <v>562</v>
      </c>
      <c r="P3794">
        <v>216851.22</v>
      </c>
      <c r="Q3794">
        <v>40117.49</v>
      </c>
      <c r="R3794">
        <v>1</v>
      </c>
      <c r="S3794" s="1" t="s">
        <v>875</v>
      </c>
      <c r="T3794" s="1"/>
      <c r="U3794">
        <v>216851.21212000001</v>
      </c>
      <c r="V3794">
        <v>0</v>
      </c>
      <c r="W3794">
        <v>57630</v>
      </c>
    </row>
    <row r="3795" spans="1:23" x14ac:dyDescent="0.25">
      <c r="A3795" s="1" t="s">
        <v>39</v>
      </c>
      <c r="B3795" s="1" t="s">
        <v>83</v>
      </c>
      <c r="C3795" s="1" t="s">
        <v>208</v>
      </c>
      <c r="D3795">
        <v>5450</v>
      </c>
      <c r="E3795" s="1"/>
      <c r="F3795" s="1" t="s">
        <v>365</v>
      </c>
      <c r="G3795">
        <v>2011</v>
      </c>
      <c r="H3795">
        <v>338765.76</v>
      </c>
      <c r="I3795">
        <v>12</v>
      </c>
      <c r="J3795" s="1" t="s">
        <v>421</v>
      </c>
      <c r="K3795">
        <v>0</v>
      </c>
      <c r="L3795">
        <v>0</v>
      </c>
      <c r="M3795">
        <v>3387657.6</v>
      </c>
      <c r="N3795">
        <v>1</v>
      </c>
      <c r="O3795" s="1" t="s">
        <v>562</v>
      </c>
      <c r="P3795">
        <v>338765.76</v>
      </c>
      <c r="Q3795">
        <v>62671.66</v>
      </c>
      <c r="R3795">
        <v>1</v>
      </c>
      <c r="S3795" s="1" t="s">
        <v>876</v>
      </c>
      <c r="T3795" s="1"/>
      <c r="U3795">
        <v>338765.75757999998</v>
      </c>
      <c r="V3795">
        <v>0</v>
      </c>
      <c r="W3795">
        <v>57632</v>
      </c>
    </row>
    <row r="3796" spans="1:23" x14ac:dyDescent="0.25">
      <c r="A3796" s="1" t="s">
        <v>39</v>
      </c>
      <c r="B3796" s="1" t="s">
        <v>83</v>
      </c>
      <c r="C3796" s="1" t="s">
        <v>208</v>
      </c>
      <c r="D3796">
        <v>5450</v>
      </c>
      <c r="E3796" s="1"/>
      <c r="F3796" s="1" t="s">
        <v>365</v>
      </c>
      <c r="G3796">
        <v>2011</v>
      </c>
      <c r="H3796">
        <v>713.27</v>
      </c>
      <c r="I3796">
        <v>12</v>
      </c>
      <c r="J3796" s="1" t="s">
        <v>421</v>
      </c>
      <c r="K3796">
        <v>0</v>
      </c>
      <c r="L3796">
        <v>0</v>
      </c>
      <c r="M3796">
        <v>7132.7</v>
      </c>
      <c r="N3796">
        <v>1</v>
      </c>
      <c r="O3796" s="1" t="s">
        <v>562</v>
      </c>
      <c r="P3796">
        <v>713.27</v>
      </c>
      <c r="Q3796">
        <v>131.97</v>
      </c>
      <c r="R3796">
        <v>1</v>
      </c>
      <c r="S3796" s="1" t="s">
        <v>877</v>
      </c>
      <c r="T3796" s="1"/>
      <c r="U3796">
        <v>713.27274</v>
      </c>
      <c r="V3796">
        <v>0</v>
      </c>
      <c r="W3796">
        <v>57638</v>
      </c>
    </row>
    <row r="3797" spans="1:23" x14ac:dyDescent="0.25">
      <c r="A3797" s="1" t="s">
        <v>39</v>
      </c>
      <c r="B3797" s="1" t="s">
        <v>83</v>
      </c>
      <c r="C3797" s="1" t="s">
        <v>208</v>
      </c>
      <c r="D3797">
        <v>5450</v>
      </c>
      <c r="E3797" s="1"/>
      <c r="F3797" s="1" t="s">
        <v>365</v>
      </c>
      <c r="G3797">
        <v>2010</v>
      </c>
      <c r="H3797">
        <v>10769.94</v>
      </c>
      <c r="I3797">
        <v>12</v>
      </c>
      <c r="J3797" s="1" t="s">
        <v>421</v>
      </c>
      <c r="K3797">
        <v>0</v>
      </c>
      <c r="L3797">
        <v>0</v>
      </c>
      <c r="M3797">
        <v>107699.4</v>
      </c>
      <c r="N3797">
        <v>1</v>
      </c>
      <c r="O3797" s="1" t="s">
        <v>562</v>
      </c>
      <c r="P3797">
        <v>10769.94</v>
      </c>
      <c r="Q3797">
        <v>1992.41</v>
      </c>
      <c r="R3797">
        <v>1</v>
      </c>
      <c r="S3797" s="1" t="s">
        <v>879</v>
      </c>
      <c r="T3797" s="1"/>
      <c r="U3797">
        <v>10769.928690000001</v>
      </c>
      <c r="V3797">
        <v>0</v>
      </c>
      <c r="W3797">
        <v>57559</v>
      </c>
    </row>
    <row r="3798" spans="1:23" x14ac:dyDescent="0.25">
      <c r="A3798" s="1" t="s">
        <v>39</v>
      </c>
      <c r="B3798" s="1" t="s">
        <v>83</v>
      </c>
      <c r="C3798" s="1" t="s">
        <v>208</v>
      </c>
      <c r="D3798">
        <v>5450</v>
      </c>
      <c r="E3798" s="1"/>
      <c r="F3798" s="1" t="s">
        <v>365</v>
      </c>
      <c r="G3798">
        <v>2010</v>
      </c>
      <c r="H3798">
        <v>133525.03</v>
      </c>
      <c r="I3798">
        <v>12</v>
      </c>
      <c r="J3798" s="1" t="s">
        <v>421</v>
      </c>
      <c r="K3798">
        <v>0</v>
      </c>
      <c r="L3798">
        <v>0</v>
      </c>
      <c r="M3798">
        <v>1335250.3</v>
      </c>
      <c r="N3798">
        <v>1</v>
      </c>
      <c r="O3798" s="1" t="s">
        <v>562</v>
      </c>
      <c r="P3798">
        <v>133525.03</v>
      </c>
      <c r="Q3798">
        <v>24702.13</v>
      </c>
      <c r="R3798">
        <v>1</v>
      </c>
      <c r="S3798" s="1" t="s">
        <v>874</v>
      </c>
      <c r="T3798" s="1"/>
      <c r="U3798">
        <v>133525.03296000001</v>
      </c>
      <c r="V3798">
        <v>0</v>
      </c>
      <c r="W3798">
        <v>57561</v>
      </c>
    </row>
    <row r="3799" spans="1:23" x14ac:dyDescent="0.25">
      <c r="A3799" s="1" t="s">
        <v>39</v>
      </c>
      <c r="B3799" s="1" t="s">
        <v>83</v>
      </c>
      <c r="C3799" s="1" t="s">
        <v>208</v>
      </c>
      <c r="D3799">
        <v>5450</v>
      </c>
      <c r="E3799" s="1"/>
      <c r="F3799" s="1" t="s">
        <v>365</v>
      </c>
      <c r="G3799">
        <v>2010</v>
      </c>
      <c r="H3799">
        <v>10618.31</v>
      </c>
      <c r="I3799">
        <v>12</v>
      </c>
      <c r="J3799" s="1" t="s">
        <v>421</v>
      </c>
      <c r="K3799">
        <v>0</v>
      </c>
      <c r="L3799">
        <v>0</v>
      </c>
      <c r="M3799">
        <v>106183.1</v>
      </c>
      <c r="N3799">
        <v>1</v>
      </c>
      <c r="O3799" s="1" t="s">
        <v>562</v>
      </c>
      <c r="P3799">
        <v>10618.31</v>
      </c>
      <c r="Q3799">
        <v>1964.4</v>
      </c>
      <c r="R3799">
        <v>1</v>
      </c>
      <c r="S3799" s="1" t="s">
        <v>881</v>
      </c>
      <c r="T3799" s="1"/>
      <c r="U3799">
        <v>10618.298559999999</v>
      </c>
      <c r="V3799">
        <v>0</v>
      </c>
      <c r="W3799">
        <v>57628</v>
      </c>
    </row>
    <row r="3800" spans="1:23" x14ac:dyDescent="0.25">
      <c r="A3800" s="1" t="s">
        <v>39</v>
      </c>
      <c r="B3800" s="1" t="s">
        <v>83</v>
      </c>
      <c r="C3800" s="1" t="s">
        <v>208</v>
      </c>
      <c r="D3800">
        <v>5450</v>
      </c>
      <c r="E3800" s="1"/>
      <c r="F3800" s="1" t="s">
        <v>365</v>
      </c>
      <c r="G3800">
        <v>2010</v>
      </c>
      <c r="H3800">
        <v>180137.22</v>
      </c>
      <c r="I3800">
        <v>12</v>
      </c>
      <c r="J3800" s="1" t="s">
        <v>421</v>
      </c>
      <c r="K3800">
        <v>0</v>
      </c>
      <c r="L3800">
        <v>0</v>
      </c>
      <c r="M3800">
        <v>1801372.2</v>
      </c>
      <c r="N3800">
        <v>1</v>
      </c>
      <c r="O3800" s="1" t="s">
        <v>562</v>
      </c>
      <c r="P3800">
        <v>180137.22</v>
      </c>
      <c r="Q3800">
        <v>33325.39</v>
      </c>
      <c r="R3800">
        <v>1</v>
      </c>
      <c r="S3800" s="1" t="s">
        <v>875</v>
      </c>
      <c r="T3800" s="1"/>
      <c r="U3800">
        <v>180137.21033</v>
      </c>
      <c r="V3800">
        <v>0</v>
      </c>
      <c r="W3800">
        <v>57630</v>
      </c>
    </row>
    <row r="3801" spans="1:23" x14ac:dyDescent="0.25">
      <c r="A3801" s="1" t="s">
        <v>39</v>
      </c>
      <c r="B3801" s="1" t="s">
        <v>83</v>
      </c>
      <c r="C3801" s="1" t="s">
        <v>208</v>
      </c>
      <c r="D3801">
        <v>5450</v>
      </c>
      <c r="E3801" s="1"/>
      <c r="F3801" s="1" t="s">
        <v>365</v>
      </c>
      <c r="G3801">
        <v>2010</v>
      </c>
      <c r="H3801">
        <v>3770.35</v>
      </c>
      <c r="I3801">
        <v>10</v>
      </c>
      <c r="J3801" s="1" t="s">
        <v>421</v>
      </c>
      <c r="K3801">
        <v>0</v>
      </c>
      <c r="L3801">
        <v>0</v>
      </c>
      <c r="M3801">
        <v>37703.5</v>
      </c>
      <c r="N3801">
        <v>1</v>
      </c>
      <c r="O3801" s="1" t="s">
        <v>562</v>
      </c>
      <c r="P3801">
        <v>3770.35</v>
      </c>
      <c r="Q3801">
        <v>697.52</v>
      </c>
      <c r="R3801">
        <v>1</v>
      </c>
      <c r="S3801" s="1" t="s">
        <v>883</v>
      </c>
      <c r="T3801" s="1"/>
      <c r="U3801">
        <v>3770.3600799999999</v>
      </c>
      <c r="V3801">
        <v>0</v>
      </c>
      <c r="W3801">
        <v>57636</v>
      </c>
    </row>
    <row r="3802" spans="1:23" x14ac:dyDescent="0.25">
      <c r="A3802" s="1" t="s">
        <v>39</v>
      </c>
      <c r="B3802" s="1" t="s">
        <v>83</v>
      </c>
      <c r="C3802" s="1" t="s">
        <v>208</v>
      </c>
      <c r="D3802">
        <v>5450</v>
      </c>
      <c r="E3802" s="1"/>
      <c r="F3802" s="1" t="s">
        <v>365</v>
      </c>
      <c r="G3802">
        <v>2010</v>
      </c>
      <c r="H3802">
        <v>3534.18</v>
      </c>
      <c r="I3802">
        <v>11</v>
      </c>
      <c r="J3802" s="1" t="s">
        <v>421</v>
      </c>
      <c r="K3802">
        <v>0</v>
      </c>
      <c r="L3802">
        <v>0</v>
      </c>
      <c r="M3802">
        <v>35341.800000000003</v>
      </c>
      <c r="N3802">
        <v>1</v>
      </c>
      <c r="O3802" s="1" t="s">
        <v>562</v>
      </c>
      <c r="P3802">
        <v>3534.18</v>
      </c>
      <c r="Q3802">
        <v>653.83000000000004</v>
      </c>
      <c r="R3802">
        <v>1</v>
      </c>
      <c r="S3802" s="1" t="s">
        <v>877</v>
      </c>
      <c r="T3802" s="1"/>
      <c r="U3802">
        <v>3534.1782699999999</v>
      </c>
      <c r="V3802">
        <v>0</v>
      </c>
      <c r="W3802">
        <v>57638</v>
      </c>
    </row>
    <row r="3803" spans="1:23" x14ac:dyDescent="0.25">
      <c r="A3803" s="1" t="s">
        <v>39</v>
      </c>
      <c r="B3803" s="1" t="s">
        <v>83</v>
      </c>
      <c r="C3803" s="1" t="s">
        <v>208</v>
      </c>
      <c r="D3803">
        <v>5450</v>
      </c>
      <c r="E3803" s="1"/>
      <c r="F3803" s="1" t="s">
        <v>365</v>
      </c>
      <c r="G3803">
        <v>2010</v>
      </c>
      <c r="H3803">
        <v>129715.67</v>
      </c>
      <c r="I3803">
        <v>12</v>
      </c>
      <c r="J3803" s="1" t="s">
        <v>421</v>
      </c>
      <c r="K3803">
        <v>0</v>
      </c>
      <c r="L3803">
        <v>0</v>
      </c>
      <c r="M3803">
        <v>1297156.7</v>
      </c>
      <c r="N3803">
        <v>1</v>
      </c>
      <c r="O3803" s="1" t="s">
        <v>562</v>
      </c>
      <c r="P3803">
        <v>129715.67</v>
      </c>
      <c r="Q3803">
        <v>23997.38</v>
      </c>
      <c r="R3803">
        <v>1</v>
      </c>
      <c r="S3803" s="1" t="s">
        <v>878</v>
      </c>
      <c r="T3803" s="1"/>
      <c r="U3803">
        <v>129715.65951</v>
      </c>
      <c r="V3803">
        <v>0</v>
      </c>
      <c r="W3803">
        <v>57557</v>
      </c>
    </row>
    <row r="3804" spans="1:23" x14ac:dyDescent="0.25">
      <c r="A3804" s="1" t="s">
        <v>39</v>
      </c>
      <c r="B3804" s="1" t="s">
        <v>83</v>
      </c>
      <c r="C3804" s="1" t="s">
        <v>208</v>
      </c>
      <c r="D3804">
        <v>5450</v>
      </c>
      <c r="E3804" s="1"/>
      <c r="F3804" s="1" t="s">
        <v>365</v>
      </c>
      <c r="G3804">
        <v>2010</v>
      </c>
      <c r="H3804">
        <v>94554.71</v>
      </c>
      <c r="I3804">
        <v>12</v>
      </c>
      <c r="J3804" s="1" t="s">
        <v>421</v>
      </c>
      <c r="K3804">
        <v>0</v>
      </c>
      <c r="L3804">
        <v>0</v>
      </c>
      <c r="M3804">
        <v>945547.1</v>
      </c>
      <c r="N3804">
        <v>1</v>
      </c>
      <c r="O3804" s="1" t="s">
        <v>562</v>
      </c>
      <c r="P3804">
        <v>94554.71</v>
      </c>
      <c r="Q3804">
        <v>17492.63</v>
      </c>
      <c r="R3804">
        <v>1</v>
      </c>
      <c r="S3804" s="1" t="s">
        <v>880</v>
      </c>
      <c r="T3804" s="1"/>
      <c r="U3804">
        <v>94554.698759999999</v>
      </c>
      <c r="V3804">
        <v>0</v>
      </c>
      <c r="W3804">
        <v>57626</v>
      </c>
    </row>
    <row r="3805" spans="1:23" x14ac:dyDescent="0.25">
      <c r="A3805" s="1" t="s">
        <v>39</v>
      </c>
      <c r="B3805" s="1" t="s">
        <v>83</v>
      </c>
      <c r="C3805" s="1" t="s">
        <v>208</v>
      </c>
      <c r="D3805">
        <v>5450</v>
      </c>
      <c r="E3805" s="1"/>
      <c r="F3805" s="1" t="s">
        <v>365</v>
      </c>
      <c r="G3805">
        <v>2010</v>
      </c>
      <c r="H3805">
        <v>421641.27</v>
      </c>
      <c r="I3805">
        <v>12</v>
      </c>
      <c r="J3805" s="1" t="s">
        <v>421</v>
      </c>
      <c r="K3805">
        <v>0</v>
      </c>
      <c r="L3805">
        <v>0</v>
      </c>
      <c r="M3805">
        <v>4216412.7</v>
      </c>
      <c r="N3805">
        <v>1</v>
      </c>
      <c r="O3805" s="1" t="s">
        <v>562</v>
      </c>
      <c r="P3805">
        <v>421641.27</v>
      </c>
      <c r="Q3805">
        <v>78003.63</v>
      </c>
      <c r="R3805">
        <v>1</v>
      </c>
      <c r="S3805" s="1" t="s">
        <v>876</v>
      </c>
      <c r="T3805" s="1"/>
      <c r="U3805">
        <v>421641.26559000002</v>
      </c>
      <c r="V3805">
        <v>0</v>
      </c>
      <c r="W3805">
        <v>57632</v>
      </c>
    </row>
    <row r="3806" spans="1:23" x14ac:dyDescent="0.25">
      <c r="A3806" s="1" t="s">
        <v>39</v>
      </c>
      <c r="B3806" s="1" t="s">
        <v>83</v>
      </c>
      <c r="C3806" s="1" t="s">
        <v>208</v>
      </c>
      <c r="D3806">
        <v>5450</v>
      </c>
      <c r="E3806" s="1"/>
      <c r="F3806" s="1" t="s">
        <v>365</v>
      </c>
      <c r="G3806">
        <v>2010</v>
      </c>
      <c r="H3806">
        <v>41339.75</v>
      </c>
      <c r="I3806">
        <v>11</v>
      </c>
      <c r="J3806" s="1" t="s">
        <v>421</v>
      </c>
      <c r="K3806">
        <v>0</v>
      </c>
      <c r="L3806">
        <v>0</v>
      </c>
      <c r="M3806">
        <v>413397.5</v>
      </c>
      <c r="N3806">
        <v>1</v>
      </c>
      <c r="O3806" s="1" t="s">
        <v>562</v>
      </c>
      <c r="P3806">
        <v>41339.75</v>
      </c>
      <c r="Q3806">
        <v>7647.86</v>
      </c>
      <c r="R3806">
        <v>1</v>
      </c>
      <c r="S3806" s="1" t="s">
        <v>882</v>
      </c>
      <c r="T3806" s="1"/>
      <c r="U3806">
        <v>41339.735269999997</v>
      </c>
      <c r="V3806">
        <v>0</v>
      </c>
      <c r="W3806">
        <v>57634</v>
      </c>
    </row>
    <row r="3807" spans="1:23" x14ac:dyDescent="0.25">
      <c r="A3807" s="1" t="s">
        <v>39</v>
      </c>
      <c r="B3807" s="1" t="s">
        <v>83</v>
      </c>
      <c r="C3807" s="1" t="s">
        <v>208</v>
      </c>
      <c r="D3807">
        <v>5450</v>
      </c>
      <c r="E3807" s="1"/>
      <c r="F3807" s="1" t="s">
        <v>365</v>
      </c>
      <c r="G3807">
        <v>2009</v>
      </c>
      <c r="H3807">
        <v>4577.6400000000003</v>
      </c>
      <c r="I3807">
        <v>12</v>
      </c>
      <c r="J3807" s="1" t="s">
        <v>421</v>
      </c>
      <c r="K3807">
        <v>0</v>
      </c>
      <c r="L3807">
        <v>0</v>
      </c>
      <c r="M3807">
        <v>45776.4</v>
      </c>
      <c r="N3807">
        <v>1</v>
      </c>
      <c r="O3807" s="1" t="s">
        <v>562</v>
      </c>
      <c r="P3807">
        <v>4577.6400000000003</v>
      </c>
      <c r="Q3807">
        <v>846.87</v>
      </c>
      <c r="R3807">
        <v>1</v>
      </c>
      <c r="S3807" s="1" t="s">
        <v>879</v>
      </c>
      <c r="T3807" s="1"/>
      <c r="U3807">
        <v>4577.6470499999996</v>
      </c>
      <c r="V3807">
        <v>0</v>
      </c>
      <c r="W3807">
        <v>57559</v>
      </c>
    </row>
    <row r="3808" spans="1:23" x14ac:dyDescent="0.25">
      <c r="A3808" s="1" t="s">
        <v>39</v>
      </c>
      <c r="B3808" s="1" t="s">
        <v>83</v>
      </c>
      <c r="C3808" s="1" t="s">
        <v>208</v>
      </c>
      <c r="D3808">
        <v>5450</v>
      </c>
      <c r="E3808" s="1"/>
      <c r="F3808" s="1" t="s">
        <v>365</v>
      </c>
      <c r="G3808">
        <v>2009</v>
      </c>
      <c r="H3808">
        <v>140836.72</v>
      </c>
      <c r="I3808">
        <v>13</v>
      </c>
      <c r="J3808" s="1" t="s">
        <v>421</v>
      </c>
      <c r="K3808">
        <v>0</v>
      </c>
      <c r="L3808">
        <v>0</v>
      </c>
      <c r="M3808">
        <v>1408367.2</v>
      </c>
      <c r="N3808">
        <v>1</v>
      </c>
      <c r="O3808" s="1" t="s">
        <v>562</v>
      </c>
      <c r="P3808">
        <v>140836.72</v>
      </c>
      <c r="Q3808">
        <v>26054.799999999999</v>
      </c>
      <c r="R3808">
        <v>1</v>
      </c>
      <c r="S3808" s="1" t="s">
        <v>874</v>
      </c>
      <c r="T3808" s="1"/>
      <c r="U3808">
        <v>140836.71325</v>
      </c>
      <c r="V3808">
        <v>0</v>
      </c>
      <c r="W3808">
        <v>57561</v>
      </c>
    </row>
    <row r="3809" spans="1:23" x14ac:dyDescent="0.25">
      <c r="A3809" s="1" t="s">
        <v>39</v>
      </c>
      <c r="B3809" s="1" t="s">
        <v>83</v>
      </c>
      <c r="C3809" s="1" t="s">
        <v>208</v>
      </c>
      <c r="D3809">
        <v>5450</v>
      </c>
      <c r="E3809" s="1"/>
      <c r="F3809" s="1" t="s">
        <v>365</v>
      </c>
      <c r="G3809">
        <v>2009</v>
      </c>
      <c r="H3809">
        <v>6086.23</v>
      </c>
      <c r="I3809">
        <v>12</v>
      </c>
      <c r="J3809" s="1" t="s">
        <v>421</v>
      </c>
      <c r="K3809">
        <v>0</v>
      </c>
      <c r="L3809">
        <v>0</v>
      </c>
      <c r="M3809">
        <v>60862.3</v>
      </c>
      <c r="N3809">
        <v>1</v>
      </c>
      <c r="O3809" s="1" t="s">
        <v>562</v>
      </c>
      <c r="P3809">
        <v>6086.23</v>
      </c>
      <c r="Q3809">
        <v>1125.94</v>
      </c>
      <c r="R3809">
        <v>1</v>
      </c>
      <c r="S3809" s="1" t="s">
        <v>881</v>
      </c>
      <c r="T3809" s="1"/>
      <c r="U3809">
        <v>6086.22793</v>
      </c>
      <c r="V3809">
        <v>0</v>
      </c>
      <c r="W3809">
        <v>57628</v>
      </c>
    </row>
    <row r="3810" spans="1:23" x14ac:dyDescent="0.25">
      <c r="A3810" s="1" t="s">
        <v>39</v>
      </c>
      <c r="B3810" s="1" t="s">
        <v>83</v>
      </c>
      <c r="C3810" s="1" t="s">
        <v>208</v>
      </c>
      <c r="D3810">
        <v>5450</v>
      </c>
      <c r="E3810" s="1"/>
      <c r="F3810" s="1" t="s">
        <v>365</v>
      </c>
      <c r="G3810">
        <v>2009</v>
      </c>
      <c r="H3810">
        <v>185567.01</v>
      </c>
      <c r="I3810">
        <v>12</v>
      </c>
      <c r="J3810" s="1" t="s">
        <v>421</v>
      </c>
      <c r="K3810">
        <v>0</v>
      </c>
      <c r="L3810">
        <v>0</v>
      </c>
      <c r="M3810">
        <v>1855670.1</v>
      </c>
      <c r="N3810">
        <v>1</v>
      </c>
      <c r="O3810" s="1" t="s">
        <v>562</v>
      </c>
      <c r="P3810">
        <v>185567.01</v>
      </c>
      <c r="Q3810">
        <v>34329.89</v>
      </c>
      <c r="R3810">
        <v>1</v>
      </c>
      <c r="S3810" s="1" t="s">
        <v>875</v>
      </c>
      <c r="T3810" s="1"/>
      <c r="U3810">
        <v>185567.0037</v>
      </c>
      <c r="V3810">
        <v>0</v>
      </c>
      <c r="W3810">
        <v>57630</v>
      </c>
    </row>
    <row r="3811" spans="1:23" x14ac:dyDescent="0.25">
      <c r="A3811" s="1" t="s">
        <v>39</v>
      </c>
      <c r="B3811" s="1" t="s">
        <v>83</v>
      </c>
      <c r="C3811" s="1" t="s">
        <v>208</v>
      </c>
      <c r="D3811">
        <v>5450</v>
      </c>
      <c r="E3811" s="1"/>
      <c r="F3811" s="1" t="s">
        <v>365</v>
      </c>
      <c r="G3811">
        <v>2009</v>
      </c>
      <c r="H3811">
        <v>7013.94</v>
      </c>
      <c r="I3811">
        <v>13</v>
      </c>
      <c r="J3811" s="1" t="s">
        <v>421</v>
      </c>
      <c r="K3811">
        <v>0</v>
      </c>
      <c r="L3811">
        <v>0</v>
      </c>
      <c r="M3811">
        <v>70139.399999999994</v>
      </c>
      <c r="N3811">
        <v>1</v>
      </c>
      <c r="O3811" s="1" t="s">
        <v>562</v>
      </c>
      <c r="P3811">
        <v>7013.94</v>
      </c>
      <c r="Q3811">
        <v>1297.5899999999999</v>
      </c>
      <c r="R3811">
        <v>1</v>
      </c>
      <c r="S3811" s="1" t="s">
        <v>883</v>
      </c>
      <c r="T3811" s="1"/>
      <c r="U3811">
        <v>7013.9448499999999</v>
      </c>
      <c r="V3811">
        <v>0</v>
      </c>
      <c r="W3811">
        <v>57636</v>
      </c>
    </row>
    <row r="3812" spans="1:23" x14ac:dyDescent="0.25">
      <c r="A3812" s="1" t="s">
        <v>39</v>
      </c>
      <c r="B3812" s="1" t="s">
        <v>83</v>
      </c>
      <c r="C3812" s="1" t="s">
        <v>208</v>
      </c>
      <c r="D3812">
        <v>5450</v>
      </c>
      <c r="E3812" s="1"/>
      <c r="F3812" s="1" t="s">
        <v>365</v>
      </c>
      <c r="G3812">
        <v>2009</v>
      </c>
      <c r="H3812">
        <v>4524.6099999999997</v>
      </c>
      <c r="I3812">
        <v>12</v>
      </c>
      <c r="J3812" s="1" t="s">
        <v>421</v>
      </c>
      <c r="K3812">
        <v>0</v>
      </c>
      <c r="L3812">
        <v>0</v>
      </c>
      <c r="M3812">
        <v>45246.1</v>
      </c>
      <c r="N3812">
        <v>1</v>
      </c>
      <c r="O3812" s="1" t="s">
        <v>562</v>
      </c>
      <c r="P3812">
        <v>4524.6099999999997</v>
      </c>
      <c r="Q3812">
        <v>837.05</v>
      </c>
      <c r="R3812">
        <v>1</v>
      </c>
      <c r="S3812" s="1" t="s">
        <v>877</v>
      </c>
      <c r="T3812" s="1"/>
      <c r="U3812">
        <v>4524.6010999999999</v>
      </c>
      <c r="V3812">
        <v>0</v>
      </c>
      <c r="W3812">
        <v>57638</v>
      </c>
    </row>
    <row r="3813" spans="1:23" x14ac:dyDescent="0.25">
      <c r="A3813" s="1" t="s">
        <v>39</v>
      </c>
      <c r="B3813" s="1" t="s">
        <v>83</v>
      </c>
      <c r="C3813" s="1" t="s">
        <v>208</v>
      </c>
      <c r="D3813">
        <v>5450</v>
      </c>
      <c r="E3813" s="1"/>
      <c r="F3813" s="1" t="s">
        <v>365</v>
      </c>
      <c r="G3813">
        <v>2009</v>
      </c>
      <c r="H3813">
        <v>102626.16</v>
      </c>
      <c r="I3813">
        <v>13</v>
      </c>
      <c r="J3813" s="1" t="s">
        <v>421</v>
      </c>
      <c r="K3813">
        <v>0</v>
      </c>
      <c r="L3813">
        <v>0</v>
      </c>
      <c r="M3813">
        <v>1026261.6</v>
      </c>
      <c r="N3813">
        <v>1</v>
      </c>
      <c r="O3813" s="1" t="s">
        <v>562</v>
      </c>
      <c r="P3813">
        <v>102626.16</v>
      </c>
      <c r="Q3813">
        <v>18985.849999999999</v>
      </c>
      <c r="R3813">
        <v>1</v>
      </c>
      <c r="S3813" s="1" t="s">
        <v>878</v>
      </c>
      <c r="T3813" s="1"/>
      <c r="U3813">
        <v>102626.17096</v>
      </c>
      <c r="V3813">
        <v>0</v>
      </c>
      <c r="W3813">
        <v>57557</v>
      </c>
    </row>
    <row r="3814" spans="1:23" x14ac:dyDescent="0.25">
      <c r="A3814" s="1" t="s">
        <v>39</v>
      </c>
      <c r="B3814" s="1" t="s">
        <v>83</v>
      </c>
      <c r="C3814" s="1" t="s">
        <v>208</v>
      </c>
      <c r="D3814">
        <v>5450</v>
      </c>
      <c r="E3814" s="1"/>
      <c r="F3814" s="1" t="s">
        <v>365</v>
      </c>
      <c r="G3814">
        <v>2009</v>
      </c>
      <c r="H3814">
        <v>74152.97</v>
      </c>
      <c r="I3814">
        <v>12</v>
      </c>
      <c r="J3814" s="1" t="s">
        <v>421</v>
      </c>
      <c r="K3814">
        <v>0</v>
      </c>
      <c r="L3814">
        <v>0</v>
      </c>
      <c r="M3814">
        <v>741529.7</v>
      </c>
      <c r="N3814">
        <v>1</v>
      </c>
      <c r="O3814" s="1" t="s">
        <v>562</v>
      </c>
      <c r="P3814">
        <v>74152.97</v>
      </c>
      <c r="Q3814">
        <v>13718.31</v>
      </c>
      <c r="R3814">
        <v>1</v>
      </c>
      <c r="S3814" s="1" t="s">
        <v>880</v>
      </c>
      <c r="T3814" s="1"/>
      <c r="U3814">
        <v>74152.965070000006</v>
      </c>
      <c r="V3814">
        <v>0</v>
      </c>
      <c r="W3814">
        <v>57626</v>
      </c>
    </row>
    <row r="3815" spans="1:23" x14ac:dyDescent="0.25">
      <c r="A3815" s="1" t="s">
        <v>39</v>
      </c>
      <c r="B3815" s="1" t="s">
        <v>83</v>
      </c>
      <c r="C3815" s="1" t="s">
        <v>208</v>
      </c>
      <c r="D3815">
        <v>5450</v>
      </c>
      <c r="E3815" s="1"/>
      <c r="F3815" s="1" t="s">
        <v>365</v>
      </c>
      <c r="G3815">
        <v>2009</v>
      </c>
      <c r="H3815">
        <v>426388.65</v>
      </c>
      <c r="I3815">
        <v>12</v>
      </c>
      <c r="J3815" s="1" t="s">
        <v>421</v>
      </c>
      <c r="K3815">
        <v>0</v>
      </c>
      <c r="L3815">
        <v>0</v>
      </c>
      <c r="M3815">
        <v>4263886.5</v>
      </c>
      <c r="N3815">
        <v>1</v>
      </c>
      <c r="O3815" s="1" t="s">
        <v>562</v>
      </c>
      <c r="P3815">
        <v>426388.65</v>
      </c>
      <c r="Q3815">
        <v>78881.89</v>
      </c>
      <c r="R3815">
        <v>1</v>
      </c>
      <c r="S3815" s="1" t="s">
        <v>876</v>
      </c>
      <c r="T3815" s="1"/>
      <c r="U3815">
        <v>426388.63971000002</v>
      </c>
      <c r="V3815">
        <v>0</v>
      </c>
      <c r="W3815">
        <v>57632</v>
      </c>
    </row>
    <row r="3816" spans="1:23" x14ac:dyDescent="0.25">
      <c r="A3816" s="1" t="s">
        <v>39</v>
      </c>
      <c r="B3816" s="1" t="s">
        <v>83</v>
      </c>
      <c r="C3816" s="1" t="s">
        <v>208</v>
      </c>
      <c r="D3816">
        <v>5450</v>
      </c>
      <c r="E3816" s="1"/>
      <c r="F3816" s="1" t="s">
        <v>365</v>
      </c>
      <c r="G3816">
        <v>2009</v>
      </c>
      <c r="H3816">
        <v>37928.120000000003</v>
      </c>
      <c r="I3816">
        <v>12</v>
      </c>
      <c r="J3816" s="1" t="s">
        <v>421</v>
      </c>
      <c r="K3816">
        <v>0</v>
      </c>
      <c r="L3816">
        <v>0</v>
      </c>
      <c r="M3816">
        <v>379281.2</v>
      </c>
      <c r="N3816">
        <v>1</v>
      </c>
      <c r="O3816" s="1" t="s">
        <v>562</v>
      </c>
      <c r="P3816">
        <v>37928.120000000003</v>
      </c>
      <c r="Q3816">
        <v>7016.69</v>
      </c>
      <c r="R3816">
        <v>1</v>
      </c>
      <c r="S3816" s="1" t="s">
        <v>882</v>
      </c>
      <c r="T3816" s="1"/>
      <c r="U3816">
        <v>37928.139719999999</v>
      </c>
      <c r="V3816">
        <v>0</v>
      </c>
      <c r="W3816">
        <v>57634</v>
      </c>
    </row>
    <row r="3817" spans="1:23" x14ac:dyDescent="0.25">
      <c r="A3817" s="1" t="s">
        <v>39</v>
      </c>
      <c r="B3817" s="1" t="s">
        <v>83</v>
      </c>
      <c r="C3817" s="1" t="s">
        <v>208</v>
      </c>
      <c r="D3817">
        <v>5450</v>
      </c>
      <c r="E3817" s="1"/>
      <c r="F3817" s="1" t="s">
        <v>365</v>
      </c>
      <c r="G3817">
        <v>2008</v>
      </c>
      <c r="H3817">
        <v>97920.75</v>
      </c>
      <c r="I3817">
        <v>13</v>
      </c>
      <c r="J3817" s="1" t="s">
        <v>421</v>
      </c>
      <c r="K3817">
        <v>0</v>
      </c>
      <c r="L3817">
        <v>0</v>
      </c>
      <c r="M3817">
        <v>979207.5</v>
      </c>
      <c r="N3817">
        <v>1</v>
      </c>
      <c r="O3817" s="1" t="s">
        <v>562</v>
      </c>
      <c r="P3817">
        <v>97920.75</v>
      </c>
      <c r="Q3817">
        <v>18115.34</v>
      </c>
      <c r="R3817">
        <v>1</v>
      </c>
      <c r="S3817" s="1" t="s">
        <v>874</v>
      </c>
      <c r="T3817" s="1"/>
      <c r="U3817">
        <v>97920.738639999996</v>
      </c>
      <c r="V3817">
        <v>0</v>
      </c>
      <c r="W3817">
        <v>57561</v>
      </c>
    </row>
    <row r="3818" spans="1:23" x14ac:dyDescent="0.25">
      <c r="A3818" s="1" t="s">
        <v>39</v>
      </c>
      <c r="B3818" s="1" t="s">
        <v>83</v>
      </c>
      <c r="C3818" s="1" t="s">
        <v>208</v>
      </c>
      <c r="D3818">
        <v>5450</v>
      </c>
      <c r="E3818" s="1"/>
      <c r="F3818" s="1" t="s">
        <v>365</v>
      </c>
      <c r="G3818">
        <v>2008</v>
      </c>
      <c r="H3818">
        <v>200817.6</v>
      </c>
      <c r="I3818">
        <v>12</v>
      </c>
      <c r="J3818" s="1" t="s">
        <v>421</v>
      </c>
      <c r="K3818">
        <v>0</v>
      </c>
      <c r="L3818">
        <v>0</v>
      </c>
      <c r="M3818">
        <v>2008176</v>
      </c>
      <c r="N3818">
        <v>1</v>
      </c>
      <c r="O3818" s="1" t="s">
        <v>562</v>
      </c>
      <c r="P3818">
        <v>200817.6</v>
      </c>
      <c r="Q3818">
        <v>37151.26</v>
      </c>
      <c r="R3818">
        <v>1</v>
      </c>
      <c r="S3818" s="1" t="s">
        <v>875</v>
      </c>
      <c r="T3818" s="1"/>
      <c r="U3818">
        <v>200817.60415999999</v>
      </c>
      <c r="V3818">
        <v>0</v>
      </c>
      <c r="W3818">
        <v>57630</v>
      </c>
    </row>
    <row r="3819" spans="1:23" x14ac:dyDescent="0.25">
      <c r="A3819" s="1" t="s">
        <v>39</v>
      </c>
      <c r="B3819" s="1" t="s">
        <v>83</v>
      </c>
      <c r="C3819" s="1" t="s">
        <v>208</v>
      </c>
      <c r="D3819">
        <v>5450</v>
      </c>
      <c r="E3819" s="1"/>
      <c r="F3819" s="1" t="s">
        <v>365</v>
      </c>
      <c r="G3819">
        <v>2008</v>
      </c>
      <c r="H3819">
        <v>430569.19</v>
      </c>
      <c r="I3819">
        <v>12</v>
      </c>
      <c r="J3819" s="1" t="s">
        <v>421</v>
      </c>
      <c r="K3819">
        <v>0</v>
      </c>
      <c r="L3819">
        <v>0</v>
      </c>
      <c r="M3819">
        <v>4305691.9000000004</v>
      </c>
      <c r="N3819">
        <v>1</v>
      </c>
      <c r="O3819" s="1" t="s">
        <v>562</v>
      </c>
      <c r="P3819">
        <v>430569.19</v>
      </c>
      <c r="Q3819">
        <v>79655.289999999994</v>
      </c>
      <c r="R3819">
        <v>1</v>
      </c>
      <c r="S3819" s="1" t="s">
        <v>876</v>
      </c>
      <c r="T3819" s="1"/>
      <c r="U3819">
        <v>430569.18560000003</v>
      </c>
      <c r="V3819">
        <v>0</v>
      </c>
      <c r="W3819">
        <v>57632</v>
      </c>
    </row>
    <row r="3820" spans="1:23" x14ac:dyDescent="0.25">
      <c r="A3820" s="1" t="s">
        <v>39</v>
      </c>
      <c r="B3820" s="1" t="s">
        <v>83</v>
      </c>
      <c r="C3820" s="1" t="s">
        <v>208</v>
      </c>
      <c r="D3820">
        <v>5450</v>
      </c>
      <c r="E3820" s="1"/>
      <c r="F3820" s="1" t="s">
        <v>365</v>
      </c>
      <c r="G3820">
        <v>2008</v>
      </c>
      <c r="H3820">
        <v>5144.5200000000004</v>
      </c>
      <c r="I3820">
        <v>12</v>
      </c>
      <c r="J3820" s="1" t="s">
        <v>421</v>
      </c>
      <c r="K3820">
        <v>0</v>
      </c>
      <c r="L3820">
        <v>0</v>
      </c>
      <c r="M3820">
        <v>51445.2</v>
      </c>
      <c r="N3820">
        <v>1</v>
      </c>
      <c r="O3820" s="1" t="s">
        <v>562</v>
      </c>
      <c r="P3820">
        <v>5144.5200000000004</v>
      </c>
      <c r="Q3820">
        <v>951.74</v>
      </c>
      <c r="R3820">
        <v>1</v>
      </c>
      <c r="S3820" s="1" t="s">
        <v>877</v>
      </c>
      <c r="T3820" s="1"/>
      <c r="U3820">
        <v>5144.5236800000002</v>
      </c>
      <c r="V3820">
        <v>0</v>
      </c>
      <c r="W3820">
        <v>57638</v>
      </c>
    </row>
    <row r="3821" spans="1:23" x14ac:dyDescent="0.25">
      <c r="A3821" s="1" t="s">
        <v>39</v>
      </c>
      <c r="B3821" s="1" t="s">
        <v>83</v>
      </c>
      <c r="C3821" s="1" t="s">
        <v>208</v>
      </c>
      <c r="D3821">
        <v>5450</v>
      </c>
      <c r="E3821" s="1"/>
      <c r="F3821" s="1" t="s">
        <v>365</v>
      </c>
      <c r="G3821">
        <v>2008</v>
      </c>
      <c r="H3821">
        <v>136430.82</v>
      </c>
      <c r="I3821">
        <v>12</v>
      </c>
      <c r="J3821" s="1" t="s">
        <v>421</v>
      </c>
      <c r="K3821">
        <v>0</v>
      </c>
      <c r="L3821">
        <v>0</v>
      </c>
      <c r="M3821">
        <v>1364308.2</v>
      </c>
      <c r="N3821">
        <v>1</v>
      </c>
      <c r="O3821" s="1" t="s">
        <v>562</v>
      </c>
      <c r="P3821">
        <v>136430.82</v>
      </c>
      <c r="Q3821">
        <v>25239.68</v>
      </c>
      <c r="R3821">
        <v>1</v>
      </c>
      <c r="S3821" s="1" t="s">
        <v>878</v>
      </c>
      <c r="T3821" s="1"/>
      <c r="U3821">
        <v>136430.83616000001</v>
      </c>
      <c r="V3821">
        <v>0</v>
      </c>
      <c r="W3821">
        <v>57557</v>
      </c>
    </row>
    <row r="3822" spans="1:23" x14ac:dyDescent="0.25">
      <c r="A3822" s="1" t="s">
        <v>39</v>
      </c>
      <c r="B3822" s="1" t="s">
        <v>83</v>
      </c>
      <c r="C3822" s="1" t="s">
        <v>208</v>
      </c>
      <c r="D3822">
        <v>5450</v>
      </c>
      <c r="E3822" s="1"/>
      <c r="F3822" s="1" t="s">
        <v>365</v>
      </c>
      <c r="G3822">
        <v>2008</v>
      </c>
      <c r="H3822">
        <v>7071.82</v>
      </c>
      <c r="I3822">
        <v>12</v>
      </c>
      <c r="J3822" s="1" t="s">
        <v>421</v>
      </c>
      <c r="K3822">
        <v>0</v>
      </c>
      <c r="L3822">
        <v>0</v>
      </c>
      <c r="M3822">
        <v>70718.2</v>
      </c>
      <c r="N3822">
        <v>1</v>
      </c>
      <c r="O3822" s="1" t="s">
        <v>562</v>
      </c>
      <c r="P3822">
        <v>7071.82</v>
      </c>
      <c r="Q3822">
        <v>1308.28</v>
      </c>
      <c r="R3822">
        <v>1</v>
      </c>
      <c r="S3822" s="1" t="s">
        <v>879</v>
      </c>
      <c r="T3822" s="1"/>
      <c r="U3822">
        <v>7071.8181800000002</v>
      </c>
      <c r="V3822">
        <v>0</v>
      </c>
      <c r="W3822">
        <v>57559</v>
      </c>
    </row>
    <row r="3823" spans="1:23" x14ac:dyDescent="0.25">
      <c r="A3823" s="1" t="s">
        <v>39</v>
      </c>
      <c r="B3823" s="1" t="s">
        <v>83</v>
      </c>
      <c r="C3823" s="1" t="s">
        <v>208</v>
      </c>
      <c r="D3823">
        <v>5450</v>
      </c>
      <c r="E3823" s="1"/>
      <c r="F3823" s="1" t="s">
        <v>365</v>
      </c>
      <c r="G3823">
        <v>2008</v>
      </c>
      <c r="H3823">
        <v>92195.6</v>
      </c>
      <c r="I3823">
        <v>12</v>
      </c>
      <c r="J3823" s="1" t="s">
        <v>421</v>
      </c>
      <c r="K3823">
        <v>0</v>
      </c>
      <c r="L3823">
        <v>0</v>
      </c>
      <c r="M3823">
        <v>921956</v>
      </c>
      <c r="N3823">
        <v>1</v>
      </c>
      <c r="O3823" s="1" t="s">
        <v>562</v>
      </c>
      <c r="P3823">
        <v>92195.6</v>
      </c>
      <c r="Q3823">
        <v>17056.189999999999</v>
      </c>
      <c r="R3823">
        <v>1</v>
      </c>
      <c r="S3823" s="1" t="s">
        <v>880</v>
      </c>
      <c r="T3823" s="1"/>
      <c r="U3823">
        <v>92195.608900000007</v>
      </c>
      <c r="V3823">
        <v>0</v>
      </c>
      <c r="W3823">
        <v>57626</v>
      </c>
    </row>
    <row r="3824" spans="1:23" x14ac:dyDescent="0.25">
      <c r="A3824" s="1" t="s">
        <v>39</v>
      </c>
      <c r="B3824" s="1" t="s">
        <v>83</v>
      </c>
      <c r="C3824" s="1" t="s">
        <v>208</v>
      </c>
      <c r="D3824">
        <v>5450</v>
      </c>
      <c r="E3824" s="1"/>
      <c r="F3824" s="1" t="s">
        <v>365</v>
      </c>
      <c r="G3824">
        <v>2008</v>
      </c>
      <c r="H3824">
        <v>8347.9500000000007</v>
      </c>
      <c r="I3824">
        <v>12</v>
      </c>
      <c r="J3824" s="1" t="s">
        <v>421</v>
      </c>
      <c r="K3824">
        <v>0</v>
      </c>
      <c r="L3824">
        <v>0</v>
      </c>
      <c r="M3824">
        <v>83479.5</v>
      </c>
      <c r="N3824">
        <v>1</v>
      </c>
      <c r="O3824" s="1" t="s">
        <v>562</v>
      </c>
      <c r="P3824">
        <v>8347.9500000000007</v>
      </c>
      <c r="Q3824">
        <v>1544.36</v>
      </c>
      <c r="R3824">
        <v>1</v>
      </c>
      <c r="S3824" s="1" t="s">
        <v>881</v>
      </c>
      <c r="T3824" s="1"/>
      <c r="U3824">
        <v>8347.9583299999995</v>
      </c>
      <c r="V3824">
        <v>0</v>
      </c>
      <c r="W3824">
        <v>57628</v>
      </c>
    </row>
    <row r="3825" spans="1:23" x14ac:dyDescent="0.25">
      <c r="A3825" s="1" t="s">
        <v>39</v>
      </c>
      <c r="B3825" s="1" t="s">
        <v>83</v>
      </c>
      <c r="C3825" s="1" t="s">
        <v>208</v>
      </c>
      <c r="D3825">
        <v>5450</v>
      </c>
      <c r="E3825" s="1"/>
      <c r="F3825" s="1" t="s">
        <v>365</v>
      </c>
      <c r="G3825">
        <v>2008</v>
      </c>
      <c r="H3825">
        <v>36840.68</v>
      </c>
      <c r="I3825">
        <v>12</v>
      </c>
      <c r="J3825" s="1" t="s">
        <v>421</v>
      </c>
      <c r="K3825">
        <v>0</v>
      </c>
      <c r="L3825">
        <v>0</v>
      </c>
      <c r="M3825">
        <v>368406.8</v>
      </c>
      <c r="N3825">
        <v>1</v>
      </c>
      <c r="O3825" s="1" t="s">
        <v>562</v>
      </c>
      <c r="P3825">
        <v>36840.68</v>
      </c>
      <c r="Q3825">
        <v>6815.52</v>
      </c>
      <c r="R3825">
        <v>1</v>
      </c>
      <c r="S3825" s="1" t="s">
        <v>882</v>
      </c>
      <c r="T3825" s="1"/>
      <c r="U3825">
        <v>36840.670449999998</v>
      </c>
      <c r="V3825">
        <v>0</v>
      </c>
      <c r="W3825">
        <v>57634</v>
      </c>
    </row>
    <row r="3826" spans="1:23" x14ac:dyDescent="0.25">
      <c r="A3826" s="1" t="s">
        <v>39</v>
      </c>
      <c r="B3826" s="1" t="s">
        <v>83</v>
      </c>
      <c r="C3826" s="1" t="s">
        <v>208</v>
      </c>
      <c r="D3826">
        <v>5450</v>
      </c>
      <c r="E3826" s="1"/>
      <c r="F3826" s="1" t="s">
        <v>365</v>
      </c>
      <c r="G3826">
        <v>2008</v>
      </c>
      <c r="H3826">
        <v>8439.61</v>
      </c>
      <c r="I3826">
        <v>12</v>
      </c>
      <c r="J3826" s="1" t="s">
        <v>421</v>
      </c>
      <c r="K3826">
        <v>0</v>
      </c>
      <c r="L3826">
        <v>0</v>
      </c>
      <c r="M3826">
        <v>84396.1</v>
      </c>
      <c r="N3826">
        <v>1</v>
      </c>
      <c r="O3826" s="1" t="s">
        <v>562</v>
      </c>
      <c r="P3826">
        <v>8439.61</v>
      </c>
      <c r="Q3826">
        <v>1561.34</v>
      </c>
      <c r="R3826">
        <v>1</v>
      </c>
      <c r="S3826" s="1" t="s">
        <v>883</v>
      </c>
      <c r="T3826" s="1"/>
      <c r="U3826">
        <v>8439.6041700000005</v>
      </c>
      <c r="V3826">
        <v>0</v>
      </c>
      <c r="W3826">
        <v>57636</v>
      </c>
    </row>
    <row r="3827" spans="1:23" x14ac:dyDescent="0.25">
      <c r="A3827" s="1" t="s">
        <v>39</v>
      </c>
      <c r="B3827" s="1" t="s">
        <v>83</v>
      </c>
      <c r="C3827" s="1" t="s">
        <v>208</v>
      </c>
      <c r="D3827">
        <v>5449</v>
      </c>
      <c r="E3827" s="1"/>
      <c r="F3827" s="1" t="s">
        <v>344</v>
      </c>
      <c r="G3827">
        <v>2015</v>
      </c>
      <c r="H3827">
        <v>767400</v>
      </c>
      <c r="I3827">
        <v>5</v>
      </c>
      <c r="J3827" s="1" t="s">
        <v>402</v>
      </c>
      <c r="K3827">
        <v>0</v>
      </c>
      <c r="L3827">
        <v>7709</v>
      </c>
      <c r="M3827">
        <v>99.544692999999995</v>
      </c>
      <c r="N3827">
        <v>1</v>
      </c>
      <c r="O3827" s="1" t="s">
        <v>562</v>
      </c>
      <c r="P3827">
        <v>832081.4</v>
      </c>
      <c r="Q3827">
        <v>153935059</v>
      </c>
      <c r="R3827">
        <v>0</v>
      </c>
      <c r="S3827" s="1" t="s">
        <v>884</v>
      </c>
      <c r="T3827" s="1"/>
      <c r="U3827">
        <v>767400</v>
      </c>
      <c r="V3827">
        <v>0</v>
      </c>
      <c r="W3827">
        <v>57534</v>
      </c>
    </row>
    <row r="3828" spans="1:23" x14ac:dyDescent="0.25">
      <c r="A3828" s="1" t="s">
        <v>39</v>
      </c>
      <c r="B3828" s="1" t="s">
        <v>83</v>
      </c>
      <c r="C3828" s="1" t="s">
        <v>208</v>
      </c>
      <c r="D3828">
        <v>5449</v>
      </c>
      <c r="E3828" s="1"/>
      <c r="F3828" s="1" t="s">
        <v>344</v>
      </c>
      <c r="G3828">
        <v>2015</v>
      </c>
      <c r="H3828">
        <v>622339.9</v>
      </c>
      <c r="I3828">
        <v>5</v>
      </c>
      <c r="J3828" s="1" t="s">
        <v>402</v>
      </c>
      <c r="K3828">
        <v>0</v>
      </c>
      <c r="L3828">
        <v>7709</v>
      </c>
      <c r="M3828">
        <v>80.727957000000004</v>
      </c>
      <c r="N3828">
        <v>1</v>
      </c>
      <c r="O3828" s="1" t="s">
        <v>563</v>
      </c>
      <c r="P3828">
        <v>673977.12</v>
      </c>
      <c r="Q3828">
        <v>3573682.06</v>
      </c>
      <c r="R3828">
        <v>1</v>
      </c>
      <c r="S3828" s="1" t="s">
        <v>885</v>
      </c>
      <c r="T3828" s="1"/>
      <c r="U3828">
        <v>17837.2</v>
      </c>
      <c r="V3828">
        <v>57534</v>
      </c>
      <c r="W3828">
        <v>57554</v>
      </c>
    </row>
    <row r="3829" spans="1:23" x14ac:dyDescent="0.25">
      <c r="A3829" s="1" t="s">
        <v>39</v>
      </c>
      <c r="B3829" s="1" t="s">
        <v>83</v>
      </c>
      <c r="C3829" s="1" t="s">
        <v>208</v>
      </c>
      <c r="D3829">
        <v>5449</v>
      </c>
      <c r="E3829" s="1"/>
      <c r="F3829" s="1" t="s">
        <v>344</v>
      </c>
      <c r="G3829">
        <v>2014</v>
      </c>
      <c r="H3829">
        <v>1480800</v>
      </c>
      <c r="I3829">
        <v>12</v>
      </c>
      <c r="J3829" s="1" t="s">
        <v>402</v>
      </c>
      <c r="K3829">
        <v>0</v>
      </c>
      <c r="L3829">
        <v>7709</v>
      </c>
      <c r="M3829">
        <v>192.08467899999999</v>
      </c>
      <c r="N3829">
        <v>1</v>
      </c>
      <c r="O3829" s="1" t="s">
        <v>562</v>
      </c>
      <c r="P3829">
        <v>1645752.38</v>
      </c>
      <c r="Q3829">
        <v>138735554.68000001</v>
      </c>
      <c r="R3829">
        <v>0</v>
      </c>
      <c r="S3829" s="1" t="s">
        <v>884</v>
      </c>
      <c r="T3829" s="1"/>
      <c r="U3829">
        <v>1480800</v>
      </c>
      <c r="V3829">
        <v>0</v>
      </c>
      <c r="W3829">
        <v>57534</v>
      </c>
    </row>
    <row r="3830" spans="1:23" x14ac:dyDescent="0.25">
      <c r="A3830" s="1" t="s">
        <v>39</v>
      </c>
      <c r="B3830" s="1" t="s">
        <v>83</v>
      </c>
      <c r="C3830" s="1" t="s">
        <v>208</v>
      </c>
      <c r="D3830">
        <v>5449</v>
      </c>
      <c r="E3830" s="1"/>
      <c r="F3830" s="1" t="s">
        <v>344</v>
      </c>
      <c r="G3830">
        <v>2014</v>
      </c>
      <c r="H3830">
        <v>1213816.1299999999</v>
      </c>
      <c r="I3830">
        <v>12</v>
      </c>
      <c r="J3830" s="1" t="s">
        <v>402</v>
      </c>
      <c r="K3830">
        <v>0</v>
      </c>
      <c r="L3830">
        <v>7709</v>
      </c>
      <c r="M3830">
        <v>157.45237800000001</v>
      </c>
      <c r="N3830">
        <v>1</v>
      </c>
      <c r="O3830" s="1" t="s">
        <v>563</v>
      </c>
      <c r="P3830">
        <v>1338890.55</v>
      </c>
      <c r="Q3830">
        <v>3202226.15</v>
      </c>
      <c r="R3830">
        <v>1</v>
      </c>
      <c r="S3830" s="1" t="s">
        <v>885</v>
      </c>
      <c r="T3830" s="1"/>
      <c r="U3830">
        <v>34789.800000000003</v>
      </c>
      <c r="V3830">
        <v>57534</v>
      </c>
      <c r="W3830">
        <v>57554</v>
      </c>
    </row>
    <row r="3831" spans="1:23" x14ac:dyDescent="0.25">
      <c r="A3831" s="1" t="s">
        <v>39</v>
      </c>
      <c r="B3831" s="1" t="s">
        <v>83</v>
      </c>
      <c r="C3831" s="1" t="s">
        <v>208</v>
      </c>
      <c r="D3831">
        <v>5449</v>
      </c>
      <c r="E3831" s="1"/>
      <c r="F3831" s="1" t="s">
        <v>344</v>
      </c>
      <c r="G3831">
        <v>2013</v>
      </c>
      <c r="H3831">
        <v>1078685.3899999999</v>
      </c>
      <c r="I3831">
        <v>12</v>
      </c>
      <c r="J3831" s="1" t="s">
        <v>402</v>
      </c>
      <c r="K3831">
        <v>0</v>
      </c>
      <c r="L3831">
        <v>7709</v>
      </c>
      <c r="M3831">
        <v>139.92364699999999</v>
      </c>
      <c r="N3831">
        <v>1</v>
      </c>
      <c r="O3831" s="1" t="s">
        <v>563</v>
      </c>
      <c r="P3831">
        <v>1109749.6100000001</v>
      </c>
      <c r="Q3831">
        <v>5884.31</v>
      </c>
      <c r="R3831">
        <v>1</v>
      </c>
      <c r="S3831" s="1" t="s">
        <v>885</v>
      </c>
      <c r="T3831" s="1"/>
      <c r="U3831">
        <v>30916.75</v>
      </c>
      <c r="V3831">
        <v>57534</v>
      </c>
      <c r="W3831">
        <v>57554</v>
      </c>
    </row>
    <row r="3832" spans="1:23" x14ac:dyDescent="0.25">
      <c r="A3832" s="1" t="s">
        <v>39</v>
      </c>
      <c r="B3832" s="1" t="s">
        <v>83</v>
      </c>
      <c r="C3832" s="1" t="s">
        <v>208</v>
      </c>
      <c r="D3832">
        <v>5449</v>
      </c>
      <c r="E3832" s="1"/>
      <c r="F3832" s="1" t="s">
        <v>344</v>
      </c>
      <c r="G3832">
        <v>2013</v>
      </c>
      <c r="H3832">
        <v>1400275</v>
      </c>
      <c r="I3832">
        <v>12</v>
      </c>
      <c r="J3832" s="1" t="s">
        <v>402</v>
      </c>
      <c r="K3832">
        <v>0</v>
      </c>
      <c r="L3832">
        <v>7709</v>
      </c>
      <c r="M3832">
        <v>181.639231</v>
      </c>
      <c r="N3832">
        <v>1</v>
      </c>
      <c r="O3832" s="1" t="s">
        <v>562</v>
      </c>
      <c r="P3832">
        <v>1444354.88</v>
      </c>
      <c r="Q3832">
        <v>267205.65999999997</v>
      </c>
      <c r="R3832">
        <v>0</v>
      </c>
      <c r="S3832" s="1" t="s">
        <v>884</v>
      </c>
      <c r="T3832" s="1"/>
      <c r="U3832">
        <v>1400275</v>
      </c>
      <c r="V3832">
        <v>0</v>
      </c>
      <c r="W3832">
        <v>57534</v>
      </c>
    </row>
    <row r="3833" spans="1:23" x14ac:dyDescent="0.25">
      <c r="A3833" s="1" t="s">
        <v>39</v>
      </c>
      <c r="B3833" s="1" t="s">
        <v>83</v>
      </c>
      <c r="C3833" s="1" t="s">
        <v>208</v>
      </c>
      <c r="D3833">
        <v>5449</v>
      </c>
      <c r="E3833" s="1"/>
      <c r="F3833" s="1" t="s">
        <v>344</v>
      </c>
      <c r="G3833">
        <v>2012</v>
      </c>
      <c r="H3833">
        <v>1166486.1000000001</v>
      </c>
      <c r="I3833">
        <v>12</v>
      </c>
      <c r="J3833" s="1" t="s">
        <v>402</v>
      </c>
      <c r="K3833">
        <v>0</v>
      </c>
      <c r="L3833">
        <v>7709</v>
      </c>
      <c r="M3833">
        <v>151.31287599999999</v>
      </c>
      <c r="N3833">
        <v>1</v>
      </c>
      <c r="O3833" s="1" t="s">
        <v>563</v>
      </c>
      <c r="P3833">
        <v>1201893</v>
      </c>
      <c r="Q3833">
        <v>6372.9</v>
      </c>
      <c r="R3833">
        <v>1</v>
      </c>
      <c r="S3833" s="1" t="s">
        <v>885</v>
      </c>
      <c r="T3833" s="1"/>
      <c r="U3833">
        <v>33433.25</v>
      </c>
      <c r="V3833">
        <v>57534</v>
      </c>
      <c r="W3833">
        <v>57554</v>
      </c>
    </row>
    <row r="3834" spans="1:23" x14ac:dyDescent="0.25">
      <c r="A3834" s="1" t="s">
        <v>39</v>
      </c>
      <c r="B3834" s="1" t="s">
        <v>83</v>
      </c>
      <c r="C3834" s="1" t="s">
        <v>208</v>
      </c>
      <c r="D3834">
        <v>5449</v>
      </c>
      <c r="E3834" s="1"/>
      <c r="F3834" s="1" t="s">
        <v>344</v>
      </c>
      <c r="G3834">
        <v>2012</v>
      </c>
      <c r="H3834">
        <v>1531145</v>
      </c>
      <c r="I3834">
        <v>12</v>
      </c>
      <c r="J3834" s="1" t="s">
        <v>402</v>
      </c>
      <c r="K3834">
        <v>0</v>
      </c>
      <c r="L3834">
        <v>7709</v>
      </c>
      <c r="M3834">
        <v>198.615272</v>
      </c>
      <c r="N3834">
        <v>1</v>
      </c>
      <c r="O3834" s="1" t="s">
        <v>562</v>
      </c>
      <c r="P3834">
        <v>1582818.84</v>
      </c>
      <c r="Q3834">
        <v>292821.48</v>
      </c>
      <c r="R3834">
        <v>0</v>
      </c>
      <c r="S3834" s="1" t="s">
        <v>884</v>
      </c>
      <c r="T3834" s="1"/>
      <c r="U3834">
        <v>1531145</v>
      </c>
      <c r="V3834">
        <v>0</v>
      </c>
      <c r="W3834">
        <v>57534</v>
      </c>
    </row>
    <row r="3835" spans="1:23" x14ac:dyDescent="0.25">
      <c r="A3835" s="1" t="s">
        <v>39</v>
      </c>
      <c r="B3835" s="1" t="s">
        <v>83</v>
      </c>
      <c r="C3835" s="1" t="s">
        <v>208</v>
      </c>
      <c r="D3835">
        <v>5449</v>
      </c>
      <c r="E3835" s="1"/>
      <c r="F3835" s="1" t="s">
        <v>344</v>
      </c>
      <c r="G3835">
        <v>2011</v>
      </c>
      <c r="H3835">
        <v>1045771.9</v>
      </c>
      <c r="I3835">
        <v>12</v>
      </c>
      <c r="J3835" s="1" t="s">
        <v>402</v>
      </c>
      <c r="K3835">
        <v>0</v>
      </c>
      <c r="L3835">
        <v>7709</v>
      </c>
      <c r="M3835">
        <v>135.654213</v>
      </c>
      <c r="N3835">
        <v>1</v>
      </c>
      <c r="O3835" s="1" t="s">
        <v>563</v>
      </c>
      <c r="P3835">
        <v>1103266.3</v>
      </c>
      <c r="Q3835">
        <v>5849.94</v>
      </c>
      <c r="R3835">
        <v>1</v>
      </c>
      <c r="S3835" s="1" t="s">
        <v>885</v>
      </c>
      <c r="T3835" s="1"/>
      <c r="U3835">
        <v>29973.4</v>
      </c>
      <c r="V3835">
        <v>57534</v>
      </c>
      <c r="W3835">
        <v>57554</v>
      </c>
    </row>
    <row r="3836" spans="1:23" x14ac:dyDescent="0.25">
      <c r="A3836" s="1" t="s">
        <v>39</v>
      </c>
      <c r="B3836" s="1" t="s">
        <v>83</v>
      </c>
      <c r="C3836" s="1" t="s">
        <v>208</v>
      </c>
      <c r="D3836">
        <v>5449</v>
      </c>
      <c r="E3836" s="1"/>
      <c r="F3836" s="1" t="s">
        <v>344</v>
      </c>
      <c r="G3836">
        <v>2011</v>
      </c>
      <c r="H3836">
        <v>1391490</v>
      </c>
      <c r="I3836">
        <v>12</v>
      </c>
      <c r="J3836" s="1" t="s">
        <v>402</v>
      </c>
      <c r="K3836">
        <v>0</v>
      </c>
      <c r="L3836">
        <v>7709</v>
      </c>
      <c r="M3836">
        <v>180.49966900000001</v>
      </c>
      <c r="N3836">
        <v>1</v>
      </c>
      <c r="O3836" s="1" t="s">
        <v>562</v>
      </c>
      <c r="P3836">
        <v>1471162.23</v>
      </c>
      <c r="Q3836">
        <v>272165.01</v>
      </c>
      <c r="R3836">
        <v>0</v>
      </c>
      <c r="S3836" s="1" t="s">
        <v>884</v>
      </c>
      <c r="T3836" s="1"/>
      <c r="U3836">
        <v>1391490</v>
      </c>
      <c r="V3836">
        <v>0</v>
      </c>
      <c r="W3836">
        <v>57534</v>
      </c>
    </row>
    <row r="3837" spans="1:23" x14ac:dyDescent="0.25">
      <c r="A3837" s="1" t="s">
        <v>39</v>
      </c>
      <c r="B3837" s="1" t="s">
        <v>83</v>
      </c>
      <c r="C3837" s="1" t="s">
        <v>208</v>
      </c>
      <c r="D3837">
        <v>5449</v>
      </c>
      <c r="E3837" s="1"/>
      <c r="F3837" s="1" t="s">
        <v>344</v>
      </c>
      <c r="G3837">
        <v>2010</v>
      </c>
      <c r="H3837">
        <v>1156306.93</v>
      </c>
      <c r="I3837">
        <v>12</v>
      </c>
      <c r="J3837" s="1" t="s">
        <v>402</v>
      </c>
      <c r="K3837">
        <v>0</v>
      </c>
      <c r="L3837">
        <v>7709</v>
      </c>
      <c r="M3837">
        <v>149.992467</v>
      </c>
      <c r="N3837">
        <v>1</v>
      </c>
      <c r="O3837" s="1" t="s">
        <v>563</v>
      </c>
      <c r="P3837">
        <v>1091174.6299999999</v>
      </c>
      <c r="Q3837">
        <v>5785.81</v>
      </c>
      <c r="R3837">
        <v>1</v>
      </c>
      <c r="S3837" s="1" t="s">
        <v>885</v>
      </c>
      <c r="T3837" s="1"/>
      <c r="U3837">
        <v>33141.5</v>
      </c>
      <c r="V3837">
        <v>57534</v>
      </c>
      <c r="W3837">
        <v>57554</v>
      </c>
    </row>
    <row r="3838" spans="1:23" x14ac:dyDescent="0.25">
      <c r="A3838" s="1" t="s">
        <v>39</v>
      </c>
      <c r="B3838" s="1" t="s">
        <v>83</v>
      </c>
      <c r="C3838" s="1" t="s">
        <v>208</v>
      </c>
      <c r="D3838">
        <v>5449</v>
      </c>
      <c r="E3838" s="1"/>
      <c r="F3838" s="1" t="s">
        <v>344</v>
      </c>
      <c r="G3838">
        <v>2010</v>
      </c>
      <c r="H3838">
        <v>1492670</v>
      </c>
      <c r="I3838">
        <v>12</v>
      </c>
      <c r="J3838" s="1" t="s">
        <v>402</v>
      </c>
      <c r="K3838">
        <v>0</v>
      </c>
      <c r="L3838">
        <v>7709</v>
      </c>
      <c r="M3838">
        <v>193.62441699999999</v>
      </c>
      <c r="N3838">
        <v>1</v>
      </c>
      <c r="O3838" s="1" t="s">
        <v>562</v>
      </c>
      <c r="P3838">
        <v>1409205.35</v>
      </c>
      <c r="Q3838">
        <v>260702.98</v>
      </c>
      <c r="R3838">
        <v>0</v>
      </c>
      <c r="S3838" s="1" t="s">
        <v>884</v>
      </c>
      <c r="T3838" s="1"/>
      <c r="U3838">
        <v>1492670</v>
      </c>
      <c r="V3838">
        <v>0</v>
      </c>
      <c r="W3838">
        <v>57534</v>
      </c>
    </row>
    <row r="3839" spans="1:23" x14ac:dyDescent="0.25">
      <c r="A3839" s="1" t="s">
        <v>39</v>
      </c>
      <c r="B3839" s="1" t="s">
        <v>83</v>
      </c>
      <c r="C3839" s="1" t="s">
        <v>208</v>
      </c>
      <c r="D3839">
        <v>5449</v>
      </c>
      <c r="E3839" s="1"/>
      <c r="F3839" s="1" t="s">
        <v>344</v>
      </c>
      <c r="G3839">
        <v>2009</v>
      </c>
      <c r="H3839">
        <v>1413930</v>
      </c>
      <c r="I3839">
        <v>12</v>
      </c>
      <c r="J3839" s="1" t="s">
        <v>402</v>
      </c>
      <c r="K3839">
        <v>0</v>
      </c>
      <c r="L3839">
        <v>7709</v>
      </c>
      <c r="M3839">
        <v>183.41051400000001</v>
      </c>
      <c r="N3839">
        <v>1</v>
      </c>
      <c r="O3839" s="1" t="s">
        <v>562</v>
      </c>
      <c r="P3839">
        <v>1482594.14</v>
      </c>
      <c r="Q3839">
        <v>274279.92</v>
      </c>
      <c r="R3839">
        <v>0</v>
      </c>
      <c r="S3839" s="1" t="s">
        <v>884</v>
      </c>
      <c r="T3839" s="1"/>
      <c r="U3839">
        <v>1413930</v>
      </c>
      <c r="V3839">
        <v>0</v>
      </c>
      <c r="W3839">
        <v>57534</v>
      </c>
    </row>
    <row r="3840" spans="1:23" x14ac:dyDescent="0.25">
      <c r="A3840" s="1" t="s">
        <v>39</v>
      </c>
      <c r="B3840" s="1" t="s">
        <v>83</v>
      </c>
      <c r="C3840" s="1" t="s">
        <v>208</v>
      </c>
      <c r="D3840">
        <v>5449</v>
      </c>
      <c r="E3840" s="1"/>
      <c r="F3840" s="1" t="s">
        <v>344</v>
      </c>
      <c r="G3840">
        <v>2009</v>
      </c>
      <c r="H3840">
        <v>1202208.23</v>
      </c>
      <c r="I3840">
        <v>12</v>
      </c>
      <c r="J3840" s="1" t="s">
        <v>402</v>
      </c>
      <c r="K3840">
        <v>0</v>
      </c>
      <c r="L3840">
        <v>7709</v>
      </c>
      <c r="M3840">
        <v>155.94663800000001</v>
      </c>
      <c r="N3840">
        <v>1</v>
      </c>
      <c r="O3840" s="1" t="s">
        <v>563</v>
      </c>
      <c r="P3840">
        <v>1258229.8999999999</v>
      </c>
      <c r="Q3840">
        <v>6671.63</v>
      </c>
      <c r="R3840">
        <v>1</v>
      </c>
      <c r="S3840" s="1" t="s">
        <v>885</v>
      </c>
      <c r="T3840" s="1"/>
      <c r="U3840">
        <v>34457.1</v>
      </c>
      <c r="V3840">
        <v>57534</v>
      </c>
      <c r="W3840">
        <v>57554</v>
      </c>
    </row>
    <row r="3841" spans="1:23" x14ac:dyDescent="0.25">
      <c r="A3841" s="1" t="s">
        <v>39</v>
      </c>
      <c r="B3841" s="1" t="s">
        <v>83</v>
      </c>
      <c r="C3841" s="1" t="s">
        <v>208</v>
      </c>
      <c r="D3841">
        <v>5449</v>
      </c>
      <c r="E3841" s="1"/>
      <c r="F3841" s="1" t="s">
        <v>344</v>
      </c>
      <c r="G3841">
        <v>2008</v>
      </c>
      <c r="H3841">
        <v>1474380</v>
      </c>
      <c r="I3841">
        <v>12</v>
      </c>
      <c r="J3841" s="1" t="s">
        <v>402</v>
      </c>
      <c r="K3841">
        <v>0</v>
      </c>
      <c r="L3841">
        <v>7709</v>
      </c>
      <c r="M3841">
        <v>191.25189700000001</v>
      </c>
      <c r="N3841">
        <v>1</v>
      </c>
      <c r="O3841" s="1" t="s">
        <v>562</v>
      </c>
      <c r="P3841">
        <v>1618985.05</v>
      </c>
      <c r="Q3841">
        <v>299512.24</v>
      </c>
      <c r="R3841">
        <v>0</v>
      </c>
      <c r="S3841" s="1" t="s">
        <v>884</v>
      </c>
      <c r="T3841" s="1"/>
      <c r="U3841">
        <v>1474380</v>
      </c>
      <c r="V3841">
        <v>0</v>
      </c>
      <c r="W3841">
        <v>57534</v>
      </c>
    </row>
    <row r="3842" spans="1:23" x14ac:dyDescent="0.25">
      <c r="A3842" s="1" t="s">
        <v>39</v>
      </c>
      <c r="B3842" s="1" t="s">
        <v>83</v>
      </c>
      <c r="C3842" s="1" t="s">
        <v>208</v>
      </c>
      <c r="D3842">
        <v>5449</v>
      </c>
      <c r="E3842" s="1"/>
      <c r="F3842" s="1" t="s">
        <v>344</v>
      </c>
      <c r="G3842">
        <v>2008</v>
      </c>
      <c r="H3842">
        <v>1216237.49</v>
      </c>
      <c r="I3842">
        <v>12</v>
      </c>
      <c r="J3842" s="1" t="s">
        <v>402</v>
      </c>
      <c r="K3842">
        <v>0</v>
      </c>
      <c r="L3842">
        <v>7709</v>
      </c>
      <c r="M3842">
        <v>157.766469</v>
      </c>
      <c r="N3842">
        <v>1</v>
      </c>
      <c r="O3842" s="1" t="s">
        <v>563</v>
      </c>
      <c r="P3842">
        <v>1329199.71</v>
      </c>
      <c r="Q3842">
        <v>7047.92</v>
      </c>
      <c r="R3842">
        <v>1</v>
      </c>
      <c r="S3842" s="1" t="s">
        <v>885</v>
      </c>
      <c r="T3842" s="1"/>
      <c r="U3842">
        <v>34859.199999999997</v>
      </c>
      <c r="V3842">
        <v>57534</v>
      </c>
      <c r="W3842">
        <v>57554</v>
      </c>
    </row>
    <row r="3843" spans="1:23" x14ac:dyDescent="0.25">
      <c r="A3843" s="1" t="s">
        <v>39</v>
      </c>
      <c r="B3843" s="1" t="s">
        <v>83</v>
      </c>
      <c r="C3843" s="1" t="s">
        <v>208</v>
      </c>
      <c r="D3843">
        <v>5453</v>
      </c>
      <c r="E3843" s="1"/>
      <c r="F3843" s="1" t="s">
        <v>345</v>
      </c>
      <c r="G3843">
        <v>2015</v>
      </c>
      <c r="H3843">
        <v>12455.77</v>
      </c>
      <c r="I3843">
        <v>5</v>
      </c>
      <c r="J3843" s="1" t="s">
        <v>421</v>
      </c>
      <c r="K3843">
        <v>0</v>
      </c>
      <c r="L3843">
        <v>610</v>
      </c>
      <c r="M3843">
        <v>20.415948</v>
      </c>
      <c r="N3843">
        <v>1</v>
      </c>
      <c r="O3843" s="1" t="s">
        <v>562</v>
      </c>
      <c r="P3843">
        <v>13820.69</v>
      </c>
      <c r="Q3843">
        <v>2556827.65</v>
      </c>
      <c r="R3843">
        <v>1</v>
      </c>
      <c r="S3843" s="1" t="s">
        <v>886</v>
      </c>
      <c r="T3843" s="1"/>
      <c r="U3843">
        <v>12455.78125</v>
      </c>
      <c r="V3843">
        <v>0</v>
      </c>
      <c r="W3843">
        <v>84287</v>
      </c>
    </row>
    <row r="3844" spans="1:23" x14ac:dyDescent="0.25">
      <c r="A3844" s="1" t="s">
        <v>39</v>
      </c>
      <c r="B3844" s="1" t="s">
        <v>83</v>
      </c>
      <c r="C3844" s="1" t="s">
        <v>208</v>
      </c>
      <c r="D3844">
        <v>5453</v>
      </c>
      <c r="E3844" s="1"/>
      <c r="F3844" s="1" t="s">
        <v>345</v>
      </c>
      <c r="G3844">
        <v>2014</v>
      </c>
      <c r="H3844">
        <v>27761.26</v>
      </c>
      <c r="I3844">
        <v>12</v>
      </c>
      <c r="J3844" s="1" t="s">
        <v>421</v>
      </c>
      <c r="K3844">
        <v>0</v>
      </c>
      <c r="L3844">
        <v>610</v>
      </c>
      <c r="M3844">
        <v>45.502802000000003</v>
      </c>
      <c r="N3844">
        <v>1</v>
      </c>
      <c r="O3844" s="1" t="s">
        <v>562</v>
      </c>
      <c r="P3844">
        <v>32837.96</v>
      </c>
      <c r="Q3844">
        <v>2960839.96</v>
      </c>
      <c r="R3844">
        <v>1</v>
      </c>
      <c r="S3844" s="1" t="s">
        <v>886</v>
      </c>
      <c r="T3844" s="1"/>
      <c r="U3844">
        <v>27761.251</v>
      </c>
      <c r="V3844">
        <v>0</v>
      </c>
      <c r="W3844">
        <v>84287</v>
      </c>
    </row>
    <row r="3845" spans="1:23" x14ac:dyDescent="0.25">
      <c r="A3845" s="1" t="s">
        <v>39</v>
      </c>
      <c r="B3845" s="1" t="s">
        <v>83</v>
      </c>
      <c r="C3845" s="1" t="s">
        <v>208</v>
      </c>
      <c r="D3845">
        <v>5453</v>
      </c>
      <c r="E3845" s="1"/>
      <c r="F3845" s="1" t="s">
        <v>345</v>
      </c>
      <c r="G3845">
        <v>2013</v>
      </c>
      <c r="H3845">
        <v>26693.19</v>
      </c>
      <c r="I3845">
        <v>11</v>
      </c>
      <c r="J3845" s="1" t="s">
        <v>421</v>
      </c>
      <c r="K3845">
        <v>0</v>
      </c>
      <c r="L3845">
        <v>610</v>
      </c>
      <c r="M3845">
        <v>43.752155000000002</v>
      </c>
      <c r="N3845">
        <v>1</v>
      </c>
      <c r="O3845" s="1" t="s">
        <v>562</v>
      </c>
      <c r="P3845">
        <v>30782.57</v>
      </c>
      <c r="Q3845">
        <v>5694.78</v>
      </c>
      <c r="R3845">
        <v>1</v>
      </c>
      <c r="S3845" s="1" t="s">
        <v>886</v>
      </c>
      <c r="T3845" s="1"/>
      <c r="U3845">
        <v>26693.17986</v>
      </c>
      <c r="V3845">
        <v>0</v>
      </c>
      <c r="W3845">
        <v>84287</v>
      </c>
    </row>
    <row r="3846" spans="1:23" x14ac:dyDescent="0.25">
      <c r="A3846" s="1" t="s">
        <v>39</v>
      </c>
      <c r="B3846" s="1" t="s">
        <v>83</v>
      </c>
      <c r="C3846" s="1" t="s">
        <v>208</v>
      </c>
      <c r="D3846">
        <v>5453</v>
      </c>
      <c r="E3846" s="1"/>
      <c r="F3846" s="1" t="s">
        <v>345</v>
      </c>
      <c r="G3846">
        <v>2012</v>
      </c>
      <c r="H3846">
        <v>26513.32</v>
      </c>
      <c r="I3846">
        <v>13</v>
      </c>
      <c r="J3846" s="1" t="s">
        <v>421</v>
      </c>
      <c r="K3846">
        <v>0</v>
      </c>
      <c r="L3846">
        <v>610</v>
      </c>
      <c r="M3846">
        <v>43.457334000000003</v>
      </c>
      <c r="N3846">
        <v>1</v>
      </c>
      <c r="O3846" s="1" t="s">
        <v>562</v>
      </c>
      <c r="P3846">
        <v>28632.639999999999</v>
      </c>
      <c r="Q3846">
        <v>5297.06</v>
      </c>
      <c r="R3846">
        <v>1</v>
      </c>
      <c r="S3846" s="1" t="s">
        <v>886</v>
      </c>
      <c r="T3846" s="1"/>
      <c r="U3846">
        <v>26513.303029999999</v>
      </c>
      <c r="V3846">
        <v>0</v>
      </c>
      <c r="W3846">
        <v>84287</v>
      </c>
    </row>
    <row r="3847" spans="1:23" x14ac:dyDescent="0.25">
      <c r="A3847" s="1" t="s">
        <v>39</v>
      </c>
      <c r="B3847" s="1" t="s">
        <v>83</v>
      </c>
      <c r="C3847" s="1" t="s">
        <v>208</v>
      </c>
      <c r="D3847">
        <v>5453</v>
      </c>
      <c r="E3847" s="1"/>
      <c r="F3847" s="1" t="s">
        <v>345</v>
      </c>
      <c r="G3847">
        <v>2011</v>
      </c>
      <c r="H3847">
        <v>24797.919999999998</v>
      </c>
      <c r="I3847">
        <v>12</v>
      </c>
      <c r="J3847" s="1" t="s">
        <v>421</v>
      </c>
      <c r="K3847">
        <v>0</v>
      </c>
      <c r="L3847">
        <v>610</v>
      </c>
      <c r="M3847">
        <v>40.645663999999996</v>
      </c>
      <c r="N3847">
        <v>1</v>
      </c>
      <c r="O3847" s="1" t="s">
        <v>562</v>
      </c>
      <c r="P3847">
        <v>27752.3</v>
      </c>
      <c r="Q3847">
        <v>5134.17</v>
      </c>
      <c r="R3847">
        <v>1</v>
      </c>
      <c r="S3847" s="1" t="s">
        <v>886</v>
      </c>
      <c r="T3847" s="1"/>
      <c r="U3847">
        <v>24797.909100000001</v>
      </c>
      <c r="V3847">
        <v>0</v>
      </c>
      <c r="W3847">
        <v>84287</v>
      </c>
    </row>
    <row r="3848" spans="1:23" x14ac:dyDescent="0.25">
      <c r="A3848" s="1" t="s">
        <v>39</v>
      </c>
      <c r="B3848" s="1" t="s">
        <v>83</v>
      </c>
      <c r="C3848" s="1" t="s">
        <v>208</v>
      </c>
      <c r="D3848">
        <v>5453</v>
      </c>
      <c r="E3848" s="1"/>
      <c r="F3848" s="1" t="s">
        <v>345</v>
      </c>
      <c r="G3848">
        <v>2010</v>
      </c>
      <c r="H3848">
        <v>25018.57</v>
      </c>
      <c r="I3848">
        <v>12</v>
      </c>
      <c r="J3848" s="1" t="s">
        <v>421</v>
      </c>
      <c r="K3848">
        <v>0</v>
      </c>
      <c r="L3848">
        <v>610</v>
      </c>
      <c r="M3848">
        <v>41.007325999999999</v>
      </c>
      <c r="N3848">
        <v>1</v>
      </c>
      <c r="O3848" s="1" t="s">
        <v>562</v>
      </c>
      <c r="P3848">
        <v>23266.84</v>
      </c>
      <c r="Q3848">
        <v>4304.3599999999997</v>
      </c>
      <c r="R3848">
        <v>1</v>
      </c>
      <c r="S3848" s="1" t="s">
        <v>886</v>
      </c>
      <c r="T3848" s="1"/>
      <c r="U3848">
        <v>25018.575769999999</v>
      </c>
      <c r="V3848">
        <v>0</v>
      </c>
      <c r="W3848">
        <v>84287</v>
      </c>
    </row>
    <row r="3849" spans="1:23" x14ac:dyDescent="0.25">
      <c r="A3849" s="1" t="s">
        <v>39</v>
      </c>
      <c r="B3849" s="1" t="s">
        <v>84</v>
      </c>
      <c r="C3849" s="1" t="s">
        <v>209</v>
      </c>
      <c r="D3849">
        <v>8880</v>
      </c>
      <c r="E3849" s="1" t="s">
        <v>243</v>
      </c>
      <c r="F3849" s="1" t="s">
        <v>366</v>
      </c>
      <c r="G3849">
        <v>2015</v>
      </c>
      <c r="H3849">
        <v>40803.230000000003</v>
      </c>
      <c r="I3849">
        <v>5</v>
      </c>
      <c r="J3849" s="1" t="s">
        <v>433</v>
      </c>
      <c r="K3849">
        <v>0</v>
      </c>
      <c r="L3849">
        <v>0</v>
      </c>
      <c r="M3849">
        <v>408032.3</v>
      </c>
      <c r="N3849">
        <v>1</v>
      </c>
      <c r="O3849" s="1" t="s">
        <v>562</v>
      </c>
      <c r="P3849">
        <v>46163.51</v>
      </c>
      <c r="Q3849">
        <v>5816.59</v>
      </c>
      <c r="R3849">
        <v>1</v>
      </c>
      <c r="S3849" s="1" t="s">
        <v>887</v>
      </c>
      <c r="T3849" s="1"/>
      <c r="U3849">
        <v>40803.235289999997</v>
      </c>
      <c r="V3849">
        <v>0</v>
      </c>
      <c r="W3849">
        <v>70702</v>
      </c>
    </row>
    <row r="3850" spans="1:23" x14ac:dyDescent="0.25">
      <c r="A3850" s="1" t="s">
        <v>39</v>
      </c>
      <c r="B3850" s="1" t="s">
        <v>84</v>
      </c>
      <c r="C3850" s="1" t="s">
        <v>209</v>
      </c>
      <c r="D3850">
        <v>8880</v>
      </c>
      <c r="E3850" s="1" t="s">
        <v>243</v>
      </c>
      <c r="F3850" s="1" t="s">
        <v>366</v>
      </c>
      <c r="G3850">
        <v>2015</v>
      </c>
      <c r="H3850">
        <v>253911.18</v>
      </c>
      <c r="I3850">
        <v>5</v>
      </c>
      <c r="J3850" s="1" t="s">
        <v>433</v>
      </c>
      <c r="K3850">
        <v>0</v>
      </c>
      <c r="L3850">
        <v>0</v>
      </c>
      <c r="M3850">
        <v>2539111.7999999998</v>
      </c>
      <c r="N3850">
        <v>1</v>
      </c>
      <c r="O3850" s="1" t="s">
        <v>562</v>
      </c>
      <c r="P3850">
        <v>286581.36</v>
      </c>
      <c r="Q3850">
        <v>18341.2</v>
      </c>
      <c r="R3850">
        <v>1</v>
      </c>
      <c r="S3850" s="1" t="s">
        <v>888</v>
      </c>
      <c r="T3850" s="1"/>
      <c r="U3850">
        <v>253911.17647000001</v>
      </c>
      <c r="V3850">
        <v>0</v>
      </c>
      <c r="W3850">
        <v>70979</v>
      </c>
    </row>
    <row r="3851" spans="1:23" x14ac:dyDescent="0.25">
      <c r="A3851" s="1" t="s">
        <v>39</v>
      </c>
      <c r="B3851" s="1" t="s">
        <v>84</v>
      </c>
      <c r="C3851" s="1" t="s">
        <v>209</v>
      </c>
      <c r="D3851">
        <v>8880</v>
      </c>
      <c r="E3851" s="1" t="s">
        <v>243</v>
      </c>
      <c r="F3851" s="1" t="s">
        <v>366</v>
      </c>
      <c r="G3851">
        <v>2015</v>
      </c>
      <c r="H3851">
        <v>3957.71</v>
      </c>
      <c r="I3851">
        <v>5</v>
      </c>
      <c r="J3851" s="1" t="s">
        <v>401</v>
      </c>
      <c r="K3851">
        <v>0</v>
      </c>
      <c r="L3851">
        <v>0</v>
      </c>
      <c r="M3851">
        <v>39577.1</v>
      </c>
      <c r="N3851">
        <v>1</v>
      </c>
      <c r="O3851" s="1" t="s">
        <v>562</v>
      </c>
      <c r="P3851">
        <v>4569.9399999999996</v>
      </c>
      <c r="Q3851">
        <v>292.47000000000003</v>
      </c>
      <c r="R3851">
        <v>1</v>
      </c>
      <c r="S3851" s="1" t="s">
        <v>889</v>
      </c>
      <c r="T3851" s="1"/>
      <c r="U3851">
        <v>3957.7058900000002</v>
      </c>
      <c r="V3851">
        <v>0</v>
      </c>
      <c r="W3851">
        <v>70982</v>
      </c>
    </row>
    <row r="3852" spans="1:23" x14ac:dyDescent="0.25">
      <c r="A3852" s="1" t="s">
        <v>39</v>
      </c>
      <c r="B3852" s="1" t="s">
        <v>84</v>
      </c>
      <c r="C3852" s="1" t="s">
        <v>209</v>
      </c>
      <c r="D3852">
        <v>8880</v>
      </c>
      <c r="E3852" s="1" t="s">
        <v>243</v>
      </c>
      <c r="F3852" s="1" t="s">
        <v>366</v>
      </c>
      <c r="G3852">
        <v>2015</v>
      </c>
      <c r="H3852">
        <v>35893.18</v>
      </c>
      <c r="I3852">
        <v>5</v>
      </c>
      <c r="J3852" s="1" t="s">
        <v>433</v>
      </c>
      <c r="K3852">
        <v>0</v>
      </c>
      <c r="L3852">
        <v>0</v>
      </c>
      <c r="M3852">
        <v>358931.8</v>
      </c>
      <c r="N3852">
        <v>1</v>
      </c>
      <c r="O3852" s="1" t="s">
        <v>562</v>
      </c>
      <c r="P3852">
        <v>39787.410000000003</v>
      </c>
      <c r="Q3852">
        <v>2546.38</v>
      </c>
      <c r="R3852">
        <v>1</v>
      </c>
      <c r="S3852" s="1" t="s">
        <v>890</v>
      </c>
      <c r="T3852" s="1"/>
      <c r="U3852">
        <v>35893.176460000002</v>
      </c>
      <c r="V3852">
        <v>0</v>
      </c>
      <c r="W3852">
        <v>70987</v>
      </c>
    </row>
    <row r="3853" spans="1:23" x14ac:dyDescent="0.25">
      <c r="A3853" s="1" t="s">
        <v>39</v>
      </c>
      <c r="B3853" s="1" t="s">
        <v>84</v>
      </c>
      <c r="C3853" s="1" t="s">
        <v>209</v>
      </c>
      <c r="D3853">
        <v>8880</v>
      </c>
      <c r="E3853" s="1" t="s">
        <v>243</v>
      </c>
      <c r="F3853" s="1" t="s">
        <v>366</v>
      </c>
      <c r="G3853">
        <v>2015</v>
      </c>
      <c r="H3853">
        <v>3232.76</v>
      </c>
      <c r="I3853">
        <v>5</v>
      </c>
      <c r="J3853" s="1" t="s">
        <v>433</v>
      </c>
      <c r="K3853">
        <v>0</v>
      </c>
      <c r="L3853">
        <v>0</v>
      </c>
      <c r="M3853">
        <v>32327.599999999999</v>
      </c>
      <c r="N3853">
        <v>1</v>
      </c>
      <c r="O3853" s="1" t="s">
        <v>562</v>
      </c>
      <c r="P3853">
        <v>3729.56</v>
      </c>
      <c r="Q3853">
        <v>238.69</v>
      </c>
      <c r="R3853">
        <v>1</v>
      </c>
      <c r="S3853" s="1" t="s">
        <v>891</v>
      </c>
      <c r="T3853" s="1"/>
      <c r="U3853">
        <v>3232.7647099999999</v>
      </c>
      <c r="V3853">
        <v>0</v>
      </c>
      <c r="W3853">
        <v>70988</v>
      </c>
    </row>
    <row r="3854" spans="1:23" x14ac:dyDescent="0.25">
      <c r="A3854" s="1" t="s">
        <v>39</v>
      </c>
      <c r="B3854" s="1" t="s">
        <v>84</v>
      </c>
      <c r="C3854" s="1" t="s">
        <v>209</v>
      </c>
      <c r="D3854">
        <v>8880</v>
      </c>
      <c r="E3854" s="1" t="s">
        <v>243</v>
      </c>
      <c r="F3854" s="1" t="s">
        <v>366</v>
      </c>
      <c r="G3854">
        <v>2015</v>
      </c>
      <c r="H3854">
        <v>12103.53</v>
      </c>
      <c r="I3854">
        <v>5</v>
      </c>
      <c r="J3854" s="1" t="s">
        <v>433</v>
      </c>
      <c r="K3854">
        <v>0</v>
      </c>
      <c r="L3854">
        <v>0</v>
      </c>
      <c r="M3854">
        <v>121035.3</v>
      </c>
      <c r="N3854">
        <v>1</v>
      </c>
      <c r="O3854" s="1" t="s">
        <v>562</v>
      </c>
      <c r="P3854">
        <v>13212.9</v>
      </c>
      <c r="Q3854">
        <v>845.61</v>
      </c>
      <c r="R3854">
        <v>1</v>
      </c>
      <c r="S3854" s="1" t="s">
        <v>892</v>
      </c>
      <c r="T3854" s="1"/>
      <c r="U3854">
        <v>12103.529420000001</v>
      </c>
      <c r="V3854">
        <v>0</v>
      </c>
      <c r="W3854">
        <v>70978</v>
      </c>
    </row>
    <row r="3855" spans="1:23" x14ac:dyDescent="0.25">
      <c r="A3855" s="1" t="s">
        <v>39</v>
      </c>
      <c r="B3855" s="1" t="s">
        <v>84</v>
      </c>
      <c r="C3855" s="1" t="s">
        <v>209</v>
      </c>
      <c r="D3855">
        <v>8880</v>
      </c>
      <c r="E3855" s="1" t="s">
        <v>243</v>
      </c>
      <c r="F3855" s="1" t="s">
        <v>366</v>
      </c>
      <c r="G3855">
        <v>2015</v>
      </c>
      <c r="H3855">
        <v>7700.99</v>
      </c>
      <c r="I3855">
        <v>5</v>
      </c>
      <c r="J3855" s="1" t="s">
        <v>433</v>
      </c>
      <c r="K3855">
        <v>0</v>
      </c>
      <c r="L3855">
        <v>0</v>
      </c>
      <c r="M3855">
        <v>77009.899999999994</v>
      </c>
      <c r="N3855">
        <v>1</v>
      </c>
      <c r="O3855" s="1" t="s">
        <v>562</v>
      </c>
      <c r="P3855">
        <v>8838.4</v>
      </c>
      <c r="Q3855">
        <v>565.66999999999996</v>
      </c>
      <c r="R3855">
        <v>1</v>
      </c>
      <c r="S3855" s="1" t="s">
        <v>893</v>
      </c>
      <c r="T3855" s="1"/>
      <c r="U3855">
        <v>7701.0000099999997</v>
      </c>
      <c r="V3855">
        <v>0</v>
      </c>
      <c r="W3855">
        <v>70981</v>
      </c>
    </row>
    <row r="3856" spans="1:23" x14ac:dyDescent="0.25">
      <c r="A3856" s="1" t="s">
        <v>39</v>
      </c>
      <c r="B3856" s="1" t="s">
        <v>84</v>
      </c>
      <c r="C3856" s="1" t="s">
        <v>209</v>
      </c>
      <c r="D3856">
        <v>8880</v>
      </c>
      <c r="E3856" s="1" t="s">
        <v>243</v>
      </c>
      <c r="F3856" s="1" t="s">
        <v>366</v>
      </c>
      <c r="G3856">
        <v>2015</v>
      </c>
      <c r="H3856">
        <v>7.71</v>
      </c>
      <c r="I3856">
        <v>5</v>
      </c>
      <c r="J3856" s="1" t="s">
        <v>433</v>
      </c>
      <c r="K3856">
        <v>0</v>
      </c>
      <c r="L3856">
        <v>0</v>
      </c>
      <c r="M3856">
        <v>77.099999999999994</v>
      </c>
      <c r="N3856">
        <v>1</v>
      </c>
      <c r="O3856" s="1" t="s">
        <v>562</v>
      </c>
      <c r="P3856">
        <v>8.64</v>
      </c>
      <c r="Q3856">
        <v>0.56000000000000005</v>
      </c>
      <c r="R3856">
        <v>1</v>
      </c>
      <c r="S3856" s="1" t="s">
        <v>894</v>
      </c>
      <c r="T3856" s="1"/>
      <c r="U3856">
        <v>7.7058799999999996</v>
      </c>
      <c r="V3856">
        <v>0</v>
      </c>
      <c r="W3856">
        <v>70983</v>
      </c>
    </row>
    <row r="3857" spans="1:23" x14ac:dyDescent="0.25">
      <c r="A3857" s="1" t="s">
        <v>39</v>
      </c>
      <c r="B3857" s="1" t="s">
        <v>84</v>
      </c>
      <c r="C3857" s="1" t="s">
        <v>209</v>
      </c>
      <c r="D3857">
        <v>8880</v>
      </c>
      <c r="E3857" s="1" t="s">
        <v>243</v>
      </c>
      <c r="F3857" s="1" t="s">
        <v>366</v>
      </c>
      <c r="G3857">
        <v>2015</v>
      </c>
      <c r="H3857">
        <v>3915.88</v>
      </c>
      <c r="I3857">
        <v>5</v>
      </c>
      <c r="J3857" s="1" t="s">
        <v>433</v>
      </c>
      <c r="K3857">
        <v>0</v>
      </c>
      <c r="L3857">
        <v>0</v>
      </c>
      <c r="M3857">
        <v>39158.800000000003</v>
      </c>
      <c r="N3857">
        <v>1</v>
      </c>
      <c r="O3857" s="1" t="s">
        <v>562</v>
      </c>
      <c r="P3857">
        <v>4472.45</v>
      </c>
      <c r="Q3857">
        <v>286.23</v>
      </c>
      <c r="R3857">
        <v>1</v>
      </c>
      <c r="S3857" s="1" t="s">
        <v>895</v>
      </c>
      <c r="T3857" s="1"/>
      <c r="U3857">
        <v>3915.8823499999999</v>
      </c>
      <c r="V3857">
        <v>0</v>
      </c>
      <c r="W3857">
        <v>70984</v>
      </c>
    </row>
    <row r="3858" spans="1:23" x14ac:dyDescent="0.25">
      <c r="A3858" s="1" t="s">
        <v>39</v>
      </c>
      <c r="B3858" s="1" t="s">
        <v>84</v>
      </c>
      <c r="C3858" s="1" t="s">
        <v>209</v>
      </c>
      <c r="D3858">
        <v>8880</v>
      </c>
      <c r="E3858" s="1" t="s">
        <v>243</v>
      </c>
      <c r="F3858" s="1" t="s">
        <v>366</v>
      </c>
      <c r="G3858">
        <v>2015</v>
      </c>
      <c r="H3858">
        <v>42951.64</v>
      </c>
      <c r="I3858">
        <v>5</v>
      </c>
      <c r="J3858" s="1" t="s">
        <v>433</v>
      </c>
      <c r="K3858">
        <v>0</v>
      </c>
      <c r="L3858">
        <v>0</v>
      </c>
      <c r="M3858">
        <v>429516.4</v>
      </c>
      <c r="N3858">
        <v>1</v>
      </c>
      <c r="O3858" s="1" t="s">
        <v>562</v>
      </c>
      <c r="P3858">
        <v>47455.89</v>
      </c>
      <c r="Q3858">
        <v>3037.17</v>
      </c>
      <c r="R3858">
        <v>1</v>
      </c>
      <c r="S3858" s="1" t="s">
        <v>896</v>
      </c>
      <c r="T3858" s="1"/>
      <c r="U3858">
        <v>42951.647069999999</v>
      </c>
      <c r="V3858">
        <v>0</v>
      </c>
      <c r="W3858">
        <v>70986</v>
      </c>
    </row>
    <row r="3859" spans="1:23" x14ac:dyDescent="0.25">
      <c r="A3859" s="1" t="s">
        <v>39</v>
      </c>
      <c r="B3859" s="1" t="s">
        <v>84</v>
      </c>
      <c r="C3859" s="1" t="s">
        <v>209</v>
      </c>
      <c r="D3859">
        <v>8880</v>
      </c>
      <c r="E3859" s="1" t="s">
        <v>243</v>
      </c>
      <c r="F3859" s="1" t="s">
        <v>366</v>
      </c>
      <c r="G3859">
        <v>2015</v>
      </c>
      <c r="H3859">
        <v>36002.94</v>
      </c>
      <c r="I3859">
        <v>4</v>
      </c>
      <c r="J3859" s="1" t="s">
        <v>499</v>
      </c>
      <c r="K3859">
        <v>0</v>
      </c>
      <c r="L3859">
        <v>0</v>
      </c>
      <c r="M3859">
        <v>360029.4</v>
      </c>
      <c r="N3859">
        <v>1</v>
      </c>
      <c r="O3859" s="1" t="s">
        <v>568</v>
      </c>
      <c r="P3859">
        <v>39855.97</v>
      </c>
      <c r="Q3859">
        <v>0</v>
      </c>
      <c r="R3859">
        <v>1</v>
      </c>
      <c r="S3859" s="1" t="s">
        <v>897</v>
      </c>
      <c r="T3859" s="1"/>
      <c r="U3859">
        <v>36002.941180000002</v>
      </c>
      <c r="V3859">
        <v>0</v>
      </c>
      <c r="W3859">
        <v>95759</v>
      </c>
    </row>
    <row r="3860" spans="1:23" x14ac:dyDescent="0.25">
      <c r="A3860" s="1" t="s">
        <v>39</v>
      </c>
      <c r="B3860" s="1" t="s">
        <v>84</v>
      </c>
      <c r="C3860" s="1" t="s">
        <v>209</v>
      </c>
      <c r="D3860">
        <v>8880</v>
      </c>
      <c r="E3860" s="1" t="s">
        <v>243</v>
      </c>
      <c r="F3860" s="1" t="s">
        <v>366</v>
      </c>
      <c r="G3860">
        <v>2014</v>
      </c>
      <c r="H3860">
        <v>531296.31999999995</v>
      </c>
      <c r="I3860">
        <v>12</v>
      </c>
      <c r="J3860" s="1" t="s">
        <v>433</v>
      </c>
      <c r="K3860">
        <v>0</v>
      </c>
      <c r="L3860">
        <v>0</v>
      </c>
      <c r="M3860">
        <v>5312963.2</v>
      </c>
      <c r="N3860">
        <v>1</v>
      </c>
      <c r="O3860" s="1" t="s">
        <v>562</v>
      </c>
      <c r="P3860">
        <v>636232.85</v>
      </c>
      <c r="Q3860">
        <v>40718.910000000003</v>
      </c>
      <c r="R3860">
        <v>1</v>
      </c>
      <c r="S3860" s="1" t="s">
        <v>888</v>
      </c>
      <c r="T3860" s="1"/>
      <c r="U3860">
        <v>531296.32354000001</v>
      </c>
      <c r="V3860">
        <v>0</v>
      </c>
      <c r="W3860">
        <v>70979</v>
      </c>
    </row>
    <row r="3861" spans="1:23" x14ac:dyDescent="0.25">
      <c r="A3861" s="1" t="s">
        <v>39</v>
      </c>
      <c r="B3861" s="1" t="s">
        <v>84</v>
      </c>
      <c r="C3861" s="1" t="s">
        <v>209</v>
      </c>
      <c r="D3861">
        <v>8880</v>
      </c>
      <c r="E3861" s="1" t="s">
        <v>243</v>
      </c>
      <c r="F3861" s="1" t="s">
        <v>366</v>
      </c>
      <c r="G3861">
        <v>2014</v>
      </c>
      <c r="H3861">
        <v>5181.79</v>
      </c>
      <c r="I3861">
        <v>12</v>
      </c>
      <c r="J3861" s="1" t="s">
        <v>401</v>
      </c>
      <c r="K3861">
        <v>0</v>
      </c>
      <c r="L3861">
        <v>0</v>
      </c>
      <c r="M3861">
        <v>51817.9</v>
      </c>
      <c r="N3861">
        <v>1</v>
      </c>
      <c r="O3861" s="1" t="s">
        <v>562</v>
      </c>
      <c r="P3861">
        <v>6100.54</v>
      </c>
      <c r="Q3861">
        <v>390.43</v>
      </c>
      <c r="R3861">
        <v>1</v>
      </c>
      <c r="S3861" s="1" t="s">
        <v>889</v>
      </c>
      <c r="T3861" s="1"/>
      <c r="U3861">
        <v>5181.7941199999996</v>
      </c>
      <c r="V3861">
        <v>0</v>
      </c>
      <c r="W3861">
        <v>70982</v>
      </c>
    </row>
    <row r="3862" spans="1:23" x14ac:dyDescent="0.25">
      <c r="A3862" s="1" t="s">
        <v>39</v>
      </c>
      <c r="B3862" s="1" t="s">
        <v>84</v>
      </c>
      <c r="C3862" s="1" t="s">
        <v>209</v>
      </c>
      <c r="D3862">
        <v>8880</v>
      </c>
      <c r="E3862" s="1" t="s">
        <v>243</v>
      </c>
      <c r="F3862" s="1" t="s">
        <v>366</v>
      </c>
      <c r="G3862">
        <v>2014</v>
      </c>
      <c r="H3862">
        <v>3580.8</v>
      </c>
      <c r="I3862">
        <v>12</v>
      </c>
      <c r="J3862" s="1" t="s">
        <v>433</v>
      </c>
      <c r="K3862">
        <v>0</v>
      </c>
      <c r="L3862">
        <v>0</v>
      </c>
      <c r="M3862">
        <v>35808</v>
      </c>
      <c r="N3862">
        <v>1</v>
      </c>
      <c r="O3862" s="1" t="s">
        <v>562</v>
      </c>
      <c r="P3862">
        <v>4265.34</v>
      </c>
      <c r="Q3862">
        <v>272.99</v>
      </c>
      <c r="R3862">
        <v>1</v>
      </c>
      <c r="S3862" s="1" t="s">
        <v>895</v>
      </c>
      <c r="T3862" s="1"/>
      <c r="U3862">
        <v>3580.8051500000001</v>
      </c>
      <c r="V3862">
        <v>0</v>
      </c>
      <c r="W3862">
        <v>70984</v>
      </c>
    </row>
    <row r="3863" spans="1:23" x14ac:dyDescent="0.25">
      <c r="A3863" s="1" t="s">
        <v>39</v>
      </c>
      <c r="B3863" s="1" t="s">
        <v>84</v>
      </c>
      <c r="C3863" s="1" t="s">
        <v>209</v>
      </c>
      <c r="D3863">
        <v>8880</v>
      </c>
      <c r="E3863" s="1" t="s">
        <v>243</v>
      </c>
      <c r="F3863" s="1" t="s">
        <v>366</v>
      </c>
      <c r="G3863">
        <v>2014</v>
      </c>
      <c r="H3863">
        <v>107963.94</v>
      </c>
      <c r="I3863">
        <v>12</v>
      </c>
      <c r="J3863" s="1" t="s">
        <v>433</v>
      </c>
      <c r="K3863">
        <v>0</v>
      </c>
      <c r="L3863">
        <v>0</v>
      </c>
      <c r="M3863">
        <v>1079639.3999999999</v>
      </c>
      <c r="N3863">
        <v>1</v>
      </c>
      <c r="O3863" s="1" t="s">
        <v>562</v>
      </c>
      <c r="P3863">
        <v>131223.5</v>
      </c>
      <c r="Q3863">
        <v>8398.31</v>
      </c>
      <c r="R3863">
        <v>1</v>
      </c>
      <c r="S3863" s="1" t="s">
        <v>890</v>
      </c>
      <c r="T3863" s="1"/>
      <c r="U3863">
        <v>107963.94852999999</v>
      </c>
      <c r="V3863">
        <v>0</v>
      </c>
      <c r="W3863">
        <v>70987</v>
      </c>
    </row>
    <row r="3864" spans="1:23" x14ac:dyDescent="0.25">
      <c r="A3864" s="1" t="s">
        <v>39</v>
      </c>
      <c r="B3864" s="1" t="s">
        <v>84</v>
      </c>
      <c r="C3864" s="1" t="s">
        <v>209</v>
      </c>
      <c r="D3864">
        <v>8880</v>
      </c>
      <c r="E3864" s="1" t="s">
        <v>243</v>
      </c>
      <c r="F3864" s="1" t="s">
        <v>366</v>
      </c>
      <c r="G3864">
        <v>2014</v>
      </c>
      <c r="H3864">
        <v>82168.320000000007</v>
      </c>
      <c r="I3864">
        <v>12</v>
      </c>
      <c r="J3864" s="1" t="s">
        <v>433</v>
      </c>
      <c r="K3864">
        <v>0</v>
      </c>
      <c r="L3864">
        <v>0</v>
      </c>
      <c r="M3864">
        <v>821683.19999999995</v>
      </c>
      <c r="N3864">
        <v>1</v>
      </c>
      <c r="O3864" s="1" t="s">
        <v>562</v>
      </c>
      <c r="P3864">
        <v>98178.81</v>
      </c>
      <c r="Q3864">
        <v>12370.52</v>
      </c>
      <c r="R3864">
        <v>1</v>
      </c>
      <c r="S3864" s="1" t="s">
        <v>887</v>
      </c>
      <c r="T3864" s="1"/>
      <c r="U3864">
        <v>82168.327210000003</v>
      </c>
      <c r="V3864">
        <v>0</v>
      </c>
      <c r="W3864">
        <v>70702</v>
      </c>
    </row>
    <row r="3865" spans="1:23" x14ac:dyDescent="0.25">
      <c r="A3865" s="1" t="s">
        <v>39</v>
      </c>
      <c r="B3865" s="1" t="s">
        <v>84</v>
      </c>
      <c r="C3865" s="1" t="s">
        <v>209</v>
      </c>
      <c r="D3865">
        <v>8880</v>
      </c>
      <c r="E3865" s="1" t="s">
        <v>243</v>
      </c>
      <c r="F3865" s="1" t="s">
        <v>366</v>
      </c>
      <c r="G3865">
        <v>2014</v>
      </c>
      <c r="H3865">
        <v>32365.22</v>
      </c>
      <c r="I3865">
        <v>12</v>
      </c>
      <c r="J3865" s="1" t="s">
        <v>433</v>
      </c>
      <c r="K3865">
        <v>0</v>
      </c>
      <c r="L3865">
        <v>0</v>
      </c>
      <c r="M3865">
        <v>323652.2</v>
      </c>
      <c r="N3865">
        <v>1</v>
      </c>
      <c r="O3865" s="1" t="s">
        <v>562</v>
      </c>
      <c r="P3865">
        <v>37758.26</v>
      </c>
      <c r="Q3865">
        <v>2416.5300000000002</v>
      </c>
      <c r="R3865">
        <v>1</v>
      </c>
      <c r="S3865" s="1" t="s">
        <v>892</v>
      </c>
      <c r="T3865" s="1"/>
      <c r="U3865">
        <v>32365.220580000001</v>
      </c>
      <c r="V3865">
        <v>0</v>
      </c>
      <c r="W3865">
        <v>70978</v>
      </c>
    </row>
    <row r="3866" spans="1:23" x14ac:dyDescent="0.25">
      <c r="A3866" s="1" t="s">
        <v>39</v>
      </c>
      <c r="B3866" s="1" t="s">
        <v>84</v>
      </c>
      <c r="C3866" s="1" t="s">
        <v>209</v>
      </c>
      <c r="D3866">
        <v>8880</v>
      </c>
      <c r="E3866" s="1" t="s">
        <v>243</v>
      </c>
      <c r="F3866" s="1" t="s">
        <v>366</v>
      </c>
      <c r="G3866">
        <v>2014</v>
      </c>
      <c r="H3866">
        <v>13740.68</v>
      </c>
      <c r="I3866">
        <v>12</v>
      </c>
      <c r="J3866" s="1" t="s">
        <v>433</v>
      </c>
      <c r="K3866">
        <v>0</v>
      </c>
      <c r="L3866">
        <v>0</v>
      </c>
      <c r="M3866">
        <v>137406.79999999999</v>
      </c>
      <c r="N3866">
        <v>1</v>
      </c>
      <c r="O3866" s="1" t="s">
        <v>562</v>
      </c>
      <c r="P3866">
        <v>16708.02</v>
      </c>
      <c r="Q3866">
        <v>1069.32</v>
      </c>
      <c r="R3866">
        <v>1</v>
      </c>
      <c r="S3866" s="1" t="s">
        <v>893</v>
      </c>
      <c r="T3866" s="1"/>
      <c r="U3866">
        <v>13740.68751</v>
      </c>
      <c r="V3866">
        <v>0</v>
      </c>
      <c r="W3866">
        <v>70981</v>
      </c>
    </row>
    <row r="3867" spans="1:23" x14ac:dyDescent="0.25">
      <c r="A3867" s="1" t="s">
        <v>39</v>
      </c>
      <c r="B3867" s="1" t="s">
        <v>84</v>
      </c>
      <c r="C3867" s="1" t="s">
        <v>209</v>
      </c>
      <c r="D3867">
        <v>8880</v>
      </c>
      <c r="E3867" s="1" t="s">
        <v>243</v>
      </c>
      <c r="F3867" s="1" t="s">
        <v>366</v>
      </c>
      <c r="G3867">
        <v>2014</v>
      </c>
      <c r="H3867">
        <v>32.61</v>
      </c>
      <c r="I3867">
        <v>12</v>
      </c>
      <c r="J3867" s="1" t="s">
        <v>433</v>
      </c>
      <c r="K3867">
        <v>0</v>
      </c>
      <c r="L3867">
        <v>0</v>
      </c>
      <c r="M3867">
        <v>326.10000000000002</v>
      </c>
      <c r="N3867">
        <v>1</v>
      </c>
      <c r="O3867" s="1" t="s">
        <v>562</v>
      </c>
      <c r="P3867">
        <v>38.68</v>
      </c>
      <c r="Q3867">
        <v>2.4700000000000002</v>
      </c>
      <c r="R3867">
        <v>1</v>
      </c>
      <c r="S3867" s="1" t="s">
        <v>894</v>
      </c>
      <c r="T3867" s="1"/>
      <c r="U3867">
        <v>32.606619999999999</v>
      </c>
      <c r="V3867">
        <v>0</v>
      </c>
      <c r="W3867">
        <v>70983</v>
      </c>
    </row>
    <row r="3868" spans="1:23" x14ac:dyDescent="0.25">
      <c r="A3868" s="1" t="s">
        <v>39</v>
      </c>
      <c r="B3868" s="1" t="s">
        <v>84</v>
      </c>
      <c r="C3868" s="1" t="s">
        <v>209</v>
      </c>
      <c r="D3868">
        <v>8880</v>
      </c>
      <c r="E3868" s="1" t="s">
        <v>243</v>
      </c>
      <c r="F3868" s="1" t="s">
        <v>366</v>
      </c>
      <c r="G3868">
        <v>2014</v>
      </c>
      <c r="H3868">
        <v>121796.55</v>
      </c>
      <c r="I3868">
        <v>12</v>
      </c>
      <c r="J3868" s="1" t="s">
        <v>433</v>
      </c>
      <c r="K3868">
        <v>0</v>
      </c>
      <c r="L3868">
        <v>0</v>
      </c>
      <c r="M3868">
        <v>1217965.5</v>
      </c>
      <c r="N3868">
        <v>1</v>
      </c>
      <c r="O3868" s="1" t="s">
        <v>562</v>
      </c>
      <c r="P3868">
        <v>142220.38</v>
      </c>
      <c r="Q3868">
        <v>9102.1</v>
      </c>
      <c r="R3868">
        <v>1</v>
      </c>
      <c r="S3868" s="1" t="s">
        <v>896</v>
      </c>
      <c r="T3868" s="1"/>
      <c r="U3868">
        <v>121796.57172000001</v>
      </c>
      <c r="V3868">
        <v>0</v>
      </c>
      <c r="W3868">
        <v>70986</v>
      </c>
    </row>
    <row r="3869" spans="1:23" x14ac:dyDescent="0.25">
      <c r="A3869" s="1" t="s">
        <v>39</v>
      </c>
      <c r="B3869" s="1" t="s">
        <v>84</v>
      </c>
      <c r="C3869" s="1" t="s">
        <v>209</v>
      </c>
      <c r="D3869">
        <v>8880</v>
      </c>
      <c r="E3869" s="1" t="s">
        <v>243</v>
      </c>
      <c r="F3869" s="1" t="s">
        <v>366</v>
      </c>
      <c r="G3869">
        <v>2014</v>
      </c>
      <c r="H3869">
        <v>5879.86</v>
      </c>
      <c r="I3869">
        <v>12</v>
      </c>
      <c r="J3869" s="1" t="s">
        <v>433</v>
      </c>
      <c r="K3869">
        <v>0</v>
      </c>
      <c r="L3869">
        <v>0</v>
      </c>
      <c r="M3869">
        <v>58798.6</v>
      </c>
      <c r="N3869">
        <v>1</v>
      </c>
      <c r="O3869" s="1" t="s">
        <v>562</v>
      </c>
      <c r="P3869">
        <v>7070.57</v>
      </c>
      <c r="Q3869">
        <v>452.53</v>
      </c>
      <c r="R3869">
        <v>1</v>
      </c>
      <c r="S3869" s="1" t="s">
        <v>891</v>
      </c>
      <c r="T3869" s="1"/>
      <c r="U3869">
        <v>5879.8602799999999</v>
      </c>
      <c r="V3869">
        <v>0</v>
      </c>
      <c r="W3869">
        <v>70988</v>
      </c>
    </row>
    <row r="3870" spans="1:23" x14ac:dyDescent="0.25">
      <c r="A3870" s="1" t="s">
        <v>39</v>
      </c>
      <c r="B3870" s="1" t="s">
        <v>84</v>
      </c>
      <c r="C3870" s="1" t="s">
        <v>209</v>
      </c>
      <c r="D3870">
        <v>8880</v>
      </c>
      <c r="E3870" s="1" t="s">
        <v>243</v>
      </c>
      <c r="F3870" s="1" t="s">
        <v>366</v>
      </c>
      <c r="G3870">
        <v>2014</v>
      </c>
      <c r="H3870">
        <v>183787.08</v>
      </c>
      <c r="I3870">
        <v>15</v>
      </c>
      <c r="J3870" s="1" t="s">
        <v>499</v>
      </c>
      <c r="K3870">
        <v>0</v>
      </c>
      <c r="L3870">
        <v>0</v>
      </c>
      <c r="M3870">
        <v>1837870.8</v>
      </c>
      <c r="N3870">
        <v>1</v>
      </c>
      <c r="O3870" s="1" t="s">
        <v>568</v>
      </c>
      <c r="P3870">
        <v>210738.97</v>
      </c>
      <c r="Q3870">
        <v>0</v>
      </c>
      <c r="R3870">
        <v>1</v>
      </c>
      <c r="S3870" s="1" t="s">
        <v>897</v>
      </c>
      <c r="T3870" s="1"/>
      <c r="U3870">
        <v>183787.05880999999</v>
      </c>
      <c r="V3870">
        <v>0</v>
      </c>
      <c r="W3870">
        <v>95759</v>
      </c>
    </row>
    <row r="3871" spans="1:23" x14ac:dyDescent="0.25">
      <c r="A3871" s="1" t="s">
        <v>39</v>
      </c>
      <c r="B3871" s="1" t="s">
        <v>84</v>
      </c>
      <c r="C3871" s="1" t="s">
        <v>209</v>
      </c>
      <c r="D3871">
        <v>8880</v>
      </c>
      <c r="E3871" s="1" t="s">
        <v>243</v>
      </c>
      <c r="F3871" s="1" t="s">
        <v>366</v>
      </c>
      <c r="G3871">
        <v>2013</v>
      </c>
      <c r="H3871">
        <v>553589.18000000005</v>
      </c>
      <c r="I3871">
        <v>11</v>
      </c>
      <c r="J3871" s="1" t="s">
        <v>433</v>
      </c>
      <c r="K3871">
        <v>0</v>
      </c>
      <c r="L3871">
        <v>0</v>
      </c>
      <c r="M3871">
        <v>5535891.7999999998</v>
      </c>
      <c r="N3871">
        <v>1</v>
      </c>
      <c r="O3871" s="1" t="s">
        <v>562</v>
      </c>
      <c r="P3871">
        <v>640761.97</v>
      </c>
      <c r="Q3871">
        <v>41008.76</v>
      </c>
      <c r="R3871">
        <v>1</v>
      </c>
      <c r="S3871" s="1" t="s">
        <v>888</v>
      </c>
      <c r="T3871" s="1"/>
      <c r="U3871">
        <v>553589.16668000002</v>
      </c>
      <c r="V3871">
        <v>0</v>
      </c>
      <c r="W3871">
        <v>70979</v>
      </c>
    </row>
    <row r="3872" spans="1:23" x14ac:dyDescent="0.25">
      <c r="A3872" s="1" t="s">
        <v>39</v>
      </c>
      <c r="B3872" s="1" t="s">
        <v>84</v>
      </c>
      <c r="C3872" s="1" t="s">
        <v>209</v>
      </c>
      <c r="D3872">
        <v>8880</v>
      </c>
      <c r="E3872" s="1" t="s">
        <v>243</v>
      </c>
      <c r="F3872" s="1" t="s">
        <v>366</v>
      </c>
      <c r="G3872">
        <v>2013</v>
      </c>
      <c r="H3872">
        <v>17421.46</v>
      </c>
      <c r="I3872">
        <v>11</v>
      </c>
      <c r="J3872" s="1" t="s">
        <v>433</v>
      </c>
      <c r="K3872">
        <v>0</v>
      </c>
      <c r="L3872">
        <v>0</v>
      </c>
      <c r="M3872">
        <v>174214.6</v>
      </c>
      <c r="N3872">
        <v>1</v>
      </c>
      <c r="O3872" s="1" t="s">
        <v>562</v>
      </c>
      <c r="P3872">
        <v>18145.72</v>
      </c>
      <c r="Q3872">
        <v>1161.33</v>
      </c>
      <c r="R3872">
        <v>1</v>
      </c>
      <c r="S3872" s="1" t="s">
        <v>893</v>
      </c>
      <c r="T3872" s="1"/>
      <c r="U3872">
        <v>17421.464019999999</v>
      </c>
      <c r="V3872">
        <v>0</v>
      </c>
      <c r="W3872">
        <v>70981</v>
      </c>
    </row>
    <row r="3873" spans="1:23" x14ac:dyDescent="0.25">
      <c r="A3873" s="1" t="s">
        <v>39</v>
      </c>
      <c r="B3873" s="1" t="s">
        <v>84</v>
      </c>
      <c r="C3873" s="1" t="s">
        <v>209</v>
      </c>
      <c r="D3873">
        <v>8880</v>
      </c>
      <c r="E3873" s="1" t="s">
        <v>243</v>
      </c>
      <c r="F3873" s="1" t="s">
        <v>366</v>
      </c>
      <c r="G3873">
        <v>2013</v>
      </c>
      <c r="H3873">
        <v>11106.97</v>
      </c>
      <c r="I3873">
        <v>11</v>
      </c>
      <c r="J3873" s="1" t="s">
        <v>401</v>
      </c>
      <c r="K3873">
        <v>0</v>
      </c>
      <c r="L3873">
        <v>0</v>
      </c>
      <c r="M3873">
        <v>111069.7</v>
      </c>
      <c r="N3873">
        <v>1</v>
      </c>
      <c r="O3873" s="1" t="s">
        <v>562</v>
      </c>
      <c r="P3873">
        <v>11320.65</v>
      </c>
      <c r="Q3873">
        <v>724.52</v>
      </c>
      <c r="R3873">
        <v>1</v>
      </c>
      <c r="S3873" s="1" t="s">
        <v>889</v>
      </c>
      <c r="T3873" s="1"/>
      <c r="U3873">
        <v>11106.984839999999</v>
      </c>
      <c r="V3873">
        <v>0</v>
      </c>
      <c r="W3873">
        <v>70982</v>
      </c>
    </row>
    <row r="3874" spans="1:23" x14ac:dyDescent="0.25">
      <c r="A3874" s="1" t="s">
        <v>39</v>
      </c>
      <c r="B3874" s="1" t="s">
        <v>84</v>
      </c>
      <c r="C3874" s="1" t="s">
        <v>209</v>
      </c>
      <c r="D3874">
        <v>8880</v>
      </c>
      <c r="E3874" s="1" t="s">
        <v>243</v>
      </c>
      <c r="F3874" s="1" t="s">
        <v>366</v>
      </c>
      <c r="G3874">
        <v>2013</v>
      </c>
      <c r="H3874">
        <v>4486.04</v>
      </c>
      <c r="I3874">
        <v>11</v>
      </c>
      <c r="J3874" s="1" t="s">
        <v>433</v>
      </c>
      <c r="K3874">
        <v>0</v>
      </c>
      <c r="L3874">
        <v>0</v>
      </c>
      <c r="M3874">
        <v>44860.4</v>
      </c>
      <c r="N3874">
        <v>1</v>
      </c>
      <c r="O3874" s="1" t="s">
        <v>562</v>
      </c>
      <c r="P3874">
        <v>4656.66</v>
      </c>
      <c r="Q3874">
        <v>298.01</v>
      </c>
      <c r="R3874">
        <v>1</v>
      </c>
      <c r="S3874" s="1" t="s">
        <v>895</v>
      </c>
      <c r="T3874" s="1"/>
      <c r="U3874">
        <v>4486.0397700000003</v>
      </c>
      <c r="V3874">
        <v>0</v>
      </c>
      <c r="W3874">
        <v>70984</v>
      </c>
    </row>
    <row r="3875" spans="1:23" x14ac:dyDescent="0.25">
      <c r="A3875" s="1" t="s">
        <v>39</v>
      </c>
      <c r="B3875" s="1" t="s">
        <v>84</v>
      </c>
      <c r="C3875" s="1" t="s">
        <v>209</v>
      </c>
      <c r="D3875">
        <v>8880</v>
      </c>
      <c r="E3875" s="1" t="s">
        <v>243</v>
      </c>
      <c r="F3875" s="1" t="s">
        <v>366</v>
      </c>
      <c r="G3875">
        <v>2013</v>
      </c>
      <c r="H3875">
        <v>178973.97</v>
      </c>
      <c r="I3875">
        <v>11</v>
      </c>
      <c r="J3875" s="1" t="s">
        <v>433</v>
      </c>
      <c r="K3875">
        <v>0</v>
      </c>
      <c r="L3875">
        <v>0</v>
      </c>
      <c r="M3875">
        <v>1789739.7</v>
      </c>
      <c r="N3875">
        <v>1</v>
      </c>
      <c r="O3875" s="1" t="s">
        <v>562</v>
      </c>
      <c r="P3875">
        <v>244974.22</v>
      </c>
      <c r="Q3875">
        <v>15678.35</v>
      </c>
      <c r="R3875">
        <v>1</v>
      </c>
      <c r="S3875" s="1" t="s">
        <v>890</v>
      </c>
      <c r="T3875" s="1"/>
      <c r="U3875">
        <v>178973.96591</v>
      </c>
      <c r="V3875">
        <v>0</v>
      </c>
      <c r="W3875">
        <v>70987</v>
      </c>
    </row>
    <row r="3876" spans="1:23" x14ac:dyDescent="0.25">
      <c r="A3876" s="1" t="s">
        <v>39</v>
      </c>
      <c r="B3876" s="1" t="s">
        <v>84</v>
      </c>
      <c r="C3876" s="1" t="s">
        <v>209</v>
      </c>
      <c r="D3876">
        <v>8880</v>
      </c>
      <c r="E3876" s="1" t="s">
        <v>243</v>
      </c>
      <c r="F3876" s="1" t="s">
        <v>366</v>
      </c>
      <c r="G3876">
        <v>2013</v>
      </c>
      <c r="H3876">
        <v>92095.19</v>
      </c>
      <c r="I3876">
        <v>11</v>
      </c>
      <c r="J3876" s="1" t="s">
        <v>433</v>
      </c>
      <c r="K3876">
        <v>0</v>
      </c>
      <c r="L3876">
        <v>0</v>
      </c>
      <c r="M3876">
        <v>920951.9</v>
      </c>
      <c r="N3876">
        <v>1</v>
      </c>
      <c r="O3876" s="1" t="s">
        <v>562</v>
      </c>
      <c r="P3876">
        <v>101547.43</v>
      </c>
      <c r="Q3876">
        <v>12794.98</v>
      </c>
      <c r="R3876">
        <v>1</v>
      </c>
      <c r="S3876" s="1" t="s">
        <v>887</v>
      </c>
      <c r="T3876" s="1"/>
      <c r="U3876">
        <v>92095.195070000002</v>
      </c>
      <c r="V3876">
        <v>0</v>
      </c>
      <c r="W3876">
        <v>70702</v>
      </c>
    </row>
    <row r="3877" spans="1:23" x14ac:dyDescent="0.25">
      <c r="A3877" s="1" t="s">
        <v>39</v>
      </c>
      <c r="B3877" s="1" t="s">
        <v>84</v>
      </c>
      <c r="C3877" s="1" t="s">
        <v>209</v>
      </c>
      <c r="D3877">
        <v>8880</v>
      </c>
      <c r="E3877" s="1" t="s">
        <v>243</v>
      </c>
      <c r="F3877" s="1" t="s">
        <v>366</v>
      </c>
      <c r="G3877">
        <v>2013</v>
      </c>
      <c r="H3877">
        <v>31493.67</v>
      </c>
      <c r="I3877">
        <v>11</v>
      </c>
      <c r="J3877" s="1" t="s">
        <v>433</v>
      </c>
      <c r="K3877">
        <v>0</v>
      </c>
      <c r="L3877">
        <v>0</v>
      </c>
      <c r="M3877">
        <v>314936.7</v>
      </c>
      <c r="N3877">
        <v>1</v>
      </c>
      <c r="O3877" s="1" t="s">
        <v>562</v>
      </c>
      <c r="P3877">
        <v>37143.89</v>
      </c>
      <c r="Q3877">
        <v>2377.2199999999998</v>
      </c>
      <c r="R3877">
        <v>1</v>
      </c>
      <c r="S3877" s="1" t="s">
        <v>892</v>
      </c>
      <c r="T3877" s="1"/>
      <c r="U3877">
        <v>31493.67424</v>
      </c>
      <c r="V3877">
        <v>0</v>
      </c>
      <c r="W3877">
        <v>70978</v>
      </c>
    </row>
    <row r="3878" spans="1:23" x14ac:dyDescent="0.25">
      <c r="A3878" s="1" t="s">
        <v>39</v>
      </c>
      <c r="B3878" s="1" t="s">
        <v>84</v>
      </c>
      <c r="C3878" s="1" t="s">
        <v>209</v>
      </c>
      <c r="D3878">
        <v>8880</v>
      </c>
      <c r="E3878" s="1" t="s">
        <v>243</v>
      </c>
      <c r="F3878" s="1" t="s">
        <v>366</v>
      </c>
      <c r="G3878">
        <v>2013</v>
      </c>
      <c r="H3878">
        <v>389.65</v>
      </c>
      <c r="I3878">
        <v>11</v>
      </c>
      <c r="J3878" s="1" t="s">
        <v>433</v>
      </c>
      <c r="K3878">
        <v>0</v>
      </c>
      <c r="L3878">
        <v>0</v>
      </c>
      <c r="M3878">
        <v>3896.5</v>
      </c>
      <c r="N3878">
        <v>1</v>
      </c>
      <c r="O3878" s="1" t="s">
        <v>562</v>
      </c>
      <c r="P3878">
        <v>443.15</v>
      </c>
      <c r="Q3878">
        <v>28.37</v>
      </c>
      <c r="R3878">
        <v>1</v>
      </c>
      <c r="S3878" s="1" t="s">
        <v>894</v>
      </c>
      <c r="T3878" s="1"/>
      <c r="U3878">
        <v>389.65719000000001</v>
      </c>
      <c r="V3878">
        <v>0</v>
      </c>
      <c r="W3878">
        <v>70983</v>
      </c>
    </row>
    <row r="3879" spans="1:23" x14ac:dyDescent="0.25">
      <c r="A3879" s="1" t="s">
        <v>39</v>
      </c>
      <c r="B3879" s="1" t="s">
        <v>84</v>
      </c>
      <c r="C3879" s="1" t="s">
        <v>209</v>
      </c>
      <c r="D3879">
        <v>8880</v>
      </c>
      <c r="E3879" s="1" t="s">
        <v>243</v>
      </c>
      <c r="F3879" s="1" t="s">
        <v>366</v>
      </c>
      <c r="G3879">
        <v>2013</v>
      </c>
      <c r="H3879">
        <v>215232.45</v>
      </c>
      <c r="I3879">
        <v>11</v>
      </c>
      <c r="J3879" s="1" t="s">
        <v>433</v>
      </c>
      <c r="K3879">
        <v>0</v>
      </c>
      <c r="L3879">
        <v>0</v>
      </c>
      <c r="M3879">
        <v>2152324.5</v>
      </c>
      <c r="N3879">
        <v>1</v>
      </c>
      <c r="O3879" s="1" t="s">
        <v>562</v>
      </c>
      <c r="P3879">
        <v>301002</v>
      </c>
      <c r="Q3879">
        <v>19264.13</v>
      </c>
      <c r="R3879">
        <v>1</v>
      </c>
      <c r="S3879" s="1" t="s">
        <v>896</v>
      </c>
      <c r="T3879" s="1"/>
      <c r="U3879">
        <v>215232.44792000001</v>
      </c>
      <c r="V3879">
        <v>0</v>
      </c>
      <c r="W3879">
        <v>70986</v>
      </c>
    </row>
    <row r="3880" spans="1:23" x14ac:dyDescent="0.25">
      <c r="A3880" s="1" t="s">
        <v>39</v>
      </c>
      <c r="B3880" s="1" t="s">
        <v>84</v>
      </c>
      <c r="C3880" s="1" t="s">
        <v>209</v>
      </c>
      <c r="D3880">
        <v>8880</v>
      </c>
      <c r="E3880" s="1" t="s">
        <v>243</v>
      </c>
      <c r="F3880" s="1" t="s">
        <v>366</v>
      </c>
      <c r="G3880">
        <v>2013</v>
      </c>
      <c r="H3880">
        <v>7750.54</v>
      </c>
      <c r="I3880">
        <v>11</v>
      </c>
      <c r="J3880" s="1" t="s">
        <v>433</v>
      </c>
      <c r="K3880">
        <v>0</v>
      </c>
      <c r="L3880">
        <v>0</v>
      </c>
      <c r="M3880">
        <v>77505.399999999994</v>
      </c>
      <c r="N3880">
        <v>1</v>
      </c>
      <c r="O3880" s="1" t="s">
        <v>562</v>
      </c>
      <c r="P3880">
        <v>8006.61</v>
      </c>
      <c r="Q3880">
        <v>512.42999999999995</v>
      </c>
      <c r="R3880">
        <v>1</v>
      </c>
      <c r="S3880" s="1" t="s">
        <v>891</v>
      </c>
      <c r="T3880" s="1"/>
      <c r="U3880">
        <v>7750.55681</v>
      </c>
      <c r="V3880">
        <v>0</v>
      </c>
      <c r="W3880">
        <v>70988</v>
      </c>
    </row>
    <row r="3881" spans="1:23" x14ac:dyDescent="0.25">
      <c r="A3881" s="1" t="s">
        <v>39</v>
      </c>
      <c r="B3881" s="1" t="s">
        <v>84</v>
      </c>
      <c r="C3881" s="1" t="s">
        <v>209</v>
      </c>
      <c r="D3881">
        <v>8880</v>
      </c>
      <c r="E3881" s="1" t="s">
        <v>243</v>
      </c>
      <c r="F3881" s="1" t="s">
        <v>366</v>
      </c>
      <c r="G3881">
        <v>2012</v>
      </c>
      <c r="H3881">
        <v>59988.4</v>
      </c>
      <c r="I3881">
        <v>12</v>
      </c>
      <c r="J3881" s="1" t="s">
        <v>433</v>
      </c>
      <c r="K3881">
        <v>0</v>
      </c>
      <c r="L3881">
        <v>0</v>
      </c>
      <c r="M3881">
        <v>599884</v>
      </c>
      <c r="N3881">
        <v>1</v>
      </c>
      <c r="O3881" s="1" t="s">
        <v>562</v>
      </c>
      <c r="P3881">
        <v>68722.350000000006</v>
      </c>
      <c r="Q3881">
        <v>12713.64</v>
      </c>
      <c r="R3881">
        <v>1</v>
      </c>
      <c r="S3881" s="1" t="s">
        <v>892</v>
      </c>
      <c r="T3881" s="1"/>
      <c r="U3881">
        <v>59988.409110000001</v>
      </c>
      <c r="V3881">
        <v>0</v>
      </c>
      <c r="W3881">
        <v>70978</v>
      </c>
    </row>
    <row r="3882" spans="1:23" x14ac:dyDescent="0.25">
      <c r="A3882" s="1" t="s">
        <v>39</v>
      </c>
      <c r="B3882" s="1" t="s">
        <v>84</v>
      </c>
      <c r="C3882" s="1" t="s">
        <v>209</v>
      </c>
      <c r="D3882">
        <v>8880</v>
      </c>
      <c r="E3882" s="1" t="s">
        <v>243</v>
      </c>
      <c r="F3882" s="1" t="s">
        <v>366</v>
      </c>
      <c r="G3882">
        <v>2012</v>
      </c>
      <c r="H3882">
        <v>490173.35</v>
      </c>
      <c r="I3882">
        <v>12</v>
      </c>
      <c r="J3882" s="1" t="s">
        <v>433</v>
      </c>
      <c r="K3882">
        <v>0</v>
      </c>
      <c r="L3882">
        <v>0</v>
      </c>
      <c r="M3882">
        <v>4901733.5</v>
      </c>
      <c r="N3882">
        <v>1</v>
      </c>
      <c r="O3882" s="1" t="s">
        <v>562</v>
      </c>
      <c r="P3882">
        <v>518417.95</v>
      </c>
      <c r="Q3882">
        <v>95907.31</v>
      </c>
      <c r="R3882">
        <v>1</v>
      </c>
      <c r="S3882" s="1" t="s">
        <v>888</v>
      </c>
      <c r="T3882" s="1"/>
      <c r="U3882">
        <v>490173.33332999999</v>
      </c>
      <c r="V3882">
        <v>0</v>
      </c>
      <c r="W3882">
        <v>70979</v>
      </c>
    </row>
    <row r="3883" spans="1:23" x14ac:dyDescent="0.25">
      <c r="A3883" s="1" t="s">
        <v>39</v>
      </c>
      <c r="B3883" s="1" t="s">
        <v>84</v>
      </c>
      <c r="C3883" s="1" t="s">
        <v>209</v>
      </c>
      <c r="D3883">
        <v>8880</v>
      </c>
      <c r="E3883" s="1" t="s">
        <v>243</v>
      </c>
      <c r="F3883" s="1" t="s">
        <v>366</v>
      </c>
      <c r="G3883">
        <v>2012</v>
      </c>
      <c r="H3883">
        <v>17727.189999999999</v>
      </c>
      <c r="I3883">
        <v>12</v>
      </c>
      <c r="J3883" s="1" t="s">
        <v>433</v>
      </c>
      <c r="K3883">
        <v>0</v>
      </c>
      <c r="L3883">
        <v>0</v>
      </c>
      <c r="M3883">
        <v>177271.9</v>
      </c>
      <c r="N3883">
        <v>1</v>
      </c>
      <c r="O3883" s="1" t="s">
        <v>562</v>
      </c>
      <c r="P3883">
        <v>18818.04</v>
      </c>
      <c r="Q3883">
        <v>3481.35</v>
      </c>
      <c r="R3883">
        <v>1</v>
      </c>
      <c r="S3883" s="1" t="s">
        <v>893</v>
      </c>
      <c r="T3883" s="1"/>
      <c r="U3883">
        <v>17727.181809999998</v>
      </c>
      <c r="V3883">
        <v>0</v>
      </c>
      <c r="W3883">
        <v>70981</v>
      </c>
    </row>
    <row r="3884" spans="1:23" x14ac:dyDescent="0.25">
      <c r="A3884" s="1" t="s">
        <v>39</v>
      </c>
      <c r="B3884" s="1" t="s">
        <v>84</v>
      </c>
      <c r="C3884" s="1" t="s">
        <v>209</v>
      </c>
      <c r="D3884">
        <v>8880</v>
      </c>
      <c r="E3884" s="1" t="s">
        <v>243</v>
      </c>
      <c r="F3884" s="1" t="s">
        <v>366</v>
      </c>
      <c r="G3884">
        <v>2012</v>
      </c>
      <c r="H3884">
        <v>6429.44</v>
      </c>
      <c r="I3884">
        <v>12</v>
      </c>
      <c r="J3884" s="1" t="s">
        <v>433</v>
      </c>
      <c r="K3884">
        <v>0</v>
      </c>
      <c r="L3884">
        <v>0</v>
      </c>
      <c r="M3884">
        <v>64294.400000000001</v>
      </c>
      <c r="N3884">
        <v>1</v>
      </c>
      <c r="O3884" s="1" t="s">
        <v>562</v>
      </c>
      <c r="P3884">
        <v>6629.03</v>
      </c>
      <c r="Q3884">
        <v>1226.3800000000001</v>
      </c>
      <c r="R3884">
        <v>1</v>
      </c>
      <c r="S3884" s="1" t="s">
        <v>895</v>
      </c>
      <c r="T3884" s="1"/>
      <c r="U3884">
        <v>6429.4394000000002</v>
      </c>
      <c r="V3884">
        <v>0</v>
      </c>
      <c r="W3884">
        <v>70984</v>
      </c>
    </row>
    <row r="3885" spans="1:23" x14ac:dyDescent="0.25">
      <c r="A3885" s="1" t="s">
        <v>39</v>
      </c>
      <c r="B3885" s="1" t="s">
        <v>84</v>
      </c>
      <c r="C3885" s="1" t="s">
        <v>209</v>
      </c>
      <c r="D3885">
        <v>8880</v>
      </c>
      <c r="E3885" s="1" t="s">
        <v>243</v>
      </c>
      <c r="F3885" s="1" t="s">
        <v>366</v>
      </c>
      <c r="G3885">
        <v>2012</v>
      </c>
      <c r="H3885">
        <v>224952.42</v>
      </c>
      <c r="I3885">
        <v>12</v>
      </c>
      <c r="J3885" s="1" t="s">
        <v>433</v>
      </c>
      <c r="K3885">
        <v>0</v>
      </c>
      <c r="L3885">
        <v>0</v>
      </c>
      <c r="M3885">
        <v>2249524.2000000002</v>
      </c>
      <c r="N3885">
        <v>1</v>
      </c>
      <c r="O3885" s="1" t="s">
        <v>562</v>
      </c>
      <c r="P3885">
        <v>249199.4</v>
      </c>
      <c r="Q3885">
        <v>46101.89</v>
      </c>
      <c r="R3885">
        <v>1</v>
      </c>
      <c r="S3885" s="1" t="s">
        <v>896</v>
      </c>
      <c r="T3885" s="1"/>
      <c r="U3885">
        <v>224952.41665999999</v>
      </c>
      <c r="V3885">
        <v>0</v>
      </c>
      <c r="W3885">
        <v>70986</v>
      </c>
    </row>
    <row r="3886" spans="1:23" x14ac:dyDescent="0.25">
      <c r="A3886" s="1" t="s">
        <v>39</v>
      </c>
      <c r="B3886" s="1" t="s">
        <v>84</v>
      </c>
      <c r="C3886" s="1" t="s">
        <v>209</v>
      </c>
      <c r="D3886">
        <v>8880</v>
      </c>
      <c r="E3886" s="1" t="s">
        <v>243</v>
      </c>
      <c r="F3886" s="1" t="s">
        <v>366</v>
      </c>
      <c r="G3886">
        <v>2012</v>
      </c>
      <c r="H3886">
        <v>185957.23</v>
      </c>
      <c r="I3886">
        <v>12</v>
      </c>
      <c r="J3886" s="1" t="s">
        <v>433</v>
      </c>
      <c r="K3886">
        <v>0</v>
      </c>
      <c r="L3886">
        <v>0</v>
      </c>
      <c r="M3886">
        <v>1859572.3</v>
      </c>
      <c r="N3886">
        <v>1</v>
      </c>
      <c r="O3886" s="1" t="s">
        <v>562</v>
      </c>
      <c r="P3886">
        <v>205784.13</v>
      </c>
      <c r="Q3886">
        <v>38070.050000000003</v>
      </c>
      <c r="R3886">
        <v>1</v>
      </c>
      <c r="S3886" s="1" t="s">
        <v>890</v>
      </c>
      <c r="T3886" s="1"/>
      <c r="U3886">
        <v>185957.24243000001</v>
      </c>
      <c r="V3886">
        <v>0</v>
      </c>
      <c r="W3886">
        <v>70987</v>
      </c>
    </row>
    <row r="3887" spans="1:23" x14ac:dyDescent="0.25">
      <c r="A3887" s="1" t="s">
        <v>39</v>
      </c>
      <c r="B3887" s="1" t="s">
        <v>84</v>
      </c>
      <c r="C3887" s="1" t="s">
        <v>209</v>
      </c>
      <c r="D3887">
        <v>8880</v>
      </c>
      <c r="E3887" s="1" t="s">
        <v>243</v>
      </c>
      <c r="F3887" s="1" t="s">
        <v>366</v>
      </c>
      <c r="G3887">
        <v>2012</v>
      </c>
      <c r="H3887">
        <v>101170.09</v>
      </c>
      <c r="I3887">
        <v>12</v>
      </c>
      <c r="J3887" s="1" t="s">
        <v>433</v>
      </c>
      <c r="K3887">
        <v>0</v>
      </c>
      <c r="L3887">
        <v>0</v>
      </c>
      <c r="M3887">
        <v>1011700.9</v>
      </c>
      <c r="N3887">
        <v>1</v>
      </c>
      <c r="O3887" s="1" t="s">
        <v>562</v>
      </c>
      <c r="P3887">
        <v>107597.31</v>
      </c>
      <c r="Q3887">
        <v>13557.25</v>
      </c>
      <c r="R3887">
        <v>1</v>
      </c>
      <c r="S3887" s="1" t="s">
        <v>887</v>
      </c>
      <c r="T3887" s="1"/>
      <c r="U3887">
        <v>101170.07576000001</v>
      </c>
      <c r="V3887">
        <v>0</v>
      </c>
      <c r="W3887">
        <v>70702</v>
      </c>
    </row>
    <row r="3888" spans="1:23" x14ac:dyDescent="0.25">
      <c r="A3888" s="1" t="s">
        <v>39</v>
      </c>
      <c r="B3888" s="1" t="s">
        <v>84</v>
      </c>
      <c r="C3888" s="1" t="s">
        <v>209</v>
      </c>
      <c r="D3888">
        <v>8880</v>
      </c>
      <c r="E3888" s="1" t="s">
        <v>243</v>
      </c>
      <c r="F3888" s="1" t="s">
        <v>366</v>
      </c>
      <c r="G3888">
        <v>2012</v>
      </c>
      <c r="H3888">
        <v>1143</v>
      </c>
      <c r="I3888">
        <v>7</v>
      </c>
      <c r="J3888" s="1" t="s">
        <v>454</v>
      </c>
      <c r="K3888">
        <v>0</v>
      </c>
      <c r="L3888">
        <v>0</v>
      </c>
      <c r="M3888">
        <v>11430</v>
      </c>
      <c r="N3888">
        <v>1</v>
      </c>
      <c r="O3888" s="1" t="s">
        <v>562</v>
      </c>
      <c r="P3888">
        <v>1196.1500000000001</v>
      </c>
      <c r="Q3888">
        <v>221.28</v>
      </c>
      <c r="R3888">
        <v>1</v>
      </c>
      <c r="S3888" s="1" t="s">
        <v>898</v>
      </c>
      <c r="T3888" s="1"/>
      <c r="U3888">
        <v>1142.99999</v>
      </c>
      <c r="V3888">
        <v>0</v>
      </c>
      <c r="W3888">
        <v>70980</v>
      </c>
    </row>
    <row r="3889" spans="1:23" x14ac:dyDescent="0.25">
      <c r="A3889" s="1" t="s">
        <v>39</v>
      </c>
      <c r="B3889" s="1" t="s">
        <v>84</v>
      </c>
      <c r="C3889" s="1" t="s">
        <v>209</v>
      </c>
      <c r="D3889">
        <v>8880</v>
      </c>
      <c r="E3889" s="1" t="s">
        <v>243</v>
      </c>
      <c r="F3889" s="1" t="s">
        <v>366</v>
      </c>
      <c r="G3889">
        <v>2012</v>
      </c>
      <c r="H3889">
        <v>7256.53</v>
      </c>
      <c r="I3889">
        <v>12</v>
      </c>
      <c r="J3889" s="1" t="s">
        <v>401</v>
      </c>
      <c r="K3889">
        <v>0</v>
      </c>
      <c r="L3889">
        <v>0</v>
      </c>
      <c r="M3889">
        <v>72565.3</v>
      </c>
      <c r="N3889">
        <v>1</v>
      </c>
      <c r="O3889" s="1" t="s">
        <v>562</v>
      </c>
      <c r="P3889">
        <v>7821.23</v>
      </c>
      <c r="Q3889">
        <v>1446.92</v>
      </c>
      <c r="R3889">
        <v>1</v>
      </c>
      <c r="S3889" s="1" t="s">
        <v>889</v>
      </c>
      <c r="T3889" s="1"/>
      <c r="U3889">
        <v>7256.5151400000004</v>
      </c>
      <c r="V3889">
        <v>0</v>
      </c>
      <c r="W3889">
        <v>70982</v>
      </c>
    </row>
    <row r="3890" spans="1:23" x14ac:dyDescent="0.25">
      <c r="A3890" s="1" t="s">
        <v>39</v>
      </c>
      <c r="B3890" s="1" t="s">
        <v>84</v>
      </c>
      <c r="C3890" s="1" t="s">
        <v>209</v>
      </c>
      <c r="D3890">
        <v>8880</v>
      </c>
      <c r="E3890" s="1" t="s">
        <v>243</v>
      </c>
      <c r="F3890" s="1" t="s">
        <v>366</v>
      </c>
      <c r="G3890">
        <v>2012</v>
      </c>
      <c r="H3890">
        <v>830.61</v>
      </c>
      <c r="I3890">
        <v>12</v>
      </c>
      <c r="J3890" s="1" t="s">
        <v>433</v>
      </c>
      <c r="K3890">
        <v>0</v>
      </c>
      <c r="L3890">
        <v>0</v>
      </c>
      <c r="M3890">
        <v>8306.1</v>
      </c>
      <c r="N3890">
        <v>1</v>
      </c>
      <c r="O3890" s="1" t="s">
        <v>562</v>
      </c>
      <c r="P3890">
        <v>862.67</v>
      </c>
      <c r="Q3890">
        <v>159.59</v>
      </c>
      <c r="R3890">
        <v>1</v>
      </c>
      <c r="S3890" s="1" t="s">
        <v>894</v>
      </c>
      <c r="T3890" s="1"/>
      <c r="U3890">
        <v>830.61364000000003</v>
      </c>
      <c r="V3890">
        <v>0</v>
      </c>
      <c r="W3890">
        <v>70983</v>
      </c>
    </row>
    <row r="3891" spans="1:23" x14ac:dyDescent="0.25">
      <c r="A3891" s="1" t="s">
        <v>39</v>
      </c>
      <c r="B3891" s="1" t="s">
        <v>84</v>
      </c>
      <c r="C3891" s="1" t="s">
        <v>209</v>
      </c>
      <c r="D3891">
        <v>8880</v>
      </c>
      <c r="E3891" s="1" t="s">
        <v>243</v>
      </c>
      <c r="F3891" s="1" t="s">
        <v>366</v>
      </c>
      <c r="G3891">
        <v>2012</v>
      </c>
      <c r="H3891">
        <v>217462.5</v>
      </c>
      <c r="I3891">
        <v>8</v>
      </c>
      <c r="J3891" s="1" t="s">
        <v>500</v>
      </c>
      <c r="K3891">
        <v>0</v>
      </c>
      <c r="L3891">
        <v>0</v>
      </c>
      <c r="M3891">
        <v>2174625</v>
      </c>
      <c r="N3891">
        <v>1</v>
      </c>
      <c r="O3891" s="1" t="s">
        <v>562</v>
      </c>
      <c r="P3891">
        <v>241689.15</v>
      </c>
      <c r="Q3891">
        <v>44712.5</v>
      </c>
      <c r="R3891">
        <v>1</v>
      </c>
      <c r="S3891" s="1" t="s">
        <v>899</v>
      </c>
      <c r="T3891" s="1"/>
      <c r="U3891">
        <v>217462.5</v>
      </c>
      <c r="V3891">
        <v>0</v>
      </c>
      <c r="W3891">
        <v>70985</v>
      </c>
    </row>
    <row r="3892" spans="1:23" x14ac:dyDescent="0.25">
      <c r="A3892" s="1" t="s">
        <v>39</v>
      </c>
      <c r="B3892" s="1" t="s">
        <v>84</v>
      </c>
      <c r="C3892" s="1" t="s">
        <v>209</v>
      </c>
      <c r="D3892">
        <v>8880</v>
      </c>
      <c r="E3892" s="1" t="s">
        <v>243</v>
      </c>
      <c r="F3892" s="1" t="s">
        <v>366</v>
      </c>
      <c r="G3892">
        <v>2012</v>
      </c>
      <c r="H3892">
        <v>3432.31</v>
      </c>
      <c r="I3892">
        <v>12</v>
      </c>
      <c r="J3892" s="1" t="s">
        <v>433</v>
      </c>
      <c r="K3892">
        <v>0</v>
      </c>
      <c r="L3892">
        <v>0</v>
      </c>
      <c r="M3892">
        <v>34323.1</v>
      </c>
      <c r="N3892">
        <v>1</v>
      </c>
      <c r="O3892" s="1" t="s">
        <v>562</v>
      </c>
      <c r="P3892">
        <v>3724.63</v>
      </c>
      <c r="Q3892">
        <v>689.05</v>
      </c>
      <c r="R3892">
        <v>1</v>
      </c>
      <c r="S3892" s="1" t="s">
        <v>891</v>
      </c>
      <c r="T3892" s="1"/>
      <c r="U3892">
        <v>3432.3182000000002</v>
      </c>
      <c r="V3892">
        <v>0</v>
      </c>
      <c r="W3892">
        <v>70988</v>
      </c>
    </row>
    <row r="3893" spans="1:23" x14ac:dyDescent="0.25">
      <c r="A3893" s="1" t="s">
        <v>39</v>
      </c>
      <c r="B3893" s="1" t="s">
        <v>84</v>
      </c>
      <c r="C3893" s="1" t="s">
        <v>209</v>
      </c>
      <c r="D3893">
        <v>8880</v>
      </c>
      <c r="E3893" s="1" t="s">
        <v>243</v>
      </c>
      <c r="F3893" s="1" t="s">
        <v>366</v>
      </c>
      <c r="G3893">
        <v>2011</v>
      </c>
      <c r="H3893">
        <v>23407.69</v>
      </c>
      <c r="I3893">
        <v>12</v>
      </c>
      <c r="J3893" s="1" t="s">
        <v>433</v>
      </c>
      <c r="K3893">
        <v>0</v>
      </c>
      <c r="L3893">
        <v>0</v>
      </c>
      <c r="M3893">
        <v>234076.9</v>
      </c>
      <c r="N3893">
        <v>1</v>
      </c>
      <c r="O3893" s="1" t="s">
        <v>562</v>
      </c>
      <c r="P3893">
        <v>25792.97</v>
      </c>
      <c r="Q3893">
        <v>4771.7</v>
      </c>
      <c r="R3893">
        <v>1</v>
      </c>
      <c r="S3893" s="1" t="s">
        <v>892</v>
      </c>
      <c r="T3893" s="1"/>
      <c r="U3893">
        <v>23407.696090000001</v>
      </c>
      <c r="V3893">
        <v>0</v>
      </c>
      <c r="W3893">
        <v>70978</v>
      </c>
    </row>
    <row r="3894" spans="1:23" x14ac:dyDescent="0.25">
      <c r="A3894" s="1" t="s">
        <v>39</v>
      </c>
      <c r="B3894" s="1" t="s">
        <v>84</v>
      </c>
      <c r="C3894" s="1" t="s">
        <v>209</v>
      </c>
      <c r="D3894">
        <v>8880</v>
      </c>
      <c r="E3894" s="1" t="s">
        <v>243</v>
      </c>
      <c r="F3894" s="1" t="s">
        <v>366</v>
      </c>
      <c r="G3894">
        <v>2011</v>
      </c>
      <c r="H3894">
        <v>17572.8</v>
      </c>
      <c r="I3894">
        <v>12</v>
      </c>
      <c r="J3894" s="1" t="s">
        <v>433</v>
      </c>
      <c r="K3894">
        <v>0</v>
      </c>
      <c r="L3894">
        <v>0</v>
      </c>
      <c r="M3894">
        <v>175728</v>
      </c>
      <c r="N3894">
        <v>1</v>
      </c>
      <c r="O3894" s="1" t="s">
        <v>562</v>
      </c>
      <c r="P3894">
        <v>19213.53</v>
      </c>
      <c r="Q3894">
        <v>3554.52</v>
      </c>
      <c r="R3894">
        <v>1</v>
      </c>
      <c r="S3894" s="1" t="s">
        <v>893</v>
      </c>
      <c r="T3894" s="1"/>
      <c r="U3894">
        <v>17572.784309999999</v>
      </c>
      <c r="V3894">
        <v>0</v>
      </c>
      <c r="W3894">
        <v>70981</v>
      </c>
    </row>
    <row r="3895" spans="1:23" x14ac:dyDescent="0.25">
      <c r="A3895" s="1" t="s">
        <v>39</v>
      </c>
      <c r="B3895" s="1" t="s">
        <v>84</v>
      </c>
      <c r="C3895" s="1" t="s">
        <v>209</v>
      </c>
      <c r="D3895">
        <v>8880</v>
      </c>
      <c r="E3895" s="1" t="s">
        <v>243</v>
      </c>
      <c r="F3895" s="1" t="s">
        <v>366</v>
      </c>
      <c r="G3895">
        <v>2011</v>
      </c>
      <c r="H3895">
        <v>147.97999999999999</v>
      </c>
      <c r="I3895">
        <v>12</v>
      </c>
      <c r="J3895" s="1" t="s">
        <v>433</v>
      </c>
      <c r="K3895">
        <v>0</v>
      </c>
      <c r="L3895">
        <v>0</v>
      </c>
      <c r="M3895">
        <v>1479.8</v>
      </c>
      <c r="N3895">
        <v>1</v>
      </c>
      <c r="O3895" s="1" t="s">
        <v>562</v>
      </c>
      <c r="P3895">
        <v>159.04</v>
      </c>
      <c r="Q3895">
        <v>29.42</v>
      </c>
      <c r="R3895">
        <v>1</v>
      </c>
      <c r="S3895" s="1" t="s">
        <v>894</v>
      </c>
      <c r="T3895" s="1"/>
      <c r="U3895">
        <v>147.97548</v>
      </c>
      <c r="V3895">
        <v>0</v>
      </c>
      <c r="W3895">
        <v>70983</v>
      </c>
    </row>
    <row r="3896" spans="1:23" x14ac:dyDescent="0.25">
      <c r="A3896" s="1" t="s">
        <v>39</v>
      </c>
      <c r="B3896" s="1" t="s">
        <v>84</v>
      </c>
      <c r="C3896" s="1" t="s">
        <v>209</v>
      </c>
      <c r="D3896">
        <v>8880</v>
      </c>
      <c r="E3896" s="1" t="s">
        <v>243</v>
      </c>
      <c r="F3896" s="1" t="s">
        <v>366</v>
      </c>
      <c r="G3896">
        <v>2011</v>
      </c>
      <c r="H3896">
        <v>1851.39</v>
      </c>
      <c r="I3896">
        <v>12</v>
      </c>
      <c r="J3896" s="1" t="s">
        <v>433</v>
      </c>
      <c r="K3896">
        <v>0</v>
      </c>
      <c r="L3896">
        <v>0</v>
      </c>
      <c r="M3896">
        <v>18513.900000000001</v>
      </c>
      <c r="N3896">
        <v>1</v>
      </c>
      <c r="O3896" s="1" t="s">
        <v>562</v>
      </c>
      <c r="P3896">
        <v>1950.9</v>
      </c>
      <c r="Q3896">
        <v>360.92</v>
      </c>
      <c r="R3896">
        <v>1</v>
      </c>
      <c r="S3896" s="1" t="s">
        <v>895</v>
      </c>
      <c r="T3896" s="1"/>
      <c r="U3896">
        <v>1851.3921499999999</v>
      </c>
      <c r="V3896">
        <v>0</v>
      </c>
      <c r="W3896">
        <v>70984</v>
      </c>
    </row>
    <row r="3897" spans="1:23" x14ac:dyDescent="0.25">
      <c r="A3897" s="1" t="s">
        <v>39</v>
      </c>
      <c r="B3897" s="1" t="s">
        <v>84</v>
      </c>
      <c r="C3897" s="1" t="s">
        <v>209</v>
      </c>
      <c r="D3897">
        <v>8880</v>
      </c>
      <c r="E3897" s="1" t="s">
        <v>243</v>
      </c>
      <c r="F3897" s="1" t="s">
        <v>366</v>
      </c>
      <c r="G3897">
        <v>2011</v>
      </c>
      <c r="H3897">
        <v>177365.59</v>
      </c>
      <c r="I3897">
        <v>12</v>
      </c>
      <c r="J3897" s="1" t="s">
        <v>433</v>
      </c>
      <c r="K3897">
        <v>0</v>
      </c>
      <c r="L3897">
        <v>0</v>
      </c>
      <c r="M3897">
        <v>1773655.9</v>
      </c>
      <c r="N3897">
        <v>1</v>
      </c>
      <c r="O3897" s="1" t="s">
        <v>562</v>
      </c>
      <c r="P3897">
        <v>204500.14</v>
      </c>
      <c r="Q3897">
        <v>37832.51</v>
      </c>
      <c r="R3897">
        <v>1</v>
      </c>
      <c r="S3897" s="1" t="s">
        <v>896</v>
      </c>
      <c r="T3897" s="1"/>
      <c r="U3897">
        <v>177365.59314000001</v>
      </c>
      <c r="V3897">
        <v>0</v>
      </c>
      <c r="W3897">
        <v>70986</v>
      </c>
    </row>
    <row r="3898" spans="1:23" x14ac:dyDescent="0.25">
      <c r="A3898" s="1" t="s">
        <v>39</v>
      </c>
      <c r="B3898" s="1" t="s">
        <v>84</v>
      </c>
      <c r="C3898" s="1" t="s">
        <v>209</v>
      </c>
      <c r="D3898">
        <v>8880</v>
      </c>
      <c r="E3898" s="1" t="s">
        <v>243</v>
      </c>
      <c r="F3898" s="1" t="s">
        <v>366</v>
      </c>
      <c r="G3898">
        <v>2011</v>
      </c>
      <c r="H3898">
        <v>112914.04</v>
      </c>
      <c r="I3898">
        <v>12</v>
      </c>
      <c r="J3898" s="1" t="s">
        <v>433</v>
      </c>
      <c r="K3898">
        <v>0</v>
      </c>
      <c r="L3898">
        <v>0</v>
      </c>
      <c r="M3898">
        <v>1129140.3999999999</v>
      </c>
      <c r="N3898">
        <v>1</v>
      </c>
      <c r="O3898" s="1" t="s">
        <v>562</v>
      </c>
      <c r="P3898">
        <v>127313.9</v>
      </c>
      <c r="Q3898">
        <v>16041.54</v>
      </c>
      <c r="R3898">
        <v>1</v>
      </c>
      <c r="S3898" s="1" t="s">
        <v>887</v>
      </c>
      <c r="T3898" s="1"/>
      <c r="U3898">
        <v>112914.049</v>
      </c>
      <c r="V3898">
        <v>0</v>
      </c>
      <c r="W3898">
        <v>70702</v>
      </c>
    </row>
    <row r="3899" spans="1:23" x14ac:dyDescent="0.25">
      <c r="A3899" s="1" t="s">
        <v>39</v>
      </c>
      <c r="B3899" s="1" t="s">
        <v>84</v>
      </c>
      <c r="C3899" s="1" t="s">
        <v>209</v>
      </c>
      <c r="D3899">
        <v>8880</v>
      </c>
      <c r="E3899" s="1" t="s">
        <v>243</v>
      </c>
      <c r="F3899" s="1" t="s">
        <v>366</v>
      </c>
      <c r="G3899">
        <v>2011</v>
      </c>
      <c r="H3899">
        <v>522839.42</v>
      </c>
      <c r="I3899">
        <v>12</v>
      </c>
      <c r="J3899" s="1" t="s">
        <v>433</v>
      </c>
      <c r="K3899">
        <v>0</v>
      </c>
      <c r="L3899">
        <v>0</v>
      </c>
      <c r="M3899">
        <v>5228394.2</v>
      </c>
      <c r="N3899">
        <v>1</v>
      </c>
      <c r="O3899" s="1" t="s">
        <v>562</v>
      </c>
      <c r="P3899">
        <v>585183.72</v>
      </c>
      <c r="Q3899">
        <v>108259</v>
      </c>
      <c r="R3899">
        <v>1</v>
      </c>
      <c r="S3899" s="1" t="s">
        <v>888</v>
      </c>
      <c r="T3899" s="1"/>
      <c r="U3899">
        <v>522839.41175000003</v>
      </c>
      <c r="V3899">
        <v>0</v>
      </c>
      <c r="W3899">
        <v>70979</v>
      </c>
    </row>
    <row r="3900" spans="1:23" x14ac:dyDescent="0.25">
      <c r="A3900" s="1" t="s">
        <v>39</v>
      </c>
      <c r="B3900" s="1" t="s">
        <v>84</v>
      </c>
      <c r="C3900" s="1" t="s">
        <v>209</v>
      </c>
      <c r="D3900">
        <v>8880</v>
      </c>
      <c r="E3900" s="1" t="s">
        <v>243</v>
      </c>
      <c r="F3900" s="1" t="s">
        <v>366</v>
      </c>
      <c r="G3900">
        <v>2011</v>
      </c>
      <c r="H3900">
        <v>5180.01</v>
      </c>
      <c r="I3900">
        <v>12</v>
      </c>
      <c r="J3900" s="1" t="s">
        <v>454</v>
      </c>
      <c r="K3900">
        <v>0</v>
      </c>
      <c r="L3900">
        <v>0</v>
      </c>
      <c r="M3900">
        <v>51800.1</v>
      </c>
      <c r="N3900">
        <v>1</v>
      </c>
      <c r="O3900" s="1" t="s">
        <v>562</v>
      </c>
      <c r="P3900">
        <v>6300.12</v>
      </c>
      <c r="Q3900">
        <v>1165.52</v>
      </c>
      <c r="R3900">
        <v>1</v>
      </c>
      <c r="S3900" s="1" t="s">
        <v>898</v>
      </c>
      <c r="T3900" s="1"/>
      <c r="U3900">
        <v>5179.9999900000003</v>
      </c>
      <c r="V3900">
        <v>0</v>
      </c>
      <c r="W3900">
        <v>70980</v>
      </c>
    </row>
    <row r="3901" spans="1:23" x14ac:dyDescent="0.25">
      <c r="A3901" s="1" t="s">
        <v>39</v>
      </c>
      <c r="B3901" s="1" t="s">
        <v>84</v>
      </c>
      <c r="C3901" s="1" t="s">
        <v>209</v>
      </c>
      <c r="D3901">
        <v>8880</v>
      </c>
      <c r="E3901" s="1" t="s">
        <v>243</v>
      </c>
      <c r="F3901" s="1" t="s">
        <v>366</v>
      </c>
      <c r="G3901">
        <v>2011</v>
      </c>
      <c r="H3901">
        <v>1991.12</v>
      </c>
      <c r="I3901">
        <v>12</v>
      </c>
      <c r="J3901" s="1" t="s">
        <v>401</v>
      </c>
      <c r="K3901">
        <v>0</v>
      </c>
      <c r="L3901">
        <v>0</v>
      </c>
      <c r="M3901">
        <v>19911.2</v>
      </c>
      <c r="N3901">
        <v>1</v>
      </c>
      <c r="O3901" s="1" t="s">
        <v>562</v>
      </c>
      <c r="P3901">
        <v>2048.34</v>
      </c>
      <c r="Q3901">
        <v>378.94</v>
      </c>
      <c r="R3901">
        <v>1</v>
      </c>
      <c r="S3901" s="1" t="s">
        <v>889</v>
      </c>
      <c r="T3901" s="1"/>
      <c r="U3901">
        <v>1991.1176499999999</v>
      </c>
      <c r="V3901">
        <v>0</v>
      </c>
      <c r="W3901">
        <v>70982</v>
      </c>
    </row>
    <row r="3902" spans="1:23" x14ac:dyDescent="0.25">
      <c r="A3902" s="1" t="s">
        <v>39</v>
      </c>
      <c r="B3902" s="1" t="s">
        <v>84</v>
      </c>
      <c r="C3902" s="1" t="s">
        <v>209</v>
      </c>
      <c r="D3902">
        <v>8880</v>
      </c>
      <c r="E3902" s="1" t="s">
        <v>243</v>
      </c>
      <c r="F3902" s="1" t="s">
        <v>366</v>
      </c>
      <c r="G3902">
        <v>2011</v>
      </c>
      <c r="H3902">
        <v>218746.91</v>
      </c>
      <c r="I3902">
        <v>12</v>
      </c>
      <c r="J3902" s="1" t="s">
        <v>500</v>
      </c>
      <c r="K3902">
        <v>0</v>
      </c>
      <c r="L3902">
        <v>0</v>
      </c>
      <c r="M3902">
        <v>2187469.1</v>
      </c>
      <c r="N3902">
        <v>1</v>
      </c>
      <c r="O3902" s="1" t="s">
        <v>562</v>
      </c>
      <c r="P3902">
        <v>246979.6</v>
      </c>
      <c r="Q3902">
        <v>45691.21</v>
      </c>
      <c r="R3902">
        <v>1</v>
      </c>
      <c r="S3902" s="1" t="s">
        <v>899</v>
      </c>
      <c r="T3902" s="1"/>
      <c r="U3902">
        <v>218746.91175999999</v>
      </c>
      <c r="V3902">
        <v>0</v>
      </c>
      <c r="W3902">
        <v>70985</v>
      </c>
    </row>
    <row r="3903" spans="1:23" x14ac:dyDescent="0.25">
      <c r="A3903" s="1" t="s">
        <v>39</v>
      </c>
      <c r="B3903" s="1" t="s">
        <v>84</v>
      </c>
      <c r="C3903" s="1" t="s">
        <v>209</v>
      </c>
      <c r="D3903">
        <v>8880</v>
      </c>
      <c r="E3903" s="1" t="s">
        <v>243</v>
      </c>
      <c r="F3903" s="1" t="s">
        <v>366</v>
      </c>
      <c r="G3903">
        <v>2011</v>
      </c>
      <c r="H3903">
        <v>160725.97</v>
      </c>
      <c r="I3903">
        <v>12</v>
      </c>
      <c r="J3903" s="1" t="s">
        <v>433</v>
      </c>
      <c r="K3903">
        <v>0</v>
      </c>
      <c r="L3903">
        <v>0</v>
      </c>
      <c r="M3903">
        <v>1607259.7</v>
      </c>
      <c r="N3903">
        <v>1</v>
      </c>
      <c r="O3903" s="1" t="s">
        <v>562</v>
      </c>
      <c r="P3903">
        <v>186832.45</v>
      </c>
      <c r="Q3903">
        <v>34564.019999999997</v>
      </c>
      <c r="R3903">
        <v>1</v>
      </c>
      <c r="S3903" s="1" t="s">
        <v>890</v>
      </c>
      <c r="T3903" s="1"/>
      <c r="U3903">
        <v>160725.9902</v>
      </c>
      <c r="V3903">
        <v>0</v>
      </c>
      <c r="W3903">
        <v>70987</v>
      </c>
    </row>
    <row r="3904" spans="1:23" x14ac:dyDescent="0.25">
      <c r="A3904" s="1" t="s">
        <v>39</v>
      </c>
      <c r="B3904" s="1" t="s">
        <v>84</v>
      </c>
      <c r="C3904" s="1" t="s">
        <v>209</v>
      </c>
      <c r="D3904">
        <v>8880</v>
      </c>
      <c r="E3904" s="1" t="s">
        <v>243</v>
      </c>
      <c r="F3904" s="1" t="s">
        <v>366</v>
      </c>
      <c r="G3904">
        <v>2011</v>
      </c>
      <c r="H3904">
        <v>4540.6099999999997</v>
      </c>
      <c r="I3904">
        <v>12</v>
      </c>
      <c r="J3904" s="1" t="s">
        <v>433</v>
      </c>
      <c r="K3904">
        <v>0</v>
      </c>
      <c r="L3904">
        <v>0</v>
      </c>
      <c r="M3904">
        <v>45406.1</v>
      </c>
      <c r="N3904">
        <v>1</v>
      </c>
      <c r="O3904" s="1" t="s">
        <v>562</v>
      </c>
      <c r="P3904">
        <v>4936.96</v>
      </c>
      <c r="Q3904">
        <v>913.34</v>
      </c>
      <c r="R3904">
        <v>1</v>
      </c>
      <c r="S3904" s="1" t="s">
        <v>891</v>
      </c>
      <c r="T3904" s="1"/>
      <c r="U3904">
        <v>4540.5882300000003</v>
      </c>
      <c r="V3904">
        <v>0</v>
      </c>
      <c r="W3904">
        <v>70988</v>
      </c>
    </row>
    <row r="3905" spans="1:23" x14ac:dyDescent="0.25">
      <c r="A3905" s="1" t="s">
        <v>39</v>
      </c>
      <c r="B3905" s="1" t="s">
        <v>84</v>
      </c>
      <c r="C3905" s="1" t="s">
        <v>209</v>
      </c>
      <c r="D3905">
        <v>8880</v>
      </c>
      <c r="E3905" s="1" t="s">
        <v>243</v>
      </c>
      <c r="F3905" s="1" t="s">
        <v>366</v>
      </c>
      <c r="G3905">
        <v>2010</v>
      </c>
      <c r="H3905">
        <v>130096.99</v>
      </c>
      <c r="I3905">
        <v>12</v>
      </c>
      <c r="J3905" s="1" t="s">
        <v>433</v>
      </c>
      <c r="K3905">
        <v>0</v>
      </c>
      <c r="L3905">
        <v>0</v>
      </c>
      <c r="M3905">
        <v>1300969.8999999999</v>
      </c>
      <c r="N3905">
        <v>1</v>
      </c>
      <c r="O3905" s="1" t="s">
        <v>562</v>
      </c>
      <c r="P3905">
        <v>123580.02</v>
      </c>
      <c r="Q3905">
        <v>15571.07</v>
      </c>
      <c r="R3905">
        <v>1</v>
      </c>
      <c r="S3905" s="1" t="s">
        <v>887</v>
      </c>
      <c r="T3905" s="1"/>
      <c r="U3905">
        <v>130096.97477</v>
      </c>
      <c r="V3905">
        <v>0</v>
      </c>
      <c r="W3905">
        <v>70702</v>
      </c>
    </row>
    <row r="3906" spans="1:23" x14ac:dyDescent="0.25">
      <c r="A3906" s="1" t="s">
        <v>39</v>
      </c>
      <c r="B3906" s="1" t="s">
        <v>84</v>
      </c>
      <c r="C3906" s="1" t="s">
        <v>209</v>
      </c>
      <c r="D3906">
        <v>8880</v>
      </c>
      <c r="E3906" s="1" t="s">
        <v>243</v>
      </c>
      <c r="F3906" s="1" t="s">
        <v>366</v>
      </c>
      <c r="G3906">
        <v>2010</v>
      </c>
      <c r="H3906">
        <v>19701.48</v>
      </c>
      <c r="I3906">
        <v>12</v>
      </c>
      <c r="J3906" s="1" t="s">
        <v>433</v>
      </c>
      <c r="K3906">
        <v>0</v>
      </c>
      <c r="L3906">
        <v>0</v>
      </c>
      <c r="M3906">
        <v>197014.8</v>
      </c>
      <c r="N3906">
        <v>1</v>
      </c>
      <c r="O3906" s="1" t="s">
        <v>562</v>
      </c>
      <c r="P3906">
        <v>61100.89</v>
      </c>
      <c r="Q3906">
        <v>11303.66</v>
      </c>
      <c r="R3906">
        <v>1</v>
      </c>
      <c r="S3906" s="1" t="s">
        <v>892</v>
      </c>
      <c r="T3906" s="1"/>
      <c r="U3906">
        <v>19701.470590000001</v>
      </c>
      <c r="V3906">
        <v>0</v>
      </c>
      <c r="W3906">
        <v>70978</v>
      </c>
    </row>
    <row r="3907" spans="1:23" x14ac:dyDescent="0.25">
      <c r="A3907" s="1" t="s">
        <v>39</v>
      </c>
      <c r="B3907" s="1" t="s">
        <v>84</v>
      </c>
      <c r="C3907" s="1" t="s">
        <v>209</v>
      </c>
      <c r="D3907">
        <v>8880</v>
      </c>
      <c r="E3907" s="1" t="s">
        <v>243</v>
      </c>
      <c r="F3907" s="1" t="s">
        <v>366</v>
      </c>
      <c r="G3907">
        <v>2010</v>
      </c>
      <c r="H3907">
        <v>10344.290000000001</v>
      </c>
      <c r="I3907">
        <v>12</v>
      </c>
      <c r="J3907" s="1" t="s">
        <v>454</v>
      </c>
      <c r="K3907">
        <v>0</v>
      </c>
      <c r="L3907">
        <v>0</v>
      </c>
      <c r="M3907">
        <v>103442.9</v>
      </c>
      <c r="N3907">
        <v>1</v>
      </c>
      <c r="O3907" s="1" t="s">
        <v>562</v>
      </c>
      <c r="P3907">
        <v>12879.67</v>
      </c>
      <c r="Q3907">
        <v>2382.75</v>
      </c>
      <c r="R3907">
        <v>1</v>
      </c>
      <c r="S3907" s="1" t="s">
        <v>898</v>
      </c>
      <c r="T3907" s="1"/>
      <c r="U3907">
        <v>10344.28571</v>
      </c>
      <c r="V3907">
        <v>0</v>
      </c>
      <c r="W3907">
        <v>70980</v>
      </c>
    </row>
    <row r="3908" spans="1:23" x14ac:dyDescent="0.25">
      <c r="A3908" s="1" t="s">
        <v>39</v>
      </c>
      <c r="B3908" s="1" t="s">
        <v>84</v>
      </c>
      <c r="C3908" s="1" t="s">
        <v>209</v>
      </c>
      <c r="D3908">
        <v>8880</v>
      </c>
      <c r="E3908" s="1" t="s">
        <v>243</v>
      </c>
      <c r="F3908" s="1" t="s">
        <v>366</v>
      </c>
      <c r="G3908">
        <v>2010</v>
      </c>
      <c r="H3908">
        <v>17627.46</v>
      </c>
      <c r="I3908">
        <v>12</v>
      </c>
      <c r="J3908" s="1" t="s">
        <v>433</v>
      </c>
      <c r="K3908">
        <v>0</v>
      </c>
      <c r="L3908">
        <v>0</v>
      </c>
      <c r="M3908">
        <v>176274.6</v>
      </c>
      <c r="N3908">
        <v>1</v>
      </c>
      <c r="O3908" s="1" t="s">
        <v>562</v>
      </c>
      <c r="P3908">
        <v>15824.41</v>
      </c>
      <c r="Q3908">
        <v>2927.52</v>
      </c>
      <c r="R3908">
        <v>1</v>
      </c>
      <c r="S3908" s="1" t="s">
        <v>893</v>
      </c>
      <c r="T3908" s="1"/>
      <c r="U3908">
        <v>17627.45377</v>
      </c>
      <c r="V3908">
        <v>0</v>
      </c>
      <c r="W3908">
        <v>70981</v>
      </c>
    </row>
    <row r="3909" spans="1:23" x14ac:dyDescent="0.25">
      <c r="A3909" s="1" t="s">
        <v>39</v>
      </c>
      <c r="B3909" s="1" t="s">
        <v>84</v>
      </c>
      <c r="C3909" s="1" t="s">
        <v>209</v>
      </c>
      <c r="D3909">
        <v>8880</v>
      </c>
      <c r="E3909" s="1" t="s">
        <v>243</v>
      </c>
      <c r="F3909" s="1" t="s">
        <v>366</v>
      </c>
      <c r="G3909">
        <v>2010</v>
      </c>
      <c r="H3909">
        <v>547.44000000000005</v>
      </c>
      <c r="I3909">
        <v>12</v>
      </c>
      <c r="J3909" s="1" t="s">
        <v>433</v>
      </c>
      <c r="K3909">
        <v>0</v>
      </c>
      <c r="L3909">
        <v>0</v>
      </c>
      <c r="M3909">
        <v>5474.4</v>
      </c>
      <c r="N3909">
        <v>1</v>
      </c>
      <c r="O3909" s="1" t="s">
        <v>562</v>
      </c>
      <c r="P3909">
        <v>506.19</v>
      </c>
      <c r="Q3909">
        <v>93.65</v>
      </c>
      <c r="R3909">
        <v>1</v>
      </c>
      <c r="S3909" s="1" t="s">
        <v>894</v>
      </c>
      <c r="T3909" s="1"/>
      <c r="U3909">
        <v>547.44115999999997</v>
      </c>
      <c r="V3909">
        <v>0</v>
      </c>
      <c r="W3909">
        <v>70983</v>
      </c>
    </row>
    <row r="3910" spans="1:23" x14ac:dyDescent="0.25">
      <c r="A3910" s="1" t="s">
        <v>39</v>
      </c>
      <c r="B3910" s="1" t="s">
        <v>84</v>
      </c>
      <c r="C3910" s="1" t="s">
        <v>209</v>
      </c>
      <c r="D3910">
        <v>8880</v>
      </c>
      <c r="E3910" s="1" t="s">
        <v>243</v>
      </c>
      <c r="F3910" s="1" t="s">
        <v>366</v>
      </c>
      <c r="G3910">
        <v>2010</v>
      </c>
      <c r="H3910">
        <v>206137.76</v>
      </c>
      <c r="I3910">
        <v>12</v>
      </c>
      <c r="J3910" s="1" t="s">
        <v>433</v>
      </c>
      <c r="K3910">
        <v>0</v>
      </c>
      <c r="L3910">
        <v>0</v>
      </c>
      <c r="M3910">
        <v>2061377.6</v>
      </c>
      <c r="N3910">
        <v>1</v>
      </c>
      <c r="O3910" s="1" t="s">
        <v>562</v>
      </c>
      <c r="P3910">
        <v>276928.15000000002</v>
      </c>
      <c r="Q3910">
        <v>51231.71</v>
      </c>
      <c r="R3910">
        <v>1</v>
      </c>
      <c r="S3910" s="1" t="s">
        <v>896</v>
      </c>
      <c r="T3910" s="1"/>
      <c r="U3910">
        <v>206137.75211</v>
      </c>
      <c r="V3910">
        <v>0</v>
      </c>
      <c r="W3910">
        <v>70986</v>
      </c>
    </row>
    <row r="3911" spans="1:23" x14ac:dyDescent="0.25">
      <c r="A3911" s="1" t="s">
        <v>39</v>
      </c>
      <c r="B3911" s="1" t="s">
        <v>84</v>
      </c>
      <c r="C3911" s="1" t="s">
        <v>209</v>
      </c>
      <c r="D3911">
        <v>8880</v>
      </c>
      <c r="E3911" s="1" t="s">
        <v>243</v>
      </c>
      <c r="F3911" s="1" t="s">
        <v>366</v>
      </c>
      <c r="G3911">
        <v>2010</v>
      </c>
      <c r="H3911">
        <v>4851.91</v>
      </c>
      <c r="I3911">
        <v>12</v>
      </c>
      <c r="J3911" s="1" t="s">
        <v>433</v>
      </c>
      <c r="K3911">
        <v>0</v>
      </c>
      <c r="L3911">
        <v>0</v>
      </c>
      <c r="M3911">
        <v>48519.1</v>
      </c>
      <c r="N3911">
        <v>1</v>
      </c>
      <c r="O3911" s="1" t="s">
        <v>562</v>
      </c>
      <c r="P3911">
        <v>4360.3100000000004</v>
      </c>
      <c r="Q3911">
        <v>806.66</v>
      </c>
      <c r="R3911">
        <v>1</v>
      </c>
      <c r="S3911" s="1" t="s">
        <v>891</v>
      </c>
      <c r="T3911" s="1"/>
      <c r="U3911">
        <v>4851.91176</v>
      </c>
      <c r="V3911">
        <v>0</v>
      </c>
      <c r="W3911">
        <v>70988</v>
      </c>
    </row>
    <row r="3912" spans="1:23" x14ac:dyDescent="0.25">
      <c r="A3912" s="1" t="s">
        <v>39</v>
      </c>
      <c r="B3912" s="1" t="s">
        <v>84</v>
      </c>
      <c r="C3912" s="1" t="s">
        <v>209</v>
      </c>
      <c r="D3912">
        <v>8880</v>
      </c>
      <c r="E3912" s="1" t="s">
        <v>243</v>
      </c>
      <c r="F3912" s="1" t="s">
        <v>366</v>
      </c>
      <c r="G3912">
        <v>2010</v>
      </c>
      <c r="H3912">
        <v>452172.02</v>
      </c>
      <c r="I3912">
        <v>12</v>
      </c>
      <c r="J3912" s="1" t="s">
        <v>433</v>
      </c>
      <c r="K3912">
        <v>0</v>
      </c>
      <c r="L3912">
        <v>0</v>
      </c>
      <c r="M3912">
        <v>4521720.2</v>
      </c>
      <c r="N3912">
        <v>1</v>
      </c>
      <c r="O3912" s="1" t="s">
        <v>562</v>
      </c>
      <c r="P3912">
        <v>416333.09</v>
      </c>
      <c r="Q3912">
        <v>77021.61</v>
      </c>
      <c r="R3912">
        <v>1</v>
      </c>
      <c r="S3912" s="1" t="s">
        <v>888</v>
      </c>
      <c r="T3912" s="1"/>
      <c r="U3912">
        <v>452172.01681</v>
      </c>
      <c r="V3912">
        <v>0</v>
      </c>
      <c r="W3912">
        <v>70979</v>
      </c>
    </row>
    <row r="3913" spans="1:23" x14ac:dyDescent="0.25">
      <c r="A3913" s="1" t="s">
        <v>39</v>
      </c>
      <c r="B3913" s="1" t="s">
        <v>84</v>
      </c>
      <c r="C3913" s="1" t="s">
        <v>209</v>
      </c>
      <c r="D3913">
        <v>8880</v>
      </c>
      <c r="E3913" s="1" t="s">
        <v>243</v>
      </c>
      <c r="F3913" s="1" t="s">
        <v>366</v>
      </c>
      <c r="G3913">
        <v>2010</v>
      </c>
      <c r="H3913">
        <v>4460.0200000000004</v>
      </c>
      <c r="I3913">
        <v>12</v>
      </c>
      <c r="J3913" s="1" t="s">
        <v>401</v>
      </c>
      <c r="K3913">
        <v>0</v>
      </c>
      <c r="L3913">
        <v>0</v>
      </c>
      <c r="M3913">
        <v>44600.2</v>
      </c>
      <c r="N3913">
        <v>1</v>
      </c>
      <c r="O3913" s="1" t="s">
        <v>562</v>
      </c>
      <c r="P3913">
        <v>3992.56</v>
      </c>
      <c r="Q3913">
        <v>738.61</v>
      </c>
      <c r="R3913">
        <v>1</v>
      </c>
      <c r="S3913" s="1" t="s">
        <v>889</v>
      </c>
      <c r="T3913" s="1"/>
      <c r="U3913">
        <v>4460.0252099999998</v>
      </c>
      <c r="V3913">
        <v>0</v>
      </c>
      <c r="W3913">
        <v>70982</v>
      </c>
    </row>
    <row r="3914" spans="1:23" x14ac:dyDescent="0.25">
      <c r="A3914" s="1" t="s">
        <v>39</v>
      </c>
      <c r="B3914" s="1" t="s">
        <v>84</v>
      </c>
      <c r="C3914" s="1" t="s">
        <v>209</v>
      </c>
      <c r="D3914">
        <v>8880</v>
      </c>
      <c r="E3914" s="1" t="s">
        <v>243</v>
      </c>
      <c r="F3914" s="1" t="s">
        <v>366</v>
      </c>
      <c r="G3914">
        <v>2010</v>
      </c>
      <c r="H3914">
        <v>10598.73</v>
      </c>
      <c r="I3914">
        <v>12</v>
      </c>
      <c r="J3914" s="1" t="s">
        <v>433</v>
      </c>
      <c r="K3914">
        <v>0</v>
      </c>
      <c r="L3914">
        <v>0</v>
      </c>
      <c r="M3914">
        <v>105987.3</v>
      </c>
      <c r="N3914">
        <v>1</v>
      </c>
      <c r="O3914" s="1" t="s">
        <v>562</v>
      </c>
      <c r="P3914">
        <v>10021.06</v>
      </c>
      <c r="Q3914">
        <v>1853.9</v>
      </c>
      <c r="R3914">
        <v>1</v>
      </c>
      <c r="S3914" s="1" t="s">
        <v>895</v>
      </c>
      <c r="T3914" s="1"/>
      <c r="U3914">
        <v>10598.72689</v>
      </c>
      <c r="V3914">
        <v>0</v>
      </c>
      <c r="W3914">
        <v>70984</v>
      </c>
    </row>
    <row r="3915" spans="1:23" x14ac:dyDescent="0.25">
      <c r="A3915" s="1" t="s">
        <v>39</v>
      </c>
      <c r="B3915" s="1" t="s">
        <v>84</v>
      </c>
      <c r="C3915" s="1" t="s">
        <v>209</v>
      </c>
      <c r="D3915">
        <v>8880</v>
      </c>
      <c r="E3915" s="1" t="s">
        <v>243</v>
      </c>
      <c r="F3915" s="1" t="s">
        <v>366</v>
      </c>
      <c r="G3915">
        <v>2010</v>
      </c>
      <c r="H3915">
        <v>264363.45</v>
      </c>
      <c r="I3915">
        <v>12</v>
      </c>
      <c r="J3915" s="1" t="s">
        <v>500</v>
      </c>
      <c r="K3915">
        <v>0</v>
      </c>
      <c r="L3915">
        <v>0</v>
      </c>
      <c r="M3915">
        <v>2643634.5</v>
      </c>
      <c r="N3915">
        <v>1</v>
      </c>
      <c r="O3915" s="1" t="s">
        <v>562</v>
      </c>
      <c r="P3915">
        <v>290811.59999999998</v>
      </c>
      <c r="Q3915">
        <v>53800.13</v>
      </c>
      <c r="R3915">
        <v>1</v>
      </c>
      <c r="S3915" s="1" t="s">
        <v>899</v>
      </c>
      <c r="T3915" s="1"/>
      <c r="U3915">
        <v>264363.44537999999</v>
      </c>
      <c r="V3915">
        <v>0</v>
      </c>
      <c r="W3915">
        <v>70985</v>
      </c>
    </row>
    <row r="3916" spans="1:23" x14ac:dyDescent="0.25">
      <c r="A3916" s="1" t="s">
        <v>39</v>
      </c>
      <c r="B3916" s="1" t="s">
        <v>84</v>
      </c>
      <c r="C3916" s="1" t="s">
        <v>209</v>
      </c>
      <c r="D3916">
        <v>8880</v>
      </c>
      <c r="E3916" s="1" t="s">
        <v>243</v>
      </c>
      <c r="F3916" s="1" t="s">
        <v>366</v>
      </c>
      <c r="G3916">
        <v>2010</v>
      </c>
      <c r="H3916">
        <v>163841.54</v>
      </c>
      <c r="I3916">
        <v>13</v>
      </c>
      <c r="J3916" s="1" t="s">
        <v>433</v>
      </c>
      <c r="K3916">
        <v>0</v>
      </c>
      <c r="L3916">
        <v>0</v>
      </c>
      <c r="M3916">
        <v>1638415.4</v>
      </c>
      <c r="N3916">
        <v>1</v>
      </c>
      <c r="O3916" s="1" t="s">
        <v>562</v>
      </c>
      <c r="P3916">
        <v>200717.67</v>
      </c>
      <c r="Q3916">
        <v>37132.769999999997</v>
      </c>
      <c r="R3916">
        <v>1</v>
      </c>
      <c r="S3916" s="1" t="s">
        <v>890</v>
      </c>
      <c r="T3916" s="1"/>
      <c r="U3916">
        <v>163841.53361000001</v>
      </c>
      <c r="V3916">
        <v>0</v>
      </c>
      <c r="W3916">
        <v>70987</v>
      </c>
    </row>
    <row r="3917" spans="1:23" x14ac:dyDescent="0.25">
      <c r="A3917" s="1" t="s">
        <v>39</v>
      </c>
      <c r="B3917" s="1" t="s">
        <v>84</v>
      </c>
      <c r="C3917" s="1" t="s">
        <v>209</v>
      </c>
      <c r="D3917">
        <v>8880</v>
      </c>
      <c r="E3917" s="1" t="s">
        <v>243</v>
      </c>
      <c r="F3917" s="1" t="s">
        <v>366</v>
      </c>
      <c r="G3917">
        <v>2009</v>
      </c>
      <c r="H3917">
        <v>157073.26999999999</v>
      </c>
      <c r="I3917">
        <v>11</v>
      </c>
      <c r="J3917" s="1" t="s">
        <v>433</v>
      </c>
      <c r="K3917">
        <v>0</v>
      </c>
      <c r="L3917">
        <v>0</v>
      </c>
      <c r="M3917">
        <v>1570732.7</v>
      </c>
      <c r="N3917">
        <v>1</v>
      </c>
      <c r="O3917" s="1" t="s">
        <v>562</v>
      </c>
      <c r="P3917">
        <v>194207.38</v>
      </c>
      <c r="Q3917">
        <v>24470.13</v>
      </c>
      <c r="R3917">
        <v>1</v>
      </c>
      <c r="S3917" s="1" t="s">
        <v>887</v>
      </c>
      <c r="T3917" s="1"/>
      <c r="U3917">
        <v>157073.27187999999</v>
      </c>
      <c r="V3917">
        <v>0</v>
      </c>
      <c r="W3917">
        <v>70702</v>
      </c>
    </row>
    <row r="3918" spans="1:23" x14ac:dyDescent="0.25">
      <c r="A3918" s="1" t="s">
        <v>39</v>
      </c>
      <c r="B3918" s="1" t="s">
        <v>84</v>
      </c>
      <c r="C3918" s="1" t="s">
        <v>209</v>
      </c>
      <c r="D3918">
        <v>8880</v>
      </c>
      <c r="E3918" s="1" t="s">
        <v>243</v>
      </c>
      <c r="F3918" s="1" t="s">
        <v>366</v>
      </c>
      <c r="G3918">
        <v>2009</v>
      </c>
      <c r="H3918">
        <v>16529.03</v>
      </c>
      <c r="I3918">
        <v>10</v>
      </c>
      <c r="J3918" s="1" t="s">
        <v>433</v>
      </c>
      <c r="K3918">
        <v>0</v>
      </c>
      <c r="L3918">
        <v>0</v>
      </c>
      <c r="M3918">
        <v>165290.29999999999</v>
      </c>
      <c r="N3918">
        <v>1</v>
      </c>
      <c r="O3918" s="1" t="s">
        <v>562</v>
      </c>
      <c r="P3918">
        <v>21889.52</v>
      </c>
      <c r="Q3918">
        <v>4049.56</v>
      </c>
      <c r="R3918">
        <v>1</v>
      </c>
      <c r="S3918" s="1" t="s">
        <v>892</v>
      </c>
      <c r="T3918" s="1"/>
      <c r="U3918">
        <v>16529.03225</v>
      </c>
      <c r="V3918">
        <v>0</v>
      </c>
      <c r="W3918">
        <v>70978</v>
      </c>
    </row>
    <row r="3919" spans="1:23" x14ac:dyDescent="0.25">
      <c r="A3919" s="1" t="s">
        <v>39</v>
      </c>
      <c r="B3919" s="1" t="s">
        <v>84</v>
      </c>
      <c r="C3919" s="1" t="s">
        <v>209</v>
      </c>
      <c r="D3919">
        <v>8880</v>
      </c>
      <c r="E3919" s="1" t="s">
        <v>243</v>
      </c>
      <c r="F3919" s="1" t="s">
        <v>366</v>
      </c>
      <c r="G3919">
        <v>2009</v>
      </c>
      <c r="H3919">
        <v>11486.09</v>
      </c>
      <c r="I3919">
        <v>11</v>
      </c>
      <c r="J3919" s="1" t="s">
        <v>454</v>
      </c>
      <c r="K3919">
        <v>0</v>
      </c>
      <c r="L3919">
        <v>0</v>
      </c>
      <c r="M3919">
        <v>114860.9</v>
      </c>
      <c r="N3919">
        <v>1</v>
      </c>
      <c r="O3919" s="1" t="s">
        <v>562</v>
      </c>
      <c r="P3919">
        <v>16049.87</v>
      </c>
      <c r="Q3919">
        <v>2969.21</v>
      </c>
      <c r="R3919">
        <v>1</v>
      </c>
      <c r="S3919" s="1" t="s">
        <v>898</v>
      </c>
      <c r="T3919" s="1"/>
      <c r="U3919">
        <v>11486.1014</v>
      </c>
      <c r="V3919">
        <v>0</v>
      </c>
      <c r="W3919">
        <v>70980</v>
      </c>
    </row>
    <row r="3920" spans="1:23" x14ac:dyDescent="0.25">
      <c r="A3920" s="1" t="s">
        <v>39</v>
      </c>
      <c r="B3920" s="1" t="s">
        <v>84</v>
      </c>
      <c r="C3920" s="1" t="s">
        <v>209</v>
      </c>
      <c r="D3920">
        <v>8880</v>
      </c>
      <c r="E3920" s="1" t="s">
        <v>243</v>
      </c>
      <c r="F3920" s="1" t="s">
        <v>366</v>
      </c>
      <c r="G3920">
        <v>2009</v>
      </c>
      <c r="H3920">
        <v>1352.26</v>
      </c>
      <c r="I3920">
        <v>10</v>
      </c>
      <c r="J3920" s="1" t="s">
        <v>433</v>
      </c>
      <c r="K3920">
        <v>0</v>
      </c>
      <c r="L3920">
        <v>0</v>
      </c>
      <c r="M3920">
        <v>13522.6</v>
      </c>
      <c r="N3920">
        <v>1</v>
      </c>
      <c r="O3920" s="1" t="s">
        <v>562</v>
      </c>
      <c r="P3920">
        <v>1578.49</v>
      </c>
      <c r="Q3920">
        <v>292.02999999999997</v>
      </c>
      <c r="R3920">
        <v>1</v>
      </c>
      <c r="S3920" s="1" t="s">
        <v>894</v>
      </c>
      <c r="T3920" s="1"/>
      <c r="U3920">
        <v>1352.2580599999999</v>
      </c>
      <c r="V3920">
        <v>0</v>
      </c>
      <c r="W3920">
        <v>70983</v>
      </c>
    </row>
    <row r="3921" spans="1:23" x14ac:dyDescent="0.25">
      <c r="A3921" s="1" t="s">
        <v>39</v>
      </c>
      <c r="B3921" s="1" t="s">
        <v>84</v>
      </c>
      <c r="C3921" s="1" t="s">
        <v>209</v>
      </c>
      <c r="D3921">
        <v>8880</v>
      </c>
      <c r="E3921" s="1" t="s">
        <v>243</v>
      </c>
      <c r="F3921" s="1" t="s">
        <v>366</v>
      </c>
      <c r="G3921">
        <v>2009</v>
      </c>
      <c r="H3921">
        <v>234805.53</v>
      </c>
      <c r="I3921">
        <v>11</v>
      </c>
      <c r="J3921" s="1" t="s">
        <v>500</v>
      </c>
      <c r="K3921">
        <v>0</v>
      </c>
      <c r="L3921">
        <v>0</v>
      </c>
      <c r="M3921">
        <v>2348055.2999999998</v>
      </c>
      <c r="N3921">
        <v>1</v>
      </c>
      <c r="O3921" s="1" t="s">
        <v>562</v>
      </c>
      <c r="P3921">
        <v>309396.53999999998</v>
      </c>
      <c r="Q3921">
        <v>57238.35</v>
      </c>
      <c r="R3921">
        <v>1</v>
      </c>
      <c r="S3921" s="1" t="s">
        <v>899</v>
      </c>
      <c r="T3921" s="1"/>
      <c r="U3921">
        <v>234805.52997</v>
      </c>
      <c r="V3921">
        <v>0</v>
      </c>
      <c r="W3921">
        <v>70985</v>
      </c>
    </row>
    <row r="3922" spans="1:23" x14ac:dyDescent="0.25">
      <c r="A3922" s="1" t="s">
        <v>39</v>
      </c>
      <c r="B3922" s="1" t="s">
        <v>84</v>
      </c>
      <c r="C3922" s="1" t="s">
        <v>209</v>
      </c>
      <c r="D3922">
        <v>8880</v>
      </c>
      <c r="E3922" s="1" t="s">
        <v>243</v>
      </c>
      <c r="F3922" s="1" t="s">
        <v>366</v>
      </c>
      <c r="G3922">
        <v>2009</v>
      </c>
      <c r="H3922">
        <v>223473.75</v>
      </c>
      <c r="I3922">
        <v>11</v>
      </c>
      <c r="J3922" s="1" t="s">
        <v>433</v>
      </c>
      <c r="K3922">
        <v>0</v>
      </c>
      <c r="L3922">
        <v>0</v>
      </c>
      <c r="M3922">
        <v>2234737.5</v>
      </c>
      <c r="N3922">
        <v>1</v>
      </c>
      <c r="O3922" s="1" t="s">
        <v>562</v>
      </c>
      <c r="P3922">
        <v>315659.94</v>
      </c>
      <c r="Q3922">
        <v>58397.08</v>
      </c>
      <c r="R3922">
        <v>1</v>
      </c>
      <c r="S3922" s="1" t="s">
        <v>896</v>
      </c>
      <c r="T3922" s="1"/>
      <c r="U3922">
        <v>223473.73271000001</v>
      </c>
      <c r="V3922">
        <v>0</v>
      </c>
      <c r="W3922">
        <v>70986</v>
      </c>
    </row>
    <row r="3923" spans="1:23" x14ac:dyDescent="0.25">
      <c r="A3923" s="1" t="s">
        <v>39</v>
      </c>
      <c r="B3923" s="1" t="s">
        <v>84</v>
      </c>
      <c r="C3923" s="1" t="s">
        <v>209</v>
      </c>
      <c r="D3923">
        <v>8880</v>
      </c>
      <c r="E3923" s="1" t="s">
        <v>243</v>
      </c>
      <c r="F3923" s="1" t="s">
        <v>366</v>
      </c>
      <c r="G3923">
        <v>2009</v>
      </c>
      <c r="H3923">
        <v>3403.61</v>
      </c>
      <c r="I3923">
        <v>11</v>
      </c>
      <c r="J3923" s="1" t="s">
        <v>433</v>
      </c>
      <c r="K3923">
        <v>0</v>
      </c>
      <c r="L3923">
        <v>0</v>
      </c>
      <c r="M3923">
        <v>34036.1</v>
      </c>
      <c r="N3923">
        <v>1</v>
      </c>
      <c r="O3923" s="1" t="s">
        <v>562</v>
      </c>
      <c r="P3923">
        <v>3569.61</v>
      </c>
      <c r="Q3923">
        <v>660.39</v>
      </c>
      <c r="R3923">
        <v>1</v>
      </c>
      <c r="S3923" s="1" t="s">
        <v>891</v>
      </c>
      <c r="T3923" s="1"/>
      <c r="U3923">
        <v>3403.6129000000001</v>
      </c>
      <c r="V3923">
        <v>0</v>
      </c>
      <c r="W3923">
        <v>70988</v>
      </c>
    </row>
    <row r="3924" spans="1:23" x14ac:dyDescent="0.25">
      <c r="A3924" s="1" t="s">
        <v>39</v>
      </c>
      <c r="B3924" s="1" t="s">
        <v>84</v>
      </c>
      <c r="C3924" s="1" t="s">
        <v>209</v>
      </c>
      <c r="D3924">
        <v>8880</v>
      </c>
      <c r="E3924" s="1" t="s">
        <v>243</v>
      </c>
      <c r="F3924" s="1" t="s">
        <v>366</v>
      </c>
      <c r="G3924">
        <v>2009</v>
      </c>
      <c r="H3924">
        <v>326054.36</v>
      </c>
      <c r="I3924">
        <v>11</v>
      </c>
      <c r="J3924" s="1" t="s">
        <v>433</v>
      </c>
      <c r="K3924">
        <v>0</v>
      </c>
      <c r="L3924">
        <v>0</v>
      </c>
      <c r="M3924">
        <v>3260543.6</v>
      </c>
      <c r="N3924">
        <v>1</v>
      </c>
      <c r="O3924" s="1" t="s">
        <v>562</v>
      </c>
      <c r="P3924">
        <v>359070.38</v>
      </c>
      <c r="Q3924">
        <v>66428.02</v>
      </c>
      <c r="R3924">
        <v>1</v>
      </c>
      <c r="S3924" s="1" t="s">
        <v>888</v>
      </c>
      <c r="T3924" s="1"/>
      <c r="U3924">
        <v>326054.37790000002</v>
      </c>
      <c r="V3924">
        <v>0</v>
      </c>
      <c r="W3924">
        <v>70979</v>
      </c>
    </row>
    <row r="3925" spans="1:23" x14ac:dyDescent="0.25">
      <c r="A3925" s="1" t="s">
        <v>39</v>
      </c>
      <c r="B3925" s="1" t="s">
        <v>84</v>
      </c>
      <c r="C3925" s="1" t="s">
        <v>209</v>
      </c>
      <c r="D3925">
        <v>8880</v>
      </c>
      <c r="E3925" s="1" t="s">
        <v>243</v>
      </c>
      <c r="F3925" s="1" t="s">
        <v>366</v>
      </c>
      <c r="G3925">
        <v>2009</v>
      </c>
      <c r="H3925">
        <v>11164.98</v>
      </c>
      <c r="I3925">
        <v>11</v>
      </c>
      <c r="J3925" s="1" t="s">
        <v>433</v>
      </c>
      <c r="K3925">
        <v>0</v>
      </c>
      <c r="L3925">
        <v>0</v>
      </c>
      <c r="M3925">
        <v>111649.8</v>
      </c>
      <c r="N3925">
        <v>1</v>
      </c>
      <c r="O3925" s="1" t="s">
        <v>562</v>
      </c>
      <c r="P3925">
        <v>12233.52</v>
      </c>
      <c r="Q3925">
        <v>2263.19</v>
      </c>
      <c r="R3925">
        <v>1</v>
      </c>
      <c r="S3925" s="1" t="s">
        <v>893</v>
      </c>
      <c r="T3925" s="1"/>
      <c r="U3925">
        <v>11164.97695</v>
      </c>
      <c r="V3925">
        <v>0</v>
      </c>
      <c r="W3925">
        <v>70981</v>
      </c>
    </row>
    <row r="3926" spans="1:23" x14ac:dyDescent="0.25">
      <c r="A3926" s="1" t="s">
        <v>39</v>
      </c>
      <c r="B3926" s="1" t="s">
        <v>84</v>
      </c>
      <c r="C3926" s="1" t="s">
        <v>209</v>
      </c>
      <c r="D3926">
        <v>8880</v>
      </c>
      <c r="E3926" s="1" t="s">
        <v>243</v>
      </c>
      <c r="F3926" s="1" t="s">
        <v>366</v>
      </c>
      <c r="G3926">
        <v>2009</v>
      </c>
      <c r="H3926">
        <v>6219.64</v>
      </c>
      <c r="I3926">
        <v>10</v>
      </c>
      <c r="J3926" s="1" t="s">
        <v>401</v>
      </c>
      <c r="K3926">
        <v>0</v>
      </c>
      <c r="L3926">
        <v>0</v>
      </c>
      <c r="M3926">
        <v>62196.4</v>
      </c>
      <c r="N3926">
        <v>1</v>
      </c>
      <c r="O3926" s="1" t="s">
        <v>562</v>
      </c>
      <c r="P3926">
        <v>6469.79</v>
      </c>
      <c r="Q3926">
        <v>1196.9100000000001</v>
      </c>
      <c r="R3926">
        <v>1</v>
      </c>
      <c r="S3926" s="1" t="s">
        <v>889</v>
      </c>
      <c r="T3926" s="1"/>
      <c r="U3926">
        <v>6219.6313300000002</v>
      </c>
      <c r="V3926">
        <v>0</v>
      </c>
      <c r="W3926">
        <v>70982</v>
      </c>
    </row>
    <row r="3927" spans="1:23" x14ac:dyDescent="0.25">
      <c r="A3927" s="1" t="s">
        <v>39</v>
      </c>
      <c r="B3927" s="1" t="s">
        <v>84</v>
      </c>
      <c r="C3927" s="1" t="s">
        <v>209</v>
      </c>
      <c r="D3927">
        <v>8880</v>
      </c>
      <c r="E3927" s="1" t="s">
        <v>243</v>
      </c>
      <c r="F3927" s="1" t="s">
        <v>366</v>
      </c>
      <c r="G3927">
        <v>2009</v>
      </c>
      <c r="H3927">
        <v>6843.64</v>
      </c>
      <c r="I3927">
        <v>11</v>
      </c>
      <c r="J3927" s="1" t="s">
        <v>433</v>
      </c>
      <c r="K3927">
        <v>0</v>
      </c>
      <c r="L3927">
        <v>0</v>
      </c>
      <c r="M3927">
        <v>68436.399999999994</v>
      </c>
      <c r="N3927">
        <v>1</v>
      </c>
      <c r="O3927" s="1" t="s">
        <v>562</v>
      </c>
      <c r="P3927">
        <v>7134.74</v>
      </c>
      <c r="Q3927">
        <v>1319.95</v>
      </c>
      <c r="R3927">
        <v>1</v>
      </c>
      <c r="S3927" s="1" t="s">
        <v>895</v>
      </c>
      <c r="T3927" s="1"/>
      <c r="U3927">
        <v>6843.6497900000004</v>
      </c>
      <c r="V3927">
        <v>0</v>
      </c>
      <c r="W3927">
        <v>70984</v>
      </c>
    </row>
    <row r="3928" spans="1:23" x14ac:dyDescent="0.25">
      <c r="A3928" s="1" t="s">
        <v>39</v>
      </c>
      <c r="B3928" s="1" t="s">
        <v>84</v>
      </c>
      <c r="C3928" s="1" t="s">
        <v>209</v>
      </c>
      <c r="D3928">
        <v>8880</v>
      </c>
      <c r="E3928" s="1" t="s">
        <v>243</v>
      </c>
      <c r="F3928" s="1" t="s">
        <v>366</v>
      </c>
      <c r="G3928">
        <v>2009</v>
      </c>
      <c r="H3928">
        <v>163573.26</v>
      </c>
      <c r="I3928">
        <v>11</v>
      </c>
      <c r="J3928" s="1" t="s">
        <v>433</v>
      </c>
      <c r="K3928">
        <v>0</v>
      </c>
      <c r="L3928">
        <v>0</v>
      </c>
      <c r="M3928">
        <v>1635732.6</v>
      </c>
      <c r="N3928">
        <v>1</v>
      </c>
      <c r="O3928" s="1" t="s">
        <v>562</v>
      </c>
      <c r="P3928">
        <v>227414.94</v>
      </c>
      <c r="Q3928">
        <v>42071.78</v>
      </c>
      <c r="R3928">
        <v>1</v>
      </c>
      <c r="S3928" s="1" t="s">
        <v>890</v>
      </c>
      <c r="T3928" s="1"/>
      <c r="U3928">
        <v>163573.27189</v>
      </c>
      <c r="V3928">
        <v>0</v>
      </c>
      <c r="W3928">
        <v>70987</v>
      </c>
    </row>
    <row r="3929" spans="1:23" x14ac:dyDescent="0.25">
      <c r="A3929" s="1" t="s">
        <v>39</v>
      </c>
      <c r="B3929" s="1" t="s">
        <v>84</v>
      </c>
      <c r="C3929" s="1" t="s">
        <v>209</v>
      </c>
      <c r="D3929">
        <v>8880</v>
      </c>
      <c r="E3929" s="1" t="s">
        <v>243</v>
      </c>
      <c r="F3929" s="1" t="s">
        <v>366</v>
      </c>
      <c r="G3929">
        <v>2008</v>
      </c>
      <c r="H3929">
        <v>119350.56</v>
      </c>
      <c r="I3929">
        <v>12</v>
      </c>
      <c r="J3929" s="1" t="s">
        <v>433</v>
      </c>
      <c r="K3929">
        <v>0</v>
      </c>
      <c r="L3929">
        <v>0</v>
      </c>
      <c r="M3929">
        <v>1193505.6000000001</v>
      </c>
      <c r="N3929">
        <v>1</v>
      </c>
      <c r="O3929" s="1" t="s">
        <v>562</v>
      </c>
      <c r="P3929">
        <v>135861.69</v>
      </c>
      <c r="Q3929">
        <v>17118.57</v>
      </c>
      <c r="R3929">
        <v>1</v>
      </c>
      <c r="S3929" s="1" t="s">
        <v>887</v>
      </c>
      <c r="T3929" s="1"/>
      <c r="U3929">
        <v>119350.53762</v>
      </c>
      <c r="V3929">
        <v>0</v>
      </c>
      <c r="W3929">
        <v>70702</v>
      </c>
    </row>
    <row r="3930" spans="1:23" x14ac:dyDescent="0.25">
      <c r="A3930" s="1" t="s">
        <v>39</v>
      </c>
      <c r="B3930" s="1" t="s">
        <v>84</v>
      </c>
      <c r="C3930" s="1" t="s">
        <v>209</v>
      </c>
      <c r="D3930">
        <v>8880</v>
      </c>
      <c r="E3930" s="1" t="s">
        <v>243</v>
      </c>
      <c r="F3930" s="1" t="s">
        <v>366</v>
      </c>
      <c r="G3930">
        <v>2008</v>
      </c>
      <c r="H3930">
        <v>9906.27</v>
      </c>
      <c r="I3930">
        <v>12</v>
      </c>
      <c r="J3930" s="1" t="s">
        <v>454</v>
      </c>
      <c r="K3930">
        <v>0</v>
      </c>
      <c r="L3930">
        <v>0</v>
      </c>
      <c r="M3930">
        <v>99062.7</v>
      </c>
      <c r="N3930">
        <v>1</v>
      </c>
      <c r="O3930" s="1" t="s">
        <v>562</v>
      </c>
      <c r="P3930">
        <v>11778.38</v>
      </c>
      <c r="Q3930">
        <v>2179.0100000000002</v>
      </c>
      <c r="R3930">
        <v>1</v>
      </c>
      <c r="S3930" s="1" t="s">
        <v>898</v>
      </c>
      <c r="T3930" s="1"/>
      <c r="U3930">
        <v>9906.2795900000001</v>
      </c>
      <c r="V3930">
        <v>0</v>
      </c>
      <c r="W3930">
        <v>70980</v>
      </c>
    </row>
    <row r="3931" spans="1:23" x14ac:dyDescent="0.25">
      <c r="A3931" s="1" t="s">
        <v>39</v>
      </c>
      <c r="B3931" s="1" t="s">
        <v>84</v>
      </c>
      <c r="C3931" s="1" t="s">
        <v>209</v>
      </c>
      <c r="D3931">
        <v>8880</v>
      </c>
      <c r="E3931" s="1" t="s">
        <v>243</v>
      </c>
      <c r="F3931" s="1" t="s">
        <v>366</v>
      </c>
      <c r="G3931">
        <v>2008</v>
      </c>
      <c r="H3931">
        <v>4720.62</v>
      </c>
      <c r="I3931">
        <v>12</v>
      </c>
      <c r="J3931" s="1" t="s">
        <v>401</v>
      </c>
      <c r="K3931">
        <v>0</v>
      </c>
      <c r="L3931">
        <v>0</v>
      </c>
      <c r="M3931">
        <v>47206.2</v>
      </c>
      <c r="N3931">
        <v>1</v>
      </c>
      <c r="O3931" s="1" t="s">
        <v>562</v>
      </c>
      <c r="P3931">
        <v>5403.14</v>
      </c>
      <c r="Q3931">
        <v>999.58</v>
      </c>
      <c r="R3931">
        <v>1</v>
      </c>
      <c r="S3931" s="1" t="s">
        <v>889</v>
      </c>
      <c r="T3931" s="1"/>
      <c r="U3931">
        <v>4720.6258099999995</v>
      </c>
      <c r="V3931">
        <v>0</v>
      </c>
      <c r="W3931">
        <v>70982</v>
      </c>
    </row>
    <row r="3932" spans="1:23" x14ac:dyDescent="0.25">
      <c r="A3932" s="1" t="s">
        <v>39</v>
      </c>
      <c r="B3932" s="1" t="s">
        <v>84</v>
      </c>
      <c r="C3932" s="1" t="s">
        <v>209</v>
      </c>
      <c r="D3932">
        <v>8880</v>
      </c>
      <c r="E3932" s="1" t="s">
        <v>243</v>
      </c>
      <c r="F3932" s="1" t="s">
        <v>366</v>
      </c>
      <c r="G3932">
        <v>2008</v>
      </c>
      <c r="H3932">
        <v>4926.47</v>
      </c>
      <c r="I3932">
        <v>12</v>
      </c>
      <c r="J3932" s="1" t="s">
        <v>433</v>
      </c>
      <c r="K3932">
        <v>0</v>
      </c>
      <c r="L3932">
        <v>0</v>
      </c>
      <c r="M3932">
        <v>49264.7</v>
      </c>
      <c r="N3932">
        <v>1</v>
      </c>
      <c r="O3932" s="1" t="s">
        <v>562</v>
      </c>
      <c r="P3932">
        <v>5707.68</v>
      </c>
      <c r="Q3932">
        <v>1055.92</v>
      </c>
      <c r="R3932">
        <v>1</v>
      </c>
      <c r="S3932" s="1" t="s">
        <v>894</v>
      </c>
      <c r="T3932" s="1"/>
      <c r="U3932">
        <v>4926.4752699999999</v>
      </c>
      <c r="V3932">
        <v>0</v>
      </c>
      <c r="W3932">
        <v>70983</v>
      </c>
    </row>
    <row r="3933" spans="1:23" x14ac:dyDescent="0.25">
      <c r="A3933" s="1" t="s">
        <v>39</v>
      </c>
      <c r="B3933" s="1" t="s">
        <v>84</v>
      </c>
      <c r="C3933" s="1" t="s">
        <v>209</v>
      </c>
      <c r="D3933">
        <v>8880</v>
      </c>
      <c r="E3933" s="1" t="s">
        <v>243</v>
      </c>
      <c r="F3933" s="1" t="s">
        <v>366</v>
      </c>
      <c r="G3933">
        <v>2008</v>
      </c>
      <c r="H3933">
        <v>229605.62</v>
      </c>
      <c r="I3933">
        <v>12</v>
      </c>
      <c r="J3933" s="1" t="s">
        <v>500</v>
      </c>
      <c r="K3933">
        <v>0</v>
      </c>
      <c r="L3933">
        <v>0</v>
      </c>
      <c r="M3933">
        <v>2296056.2000000002</v>
      </c>
      <c r="N3933">
        <v>1</v>
      </c>
      <c r="O3933" s="1" t="s">
        <v>562</v>
      </c>
      <c r="P3933">
        <v>275518.52</v>
      </c>
      <c r="Q3933">
        <v>50970.93</v>
      </c>
      <c r="R3933">
        <v>1</v>
      </c>
      <c r="S3933" s="1" t="s">
        <v>899</v>
      </c>
      <c r="T3933" s="1"/>
      <c r="U3933">
        <v>229605.61290000001</v>
      </c>
      <c r="V3933">
        <v>0</v>
      </c>
      <c r="W3933">
        <v>70985</v>
      </c>
    </row>
    <row r="3934" spans="1:23" x14ac:dyDescent="0.25">
      <c r="A3934" s="1" t="s">
        <v>39</v>
      </c>
      <c r="B3934" s="1" t="s">
        <v>84</v>
      </c>
      <c r="C3934" s="1" t="s">
        <v>209</v>
      </c>
      <c r="D3934">
        <v>8880</v>
      </c>
      <c r="E3934" s="1" t="s">
        <v>243</v>
      </c>
      <c r="F3934" s="1" t="s">
        <v>366</v>
      </c>
      <c r="G3934">
        <v>2008</v>
      </c>
      <c r="H3934">
        <v>3551.33</v>
      </c>
      <c r="I3934">
        <v>12</v>
      </c>
      <c r="J3934" s="1" t="s">
        <v>433</v>
      </c>
      <c r="K3934">
        <v>0</v>
      </c>
      <c r="L3934">
        <v>0</v>
      </c>
      <c r="M3934">
        <v>35513.300000000003</v>
      </c>
      <c r="N3934">
        <v>1</v>
      </c>
      <c r="O3934" s="1" t="s">
        <v>562</v>
      </c>
      <c r="P3934">
        <v>4161.84</v>
      </c>
      <c r="Q3934">
        <v>769.92</v>
      </c>
      <c r="R3934">
        <v>1</v>
      </c>
      <c r="S3934" s="1" t="s">
        <v>891</v>
      </c>
      <c r="T3934" s="1"/>
      <c r="U3934">
        <v>3551.32042</v>
      </c>
      <c r="V3934">
        <v>0</v>
      </c>
      <c r="W3934">
        <v>70988</v>
      </c>
    </row>
    <row r="3935" spans="1:23" x14ac:dyDescent="0.25">
      <c r="A3935" s="1" t="s">
        <v>39</v>
      </c>
      <c r="B3935" s="1" t="s">
        <v>84</v>
      </c>
      <c r="C3935" s="1" t="s">
        <v>209</v>
      </c>
      <c r="D3935">
        <v>8880</v>
      </c>
      <c r="E3935" s="1" t="s">
        <v>243</v>
      </c>
      <c r="F3935" s="1" t="s">
        <v>366</v>
      </c>
      <c r="G3935">
        <v>2008</v>
      </c>
      <c r="H3935">
        <v>19604.3</v>
      </c>
      <c r="I3935">
        <v>12</v>
      </c>
      <c r="J3935" s="1" t="s">
        <v>433</v>
      </c>
      <c r="K3935">
        <v>0</v>
      </c>
      <c r="L3935">
        <v>0</v>
      </c>
      <c r="M3935">
        <v>196043</v>
      </c>
      <c r="N3935">
        <v>1</v>
      </c>
      <c r="O3935" s="1" t="s">
        <v>562</v>
      </c>
      <c r="P3935">
        <v>24621.42</v>
      </c>
      <c r="Q3935">
        <v>4554.95</v>
      </c>
      <c r="R3935">
        <v>1</v>
      </c>
      <c r="S3935" s="1" t="s">
        <v>892</v>
      </c>
      <c r="T3935" s="1"/>
      <c r="U3935">
        <v>19604.301070000001</v>
      </c>
      <c r="V3935">
        <v>0</v>
      </c>
      <c r="W3935">
        <v>70978</v>
      </c>
    </row>
    <row r="3936" spans="1:23" x14ac:dyDescent="0.25">
      <c r="A3936" s="1" t="s">
        <v>39</v>
      </c>
      <c r="B3936" s="1" t="s">
        <v>84</v>
      </c>
      <c r="C3936" s="1" t="s">
        <v>209</v>
      </c>
      <c r="D3936">
        <v>8880</v>
      </c>
      <c r="E3936" s="1" t="s">
        <v>243</v>
      </c>
      <c r="F3936" s="1" t="s">
        <v>366</v>
      </c>
      <c r="G3936">
        <v>2008</v>
      </c>
      <c r="H3936">
        <v>273190.88</v>
      </c>
      <c r="I3936">
        <v>12</v>
      </c>
      <c r="J3936" s="1" t="s">
        <v>433</v>
      </c>
      <c r="K3936">
        <v>0</v>
      </c>
      <c r="L3936">
        <v>0</v>
      </c>
      <c r="M3936">
        <v>2731908.8</v>
      </c>
      <c r="N3936">
        <v>1</v>
      </c>
      <c r="O3936" s="1" t="s">
        <v>562</v>
      </c>
      <c r="P3936">
        <v>315650.84999999998</v>
      </c>
      <c r="Q3936">
        <v>58395.4</v>
      </c>
      <c r="R3936">
        <v>1</v>
      </c>
      <c r="S3936" s="1" t="s">
        <v>888</v>
      </c>
      <c r="T3936" s="1"/>
      <c r="U3936">
        <v>273190.86021000001</v>
      </c>
      <c r="V3936">
        <v>0</v>
      </c>
      <c r="W3936">
        <v>70979</v>
      </c>
    </row>
    <row r="3937" spans="1:23" x14ac:dyDescent="0.25">
      <c r="A3937" s="1" t="s">
        <v>39</v>
      </c>
      <c r="B3937" s="1" t="s">
        <v>84</v>
      </c>
      <c r="C3937" s="1" t="s">
        <v>209</v>
      </c>
      <c r="D3937">
        <v>8880</v>
      </c>
      <c r="E3937" s="1" t="s">
        <v>243</v>
      </c>
      <c r="F3937" s="1" t="s">
        <v>366</v>
      </c>
      <c r="G3937">
        <v>2008</v>
      </c>
      <c r="H3937">
        <v>17388.580000000002</v>
      </c>
      <c r="I3937">
        <v>11</v>
      </c>
      <c r="J3937" s="1" t="s">
        <v>433</v>
      </c>
      <c r="K3937">
        <v>0</v>
      </c>
      <c r="L3937">
        <v>0</v>
      </c>
      <c r="M3937">
        <v>173885.8</v>
      </c>
      <c r="N3937">
        <v>1</v>
      </c>
      <c r="O3937" s="1" t="s">
        <v>562</v>
      </c>
      <c r="P3937">
        <v>20230.55</v>
      </c>
      <c r="Q3937">
        <v>3742.65</v>
      </c>
      <c r="R3937">
        <v>1</v>
      </c>
      <c r="S3937" s="1" t="s">
        <v>893</v>
      </c>
      <c r="T3937" s="1"/>
      <c r="U3937">
        <v>17388.58495</v>
      </c>
      <c r="V3937">
        <v>0</v>
      </c>
      <c r="W3937">
        <v>70981</v>
      </c>
    </row>
    <row r="3938" spans="1:23" x14ac:dyDescent="0.25">
      <c r="A3938" s="1" t="s">
        <v>39</v>
      </c>
      <c r="B3938" s="1" t="s">
        <v>84</v>
      </c>
      <c r="C3938" s="1" t="s">
        <v>209</v>
      </c>
      <c r="D3938">
        <v>8880</v>
      </c>
      <c r="E3938" s="1" t="s">
        <v>243</v>
      </c>
      <c r="F3938" s="1" t="s">
        <v>366</v>
      </c>
      <c r="G3938">
        <v>2008</v>
      </c>
      <c r="H3938">
        <v>1158.05</v>
      </c>
      <c r="I3938">
        <v>12</v>
      </c>
      <c r="J3938" s="1" t="s">
        <v>433</v>
      </c>
      <c r="K3938">
        <v>0</v>
      </c>
      <c r="L3938">
        <v>0</v>
      </c>
      <c r="M3938">
        <v>11580.5</v>
      </c>
      <c r="N3938">
        <v>1</v>
      </c>
      <c r="O3938" s="1" t="s">
        <v>562</v>
      </c>
      <c r="P3938">
        <v>1257.28</v>
      </c>
      <c r="Q3938">
        <v>232.59</v>
      </c>
      <c r="R3938">
        <v>1</v>
      </c>
      <c r="S3938" s="1" t="s">
        <v>895</v>
      </c>
      <c r="T3938" s="1"/>
      <c r="U3938">
        <v>1158.0645300000001</v>
      </c>
      <c r="V3938">
        <v>0</v>
      </c>
      <c r="W3938">
        <v>70984</v>
      </c>
    </row>
    <row r="3939" spans="1:23" x14ac:dyDescent="0.25">
      <c r="A3939" s="1" t="s">
        <v>39</v>
      </c>
      <c r="B3939" s="1" t="s">
        <v>84</v>
      </c>
      <c r="C3939" s="1" t="s">
        <v>209</v>
      </c>
      <c r="D3939">
        <v>8880</v>
      </c>
      <c r="E3939" s="1" t="s">
        <v>243</v>
      </c>
      <c r="F3939" s="1" t="s">
        <v>366</v>
      </c>
      <c r="G3939">
        <v>2008</v>
      </c>
      <c r="H3939">
        <v>222566.85</v>
      </c>
      <c r="I3939">
        <v>12</v>
      </c>
      <c r="J3939" s="1" t="s">
        <v>433</v>
      </c>
      <c r="K3939">
        <v>0</v>
      </c>
      <c r="L3939">
        <v>0</v>
      </c>
      <c r="M3939">
        <v>2225668.5</v>
      </c>
      <c r="N3939">
        <v>1</v>
      </c>
      <c r="O3939" s="1" t="s">
        <v>562</v>
      </c>
      <c r="P3939">
        <v>269113.03000000003</v>
      </c>
      <c r="Q3939">
        <v>49785.89</v>
      </c>
      <c r="R3939">
        <v>1</v>
      </c>
      <c r="S3939" s="1" t="s">
        <v>896</v>
      </c>
      <c r="T3939" s="1"/>
      <c r="U3939">
        <v>222566.83869999999</v>
      </c>
      <c r="V3939">
        <v>0</v>
      </c>
      <c r="W3939">
        <v>70986</v>
      </c>
    </row>
    <row r="3940" spans="1:23" x14ac:dyDescent="0.25">
      <c r="A3940" s="1" t="s">
        <v>39</v>
      </c>
      <c r="B3940" s="1" t="s">
        <v>84</v>
      </c>
      <c r="C3940" s="1" t="s">
        <v>209</v>
      </c>
      <c r="D3940">
        <v>8880</v>
      </c>
      <c r="E3940" s="1" t="s">
        <v>243</v>
      </c>
      <c r="F3940" s="1" t="s">
        <v>366</v>
      </c>
      <c r="G3940">
        <v>2008</v>
      </c>
      <c r="H3940">
        <v>147429.13</v>
      </c>
      <c r="I3940">
        <v>12</v>
      </c>
      <c r="J3940" s="1" t="s">
        <v>433</v>
      </c>
      <c r="K3940">
        <v>0</v>
      </c>
      <c r="L3940">
        <v>0</v>
      </c>
      <c r="M3940">
        <v>1474291.3</v>
      </c>
      <c r="N3940">
        <v>1</v>
      </c>
      <c r="O3940" s="1" t="s">
        <v>562</v>
      </c>
      <c r="P3940">
        <v>176443.51</v>
      </c>
      <c r="Q3940">
        <v>32642.05</v>
      </c>
      <c r="R3940">
        <v>1</v>
      </c>
      <c r="S3940" s="1" t="s">
        <v>890</v>
      </c>
      <c r="T3940" s="1"/>
      <c r="U3940">
        <v>147429.13764</v>
      </c>
      <c r="V3940">
        <v>0</v>
      </c>
      <c r="W3940">
        <v>70987</v>
      </c>
    </row>
    <row r="3941" spans="1:23" x14ac:dyDescent="0.25">
      <c r="A3941" s="1" t="s">
        <v>39</v>
      </c>
      <c r="B3941" s="1" t="s">
        <v>84</v>
      </c>
      <c r="C3941" s="1" t="s">
        <v>209</v>
      </c>
      <c r="D3941">
        <v>8878</v>
      </c>
      <c r="E3941" s="1"/>
      <c r="F3941" s="1" t="s">
        <v>347</v>
      </c>
      <c r="G3941">
        <v>2015</v>
      </c>
      <c r="H3941">
        <v>675993.75</v>
      </c>
      <c r="I3941">
        <v>5</v>
      </c>
      <c r="J3941" s="1"/>
      <c r="K3941">
        <v>0</v>
      </c>
      <c r="L3941">
        <v>3615</v>
      </c>
      <c r="M3941">
        <v>186.991715</v>
      </c>
      <c r="N3941">
        <v>1</v>
      </c>
      <c r="O3941" s="1" t="s">
        <v>563</v>
      </c>
      <c r="P3941">
        <v>734439.46</v>
      </c>
      <c r="Q3941">
        <v>1347.21</v>
      </c>
      <c r="R3941">
        <v>1</v>
      </c>
      <c r="S3941" s="1"/>
      <c r="T3941" s="1"/>
      <c r="U3941">
        <v>19375</v>
      </c>
      <c r="V3941">
        <v>76948</v>
      </c>
      <c r="W3941">
        <v>76949</v>
      </c>
    </row>
    <row r="3942" spans="1:23" x14ac:dyDescent="0.25">
      <c r="A3942" s="1" t="s">
        <v>39</v>
      </c>
      <c r="B3942" s="1" t="s">
        <v>84</v>
      </c>
      <c r="C3942" s="1" t="s">
        <v>209</v>
      </c>
      <c r="D3942">
        <v>8878</v>
      </c>
      <c r="E3942" s="1"/>
      <c r="F3942" s="1" t="s">
        <v>347</v>
      </c>
      <c r="G3942">
        <v>2015</v>
      </c>
      <c r="H3942">
        <v>602300</v>
      </c>
      <c r="I3942">
        <v>5</v>
      </c>
      <c r="J3942" s="1"/>
      <c r="K3942">
        <v>0</v>
      </c>
      <c r="L3942">
        <v>3615</v>
      </c>
      <c r="M3942">
        <v>166.60673199999999</v>
      </c>
      <c r="N3942">
        <v>1</v>
      </c>
      <c r="O3942" s="1" t="s">
        <v>565</v>
      </c>
      <c r="P3942">
        <v>650990.28</v>
      </c>
      <c r="Q3942">
        <v>41663.370000000003</v>
      </c>
      <c r="R3942">
        <v>0</v>
      </c>
      <c r="S3942" s="1" t="s">
        <v>900</v>
      </c>
      <c r="T3942" s="1"/>
      <c r="U3942">
        <v>602.29999999999995</v>
      </c>
      <c r="V3942">
        <v>0</v>
      </c>
      <c r="W3942">
        <v>76948</v>
      </c>
    </row>
    <row r="3943" spans="1:23" x14ac:dyDescent="0.25">
      <c r="A3943" s="1" t="s">
        <v>39</v>
      </c>
      <c r="B3943" s="1" t="s">
        <v>84</v>
      </c>
      <c r="C3943" s="1" t="s">
        <v>209</v>
      </c>
      <c r="D3943">
        <v>8878</v>
      </c>
      <c r="E3943" s="1"/>
      <c r="F3943" s="1" t="s">
        <v>347</v>
      </c>
      <c r="G3943">
        <v>2014</v>
      </c>
      <c r="H3943">
        <v>1222964.29</v>
      </c>
      <c r="I3943">
        <v>12</v>
      </c>
      <c r="J3943" s="1"/>
      <c r="K3943">
        <v>0</v>
      </c>
      <c r="L3943">
        <v>3615</v>
      </c>
      <c r="M3943">
        <v>338.29334999999998</v>
      </c>
      <c r="N3943">
        <v>1</v>
      </c>
      <c r="O3943" s="1" t="s">
        <v>563</v>
      </c>
      <c r="P3943">
        <v>1379009.42</v>
      </c>
      <c r="Q3943">
        <v>2529.56</v>
      </c>
      <c r="R3943">
        <v>1</v>
      </c>
      <c r="S3943" s="1"/>
      <c r="T3943" s="1"/>
      <c r="U3943">
        <v>35052</v>
      </c>
      <c r="V3943">
        <v>76948</v>
      </c>
      <c r="W3943">
        <v>76949</v>
      </c>
    </row>
    <row r="3944" spans="1:23" x14ac:dyDescent="0.25">
      <c r="A3944" s="1" t="s">
        <v>39</v>
      </c>
      <c r="B3944" s="1" t="s">
        <v>84</v>
      </c>
      <c r="C3944" s="1" t="s">
        <v>209</v>
      </c>
      <c r="D3944">
        <v>8878</v>
      </c>
      <c r="E3944" s="1"/>
      <c r="F3944" s="1" t="s">
        <v>347</v>
      </c>
      <c r="G3944">
        <v>2014</v>
      </c>
      <c r="H3944">
        <v>1148100</v>
      </c>
      <c r="I3944">
        <v>12</v>
      </c>
      <c r="J3944" s="1"/>
      <c r="K3944">
        <v>0</v>
      </c>
      <c r="L3944">
        <v>3615</v>
      </c>
      <c r="M3944">
        <v>317.58457499999997</v>
      </c>
      <c r="N3944">
        <v>1</v>
      </c>
      <c r="O3944" s="1" t="s">
        <v>565</v>
      </c>
      <c r="P3944">
        <v>1296847.1299999999</v>
      </c>
      <c r="Q3944">
        <v>82998.210000000006</v>
      </c>
      <c r="R3944">
        <v>0</v>
      </c>
      <c r="S3944" s="1" t="s">
        <v>900</v>
      </c>
      <c r="T3944" s="1"/>
      <c r="U3944">
        <v>1148.0999999999999</v>
      </c>
      <c r="V3944">
        <v>0</v>
      </c>
      <c r="W3944">
        <v>76948</v>
      </c>
    </row>
    <row r="3945" spans="1:23" x14ac:dyDescent="0.25">
      <c r="A3945" s="1" t="s">
        <v>39</v>
      </c>
      <c r="B3945" s="1" t="s">
        <v>84</v>
      </c>
      <c r="C3945" s="1" t="s">
        <v>209</v>
      </c>
      <c r="D3945">
        <v>8878</v>
      </c>
      <c r="E3945" s="1"/>
      <c r="F3945" s="1" t="s">
        <v>347</v>
      </c>
      <c r="G3945">
        <v>2013</v>
      </c>
      <c r="H3945">
        <v>1453726.75</v>
      </c>
      <c r="I3945">
        <v>12</v>
      </c>
      <c r="J3945" s="1"/>
      <c r="K3945">
        <v>0</v>
      </c>
      <c r="L3945">
        <v>3615</v>
      </c>
      <c r="M3945">
        <v>402.12628899999999</v>
      </c>
      <c r="N3945">
        <v>1</v>
      </c>
      <c r="O3945" s="1" t="s">
        <v>563</v>
      </c>
      <c r="P3945">
        <v>1538712.46</v>
      </c>
      <c r="Q3945">
        <v>2822.5</v>
      </c>
      <c r="R3945">
        <v>1</v>
      </c>
      <c r="S3945" s="1"/>
      <c r="T3945" s="1"/>
      <c r="U3945">
        <v>41666</v>
      </c>
      <c r="V3945">
        <v>76948</v>
      </c>
      <c r="W3945">
        <v>76949</v>
      </c>
    </row>
    <row r="3946" spans="1:23" x14ac:dyDescent="0.25">
      <c r="A3946" s="1" t="s">
        <v>39</v>
      </c>
      <c r="B3946" s="1" t="s">
        <v>84</v>
      </c>
      <c r="C3946" s="1" t="s">
        <v>209</v>
      </c>
      <c r="D3946">
        <v>8878</v>
      </c>
      <c r="E3946" s="1"/>
      <c r="F3946" s="1" t="s">
        <v>347</v>
      </c>
      <c r="G3946">
        <v>2013</v>
      </c>
      <c r="H3946">
        <v>1376800</v>
      </c>
      <c r="I3946">
        <v>12</v>
      </c>
      <c r="J3946" s="1"/>
      <c r="K3946">
        <v>0</v>
      </c>
      <c r="L3946">
        <v>3615</v>
      </c>
      <c r="M3946">
        <v>380.84700199999997</v>
      </c>
      <c r="N3946">
        <v>1</v>
      </c>
      <c r="O3946" s="1" t="s">
        <v>565</v>
      </c>
      <c r="P3946">
        <v>1472330.67</v>
      </c>
      <c r="Q3946">
        <v>94229.16</v>
      </c>
      <c r="R3946">
        <v>0</v>
      </c>
      <c r="S3946" s="1" t="s">
        <v>900</v>
      </c>
      <c r="T3946" s="1"/>
      <c r="U3946">
        <v>1376.8</v>
      </c>
      <c r="V3946">
        <v>0</v>
      </c>
      <c r="W3946">
        <v>76948</v>
      </c>
    </row>
    <row r="3947" spans="1:23" x14ac:dyDescent="0.25">
      <c r="A3947" s="1" t="s">
        <v>39</v>
      </c>
      <c r="B3947" s="1" t="s">
        <v>84</v>
      </c>
      <c r="C3947" s="1" t="s">
        <v>209</v>
      </c>
      <c r="D3947">
        <v>8878</v>
      </c>
      <c r="E3947" s="1"/>
      <c r="F3947" s="1" t="s">
        <v>347</v>
      </c>
      <c r="G3947">
        <v>2012</v>
      </c>
      <c r="H3947">
        <v>1653262.65</v>
      </c>
      <c r="I3947">
        <v>12</v>
      </c>
      <c r="J3947" s="1"/>
      <c r="K3947">
        <v>0</v>
      </c>
      <c r="L3947">
        <v>3615</v>
      </c>
      <c r="M3947">
        <v>457.321415</v>
      </c>
      <c r="N3947">
        <v>1</v>
      </c>
      <c r="O3947" s="1" t="s">
        <v>563</v>
      </c>
      <c r="P3947">
        <v>1713592.28</v>
      </c>
      <c r="Q3947">
        <v>9086.1200000000008</v>
      </c>
      <c r="R3947">
        <v>1</v>
      </c>
      <c r="S3947" s="1"/>
      <c r="T3947" s="1"/>
      <c r="U3947">
        <v>47385</v>
      </c>
      <c r="V3947">
        <v>76948</v>
      </c>
      <c r="W3947">
        <v>76949</v>
      </c>
    </row>
    <row r="3948" spans="1:23" x14ac:dyDescent="0.25">
      <c r="A3948" s="1" t="s">
        <v>39</v>
      </c>
      <c r="B3948" s="1" t="s">
        <v>84</v>
      </c>
      <c r="C3948" s="1" t="s">
        <v>209</v>
      </c>
      <c r="D3948">
        <v>8878</v>
      </c>
      <c r="E3948" s="1"/>
      <c r="F3948" s="1" t="s">
        <v>347</v>
      </c>
      <c r="G3948">
        <v>2012</v>
      </c>
      <c r="H3948">
        <v>1374400</v>
      </c>
      <c r="I3948">
        <v>12</v>
      </c>
      <c r="J3948" s="1"/>
      <c r="K3948">
        <v>0</v>
      </c>
      <c r="L3948">
        <v>3615</v>
      </c>
      <c r="M3948">
        <v>380.18311999999997</v>
      </c>
      <c r="N3948">
        <v>1</v>
      </c>
      <c r="O3948" s="1" t="s">
        <v>565</v>
      </c>
      <c r="P3948">
        <v>1418072.83</v>
      </c>
      <c r="Q3948">
        <v>262343.49</v>
      </c>
      <c r="R3948">
        <v>0</v>
      </c>
      <c r="S3948" s="1" t="s">
        <v>900</v>
      </c>
      <c r="T3948" s="1"/>
      <c r="U3948">
        <v>1374.4</v>
      </c>
      <c r="V3948">
        <v>0</v>
      </c>
      <c r="W3948">
        <v>76948</v>
      </c>
    </row>
    <row r="3949" spans="1:23" x14ac:dyDescent="0.25">
      <c r="A3949" s="1" t="s">
        <v>39</v>
      </c>
      <c r="B3949" s="1" t="s">
        <v>84</v>
      </c>
      <c r="C3949" s="1" t="s">
        <v>209</v>
      </c>
      <c r="D3949">
        <v>8878</v>
      </c>
      <c r="E3949" s="1"/>
      <c r="F3949" s="1" t="s">
        <v>347</v>
      </c>
      <c r="G3949">
        <v>2011</v>
      </c>
      <c r="H3949">
        <v>1407916.17</v>
      </c>
      <c r="I3949">
        <v>12</v>
      </c>
      <c r="J3949" s="1"/>
      <c r="K3949">
        <v>0</v>
      </c>
      <c r="L3949">
        <v>3615</v>
      </c>
      <c r="M3949">
        <v>389.45427999999998</v>
      </c>
      <c r="N3949">
        <v>1</v>
      </c>
      <c r="O3949" s="1" t="s">
        <v>563</v>
      </c>
      <c r="P3949">
        <v>1486302.59</v>
      </c>
      <c r="Q3949">
        <v>7880.93</v>
      </c>
      <c r="R3949">
        <v>1</v>
      </c>
      <c r="S3949" s="1"/>
      <c r="T3949" s="1"/>
      <c r="U3949">
        <v>40353</v>
      </c>
      <c r="V3949">
        <v>76948</v>
      </c>
      <c r="W3949">
        <v>76949</v>
      </c>
    </row>
    <row r="3950" spans="1:23" x14ac:dyDescent="0.25">
      <c r="A3950" s="1" t="s">
        <v>39</v>
      </c>
      <c r="B3950" s="1" t="s">
        <v>84</v>
      </c>
      <c r="C3950" s="1" t="s">
        <v>209</v>
      </c>
      <c r="D3950">
        <v>8878</v>
      </c>
      <c r="E3950" s="1"/>
      <c r="F3950" s="1" t="s">
        <v>347</v>
      </c>
      <c r="G3950">
        <v>2011</v>
      </c>
      <c r="H3950">
        <v>1283000</v>
      </c>
      <c r="I3950">
        <v>12</v>
      </c>
      <c r="J3950" s="1"/>
      <c r="K3950">
        <v>0</v>
      </c>
      <c r="L3950">
        <v>3615</v>
      </c>
      <c r="M3950">
        <v>354.90027900000001</v>
      </c>
      <c r="N3950">
        <v>1</v>
      </c>
      <c r="O3950" s="1" t="s">
        <v>565</v>
      </c>
      <c r="P3950">
        <v>1353337.2</v>
      </c>
      <c r="Q3950">
        <v>250367.38</v>
      </c>
      <c r="R3950">
        <v>0</v>
      </c>
      <c r="S3950" s="1" t="s">
        <v>900</v>
      </c>
      <c r="T3950" s="1"/>
      <c r="U3950">
        <v>1283</v>
      </c>
      <c r="V3950">
        <v>0</v>
      </c>
      <c r="W3950">
        <v>76948</v>
      </c>
    </row>
    <row r="3951" spans="1:23" x14ac:dyDescent="0.25">
      <c r="A3951" s="1" t="s">
        <v>39</v>
      </c>
      <c r="B3951" s="1" t="s">
        <v>84</v>
      </c>
      <c r="C3951" s="1" t="s">
        <v>209</v>
      </c>
      <c r="D3951">
        <v>8878</v>
      </c>
      <c r="E3951" s="1"/>
      <c r="F3951" s="1" t="s">
        <v>347</v>
      </c>
      <c r="G3951">
        <v>2010</v>
      </c>
      <c r="H3951">
        <v>1541893.77</v>
      </c>
      <c r="I3951">
        <v>12</v>
      </c>
      <c r="J3951" s="1"/>
      <c r="K3951">
        <v>0</v>
      </c>
      <c r="L3951">
        <v>3615</v>
      </c>
      <c r="M3951">
        <v>426.51483200000001</v>
      </c>
      <c r="N3951">
        <v>1</v>
      </c>
      <c r="O3951" s="1" t="s">
        <v>563</v>
      </c>
      <c r="P3951">
        <v>1531389.06</v>
      </c>
      <c r="Q3951">
        <v>8120.01</v>
      </c>
      <c r="R3951">
        <v>1</v>
      </c>
      <c r="S3951" s="1"/>
      <c r="T3951" s="1"/>
      <c r="U3951">
        <v>44193</v>
      </c>
      <c r="V3951">
        <v>76948</v>
      </c>
      <c r="W3951">
        <v>76949</v>
      </c>
    </row>
    <row r="3952" spans="1:23" x14ac:dyDescent="0.25">
      <c r="A3952" s="1" t="s">
        <v>39</v>
      </c>
      <c r="B3952" s="1" t="s">
        <v>84</v>
      </c>
      <c r="C3952" s="1" t="s">
        <v>209</v>
      </c>
      <c r="D3952">
        <v>8878</v>
      </c>
      <c r="E3952" s="1"/>
      <c r="F3952" s="1" t="s">
        <v>347</v>
      </c>
      <c r="G3952">
        <v>2010</v>
      </c>
      <c r="H3952">
        <v>1308100</v>
      </c>
      <c r="I3952">
        <v>12</v>
      </c>
      <c r="J3952" s="1"/>
      <c r="K3952">
        <v>0</v>
      </c>
      <c r="L3952">
        <v>3615</v>
      </c>
      <c r="M3952">
        <v>361.84337900000003</v>
      </c>
      <c r="N3952">
        <v>1</v>
      </c>
      <c r="O3952" s="1" t="s">
        <v>565</v>
      </c>
      <c r="P3952">
        <v>1270657.57</v>
      </c>
      <c r="Q3952">
        <v>235071.65</v>
      </c>
      <c r="R3952">
        <v>0</v>
      </c>
      <c r="S3952" s="1" t="s">
        <v>900</v>
      </c>
      <c r="T3952" s="1"/>
      <c r="U3952">
        <v>1308.0999999999999</v>
      </c>
      <c r="V3952">
        <v>0</v>
      </c>
      <c r="W3952">
        <v>76948</v>
      </c>
    </row>
    <row r="3953" spans="1:23" x14ac:dyDescent="0.25">
      <c r="A3953" s="1" t="s">
        <v>39</v>
      </c>
      <c r="B3953" s="1" t="s">
        <v>84</v>
      </c>
      <c r="C3953" s="1" t="s">
        <v>209</v>
      </c>
      <c r="D3953">
        <v>8878</v>
      </c>
      <c r="E3953" s="1"/>
      <c r="F3953" s="1" t="s">
        <v>347</v>
      </c>
      <c r="G3953">
        <v>2009</v>
      </c>
      <c r="H3953">
        <v>1347172.68</v>
      </c>
      <c r="I3953">
        <v>12</v>
      </c>
      <c r="J3953" s="1"/>
      <c r="K3953">
        <v>0</v>
      </c>
      <c r="L3953">
        <v>3615</v>
      </c>
      <c r="M3953">
        <v>372.651567</v>
      </c>
      <c r="N3953">
        <v>1</v>
      </c>
      <c r="O3953" s="1" t="s">
        <v>563</v>
      </c>
      <c r="P3953">
        <v>1472977.51</v>
      </c>
      <c r="Q3953">
        <v>7810.27</v>
      </c>
      <c r="R3953">
        <v>1</v>
      </c>
      <c r="S3953" s="1"/>
      <c r="T3953" s="1"/>
      <c r="U3953">
        <v>38612</v>
      </c>
      <c r="V3953">
        <v>76948</v>
      </c>
      <c r="W3953">
        <v>76949</v>
      </c>
    </row>
    <row r="3954" spans="1:23" x14ac:dyDescent="0.25">
      <c r="A3954" s="1" t="s">
        <v>39</v>
      </c>
      <c r="B3954" s="1" t="s">
        <v>84</v>
      </c>
      <c r="C3954" s="1" t="s">
        <v>209</v>
      </c>
      <c r="D3954">
        <v>8878</v>
      </c>
      <c r="E3954" s="1"/>
      <c r="F3954" s="1" t="s">
        <v>347</v>
      </c>
      <c r="G3954">
        <v>2009</v>
      </c>
      <c r="H3954">
        <v>1184100</v>
      </c>
      <c r="I3954">
        <v>12</v>
      </c>
      <c r="J3954" s="1"/>
      <c r="K3954">
        <v>0</v>
      </c>
      <c r="L3954">
        <v>3615</v>
      </c>
      <c r="M3954">
        <v>327.54280599999998</v>
      </c>
      <c r="N3954">
        <v>1</v>
      </c>
      <c r="O3954" s="1" t="s">
        <v>565</v>
      </c>
      <c r="P3954">
        <v>1283197.5900000001</v>
      </c>
      <c r="Q3954">
        <v>237391.54</v>
      </c>
      <c r="R3954">
        <v>0</v>
      </c>
      <c r="S3954" s="1" t="s">
        <v>900</v>
      </c>
      <c r="T3954" s="1"/>
      <c r="U3954">
        <v>1184.0999999999999</v>
      </c>
      <c r="V3954">
        <v>0</v>
      </c>
      <c r="W3954">
        <v>76948</v>
      </c>
    </row>
    <row r="3955" spans="1:23" x14ac:dyDescent="0.25">
      <c r="A3955" s="1" t="s">
        <v>39</v>
      </c>
      <c r="B3955" s="1" t="s">
        <v>84</v>
      </c>
      <c r="C3955" s="1" t="s">
        <v>209</v>
      </c>
      <c r="D3955">
        <v>8878</v>
      </c>
      <c r="E3955" s="1"/>
      <c r="F3955" s="1" t="s">
        <v>347</v>
      </c>
      <c r="G3955">
        <v>2008</v>
      </c>
      <c r="H3955">
        <v>442526.66</v>
      </c>
      <c r="I3955">
        <v>5</v>
      </c>
      <c r="J3955" s="1" t="s">
        <v>455</v>
      </c>
      <c r="K3955">
        <v>0</v>
      </c>
      <c r="L3955">
        <v>3615</v>
      </c>
      <c r="M3955">
        <v>122.41062700000001</v>
      </c>
      <c r="N3955">
        <v>1</v>
      </c>
      <c r="O3955" s="1" t="s">
        <v>562</v>
      </c>
      <c r="P3955">
        <v>507852.49</v>
      </c>
      <c r="Q3955">
        <v>93952.71</v>
      </c>
      <c r="R3955">
        <v>0</v>
      </c>
      <c r="S3955" s="1" t="s">
        <v>900</v>
      </c>
      <c r="T3955" s="1"/>
      <c r="U3955">
        <v>442526.66665999999</v>
      </c>
      <c r="V3955">
        <v>0</v>
      </c>
      <c r="W3955">
        <v>70700</v>
      </c>
    </row>
    <row r="3956" spans="1:23" x14ac:dyDescent="0.25">
      <c r="A3956" s="1" t="s">
        <v>39</v>
      </c>
      <c r="B3956" s="1" t="s">
        <v>84</v>
      </c>
      <c r="C3956" s="1" t="s">
        <v>209</v>
      </c>
      <c r="D3956">
        <v>8878</v>
      </c>
      <c r="E3956" s="1"/>
      <c r="F3956" s="1" t="s">
        <v>347</v>
      </c>
      <c r="G3956">
        <v>2008</v>
      </c>
      <c r="H3956">
        <v>655897.11</v>
      </c>
      <c r="I3956">
        <v>12</v>
      </c>
      <c r="J3956" s="1"/>
      <c r="K3956">
        <v>0</v>
      </c>
      <c r="L3956">
        <v>3615</v>
      </c>
      <c r="M3956">
        <v>181.43263200000001</v>
      </c>
      <c r="N3956">
        <v>1</v>
      </c>
      <c r="O3956" s="1" t="s">
        <v>563</v>
      </c>
      <c r="P3956">
        <v>726288.46</v>
      </c>
      <c r="Q3956">
        <v>3851.06</v>
      </c>
      <c r="R3956">
        <v>1</v>
      </c>
      <c r="S3956" s="1"/>
      <c r="T3956" s="1"/>
      <c r="U3956">
        <v>18799</v>
      </c>
      <c r="V3956">
        <v>76948</v>
      </c>
      <c r="W3956">
        <v>76949</v>
      </c>
    </row>
    <row r="3957" spans="1:23" x14ac:dyDescent="0.25">
      <c r="A3957" s="1" t="s">
        <v>39</v>
      </c>
      <c r="B3957" s="1" t="s">
        <v>84</v>
      </c>
      <c r="C3957" s="1" t="s">
        <v>209</v>
      </c>
      <c r="D3957">
        <v>8878</v>
      </c>
      <c r="E3957" s="1"/>
      <c r="F3957" s="1" t="s">
        <v>347</v>
      </c>
      <c r="G3957">
        <v>2008</v>
      </c>
      <c r="H3957">
        <v>633200</v>
      </c>
      <c r="I3957">
        <v>8</v>
      </c>
      <c r="J3957" s="1"/>
      <c r="K3957">
        <v>0</v>
      </c>
      <c r="L3957">
        <v>3615</v>
      </c>
      <c r="M3957">
        <v>175.154214</v>
      </c>
      <c r="N3957">
        <v>1</v>
      </c>
      <c r="O3957" s="1" t="s">
        <v>565</v>
      </c>
      <c r="P3957">
        <v>667461.11</v>
      </c>
      <c r="Q3957">
        <v>123480.3</v>
      </c>
      <c r="R3957">
        <v>0</v>
      </c>
      <c r="S3957" s="1" t="s">
        <v>900</v>
      </c>
      <c r="T3957" s="1"/>
      <c r="U3957">
        <v>633.20000000000005</v>
      </c>
      <c r="V3957">
        <v>0</v>
      </c>
      <c r="W3957">
        <v>76948</v>
      </c>
    </row>
    <row r="3958" spans="1:23" x14ac:dyDescent="0.25">
      <c r="A3958" s="1" t="s">
        <v>39</v>
      </c>
      <c r="B3958" s="1" t="s">
        <v>83</v>
      </c>
      <c r="C3958" s="1" t="s">
        <v>208</v>
      </c>
      <c r="D3958">
        <v>5451</v>
      </c>
      <c r="E3958" s="1"/>
      <c r="F3958" s="1" t="s">
        <v>389</v>
      </c>
      <c r="G3958">
        <v>2015</v>
      </c>
      <c r="H3958">
        <v>9151.7800000000007</v>
      </c>
      <c r="I3958">
        <v>5</v>
      </c>
      <c r="J3958" s="1" t="s">
        <v>421</v>
      </c>
      <c r="K3958">
        <v>0</v>
      </c>
      <c r="L3958">
        <v>0</v>
      </c>
      <c r="M3958">
        <v>91517.8</v>
      </c>
      <c r="N3958">
        <v>2</v>
      </c>
      <c r="O3958" s="1" t="s">
        <v>569</v>
      </c>
      <c r="P3958">
        <v>9151.7800000000007</v>
      </c>
      <c r="Q3958">
        <v>3660.72</v>
      </c>
      <c r="R3958">
        <v>1</v>
      </c>
      <c r="S3958" s="1" t="s">
        <v>1104</v>
      </c>
      <c r="T3958" s="1"/>
      <c r="U3958">
        <v>9151.78125</v>
      </c>
      <c r="V3958">
        <v>0</v>
      </c>
      <c r="W3958">
        <v>57640</v>
      </c>
    </row>
    <row r="3959" spans="1:23" x14ac:dyDescent="0.25">
      <c r="A3959" s="1" t="s">
        <v>39</v>
      </c>
      <c r="B3959" s="1" t="s">
        <v>83</v>
      </c>
      <c r="C3959" s="1" t="s">
        <v>208</v>
      </c>
      <c r="D3959">
        <v>5451</v>
      </c>
      <c r="E3959" s="1"/>
      <c r="F3959" s="1" t="s">
        <v>389</v>
      </c>
      <c r="G3959">
        <v>2015</v>
      </c>
      <c r="H3959">
        <v>12684.01</v>
      </c>
      <c r="I3959">
        <v>5</v>
      </c>
      <c r="J3959" s="1" t="s">
        <v>421</v>
      </c>
      <c r="K3959">
        <v>0</v>
      </c>
      <c r="L3959">
        <v>0</v>
      </c>
      <c r="M3959">
        <v>126840.1</v>
      </c>
      <c r="N3959">
        <v>2</v>
      </c>
      <c r="O3959" s="1" t="s">
        <v>569</v>
      </c>
      <c r="P3959">
        <v>12684.01</v>
      </c>
      <c r="Q3959">
        <v>5073.6099999999997</v>
      </c>
      <c r="R3959">
        <v>1</v>
      </c>
      <c r="S3959" s="1" t="s">
        <v>1105</v>
      </c>
      <c r="T3959" s="1"/>
      <c r="U3959">
        <v>12684.00001</v>
      </c>
      <c r="V3959">
        <v>0</v>
      </c>
      <c r="W3959">
        <v>61886</v>
      </c>
    </row>
    <row r="3960" spans="1:23" x14ac:dyDescent="0.25">
      <c r="A3960" s="1" t="s">
        <v>39</v>
      </c>
      <c r="B3960" s="1" t="s">
        <v>83</v>
      </c>
      <c r="C3960" s="1" t="s">
        <v>208</v>
      </c>
      <c r="D3960">
        <v>5451</v>
      </c>
      <c r="E3960" s="1"/>
      <c r="F3960" s="1" t="s">
        <v>389</v>
      </c>
      <c r="G3960">
        <v>2015</v>
      </c>
      <c r="H3960">
        <v>388.49</v>
      </c>
      <c r="I3960">
        <v>5</v>
      </c>
      <c r="J3960" s="1" t="s">
        <v>421</v>
      </c>
      <c r="K3960">
        <v>0</v>
      </c>
      <c r="L3960">
        <v>0</v>
      </c>
      <c r="M3960">
        <v>3884.9</v>
      </c>
      <c r="N3960">
        <v>2</v>
      </c>
      <c r="O3960" s="1" t="s">
        <v>569</v>
      </c>
      <c r="P3960">
        <v>388.49</v>
      </c>
      <c r="Q3960">
        <v>155.4</v>
      </c>
      <c r="R3960">
        <v>1</v>
      </c>
      <c r="S3960" s="1" t="s">
        <v>1106</v>
      </c>
      <c r="T3960" s="1"/>
      <c r="U3960">
        <v>388.5</v>
      </c>
      <c r="V3960">
        <v>0</v>
      </c>
      <c r="W3960">
        <v>61888</v>
      </c>
    </row>
    <row r="3961" spans="1:23" x14ac:dyDescent="0.25">
      <c r="A3961" s="1" t="s">
        <v>39</v>
      </c>
      <c r="B3961" s="1" t="s">
        <v>83</v>
      </c>
      <c r="C3961" s="1" t="s">
        <v>208</v>
      </c>
      <c r="D3961">
        <v>5451</v>
      </c>
      <c r="E3961" s="1"/>
      <c r="F3961" s="1" t="s">
        <v>389</v>
      </c>
      <c r="G3961">
        <v>2015</v>
      </c>
      <c r="H3961">
        <v>13136</v>
      </c>
      <c r="I3961">
        <v>5</v>
      </c>
      <c r="J3961" s="1" t="s">
        <v>421</v>
      </c>
      <c r="K3961">
        <v>0</v>
      </c>
      <c r="L3961">
        <v>0</v>
      </c>
      <c r="M3961">
        <v>131360</v>
      </c>
      <c r="N3961">
        <v>2</v>
      </c>
      <c r="O3961" s="1" t="s">
        <v>569</v>
      </c>
      <c r="P3961">
        <v>13136</v>
      </c>
      <c r="Q3961">
        <v>6160.79</v>
      </c>
      <c r="R3961">
        <v>1</v>
      </c>
      <c r="S3961" s="1" t="s">
        <v>1107</v>
      </c>
      <c r="T3961" s="1"/>
      <c r="U3961">
        <v>13136</v>
      </c>
      <c r="V3961">
        <v>0</v>
      </c>
      <c r="W3961">
        <v>68520</v>
      </c>
    </row>
    <row r="3962" spans="1:23" x14ac:dyDescent="0.25">
      <c r="A3962" s="1" t="s">
        <v>39</v>
      </c>
      <c r="B3962" s="1" t="s">
        <v>83</v>
      </c>
      <c r="C3962" s="1" t="s">
        <v>208</v>
      </c>
      <c r="D3962">
        <v>5451</v>
      </c>
      <c r="E3962" s="1"/>
      <c r="F3962" s="1" t="s">
        <v>389</v>
      </c>
      <c r="G3962">
        <v>2015</v>
      </c>
      <c r="H3962">
        <v>130</v>
      </c>
      <c r="I3962">
        <v>5</v>
      </c>
      <c r="J3962" s="1" t="s">
        <v>421</v>
      </c>
      <c r="K3962">
        <v>0</v>
      </c>
      <c r="L3962">
        <v>0</v>
      </c>
      <c r="M3962">
        <v>1300</v>
      </c>
      <c r="N3962">
        <v>2</v>
      </c>
      <c r="O3962" s="1" t="s">
        <v>569</v>
      </c>
      <c r="P3962">
        <v>130</v>
      </c>
      <c r="Q3962">
        <v>60.97</v>
      </c>
      <c r="R3962">
        <v>1</v>
      </c>
      <c r="S3962" s="1" t="s">
        <v>1108</v>
      </c>
      <c r="T3962" s="1"/>
      <c r="U3962">
        <v>130</v>
      </c>
      <c r="V3962">
        <v>0</v>
      </c>
      <c r="W3962">
        <v>68519</v>
      </c>
    </row>
    <row r="3963" spans="1:23" x14ac:dyDescent="0.25">
      <c r="A3963" s="1" t="s">
        <v>39</v>
      </c>
      <c r="B3963" s="1" t="s">
        <v>83</v>
      </c>
      <c r="C3963" s="1" t="s">
        <v>208</v>
      </c>
      <c r="D3963">
        <v>5451</v>
      </c>
      <c r="E3963" s="1"/>
      <c r="F3963" s="1" t="s">
        <v>389</v>
      </c>
      <c r="G3963">
        <v>2014</v>
      </c>
      <c r="H3963">
        <v>25535.16</v>
      </c>
      <c r="I3963">
        <v>12</v>
      </c>
      <c r="J3963" s="1" t="s">
        <v>421</v>
      </c>
      <c r="K3963">
        <v>0</v>
      </c>
      <c r="L3963">
        <v>0</v>
      </c>
      <c r="M3963">
        <v>255351.6</v>
      </c>
      <c r="N3963">
        <v>2</v>
      </c>
      <c r="O3963" s="1" t="s">
        <v>569</v>
      </c>
      <c r="P3963">
        <v>25535.16</v>
      </c>
      <c r="Q3963">
        <v>10214.08</v>
      </c>
      <c r="R3963">
        <v>1</v>
      </c>
      <c r="S3963" s="1" t="s">
        <v>1104</v>
      </c>
      <c r="T3963" s="1"/>
      <c r="U3963">
        <v>25535.15424</v>
      </c>
      <c r="V3963">
        <v>0</v>
      </c>
      <c r="W3963">
        <v>57640</v>
      </c>
    </row>
    <row r="3964" spans="1:23" x14ac:dyDescent="0.25">
      <c r="A3964" s="1" t="s">
        <v>39</v>
      </c>
      <c r="B3964" s="1" t="s">
        <v>83</v>
      </c>
      <c r="C3964" s="1" t="s">
        <v>208</v>
      </c>
      <c r="D3964">
        <v>5451</v>
      </c>
      <c r="E3964" s="1"/>
      <c r="F3964" s="1" t="s">
        <v>389</v>
      </c>
      <c r="G3964">
        <v>2014</v>
      </c>
      <c r="H3964">
        <v>35134.67</v>
      </c>
      <c r="I3964">
        <v>12</v>
      </c>
      <c r="J3964" s="1" t="s">
        <v>421</v>
      </c>
      <c r="K3964">
        <v>0</v>
      </c>
      <c r="L3964">
        <v>0</v>
      </c>
      <c r="M3964">
        <v>351346.7</v>
      </c>
      <c r="N3964">
        <v>2</v>
      </c>
      <c r="O3964" s="1" t="s">
        <v>569</v>
      </c>
      <c r="P3964">
        <v>35134.67</v>
      </c>
      <c r="Q3964">
        <v>14053.86</v>
      </c>
      <c r="R3964">
        <v>1</v>
      </c>
      <c r="S3964" s="1" t="s">
        <v>1105</v>
      </c>
      <c r="T3964" s="1"/>
      <c r="U3964">
        <v>35134.666669999999</v>
      </c>
      <c r="V3964">
        <v>0</v>
      </c>
      <c r="W3964">
        <v>61886</v>
      </c>
    </row>
    <row r="3965" spans="1:23" x14ac:dyDescent="0.25">
      <c r="A3965" s="1" t="s">
        <v>39</v>
      </c>
      <c r="B3965" s="1" t="s">
        <v>83</v>
      </c>
      <c r="C3965" s="1" t="s">
        <v>208</v>
      </c>
      <c r="D3965">
        <v>5451</v>
      </c>
      <c r="E3965" s="1"/>
      <c r="F3965" s="1" t="s">
        <v>389</v>
      </c>
      <c r="G3965">
        <v>2014</v>
      </c>
      <c r="H3965">
        <v>1675.49</v>
      </c>
      <c r="I3965">
        <v>12</v>
      </c>
      <c r="J3965" s="1" t="s">
        <v>421</v>
      </c>
      <c r="K3965">
        <v>0</v>
      </c>
      <c r="L3965">
        <v>0</v>
      </c>
      <c r="M3965">
        <v>16754.900000000001</v>
      </c>
      <c r="N3965">
        <v>2</v>
      </c>
      <c r="O3965" s="1" t="s">
        <v>569</v>
      </c>
      <c r="P3965">
        <v>1675.49</v>
      </c>
      <c r="Q3965">
        <v>670.2</v>
      </c>
      <c r="R3965">
        <v>1</v>
      </c>
      <c r="S3965" s="1" t="s">
        <v>1106</v>
      </c>
      <c r="T3965" s="1"/>
      <c r="U3965">
        <v>1675.5</v>
      </c>
      <c r="V3965">
        <v>0</v>
      </c>
      <c r="W3965">
        <v>61888</v>
      </c>
    </row>
    <row r="3966" spans="1:23" x14ac:dyDescent="0.25">
      <c r="A3966" s="1" t="s">
        <v>39</v>
      </c>
      <c r="B3966" s="1" t="s">
        <v>83</v>
      </c>
      <c r="C3966" s="1" t="s">
        <v>208</v>
      </c>
      <c r="D3966">
        <v>5451</v>
      </c>
      <c r="E3966" s="1"/>
      <c r="F3966" s="1" t="s">
        <v>389</v>
      </c>
      <c r="G3966">
        <v>2014</v>
      </c>
      <c r="H3966">
        <v>35669.870000000003</v>
      </c>
      <c r="I3966">
        <v>12</v>
      </c>
      <c r="J3966" s="1" t="s">
        <v>421</v>
      </c>
      <c r="K3966">
        <v>0</v>
      </c>
      <c r="L3966">
        <v>0</v>
      </c>
      <c r="M3966">
        <v>356698.7</v>
      </c>
      <c r="N3966">
        <v>2</v>
      </c>
      <c r="O3966" s="1" t="s">
        <v>569</v>
      </c>
      <c r="P3966">
        <v>35669.870000000003</v>
      </c>
      <c r="Q3966">
        <v>16729.169999999998</v>
      </c>
      <c r="R3966">
        <v>1</v>
      </c>
      <c r="S3966" s="1" t="s">
        <v>1107</v>
      </c>
      <c r="T3966" s="1"/>
      <c r="U3966">
        <v>35669.86666</v>
      </c>
      <c r="V3966">
        <v>0</v>
      </c>
      <c r="W3966">
        <v>68520</v>
      </c>
    </row>
    <row r="3967" spans="1:23" x14ac:dyDescent="0.25">
      <c r="A3967" s="1" t="s">
        <v>39</v>
      </c>
      <c r="B3967" s="1" t="s">
        <v>83</v>
      </c>
      <c r="C3967" s="1" t="s">
        <v>208</v>
      </c>
      <c r="D3967">
        <v>5451</v>
      </c>
      <c r="E3967" s="1"/>
      <c r="F3967" s="1" t="s">
        <v>389</v>
      </c>
      <c r="G3967">
        <v>2014</v>
      </c>
      <c r="H3967">
        <v>159.6</v>
      </c>
      <c r="I3967">
        <v>12</v>
      </c>
      <c r="J3967" s="1" t="s">
        <v>421</v>
      </c>
      <c r="K3967">
        <v>0</v>
      </c>
      <c r="L3967">
        <v>0</v>
      </c>
      <c r="M3967">
        <v>1596</v>
      </c>
      <c r="N3967">
        <v>2</v>
      </c>
      <c r="O3967" s="1" t="s">
        <v>569</v>
      </c>
      <c r="P3967">
        <v>159.6</v>
      </c>
      <c r="Q3967">
        <v>74.849999999999994</v>
      </c>
      <c r="R3967">
        <v>1</v>
      </c>
      <c r="S3967" s="1" t="s">
        <v>1108</v>
      </c>
      <c r="T3967" s="1"/>
      <c r="U3967">
        <v>159.6</v>
      </c>
      <c r="V3967">
        <v>0</v>
      </c>
      <c r="W3967">
        <v>68519</v>
      </c>
    </row>
    <row r="3968" spans="1:23" x14ac:dyDescent="0.25">
      <c r="A3968" s="1" t="s">
        <v>39</v>
      </c>
      <c r="B3968" s="1" t="s">
        <v>83</v>
      </c>
      <c r="C3968" s="1" t="s">
        <v>208</v>
      </c>
      <c r="D3968">
        <v>5451</v>
      </c>
      <c r="E3968" s="1"/>
      <c r="F3968" s="1" t="s">
        <v>389</v>
      </c>
      <c r="G3968">
        <v>2013</v>
      </c>
      <c r="H3968">
        <v>25897.5</v>
      </c>
      <c r="I3968">
        <v>11</v>
      </c>
      <c r="J3968" s="1" t="s">
        <v>421</v>
      </c>
      <c r="K3968">
        <v>0</v>
      </c>
      <c r="L3968">
        <v>0</v>
      </c>
      <c r="M3968">
        <v>258975</v>
      </c>
      <c r="N3968">
        <v>2</v>
      </c>
      <c r="O3968" s="1" t="s">
        <v>569</v>
      </c>
      <c r="P3968">
        <v>25897.5</v>
      </c>
      <c r="Q3968">
        <v>10358.99</v>
      </c>
      <c r="R3968">
        <v>1</v>
      </c>
      <c r="S3968" s="1" t="s">
        <v>1104</v>
      </c>
      <c r="T3968" s="1"/>
      <c r="U3968">
        <v>25897.48876</v>
      </c>
      <c r="V3968">
        <v>0</v>
      </c>
      <c r="W3968">
        <v>57640</v>
      </c>
    </row>
    <row r="3969" spans="1:23" x14ac:dyDescent="0.25">
      <c r="A3969" s="1" t="s">
        <v>39</v>
      </c>
      <c r="B3969" s="1" t="s">
        <v>83</v>
      </c>
      <c r="C3969" s="1" t="s">
        <v>208</v>
      </c>
      <c r="D3969">
        <v>5451</v>
      </c>
      <c r="E3969" s="1"/>
      <c r="F3969" s="1" t="s">
        <v>389</v>
      </c>
      <c r="G3969">
        <v>2013</v>
      </c>
      <c r="H3969">
        <v>1621.35</v>
      </c>
      <c r="I3969">
        <v>12</v>
      </c>
      <c r="J3969" s="1" t="s">
        <v>421</v>
      </c>
      <c r="K3969">
        <v>0</v>
      </c>
      <c r="L3969">
        <v>0</v>
      </c>
      <c r="M3969">
        <v>16213.5</v>
      </c>
      <c r="N3969">
        <v>2</v>
      </c>
      <c r="O3969" s="1" t="s">
        <v>569</v>
      </c>
      <c r="P3969">
        <v>1621.35</v>
      </c>
      <c r="Q3969">
        <v>648.54</v>
      </c>
      <c r="R3969">
        <v>1</v>
      </c>
      <c r="S3969" s="1" t="s">
        <v>1106</v>
      </c>
      <c r="T3969" s="1"/>
      <c r="U3969">
        <v>1621.3333399999999</v>
      </c>
      <c r="V3969">
        <v>0</v>
      </c>
      <c r="W3969">
        <v>61888</v>
      </c>
    </row>
    <row r="3970" spans="1:23" x14ac:dyDescent="0.25">
      <c r="A3970" s="1" t="s">
        <v>39</v>
      </c>
      <c r="B3970" s="1" t="s">
        <v>83</v>
      </c>
      <c r="C3970" s="1" t="s">
        <v>208</v>
      </c>
      <c r="D3970">
        <v>5451</v>
      </c>
      <c r="E3970" s="1"/>
      <c r="F3970" s="1" t="s">
        <v>389</v>
      </c>
      <c r="G3970">
        <v>2013</v>
      </c>
      <c r="H3970">
        <v>33257.660000000003</v>
      </c>
      <c r="I3970">
        <v>12</v>
      </c>
      <c r="J3970" s="1" t="s">
        <v>421</v>
      </c>
      <c r="K3970">
        <v>0</v>
      </c>
      <c r="L3970">
        <v>0</v>
      </c>
      <c r="M3970">
        <v>332576.59999999998</v>
      </c>
      <c r="N3970">
        <v>2</v>
      </c>
      <c r="O3970" s="1" t="s">
        <v>569</v>
      </c>
      <c r="P3970">
        <v>33257.660000000003</v>
      </c>
      <c r="Q3970">
        <v>15597.82</v>
      </c>
      <c r="R3970">
        <v>1</v>
      </c>
      <c r="S3970" s="1" t="s">
        <v>1107</v>
      </c>
      <c r="T3970" s="1"/>
      <c r="U3970">
        <v>33257.648500000003</v>
      </c>
      <c r="V3970">
        <v>0</v>
      </c>
      <c r="W3970">
        <v>68520</v>
      </c>
    </row>
    <row r="3971" spans="1:23" x14ac:dyDescent="0.25">
      <c r="A3971" s="1" t="s">
        <v>39</v>
      </c>
      <c r="B3971" s="1" t="s">
        <v>83</v>
      </c>
      <c r="C3971" s="1" t="s">
        <v>208</v>
      </c>
      <c r="D3971">
        <v>5451</v>
      </c>
      <c r="E3971" s="1"/>
      <c r="F3971" s="1" t="s">
        <v>389</v>
      </c>
      <c r="G3971">
        <v>2013</v>
      </c>
      <c r="H3971">
        <v>24976.5</v>
      </c>
      <c r="I3971">
        <v>12</v>
      </c>
      <c r="J3971" s="1" t="s">
        <v>421</v>
      </c>
      <c r="K3971">
        <v>0</v>
      </c>
      <c r="L3971">
        <v>0</v>
      </c>
      <c r="M3971">
        <v>249765</v>
      </c>
      <c r="N3971">
        <v>2</v>
      </c>
      <c r="O3971" s="1" t="s">
        <v>569</v>
      </c>
      <c r="P3971">
        <v>24976.5</v>
      </c>
      <c r="Q3971">
        <v>9990.58</v>
      </c>
      <c r="R3971">
        <v>1</v>
      </c>
      <c r="S3971" s="1" t="s">
        <v>1105</v>
      </c>
      <c r="T3971" s="1"/>
      <c r="U3971">
        <v>24976.484840000001</v>
      </c>
      <c r="V3971">
        <v>0</v>
      </c>
      <c r="W3971">
        <v>61886</v>
      </c>
    </row>
    <row r="3972" spans="1:23" x14ac:dyDescent="0.25">
      <c r="A3972" s="1" t="s">
        <v>39</v>
      </c>
      <c r="B3972" s="1" t="s">
        <v>83</v>
      </c>
      <c r="C3972" s="1" t="s">
        <v>208</v>
      </c>
      <c r="D3972">
        <v>5451</v>
      </c>
      <c r="E3972" s="1"/>
      <c r="F3972" s="1" t="s">
        <v>389</v>
      </c>
      <c r="G3972">
        <v>2013</v>
      </c>
      <c r="H3972">
        <v>1045.18</v>
      </c>
      <c r="I3972">
        <v>12</v>
      </c>
      <c r="J3972" s="1" t="s">
        <v>421</v>
      </c>
      <c r="K3972">
        <v>0</v>
      </c>
      <c r="L3972">
        <v>0</v>
      </c>
      <c r="M3972">
        <v>10451.799999999999</v>
      </c>
      <c r="N3972">
        <v>2</v>
      </c>
      <c r="O3972" s="1" t="s">
        <v>569</v>
      </c>
      <c r="P3972">
        <v>1045.18</v>
      </c>
      <c r="Q3972">
        <v>490.19</v>
      </c>
      <c r="R3972">
        <v>1</v>
      </c>
      <c r="S3972" s="1" t="s">
        <v>1108</v>
      </c>
      <c r="T3972" s="1"/>
      <c r="U3972">
        <v>1045.18788</v>
      </c>
      <c r="V3972">
        <v>0</v>
      </c>
      <c r="W3972">
        <v>68519</v>
      </c>
    </row>
    <row r="3973" spans="1:23" x14ac:dyDescent="0.25">
      <c r="A3973" s="1" t="s">
        <v>39</v>
      </c>
      <c r="B3973" s="1" t="s">
        <v>83</v>
      </c>
      <c r="C3973" s="1" t="s">
        <v>208</v>
      </c>
      <c r="D3973">
        <v>5451</v>
      </c>
      <c r="E3973" s="1"/>
      <c r="F3973" s="1" t="s">
        <v>389</v>
      </c>
      <c r="G3973">
        <v>2012</v>
      </c>
      <c r="H3973">
        <v>2915.4</v>
      </c>
      <c r="I3973">
        <v>13</v>
      </c>
      <c r="J3973" s="1" t="s">
        <v>421</v>
      </c>
      <c r="K3973">
        <v>0</v>
      </c>
      <c r="L3973">
        <v>0</v>
      </c>
      <c r="M3973">
        <v>29154</v>
      </c>
      <c r="N3973">
        <v>2</v>
      </c>
      <c r="O3973" s="1" t="s">
        <v>569</v>
      </c>
      <c r="P3973">
        <v>2915.4</v>
      </c>
      <c r="Q3973">
        <v>1166.1500000000001</v>
      </c>
      <c r="R3973">
        <v>1</v>
      </c>
      <c r="S3973" s="1" t="s">
        <v>1106</v>
      </c>
      <c r="T3973" s="1"/>
      <c r="U3973">
        <v>2915.3939300000002</v>
      </c>
      <c r="V3973">
        <v>0</v>
      </c>
      <c r="W3973">
        <v>61888</v>
      </c>
    </row>
    <row r="3974" spans="1:23" x14ac:dyDescent="0.25">
      <c r="A3974" s="1" t="s">
        <v>39</v>
      </c>
      <c r="B3974" s="1" t="s">
        <v>83</v>
      </c>
      <c r="C3974" s="1" t="s">
        <v>208</v>
      </c>
      <c r="D3974">
        <v>5451</v>
      </c>
      <c r="E3974" s="1"/>
      <c r="F3974" s="1" t="s">
        <v>389</v>
      </c>
      <c r="G3974">
        <v>2012</v>
      </c>
      <c r="H3974">
        <v>2755.39</v>
      </c>
      <c r="I3974">
        <v>13</v>
      </c>
      <c r="J3974" s="1" t="s">
        <v>421</v>
      </c>
      <c r="K3974">
        <v>0</v>
      </c>
      <c r="L3974">
        <v>0</v>
      </c>
      <c r="M3974">
        <v>27553.9</v>
      </c>
      <c r="N3974">
        <v>2</v>
      </c>
      <c r="O3974" s="1" t="s">
        <v>569</v>
      </c>
      <c r="P3974">
        <v>2755.39</v>
      </c>
      <c r="Q3974">
        <v>1292.27</v>
      </c>
      <c r="R3974">
        <v>1</v>
      </c>
      <c r="S3974" s="1" t="s">
        <v>1108</v>
      </c>
      <c r="T3974" s="1"/>
      <c r="U3974">
        <v>2755.3939500000001</v>
      </c>
      <c r="V3974">
        <v>0</v>
      </c>
      <c r="W3974">
        <v>68519</v>
      </c>
    </row>
    <row r="3975" spans="1:23" x14ac:dyDescent="0.25">
      <c r="A3975" s="1" t="s">
        <v>39</v>
      </c>
      <c r="B3975" s="1" t="s">
        <v>83</v>
      </c>
      <c r="C3975" s="1" t="s">
        <v>208</v>
      </c>
      <c r="D3975">
        <v>5451</v>
      </c>
      <c r="E3975" s="1"/>
      <c r="F3975" s="1" t="s">
        <v>389</v>
      </c>
      <c r="G3975">
        <v>2012</v>
      </c>
      <c r="H3975">
        <v>28401.93</v>
      </c>
      <c r="I3975">
        <v>13</v>
      </c>
      <c r="J3975" s="1" t="s">
        <v>421</v>
      </c>
      <c r="K3975">
        <v>0</v>
      </c>
      <c r="L3975">
        <v>0</v>
      </c>
      <c r="M3975">
        <v>284019.3</v>
      </c>
      <c r="N3975">
        <v>2</v>
      </c>
      <c r="O3975" s="1" t="s">
        <v>569</v>
      </c>
      <c r="P3975">
        <v>28401.93</v>
      </c>
      <c r="Q3975">
        <v>13320.51</v>
      </c>
      <c r="R3975">
        <v>1</v>
      </c>
      <c r="S3975" s="1" t="s">
        <v>1107</v>
      </c>
      <c r="T3975" s="1"/>
      <c r="U3975">
        <v>28401.939399999999</v>
      </c>
      <c r="V3975">
        <v>0</v>
      </c>
      <c r="W3975">
        <v>68520</v>
      </c>
    </row>
    <row r="3976" spans="1:23" x14ac:dyDescent="0.25">
      <c r="A3976" s="1" t="s">
        <v>39</v>
      </c>
      <c r="B3976" s="1" t="s">
        <v>83</v>
      </c>
      <c r="C3976" s="1" t="s">
        <v>208</v>
      </c>
      <c r="D3976">
        <v>5451</v>
      </c>
      <c r="E3976" s="1"/>
      <c r="F3976" s="1" t="s">
        <v>389</v>
      </c>
      <c r="G3976">
        <v>2012</v>
      </c>
      <c r="H3976">
        <v>20370.64</v>
      </c>
      <c r="I3976">
        <v>13</v>
      </c>
      <c r="J3976" s="1" t="s">
        <v>421</v>
      </c>
      <c r="K3976">
        <v>0</v>
      </c>
      <c r="L3976">
        <v>0</v>
      </c>
      <c r="M3976">
        <v>203706.4</v>
      </c>
      <c r="N3976">
        <v>2</v>
      </c>
      <c r="O3976" s="1" t="s">
        <v>569</v>
      </c>
      <c r="P3976">
        <v>20370.64</v>
      </c>
      <c r="Q3976">
        <v>8148.26</v>
      </c>
      <c r="R3976">
        <v>1</v>
      </c>
      <c r="S3976" s="1" t="s">
        <v>1104</v>
      </c>
      <c r="T3976" s="1"/>
      <c r="U3976">
        <v>20370.63636</v>
      </c>
      <c r="V3976">
        <v>0</v>
      </c>
      <c r="W3976">
        <v>57640</v>
      </c>
    </row>
    <row r="3977" spans="1:23" x14ac:dyDescent="0.25">
      <c r="A3977" s="1" t="s">
        <v>39</v>
      </c>
      <c r="B3977" s="1" t="s">
        <v>83</v>
      </c>
      <c r="C3977" s="1" t="s">
        <v>208</v>
      </c>
      <c r="D3977">
        <v>5451</v>
      </c>
      <c r="E3977" s="1"/>
      <c r="F3977" s="1" t="s">
        <v>389</v>
      </c>
      <c r="G3977">
        <v>2012</v>
      </c>
      <c r="H3977">
        <v>23081.21</v>
      </c>
      <c r="I3977">
        <v>13</v>
      </c>
      <c r="J3977" s="1" t="s">
        <v>421</v>
      </c>
      <c r="K3977">
        <v>0</v>
      </c>
      <c r="L3977">
        <v>0</v>
      </c>
      <c r="M3977">
        <v>230812.1</v>
      </c>
      <c r="N3977">
        <v>2</v>
      </c>
      <c r="O3977" s="1" t="s">
        <v>569</v>
      </c>
      <c r="P3977">
        <v>23081.21</v>
      </c>
      <c r="Q3977">
        <v>9232.5</v>
      </c>
      <c r="R3977">
        <v>1</v>
      </c>
      <c r="S3977" s="1" t="s">
        <v>1105</v>
      </c>
      <c r="T3977" s="1"/>
      <c r="U3977">
        <v>23081.21213</v>
      </c>
      <c r="V3977">
        <v>0</v>
      </c>
      <c r="W3977">
        <v>61886</v>
      </c>
    </row>
    <row r="3978" spans="1:23" x14ac:dyDescent="0.25">
      <c r="A3978" s="1" t="s">
        <v>39</v>
      </c>
      <c r="B3978" s="1" t="s">
        <v>83</v>
      </c>
      <c r="C3978" s="1" t="s">
        <v>208</v>
      </c>
      <c r="D3978">
        <v>5451</v>
      </c>
      <c r="E3978" s="1"/>
      <c r="F3978" s="1" t="s">
        <v>389</v>
      </c>
      <c r="G3978">
        <v>2011</v>
      </c>
      <c r="H3978">
        <v>3963.16</v>
      </c>
      <c r="I3978">
        <v>12</v>
      </c>
      <c r="J3978" s="1" t="s">
        <v>421</v>
      </c>
      <c r="K3978">
        <v>0</v>
      </c>
      <c r="L3978">
        <v>0</v>
      </c>
      <c r="M3978">
        <v>39631.599999999999</v>
      </c>
      <c r="N3978">
        <v>2</v>
      </c>
      <c r="O3978" s="1" t="s">
        <v>569</v>
      </c>
      <c r="P3978">
        <v>3963.16</v>
      </c>
      <c r="Q3978">
        <v>1858.71</v>
      </c>
      <c r="R3978">
        <v>1</v>
      </c>
      <c r="S3978" s="1" t="s">
        <v>1108</v>
      </c>
      <c r="T3978" s="1"/>
      <c r="U3978">
        <v>3963.1515100000001</v>
      </c>
      <c r="V3978">
        <v>0</v>
      </c>
      <c r="W3978">
        <v>68519</v>
      </c>
    </row>
    <row r="3979" spans="1:23" x14ac:dyDescent="0.25">
      <c r="A3979" s="1" t="s">
        <v>39</v>
      </c>
      <c r="B3979" s="1" t="s">
        <v>83</v>
      </c>
      <c r="C3979" s="1" t="s">
        <v>208</v>
      </c>
      <c r="D3979">
        <v>5451</v>
      </c>
      <c r="E3979" s="1"/>
      <c r="F3979" s="1" t="s">
        <v>389</v>
      </c>
      <c r="G3979">
        <v>2011</v>
      </c>
      <c r="H3979">
        <v>16267.89</v>
      </c>
      <c r="I3979">
        <v>12</v>
      </c>
      <c r="J3979" s="1" t="s">
        <v>421</v>
      </c>
      <c r="K3979">
        <v>0</v>
      </c>
      <c r="L3979">
        <v>0</v>
      </c>
      <c r="M3979">
        <v>162678.9</v>
      </c>
      <c r="N3979">
        <v>2</v>
      </c>
      <c r="O3979" s="1" t="s">
        <v>569</v>
      </c>
      <c r="P3979">
        <v>16267.89</v>
      </c>
      <c r="Q3979">
        <v>7629.63</v>
      </c>
      <c r="R3979">
        <v>1</v>
      </c>
      <c r="S3979" s="1" t="s">
        <v>1104</v>
      </c>
      <c r="T3979" s="1"/>
      <c r="U3979">
        <v>16267.878790000001</v>
      </c>
      <c r="V3979">
        <v>0</v>
      </c>
      <c r="W3979">
        <v>57640</v>
      </c>
    </row>
    <row r="3980" spans="1:23" x14ac:dyDescent="0.25">
      <c r="A3980" s="1" t="s">
        <v>39</v>
      </c>
      <c r="B3980" s="1" t="s">
        <v>83</v>
      </c>
      <c r="C3980" s="1" t="s">
        <v>208</v>
      </c>
      <c r="D3980">
        <v>5451</v>
      </c>
      <c r="E3980" s="1"/>
      <c r="F3980" s="1" t="s">
        <v>389</v>
      </c>
      <c r="G3980">
        <v>2011</v>
      </c>
      <c r="H3980">
        <v>22533.32</v>
      </c>
      <c r="I3980">
        <v>12</v>
      </c>
      <c r="J3980" s="1" t="s">
        <v>421</v>
      </c>
      <c r="K3980">
        <v>0</v>
      </c>
      <c r="L3980">
        <v>0</v>
      </c>
      <c r="M3980">
        <v>225333.2</v>
      </c>
      <c r="N3980">
        <v>2</v>
      </c>
      <c r="O3980" s="1" t="s">
        <v>569</v>
      </c>
      <c r="P3980">
        <v>22533.32</v>
      </c>
      <c r="Q3980">
        <v>10568.12</v>
      </c>
      <c r="R3980">
        <v>1</v>
      </c>
      <c r="S3980" s="1" t="s">
        <v>1105</v>
      </c>
      <c r="T3980" s="1"/>
      <c r="U3980">
        <v>22533.333340000001</v>
      </c>
      <c r="V3980">
        <v>0</v>
      </c>
      <c r="W3980">
        <v>61886</v>
      </c>
    </row>
    <row r="3981" spans="1:23" x14ac:dyDescent="0.25">
      <c r="A3981" s="1" t="s">
        <v>39</v>
      </c>
      <c r="B3981" s="1" t="s">
        <v>83</v>
      </c>
      <c r="C3981" s="1" t="s">
        <v>208</v>
      </c>
      <c r="D3981">
        <v>5451</v>
      </c>
      <c r="E3981" s="1"/>
      <c r="F3981" s="1" t="s">
        <v>389</v>
      </c>
      <c r="G3981">
        <v>2011</v>
      </c>
      <c r="H3981">
        <v>3705.69</v>
      </c>
      <c r="I3981">
        <v>12</v>
      </c>
      <c r="J3981" s="1" t="s">
        <v>421</v>
      </c>
      <c r="K3981">
        <v>0</v>
      </c>
      <c r="L3981">
        <v>0</v>
      </c>
      <c r="M3981">
        <v>37056.9</v>
      </c>
      <c r="N3981">
        <v>2</v>
      </c>
      <c r="O3981" s="1" t="s">
        <v>569</v>
      </c>
      <c r="P3981">
        <v>3705.69</v>
      </c>
      <c r="Q3981">
        <v>1737.97</v>
      </c>
      <c r="R3981">
        <v>1</v>
      </c>
      <c r="S3981" s="1" t="s">
        <v>1106</v>
      </c>
      <c r="T3981" s="1"/>
      <c r="U3981">
        <v>3705.69697</v>
      </c>
      <c r="V3981">
        <v>0</v>
      </c>
      <c r="W3981">
        <v>61888</v>
      </c>
    </row>
    <row r="3982" spans="1:23" x14ac:dyDescent="0.25">
      <c r="A3982" s="1" t="s">
        <v>39</v>
      </c>
      <c r="B3982" s="1" t="s">
        <v>83</v>
      </c>
      <c r="C3982" s="1" t="s">
        <v>208</v>
      </c>
      <c r="D3982">
        <v>5451</v>
      </c>
      <c r="E3982" s="1"/>
      <c r="F3982" s="1" t="s">
        <v>389</v>
      </c>
      <c r="G3982">
        <v>2011</v>
      </c>
      <c r="H3982">
        <v>27433.71</v>
      </c>
      <c r="I3982">
        <v>12</v>
      </c>
      <c r="J3982" s="1" t="s">
        <v>421</v>
      </c>
      <c r="K3982">
        <v>0</v>
      </c>
      <c r="L3982">
        <v>0</v>
      </c>
      <c r="M3982">
        <v>274337.09999999998</v>
      </c>
      <c r="N3982">
        <v>2</v>
      </c>
      <c r="O3982" s="1" t="s">
        <v>569</v>
      </c>
      <c r="P3982">
        <v>27433.71</v>
      </c>
      <c r="Q3982">
        <v>12866.41</v>
      </c>
      <c r="R3982">
        <v>1</v>
      </c>
      <c r="S3982" s="1" t="s">
        <v>1107</v>
      </c>
      <c r="T3982" s="1"/>
      <c r="U3982">
        <v>27433.696980000001</v>
      </c>
      <c r="V3982">
        <v>0</v>
      </c>
      <c r="W3982">
        <v>68520</v>
      </c>
    </row>
    <row r="3983" spans="1:23" x14ac:dyDescent="0.25">
      <c r="A3983" s="1" t="s">
        <v>39</v>
      </c>
      <c r="B3983" s="1" t="s">
        <v>83</v>
      </c>
      <c r="C3983" s="1" t="s">
        <v>208</v>
      </c>
      <c r="D3983">
        <v>5451</v>
      </c>
      <c r="E3983" s="1"/>
      <c r="F3983" s="1" t="s">
        <v>389</v>
      </c>
      <c r="G3983">
        <v>2010</v>
      </c>
      <c r="H3983">
        <v>4460.6099999999997</v>
      </c>
      <c r="I3983">
        <v>13</v>
      </c>
      <c r="J3983" s="1" t="s">
        <v>421</v>
      </c>
      <c r="K3983">
        <v>0</v>
      </c>
      <c r="L3983">
        <v>0</v>
      </c>
      <c r="M3983">
        <v>44606.1</v>
      </c>
      <c r="N3983">
        <v>2</v>
      </c>
      <c r="O3983" s="1" t="s">
        <v>569</v>
      </c>
      <c r="P3983">
        <v>4460.6099999999997</v>
      </c>
      <c r="Q3983">
        <v>2092.0100000000002</v>
      </c>
      <c r="R3983">
        <v>1</v>
      </c>
      <c r="S3983" s="1" t="s">
        <v>1108</v>
      </c>
      <c r="T3983" s="1"/>
      <c r="U3983">
        <v>4460.6060500000003</v>
      </c>
      <c r="V3983">
        <v>0</v>
      </c>
      <c r="W3983">
        <v>68519</v>
      </c>
    </row>
    <row r="3984" spans="1:23" x14ac:dyDescent="0.25">
      <c r="A3984" s="1" t="s">
        <v>39</v>
      </c>
      <c r="B3984" s="1" t="s">
        <v>83</v>
      </c>
      <c r="C3984" s="1" t="s">
        <v>208</v>
      </c>
      <c r="D3984">
        <v>5451</v>
      </c>
      <c r="E3984" s="1"/>
      <c r="F3984" s="1" t="s">
        <v>389</v>
      </c>
      <c r="G3984">
        <v>2010</v>
      </c>
      <c r="H3984">
        <v>18686.810000000001</v>
      </c>
      <c r="I3984">
        <v>12</v>
      </c>
      <c r="J3984" s="1" t="s">
        <v>421</v>
      </c>
      <c r="K3984">
        <v>0</v>
      </c>
      <c r="L3984">
        <v>0</v>
      </c>
      <c r="M3984">
        <v>186868.1</v>
      </c>
      <c r="N3984">
        <v>2</v>
      </c>
      <c r="O3984" s="1" t="s">
        <v>569</v>
      </c>
      <c r="P3984">
        <v>18686.810000000001</v>
      </c>
      <c r="Q3984">
        <v>8764.1299999999992</v>
      </c>
      <c r="R3984">
        <v>1</v>
      </c>
      <c r="S3984" s="1" t="s">
        <v>1104</v>
      </c>
      <c r="T3984" s="1"/>
      <c r="U3984">
        <v>18686.82532</v>
      </c>
      <c r="V3984">
        <v>0</v>
      </c>
      <c r="W3984">
        <v>57640</v>
      </c>
    </row>
    <row r="3985" spans="1:23" x14ac:dyDescent="0.25">
      <c r="A3985" s="1" t="s">
        <v>39</v>
      </c>
      <c r="B3985" s="1" t="s">
        <v>83</v>
      </c>
      <c r="C3985" s="1" t="s">
        <v>208</v>
      </c>
      <c r="D3985">
        <v>5451</v>
      </c>
      <c r="E3985" s="1"/>
      <c r="F3985" s="1" t="s">
        <v>389</v>
      </c>
      <c r="G3985">
        <v>2010</v>
      </c>
      <c r="H3985">
        <v>22351.51</v>
      </c>
      <c r="I3985">
        <v>14</v>
      </c>
      <c r="J3985" s="1" t="s">
        <v>421</v>
      </c>
      <c r="K3985">
        <v>0</v>
      </c>
      <c r="L3985">
        <v>0</v>
      </c>
      <c r="M3985">
        <v>223515.1</v>
      </c>
      <c r="N3985">
        <v>2</v>
      </c>
      <c r="O3985" s="1" t="s">
        <v>569</v>
      </c>
      <c r="P3985">
        <v>22351.51</v>
      </c>
      <c r="Q3985">
        <v>10482.85</v>
      </c>
      <c r="R3985">
        <v>1</v>
      </c>
      <c r="S3985" s="1" t="s">
        <v>1105</v>
      </c>
      <c r="T3985" s="1"/>
      <c r="U3985">
        <v>22351.515149999999</v>
      </c>
      <c r="V3985">
        <v>0</v>
      </c>
      <c r="W3985">
        <v>61886</v>
      </c>
    </row>
    <row r="3986" spans="1:23" x14ac:dyDescent="0.25">
      <c r="A3986" s="1" t="s">
        <v>39</v>
      </c>
      <c r="B3986" s="1" t="s">
        <v>83</v>
      </c>
      <c r="C3986" s="1" t="s">
        <v>208</v>
      </c>
      <c r="D3986">
        <v>5451</v>
      </c>
      <c r="E3986" s="1"/>
      <c r="F3986" s="1" t="s">
        <v>389</v>
      </c>
      <c r="G3986">
        <v>2010</v>
      </c>
      <c r="H3986">
        <v>4038.79</v>
      </c>
      <c r="I3986">
        <v>13</v>
      </c>
      <c r="J3986" s="1" t="s">
        <v>421</v>
      </c>
      <c r="K3986">
        <v>0</v>
      </c>
      <c r="L3986">
        <v>0</v>
      </c>
      <c r="M3986">
        <v>40387.9</v>
      </c>
      <c r="N3986">
        <v>2</v>
      </c>
      <c r="O3986" s="1" t="s">
        <v>569</v>
      </c>
      <c r="P3986">
        <v>4038.79</v>
      </c>
      <c r="Q3986">
        <v>1894.18</v>
      </c>
      <c r="R3986">
        <v>1</v>
      </c>
      <c r="S3986" s="1" t="s">
        <v>1106</v>
      </c>
      <c r="T3986" s="1"/>
      <c r="U3986">
        <v>4038.7878799999999</v>
      </c>
      <c r="V3986">
        <v>0</v>
      </c>
      <c r="W3986">
        <v>61888</v>
      </c>
    </row>
    <row r="3987" spans="1:23" x14ac:dyDescent="0.25">
      <c r="A3987" s="1" t="s">
        <v>39</v>
      </c>
      <c r="B3987" s="1" t="s">
        <v>83</v>
      </c>
      <c r="C3987" s="1" t="s">
        <v>208</v>
      </c>
      <c r="D3987">
        <v>5451</v>
      </c>
      <c r="E3987" s="1"/>
      <c r="F3987" s="1" t="s">
        <v>389</v>
      </c>
      <c r="G3987">
        <v>2010</v>
      </c>
      <c r="H3987">
        <v>36349.57</v>
      </c>
      <c r="I3987">
        <v>14</v>
      </c>
      <c r="J3987" s="1" t="s">
        <v>421</v>
      </c>
      <c r="K3987">
        <v>0</v>
      </c>
      <c r="L3987">
        <v>0</v>
      </c>
      <c r="M3987">
        <v>363495.7</v>
      </c>
      <c r="N3987">
        <v>2</v>
      </c>
      <c r="O3987" s="1" t="s">
        <v>569</v>
      </c>
      <c r="P3987">
        <v>36349.57</v>
      </c>
      <c r="Q3987">
        <v>17047.96</v>
      </c>
      <c r="R3987">
        <v>1</v>
      </c>
      <c r="S3987" s="1" t="s">
        <v>1107</v>
      </c>
      <c r="T3987" s="1"/>
      <c r="U3987">
        <v>36349.575750000004</v>
      </c>
      <c r="V3987">
        <v>0</v>
      </c>
      <c r="W3987">
        <v>68520</v>
      </c>
    </row>
    <row r="3988" spans="1:23" x14ac:dyDescent="0.25">
      <c r="A3988" s="1" t="s">
        <v>39</v>
      </c>
      <c r="B3988" s="1" t="s">
        <v>83</v>
      </c>
      <c r="C3988" s="1" t="s">
        <v>208</v>
      </c>
      <c r="D3988">
        <v>5451</v>
      </c>
      <c r="E3988" s="1"/>
      <c r="F3988" s="1" t="s">
        <v>389</v>
      </c>
      <c r="G3988">
        <v>2009</v>
      </c>
      <c r="H3988">
        <v>24160.29</v>
      </c>
      <c r="I3988">
        <v>12</v>
      </c>
      <c r="J3988" s="1" t="s">
        <v>421</v>
      </c>
      <c r="K3988">
        <v>0</v>
      </c>
      <c r="L3988">
        <v>0</v>
      </c>
      <c r="M3988">
        <v>241602.9</v>
      </c>
      <c r="N3988">
        <v>2</v>
      </c>
      <c r="O3988" s="1" t="s">
        <v>569</v>
      </c>
      <c r="P3988">
        <v>24160.29</v>
      </c>
      <c r="Q3988">
        <v>11331.16</v>
      </c>
      <c r="R3988">
        <v>1</v>
      </c>
      <c r="S3988" s="1" t="s">
        <v>1105</v>
      </c>
      <c r="T3988" s="1"/>
      <c r="U3988">
        <v>24160.28787</v>
      </c>
      <c r="V3988">
        <v>0</v>
      </c>
      <c r="W3988">
        <v>61886</v>
      </c>
    </row>
    <row r="3989" spans="1:23" x14ac:dyDescent="0.25">
      <c r="A3989" s="1" t="s">
        <v>39</v>
      </c>
      <c r="B3989" s="1" t="s">
        <v>83</v>
      </c>
      <c r="C3989" s="1" t="s">
        <v>208</v>
      </c>
      <c r="D3989">
        <v>5451</v>
      </c>
      <c r="E3989" s="1"/>
      <c r="F3989" s="1" t="s">
        <v>389</v>
      </c>
      <c r="G3989">
        <v>2009</v>
      </c>
      <c r="H3989">
        <v>6143.57</v>
      </c>
      <c r="I3989">
        <v>12</v>
      </c>
      <c r="J3989" s="1" t="s">
        <v>421</v>
      </c>
      <c r="K3989">
        <v>0</v>
      </c>
      <c r="L3989">
        <v>0</v>
      </c>
      <c r="M3989">
        <v>61435.7</v>
      </c>
      <c r="N3989">
        <v>2</v>
      </c>
      <c r="O3989" s="1" t="s">
        <v>569</v>
      </c>
      <c r="P3989">
        <v>6143.57</v>
      </c>
      <c r="Q3989">
        <v>2881.33</v>
      </c>
      <c r="R3989">
        <v>1</v>
      </c>
      <c r="S3989" s="1" t="s">
        <v>1108</v>
      </c>
      <c r="T3989" s="1"/>
      <c r="U3989">
        <v>6143.5605999999998</v>
      </c>
      <c r="V3989">
        <v>0</v>
      </c>
      <c r="W3989">
        <v>68519</v>
      </c>
    </row>
    <row r="3990" spans="1:23" x14ac:dyDescent="0.25">
      <c r="A3990" s="1" t="s">
        <v>39</v>
      </c>
      <c r="B3990" s="1" t="s">
        <v>83</v>
      </c>
      <c r="C3990" s="1" t="s">
        <v>208</v>
      </c>
      <c r="D3990">
        <v>5451</v>
      </c>
      <c r="E3990" s="1"/>
      <c r="F3990" s="1" t="s">
        <v>389</v>
      </c>
      <c r="G3990">
        <v>2009</v>
      </c>
      <c r="H3990">
        <v>20689.77</v>
      </c>
      <c r="I3990">
        <v>12</v>
      </c>
      <c r="J3990" s="1" t="s">
        <v>421</v>
      </c>
      <c r="K3990">
        <v>0</v>
      </c>
      <c r="L3990">
        <v>0</v>
      </c>
      <c r="M3990">
        <v>206897.7</v>
      </c>
      <c r="N3990">
        <v>2</v>
      </c>
      <c r="O3990" s="1" t="s">
        <v>569</v>
      </c>
      <c r="P3990">
        <v>20689.77</v>
      </c>
      <c r="Q3990">
        <v>9703.52</v>
      </c>
      <c r="R3990">
        <v>1</v>
      </c>
      <c r="S3990" s="1" t="s">
        <v>1104</v>
      </c>
      <c r="T3990" s="1"/>
      <c r="U3990">
        <v>20689.766540000001</v>
      </c>
      <c r="V3990">
        <v>0</v>
      </c>
      <c r="W3990">
        <v>57640</v>
      </c>
    </row>
    <row r="3991" spans="1:23" x14ac:dyDescent="0.25">
      <c r="A3991" s="1" t="s">
        <v>39</v>
      </c>
      <c r="B3991" s="1" t="s">
        <v>83</v>
      </c>
      <c r="C3991" s="1" t="s">
        <v>208</v>
      </c>
      <c r="D3991">
        <v>5451</v>
      </c>
      <c r="E3991" s="1"/>
      <c r="F3991" s="1" t="s">
        <v>389</v>
      </c>
      <c r="G3991">
        <v>2009</v>
      </c>
      <c r="H3991">
        <v>5188.29</v>
      </c>
      <c r="I3991">
        <v>12</v>
      </c>
      <c r="J3991" s="1" t="s">
        <v>421</v>
      </c>
      <c r="K3991">
        <v>0</v>
      </c>
      <c r="L3991">
        <v>0</v>
      </c>
      <c r="M3991">
        <v>51882.9</v>
      </c>
      <c r="N3991">
        <v>2</v>
      </c>
      <c r="O3991" s="1" t="s">
        <v>569</v>
      </c>
      <c r="P3991">
        <v>5188.29</v>
      </c>
      <c r="Q3991">
        <v>2433.3000000000002</v>
      </c>
      <c r="R3991">
        <v>1</v>
      </c>
      <c r="S3991" s="1" t="s">
        <v>1106</v>
      </c>
      <c r="T3991" s="1"/>
      <c r="U3991">
        <v>5188.2878799999999</v>
      </c>
      <c r="V3991">
        <v>0</v>
      </c>
      <c r="W3991">
        <v>61888</v>
      </c>
    </row>
    <row r="3992" spans="1:23" x14ac:dyDescent="0.25">
      <c r="A3992" s="1" t="s">
        <v>39</v>
      </c>
      <c r="B3992" s="1" t="s">
        <v>83</v>
      </c>
      <c r="C3992" s="1" t="s">
        <v>208</v>
      </c>
      <c r="D3992">
        <v>5451</v>
      </c>
      <c r="E3992" s="1"/>
      <c r="F3992" s="1" t="s">
        <v>389</v>
      </c>
      <c r="G3992">
        <v>2009</v>
      </c>
      <c r="H3992">
        <v>29639.759999999998</v>
      </c>
      <c r="I3992">
        <v>12</v>
      </c>
      <c r="J3992" s="1" t="s">
        <v>421</v>
      </c>
      <c r="K3992">
        <v>0</v>
      </c>
      <c r="L3992">
        <v>0</v>
      </c>
      <c r="M3992">
        <v>296397.59999999998</v>
      </c>
      <c r="N3992">
        <v>2</v>
      </c>
      <c r="O3992" s="1" t="s">
        <v>569</v>
      </c>
      <c r="P3992">
        <v>29639.759999999998</v>
      </c>
      <c r="Q3992">
        <v>13901.05</v>
      </c>
      <c r="R3992">
        <v>1</v>
      </c>
      <c r="S3992" s="1" t="s">
        <v>1107</v>
      </c>
      <c r="T3992" s="1"/>
      <c r="U3992">
        <v>29639.77274</v>
      </c>
      <c r="V3992">
        <v>0</v>
      </c>
      <c r="W3992">
        <v>68520</v>
      </c>
    </row>
    <row r="3993" spans="1:23" x14ac:dyDescent="0.25">
      <c r="A3993" s="1" t="s">
        <v>39</v>
      </c>
      <c r="B3993" s="1" t="s">
        <v>83</v>
      </c>
      <c r="C3993" s="1" t="s">
        <v>208</v>
      </c>
      <c r="D3993">
        <v>5451</v>
      </c>
      <c r="E3993" s="1"/>
      <c r="F3993" s="1" t="s">
        <v>389</v>
      </c>
      <c r="G3993">
        <v>2008</v>
      </c>
      <c r="H3993">
        <v>18813.36</v>
      </c>
      <c r="I3993">
        <v>12</v>
      </c>
      <c r="J3993" s="1" t="s">
        <v>421</v>
      </c>
      <c r="K3993">
        <v>0</v>
      </c>
      <c r="L3993">
        <v>0</v>
      </c>
      <c r="M3993">
        <v>188133.6</v>
      </c>
      <c r="N3993">
        <v>2</v>
      </c>
      <c r="O3993" s="1" t="s">
        <v>569</v>
      </c>
      <c r="P3993">
        <v>18813.36</v>
      </c>
      <c r="Q3993">
        <v>8823.48</v>
      </c>
      <c r="R3993">
        <v>1</v>
      </c>
      <c r="S3993" s="1" t="s">
        <v>1104</v>
      </c>
      <c r="T3993" s="1"/>
      <c r="U3993">
        <v>18813.377840000001</v>
      </c>
      <c r="V3993">
        <v>0</v>
      </c>
      <c r="W3993">
        <v>57640</v>
      </c>
    </row>
    <row r="3994" spans="1:23" x14ac:dyDescent="0.25">
      <c r="A3994" s="1" t="s">
        <v>39</v>
      </c>
      <c r="B3994" s="1" t="s">
        <v>83</v>
      </c>
      <c r="C3994" s="1" t="s">
        <v>208</v>
      </c>
      <c r="D3994">
        <v>5451</v>
      </c>
      <c r="E3994" s="1"/>
      <c r="F3994" s="1" t="s">
        <v>389</v>
      </c>
      <c r="G3994">
        <v>2008</v>
      </c>
      <c r="H3994">
        <v>24497.65</v>
      </c>
      <c r="I3994">
        <v>12</v>
      </c>
      <c r="J3994" s="1" t="s">
        <v>421</v>
      </c>
      <c r="K3994">
        <v>0</v>
      </c>
      <c r="L3994">
        <v>0</v>
      </c>
      <c r="M3994">
        <v>244976.5</v>
      </c>
      <c r="N3994">
        <v>2</v>
      </c>
      <c r="O3994" s="1" t="s">
        <v>569</v>
      </c>
      <c r="P3994">
        <v>24497.65</v>
      </c>
      <c r="Q3994">
        <v>11489.38</v>
      </c>
      <c r="R3994">
        <v>1</v>
      </c>
      <c r="S3994" s="1" t="s">
        <v>1105</v>
      </c>
      <c r="T3994" s="1"/>
      <c r="U3994">
        <v>24497.651519999999</v>
      </c>
      <c r="V3994">
        <v>0</v>
      </c>
      <c r="W3994">
        <v>61886</v>
      </c>
    </row>
    <row r="3995" spans="1:23" x14ac:dyDescent="0.25">
      <c r="A3995" s="1" t="s">
        <v>39</v>
      </c>
      <c r="B3995" s="1" t="s">
        <v>83</v>
      </c>
      <c r="C3995" s="1" t="s">
        <v>208</v>
      </c>
      <c r="D3995">
        <v>5451</v>
      </c>
      <c r="E3995" s="1"/>
      <c r="F3995" s="1" t="s">
        <v>389</v>
      </c>
      <c r="G3995">
        <v>2008</v>
      </c>
      <c r="H3995">
        <v>13853.53</v>
      </c>
      <c r="I3995">
        <v>12</v>
      </c>
      <c r="J3995" s="1" t="s">
        <v>421</v>
      </c>
      <c r="K3995">
        <v>0</v>
      </c>
      <c r="L3995">
        <v>0</v>
      </c>
      <c r="M3995">
        <v>138535.29999999999</v>
      </c>
      <c r="N3995">
        <v>2</v>
      </c>
      <c r="O3995" s="1" t="s">
        <v>569</v>
      </c>
      <c r="P3995">
        <v>13853.53</v>
      </c>
      <c r="Q3995">
        <v>6497.32</v>
      </c>
      <c r="R3995">
        <v>1</v>
      </c>
      <c r="S3995" s="1" t="s">
        <v>1108</v>
      </c>
      <c r="T3995" s="1"/>
      <c r="U3995">
        <v>13853.53031</v>
      </c>
      <c r="V3995">
        <v>0</v>
      </c>
      <c r="W3995">
        <v>68519</v>
      </c>
    </row>
    <row r="3996" spans="1:23" x14ac:dyDescent="0.25">
      <c r="A3996" s="1" t="s">
        <v>39</v>
      </c>
      <c r="B3996" s="1" t="s">
        <v>83</v>
      </c>
      <c r="C3996" s="1" t="s">
        <v>208</v>
      </c>
      <c r="D3996">
        <v>5451</v>
      </c>
      <c r="E3996" s="1"/>
      <c r="F3996" s="1" t="s">
        <v>389</v>
      </c>
      <c r="G3996">
        <v>2008</v>
      </c>
      <c r="H3996">
        <v>12321.03</v>
      </c>
      <c r="I3996">
        <v>12</v>
      </c>
      <c r="J3996" s="1" t="s">
        <v>421</v>
      </c>
      <c r="K3996">
        <v>0</v>
      </c>
      <c r="L3996">
        <v>0</v>
      </c>
      <c r="M3996">
        <v>123210.3</v>
      </c>
      <c r="N3996">
        <v>2</v>
      </c>
      <c r="O3996" s="1" t="s">
        <v>569</v>
      </c>
      <c r="P3996">
        <v>12321.03</v>
      </c>
      <c r="Q3996">
        <v>5778.56</v>
      </c>
      <c r="R3996">
        <v>1</v>
      </c>
      <c r="S3996" s="1" t="s">
        <v>1106</v>
      </c>
      <c r="T3996" s="1"/>
      <c r="U3996">
        <v>12321.04545</v>
      </c>
      <c r="V3996">
        <v>0</v>
      </c>
      <c r="W3996">
        <v>61888</v>
      </c>
    </row>
    <row r="3997" spans="1:23" x14ac:dyDescent="0.25">
      <c r="A3997" s="1" t="s">
        <v>39</v>
      </c>
      <c r="B3997" s="1" t="s">
        <v>83</v>
      </c>
      <c r="C3997" s="1" t="s">
        <v>208</v>
      </c>
      <c r="D3997">
        <v>5451</v>
      </c>
      <c r="E3997" s="1"/>
      <c r="F3997" s="1" t="s">
        <v>389</v>
      </c>
      <c r="G3997">
        <v>2008</v>
      </c>
      <c r="H3997">
        <v>30234.639999999999</v>
      </c>
      <c r="I3997">
        <v>12</v>
      </c>
      <c r="J3997" s="1" t="s">
        <v>421</v>
      </c>
      <c r="K3997">
        <v>0</v>
      </c>
      <c r="L3997">
        <v>0</v>
      </c>
      <c r="M3997">
        <v>302346.40000000002</v>
      </c>
      <c r="N3997">
        <v>2</v>
      </c>
      <c r="O3997" s="1" t="s">
        <v>569</v>
      </c>
      <c r="P3997">
        <v>30234.639999999999</v>
      </c>
      <c r="Q3997">
        <v>14180.05</v>
      </c>
      <c r="R3997">
        <v>1</v>
      </c>
      <c r="S3997" s="1" t="s">
        <v>1107</v>
      </c>
      <c r="T3997" s="1"/>
      <c r="U3997">
        <v>30234.65151</v>
      </c>
      <c r="V3997">
        <v>0</v>
      </c>
      <c r="W3997">
        <v>68520</v>
      </c>
    </row>
    <row r="3998" spans="1:23" x14ac:dyDescent="0.25">
      <c r="A3998" s="1" t="s">
        <v>39</v>
      </c>
      <c r="B3998" s="1" t="s">
        <v>83</v>
      </c>
      <c r="C3998" s="1" t="s">
        <v>208</v>
      </c>
      <c r="D3998">
        <v>6339</v>
      </c>
      <c r="E3998" s="1"/>
      <c r="F3998" s="1" t="s">
        <v>341</v>
      </c>
      <c r="G3998">
        <v>2015</v>
      </c>
      <c r="H3998">
        <v>82</v>
      </c>
      <c r="I3998">
        <v>5</v>
      </c>
      <c r="J3998" s="1" t="s">
        <v>421</v>
      </c>
      <c r="K3998">
        <v>0</v>
      </c>
      <c r="L3998">
        <v>0</v>
      </c>
      <c r="M3998">
        <v>820</v>
      </c>
      <c r="N3998">
        <v>2</v>
      </c>
      <c r="O3998" s="1" t="s">
        <v>569</v>
      </c>
      <c r="P3998">
        <v>82</v>
      </c>
      <c r="Q3998">
        <v>32.79</v>
      </c>
      <c r="R3998">
        <v>1</v>
      </c>
      <c r="S3998" s="1" t="s">
        <v>698</v>
      </c>
      <c r="T3998" s="1"/>
      <c r="U3998">
        <v>81.999989999999997</v>
      </c>
      <c r="V3998">
        <v>0</v>
      </c>
      <c r="W3998">
        <v>62513</v>
      </c>
    </row>
    <row r="3999" spans="1:23" x14ac:dyDescent="0.25">
      <c r="A3999" s="1" t="s">
        <v>39</v>
      </c>
      <c r="B3999" s="1" t="s">
        <v>83</v>
      </c>
      <c r="C3999" s="1" t="s">
        <v>208</v>
      </c>
      <c r="D3999">
        <v>6339</v>
      </c>
      <c r="E3999" s="1"/>
      <c r="F3999" s="1" t="s">
        <v>341</v>
      </c>
      <c r="G3999">
        <v>2014</v>
      </c>
      <c r="H3999">
        <v>1330</v>
      </c>
      <c r="I3999">
        <v>12</v>
      </c>
      <c r="J3999" s="1" t="s">
        <v>421</v>
      </c>
      <c r="K3999">
        <v>0</v>
      </c>
      <c r="L3999">
        <v>0</v>
      </c>
      <c r="M3999">
        <v>13300</v>
      </c>
      <c r="N3999">
        <v>2</v>
      </c>
      <c r="O3999" s="1" t="s">
        <v>569</v>
      </c>
      <c r="P3999">
        <v>1330</v>
      </c>
      <c r="Q3999">
        <v>532</v>
      </c>
      <c r="R3999">
        <v>1</v>
      </c>
      <c r="S3999" s="1" t="s">
        <v>698</v>
      </c>
      <c r="T3999" s="1"/>
      <c r="U3999">
        <v>1330</v>
      </c>
      <c r="V3999">
        <v>0</v>
      </c>
      <c r="W3999">
        <v>62513</v>
      </c>
    </row>
    <row r="4000" spans="1:23" x14ac:dyDescent="0.25">
      <c r="A4000" s="1" t="s">
        <v>39</v>
      </c>
      <c r="B4000" s="1" t="s">
        <v>83</v>
      </c>
      <c r="C4000" s="1" t="s">
        <v>208</v>
      </c>
      <c r="D4000">
        <v>6339</v>
      </c>
      <c r="E4000" s="1"/>
      <c r="F4000" s="1" t="s">
        <v>341</v>
      </c>
      <c r="G4000">
        <v>2013</v>
      </c>
      <c r="H4000">
        <v>606</v>
      </c>
      <c r="I4000">
        <v>11</v>
      </c>
      <c r="J4000" s="1" t="s">
        <v>421</v>
      </c>
      <c r="K4000">
        <v>0</v>
      </c>
      <c r="L4000">
        <v>0</v>
      </c>
      <c r="M4000">
        <v>6060</v>
      </c>
      <c r="N4000">
        <v>2</v>
      </c>
      <c r="O4000" s="1" t="s">
        <v>569</v>
      </c>
      <c r="P4000">
        <v>606</v>
      </c>
      <c r="Q4000">
        <v>242.41</v>
      </c>
      <c r="R4000">
        <v>1</v>
      </c>
      <c r="S4000" s="1" t="s">
        <v>698</v>
      </c>
      <c r="T4000" s="1"/>
      <c r="U4000">
        <v>606</v>
      </c>
      <c r="V4000">
        <v>0</v>
      </c>
      <c r="W4000">
        <v>62513</v>
      </c>
    </row>
    <row r="4001" spans="1:23" x14ac:dyDescent="0.25">
      <c r="A4001" s="1" t="s">
        <v>39</v>
      </c>
      <c r="B4001" s="1" t="s">
        <v>83</v>
      </c>
      <c r="C4001" s="1" t="s">
        <v>208</v>
      </c>
      <c r="D4001">
        <v>6339</v>
      </c>
      <c r="E4001" s="1"/>
      <c r="F4001" s="1" t="s">
        <v>341</v>
      </c>
      <c r="G4001">
        <v>2012</v>
      </c>
      <c r="H4001">
        <v>1428.01</v>
      </c>
      <c r="I4001">
        <v>13</v>
      </c>
      <c r="J4001" s="1" t="s">
        <v>421</v>
      </c>
      <c r="K4001">
        <v>0</v>
      </c>
      <c r="L4001">
        <v>0</v>
      </c>
      <c r="M4001">
        <v>14280.1</v>
      </c>
      <c r="N4001">
        <v>2</v>
      </c>
      <c r="O4001" s="1" t="s">
        <v>569</v>
      </c>
      <c r="P4001">
        <v>1428.01</v>
      </c>
      <c r="Q4001">
        <v>571.20000000000005</v>
      </c>
      <c r="R4001">
        <v>1</v>
      </c>
      <c r="S4001" s="1" t="s">
        <v>698</v>
      </c>
      <c r="T4001" s="1"/>
      <c r="U4001">
        <v>1428</v>
      </c>
      <c r="V4001">
        <v>0</v>
      </c>
      <c r="W4001">
        <v>62513</v>
      </c>
    </row>
    <row r="4002" spans="1:23" x14ac:dyDescent="0.25">
      <c r="A4002" s="1" t="s">
        <v>39</v>
      </c>
      <c r="B4002" s="1" t="s">
        <v>83</v>
      </c>
      <c r="C4002" s="1" t="s">
        <v>208</v>
      </c>
      <c r="D4002">
        <v>6339</v>
      </c>
      <c r="E4002" s="1"/>
      <c r="F4002" s="1" t="s">
        <v>341</v>
      </c>
      <c r="G4002">
        <v>2011</v>
      </c>
      <c r="H4002">
        <v>983.01</v>
      </c>
      <c r="I4002">
        <v>12</v>
      </c>
      <c r="J4002" s="1" t="s">
        <v>421</v>
      </c>
      <c r="K4002">
        <v>0</v>
      </c>
      <c r="L4002">
        <v>0</v>
      </c>
      <c r="M4002">
        <v>9830.1</v>
      </c>
      <c r="N4002">
        <v>2</v>
      </c>
      <c r="O4002" s="1" t="s">
        <v>569</v>
      </c>
      <c r="P4002">
        <v>983.01</v>
      </c>
      <c r="Q4002">
        <v>461.03</v>
      </c>
      <c r="R4002">
        <v>1</v>
      </c>
      <c r="S4002" s="1" t="s">
        <v>698</v>
      </c>
      <c r="T4002" s="1"/>
      <c r="U4002">
        <v>983</v>
      </c>
      <c r="V4002">
        <v>0</v>
      </c>
      <c r="W4002">
        <v>62513</v>
      </c>
    </row>
    <row r="4003" spans="1:23" x14ac:dyDescent="0.25">
      <c r="A4003" s="1" t="s">
        <v>39</v>
      </c>
      <c r="B4003" s="1" t="s">
        <v>83</v>
      </c>
      <c r="C4003" s="1" t="s">
        <v>208</v>
      </c>
      <c r="D4003">
        <v>6339</v>
      </c>
      <c r="E4003" s="1"/>
      <c r="F4003" s="1" t="s">
        <v>341</v>
      </c>
      <c r="G4003">
        <v>2010</v>
      </c>
      <c r="H4003">
        <v>1096</v>
      </c>
      <c r="I4003">
        <v>12</v>
      </c>
      <c r="J4003" s="1" t="s">
        <v>421</v>
      </c>
      <c r="K4003">
        <v>0</v>
      </c>
      <c r="L4003">
        <v>0</v>
      </c>
      <c r="M4003">
        <v>10960</v>
      </c>
      <c r="N4003">
        <v>2</v>
      </c>
      <c r="O4003" s="1" t="s">
        <v>569</v>
      </c>
      <c r="P4003">
        <v>1096</v>
      </c>
      <c r="Q4003">
        <v>514.02</v>
      </c>
      <c r="R4003">
        <v>1</v>
      </c>
      <c r="S4003" s="1" t="s">
        <v>698</v>
      </c>
      <c r="T4003" s="1"/>
      <c r="U4003">
        <v>1096</v>
      </c>
      <c r="V4003">
        <v>0</v>
      </c>
      <c r="W4003">
        <v>62513</v>
      </c>
    </row>
    <row r="4004" spans="1:23" x14ac:dyDescent="0.25">
      <c r="A4004" s="1" t="s">
        <v>39</v>
      </c>
      <c r="B4004" s="1" t="s">
        <v>83</v>
      </c>
      <c r="C4004" s="1" t="s">
        <v>208</v>
      </c>
      <c r="D4004">
        <v>6339</v>
      </c>
      <c r="E4004" s="1"/>
      <c r="F4004" s="1" t="s">
        <v>341</v>
      </c>
      <c r="G4004">
        <v>2009</v>
      </c>
      <c r="H4004">
        <v>2291</v>
      </c>
      <c r="I4004">
        <v>12</v>
      </c>
      <c r="J4004" s="1" t="s">
        <v>421</v>
      </c>
      <c r="K4004">
        <v>0</v>
      </c>
      <c r="L4004">
        <v>0</v>
      </c>
      <c r="M4004">
        <v>22910</v>
      </c>
      <c r="N4004">
        <v>2</v>
      </c>
      <c r="O4004" s="1" t="s">
        <v>569</v>
      </c>
      <c r="P4004">
        <v>2291</v>
      </c>
      <c r="Q4004">
        <v>1074.49</v>
      </c>
      <c r="R4004">
        <v>1</v>
      </c>
      <c r="S4004" s="1" t="s">
        <v>698</v>
      </c>
      <c r="T4004" s="1"/>
      <c r="U4004">
        <v>2291</v>
      </c>
      <c r="V4004">
        <v>0</v>
      </c>
      <c r="W4004">
        <v>62513</v>
      </c>
    </row>
    <row r="4005" spans="1:23" x14ac:dyDescent="0.25">
      <c r="A4005" s="1" t="s">
        <v>39</v>
      </c>
      <c r="B4005" s="1" t="s">
        <v>83</v>
      </c>
      <c r="C4005" s="1" t="s">
        <v>208</v>
      </c>
      <c r="D4005">
        <v>6339</v>
      </c>
      <c r="E4005" s="1"/>
      <c r="F4005" s="1" t="s">
        <v>341</v>
      </c>
      <c r="G4005">
        <v>2008</v>
      </c>
      <c r="H4005">
        <v>2192</v>
      </c>
      <c r="I4005">
        <v>12</v>
      </c>
      <c r="J4005" s="1" t="s">
        <v>421</v>
      </c>
      <c r="K4005">
        <v>0</v>
      </c>
      <c r="L4005">
        <v>0</v>
      </c>
      <c r="M4005">
        <v>21920</v>
      </c>
      <c r="N4005">
        <v>2</v>
      </c>
      <c r="O4005" s="1" t="s">
        <v>569</v>
      </c>
      <c r="P4005">
        <v>2192</v>
      </c>
      <c r="Q4005">
        <v>1028.04</v>
      </c>
      <c r="R4005">
        <v>1</v>
      </c>
      <c r="S4005" s="1" t="s">
        <v>698</v>
      </c>
      <c r="T4005" s="1"/>
      <c r="U4005">
        <v>2191.9999899999998</v>
      </c>
      <c r="V4005">
        <v>0</v>
      </c>
      <c r="W4005">
        <v>62513</v>
      </c>
    </row>
    <row r="4006" spans="1:23" x14ac:dyDescent="0.25">
      <c r="A4006" s="1" t="s">
        <v>39</v>
      </c>
      <c r="B4006" s="1" t="s">
        <v>83</v>
      </c>
      <c r="C4006" s="1" t="s">
        <v>208</v>
      </c>
      <c r="D4006">
        <v>5454</v>
      </c>
      <c r="E4006" s="1"/>
      <c r="F4006" s="1" t="s">
        <v>343</v>
      </c>
      <c r="G4006">
        <v>2015</v>
      </c>
      <c r="H4006">
        <v>8509.0400000000009</v>
      </c>
      <c r="I4006">
        <v>5</v>
      </c>
      <c r="J4006" s="1" t="s">
        <v>421</v>
      </c>
      <c r="K4006">
        <v>0</v>
      </c>
      <c r="L4006">
        <v>50</v>
      </c>
      <c r="M4006">
        <v>169.841117</v>
      </c>
      <c r="N4006">
        <v>2</v>
      </c>
      <c r="O4006" s="1" t="s">
        <v>569</v>
      </c>
      <c r="P4006">
        <v>8509.0400000000009</v>
      </c>
      <c r="Q4006">
        <v>3403.61</v>
      </c>
      <c r="R4006">
        <v>1</v>
      </c>
      <c r="S4006" s="1" t="s">
        <v>1109</v>
      </c>
      <c r="T4006" s="1"/>
      <c r="U4006">
        <v>8509.03125</v>
      </c>
      <c r="V4006">
        <v>0</v>
      </c>
      <c r="W4006">
        <v>57747</v>
      </c>
    </row>
    <row r="4007" spans="1:23" x14ac:dyDescent="0.25">
      <c r="A4007" s="1" t="s">
        <v>39</v>
      </c>
      <c r="B4007" s="1" t="s">
        <v>83</v>
      </c>
      <c r="C4007" s="1" t="s">
        <v>208</v>
      </c>
      <c r="D4007">
        <v>5454</v>
      </c>
      <c r="E4007" s="1"/>
      <c r="F4007" s="1" t="s">
        <v>343</v>
      </c>
      <c r="G4007">
        <v>2015</v>
      </c>
      <c r="H4007">
        <v>307.47000000000003</v>
      </c>
      <c r="I4007">
        <v>5</v>
      </c>
      <c r="J4007" s="1" t="s">
        <v>421</v>
      </c>
      <c r="K4007">
        <v>0</v>
      </c>
      <c r="L4007">
        <v>50</v>
      </c>
      <c r="M4007">
        <v>6.1371250000000002</v>
      </c>
      <c r="N4007">
        <v>2</v>
      </c>
      <c r="O4007" s="1" t="s">
        <v>569</v>
      </c>
      <c r="P4007">
        <v>307.47000000000003</v>
      </c>
      <c r="Q4007">
        <v>122.98</v>
      </c>
      <c r="R4007">
        <v>1</v>
      </c>
      <c r="S4007" s="1" t="s">
        <v>1110</v>
      </c>
      <c r="T4007" s="1"/>
      <c r="U4007">
        <v>307.46875</v>
      </c>
      <c r="V4007">
        <v>0</v>
      </c>
      <c r="W4007">
        <v>57748</v>
      </c>
    </row>
    <row r="4008" spans="1:23" x14ac:dyDescent="0.25">
      <c r="A4008" s="1" t="s">
        <v>39</v>
      </c>
      <c r="B4008" s="1" t="s">
        <v>83</v>
      </c>
      <c r="C4008" s="1" t="s">
        <v>208</v>
      </c>
      <c r="D4008">
        <v>5454</v>
      </c>
      <c r="E4008" s="1"/>
      <c r="F4008" s="1" t="s">
        <v>343</v>
      </c>
      <c r="G4008">
        <v>2014</v>
      </c>
      <c r="H4008">
        <v>20886.98</v>
      </c>
      <c r="I4008">
        <v>12</v>
      </c>
      <c r="J4008" s="1" t="s">
        <v>421</v>
      </c>
      <c r="K4008">
        <v>0</v>
      </c>
      <c r="L4008">
        <v>50</v>
      </c>
      <c r="M4008">
        <v>416.90578799999997</v>
      </c>
      <c r="N4008">
        <v>2</v>
      </c>
      <c r="O4008" s="1" t="s">
        <v>569</v>
      </c>
      <c r="P4008">
        <v>20886.98</v>
      </c>
      <c r="Q4008">
        <v>8354.7900000000009</v>
      </c>
      <c r="R4008">
        <v>1</v>
      </c>
      <c r="S4008" s="1" t="s">
        <v>1109</v>
      </c>
      <c r="T4008" s="1"/>
      <c r="U4008">
        <v>20886.96875</v>
      </c>
      <c r="V4008">
        <v>0</v>
      </c>
      <c r="W4008">
        <v>57747</v>
      </c>
    </row>
    <row r="4009" spans="1:23" x14ac:dyDescent="0.25">
      <c r="A4009" s="1" t="s">
        <v>39</v>
      </c>
      <c r="B4009" s="1" t="s">
        <v>83</v>
      </c>
      <c r="C4009" s="1" t="s">
        <v>208</v>
      </c>
      <c r="D4009">
        <v>5454</v>
      </c>
      <c r="E4009" s="1"/>
      <c r="F4009" s="1" t="s">
        <v>343</v>
      </c>
      <c r="G4009">
        <v>2014</v>
      </c>
      <c r="H4009">
        <v>1095.75</v>
      </c>
      <c r="I4009">
        <v>12</v>
      </c>
      <c r="J4009" s="1" t="s">
        <v>421</v>
      </c>
      <c r="K4009">
        <v>0</v>
      </c>
      <c r="L4009">
        <v>50</v>
      </c>
      <c r="M4009">
        <v>21.871257</v>
      </c>
      <c r="N4009">
        <v>2</v>
      </c>
      <c r="O4009" s="1" t="s">
        <v>569</v>
      </c>
      <c r="P4009">
        <v>1095.75</v>
      </c>
      <c r="Q4009">
        <v>438.29</v>
      </c>
      <c r="R4009">
        <v>1</v>
      </c>
      <c r="S4009" s="1" t="s">
        <v>1110</v>
      </c>
      <c r="T4009" s="1"/>
      <c r="U4009">
        <v>1095.7570599999999</v>
      </c>
      <c r="V4009">
        <v>0</v>
      </c>
      <c r="W4009">
        <v>57748</v>
      </c>
    </row>
    <row r="4010" spans="1:23" x14ac:dyDescent="0.25">
      <c r="A4010" s="1" t="s">
        <v>39</v>
      </c>
      <c r="B4010" s="1" t="s">
        <v>83</v>
      </c>
      <c r="C4010" s="1" t="s">
        <v>208</v>
      </c>
      <c r="D4010">
        <v>5454</v>
      </c>
      <c r="E4010" s="1"/>
      <c r="F4010" s="1" t="s">
        <v>343</v>
      </c>
      <c r="G4010">
        <v>2013</v>
      </c>
      <c r="H4010">
        <v>17960.02</v>
      </c>
      <c r="I4010">
        <v>11</v>
      </c>
      <c r="J4010" s="1" t="s">
        <v>421</v>
      </c>
      <c r="K4010">
        <v>0</v>
      </c>
      <c r="L4010">
        <v>50</v>
      </c>
      <c r="M4010">
        <v>358.48343299999999</v>
      </c>
      <c r="N4010">
        <v>2</v>
      </c>
      <c r="O4010" s="1" t="s">
        <v>569</v>
      </c>
      <c r="P4010">
        <v>17960.02</v>
      </c>
      <c r="Q4010">
        <v>7184.01</v>
      </c>
      <c r="R4010">
        <v>1</v>
      </c>
      <c r="S4010" s="1" t="s">
        <v>1109</v>
      </c>
      <c r="T4010" s="1"/>
      <c r="U4010">
        <v>17960.030299999999</v>
      </c>
      <c r="V4010">
        <v>0</v>
      </c>
      <c r="W4010">
        <v>57747</v>
      </c>
    </row>
    <row r="4011" spans="1:23" x14ac:dyDescent="0.25">
      <c r="A4011" s="1" t="s">
        <v>39</v>
      </c>
      <c r="B4011" s="1" t="s">
        <v>83</v>
      </c>
      <c r="C4011" s="1" t="s">
        <v>208</v>
      </c>
      <c r="D4011">
        <v>5454</v>
      </c>
      <c r="E4011" s="1"/>
      <c r="F4011" s="1" t="s">
        <v>343</v>
      </c>
      <c r="G4011">
        <v>2013</v>
      </c>
      <c r="H4011">
        <v>925.79</v>
      </c>
      <c r="I4011">
        <v>11</v>
      </c>
      <c r="J4011" s="1" t="s">
        <v>421</v>
      </c>
      <c r="K4011">
        <v>0</v>
      </c>
      <c r="L4011">
        <v>50</v>
      </c>
      <c r="M4011">
        <v>18.478842</v>
      </c>
      <c r="N4011">
        <v>2</v>
      </c>
      <c r="O4011" s="1" t="s">
        <v>569</v>
      </c>
      <c r="P4011">
        <v>925.79</v>
      </c>
      <c r="Q4011">
        <v>370.31</v>
      </c>
      <c r="R4011">
        <v>1</v>
      </c>
      <c r="S4011" s="1" t="s">
        <v>1110</v>
      </c>
      <c r="T4011" s="1"/>
      <c r="U4011">
        <v>925.77418999999998</v>
      </c>
      <c r="V4011">
        <v>0</v>
      </c>
      <c r="W4011">
        <v>57748</v>
      </c>
    </row>
    <row r="4012" spans="1:23" x14ac:dyDescent="0.25">
      <c r="A4012" s="1" t="s">
        <v>39</v>
      </c>
      <c r="B4012" s="1" t="s">
        <v>83</v>
      </c>
      <c r="C4012" s="1" t="s">
        <v>208</v>
      </c>
      <c r="D4012">
        <v>5454</v>
      </c>
      <c r="E4012" s="1"/>
      <c r="F4012" s="1" t="s">
        <v>343</v>
      </c>
      <c r="G4012">
        <v>2012</v>
      </c>
      <c r="H4012">
        <v>309</v>
      </c>
      <c r="I4012">
        <v>13</v>
      </c>
      <c r="J4012" s="1" t="s">
        <v>421</v>
      </c>
      <c r="K4012">
        <v>0</v>
      </c>
      <c r="L4012">
        <v>50</v>
      </c>
      <c r="M4012">
        <v>6.1676640000000003</v>
      </c>
      <c r="N4012">
        <v>2</v>
      </c>
      <c r="O4012" s="1" t="s">
        <v>569</v>
      </c>
      <c r="P4012">
        <v>309</v>
      </c>
      <c r="Q4012">
        <v>123.6</v>
      </c>
      <c r="R4012">
        <v>1</v>
      </c>
      <c r="S4012" s="1" t="s">
        <v>1110</v>
      </c>
      <c r="T4012" s="1"/>
      <c r="U4012">
        <v>309</v>
      </c>
      <c r="V4012">
        <v>0</v>
      </c>
      <c r="W4012">
        <v>57748</v>
      </c>
    </row>
    <row r="4013" spans="1:23" x14ac:dyDescent="0.25">
      <c r="A4013" s="1" t="s">
        <v>39</v>
      </c>
      <c r="B4013" s="1" t="s">
        <v>83</v>
      </c>
      <c r="C4013" s="1" t="s">
        <v>208</v>
      </c>
      <c r="D4013">
        <v>5454</v>
      </c>
      <c r="E4013" s="1"/>
      <c r="F4013" s="1" t="s">
        <v>343</v>
      </c>
      <c r="G4013">
        <v>2012</v>
      </c>
      <c r="H4013">
        <v>12221.36</v>
      </c>
      <c r="I4013">
        <v>12</v>
      </c>
      <c r="J4013" s="1" t="s">
        <v>421</v>
      </c>
      <c r="K4013">
        <v>0</v>
      </c>
      <c r="L4013">
        <v>50</v>
      </c>
      <c r="M4013">
        <v>243.93932100000001</v>
      </c>
      <c r="N4013">
        <v>2</v>
      </c>
      <c r="O4013" s="1" t="s">
        <v>569</v>
      </c>
      <c r="P4013">
        <v>12221.36</v>
      </c>
      <c r="Q4013">
        <v>4888.54</v>
      </c>
      <c r="R4013">
        <v>1</v>
      </c>
      <c r="S4013" s="1" t="s">
        <v>1109</v>
      </c>
      <c r="T4013" s="1"/>
      <c r="U4013">
        <v>12221.36363</v>
      </c>
      <c r="V4013">
        <v>0</v>
      </c>
      <c r="W4013">
        <v>57747</v>
      </c>
    </row>
    <row r="4014" spans="1:23" x14ac:dyDescent="0.25">
      <c r="A4014" s="1" t="s">
        <v>39</v>
      </c>
      <c r="B4014" s="1" t="s">
        <v>83</v>
      </c>
      <c r="C4014" s="1" t="s">
        <v>208</v>
      </c>
      <c r="D4014">
        <v>5454</v>
      </c>
      <c r="E4014" s="1"/>
      <c r="F4014" s="1" t="s">
        <v>343</v>
      </c>
      <c r="G4014">
        <v>2011</v>
      </c>
      <c r="H4014">
        <v>0</v>
      </c>
      <c r="I4014">
        <v>12</v>
      </c>
      <c r="J4014" s="1" t="s">
        <v>421</v>
      </c>
      <c r="K4014">
        <v>0</v>
      </c>
      <c r="L4014">
        <v>50</v>
      </c>
      <c r="M4014">
        <v>0</v>
      </c>
      <c r="N4014">
        <v>2</v>
      </c>
      <c r="O4014" s="1" t="s">
        <v>569</v>
      </c>
      <c r="P4014">
        <v>0</v>
      </c>
      <c r="Q4014">
        <v>0</v>
      </c>
      <c r="R4014">
        <v>1</v>
      </c>
      <c r="S4014" s="1" t="s">
        <v>1110</v>
      </c>
      <c r="T4014" s="1"/>
      <c r="U4014">
        <v>0</v>
      </c>
      <c r="V4014">
        <v>0</v>
      </c>
      <c r="W4014">
        <v>57748</v>
      </c>
    </row>
    <row r="4015" spans="1:23" x14ac:dyDescent="0.25">
      <c r="A4015" s="1" t="s">
        <v>39</v>
      </c>
      <c r="B4015" s="1" t="s">
        <v>83</v>
      </c>
      <c r="C4015" s="1" t="s">
        <v>208</v>
      </c>
      <c r="D4015">
        <v>5454</v>
      </c>
      <c r="E4015" s="1"/>
      <c r="F4015" s="1" t="s">
        <v>343</v>
      </c>
      <c r="G4015">
        <v>2011</v>
      </c>
      <c r="H4015">
        <v>7544.64</v>
      </c>
      <c r="I4015">
        <v>13</v>
      </c>
      <c r="J4015" s="1" t="s">
        <v>421</v>
      </c>
      <c r="K4015">
        <v>0</v>
      </c>
      <c r="L4015">
        <v>50</v>
      </c>
      <c r="M4015">
        <v>150.59161599999999</v>
      </c>
      <c r="N4015">
        <v>2</v>
      </c>
      <c r="O4015" s="1" t="s">
        <v>569</v>
      </c>
      <c r="P4015">
        <v>7544.64</v>
      </c>
      <c r="Q4015">
        <v>3538.44</v>
      </c>
      <c r="R4015">
        <v>1</v>
      </c>
      <c r="S4015" s="1" t="s">
        <v>1109</v>
      </c>
      <c r="T4015" s="1"/>
      <c r="U4015">
        <v>7544.6363700000002</v>
      </c>
      <c r="V4015">
        <v>0</v>
      </c>
      <c r="W4015">
        <v>57747</v>
      </c>
    </row>
    <row r="4016" spans="1:23" x14ac:dyDescent="0.25">
      <c r="A4016" s="1" t="s">
        <v>39</v>
      </c>
      <c r="B4016" s="1" t="s">
        <v>83</v>
      </c>
      <c r="C4016" s="1" t="s">
        <v>208</v>
      </c>
      <c r="D4016">
        <v>5454</v>
      </c>
      <c r="E4016" s="1"/>
      <c r="F4016" s="1" t="s">
        <v>343</v>
      </c>
      <c r="G4016">
        <v>2010</v>
      </c>
      <c r="H4016">
        <v>0.09</v>
      </c>
      <c r="I4016">
        <v>12</v>
      </c>
      <c r="J4016" s="1" t="s">
        <v>421</v>
      </c>
      <c r="K4016">
        <v>0</v>
      </c>
      <c r="L4016">
        <v>50</v>
      </c>
      <c r="M4016">
        <v>1.7960000000000001E-3</v>
      </c>
      <c r="N4016">
        <v>2</v>
      </c>
      <c r="O4016" s="1" t="s">
        <v>569</v>
      </c>
      <c r="P4016">
        <v>0.09</v>
      </c>
      <c r="Q4016">
        <v>0.04</v>
      </c>
      <c r="R4016">
        <v>1</v>
      </c>
      <c r="S4016" s="1" t="s">
        <v>1110</v>
      </c>
      <c r="T4016" s="1"/>
      <c r="U4016">
        <v>8.8239999999999999E-2</v>
      </c>
      <c r="V4016">
        <v>0</v>
      </c>
      <c r="W4016">
        <v>57748</v>
      </c>
    </row>
    <row r="4017" spans="1:23" x14ac:dyDescent="0.25">
      <c r="A4017" s="1" t="s">
        <v>39</v>
      </c>
      <c r="B4017" s="1" t="s">
        <v>83</v>
      </c>
      <c r="C4017" s="1" t="s">
        <v>208</v>
      </c>
      <c r="D4017">
        <v>5454</v>
      </c>
      <c r="E4017" s="1"/>
      <c r="F4017" s="1" t="s">
        <v>343</v>
      </c>
      <c r="G4017">
        <v>2010</v>
      </c>
      <c r="H4017">
        <v>12856.6</v>
      </c>
      <c r="I4017">
        <v>12</v>
      </c>
      <c r="J4017" s="1" t="s">
        <v>421</v>
      </c>
      <c r="K4017">
        <v>0</v>
      </c>
      <c r="L4017">
        <v>50</v>
      </c>
      <c r="M4017">
        <v>256.618762</v>
      </c>
      <c r="N4017">
        <v>2</v>
      </c>
      <c r="O4017" s="1" t="s">
        <v>569</v>
      </c>
      <c r="P4017">
        <v>12856.6</v>
      </c>
      <c r="Q4017">
        <v>6029.75</v>
      </c>
      <c r="R4017">
        <v>1</v>
      </c>
      <c r="S4017" s="1" t="s">
        <v>1109</v>
      </c>
      <c r="T4017" s="1"/>
      <c r="U4017">
        <v>12856.58733</v>
      </c>
      <c r="V4017">
        <v>0</v>
      </c>
      <c r="W4017">
        <v>57747</v>
      </c>
    </row>
    <row r="4018" spans="1:23" x14ac:dyDescent="0.25">
      <c r="A4018" s="1" t="s">
        <v>39</v>
      </c>
      <c r="B4018" s="1" t="s">
        <v>83</v>
      </c>
      <c r="C4018" s="1" t="s">
        <v>208</v>
      </c>
      <c r="D4018">
        <v>5454</v>
      </c>
      <c r="E4018" s="1"/>
      <c r="F4018" s="1" t="s">
        <v>343</v>
      </c>
      <c r="G4018">
        <v>2009</v>
      </c>
      <c r="H4018">
        <v>14396.54</v>
      </c>
      <c r="I4018">
        <v>13</v>
      </c>
      <c r="J4018" s="1" t="s">
        <v>421</v>
      </c>
      <c r="K4018">
        <v>0</v>
      </c>
      <c r="L4018">
        <v>50</v>
      </c>
      <c r="M4018">
        <v>287.356087</v>
      </c>
      <c r="N4018">
        <v>2</v>
      </c>
      <c r="O4018" s="1" t="s">
        <v>569</v>
      </c>
      <c r="P4018">
        <v>14396.54</v>
      </c>
      <c r="Q4018">
        <v>6751.97</v>
      </c>
      <c r="R4018">
        <v>1</v>
      </c>
      <c r="S4018" s="1" t="s">
        <v>1109</v>
      </c>
      <c r="T4018" s="1"/>
      <c r="U4018">
        <v>14396.5386</v>
      </c>
      <c r="V4018">
        <v>0</v>
      </c>
      <c r="W4018">
        <v>57747</v>
      </c>
    </row>
    <row r="4019" spans="1:23" x14ac:dyDescent="0.25">
      <c r="A4019" s="1" t="s">
        <v>39</v>
      </c>
      <c r="B4019" s="1" t="s">
        <v>83</v>
      </c>
      <c r="C4019" s="1" t="s">
        <v>208</v>
      </c>
      <c r="D4019">
        <v>5454</v>
      </c>
      <c r="E4019" s="1"/>
      <c r="F4019" s="1" t="s">
        <v>343</v>
      </c>
      <c r="G4019">
        <v>2009</v>
      </c>
      <c r="H4019">
        <v>0.91</v>
      </c>
      <c r="I4019">
        <v>13</v>
      </c>
      <c r="J4019" s="1" t="s">
        <v>421</v>
      </c>
      <c r="K4019">
        <v>0</v>
      </c>
      <c r="L4019">
        <v>50</v>
      </c>
      <c r="M4019">
        <v>1.8162999999999999E-2</v>
      </c>
      <c r="N4019">
        <v>2</v>
      </c>
      <c r="O4019" s="1" t="s">
        <v>569</v>
      </c>
      <c r="P4019">
        <v>0.91</v>
      </c>
      <c r="Q4019">
        <v>0.43</v>
      </c>
      <c r="R4019">
        <v>1</v>
      </c>
      <c r="S4019" s="1" t="s">
        <v>1110</v>
      </c>
      <c r="T4019" s="1"/>
      <c r="U4019">
        <v>0.91176000000000001</v>
      </c>
      <c r="V4019">
        <v>0</v>
      </c>
      <c r="W4019">
        <v>57748</v>
      </c>
    </row>
    <row r="4020" spans="1:23" x14ac:dyDescent="0.25">
      <c r="A4020" s="1" t="s">
        <v>39</v>
      </c>
      <c r="B4020" s="1" t="s">
        <v>83</v>
      </c>
      <c r="C4020" s="1" t="s">
        <v>208</v>
      </c>
      <c r="D4020">
        <v>5454</v>
      </c>
      <c r="E4020" s="1"/>
      <c r="F4020" s="1" t="s">
        <v>343</v>
      </c>
      <c r="G4020">
        <v>2008</v>
      </c>
      <c r="H4020">
        <v>294.89</v>
      </c>
      <c r="I4020">
        <v>12</v>
      </c>
      <c r="J4020" s="1" t="s">
        <v>421</v>
      </c>
      <c r="K4020">
        <v>0</v>
      </c>
      <c r="L4020">
        <v>50</v>
      </c>
      <c r="M4020">
        <v>5.8860270000000003</v>
      </c>
      <c r="N4020">
        <v>2</v>
      </c>
      <c r="O4020" s="1" t="s">
        <v>569</v>
      </c>
      <c r="P4020">
        <v>294.89</v>
      </c>
      <c r="Q4020">
        <v>138.29</v>
      </c>
      <c r="R4020">
        <v>1</v>
      </c>
      <c r="S4020" s="1" t="s">
        <v>1110</v>
      </c>
      <c r="T4020" s="1"/>
      <c r="U4020">
        <v>294.87878000000001</v>
      </c>
      <c r="V4020">
        <v>0</v>
      </c>
      <c r="W4020">
        <v>57748</v>
      </c>
    </row>
    <row r="4021" spans="1:23" x14ac:dyDescent="0.25">
      <c r="A4021" s="1" t="s">
        <v>39</v>
      </c>
      <c r="B4021" s="1" t="s">
        <v>83</v>
      </c>
      <c r="C4021" s="1" t="s">
        <v>208</v>
      </c>
      <c r="D4021">
        <v>5454</v>
      </c>
      <c r="E4021" s="1"/>
      <c r="F4021" s="1" t="s">
        <v>343</v>
      </c>
      <c r="G4021">
        <v>2008</v>
      </c>
      <c r="H4021">
        <v>26202.14</v>
      </c>
      <c r="I4021">
        <v>12</v>
      </c>
      <c r="J4021" s="1" t="s">
        <v>421</v>
      </c>
      <c r="K4021">
        <v>0</v>
      </c>
      <c r="L4021">
        <v>50</v>
      </c>
      <c r="M4021">
        <v>522.99680599999999</v>
      </c>
      <c r="N4021">
        <v>2</v>
      </c>
      <c r="O4021" s="1" t="s">
        <v>569</v>
      </c>
      <c r="P4021">
        <v>26202.14</v>
      </c>
      <c r="Q4021">
        <v>12288.8</v>
      </c>
      <c r="R4021">
        <v>1</v>
      </c>
      <c r="S4021" s="1" t="s">
        <v>1109</v>
      </c>
      <c r="T4021" s="1"/>
      <c r="U4021">
        <v>26202.146789999999</v>
      </c>
      <c r="V4021">
        <v>0</v>
      </c>
      <c r="W4021">
        <v>57747</v>
      </c>
    </row>
    <row r="4022" spans="1:23" x14ac:dyDescent="0.25">
      <c r="A4022" s="1" t="s">
        <v>39</v>
      </c>
      <c r="B4022" s="1" t="s">
        <v>83</v>
      </c>
      <c r="C4022" s="1" t="s">
        <v>208</v>
      </c>
      <c r="D4022">
        <v>5449</v>
      </c>
      <c r="E4022" s="1"/>
      <c r="F4022" s="1" t="s">
        <v>344</v>
      </c>
      <c r="G4022">
        <v>2015</v>
      </c>
      <c r="H4022">
        <v>185797.25</v>
      </c>
      <c r="I4022">
        <v>5</v>
      </c>
      <c r="J4022" s="1"/>
      <c r="K4022">
        <v>0</v>
      </c>
      <c r="L4022">
        <v>7709</v>
      </c>
      <c r="M4022">
        <v>24.101029</v>
      </c>
      <c r="N4022">
        <v>2</v>
      </c>
      <c r="O4022" s="1" t="s">
        <v>569</v>
      </c>
      <c r="P4022">
        <v>185797.25</v>
      </c>
      <c r="Q4022">
        <v>74318.899999999994</v>
      </c>
      <c r="R4022">
        <v>0</v>
      </c>
      <c r="S4022" s="1" t="s">
        <v>1111</v>
      </c>
      <c r="T4022" s="1" t="s">
        <v>1346</v>
      </c>
      <c r="U4022">
        <v>185797.25</v>
      </c>
      <c r="V4022">
        <v>0</v>
      </c>
      <c r="W4022">
        <v>57533</v>
      </c>
    </row>
    <row r="4023" spans="1:23" x14ac:dyDescent="0.25">
      <c r="A4023" s="1" t="s">
        <v>39</v>
      </c>
      <c r="B4023" s="1" t="s">
        <v>83</v>
      </c>
      <c r="C4023" s="1" t="s">
        <v>208</v>
      </c>
      <c r="D4023">
        <v>5449</v>
      </c>
      <c r="E4023" s="1"/>
      <c r="F4023" s="1" t="s">
        <v>344</v>
      </c>
      <c r="G4023">
        <v>2015</v>
      </c>
      <c r="H4023">
        <v>48270.35</v>
      </c>
      <c r="I4023">
        <v>5</v>
      </c>
      <c r="J4023" s="1"/>
      <c r="K4023">
        <v>0</v>
      </c>
      <c r="L4023">
        <v>7709</v>
      </c>
      <c r="M4023">
        <v>6.261476</v>
      </c>
      <c r="N4023">
        <v>2</v>
      </c>
      <c r="O4023" s="1" t="s">
        <v>569</v>
      </c>
      <c r="P4023">
        <v>48270.35</v>
      </c>
      <c r="Q4023">
        <v>19308.150000000001</v>
      </c>
      <c r="R4023">
        <v>0</v>
      </c>
      <c r="S4023" s="1" t="s">
        <v>1112</v>
      </c>
      <c r="T4023" s="1" t="s">
        <v>1347</v>
      </c>
      <c r="U4023">
        <v>48270.345000000001</v>
      </c>
      <c r="V4023">
        <v>0</v>
      </c>
      <c r="W4023">
        <v>57544</v>
      </c>
    </row>
    <row r="4024" spans="1:23" x14ac:dyDescent="0.25">
      <c r="A4024" s="1" t="s">
        <v>39</v>
      </c>
      <c r="B4024" s="1" t="s">
        <v>83</v>
      </c>
      <c r="C4024" s="1" t="s">
        <v>208</v>
      </c>
      <c r="D4024">
        <v>5449</v>
      </c>
      <c r="E4024" s="1"/>
      <c r="F4024" s="1" t="s">
        <v>344</v>
      </c>
      <c r="G4024">
        <v>2015</v>
      </c>
      <c r="H4024">
        <v>10805.24</v>
      </c>
      <c r="I4024">
        <v>5</v>
      </c>
      <c r="J4024" s="1" t="s">
        <v>402</v>
      </c>
      <c r="K4024">
        <v>0</v>
      </c>
      <c r="L4024">
        <v>7709</v>
      </c>
      <c r="M4024">
        <v>1.401621</v>
      </c>
      <c r="N4024">
        <v>2</v>
      </c>
      <c r="O4024" s="1" t="s">
        <v>569</v>
      </c>
      <c r="P4024">
        <v>10805.24</v>
      </c>
      <c r="Q4024">
        <v>4322.1000000000004</v>
      </c>
      <c r="R4024">
        <v>0</v>
      </c>
      <c r="S4024" s="1" t="s">
        <v>1113</v>
      </c>
      <c r="T4024" s="1" t="s">
        <v>1347</v>
      </c>
      <c r="U4024">
        <v>10805.25</v>
      </c>
      <c r="V4024">
        <v>0</v>
      </c>
      <c r="W4024">
        <v>57542</v>
      </c>
    </row>
    <row r="4025" spans="1:23" x14ac:dyDescent="0.25">
      <c r="A4025" s="1" t="s">
        <v>39</v>
      </c>
      <c r="B4025" s="1" t="s">
        <v>83</v>
      </c>
      <c r="C4025" s="1" t="s">
        <v>208</v>
      </c>
      <c r="D4025">
        <v>5449</v>
      </c>
      <c r="E4025" s="1"/>
      <c r="F4025" s="1" t="s">
        <v>344</v>
      </c>
      <c r="G4025">
        <v>2014</v>
      </c>
      <c r="H4025">
        <v>444492.65</v>
      </c>
      <c r="I4025">
        <v>12</v>
      </c>
      <c r="J4025" s="1"/>
      <c r="K4025">
        <v>0</v>
      </c>
      <c r="L4025">
        <v>7709</v>
      </c>
      <c r="M4025">
        <v>57.658175999999997</v>
      </c>
      <c r="N4025">
        <v>2</v>
      </c>
      <c r="O4025" s="1" t="s">
        <v>569</v>
      </c>
      <c r="P4025">
        <v>444492.65</v>
      </c>
      <c r="Q4025">
        <v>177797.06</v>
      </c>
      <c r="R4025">
        <v>0</v>
      </c>
      <c r="S4025" s="1" t="s">
        <v>1111</v>
      </c>
      <c r="T4025" s="1" t="s">
        <v>1346</v>
      </c>
      <c r="U4025">
        <v>444492.65</v>
      </c>
      <c r="V4025">
        <v>0</v>
      </c>
      <c r="W4025">
        <v>57533</v>
      </c>
    </row>
    <row r="4026" spans="1:23" x14ac:dyDescent="0.25">
      <c r="A4026" s="1" t="s">
        <v>39</v>
      </c>
      <c r="B4026" s="1" t="s">
        <v>83</v>
      </c>
      <c r="C4026" s="1" t="s">
        <v>208</v>
      </c>
      <c r="D4026">
        <v>5449</v>
      </c>
      <c r="E4026" s="1"/>
      <c r="F4026" s="1" t="s">
        <v>344</v>
      </c>
      <c r="G4026">
        <v>2014</v>
      </c>
      <c r="H4026">
        <v>22234.12</v>
      </c>
      <c r="I4026">
        <v>12</v>
      </c>
      <c r="J4026" s="1" t="s">
        <v>402</v>
      </c>
      <c r="K4026">
        <v>0</v>
      </c>
      <c r="L4026">
        <v>7709</v>
      </c>
      <c r="M4026">
        <v>2.8841389999999998</v>
      </c>
      <c r="N4026">
        <v>2</v>
      </c>
      <c r="O4026" s="1" t="s">
        <v>569</v>
      </c>
      <c r="P4026">
        <v>22234.12</v>
      </c>
      <c r="Q4026">
        <v>8893.6299999999992</v>
      </c>
      <c r="R4026">
        <v>0</v>
      </c>
      <c r="S4026" s="1" t="s">
        <v>1113</v>
      </c>
      <c r="T4026" s="1" t="s">
        <v>1347</v>
      </c>
      <c r="U4026">
        <v>22234.095000000001</v>
      </c>
      <c r="V4026">
        <v>0</v>
      </c>
      <c r="W4026">
        <v>57542</v>
      </c>
    </row>
    <row r="4027" spans="1:23" x14ac:dyDescent="0.25">
      <c r="A4027" s="1" t="s">
        <v>39</v>
      </c>
      <c r="B4027" s="1" t="s">
        <v>83</v>
      </c>
      <c r="C4027" s="1" t="s">
        <v>208</v>
      </c>
      <c r="D4027">
        <v>5449</v>
      </c>
      <c r="E4027" s="1"/>
      <c r="F4027" s="1" t="s">
        <v>344</v>
      </c>
      <c r="G4027">
        <v>2014</v>
      </c>
      <c r="H4027">
        <v>115921.14</v>
      </c>
      <c r="I4027">
        <v>12</v>
      </c>
      <c r="J4027" s="1"/>
      <c r="K4027">
        <v>0</v>
      </c>
      <c r="L4027">
        <v>7709</v>
      </c>
      <c r="M4027">
        <v>15.036922000000001</v>
      </c>
      <c r="N4027">
        <v>2</v>
      </c>
      <c r="O4027" s="1" t="s">
        <v>569</v>
      </c>
      <c r="P4027">
        <v>115921.14</v>
      </c>
      <c r="Q4027">
        <v>46368.45</v>
      </c>
      <c r="R4027">
        <v>0</v>
      </c>
      <c r="S4027" s="1" t="s">
        <v>1112</v>
      </c>
      <c r="T4027" s="1" t="s">
        <v>1347</v>
      </c>
      <c r="U4027">
        <v>115921.13499999999</v>
      </c>
      <c r="V4027">
        <v>0</v>
      </c>
      <c r="W4027">
        <v>57544</v>
      </c>
    </row>
    <row r="4028" spans="1:23" x14ac:dyDescent="0.25">
      <c r="A4028" s="1" t="s">
        <v>39</v>
      </c>
      <c r="B4028" s="1" t="s">
        <v>83</v>
      </c>
      <c r="C4028" s="1" t="s">
        <v>208</v>
      </c>
      <c r="D4028">
        <v>5449</v>
      </c>
      <c r="E4028" s="1"/>
      <c r="F4028" s="1" t="s">
        <v>344</v>
      </c>
      <c r="G4028">
        <v>2013</v>
      </c>
      <c r="H4028">
        <v>427718.65</v>
      </c>
      <c r="I4028">
        <v>12</v>
      </c>
      <c r="J4028" s="1"/>
      <c r="K4028">
        <v>0</v>
      </c>
      <c r="L4028">
        <v>7709</v>
      </c>
      <c r="M4028">
        <v>55.482306000000001</v>
      </c>
      <c r="N4028">
        <v>2</v>
      </c>
      <c r="O4028" s="1" t="s">
        <v>569</v>
      </c>
      <c r="P4028">
        <v>427718.65</v>
      </c>
      <c r="Q4028">
        <v>171087.46</v>
      </c>
      <c r="R4028">
        <v>0</v>
      </c>
      <c r="S4028" s="1" t="s">
        <v>1111</v>
      </c>
      <c r="T4028" s="1" t="s">
        <v>1346</v>
      </c>
      <c r="U4028">
        <v>427718.65</v>
      </c>
      <c r="V4028">
        <v>0</v>
      </c>
      <c r="W4028">
        <v>57533</v>
      </c>
    </row>
    <row r="4029" spans="1:23" x14ac:dyDescent="0.25">
      <c r="A4029" s="1" t="s">
        <v>39</v>
      </c>
      <c r="B4029" s="1" t="s">
        <v>83</v>
      </c>
      <c r="C4029" s="1" t="s">
        <v>208</v>
      </c>
      <c r="D4029">
        <v>5449</v>
      </c>
      <c r="E4029" s="1"/>
      <c r="F4029" s="1" t="s">
        <v>344</v>
      </c>
      <c r="G4029">
        <v>2013</v>
      </c>
      <c r="H4029">
        <v>22762.48</v>
      </c>
      <c r="I4029">
        <v>12</v>
      </c>
      <c r="J4029" s="1" t="s">
        <v>402</v>
      </c>
      <c r="K4029">
        <v>0</v>
      </c>
      <c r="L4029">
        <v>7709</v>
      </c>
      <c r="M4029">
        <v>2.9526759999999999</v>
      </c>
      <c r="N4029">
        <v>2</v>
      </c>
      <c r="O4029" s="1" t="s">
        <v>569</v>
      </c>
      <c r="P4029">
        <v>22762.48</v>
      </c>
      <c r="Q4029">
        <v>9104.98</v>
      </c>
      <c r="R4029">
        <v>0</v>
      </c>
      <c r="S4029" s="1" t="s">
        <v>1113</v>
      </c>
      <c r="T4029" s="1" t="s">
        <v>1347</v>
      </c>
      <c r="U4029">
        <v>22762.5</v>
      </c>
      <c r="V4029">
        <v>0</v>
      </c>
      <c r="W4029">
        <v>57542</v>
      </c>
    </row>
    <row r="4030" spans="1:23" x14ac:dyDescent="0.25">
      <c r="A4030" s="1" t="s">
        <v>39</v>
      </c>
      <c r="B4030" s="1" t="s">
        <v>83</v>
      </c>
      <c r="C4030" s="1" t="s">
        <v>208</v>
      </c>
      <c r="D4030">
        <v>5449</v>
      </c>
      <c r="E4030" s="1"/>
      <c r="F4030" s="1" t="s">
        <v>344</v>
      </c>
      <c r="G4030">
        <v>2013</v>
      </c>
      <c r="H4030">
        <v>110680.69</v>
      </c>
      <c r="I4030">
        <v>12</v>
      </c>
      <c r="J4030" s="1"/>
      <c r="K4030">
        <v>0</v>
      </c>
      <c r="L4030">
        <v>7709</v>
      </c>
      <c r="M4030">
        <v>14.357148</v>
      </c>
      <c r="N4030">
        <v>2</v>
      </c>
      <c r="O4030" s="1" t="s">
        <v>569</v>
      </c>
      <c r="P4030">
        <v>110680.69</v>
      </c>
      <c r="Q4030">
        <v>44272.28</v>
      </c>
      <c r="R4030">
        <v>0</v>
      </c>
      <c r="S4030" s="1" t="s">
        <v>1112</v>
      </c>
      <c r="T4030" s="1" t="s">
        <v>1347</v>
      </c>
      <c r="U4030">
        <v>110680.69</v>
      </c>
      <c r="V4030">
        <v>0</v>
      </c>
      <c r="W4030">
        <v>57544</v>
      </c>
    </row>
    <row r="4031" spans="1:23" x14ac:dyDescent="0.25">
      <c r="A4031" s="1" t="s">
        <v>39</v>
      </c>
      <c r="B4031" s="1" t="s">
        <v>83</v>
      </c>
      <c r="C4031" s="1" t="s">
        <v>208</v>
      </c>
      <c r="D4031">
        <v>5449</v>
      </c>
      <c r="E4031" s="1"/>
      <c r="F4031" s="1" t="s">
        <v>344</v>
      </c>
      <c r="G4031">
        <v>2012</v>
      </c>
      <c r="H4031">
        <v>20801.86</v>
      </c>
      <c r="I4031">
        <v>12</v>
      </c>
      <c r="J4031" s="1" t="s">
        <v>402</v>
      </c>
      <c r="K4031">
        <v>0</v>
      </c>
      <c r="L4031">
        <v>7709</v>
      </c>
      <c r="M4031">
        <v>2.6983510000000002</v>
      </c>
      <c r="N4031">
        <v>2</v>
      </c>
      <c r="O4031" s="1" t="s">
        <v>569</v>
      </c>
      <c r="P4031">
        <v>20801.86</v>
      </c>
      <c r="Q4031">
        <v>8320.75</v>
      </c>
      <c r="R4031">
        <v>0</v>
      </c>
      <c r="S4031" s="1" t="s">
        <v>1113</v>
      </c>
      <c r="T4031" s="1" t="s">
        <v>1347</v>
      </c>
      <c r="U4031">
        <v>20801.865000000002</v>
      </c>
      <c r="V4031">
        <v>0</v>
      </c>
      <c r="W4031">
        <v>57542</v>
      </c>
    </row>
    <row r="4032" spans="1:23" x14ac:dyDescent="0.25">
      <c r="A4032" s="1" t="s">
        <v>39</v>
      </c>
      <c r="B4032" s="1" t="s">
        <v>83</v>
      </c>
      <c r="C4032" s="1" t="s">
        <v>208</v>
      </c>
      <c r="D4032">
        <v>5449</v>
      </c>
      <c r="E4032" s="1"/>
      <c r="F4032" s="1" t="s">
        <v>344</v>
      </c>
      <c r="G4032">
        <v>2012</v>
      </c>
      <c r="H4032">
        <v>422386.95</v>
      </c>
      <c r="I4032">
        <v>12</v>
      </c>
      <c r="J4032" s="1"/>
      <c r="K4032">
        <v>0</v>
      </c>
      <c r="L4032">
        <v>7709</v>
      </c>
      <c r="M4032">
        <v>54.790694999999999</v>
      </c>
      <c r="N4032">
        <v>2</v>
      </c>
      <c r="O4032" s="1" t="s">
        <v>569</v>
      </c>
      <c r="P4032">
        <v>422386.95</v>
      </c>
      <c r="Q4032">
        <v>168954.78</v>
      </c>
      <c r="R4032">
        <v>0</v>
      </c>
      <c r="S4032" s="1" t="s">
        <v>1111</v>
      </c>
      <c r="T4032" s="1" t="s">
        <v>1346</v>
      </c>
      <c r="U4032">
        <v>422386.95</v>
      </c>
      <c r="V4032">
        <v>0</v>
      </c>
      <c r="W4032">
        <v>57533</v>
      </c>
    </row>
    <row r="4033" spans="1:23" x14ac:dyDescent="0.25">
      <c r="A4033" s="1" t="s">
        <v>39</v>
      </c>
      <c r="B4033" s="1" t="s">
        <v>83</v>
      </c>
      <c r="C4033" s="1" t="s">
        <v>208</v>
      </c>
      <c r="D4033">
        <v>5449</v>
      </c>
      <c r="E4033" s="1"/>
      <c r="F4033" s="1" t="s">
        <v>344</v>
      </c>
      <c r="G4033">
        <v>2012</v>
      </c>
      <c r="H4033">
        <v>120790.39999999999</v>
      </c>
      <c r="I4033">
        <v>12</v>
      </c>
      <c r="J4033" s="1"/>
      <c r="K4033">
        <v>0</v>
      </c>
      <c r="L4033">
        <v>7709</v>
      </c>
      <c r="M4033">
        <v>15.668547</v>
      </c>
      <c r="N4033">
        <v>2</v>
      </c>
      <c r="O4033" s="1" t="s">
        <v>569</v>
      </c>
      <c r="P4033">
        <v>120790.39999999999</v>
      </c>
      <c r="Q4033">
        <v>48316.160000000003</v>
      </c>
      <c r="R4033">
        <v>0</v>
      </c>
      <c r="S4033" s="1" t="s">
        <v>1112</v>
      </c>
      <c r="T4033" s="1" t="s">
        <v>1347</v>
      </c>
      <c r="U4033">
        <v>120790.405</v>
      </c>
      <c r="V4033">
        <v>0</v>
      </c>
      <c r="W4033">
        <v>57544</v>
      </c>
    </row>
    <row r="4034" spans="1:23" x14ac:dyDescent="0.25">
      <c r="A4034" s="1" t="s">
        <v>39</v>
      </c>
      <c r="B4034" s="1" t="s">
        <v>83</v>
      </c>
      <c r="C4034" s="1" t="s">
        <v>208</v>
      </c>
      <c r="D4034">
        <v>5449</v>
      </c>
      <c r="E4034" s="1"/>
      <c r="F4034" s="1" t="s">
        <v>344</v>
      </c>
      <c r="G4034">
        <v>2011</v>
      </c>
      <c r="H4034">
        <v>19999.259999999998</v>
      </c>
      <c r="I4034">
        <v>12</v>
      </c>
      <c r="J4034" s="1" t="s">
        <v>402</v>
      </c>
      <c r="K4034">
        <v>0</v>
      </c>
      <c r="L4034">
        <v>7709</v>
      </c>
      <c r="M4034">
        <v>2.5942400000000001</v>
      </c>
      <c r="N4034">
        <v>2</v>
      </c>
      <c r="O4034" s="1" t="s">
        <v>569</v>
      </c>
      <c r="P4034">
        <v>19999.259999999998</v>
      </c>
      <c r="Q4034">
        <v>9379.64</v>
      </c>
      <c r="R4034">
        <v>0</v>
      </c>
      <c r="S4034" s="1" t="s">
        <v>1113</v>
      </c>
      <c r="T4034" s="1" t="s">
        <v>1347</v>
      </c>
      <c r="U4034">
        <v>19999.244999999999</v>
      </c>
      <c r="V4034">
        <v>0</v>
      </c>
      <c r="W4034">
        <v>57542</v>
      </c>
    </row>
    <row r="4035" spans="1:23" x14ac:dyDescent="0.25">
      <c r="A4035" s="1" t="s">
        <v>39</v>
      </c>
      <c r="B4035" s="1" t="s">
        <v>83</v>
      </c>
      <c r="C4035" s="1" t="s">
        <v>208</v>
      </c>
      <c r="D4035">
        <v>5449</v>
      </c>
      <c r="E4035" s="1"/>
      <c r="F4035" s="1" t="s">
        <v>344</v>
      </c>
      <c r="G4035">
        <v>2011</v>
      </c>
      <c r="H4035">
        <v>455875.7</v>
      </c>
      <c r="I4035">
        <v>12</v>
      </c>
      <c r="J4035" s="1"/>
      <c r="K4035">
        <v>0</v>
      </c>
      <c r="L4035">
        <v>7709</v>
      </c>
      <c r="M4035">
        <v>59.134748999999999</v>
      </c>
      <c r="N4035">
        <v>2</v>
      </c>
      <c r="O4035" s="1" t="s">
        <v>569</v>
      </c>
      <c r="P4035">
        <v>455875.7</v>
      </c>
      <c r="Q4035">
        <v>213805.71</v>
      </c>
      <c r="R4035">
        <v>0</v>
      </c>
      <c r="S4035" s="1" t="s">
        <v>1111</v>
      </c>
      <c r="T4035" s="1" t="s">
        <v>1346</v>
      </c>
      <c r="U4035">
        <v>455875.7</v>
      </c>
      <c r="V4035">
        <v>0</v>
      </c>
      <c r="W4035">
        <v>57533</v>
      </c>
    </row>
    <row r="4036" spans="1:23" x14ac:dyDescent="0.25">
      <c r="A4036" s="1" t="s">
        <v>39</v>
      </c>
      <c r="B4036" s="1" t="s">
        <v>83</v>
      </c>
      <c r="C4036" s="1" t="s">
        <v>208</v>
      </c>
      <c r="D4036">
        <v>5449</v>
      </c>
      <c r="E4036" s="1"/>
      <c r="F4036" s="1" t="s">
        <v>344</v>
      </c>
      <c r="G4036">
        <v>2011</v>
      </c>
      <c r="H4036">
        <v>125866.47</v>
      </c>
      <c r="I4036">
        <v>12</v>
      </c>
      <c r="J4036" s="1"/>
      <c r="K4036">
        <v>0</v>
      </c>
      <c r="L4036">
        <v>7709</v>
      </c>
      <c r="M4036">
        <v>16.326999000000001</v>
      </c>
      <c r="N4036">
        <v>2</v>
      </c>
      <c r="O4036" s="1" t="s">
        <v>569</v>
      </c>
      <c r="P4036">
        <v>125866.47</v>
      </c>
      <c r="Q4036">
        <v>59031.37</v>
      </c>
      <c r="R4036">
        <v>0</v>
      </c>
      <c r="S4036" s="1" t="s">
        <v>1112</v>
      </c>
      <c r="T4036" s="1" t="s">
        <v>1347</v>
      </c>
      <c r="U4036">
        <v>125866.47500000001</v>
      </c>
      <c r="V4036">
        <v>0</v>
      </c>
      <c r="W4036">
        <v>57544</v>
      </c>
    </row>
    <row r="4037" spans="1:23" x14ac:dyDescent="0.25">
      <c r="A4037" s="1" t="s">
        <v>39</v>
      </c>
      <c r="B4037" s="1" t="s">
        <v>83</v>
      </c>
      <c r="C4037" s="1" t="s">
        <v>208</v>
      </c>
      <c r="D4037">
        <v>5449</v>
      </c>
      <c r="E4037" s="1"/>
      <c r="F4037" s="1" t="s">
        <v>344</v>
      </c>
      <c r="G4037">
        <v>2010</v>
      </c>
      <c r="H4037">
        <v>26659.46</v>
      </c>
      <c r="I4037">
        <v>12</v>
      </c>
      <c r="J4037" s="1" t="s">
        <v>402</v>
      </c>
      <c r="K4037">
        <v>0</v>
      </c>
      <c r="L4037">
        <v>7709</v>
      </c>
      <c r="M4037">
        <v>3.45818</v>
      </c>
      <c r="N4037">
        <v>2</v>
      </c>
      <c r="O4037" s="1" t="s">
        <v>569</v>
      </c>
      <c r="P4037">
        <v>26659.46</v>
      </c>
      <c r="Q4037">
        <v>12503.28</v>
      </c>
      <c r="R4037">
        <v>0</v>
      </c>
      <c r="S4037" s="1" t="s">
        <v>1113</v>
      </c>
      <c r="T4037" s="1" t="s">
        <v>1347</v>
      </c>
      <c r="U4037">
        <v>26659.455000000002</v>
      </c>
      <c r="V4037">
        <v>0</v>
      </c>
      <c r="W4037">
        <v>57542</v>
      </c>
    </row>
    <row r="4038" spans="1:23" x14ac:dyDescent="0.25">
      <c r="A4038" s="1" t="s">
        <v>39</v>
      </c>
      <c r="B4038" s="1" t="s">
        <v>83</v>
      </c>
      <c r="C4038" s="1" t="s">
        <v>208</v>
      </c>
      <c r="D4038">
        <v>5449</v>
      </c>
      <c r="E4038" s="1"/>
      <c r="F4038" s="1" t="s">
        <v>344</v>
      </c>
      <c r="G4038">
        <v>2010</v>
      </c>
      <c r="H4038">
        <v>156734.53</v>
      </c>
      <c r="I4038">
        <v>12</v>
      </c>
      <c r="J4038" s="1"/>
      <c r="K4038">
        <v>0</v>
      </c>
      <c r="L4038">
        <v>7709</v>
      </c>
      <c r="M4038">
        <v>20.331105999999998</v>
      </c>
      <c r="N4038">
        <v>2</v>
      </c>
      <c r="O4038" s="1" t="s">
        <v>569</v>
      </c>
      <c r="P4038">
        <v>156734.53</v>
      </c>
      <c r="Q4038">
        <v>73508.5</v>
      </c>
      <c r="R4038">
        <v>0</v>
      </c>
      <c r="S4038" s="1" t="s">
        <v>1112</v>
      </c>
      <c r="T4038" s="1" t="s">
        <v>1347</v>
      </c>
      <c r="U4038">
        <v>156734.52499999999</v>
      </c>
      <c r="V4038">
        <v>0</v>
      </c>
      <c r="W4038">
        <v>57544</v>
      </c>
    </row>
    <row r="4039" spans="1:23" x14ac:dyDescent="0.25">
      <c r="A4039" s="1" t="s">
        <v>39</v>
      </c>
      <c r="B4039" s="1" t="s">
        <v>83</v>
      </c>
      <c r="C4039" s="1" t="s">
        <v>208</v>
      </c>
      <c r="D4039">
        <v>5449</v>
      </c>
      <c r="E4039" s="1"/>
      <c r="F4039" s="1" t="s">
        <v>344</v>
      </c>
      <c r="G4039">
        <v>2010</v>
      </c>
      <c r="H4039">
        <v>577249.9</v>
      </c>
      <c r="I4039">
        <v>12</v>
      </c>
      <c r="J4039" s="1"/>
      <c r="K4039">
        <v>0</v>
      </c>
      <c r="L4039">
        <v>7709</v>
      </c>
      <c r="M4039">
        <v>74.879025999999996</v>
      </c>
      <c r="N4039">
        <v>2</v>
      </c>
      <c r="O4039" s="1" t="s">
        <v>569</v>
      </c>
      <c r="P4039">
        <v>577249.9</v>
      </c>
      <c r="Q4039">
        <v>270730.21000000002</v>
      </c>
      <c r="R4039">
        <v>0</v>
      </c>
      <c r="S4039" s="1" t="s">
        <v>1111</v>
      </c>
      <c r="T4039" s="1" t="s">
        <v>1346</v>
      </c>
      <c r="U4039">
        <v>577249.9</v>
      </c>
      <c r="V4039">
        <v>0</v>
      </c>
      <c r="W4039">
        <v>57533</v>
      </c>
    </row>
    <row r="4040" spans="1:23" x14ac:dyDescent="0.25">
      <c r="A4040" s="1" t="s">
        <v>39</v>
      </c>
      <c r="B4040" s="1" t="s">
        <v>83</v>
      </c>
      <c r="C4040" s="1" t="s">
        <v>208</v>
      </c>
      <c r="D4040">
        <v>5449</v>
      </c>
      <c r="E4040" s="1"/>
      <c r="F4040" s="1" t="s">
        <v>344</v>
      </c>
      <c r="G4040">
        <v>2009</v>
      </c>
      <c r="H4040">
        <v>611497.69999999995</v>
      </c>
      <c r="I4040">
        <v>12</v>
      </c>
      <c r="J4040" s="1"/>
      <c r="K4040">
        <v>0</v>
      </c>
      <c r="L4040">
        <v>7709</v>
      </c>
      <c r="M4040">
        <v>79.321541999999994</v>
      </c>
      <c r="N4040">
        <v>2</v>
      </c>
      <c r="O4040" s="1" t="s">
        <v>569</v>
      </c>
      <c r="P4040">
        <v>611497.69999999995</v>
      </c>
      <c r="Q4040">
        <v>286792.42</v>
      </c>
      <c r="R4040">
        <v>0</v>
      </c>
      <c r="S4040" s="1" t="s">
        <v>1111</v>
      </c>
      <c r="T4040" s="1" t="s">
        <v>1346</v>
      </c>
      <c r="U4040">
        <v>611497.69999999995</v>
      </c>
      <c r="V4040">
        <v>0</v>
      </c>
      <c r="W4040">
        <v>57533</v>
      </c>
    </row>
    <row r="4041" spans="1:23" x14ac:dyDescent="0.25">
      <c r="A4041" s="1" t="s">
        <v>39</v>
      </c>
      <c r="B4041" s="1" t="s">
        <v>83</v>
      </c>
      <c r="C4041" s="1" t="s">
        <v>208</v>
      </c>
      <c r="D4041">
        <v>5449</v>
      </c>
      <c r="E4041" s="1"/>
      <c r="F4041" s="1" t="s">
        <v>344</v>
      </c>
      <c r="G4041">
        <v>2009</v>
      </c>
      <c r="H4041">
        <v>40448.160000000003</v>
      </c>
      <c r="I4041">
        <v>12</v>
      </c>
      <c r="J4041" s="1" t="s">
        <v>402</v>
      </c>
      <c r="K4041">
        <v>0</v>
      </c>
      <c r="L4041">
        <v>7709</v>
      </c>
      <c r="M4041">
        <v>5.2468070000000004</v>
      </c>
      <c r="N4041">
        <v>2</v>
      </c>
      <c r="O4041" s="1" t="s">
        <v>569</v>
      </c>
      <c r="P4041">
        <v>40448.160000000003</v>
      </c>
      <c r="Q4041">
        <v>18970.18</v>
      </c>
      <c r="R4041">
        <v>0</v>
      </c>
      <c r="S4041" s="1" t="s">
        <v>1113</v>
      </c>
      <c r="T4041" s="1" t="s">
        <v>1347</v>
      </c>
      <c r="U4041">
        <v>40448.160000000003</v>
      </c>
      <c r="V4041">
        <v>0</v>
      </c>
      <c r="W4041">
        <v>57542</v>
      </c>
    </row>
    <row r="4042" spans="1:23" x14ac:dyDescent="0.25">
      <c r="A4042" s="1" t="s">
        <v>39</v>
      </c>
      <c r="B4042" s="1" t="s">
        <v>83</v>
      </c>
      <c r="C4042" s="1" t="s">
        <v>208</v>
      </c>
      <c r="D4042">
        <v>5449</v>
      </c>
      <c r="E4042" s="1"/>
      <c r="F4042" s="1" t="s">
        <v>344</v>
      </c>
      <c r="G4042">
        <v>2009</v>
      </c>
      <c r="H4042">
        <v>151971.21</v>
      </c>
      <c r="I4042">
        <v>12</v>
      </c>
      <c r="J4042" s="1"/>
      <c r="K4042">
        <v>0</v>
      </c>
      <c r="L4042">
        <v>7709</v>
      </c>
      <c r="M4042">
        <v>19.713222999999999</v>
      </c>
      <c r="N4042">
        <v>2</v>
      </c>
      <c r="O4042" s="1" t="s">
        <v>569</v>
      </c>
      <c r="P4042">
        <v>151971.21</v>
      </c>
      <c r="Q4042">
        <v>71274.490000000005</v>
      </c>
      <c r="R4042">
        <v>0</v>
      </c>
      <c r="S4042" s="1" t="s">
        <v>1112</v>
      </c>
      <c r="T4042" s="1" t="s">
        <v>1347</v>
      </c>
      <c r="U4042">
        <v>151971.21</v>
      </c>
      <c r="V4042">
        <v>0</v>
      </c>
      <c r="W4042">
        <v>57544</v>
      </c>
    </row>
    <row r="4043" spans="1:23" x14ac:dyDescent="0.25">
      <c r="A4043" s="1" t="s">
        <v>39</v>
      </c>
      <c r="B4043" s="1" t="s">
        <v>83</v>
      </c>
      <c r="C4043" s="1" t="s">
        <v>208</v>
      </c>
      <c r="D4043">
        <v>5449</v>
      </c>
      <c r="E4043" s="1"/>
      <c r="F4043" s="1" t="s">
        <v>344</v>
      </c>
      <c r="G4043">
        <v>2008</v>
      </c>
      <c r="H4043">
        <v>43668.82</v>
      </c>
      <c r="I4043">
        <v>12</v>
      </c>
      <c r="J4043" s="1" t="s">
        <v>402</v>
      </c>
      <c r="K4043">
        <v>0</v>
      </c>
      <c r="L4043">
        <v>7709</v>
      </c>
      <c r="M4043">
        <v>5.6645799999999999</v>
      </c>
      <c r="N4043">
        <v>2</v>
      </c>
      <c r="O4043" s="1" t="s">
        <v>569</v>
      </c>
      <c r="P4043">
        <v>43668.82</v>
      </c>
      <c r="Q4043">
        <v>20480.66</v>
      </c>
      <c r="R4043">
        <v>0</v>
      </c>
      <c r="S4043" s="1" t="s">
        <v>1113</v>
      </c>
      <c r="T4043" s="1" t="s">
        <v>1347</v>
      </c>
      <c r="U4043">
        <v>43668.794999999998</v>
      </c>
      <c r="V4043">
        <v>0</v>
      </c>
      <c r="W4043">
        <v>57542</v>
      </c>
    </row>
    <row r="4044" spans="1:23" x14ac:dyDescent="0.25">
      <c r="A4044" s="1" t="s">
        <v>39</v>
      </c>
      <c r="B4044" s="1" t="s">
        <v>83</v>
      </c>
      <c r="C4044" s="1" t="s">
        <v>208</v>
      </c>
      <c r="D4044">
        <v>5449</v>
      </c>
      <c r="E4044" s="1"/>
      <c r="F4044" s="1" t="s">
        <v>344</v>
      </c>
      <c r="G4044">
        <v>2008</v>
      </c>
      <c r="H4044">
        <v>649559.6</v>
      </c>
      <c r="I4044">
        <v>12</v>
      </c>
      <c r="J4044" s="1"/>
      <c r="K4044">
        <v>0</v>
      </c>
      <c r="L4044">
        <v>7709</v>
      </c>
      <c r="M4044">
        <v>84.258810999999994</v>
      </c>
      <c r="N4044">
        <v>2</v>
      </c>
      <c r="O4044" s="1" t="s">
        <v>569</v>
      </c>
      <c r="P4044">
        <v>649559.6</v>
      </c>
      <c r="Q4044">
        <v>304643.46000000002</v>
      </c>
      <c r="R4044">
        <v>0</v>
      </c>
      <c r="S4044" s="1" t="s">
        <v>1111</v>
      </c>
      <c r="T4044" s="1" t="s">
        <v>1346</v>
      </c>
      <c r="U4044">
        <v>649559.6</v>
      </c>
      <c r="V4044">
        <v>0</v>
      </c>
      <c r="W4044">
        <v>57533</v>
      </c>
    </row>
    <row r="4045" spans="1:23" x14ac:dyDescent="0.25">
      <c r="A4045" s="1" t="s">
        <v>39</v>
      </c>
      <c r="B4045" s="1" t="s">
        <v>83</v>
      </c>
      <c r="C4045" s="1" t="s">
        <v>208</v>
      </c>
      <c r="D4045">
        <v>5449</v>
      </c>
      <c r="E4045" s="1"/>
      <c r="F4045" s="1" t="s">
        <v>344</v>
      </c>
      <c r="G4045">
        <v>2008</v>
      </c>
      <c r="H4045">
        <v>165455.15</v>
      </c>
      <c r="I4045">
        <v>12</v>
      </c>
      <c r="J4045" s="1"/>
      <c r="K4045">
        <v>0</v>
      </c>
      <c r="L4045">
        <v>7709</v>
      </c>
      <c r="M4045">
        <v>21.462316999999999</v>
      </c>
      <c r="N4045">
        <v>2</v>
      </c>
      <c r="O4045" s="1" t="s">
        <v>569</v>
      </c>
      <c r="P4045">
        <v>165455.15</v>
      </c>
      <c r="Q4045">
        <v>77598.48</v>
      </c>
      <c r="R4045">
        <v>0</v>
      </c>
      <c r="S4045" s="1" t="s">
        <v>1112</v>
      </c>
      <c r="T4045" s="1" t="s">
        <v>1347</v>
      </c>
      <c r="U4045">
        <v>165455.15</v>
      </c>
      <c r="V4045">
        <v>0</v>
      </c>
      <c r="W4045">
        <v>57544</v>
      </c>
    </row>
    <row r="4046" spans="1:23" x14ac:dyDescent="0.25">
      <c r="A4046" s="1" t="s">
        <v>39</v>
      </c>
      <c r="B4046" s="1" t="s">
        <v>83</v>
      </c>
      <c r="C4046" s="1" t="s">
        <v>208</v>
      </c>
      <c r="D4046">
        <v>5453</v>
      </c>
      <c r="E4046" s="1"/>
      <c r="F4046" s="1" t="s">
        <v>345</v>
      </c>
      <c r="G4046">
        <v>2015</v>
      </c>
      <c r="H4046">
        <v>11018.72</v>
      </c>
      <c r="I4046">
        <v>5</v>
      </c>
      <c r="J4046" s="1" t="s">
        <v>421</v>
      </c>
      <c r="K4046">
        <v>0</v>
      </c>
      <c r="L4046">
        <v>610</v>
      </c>
      <c r="M4046">
        <v>18.060514000000001</v>
      </c>
      <c r="N4046">
        <v>2</v>
      </c>
      <c r="O4046" s="1" t="s">
        <v>569</v>
      </c>
      <c r="P4046">
        <v>11018.72</v>
      </c>
      <c r="Q4046">
        <v>4407.4799999999996</v>
      </c>
      <c r="R4046">
        <v>1</v>
      </c>
      <c r="S4046" s="1" t="s">
        <v>1114</v>
      </c>
      <c r="T4046" s="1"/>
      <c r="U4046">
        <v>11018.71875</v>
      </c>
      <c r="V4046">
        <v>0</v>
      </c>
      <c r="W4046">
        <v>57556</v>
      </c>
    </row>
    <row r="4047" spans="1:23" x14ac:dyDescent="0.25">
      <c r="A4047" s="1" t="s">
        <v>39</v>
      </c>
      <c r="B4047" s="1" t="s">
        <v>83</v>
      </c>
      <c r="C4047" s="1" t="s">
        <v>208</v>
      </c>
      <c r="D4047">
        <v>5453</v>
      </c>
      <c r="E4047" s="1"/>
      <c r="F4047" s="1" t="s">
        <v>345</v>
      </c>
      <c r="G4047">
        <v>2014</v>
      </c>
      <c r="H4047">
        <v>29218.67</v>
      </c>
      <c r="I4047">
        <v>12</v>
      </c>
      <c r="J4047" s="1" t="s">
        <v>421</v>
      </c>
      <c r="K4047">
        <v>0</v>
      </c>
      <c r="L4047">
        <v>610</v>
      </c>
      <c r="M4047">
        <v>47.891607</v>
      </c>
      <c r="N4047">
        <v>2</v>
      </c>
      <c r="O4047" s="1" t="s">
        <v>569</v>
      </c>
      <c r="P4047">
        <v>29218.67</v>
      </c>
      <c r="Q4047">
        <v>11687.46</v>
      </c>
      <c r="R4047">
        <v>1</v>
      </c>
      <c r="S4047" s="1" t="s">
        <v>1114</v>
      </c>
      <c r="T4047" s="1"/>
      <c r="U4047">
        <v>29218.66835</v>
      </c>
      <c r="V4047">
        <v>0</v>
      </c>
      <c r="W4047">
        <v>57556</v>
      </c>
    </row>
    <row r="4048" spans="1:23" x14ac:dyDescent="0.25">
      <c r="A4048" s="1" t="s">
        <v>39</v>
      </c>
      <c r="B4048" s="1" t="s">
        <v>83</v>
      </c>
      <c r="C4048" s="1" t="s">
        <v>208</v>
      </c>
      <c r="D4048">
        <v>5453</v>
      </c>
      <c r="E4048" s="1"/>
      <c r="F4048" s="1" t="s">
        <v>345</v>
      </c>
      <c r="G4048">
        <v>2013</v>
      </c>
      <c r="H4048">
        <v>20837.95</v>
      </c>
      <c r="I4048">
        <v>11</v>
      </c>
      <c r="J4048" s="1" t="s">
        <v>421</v>
      </c>
      <c r="K4048">
        <v>0</v>
      </c>
      <c r="L4048">
        <v>610</v>
      </c>
      <c r="M4048">
        <v>34.154974000000003</v>
      </c>
      <c r="N4048">
        <v>2</v>
      </c>
      <c r="O4048" s="1" t="s">
        <v>569</v>
      </c>
      <c r="P4048">
        <v>20837.95</v>
      </c>
      <c r="Q4048">
        <v>8335.18</v>
      </c>
      <c r="R4048">
        <v>1</v>
      </c>
      <c r="S4048" s="1" t="s">
        <v>1114</v>
      </c>
      <c r="T4048" s="1"/>
      <c r="U4048">
        <v>20837.946240000001</v>
      </c>
      <c r="V4048">
        <v>0</v>
      </c>
      <c r="W4048">
        <v>57556</v>
      </c>
    </row>
    <row r="4049" spans="1:23" x14ac:dyDescent="0.25">
      <c r="A4049" s="1" t="s">
        <v>39</v>
      </c>
      <c r="B4049" s="1" t="s">
        <v>83</v>
      </c>
      <c r="C4049" s="1" t="s">
        <v>208</v>
      </c>
      <c r="D4049">
        <v>5453</v>
      </c>
      <c r="E4049" s="1"/>
      <c r="F4049" s="1" t="s">
        <v>345</v>
      </c>
      <c r="G4049">
        <v>2012</v>
      </c>
      <c r="H4049">
        <v>23652.61</v>
      </c>
      <c r="I4049">
        <v>13</v>
      </c>
      <c r="J4049" s="1" t="s">
        <v>421</v>
      </c>
      <c r="K4049">
        <v>0</v>
      </c>
      <c r="L4049">
        <v>610</v>
      </c>
      <c r="M4049">
        <v>38.768414999999997</v>
      </c>
      <c r="N4049">
        <v>2</v>
      </c>
      <c r="O4049" s="1" t="s">
        <v>569</v>
      </c>
      <c r="P4049">
        <v>23652.61</v>
      </c>
      <c r="Q4049">
        <v>9461.0499999999993</v>
      </c>
      <c r="R4049">
        <v>1</v>
      </c>
      <c r="S4049" s="1" t="s">
        <v>1114</v>
      </c>
      <c r="T4049" s="1"/>
      <c r="U4049">
        <v>23652.606059999998</v>
      </c>
      <c r="V4049">
        <v>0</v>
      </c>
      <c r="W4049">
        <v>57556</v>
      </c>
    </row>
    <row r="4050" spans="1:23" x14ac:dyDescent="0.25">
      <c r="A4050" s="1" t="s">
        <v>39</v>
      </c>
      <c r="B4050" s="1" t="s">
        <v>83</v>
      </c>
      <c r="C4050" s="1" t="s">
        <v>208</v>
      </c>
      <c r="D4050">
        <v>5453</v>
      </c>
      <c r="E4050" s="1"/>
      <c r="F4050" s="1" t="s">
        <v>345</v>
      </c>
      <c r="G4050">
        <v>2011</v>
      </c>
      <c r="H4050">
        <v>23841.46</v>
      </c>
      <c r="I4050">
        <v>12</v>
      </c>
      <c r="J4050" s="1" t="s">
        <v>421</v>
      </c>
      <c r="K4050">
        <v>0</v>
      </c>
      <c r="L4050">
        <v>610</v>
      </c>
      <c r="M4050">
        <v>39.077953999999998</v>
      </c>
      <c r="N4050">
        <v>2</v>
      </c>
      <c r="O4050" s="1" t="s">
        <v>569</v>
      </c>
      <c r="P4050">
        <v>23841.46</v>
      </c>
      <c r="Q4050">
        <v>11181.64</v>
      </c>
      <c r="R4050">
        <v>1</v>
      </c>
      <c r="S4050" s="1" t="s">
        <v>1114</v>
      </c>
      <c r="T4050" s="1"/>
      <c r="U4050">
        <v>23841.454539999999</v>
      </c>
      <c r="V4050">
        <v>0</v>
      </c>
      <c r="W4050">
        <v>57556</v>
      </c>
    </row>
    <row r="4051" spans="1:23" x14ac:dyDescent="0.25">
      <c r="A4051" s="1" t="s">
        <v>39</v>
      </c>
      <c r="B4051" s="1" t="s">
        <v>83</v>
      </c>
      <c r="C4051" s="1" t="s">
        <v>208</v>
      </c>
      <c r="D4051">
        <v>5453</v>
      </c>
      <c r="E4051" s="1"/>
      <c r="F4051" s="1" t="s">
        <v>345</v>
      </c>
      <c r="G4051">
        <v>2010</v>
      </c>
      <c r="H4051">
        <v>24729.85</v>
      </c>
      <c r="I4051">
        <v>12</v>
      </c>
      <c r="J4051" s="1" t="s">
        <v>421</v>
      </c>
      <c r="K4051">
        <v>0</v>
      </c>
      <c r="L4051">
        <v>610</v>
      </c>
      <c r="M4051">
        <v>40.534092000000001</v>
      </c>
      <c r="N4051">
        <v>2</v>
      </c>
      <c r="O4051" s="1" t="s">
        <v>569</v>
      </c>
      <c r="P4051">
        <v>24729.85</v>
      </c>
      <c r="Q4051">
        <v>11598.3</v>
      </c>
      <c r="R4051">
        <v>1</v>
      </c>
      <c r="S4051" s="1" t="s">
        <v>1114</v>
      </c>
      <c r="T4051" s="1"/>
      <c r="U4051">
        <v>24729.841349999999</v>
      </c>
      <c r="V4051">
        <v>0</v>
      </c>
      <c r="W4051">
        <v>57556</v>
      </c>
    </row>
    <row r="4052" spans="1:23" x14ac:dyDescent="0.25">
      <c r="A4052" s="1" t="s">
        <v>39</v>
      </c>
      <c r="B4052" s="1" t="s">
        <v>83</v>
      </c>
      <c r="C4052" s="1" t="s">
        <v>208</v>
      </c>
      <c r="D4052">
        <v>5453</v>
      </c>
      <c r="E4052" s="1"/>
      <c r="F4052" s="1" t="s">
        <v>345</v>
      </c>
      <c r="G4052">
        <v>2009</v>
      </c>
      <c r="H4052">
        <v>27566.76</v>
      </c>
      <c r="I4052">
        <v>12</v>
      </c>
      <c r="J4052" s="1" t="s">
        <v>421</v>
      </c>
      <c r="K4052">
        <v>0</v>
      </c>
      <c r="L4052">
        <v>610</v>
      </c>
      <c r="M4052">
        <v>45.184002</v>
      </c>
      <c r="N4052">
        <v>2</v>
      </c>
      <c r="O4052" s="1" t="s">
        <v>569</v>
      </c>
      <c r="P4052">
        <v>27566.76</v>
      </c>
      <c r="Q4052">
        <v>12928.81</v>
      </c>
      <c r="R4052">
        <v>1</v>
      </c>
      <c r="S4052" s="1" t="s">
        <v>1114</v>
      </c>
      <c r="T4052" s="1"/>
      <c r="U4052">
        <v>27566.764709999999</v>
      </c>
      <c r="V4052">
        <v>0</v>
      </c>
      <c r="W4052">
        <v>57556</v>
      </c>
    </row>
    <row r="4053" spans="1:23" x14ac:dyDescent="0.25">
      <c r="A4053" s="1" t="s">
        <v>39</v>
      </c>
      <c r="B4053" s="1" t="s">
        <v>83</v>
      </c>
      <c r="C4053" s="1" t="s">
        <v>208</v>
      </c>
      <c r="D4053">
        <v>5453</v>
      </c>
      <c r="E4053" s="1"/>
      <c r="F4053" s="1" t="s">
        <v>345</v>
      </c>
      <c r="G4053">
        <v>2008</v>
      </c>
      <c r="H4053">
        <v>27271.24</v>
      </c>
      <c r="I4053">
        <v>12</v>
      </c>
      <c r="J4053" s="1" t="s">
        <v>421</v>
      </c>
      <c r="K4053">
        <v>0</v>
      </c>
      <c r="L4053">
        <v>610</v>
      </c>
      <c r="M4053">
        <v>44.699623000000003</v>
      </c>
      <c r="N4053">
        <v>2</v>
      </c>
      <c r="O4053" s="1" t="s">
        <v>569</v>
      </c>
      <c r="P4053">
        <v>27271.24</v>
      </c>
      <c r="Q4053">
        <v>12790.23</v>
      </c>
      <c r="R4053">
        <v>1</v>
      </c>
      <c r="S4053" s="1" t="s">
        <v>1114</v>
      </c>
      <c r="T4053" s="1"/>
      <c r="U4053">
        <v>27271.242440000002</v>
      </c>
      <c r="V4053">
        <v>0</v>
      </c>
      <c r="W4053">
        <v>57556</v>
      </c>
    </row>
    <row r="4054" spans="1:23" x14ac:dyDescent="0.25">
      <c r="A4054" s="1" t="s">
        <v>39</v>
      </c>
      <c r="B4054" s="1" t="s">
        <v>84</v>
      </c>
      <c r="C4054" s="1" t="s">
        <v>209</v>
      </c>
      <c r="D4054">
        <v>8933</v>
      </c>
      <c r="E4054" s="1" t="s">
        <v>243</v>
      </c>
      <c r="F4054" s="1" t="s">
        <v>390</v>
      </c>
      <c r="G4054">
        <v>2015</v>
      </c>
      <c r="H4054">
        <v>16111.06</v>
      </c>
      <c r="I4054">
        <v>5</v>
      </c>
      <c r="J4054" s="1" t="s">
        <v>433</v>
      </c>
      <c r="K4054">
        <v>0</v>
      </c>
      <c r="L4054">
        <v>0</v>
      </c>
      <c r="M4054">
        <v>161110.6</v>
      </c>
      <c r="N4054">
        <v>2</v>
      </c>
      <c r="O4054" s="1" t="s">
        <v>569</v>
      </c>
      <c r="P4054">
        <v>16111.06</v>
      </c>
      <c r="Q4054">
        <v>4833.32</v>
      </c>
      <c r="R4054">
        <v>1</v>
      </c>
      <c r="S4054" s="1" t="s">
        <v>1115</v>
      </c>
      <c r="T4054" s="1"/>
      <c r="U4054">
        <v>16111.05882</v>
      </c>
      <c r="V4054">
        <v>0</v>
      </c>
      <c r="W4054">
        <v>70990</v>
      </c>
    </row>
    <row r="4055" spans="1:23" x14ac:dyDescent="0.25">
      <c r="A4055" s="1" t="s">
        <v>39</v>
      </c>
      <c r="B4055" s="1" t="s">
        <v>84</v>
      </c>
      <c r="C4055" s="1" t="s">
        <v>209</v>
      </c>
      <c r="D4055">
        <v>8933</v>
      </c>
      <c r="E4055" s="1" t="s">
        <v>243</v>
      </c>
      <c r="F4055" s="1" t="s">
        <v>390</v>
      </c>
      <c r="G4055">
        <v>2015</v>
      </c>
      <c r="H4055">
        <v>2163.88</v>
      </c>
      <c r="I4055">
        <v>5</v>
      </c>
      <c r="J4055" s="1" t="s">
        <v>433</v>
      </c>
      <c r="K4055">
        <v>0</v>
      </c>
      <c r="L4055">
        <v>0</v>
      </c>
      <c r="M4055">
        <v>21638.799999999999</v>
      </c>
      <c r="N4055">
        <v>2</v>
      </c>
      <c r="O4055" s="1" t="s">
        <v>569</v>
      </c>
      <c r="P4055">
        <v>2163.88</v>
      </c>
      <c r="Q4055">
        <v>649.16999999999996</v>
      </c>
      <c r="R4055">
        <v>1</v>
      </c>
      <c r="S4055" s="1" t="s">
        <v>1116</v>
      </c>
      <c r="T4055" s="1"/>
      <c r="U4055">
        <v>2163.8823499999999</v>
      </c>
      <c r="V4055">
        <v>0</v>
      </c>
      <c r="W4055">
        <v>70996</v>
      </c>
    </row>
    <row r="4056" spans="1:23" x14ac:dyDescent="0.25">
      <c r="A4056" s="1" t="s">
        <v>39</v>
      </c>
      <c r="B4056" s="1" t="s">
        <v>84</v>
      </c>
      <c r="C4056" s="1" t="s">
        <v>209</v>
      </c>
      <c r="D4056">
        <v>8933</v>
      </c>
      <c r="E4056" s="1" t="s">
        <v>243</v>
      </c>
      <c r="F4056" s="1" t="s">
        <v>390</v>
      </c>
      <c r="G4056">
        <v>2015</v>
      </c>
      <c r="H4056">
        <v>3424.06</v>
      </c>
      <c r="I4056">
        <v>5</v>
      </c>
      <c r="J4056" s="1" t="s">
        <v>433</v>
      </c>
      <c r="K4056">
        <v>0</v>
      </c>
      <c r="L4056">
        <v>0</v>
      </c>
      <c r="M4056">
        <v>34240.6</v>
      </c>
      <c r="N4056">
        <v>2</v>
      </c>
      <c r="O4056" s="1" t="s">
        <v>569</v>
      </c>
      <c r="P4056">
        <v>3424.06</v>
      </c>
      <c r="Q4056">
        <v>1027.22</v>
      </c>
      <c r="R4056">
        <v>1</v>
      </c>
      <c r="S4056" s="1" t="s">
        <v>1117</v>
      </c>
      <c r="T4056" s="1"/>
      <c r="U4056">
        <v>3424.0588200000002</v>
      </c>
      <c r="V4056">
        <v>0</v>
      </c>
      <c r="W4056">
        <v>70998</v>
      </c>
    </row>
    <row r="4057" spans="1:23" x14ac:dyDescent="0.25">
      <c r="A4057" s="1" t="s">
        <v>39</v>
      </c>
      <c r="B4057" s="1" t="s">
        <v>84</v>
      </c>
      <c r="C4057" s="1" t="s">
        <v>209</v>
      </c>
      <c r="D4057">
        <v>8933</v>
      </c>
      <c r="E4057" s="1" t="s">
        <v>243</v>
      </c>
      <c r="F4057" s="1" t="s">
        <v>390</v>
      </c>
      <c r="G4057">
        <v>2015</v>
      </c>
      <c r="H4057">
        <v>19581.29</v>
      </c>
      <c r="I4057">
        <v>5</v>
      </c>
      <c r="J4057" s="1" t="s">
        <v>433</v>
      </c>
      <c r="K4057">
        <v>0</v>
      </c>
      <c r="L4057">
        <v>0</v>
      </c>
      <c r="M4057">
        <v>195812.9</v>
      </c>
      <c r="N4057">
        <v>2</v>
      </c>
      <c r="O4057" s="1" t="s">
        <v>569</v>
      </c>
      <c r="P4057">
        <v>19581.29</v>
      </c>
      <c r="Q4057">
        <v>5874.38</v>
      </c>
      <c r="R4057">
        <v>1</v>
      </c>
      <c r="S4057" s="1" t="s">
        <v>1118</v>
      </c>
      <c r="T4057" s="1"/>
      <c r="U4057">
        <v>19581.294119999999</v>
      </c>
      <c r="V4057">
        <v>0</v>
      </c>
      <c r="W4057">
        <v>95931</v>
      </c>
    </row>
    <row r="4058" spans="1:23" x14ac:dyDescent="0.25">
      <c r="A4058" s="1" t="s">
        <v>39</v>
      </c>
      <c r="B4058" s="1" t="s">
        <v>84</v>
      </c>
      <c r="C4058" s="1" t="s">
        <v>209</v>
      </c>
      <c r="D4058">
        <v>8933</v>
      </c>
      <c r="E4058" s="1" t="s">
        <v>243</v>
      </c>
      <c r="F4058" s="1" t="s">
        <v>390</v>
      </c>
      <c r="G4058">
        <v>2015</v>
      </c>
      <c r="H4058">
        <v>10308.709999999999</v>
      </c>
      <c r="I4058">
        <v>5</v>
      </c>
      <c r="J4058" s="1" t="s">
        <v>433</v>
      </c>
      <c r="K4058">
        <v>0</v>
      </c>
      <c r="L4058">
        <v>0</v>
      </c>
      <c r="M4058">
        <v>103087.1</v>
      </c>
      <c r="N4058">
        <v>2</v>
      </c>
      <c r="O4058" s="1" t="s">
        <v>569</v>
      </c>
      <c r="P4058">
        <v>10308.709999999999</v>
      </c>
      <c r="Q4058">
        <v>3092.62</v>
      </c>
      <c r="R4058">
        <v>1</v>
      </c>
      <c r="S4058" s="1" t="s">
        <v>1119</v>
      </c>
      <c r="T4058" s="1"/>
      <c r="U4058">
        <v>10308.70588</v>
      </c>
      <c r="V4058">
        <v>0</v>
      </c>
      <c r="W4058">
        <v>70992</v>
      </c>
    </row>
    <row r="4059" spans="1:23" x14ac:dyDescent="0.25">
      <c r="A4059" s="1" t="s">
        <v>39</v>
      </c>
      <c r="B4059" s="1" t="s">
        <v>84</v>
      </c>
      <c r="C4059" s="1" t="s">
        <v>209</v>
      </c>
      <c r="D4059">
        <v>8933</v>
      </c>
      <c r="E4059" s="1" t="s">
        <v>243</v>
      </c>
      <c r="F4059" s="1" t="s">
        <v>390</v>
      </c>
      <c r="G4059">
        <v>2015</v>
      </c>
      <c r="H4059">
        <v>2361.11</v>
      </c>
      <c r="I4059">
        <v>5</v>
      </c>
      <c r="J4059" s="1" t="s">
        <v>433</v>
      </c>
      <c r="K4059">
        <v>0</v>
      </c>
      <c r="L4059">
        <v>0</v>
      </c>
      <c r="M4059">
        <v>23611.1</v>
      </c>
      <c r="N4059">
        <v>2</v>
      </c>
      <c r="O4059" s="1" t="s">
        <v>569</v>
      </c>
      <c r="P4059">
        <v>2361.11</v>
      </c>
      <c r="Q4059">
        <v>708.34</v>
      </c>
      <c r="R4059">
        <v>1</v>
      </c>
      <c r="S4059" s="1" t="s">
        <v>1120</v>
      </c>
      <c r="T4059" s="1"/>
      <c r="U4059">
        <v>2361.1176399999999</v>
      </c>
      <c r="V4059">
        <v>0</v>
      </c>
      <c r="W4059">
        <v>70994</v>
      </c>
    </row>
    <row r="4060" spans="1:23" x14ac:dyDescent="0.25">
      <c r="A4060" s="1" t="s">
        <v>39</v>
      </c>
      <c r="B4060" s="1" t="s">
        <v>84</v>
      </c>
      <c r="C4060" s="1" t="s">
        <v>209</v>
      </c>
      <c r="D4060">
        <v>8933</v>
      </c>
      <c r="E4060" s="1" t="s">
        <v>243</v>
      </c>
      <c r="F4060" s="1" t="s">
        <v>390</v>
      </c>
      <c r="G4060">
        <v>2015</v>
      </c>
      <c r="H4060">
        <v>1107.53</v>
      </c>
      <c r="I4060">
        <v>5</v>
      </c>
      <c r="J4060" s="1" t="s">
        <v>433</v>
      </c>
      <c r="K4060">
        <v>0</v>
      </c>
      <c r="L4060">
        <v>0</v>
      </c>
      <c r="M4060">
        <v>11075.3</v>
      </c>
      <c r="N4060">
        <v>2</v>
      </c>
      <c r="O4060" s="1" t="s">
        <v>569</v>
      </c>
      <c r="P4060">
        <v>1107.53</v>
      </c>
      <c r="Q4060">
        <v>332.26</v>
      </c>
      <c r="R4060">
        <v>1</v>
      </c>
      <c r="S4060" s="1" t="s">
        <v>1121</v>
      </c>
      <c r="T4060" s="1"/>
      <c r="U4060">
        <v>1107.5294100000001</v>
      </c>
      <c r="V4060">
        <v>0</v>
      </c>
      <c r="W4060">
        <v>70997</v>
      </c>
    </row>
    <row r="4061" spans="1:23" x14ac:dyDescent="0.25">
      <c r="A4061" s="1" t="s">
        <v>39</v>
      </c>
      <c r="B4061" s="1" t="s">
        <v>84</v>
      </c>
      <c r="C4061" s="1" t="s">
        <v>209</v>
      </c>
      <c r="D4061">
        <v>8933</v>
      </c>
      <c r="E4061" s="1" t="s">
        <v>243</v>
      </c>
      <c r="F4061" s="1" t="s">
        <v>390</v>
      </c>
      <c r="G4061">
        <v>2015</v>
      </c>
      <c r="H4061">
        <v>23190.59</v>
      </c>
      <c r="I4061">
        <v>5</v>
      </c>
      <c r="J4061" s="1" t="s">
        <v>433</v>
      </c>
      <c r="K4061">
        <v>0</v>
      </c>
      <c r="L4061">
        <v>0</v>
      </c>
      <c r="M4061">
        <v>231905.9</v>
      </c>
      <c r="N4061">
        <v>2</v>
      </c>
      <c r="O4061" s="1" t="s">
        <v>569</v>
      </c>
      <c r="P4061">
        <v>23190.59</v>
      </c>
      <c r="Q4061">
        <v>6957.18</v>
      </c>
      <c r="R4061">
        <v>1</v>
      </c>
      <c r="S4061" s="1" t="s">
        <v>1122</v>
      </c>
      <c r="T4061" s="1"/>
      <c r="U4061">
        <v>23190.588230000001</v>
      </c>
      <c r="V4061">
        <v>0</v>
      </c>
      <c r="W4061">
        <v>77913</v>
      </c>
    </row>
    <row r="4062" spans="1:23" x14ac:dyDescent="0.25">
      <c r="A4062" s="1" t="s">
        <v>39</v>
      </c>
      <c r="B4062" s="1" t="s">
        <v>84</v>
      </c>
      <c r="C4062" s="1" t="s">
        <v>209</v>
      </c>
      <c r="D4062">
        <v>8933</v>
      </c>
      <c r="E4062" s="1" t="s">
        <v>243</v>
      </c>
      <c r="F4062" s="1" t="s">
        <v>390</v>
      </c>
      <c r="G4062">
        <v>2014</v>
      </c>
      <c r="H4062">
        <v>45761.1</v>
      </c>
      <c r="I4062">
        <v>12</v>
      </c>
      <c r="J4062" s="1" t="s">
        <v>433</v>
      </c>
      <c r="K4062">
        <v>0</v>
      </c>
      <c r="L4062">
        <v>0</v>
      </c>
      <c r="M4062">
        <v>457611</v>
      </c>
      <c r="N4062">
        <v>2</v>
      </c>
      <c r="O4062" s="1" t="s">
        <v>569</v>
      </c>
      <c r="P4062">
        <v>45761.1</v>
      </c>
      <c r="Q4062">
        <v>13728.33</v>
      </c>
      <c r="R4062">
        <v>1</v>
      </c>
      <c r="S4062" s="1" t="s">
        <v>1115</v>
      </c>
      <c r="T4062" s="1"/>
      <c r="U4062">
        <v>45761.097430000002</v>
      </c>
      <c r="V4062">
        <v>0</v>
      </c>
      <c r="W4062">
        <v>70990</v>
      </c>
    </row>
    <row r="4063" spans="1:23" x14ac:dyDescent="0.25">
      <c r="A4063" s="1" t="s">
        <v>39</v>
      </c>
      <c r="B4063" s="1" t="s">
        <v>84</v>
      </c>
      <c r="C4063" s="1" t="s">
        <v>209</v>
      </c>
      <c r="D4063">
        <v>8933</v>
      </c>
      <c r="E4063" s="1" t="s">
        <v>243</v>
      </c>
      <c r="F4063" s="1" t="s">
        <v>390</v>
      </c>
      <c r="G4063">
        <v>2014</v>
      </c>
      <c r="H4063">
        <v>4644.4399999999996</v>
      </c>
      <c r="I4063">
        <v>7</v>
      </c>
      <c r="J4063" s="1" t="s">
        <v>548</v>
      </c>
      <c r="K4063">
        <v>0</v>
      </c>
      <c r="L4063">
        <v>0</v>
      </c>
      <c r="M4063">
        <v>46444.4</v>
      </c>
      <c r="N4063">
        <v>2</v>
      </c>
      <c r="O4063" s="1" t="s">
        <v>569</v>
      </c>
      <c r="P4063">
        <v>4644.4399999999996</v>
      </c>
      <c r="Q4063">
        <v>1393.33</v>
      </c>
      <c r="R4063">
        <v>1</v>
      </c>
      <c r="S4063" s="1" t="s">
        <v>1123</v>
      </c>
      <c r="T4063" s="1"/>
      <c r="U4063">
        <v>4644.4375</v>
      </c>
      <c r="V4063">
        <v>0</v>
      </c>
      <c r="W4063">
        <v>70993</v>
      </c>
    </row>
    <row r="4064" spans="1:23" x14ac:dyDescent="0.25">
      <c r="A4064" s="1" t="s">
        <v>39</v>
      </c>
      <c r="B4064" s="1" t="s">
        <v>84</v>
      </c>
      <c r="C4064" s="1" t="s">
        <v>209</v>
      </c>
      <c r="D4064">
        <v>8933</v>
      </c>
      <c r="E4064" s="1" t="s">
        <v>243</v>
      </c>
      <c r="F4064" s="1" t="s">
        <v>390</v>
      </c>
      <c r="G4064">
        <v>2014</v>
      </c>
      <c r="H4064">
        <v>5694.26</v>
      </c>
      <c r="I4064">
        <v>12</v>
      </c>
      <c r="J4064" s="1" t="s">
        <v>433</v>
      </c>
      <c r="K4064">
        <v>0</v>
      </c>
      <c r="L4064">
        <v>0</v>
      </c>
      <c r="M4064">
        <v>56942.6</v>
      </c>
      <c r="N4064">
        <v>2</v>
      </c>
      <c r="O4064" s="1" t="s">
        <v>569</v>
      </c>
      <c r="P4064">
        <v>5694.26</v>
      </c>
      <c r="Q4064">
        <v>1708.29</v>
      </c>
      <c r="R4064">
        <v>1</v>
      </c>
      <c r="S4064" s="1" t="s">
        <v>1116</v>
      </c>
      <c r="T4064" s="1"/>
      <c r="U4064">
        <v>5694.2739099999999</v>
      </c>
      <c r="V4064">
        <v>0</v>
      </c>
      <c r="W4064">
        <v>70996</v>
      </c>
    </row>
    <row r="4065" spans="1:23" x14ac:dyDescent="0.25">
      <c r="A4065" s="1" t="s">
        <v>39</v>
      </c>
      <c r="B4065" s="1" t="s">
        <v>84</v>
      </c>
      <c r="C4065" s="1" t="s">
        <v>209</v>
      </c>
      <c r="D4065">
        <v>8933</v>
      </c>
      <c r="E4065" s="1" t="s">
        <v>243</v>
      </c>
      <c r="F4065" s="1" t="s">
        <v>390</v>
      </c>
      <c r="G4065">
        <v>2014</v>
      </c>
      <c r="H4065">
        <v>9699.6</v>
      </c>
      <c r="I4065">
        <v>12</v>
      </c>
      <c r="J4065" s="1" t="s">
        <v>433</v>
      </c>
      <c r="K4065">
        <v>0</v>
      </c>
      <c r="L4065">
        <v>0</v>
      </c>
      <c r="M4065">
        <v>96996</v>
      </c>
      <c r="N4065">
        <v>2</v>
      </c>
      <c r="O4065" s="1" t="s">
        <v>569</v>
      </c>
      <c r="P4065">
        <v>9699.6</v>
      </c>
      <c r="Q4065">
        <v>2909.88</v>
      </c>
      <c r="R4065">
        <v>1</v>
      </c>
      <c r="S4065" s="1" t="s">
        <v>1117</v>
      </c>
      <c r="T4065" s="1"/>
      <c r="U4065">
        <v>9699.5974200000001</v>
      </c>
      <c r="V4065">
        <v>0</v>
      </c>
      <c r="W4065">
        <v>70998</v>
      </c>
    </row>
    <row r="4066" spans="1:23" x14ac:dyDescent="0.25">
      <c r="A4066" s="1" t="s">
        <v>39</v>
      </c>
      <c r="B4066" s="1" t="s">
        <v>84</v>
      </c>
      <c r="C4066" s="1" t="s">
        <v>209</v>
      </c>
      <c r="D4066">
        <v>8933</v>
      </c>
      <c r="E4066" s="1" t="s">
        <v>243</v>
      </c>
      <c r="F4066" s="1" t="s">
        <v>390</v>
      </c>
      <c r="G4066">
        <v>2014</v>
      </c>
      <c r="H4066">
        <v>71016.53</v>
      </c>
      <c r="I4066">
        <v>12</v>
      </c>
      <c r="J4066" s="1" t="s">
        <v>433</v>
      </c>
      <c r="K4066">
        <v>0</v>
      </c>
      <c r="L4066">
        <v>0</v>
      </c>
      <c r="M4066">
        <v>710165.3</v>
      </c>
      <c r="N4066">
        <v>2</v>
      </c>
      <c r="O4066" s="1" t="s">
        <v>569</v>
      </c>
      <c r="P4066">
        <v>71016.53</v>
      </c>
      <c r="Q4066">
        <v>21304.959999999999</v>
      </c>
      <c r="R4066">
        <v>1</v>
      </c>
      <c r="S4066" s="1" t="s">
        <v>1122</v>
      </c>
      <c r="T4066" s="1"/>
      <c r="U4066">
        <v>71016.536760000003</v>
      </c>
      <c r="V4066">
        <v>0</v>
      </c>
      <c r="W4066">
        <v>77913</v>
      </c>
    </row>
    <row r="4067" spans="1:23" x14ac:dyDescent="0.25">
      <c r="A4067" s="1" t="s">
        <v>39</v>
      </c>
      <c r="B4067" s="1" t="s">
        <v>84</v>
      </c>
      <c r="C4067" s="1" t="s">
        <v>209</v>
      </c>
      <c r="D4067">
        <v>8933</v>
      </c>
      <c r="E4067" s="1" t="s">
        <v>243</v>
      </c>
      <c r="F4067" s="1" t="s">
        <v>390</v>
      </c>
      <c r="G4067">
        <v>2014</v>
      </c>
      <c r="H4067">
        <v>0</v>
      </c>
      <c r="I4067">
        <v>2</v>
      </c>
      <c r="J4067" s="1" t="s">
        <v>549</v>
      </c>
      <c r="K4067">
        <v>0</v>
      </c>
      <c r="L4067">
        <v>0</v>
      </c>
      <c r="M4067">
        <v>0</v>
      </c>
      <c r="N4067">
        <v>2</v>
      </c>
      <c r="O4067" s="1" t="s">
        <v>569</v>
      </c>
      <c r="P4067">
        <v>0</v>
      </c>
      <c r="Q4067">
        <v>0</v>
      </c>
      <c r="R4067">
        <v>1</v>
      </c>
      <c r="S4067" s="1" t="s">
        <v>1124</v>
      </c>
      <c r="T4067" s="1"/>
      <c r="U4067">
        <v>0</v>
      </c>
      <c r="V4067">
        <v>0</v>
      </c>
      <c r="W4067">
        <v>70991</v>
      </c>
    </row>
    <row r="4068" spans="1:23" x14ac:dyDescent="0.25">
      <c r="A4068" s="1" t="s">
        <v>39</v>
      </c>
      <c r="B4068" s="1" t="s">
        <v>84</v>
      </c>
      <c r="C4068" s="1" t="s">
        <v>209</v>
      </c>
      <c r="D4068">
        <v>8933</v>
      </c>
      <c r="E4068" s="1" t="s">
        <v>243</v>
      </c>
      <c r="F4068" s="1" t="s">
        <v>390</v>
      </c>
      <c r="G4068">
        <v>2014</v>
      </c>
      <c r="H4068">
        <v>27942.59</v>
      </c>
      <c r="I4068">
        <v>12</v>
      </c>
      <c r="J4068" s="1" t="s">
        <v>433</v>
      </c>
      <c r="K4068">
        <v>0</v>
      </c>
      <c r="L4068">
        <v>0</v>
      </c>
      <c r="M4068">
        <v>279425.90000000002</v>
      </c>
      <c r="N4068">
        <v>2</v>
      </c>
      <c r="O4068" s="1" t="s">
        <v>569</v>
      </c>
      <c r="P4068">
        <v>27942.59</v>
      </c>
      <c r="Q4068">
        <v>8382.7800000000007</v>
      </c>
      <c r="R4068">
        <v>1</v>
      </c>
      <c r="S4068" s="1" t="s">
        <v>1119</v>
      </c>
      <c r="T4068" s="1"/>
      <c r="U4068">
        <v>27942.606619999999</v>
      </c>
      <c r="V4068">
        <v>0</v>
      </c>
      <c r="W4068">
        <v>70992</v>
      </c>
    </row>
    <row r="4069" spans="1:23" x14ac:dyDescent="0.25">
      <c r="A4069" s="1" t="s">
        <v>39</v>
      </c>
      <c r="B4069" s="1" t="s">
        <v>84</v>
      </c>
      <c r="C4069" s="1" t="s">
        <v>209</v>
      </c>
      <c r="D4069">
        <v>8933</v>
      </c>
      <c r="E4069" s="1" t="s">
        <v>243</v>
      </c>
      <c r="F4069" s="1" t="s">
        <v>390</v>
      </c>
      <c r="G4069">
        <v>2014</v>
      </c>
      <c r="H4069">
        <v>5051.3500000000004</v>
      </c>
      <c r="I4069">
        <v>12</v>
      </c>
      <c r="J4069" s="1" t="s">
        <v>433</v>
      </c>
      <c r="K4069">
        <v>0</v>
      </c>
      <c r="L4069">
        <v>0</v>
      </c>
      <c r="M4069">
        <v>50513.5</v>
      </c>
      <c r="N4069">
        <v>2</v>
      </c>
      <c r="O4069" s="1" t="s">
        <v>569</v>
      </c>
      <c r="P4069">
        <v>5051.3500000000004</v>
      </c>
      <c r="Q4069">
        <v>1515.4</v>
      </c>
      <c r="R4069">
        <v>1</v>
      </c>
      <c r="S4069" s="1" t="s">
        <v>1120</v>
      </c>
      <c r="T4069" s="1"/>
      <c r="U4069">
        <v>5051.3511200000003</v>
      </c>
      <c r="V4069">
        <v>0</v>
      </c>
      <c r="W4069">
        <v>70994</v>
      </c>
    </row>
    <row r="4070" spans="1:23" x14ac:dyDescent="0.25">
      <c r="A4070" s="1" t="s">
        <v>39</v>
      </c>
      <c r="B4070" s="1" t="s">
        <v>84</v>
      </c>
      <c r="C4070" s="1" t="s">
        <v>209</v>
      </c>
      <c r="D4070">
        <v>8933</v>
      </c>
      <c r="E4070" s="1" t="s">
        <v>243</v>
      </c>
      <c r="F4070" s="1" t="s">
        <v>390</v>
      </c>
      <c r="G4070">
        <v>2014</v>
      </c>
      <c r="H4070">
        <v>3738.67</v>
      </c>
      <c r="I4070">
        <v>12</v>
      </c>
      <c r="J4070" s="1" t="s">
        <v>433</v>
      </c>
      <c r="K4070">
        <v>0</v>
      </c>
      <c r="L4070">
        <v>0</v>
      </c>
      <c r="M4070">
        <v>37386.699999999997</v>
      </c>
      <c r="N4070">
        <v>2</v>
      </c>
      <c r="O4070" s="1" t="s">
        <v>569</v>
      </c>
      <c r="P4070">
        <v>3738.67</v>
      </c>
      <c r="Q4070">
        <v>1121.6099999999999</v>
      </c>
      <c r="R4070">
        <v>1</v>
      </c>
      <c r="S4070" s="1" t="s">
        <v>1121</v>
      </c>
      <c r="T4070" s="1"/>
      <c r="U4070">
        <v>3738.6893399999999</v>
      </c>
      <c r="V4070">
        <v>0</v>
      </c>
      <c r="W4070">
        <v>70997</v>
      </c>
    </row>
    <row r="4071" spans="1:23" x14ac:dyDescent="0.25">
      <c r="A4071" s="1" t="s">
        <v>39</v>
      </c>
      <c r="B4071" s="1" t="s">
        <v>84</v>
      </c>
      <c r="C4071" s="1" t="s">
        <v>209</v>
      </c>
      <c r="D4071">
        <v>8933</v>
      </c>
      <c r="E4071" s="1" t="s">
        <v>243</v>
      </c>
      <c r="F4071" s="1" t="s">
        <v>390</v>
      </c>
      <c r="G4071">
        <v>2014</v>
      </c>
      <c r="H4071">
        <v>6038.62</v>
      </c>
      <c r="I4071">
        <v>2</v>
      </c>
      <c r="J4071" s="1" t="s">
        <v>549</v>
      </c>
      <c r="K4071">
        <v>0</v>
      </c>
      <c r="L4071">
        <v>0</v>
      </c>
      <c r="M4071">
        <v>60386.2</v>
      </c>
      <c r="N4071">
        <v>2</v>
      </c>
      <c r="O4071" s="1" t="s">
        <v>569</v>
      </c>
      <c r="P4071">
        <v>6038.62</v>
      </c>
      <c r="Q4071">
        <v>1811.58</v>
      </c>
      <c r="R4071">
        <v>1</v>
      </c>
      <c r="S4071" s="1" t="s">
        <v>1125</v>
      </c>
      <c r="T4071" s="1"/>
      <c r="U4071">
        <v>6038.625</v>
      </c>
      <c r="V4071">
        <v>0</v>
      </c>
      <c r="W4071">
        <v>70999</v>
      </c>
    </row>
    <row r="4072" spans="1:23" x14ac:dyDescent="0.25">
      <c r="A4072" s="1" t="s">
        <v>39</v>
      </c>
      <c r="B4072" s="1" t="s">
        <v>84</v>
      </c>
      <c r="C4072" s="1" t="s">
        <v>209</v>
      </c>
      <c r="D4072">
        <v>8933</v>
      </c>
      <c r="E4072" s="1" t="s">
        <v>243</v>
      </c>
      <c r="F4072" s="1" t="s">
        <v>390</v>
      </c>
      <c r="G4072">
        <v>2014</v>
      </c>
      <c r="H4072">
        <v>40040.720000000001</v>
      </c>
      <c r="I4072">
        <v>13</v>
      </c>
      <c r="J4072" s="1" t="s">
        <v>433</v>
      </c>
      <c r="K4072">
        <v>0</v>
      </c>
      <c r="L4072">
        <v>0</v>
      </c>
      <c r="M4072">
        <v>400407.2</v>
      </c>
      <c r="N4072">
        <v>2</v>
      </c>
      <c r="O4072" s="1" t="s">
        <v>569</v>
      </c>
      <c r="P4072">
        <v>40040.720000000001</v>
      </c>
      <c r="Q4072">
        <v>12012.22</v>
      </c>
      <c r="R4072">
        <v>1</v>
      </c>
      <c r="S4072" s="1" t="s">
        <v>1118</v>
      </c>
      <c r="T4072" s="1"/>
      <c r="U4072">
        <v>40040.705880000001</v>
      </c>
      <c r="V4072">
        <v>0</v>
      </c>
      <c r="W4072">
        <v>95931</v>
      </c>
    </row>
    <row r="4073" spans="1:23" x14ac:dyDescent="0.25">
      <c r="A4073" s="1" t="s">
        <v>39</v>
      </c>
      <c r="B4073" s="1" t="s">
        <v>84</v>
      </c>
      <c r="C4073" s="1" t="s">
        <v>209</v>
      </c>
      <c r="D4073">
        <v>8933</v>
      </c>
      <c r="E4073" s="1" t="s">
        <v>243</v>
      </c>
      <c r="F4073" s="1" t="s">
        <v>390</v>
      </c>
      <c r="G4073">
        <v>2013</v>
      </c>
      <c r="H4073">
        <v>47160.66</v>
      </c>
      <c r="I4073">
        <v>11</v>
      </c>
      <c r="J4073" s="1" t="s">
        <v>433</v>
      </c>
      <c r="K4073">
        <v>0</v>
      </c>
      <c r="L4073">
        <v>0</v>
      </c>
      <c r="M4073">
        <v>471606.6</v>
      </c>
      <c r="N4073">
        <v>2</v>
      </c>
      <c r="O4073" s="1" t="s">
        <v>569</v>
      </c>
      <c r="P4073">
        <v>47160.66</v>
      </c>
      <c r="Q4073">
        <v>14148.21</v>
      </c>
      <c r="R4073">
        <v>1</v>
      </c>
      <c r="S4073" s="1" t="s">
        <v>1115</v>
      </c>
      <c r="T4073" s="1"/>
      <c r="U4073">
        <v>47160.661939999998</v>
      </c>
      <c r="V4073">
        <v>0</v>
      </c>
      <c r="W4073">
        <v>70990</v>
      </c>
    </row>
    <row r="4074" spans="1:23" x14ac:dyDescent="0.25">
      <c r="A4074" s="1" t="s">
        <v>39</v>
      </c>
      <c r="B4074" s="1" t="s">
        <v>84</v>
      </c>
      <c r="C4074" s="1" t="s">
        <v>209</v>
      </c>
      <c r="D4074">
        <v>8933</v>
      </c>
      <c r="E4074" s="1" t="s">
        <v>243</v>
      </c>
      <c r="F4074" s="1" t="s">
        <v>390</v>
      </c>
      <c r="G4074">
        <v>2013</v>
      </c>
      <c r="H4074">
        <v>25372.35</v>
      </c>
      <c r="I4074">
        <v>11</v>
      </c>
      <c r="J4074" s="1" t="s">
        <v>433</v>
      </c>
      <c r="K4074">
        <v>0</v>
      </c>
      <c r="L4074">
        <v>0</v>
      </c>
      <c r="M4074">
        <v>253723.5</v>
      </c>
      <c r="N4074">
        <v>2</v>
      </c>
      <c r="O4074" s="1" t="s">
        <v>569</v>
      </c>
      <c r="P4074">
        <v>25372.35</v>
      </c>
      <c r="Q4074">
        <v>7611.71</v>
      </c>
      <c r="R4074">
        <v>1</v>
      </c>
      <c r="S4074" s="1" t="s">
        <v>1119</v>
      </c>
      <c r="T4074" s="1"/>
      <c r="U4074">
        <v>25372.354179999998</v>
      </c>
      <c r="V4074">
        <v>0</v>
      </c>
      <c r="W4074">
        <v>70992</v>
      </c>
    </row>
    <row r="4075" spans="1:23" x14ac:dyDescent="0.25">
      <c r="A4075" s="1" t="s">
        <v>39</v>
      </c>
      <c r="B4075" s="1" t="s">
        <v>84</v>
      </c>
      <c r="C4075" s="1" t="s">
        <v>209</v>
      </c>
      <c r="D4075">
        <v>8933</v>
      </c>
      <c r="E4075" s="1" t="s">
        <v>243</v>
      </c>
      <c r="F4075" s="1" t="s">
        <v>390</v>
      </c>
      <c r="G4075">
        <v>2013</v>
      </c>
      <c r="H4075">
        <v>8492.92</v>
      </c>
      <c r="I4075">
        <v>11</v>
      </c>
      <c r="J4075" s="1" t="s">
        <v>548</v>
      </c>
      <c r="K4075">
        <v>0</v>
      </c>
      <c r="L4075">
        <v>0</v>
      </c>
      <c r="M4075">
        <v>84929.2</v>
      </c>
      <c r="N4075">
        <v>2</v>
      </c>
      <c r="O4075" s="1" t="s">
        <v>569</v>
      </c>
      <c r="P4075">
        <v>8492.92</v>
      </c>
      <c r="Q4075">
        <v>2547.87</v>
      </c>
      <c r="R4075">
        <v>1</v>
      </c>
      <c r="S4075" s="1" t="s">
        <v>1123</v>
      </c>
      <c r="T4075" s="1"/>
      <c r="U4075">
        <v>8492.9261299999998</v>
      </c>
      <c r="V4075">
        <v>0</v>
      </c>
      <c r="W4075">
        <v>70993</v>
      </c>
    </row>
    <row r="4076" spans="1:23" x14ac:dyDescent="0.25">
      <c r="A4076" s="1" t="s">
        <v>39</v>
      </c>
      <c r="B4076" s="1" t="s">
        <v>84</v>
      </c>
      <c r="C4076" s="1" t="s">
        <v>209</v>
      </c>
      <c r="D4076">
        <v>8933</v>
      </c>
      <c r="E4076" s="1" t="s">
        <v>243</v>
      </c>
      <c r="F4076" s="1" t="s">
        <v>390</v>
      </c>
      <c r="G4076">
        <v>2013</v>
      </c>
      <c r="H4076">
        <v>9983.56</v>
      </c>
      <c r="I4076">
        <v>11</v>
      </c>
      <c r="J4076" s="1" t="s">
        <v>433</v>
      </c>
      <c r="K4076">
        <v>0</v>
      </c>
      <c r="L4076">
        <v>0</v>
      </c>
      <c r="M4076">
        <v>99835.6</v>
      </c>
      <c r="N4076">
        <v>2</v>
      </c>
      <c r="O4076" s="1" t="s">
        <v>569</v>
      </c>
      <c r="P4076">
        <v>9983.56</v>
      </c>
      <c r="Q4076">
        <v>2995.06</v>
      </c>
      <c r="R4076">
        <v>1</v>
      </c>
      <c r="S4076" s="1" t="s">
        <v>1117</v>
      </c>
      <c r="T4076" s="1"/>
      <c r="U4076">
        <v>9983.5558700000001</v>
      </c>
      <c r="V4076">
        <v>0</v>
      </c>
      <c r="W4076">
        <v>70998</v>
      </c>
    </row>
    <row r="4077" spans="1:23" x14ac:dyDescent="0.25">
      <c r="A4077" s="1" t="s">
        <v>39</v>
      </c>
      <c r="B4077" s="1" t="s">
        <v>84</v>
      </c>
      <c r="C4077" s="1" t="s">
        <v>209</v>
      </c>
      <c r="D4077">
        <v>8933</v>
      </c>
      <c r="E4077" s="1" t="s">
        <v>243</v>
      </c>
      <c r="F4077" s="1" t="s">
        <v>390</v>
      </c>
      <c r="G4077">
        <v>2013</v>
      </c>
      <c r="H4077">
        <v>66477.67</v>
      </c>
      <c r="I4077">
        <v>11</v>
      </c>
      <c r="J4077" s="1" t="s">
        <v>433</v>
      </c>
      <c r="K4077">
        <v>0</v>
      </c>
      <c r="L4077">
        <v>0</v>
      </c>
      <c r="M4077">
        <v>664776.69999999995</v>
      </c>
      <c r="N4077">
        <v>2</v>
      </c>
      <c r="O4077" s="1" t="s">
        <v>569</v>
      </c>
      <c r="P4077">
        <v>66477.67</v>
      </c>
      <c r="Q4077">
        <v>19943.310000000001</v>
      </c>
      <c r="R4077">
        <v>1</v>
      </c>
      <c r="S4077" s="1" t="s">
        <v>1122</v>
      </c>
      <c r="T4077" s="1"/>
      <c r="U4077">
        <v>66477.662880000003</v>
      </c>
      <c r="V4077">
        <v>0</v>
      </c>
      <c r="W4077">
        <v>77913</v>
      </c>
    </row>
    <row r="4078" spans="1:23" x14ac:dyDescent="0.25">
      <c r="A4078" s="1" t="s">
        <v>39</v>
      </c>
      <c r="B4078" s="1" t="s">
        <v>84</v>
      </c>
      <c r="C4078" s="1" t="s">
        <v>209</v>
      </c>
      <c r="D4078">
        <v>8933</v>
      </c>
      <c r="E4078" s="1" t="s">
        <v>243</v>
      </c>
      <c r="F4078" s="1" t="s">
        <v>390</v>
      </c>
      <c r="G4078">
        <v>2013</v>
      </c>
      <c r="H4078">
        <v>16695.740000000002</v>
      </c>
      <c r="I4078">
        <v>11</v>
      </c>
      <c r="J4078" s="1" t="s">
        <v>549</v>
      </c>
      <c r="K4078">
        <v>0</v>
      </c>
      <c r="L4078">
        <v>0</v>
      </c>
      <c r="M4078">
        <v>166957.4</v>
      </c>
      <c r="N4078">
        <v>2</v>
      </c>
      <c r="O4078" s="1" t="s">
        <v>569</v>
      </c>
      <c r="P4078">
        <v>16695.740000000002</v>
      </c>
      <c r="Q4078">
        <v>5008.7299999999996</v>
      </c>
      <c r="R4078">
        <v>1</v>
      </c>
      <c r="S4078" s="1" t="s">
        <v>1124</v>
      </c>
      <c r="T4078" s="1"/>
      <c r="U4078">
        <v>16695.727279999999</v>
      </c>
      <c r="V4078">
        <v>0</v>
      </c>
      <c r="W4078">
        <v>70991</v>
      </c>
    </row>
    <row r="4079" spans="1:23" x14ac:dyDescent="0.25">
      <c r="A4079" s="1" t="s">
        <v>39</v>
      </c>
      <c r="B4079" s="1" t="s">
        <v>84</v>
      </c>
      <c r="C4079" s="1" t="s">
        <v>209</v>
      </c>
      <c r="D4079">
        <v>8933</v>
      </c>
      <c r="E4079" s="1" t="s">
        <v>243</v>
      </c>
      <c r="F4079" s="1" t="s">
        <v>390</v>
      </c>
      <c r="G4079">
        <v>2013</v>
      </c>
      <c r="H4079">
        <v>6644.32</v>
      </c>
      <c r="I4079">
        <v>11</v>
      </c>
      <c r="J4079" s="1" t="s">
        <v>433</v>
      </c>
      <c r="K4079">
        <v>0</v>
      </c>
      <c r="L4079">
        <v>0</v>
      </c>
      <c r="M4079">
        <v>66443.199999999997</v>
      </c>
      <c r="N4079">
        <v>2</v>
      </c>
      <c r="O4079" s="1" t="s">
        <v>569</v>
      </c>
      <c r="P4079">
        <v>6644.32</v>
      </c>
      <c r="Q4079">
        <v>1993.29</v>
      </c>
      <c r="R4079">
        <v>1</v>
      </c>
      <c r="S4079" s="1" t="s">
        <v>1120</v>
      </c>
      <c r="T4079" s="1"/>
      <c r="U4079">
        <v>6644.3191399999996</v>
      </c>
      <c r="V4079">
        <v>0</v>
      </c>
      <c r="W4079">
        <v>70994</v>
      </c>
    </row>
    <row r="4080" spans="1:23" x14ac:dyDescent="0.25">
      <c r="A4080" s="1" t="s">
        <v>39</v>
      </c>
      <c r="B4080" s="1" t="s">
        <v>84</v>
      </c>
      <c r="C4080" s="1" t="s">
        <v>209</v>
      </c>
      <c r="D4080">
        <v>8933</v>
      </c>
      <c r="E4080" s="1" t="s">
        <v>243</v>
      </c>
      <c r="F4080" s="1" t="s">
        <v>390</v>
      </c>
      <c r="G4080">
        <v>2013</v>
      </c>
      <c r="H4080">
        <v>5050.92</v>
      </c>
      <c r="I4080">
        <v>11</v>
      </c>
      <c r="J4080" s="1" t="s">
        <v>433</v>
      </c>
      <c r="K4080">
        <v>0</v>
      </c>
      <c r="L4080">
        <v>0</v>
      </c>
      <c r="M4080">
        <v>50509.2</v>
      </c>
      <c r="N4080">
        <v>2</v>
      </c>
      <c r="O4080" s="1" t="s">
        <v>569</v>
      </c>
      <c r="P4080">
        <v>5050.92</v>
      </c>
      <c r="Q4080">
        <v>1515.31</v>
      </c>
      <c r="R4080">
        <v>1</v>
      </c>
      <c r="S4080" s="1" t="s">
        <v>1116</v>
      </c>
      <c r="T4080" s="1"/>
      <c r="U4080">
        <v>5050.9346699999996</v>
      </c>
      <c r="V4080">
        <v>0</v>
      </c>
      <c r="W4080">
        <v>70996</v>
      </c>
    </row>
    <row r="4081" spans="1:23" x14ac:dyDescent="0.25">
      <c r="A4081" s="1" t="s">
        <v>39</v>
      </c>
      <c r="B4081" s="1" t="s">
        <v>84</v>
      </c>
      <c r="C4081" s="1" t="s">
        <v>209</v>
      </c>
      <c r="D4081">
        <v>8933</v>
      </c>
      <c r="E4081" s="1" t="s">
        <v>243</v>
      </c>
      <c r="F4081" s="1" t="s">
        <v>390</v>
      </c>
      <c r="G4081">
        <v>2013</v>
      </c>
      <c r="H4081">
        <v>3352.58</v>
      </c>
      <c r="I4081">
        <v>11</v>
      </c>
      <c r="J4081" s="1" t="s">
        <v>433</v>
      </c>
      <c r="K4081">
        <v>0</v>
      </c>
      <c r="L4081">
        <v>0</v>
      </c>
      <c r="M4081">
        <v>33525.800000000003</v>
      </c>
      <c r="N4081">
        <v>2</v>
      </c>
      <c r="O4081" s="1" t="s">
        <v>569</v>
      </c>
      <c r="P4081">
        <v>3352.58</v>
      </c>
      <c r="Q4081">
        <v>1005.77</v>
      </c>
      <c r="R4081">
        <v>1</v>
      </c>
      <c r="S4081" s="1" t="s">
        <v>1121</v>
      </c>
      <c r="T4081" s="1"/>
      <c r="U4081">
        <v>3352.5691400000001</v>
      </c>
      <c r="V4081">
        <v>0</v>
      </c>
      <c r="W4081">
        <v>70997</v>
      </c>
    </row>
    <row r="4082" spans="1:23" x14ac:dyDescent="0.25">
      <c r="A4082" s="1" t="s">
        <v>39</v>
      </c>
      <c r="B4082" s="1" t="s">
        <v>84</v>
      </c>
      <c r="C4082" s="1" t="s">
        <v>209</v>
      </c>
      <c r="D4082">
        <v>8933</v>
      </c>
      <c r="E4082" s="1" t="s">
        <v>243</v>
      </c>
      <c r="F4082" s="1" t="s">
        <v>390</v>
      </c>
      <c r="G4082">
        <v>2013</v>
      </c>
      <c r="H4082">
        <v>53348.68</v>
      </c>
      <c r="I4082">
        <v>11</v>
      </c>
      <c r="J4082" s="1" t="s">
        <v>549</v>
      </c>
      <c r="K4082">
        <v>0</v>
      </c>
      <c r="L4082">
        <v>0</v>
      </c>
      <c r="M4082">
        <v>533486.80000000005</v>
      </c>
      <c r="N4082">
        <v>2</v>
      </c>
      <c r="O4082" s="1" t="s">
        <v>569</v>
      </c>
      <c r="P4082">
        <v>53348.68</v>
      </c>
      <c r="Q4082">
        <v>16004.59</v>
      </c>
      <c r="R4082">
        <v>1</v>
      </c>
      <c r="S4082" s="1" t="s">
        <v>1125</v>
      </c>
      <c r="T4082" s="1"/>
      <c r="U4082">
        <v>53348.678019999999</v>
      </c>
      <c r="V4082">
        <v>0</v>
      </c>
      <c r="W4082">
        <v>70999</v>
      </c>
    </row>
    <row r="4083" spans="1:23" x14ac:dyDescent="0.25">
      <c r="A4083" s="1" t="s">
        <v>39</v>
      </c>
      <c r="B4083" s="1" t="s">
        <v>84</v>
      </c>
      <c r="C4083" s="1" t="s">
        <v>209</v>
      </c>
      <c r="D4083">
        <v>8933</v>
      </c>
      <c r="E4083" s="1" t="s">
        <v>243</v>
      </c>
      <c r="F4083" s="1" t="s">
        <v>390</v>
      </c>
      <c r="G4083">
        <v>2012</v>
      </c>
      <c r="H4083">
        <v>47395.35</v>
      </c>
      <c r="I4083">
        <v>12</v>
      </c>
      <c r="J4083" s="1" t="s">
        <v>433</v>
      </c>
      <c r="K4083">
        <v>0</v>
      </c>
      <c r="L4083">
        <v>0</v>
      </c>
      <c r="M4083">
        <v>473953.5</v>
      </c>
      <c r="N4083">
        <v>2</v>
      </c>
      <c r="O4083" s="1" t="s">
        <v>569</v>
      </c>
      <c r="P4083">
        <v>47395.35</v>
      </c>
      <c r="Q4083">
        <v>18958.13</v>
      </c>
      <c r="R4083">
        <v>1</v>
      </c>
      <c r="S4083" s="1" t="s">
        <v>1115</v>
      </c>
      <c r="T4083" s="1"/>
      <c r="U4083">
        <v>47395.348480000001</v>
      </c>
      <c r="V4083">
        <v>0</v>
      </c>
      <c r="W4083">
        <v>70990</v>
      </c>
    </row>
    <row r="4084" spans="1:23" x14ac:dyDescent="0.25">
      <c r="A4084" s="1" t="s">
        <v>39</v>
      </c>
      <c r="B4084" s="1" t="s">
        <v>84</v>
      </c>
      <c r="C4084" s="1" t="s">
        <v>209</v>
      </c>
      <c r="D4084">
        <v>8933</v>
      </c>
      <c r="E4084" s="1" t="s">
        <v>243</v>
      </c>
      <c r="F4084" s="1" t="s">
        <v>390</v>
      </c>
      <c r="G4084">
        <v>2012</v>
      </c>
      <c r="H4084">
        <v>19488.09</v>
      </c>
      <c r="I4084">
        <v>12</v>
      </c>
      <c r="J4084" s="1" t="s">
        <v>433</v>
      </c>
      <c r="K4084">
        <v>0</v>
      </c>
      <c r="L4084">
        <v>0</v>
      </c>
      <c r="M4084">
        <v>194880.9</v>
      </c>
      <c r="N4084">
        <v>2</v>
      </c>
      <c r="O4084" s="1" t="s">
        <v>569</v>
      </c>
      <c r="P4084">
        <v>19488.09</v>
      </c>
      <c r="Q4084">
        <v>7795.22</v>
      </c>
      <c r="R4084">
        <v>1</v>
      </c>
      <c r="S4084" s="1" t="s">
        <v>1119</v>
      </c>
      <c r="T4084" s="1"/>
      <c r="U4084">
        <v>19488.083340000001</v>
      </c>
      <c r="V4084">
        <v>0</v>
      </c>
      <c r="W4084">
        <v>70992</v>
      </c>
    </row>
    <row r="4085" spans="1:23" x14ac:dyDescent="0.25">
      <c r="A4085" s="1" t="s">
        <v>39</v>
      </c>
      <c r="B4085" s="1" t="s">
        <v>84</v>
      </c>
      <c r="C4085" s="1" t="s">
        <v>209</v>
      </c>
      <c r="D4085">
        <v>8933</v>
      </c>
      <c r="E4085" s="1" t="s">
        <v>243</v>
      </c>
      <c r="F4085" s="1" t="s">
        <v>390</v>
      </c>
      <c r="G4085">
        <v>2012</v>
      </c>
      <c r="H4085">
        <v>2167.4299999999998</v>
      </c>
      <c r="I4085">
        <v>4</v>
      </c>
      <c r="J4085" s="1" t="s">
        <v>550</v>
      </c>
      <c r="K4085">
        <v>0</v>
      </c>
      <c r="L4085">
        <v>0</v>
      </c>
      <c r="M4085">
        <v>21674.3</v>
      </c>
      <c r="N4085">
        <v>2</v>
      </c>
      <c r="O4085" s="1" t="s">
        <v>569</v>
      </c>
      <c r="P4085">
        <v>2167.4299999999998</v>
      </c>
      <c r="Q4085">
        <v>866.97</v>
      </c>
      <c r="R4085">
        <v>1</v>
      </c>
      <c r="S4085" s="1" t="s">
        <v>1126</v>
      </c>
      <c r="T4085" s="1"/>
      <c r="U4085">
        <v>2167.4166599999999</v>
      </c>
      <c r="V4085">
        <v>0</v>
      </c>
      <c r="W4085">
        <v>70995</v>
      </c>
    </row>
    <row r="4086" spans="1:23" x14ac:dyDescent="0.25">
      <c r="A4086" s="1" t="s">
        <v>39</v>
      </c>
      <c r="B4086" s="1" t="s">
        <v>84</v>
      </c>
      <c r="C4086" s="1" t="s">
        <v>209</v>
      </c>
      <c r="D4086">
        <v>8933</v>
      </c>
      <c r="E4086" s="1" t="s">
        <v>243</v>
      </c>
      <c r="F4086" s="1" t="s">
        <v>390</v>
      </c>
      <c r="G4086">
        <v>2012</v>
      </c>
      <c r="H4086">
        <v>2661.6</v>
      </c>
      <c r="I4086">
        <v>12</v>
      </c>
      <c r="J4086" s="1" t="s">
        <v>433</v>
      </c>
      <c r="K4086">
        <v>0</v>
      </c>
      <c r="L4086">
        <v>0</v>
      </c>
      <c r="M4086">
        <v>26616</v>
      </c>
      <c r="N4086">
        <v>2</v>
      </c>
      <c r="O4086" s="1" t="s">
        <v>569</v>
      </c>
      <c r="P4086">
        <v>2661.6</v>
      </c>
      <c r="Q4086">
        <v>1064.67</v>
      </c>
      <c r="R4086">
        <v>1</v>
      </c>
      <c r="S4086" s="1" t="s">
        <v>1121</v>
      </c>
      <c r="T4086" s="1"/>
      <c r="U4086">
        <v>2661.6288100000002</v>
      </c>
      <c r="V4086">
        <v>0</v>
      </c>
      <c r="W4086">
        <v>70997</v>
      </c>
    </row>
    <row r="4087" spans="1:23" x14ac:dyDescent="0.25">
      <c r="A4087" s="1" t="s">
        <v>39</v>
      </c>
      <c r="B4087" s="1" t="s">
        <v>84</v>
      </c>
      <c r="C4087" s="1" t="s">
        <v>209</v>
      </c>
      <c r="D4087">
        <v>8933</v>
      </c>
      <c r="E4087" s="1" t="s">
        <v>243</v>
      </c>
      <c r="F4087" s="1" t="s">
        <v>390</v>
      </c>
      <c r="G4087">
        <v>2012</v>
      </c>
      <c r="H4087">
        <v>12370.19</v>
      </c>
      <c r="I4087">
        <v>12</v>
      </c>
      <c r="J4087" s="1" t="s">
        <v>433</v>
      </c>
      <c r="K4087">
        <v>0</v>
      </c>
      <c r="L4087">
        <v>0</v>
      </c>
      <c r="M4087">
        <v>123701.9</v>
      </c>
      <c r="N4087">
        <v>2</v>
      </c>
      <c r="O4087" s="1" t="s">
        <v>569</v>
      </c>
      <c r="P4087">
        <v>12370.19</v>
      </c>
      <c r="Q4087">
        <v>4948.1000000000004</v>
      </c>
      <c r="R4087">
        <v>1</v>
      </c>
      <c r="S4087" s="1" t="s">
        <v>1117</v>
      </c>
      <c r="T4087" s="1"/>
      <c r="U4087">
        <v>12370.20455</v>
      </c>
      <c r="V4087">
        <v>0</v>
      </c>
      <c r="W4087">
        <v>70998</v>
      </c>
    </row>
    <row r="4088" spans="1:23" x14ac:dyDescent="0.25">
      <c r="A4088" s="1" t="s">
        <v>39</v>
      </c>
      <c r="B4088" s="1" t="s">
        <v>84</v>
      </c>
      <c r="C4088" s="1" t="s">
        <v>209</v>
      </c>
      <c r="D4088">
        <v>8933</v>
      </c>
      <c r="E4088" s="1" t="s">
        <v>243</v>
      </c>
      <c r="F4088" s="1" t="s">
        <v>390</v>
      </c>
      <c r="G4088">
        <v>2012</v>
      </c>
      <c r="H4088">
        <v>57464.79</v>
      </c>
      <c r="I4088">
        <v>12</v>
      </c>
      <c r="J4088" s="1" t="s">
        <v>433</v>
      </c>
      <c r="K4088">
        <v>0</v>
      </c>
      <c r="L4088">
        <v>0</v>
      </c>
      <c r="M4088">
        <v>574647.9</v>
      </c>
      <c r="N4088">
        <v>2</v>
      </c>
      <c r="O4088" s="1" t="s">
        <v>569</v>
      </c>
      <c r="P4088">
        <v>57464.79</v>
      </c>
      <c r="Q4088">
        <v>22985.91</v>
      </c>
      <c r="R4088">
        <v>1</v>
      </c>
      <c r="S4088" s="1" t="s">
        <v>1122</v>
      </c>
      <c r="T4088" s="1"/>
      <c r="U4088">
        <v>57464.795460000001</v>
      </c>
      <c r="V4088">
        <v>0</v>
      </c>
      <c r="W4088">
        <v>77913</v>
      </c>
    </row>
    <row r="4089" spans="1:23" x14ac:dyDescent="0.25">
      <c r="A4089" s="1" t="s">
        <v>39</v>
      </c>
      <c r="B4089" s="1" t="s">
        <v>84</v>
      </c>
      <c r="C4089" s="1" t="s">
        <v>209</v>
      </c>
      <c r="D4089">
        <v>8933</v>
      </c>
      <c r="E4089" s="1" t="s">
        <v>243</v>
      </c>
      <c r="F4089" s="1" t="s">
        <v>390</v>
      </c>
      <c r="G4089">
        <v>2012</v>
      </c>
      <c r="H4089">
        <v>21296.44</v>
      </c>
      <c r="I4089">
        <v>12</v>
      </c>
      <c r="J4089" s="1" t="s">
        <v>549</v>
      </c>
      <c r="K4089">
        <v>0</v>
      </c>
      <c r="L4089">
        <v>0</v>
      </c>
      <c r="M4089">
        <v>212964.4</v>
      </c>
      <c r="N4089">
        <v>2</v>
      </c>
      <c r="O4089" s="1" t="s">
        <v>569</v>
      </c>
      <c r="P4089">
        <v>21296.44</v>
      </c>
      <c r="Q4089">
        <v>8518.57</v>
      </c>
      <c r="R4089">
        <v>1</v>
      </c>
      <c r="S4089" s="1" t="s">
        <v>1124</v>
      </c>
      <c r="T4089" s="1"/>
      <c r="U4089">
        <v>21296.43939</v>
      </c>
      <c r="V4089">
        <v>0</v>
      </c>
      <c r="W4089">
        <v>70991</v>
      </c>
    </row>
    <row r="4090" spans="1:23" x14ac:dyDescent="0.25">
      <c r="A4090" s="1" t="s">
        <v>39</v>
      </c>
      <c r="B4090" s="1" t="s">
        <v>84</v>
      </c>
      <c r="C4090" s="1" t="s">
        <v>209</v>
      </c>
      <c r="D4090">
        <v>8933</v>
      </c>
      <c r="E4090" s="1" t="s">
        <v>243</v>
      </c>
      <c r="F4090" s="1" t="s">
        <v>390</v>
      </c>
      <c r="G4090">
        <v>2012</v>
      </c>
      <c r="H4090">
        <v>11750.4</v>
      </c>
      <c r="I4090">
        <v>12</v>
      </c>
      <c r="J4090" s="1" t="s">
        <v>548</v>
      </c>
      <c r="K4090">
        <v>0</v>
      </c>
      <c r="L4090">
        <v>0</v>
      </c>
      <c r="M4090">
        <v>117504</v>
      </c>
      <c r="N4090">
        <v>2</v>
      </c>
      <c r="O4090" s="1" t="s">
        <v>569</v>
      </c>
      <c r="P4090">
        <v>11750.4</v>
      </c>
      <c r="Q4090">
        <v>4700.16</v>
      </c>
      <c r="R4090">
        <v>1</v>
      </c>
      <c r="S4090" s="1" t="s">
        <v>1123</v>
      </c>
      <c r="T4090" s="1"/>
      <c r="U4090">
        <v>11750.38636</v>
      </c>
      <c r="V4090">
        <v>0</v>
      </c>
      <c r="W4090">
        <v>70993</v>
      </c>
    </row>
    <row r="4091" spans="1:23" x14ac:dyDescent="0.25">
      <c r="A4091" s="1" t="s">
        <v>39</v>
      </c>
      <c r="B4091" s="1" t="s">
        <v>84</v>
      </c>
      <c r="C4091" s="1" t="s">
        <v>209</v>
      </c>
      <c r="D4091">
        <v>8933</v>
      </c>
      <c r="E4091" s="1" t="s">
        <v>243</v>
      </c>
      <c r="F4091" s="1" t="s">
        <v>390</v>
      </c>
      <c r="G4091">
        <v>2012</v>
      </c>
      <c r="H4091">
        <v>8292.7000000000007</v>
      </c>
      <c r="I4091">
        <v>12</v>
      </c>
      <c r="J4091" s="1" t="s">
        <v>433</v>
      </c>
      <c r="K4091">
        <v>0</v>
      </c>
      <c r="L4091">
        <v>0</v>
      </c>
      <c r="M4091">
        <v>82927</v>
      </c>
      <c r="N4091">
        <v>2</v>
      </c>
      <c r="O4091" s="1" t="s">
        <v>569</v>
      </c>
      <c r="P4091">
        <v>8292.7000000000007</v>
      </c>
      <c r="Q4091">
        <v>3317.09</v>
      </c>
      <c r="R4091">
        <v>1</v>
      </c>
      <c r="S4091" s="1" t="s">
        <v>1120</v>
      </c>
      <c r="T4091" s="1"/>
      <c r="U4091">
        <v>8292.7121200000001</v>
      </c>
      <c r="V4091">
        <v>0</v>
      </c>
      <c r="W4091">
        <v>70994</v>
      </c>
    </row>
    <row r="4092" spans="1:23" x14ac:dyDescent="0.25">
      <c r="A4092" s="1" t="s">
        <v>39</v>
      </c>
      <c r="B4092" s="1" t="s">
        <v>84</v>
      </c>
      <c r="C4092" s="1" t="s">
        <v>209</v>
      </c>
      <c r="D4092">
        <v>8933</v>
      </c>
      <c r="E4092" s="1" t="s">
        <v>243</v>
      </c>
      <c r="F4092" s="1" t="s">
        <v>390</v>
      </c>
      <c r="G4092">
        <v>2012</v>
      </c>
      <c r="H4092">
        <v>5957.32</v>
      </c>
      <c r="I4092">
        <v>12</v>
      </c>
      <c r="J4092" s="1" t="s">
        <v>433</v>
      </c>
      <c r="K4092">
        <v>0</v>
      </c>
      <c r="L4092">
        <v>0</v>
      </c>
      <c r="M4092">
        <v>59573.2</v>
      </c>
      <c r="N4092">
        <v>2</v>
      </c>
      <c r="O4092" s="1" t="s">
        <v>569</v>
      </c>
      <c r="P4092">
        <v>5957.32</v>
      </c>
      <c r="Q4092">
        <v>2382.92</v>
      </c>
      <c r="R4092">
        <v>1</v>
      </c>
      <c r="S4092" s="1" t="s">
        <v>1116</v>
      </c>
      <c r="T4092" s="1"/>
      <c r="U4092">
        <v>5957.3257599999997</v>
      </c>
      <c r="V4092">
        <v>0</v>
      </c>
      <c r="W4092">
        <v>70996</v>
      </c>
    </row>
    <row r="4093" spans="1:23" x14ac:dyDescent="0.25">
      <c r="A4093" s="1" t="s">
        <v>39</v>
      </c>
      <c r="B4093" s="1" t="s">
        <v>84</v>
      </c>
      <c r="C4093" s="1" t="s">
        <v>209</v>
      </c>
      <c r="D4093">
        <v>8933</v>
      </c>
      <c r="E4093" s="1" t="s">
        <v>243</v>
      </c>
      <c r="F4093" s="1" t="s">
        <v>390</v>
      </c>
      <c r="G4093">
        <v>2012</v>
      </c>
      <c r="H4093">
        <v>50010.77</v>
      </c>
      <c r="I4093">
        <v>12</v>
      </c>
      <c r="J4093" s="1" t="s">
        <v>549</v>
      </c>
      <c r="K4093">
        <v>0</v>
      </c>
      <c r="L4093">
        <v>0</v>
      </c>
      <c r="M4093">
        <v>500107.7</v>
      </c>
      <c r="N4093">
        <v>2</v>
      </c>
      <c r="O4093" s="1" t="s">
        <v>569</v>
      </c>
      <c r="P4093">
        <v>50010.77</v>
      </c>
      <c r="Q4093">
        <v>20004.32</v>
      </c>
      <c r="R4093">
        <v>1</v>
      </c>
      <c r="S4093" s="1" t="s">
        <v>1125</v>
      </c>
      <c r="T4093" s="1"/>
      <c r="U4093">
        <v>50010.780299999999</v>
      </c>
      <c r="V4093">
        <v>0</v>
      </c>
      <c r="W4093">
        <v>70999</v>
      </c>
    </row>
    <row r="4094" spans="1:23" x14ac:dyDescent="0.25">
      <c r="A4094" s="1" t="s">
        <v>39</v>
      </c>
      <c r="B4094" s="1" t="s">
        <v>84</v>
      </c>
      <c r="C4094" s="1" t="s">
        <v>209</v>
      </c>
      <c r="D4094">
        <v>8933</v>
      </c>
      <c r="E4094" s="1" t="s">
        <v>243</v>
      </c>
      <c r="F4094" s="1" t="s">
        <v>390</v>
      </c>
      <c r="G4094">
        <v>2011</v>
      </c>
      <c r="H4094">
        <v>22085.51</v>
      </c>
      <c r="I4094">
        <v>12</v>
      </c>
      <c r="J4094" s="1" t="s">
        <v>433</v>
      </c>
      <c r="K4094">
        <v>0</v>
      </c>
      <c r="L4094">
        <v>0</v>
      </c>
      <c r="M4094">
        <v>220855.1</v>
      </c>
      <c r="N4094">
        <v>2</v>
      </c>
      <c r="O4094" s="1" t="s">
        <v>569</v>
      </c>
      <c r="P4094">
        <v>22085.51</v>
      </c>
      <c r="Q4094">
        <v>10358.1</v>
      </c>
      <c r="R4094">
        <v>1</v>
      </c>
      <c r="S4094" s="1" t="s">
        <v>1119</v>
      </c>
      <c r="T4094" s="1"/>
      <c r="U4094">
        <v>22085.507150000001</v>
      </c>
      <c r="V4094">
        <v>0</v>
      </c>
      <c r="W4094">
        <v>70992</v>
      </c>
    </row>
    <row r="4095" spans="1:23" x14ac:dyDescent="0.25">
      <c r="A4095" s="1" t="s">
        <v>39</v>
      </c>
      <c r="B4095" s="1" t="s">
        <v>84</v>
      </c>
      <c r="C4095" s="1" t="s">
        <v>209</v>
      </c>
      <c r="D4095">
        <v>8933</v>
      </c>
      <c r="E4095" s="1" t="s">
        <v>243</v>
      </c>
      <c r="F4095" s="1" t="s">
        <v>390</v>
      </c>
      <c r="G4095">
        <v>2011</v>
      </c>
      <c r="H4095">
        <v>10376.84</v>
      </c>
      <c r="I4095">
        <v>12</v>
      </c>
      <c r="J4095" s="1" t="s">
        <v>433</v>
      </c>
      <c r="K4095">
        <v>0</v>
      </c>
      <c r="L4095">
        <v>0</v>
      </c>
      <c r="M4095">
        <v>103768.4</v>
      </c>
      <c r="N4095">
        <v>2</v>
      </c>
      <c r="O4095" s="1" t="s">
        <v>569</v>
      </c>
      <c r="P4095">
        <v>10376.84</v>
      </c>
      <c r="Q4095">
        <v>4866.74</v>
      </c>
      <c r="R4095">
        <v>1</v>
      </c>
      <c r="S4095" s="1" t="s">
        <v>1120</v>
      </c>
      <c r="T4095" s="1"/>
      <c r="U4095">
        <v>10376.842860000001</v>
      </c>
      <c r="V4095">
        <v>0</v>
      </c>
      <c r="W4095">
        <v>70994</v>
      </c>
    </row>
    <row r="4096" spans="1:23" x14ac:dyDescent="0.25">
      <c r="A4096" s="1" t="s">
        <v>39</v>
      </c>
      <c r="B4096" s="1" t="s">
        <v>84</v>
      </c>
      <c r="C4096" s="1" t="s">
        <v>209</v>
      </c>
      <c r="D4096">
        <v>8933</v>
      </c>
      <c r="E4096" s="1" t="s">
        <v>243</v>
      </c>
      <c r="F4096" s="1" t="s">
        <v>390</v>
      </c>
      <c r="G4096">
        <v>2011</v>
      </c>
      <c r="H4096">
        <v>5471.94</v>
      </c>
      <c r="I4096">
        <v>12</v>
      </c>
      <c r="J4096" s="1" t="s">
        <v>550</v>
      </c>
      <c r="K4096">
        <v>0</v>
      </c>
      <c r="L4096">
        <v>0</v>
      </c>
      <c r="M4096">
        <v>54719.4</v>
      </c>
      <c r="N4096">
        <v>2</v>
      </c>
      <c r="O4096" s="1" t="s">
        <v>569</v>
      </c>
      <c r="P4096">
        <v>5471.94</v>
      </c>
      <c r="Q4096">
        <v>2566.3200000000002</v>
      </c>
      <c r="R4096">
        <v>1</v>
      </c>
      <c r="S4096" s="1" t="s">
        <v>1126</v>
      </c>
      <c r="T4096" s="1"/>
      <c r="U4096">
        <v>5471.9362899999996</v>
      </c>
      <c r="V4096">
        <v>0</v>
      </c>
      <c r="W4096">
        <v>70995</v>
      </c>
    </row>
    <row r="4097" spans="1:23" x14ac:dyDescent="0.25">
      <c r="A4097" s="1" t="s">
        <v>39</v>
      </c>
      <c r="B4097" s="1" t="s">
        <v>84</v>
      </c>
      <c r="C4097" s="1" t="s">
        <v>209</v>
      </c>
      <c r="D4097">
        <v>8933</v>
      </c>
      <c r="E4097" s="1" t="s">
        <v>243</v>
      </c>
      <c r="F4097" s="1" t="s">
        <v>390</v>
      </c>
      <c r="G4097">
        <v>2011</v>
      </c>
      <c r="H4097">
        <v>2762.63</v>
      </c>
      <c r="I4097">
        <v>12</v>
      </c>
      <c r="J4097" s="1" t="s">
        <v>433</v>
      </c>
      <c r="K4097">
        <v>0</v>
      </c>
      <c r="L4097">
        <v>0</v>
      </c>
      <c r="M4097">
        <v>27626.3</v>
      </c>
      <c r="N4097">
        <v>2</v>
      </c>
      <c r="O4097" s="1" t="s">
        <v>569</v>
      </c>
      <c r="P4097">
        <v>2762.63</v>
      </c>
      <c r="Q4097">
        <v>1295.6600000000001</v>
      </c>
      <c r="R4097">
        <v>1</v>
      </c>
      <c r="S4097" s="1" t="s">
        <v>1121</v>
      </c>
      <c r="T4097" s="1"/>
      <c r="U4097">
        <v>2762.6127499999998</v>
      </c>
      <c r="V4097">
        <v>0</v>
      </c>
      <c r="W4097">
        <v>70997</v>
      </c>
    </row>
    <row r="4098" spans="1:23" x14ac:dyDescent="0.25">
      <c r="A4098" s="1" t="s">
        <v>39</v>
      </c>
      <c r="B4098" s="1" t="s">
        <v>84</v>
      </c>
      <c r="C4098" s="1" t="s">
        <v>209</v>
      </c>
      <c r="D4098">
        <v>8933</v>
      </c>
      <c r="E4098" s="1" t="s">
        <v>243</v>
      </c>
      <c r="F4098" s="1" t="s">
        <v>390</v>
      </c>
      <c r="G4098">
        <v>2011</v>
      </c>
      <c r="H4098">
        <v>54162.42</v>
      </c>
      <c r="I4098">
        <v>12</v>
      </c>
      <c r="J4098" s="1" t="s">
        <v>433</v>
      </c>
      <c r="K4098">
        <v>0</v>
      </c>
      <c r="L4098">
        <v>0</v>
      </c>
      <c r="M4098">
        <v>541624.19999999995</v>
      </c>
      <c r="N4098">
        <v>2</v>
      </c>
      <c r="O4098" s="1" t="s">
        <v>569</v>
      </c>
      <c r="P4098">
        <v>54162.42</v>
      </c>
      <c r="Q4098">
        <v>25402.18</v>
      </c>
      <c r="R4098">
        <v>1</v>
      </c>
      <c r="S4098" s="1" t="s">
        <v>1122</v>
      </c>
      <c r="T4098" s="1"/>
      <c r="U4098">
        <v>54162.416680000002</v>
      </c>
      <c r="V4098">
        <v>0</v>
      </c>
      <c r="W4098">
        <v>77913</v>
      </c>
    </row>
    <row r="4099" spans="1:23" x14ac:dyDescent="0.25">
      <c r="A4099" s="1" t="s">
        <v>39</v>
      </c>
      <c r="B4099" s="1" t="s">
        <v>84</v>
      </c>
      <c r="C4099" s="1" t="s">
        <v>209</v>
      </c>
      <c r="D4099">
        <v>8933</v>
      </c>
      <c r="E4099" s="1" t="s">
        <v>243</v>
      </c>
      <c r="F4099" s="1" t="s">
        <v>390</v>
      </c>
      <c r="G4099">
        <v>2011</v>
      </c>
      <c r="H4099">
        <v>54823.11</v>
      </c>
      <c r="I4099">
        <v>12</v>
      </c>
      <c r="J4099" s="1" t="s">
        <v>433</v>
      </c>
      <c r="K4099">
        <v>0</v>
      </c>
      <c r="L4099">
        <v>0</v>
      </c>
      <c r="M4099">
        <v>548231.1</v>
      </c>
      <c r="N4099">
        <v>2</v>
      </c>
      <c r="O4099" s="1" t="s">
        <v>569</v>
      </c>
      <c r="P4099">
        <v>54823.11</v>
      </c>
      <c r="Q4099">
        <v>25712.04</v>
      </c>
      <c r="R4099">
        <v>1</v>
      </c>
      <c r="S4099" s="1" t="s">
        <v>1115</v>
      </c>
      <c r="T4099" s="1"/>
      <c r="U4099">
        <v>54823.127460000003</v>
      </c>
      <c r="V4099">
        <v>0</v>
      </c>
      <c r="W4099">
        <v>70990</v>
      </c>
    </row>
    <row r="4100" spans="1:23" x14ac:dyDescent="0.25">
      <c r="A4100" s="1" t="s">
        <v>39</v>
      </c>
      <c r="B4100" s="1" t="s">
        <v>84</v>
      </c>
      <c r="C4100" s="1" t="s">
        <v>209</v>
      </c>
      <c r="D4100">
        <v>8933</v>
      </c>
      <c r="E4100" s="1" t="s">
        <v>243</v>
      </c>
      <c r="F4100" s="1" t="s">
        <v>390</v>
      </c>
      <c r="G4100">
        <v>2011</v>
      </c>
      <c r="H4100">
        <v>22596.69</v>
      </c>
      <c r="I4100">
        <v>12</v>
      </c>
      <c r="J4100" s="1" t="s">
        <v>549</v>
      </c>
      <c r="K4100">
        <v>0</v>
      </c>
      <c r="L4100">
        <v>0</v>
      </c>
      <c r="M4100">
        <v>225966.9</v>
      </c>
      <c r="N4100">
        <v>2</v>
      </c>
      <c r="O4100" s="1" t="s">
        <v>569</v>
      </c>
      <c r="P4100">
        <v>22596.69</v>
      </c>
      <c r="Q4100">
        <v>10597.85</v>
      </c>
      <c r="R4100">
        <v>1</v>
      </c>
      <c r="S4100" s="1" t="s">
        <v>1124</v>
      </c>
      <c r="T4100" s="1"/>
      <c r="U4100">
        <v>22596.686259999999</v>
      </c>
      <c r="V4100">
        <v>0</v>
      </c>
      <c r="W4100">
        <v>70991</v>
      </c>
    </row>
    <row r="4101" spans="1:23" x14ac:dyDescent="0.25">
      <c r="A4101" s="1" t="s">
        <v>39</v>
      </c>
      <c r="B4101" s="1" t="s">
        <v>84</v>
      </c>
      <c r="C4101" s="1" t="s">
        <v>209</v>
      </c>
      <c r="D4101">
        <v>8933</v>
      </c>
      <c r="E4101" s="1" t="s">
        <v>243</v>
      </c>
      <c r="F4101" s="1" t="s">
        <v>390</v>
      </c>
      <c r="G4101">
        <v>2011</v>
      </c>
      <c r="H4101">
        <v>10529.6</v>
      </c>
      <c r="I4101">
        <v>12</v>
      </c>
      <c r="J4101" s="1" t="s">
        <v>548</v>
      </c>
      <c r="K4101">
        <v>0</v>
      </c>
      <c r="L4101">
        <v>0</v>
      </c>
      <c r="M4101">
        <v>105296</v>
      </c>
      <c r="N4101">
        <v>2</v>
      </c>
      <c r="O4101" s="1" t="s">
        <v>569</v>
      </c>
      <c r="P4101">
        <v>10529.6</v>
      </c>
      <c r="Q4101">
        <v>4938.38</v>
      </c>
      <c r="R4101">
        <v>1</v>
      </c>
      <c r="S4101" s="1" t="s">
        <v>1123</v>
      </c>
      <c r="T4101" s="1"/>
      <c r="U4101">
        <v>10529.602929999999</v>
      </c>
      <c r="V4101">
        <v>0</v>
      </c>
      <c r="W4101">
        <v>70993</v>
      </c>
    </row>
    <row r="4102" spans="1:23" x14ac:dyDescent="0.25">
      <c r="A4102" s="1" t="s">
        <v>39</v>
      </c>
      <c r="B4102" s="1" t="s">
        <v>84</v>
      </c>
      <c r="C4102" s="1" t="s">
        <v>209</v>
      </c>
      <c r="D4102">
        <v>8933</v>
      </c>
      <c r="E4102" s="1" t="s">
        <v>243</v>
      </c>
      <c r="F4102" s="1" t="s">
        <v>390</v>
      </c>
      <c r="G4102">
        <v>2011</v>
      </c>
      <c r="H4102">
        <v>8770.6200000000008</v>
      </c>
      <c r="I4102">
        <v>12</v>
      </c>
      <c r="J4102" s="1" t="s">
        <v>433</v>
      </c>
      <c r="K4102">
        <v>0</v>
      </c>
      <c r="L4102">
        <v>0</v>
      </c>
      <c r="M4102">
        <v>87706.2</v>
      </c>
      <c r="N4102">
        <v>2</v>
      </c>
      <c r="O4102" s="1" t="s">
        <v>569</v>
      </c>
      <c r="P4102">
        <v>8770.6200000000008</v>
      </c>
      <c r="Q4102">
        <v>4113.41</v>
      </c>
      <c r="R4102">
        <v>1</v>
      </c>
      <c r="S4102" s="1" t="s">
        <v>1116</v>
      </c>
      <c r="T4102" s="1"/>
      <c r="U4102">
        <v>8770.6127500000002</v>
      </c>
      <c r="V4102">
        <v>0</v>
      </c>
      <c r="W4102">
        <v>70996</v>
      </c>
    </row>
    <row r="4103" spans="1:23" x14ac:dyDescent="0.25">
      <c r="A4103" s="1" t="s">
        <v>39</v>
      </c>
      <c r="B4103" s="1" t="s">
        <v>84</v>
      </c>
      <c r="C4103" s="1" t="s">
        <v>209</v>
      </c>
      <c r="D4103">
        <v>8933</v>
      </c>
      <c r="E4103" s="1" t="s">
        <v>243</v>
      </c>
      <c r="F4103" s="1" t="s">
        <v>390</v>
      </c>
      <c r="G4103">
        <v>2011</v>
      </c>
      <c r="H4103">
        <v>20103.439999999999</v>
      </c>
      <c r="I4103">
        <v>12</v>
      </c>
      <c r="J4103" s="1" t="s">
        <v>433</v>
      </c>
      <c r="K4103">
        <v>0</v>
      </c>
      <c r="L4103">
        <v>0</v>
      </c>
      <c r="M4103">
        <v>201034.4</v>
      </c>
      <c r="N4103">
        <v>2</v>
      </c>
      <c r="O4103" s="1" t="s">
        <v>569</v>
      </c>
      <c r="P4103">
        <v>20103.439999999999</v>
      </c>
      <c r="Q4103">
        <v>9428.51</v>
      </c>
      <c r="R4103">
        <v>1</v>
      </c>
      <c r="S4103" s="1" t="s">
        <v>1117</v>
      </c>
      <c r="T4103" s="1"/>
      <c r="U4103">
        <v>20103.436290000001</v>
      </c>
      <c r="V4103">
        <v>0</v>
      </c>
      <c r="W4103">
        <v>70998</v>
      </c>
    </row>
    <row r="4104" spans="1:23" x14ac:dyDescent="0.25">
      <c r="A4104" s="1" t="s">
        <v>39</v>
      </c>
      <c r="B4104" s="1" t="s">
        <v>84</v>
      </c>
      <c r="C4104" s="1" t="s">
        <v>209</v>
      </c>
      <c r="D4104">
        <v>8933</v>
      </c>
      <c r="E4104" s="1" t="s">
        <v>243</v>
      </c>
      <c r="F4104" s="1" t="s">
        <v>390</v>
      </c>
      <c r="G4104">
        <v>2011</v>
      </c>
      <c r="H4104">
        <v>55305.06</v>
      </c>
      <c r="I4104">
        <v>12</v>
      </c>
      <c r="J4104" s="1" t="s">
        <v>549</v>
      </c>
      <c r="K4104">
        <v>0</v>
      </c>
      <c r="L4104">
        <v>0</v>
      </c>
      <c r="M4104">
        <v>553050.6</v>
      </c>
      <c r="N4104">
        <v>2</v>
      </c>
      <c r="O4104" s="1" t="s">
        <v>569</v>
      </c>
      <c r="P4104">
        <v>55305.06</v>
      </c>
      <c r="Q4104">
        <v>25938.06</v>
      </c>
      <c r="R4104">
        <v>1</v>
      </c>
      <c r="S4104" s="1" t="s">
        <v>1125</v>
      </c>
      <c r="T4104" s="1"/>
      <c r="U4104">
        <v>55305.063719999998</v>
      </c>
      <c r="V4104">
        <v>0</v>
      </c>
      <c r="W4104">
        <v>70999</v>
      </c>
    </row>
    <row r="4105" spans="1:23" x14ac:dyDescent="0.25">
      <c r="A4105" s="1" t="s">
        <v>39</v>
      </c>
      <c r="B4105" s="1" t="s">
        <v>84</v>
      </c>
      <c r="C4105" s="1" t="s">
        <v>209</v>
      </c>
      <c r="D4105">
        <v>8933</v>
      </c>
      <c r="E4105" s="1" t="s">
        <v>243</v>
      </c>
      <c r="F4105" s="1" t="s">
        <v>390</v>
      </c>
      <c r="G4105">
        <v>2010</v>
      </c>
      <c r="H4105">
        <v>21222.34</v>
      </c>
      <c r="I4105">
        <v>12</v>
      </c>
      <c r="J4105" s="1" t="s">
        <v>549</v>
      </c>
      <c r="K4105">
        <v>0</v>
      </c>
      <c r="L4105">
        <v>0</v>
      </c>
      <c r="M4105">
        <v>212223.4</v>
      </c>
      <c r="N4105">
        <v>2</v>
      </c>
      <c r="O4105" s="1" t="s">
        <v>569</v>
      </c>
      <c r="P4105">
        <v>21222.34</v>
      </c>
      <c r="Q4105">
        <v>9953.2900000000009</v>
      </c>
      <c r="R4105">
        <v>1</v>
      </c>
      <c r="S4105" s="1" t="s">
        <v>1124</v>
      </c>
      <c r="T4105" s="1"/>
      <c r="U4105">
        <v>21222.34706</v>
      </c>
      <c r="V4105">
        <v>0</v>
      </c>
      <c r="W4105">
        <v>70991</v>
      </c>
    </row>
    <row r="4106" spans="1:23" x14ac:dyDescent="0.25">
      <c r="A4106" s="1" t="s">
        <v>39</v>
      </c>
      <c r="B4106" s="1" t="s">
        <v>84</v>
      </c>
      <c r="C4106" s="1" t="s">
        <v>209</v>
      </c>
      <c r="D4106">
        <v>8933</v>
      </c>
      <c r="E4106" s="1" t="s">
        <v>243</v>
      </c>
      <c r="F4106" s="1" t="s">
        <v>390</v>
      </c>
      <c r="G4106">
        <v>2010</v>
      </c>
      <c r="H4106">
        <v>22305.22</v>
      </c>
      <c r="I4106">
        <v>14</v>
      </c>
      <c r="J4106" s="1" t="s">
        <v>433</v>
      </c>
      <c r="K4106">
        <v>0</v>
      </c>
      <c r="L4106">
        <v>0</v>
      </c>
      <c r="M4106">
        <v>223052.2</v>
      </c>
      <c r="N4106">
        <v>2</v>
      </c>
      <c r="O4106" s="1" t="s">
        <v>569</v>
      </c>
      <c r="P4106">
        <v>22305.22</v>
      </c>
      <c r="Q4106">
        <v>10461.15</v>
      </c>
      <c r="R4106">
        <v>1</v>
      </c>
      <c r="S4106" s="1" t="s">
        <v>1119</v>
      </c>
      <c r="T4106" s="1"/>
      <c r="U4106">
        <v>22305.199990000001</v>
      </c>
      <c r="V4106">
        <v>0</v>
      </c>
      <c r="W4106">
        <v>70992</v>
      </c>
    </row>
    <row r="4107" spans="1:23" x14ac:dyDescent="0.25">
      <c r="A4107" s="1" t="s">
        <v>39</v>
      </c>
      <c r="B4107" s="1" t="s">
        <v>84</v>
      </c>
      <c r="C4107" s="1" t="s">
        <v>209</v>
      </c>
      <c r="D4107">
        <v>8933</v>
      </c>
      <c r="E4107" s="1" t="s">
        <v>243</v>
      </c>
      <c r="F4107" s="1" t="s">
        <v>390</v>
      </c>
      <c r="G4107">
        <v>2010</v>
      </c>
      <c r="H4107">
        <v>28071.31</v>
      </c>
      <c r="I4107">
        <v>14</v>
      </c>
      <c r="J4107" s="1" t="s">
        <v>433</v>
      </c>
      <c r="K4107">
        <v>0</v>
      </c>
      <c r="L4107">
        <v>0</v>
      </c>
      <c r="M4107">
        <v>280713.09999999998</v>
      </c>
      <c r="N4107">
        <v>2</v>
      </c>
      <c r="O4107" s="1" t="s">
        <v>569</v>
      </c>
      <c r="P4107">
        <v>28071.31</v>
      </c>
      <c r="Q4107">
        <v>13165.45</v>
      </c>
      <c r="R4107">
        <v>1</v>
      </c>
      <c r="S4107" s="1" t="s">
        <v>1120</v>
      </c>
      <c r="T4107" s="1"/>
      <c r="U4107">
        <v>28071.314289999998</v>
      </c>
      <c r="V4107">
        <v>0</v>
      </c>
      <c r="W4107">
        <v>70994</v>
      </c>
    </row>
    <row r="4108" spans="1:23" x14ac:dyDescent="0.25">
      <c r="A4108" s="1" t="s">
        <v>39</v>
      </c>
      <c r="B4108" s="1" t="s">
        <v>84</v>
      </c>
      <c r="C4108" s="1" t="s">
        <v>209</v>
      </c>
      <c r="D4108">
        <v>8933</v>
      </c>
      <c r="E4108" s="1" t="s">
        <v>243</v>
      </c>
      <c r="F4108" s="1" t="s">
        <v>390</v>
      </c>
      <c r="G4108">
        <v>2010</v>
      </c>
      <c r="H4108">
        <v>2341.29</v>
      </c>
      <c r="I4108">
        <v>12</v>
      </c>
      <c r="J4108" s="1" t="s">
        <v>433</v>
      </c>
      <c r="K4108">
        <v>0</v>
      </c>
      <c r="L4108">
        <v>0</v>
      </c>
      <c r="M4108">
        <v>23412.9</v>
      </c>
      <c r="N4108">
        <v>2</v>
      </c>
      <c r="O4108" s="1" t="s">
        <v>569</v>
      </c>
      <c r="P4108">
        <v>2341.29</v>
      </c>
      <c r="Q4108">
        <v>1098.05</v>
      </c>
      <c r="R4108">
        <v>1</v>
      </c>
      <c r="S4108" s="1" t="s">
        <v>1121</v>
      </c>
      <c r="T4108" s="1"/>
      <c r="U4108">
        <v>2341.28487</v>
      </c>
      <c r="V4108">
        <v>0</v>
      </c>
      <c r="W4108">
        <v>70997</v>
      </c>
    </row>
    <row r="4109" spans="1:23" x14ac:dyDescent="0.25">
      <c r="A4109" s="1" t="s">
        <v>39</v>
      </c>
      <c r="B4109" s="1" t="s">
        <v>84</v>
      </c>
      <c r="C4109" s="1" t="s">
        <v>209</v>
      </c>
      <c r="D4109">
        <v>8933</v>
      </c>
      <c r="E4109" s="1" t="s">
        <v>243</v>
      </c>
      <c r="F4109" s="1" t="s">
        <v>390</v>
      </c>
      <c r="G4109">
        <v>2010</v>
      </c>
      <c r="H4109">
        <v>51514.879999999997</v>
      </c>
      <c r="I4109">
        <v>12</v>
      </c>
      <c r="J4109" s="1" t="s">
        <v>549</v>
      </c>
      <c r="K4109">
        <v>0</v>
      </c>
      <c r="L4109">
        <v>0</v>
      </c>
      <c r="M4109">
        <v>515148.79999999999</v>
      </c>
      <c r="N4109">
        <v>2</v>
      </c>
      <c r="O4109" s="1" t="s">
        <v>569</v>
      </c>
      <c r="P4109">
        <v>51514.879999999997</v>
      </c>
      <c r="Q4109">
        <v>24160.48</v>
      </c>
      <c r="R4109">
        <v>1</v>
      </c>
      <c r="S4109" s="1" t="s">
        <v>1125</v>
      </c>
      <c r="T4109" s="1"/>
      <c r="U4109">
        <v>51514.881500000003</v>
      </c>
      <c r="V4109">
        <v>0</v>
      </c>
      <c r="W4109">
        <v>70999</v>
      </c>
    </row>
    <row r="4110" spans="1:23" x14ac:dyDescent="0.25">
      <c r="A4110" s="1" t="s">
        <v>39</v>
      </c>
      <c r="B4110" s="1" t="s">
        <v>84</v>
      </c>
      <c r="C4110" s="1" t="s">
        <v>209</v>
      </c>
      <c r="D4110">
        <v>8933</v>
      </c>
      <c r="E4110" s="1" t="s">
        <v>243</v>
      </c>
      <c r="F4110" s="1" t="s">
        <v>390</v>
      </c>
      <c r="G4110">
        <v>2010</v>
      </c>
      <c r="H4110">
        <v>50543.360000000001</v>
      </c>
      <c r="I4110">
        <v>12</v>
      </c>
      <c r="J4110" s="1" t="s">
        <v>433</v>
      </c>
      <c r="K4110">
        <v>0</v>
      </c>
      <c r="L4110">
        <v>0</v>
      </c>
      <c r="M4110">
        <v>505433.59999999998</v>
      </c>
      <c r="N4110">
        <v>2</v>
      </c>
      <c r="O4110" s="1" t="s">
        <v>569</v>
      </c>
      <c r="P4110">
        <v>50543.360000000001</v>
      </c>
      <c r="Q4110">
        <v>23704.83</v>
      </c>
      <c r="R4110">
        <v>1</v>
      </c>
      <c r="S4110" s="1" t="s">
        <v>1115</v>
      </c>
      <c r="T4110" s="1"/>
      <c r="U4110">
        <v>50543.36303</v>
      </c>
      <c r="V4110">
        <v>0</v>
      </c>
      <c r="W4110">
        <v>70990</v>
      </c>
    </row>
    <row r="4111" spans="1:23" x14ac:dyDescent="0.25">
      <c r="A4111" s="1" t="s">
        <v>39</v>
      </c>
      <c r="B4111" s="1" t="s">
        <v>84</v>
      </c>
      <c r="C4111" s="1" t="s">
        <v>209</v>
      </c>
      <c r="D4111">
        <v>8933</v>
      </c>
      <c r="E4111" s="1" t="s">
        <v>243</v>
      </c>
      <c r="F4111" s="1" t="s">
        <v>390</v>
      </c>
      <c r="G4111">
        <v>2010</v>
      </c>
      <c r="H4111">
        <v>12955.66</v>
      </c>
      <c r="I4111">
        <v>12</v>
      </c>
      <c r="J4111" s="1" t="s">
        <v>548</v>
      </c>
      <c r="K4111">
        <v>0</v>
      </c>
      <c r="L4111">
        <v>0</v>
      </c>
      <c r="M4111">
        <v>129556.6</v>
      </c>
      <c r="N4111">
        <v>2</v>
      </c>
      <c r="O4111" s="1" t="s">
        <v>569</v>
      </c>
      <c r="P4111">
        <v>12955.66</v>
      </c>
      <c r="Q4111">
        <v>6076.21</v>
      </c>
      <c r="R4111">
        <v>1</v>
      </c>
      <c r="S4111" s="1" t="s">
        <v>1123</v>
      </c>
      <c r="T4111" s="1"/>
      <c r="U4111">
        <v>12955.675649999999</v>
      </c>
      <c r="V4111">
        <v>0</v>
      </c>
      <c r="W4111">
        <v>70993</v>
      </c>
    </row>
    <row r="4112" spans="1:23" x14ac:dyDescent="0.25">
      <c r="A4112" s="1" t="s">
        <v>39</v>
      </c>
      <c r="B4112" s="1" t="s">
        <v>84</v>
      </c>
      <c r="C4112" s="1" t="s">
        <v>209</v>
      </c>
      <c r="D4112">
        <v>8933</v>
      </c>
      <c r="E4112" s="1" t="s">
        <v>243</v>
      </c>
      <c r="F4112" s="1" t="s">
        <v>390</v>
      </c>
      <c r="G4112">
        <v>2010</v>
      </c>
      <c r="H4112">
        <v>5444</v>
      </c>
      <c r="I4112">
        <v>12</v>
      </c>
      <c r="J4112" s="1" t="s">
        <v>550</v>
      </c>
      <c r="K4112">
        <v>0</v>
      </c>
      <c r="L4112">
        <v>0</v>
      </c>
      <c r="M4112">
        <v>54440</v>
      </c>
      <c r="N4112">
        <v>2</v>
      </c>
      <c r="O4112" s="1" t="s">
        <v>569</v>
      </c>
      <c r="P4112">
        <v>5444</v>
      </c>
      <c r="Q4112">
        <v>2553.2399999999998</v>
      </c>
      <c r="R4112">
        <v>1</v>
      </c>
      <c r="S4112" s="1" t="s">
        <v>1126</v>
      </c>
      <c r="T4112" s="1"/>
      <c r="U4112">
        <v>5443.98992</v>
      </c>
      <c r="V4112">
        <v>0</v>
      </c>
      <c r="W4112">
        <v>70995</v>
      </c>
    </row>
    <row r="4113" spans="1:23" x14ac:dyDescent="0.25">
      <c r="A4113" s="1" t="s">
        <v>39</v>
      </c>
      <c r="B4113" s="1" t="s">
        <v>84</v>
      </c>
      <c r="C4113" s="1" t="s">
        <v>209</v>
      </c>
      <c r="D4113">
        <v>8933</v>
      </c>
      <c r="E4113" s="1" t="s">
        <v>243</v>
      </c>
      <c r="F4113" s="1" t="s">
        <v>390</v>
      </c>
      <c r="G4113">
        <v>2010</v>
      </c>
      <c r="H4113">
        <v>11011.25</v>
      </c>
      <c r="I4113">
        <v>12</v>
      </c>
      <c r="J4113" s="1" t="s">
        <v>433</v>
      </c>
      <c r="K4113">
        <v>0</v>
      </c>
      <c r="L4113">
        <v>0</v>
      </c>
      <c r="M4113">
        <v>110112.5</v>
      </c>
      <c r="N4113">
        <v>2</v>
      </c>
      <c r="O4113" s="1" t="s">
        <v>569</v>
      </c>
      <c r="P4113">
        <v>11011.25</v>
      </c>
      <c r="Q4113">
        <v>5164.29</v>
      </c>
      <c r="R4113">
        <v>1</v>
      </c>
      <c r="S4113" s="1" t="s">
        <v>1116</v>
      </c>
      <c r="T4113" s="1"/>
      <c r="U4113">
        <v>11011.256299999999</v>
      </c>
      <c r="V4113">
        <v>0</v>
      </c>
      <c r="W4113">
        <v>70996</v>
      </c>
    </row>
    <row r="4114" spans="1:23" x14ac:dyDescent="0.25">
      <c r="A4114" s="1" t="s">
        <v>39</v>
      </c>
      <c r="B4114" s="1" t="s">
        <v>84</v>
      </c>
      <c r="C4114" s="1" t="s">
        <v>209</v>
      </c>
      <c r="D4114">
        <v>8933</v>
      </c>
      <c r="E4114" s="1" t="s">
        <v>243</v>
      </c>
      <c r="F4114" s="1" t="s">
        <v>390</v>
      </c>
      <c r="G4114">
        <v>2010</v>
      </c>
      <c r="H4114">
        <v>28107.98</v>
      </c>
      <c r="I4114">
        <v>12</v>
      </c>
      <c r="J4114" s="1" t="s">
        <v>433</v>
      </c>
      <c r="K4114">
        <v>0</v>
      </c>
      <c r="L4114">
        <v>0</v>
      </c>
      <c r="M4114">
        <v>281079.8</v>
      </c>
      <c r="N4114">
        <v>2</v>
      </c>
      <c r="O4114" s="1" t="s">
        <v>569</v>
      </c>
      <c r="P4114">
        <v>28107.98</v>
      </c>
      <c r="Q4114">
        <v>13182.63</v>
      </c>
      <c r="R4114">
        <v>1</v>
      </c>
      <c r="S4114" s="1" t="s">
        <v>1117</v>
      </c>
      <c r="T4114" s="1"/>
      <c r="U4114">
        <v>28107.975630000001</v>
      </c>
      <c r="V4114">
        <v>0</v>
      </c>
      <c r="W4114">
        <v>70998</v>
      </c>
    </row>
    <row r="4115" spans="1:23" x14ac:dyDescent="0.25">
      <c r="A4115" s="1" t="s">
        <v>39</v>
      </c>
      <c r="B4115" s="1" t="s">
        <v>84</v>
      </c>
      <c r="C4115" s="1" t="s">
        <v>209</v>
      </c>
      <c r="D4115">
        <v>8933</v>
      </c>
      <c r="E4115" s="1" t="s">
        <v>243</v>
      </c>
      <c r="F4115" s="1" t="s">
        <v>390</v>
      </c>
      <c r="G4115">
        <v>2010</v>
      </c>
      <c r="H4115">
        <v>60316.4</v>
      </c>
      <c r="I4115">
        <v>12</v>
      </c>
      <c r="J4115" s="1" t="s">
        <v>433</v>
      </c>
      <c r="K4115">
        <v>0</v>
      </c>
      <c r="L4115">
        <v>0</v>
      </c>
      <c r="M4115">
        <v>603164</v>
      </c>
      <c r="N4115">
        <v>2</v>
      </c>
      <c r="O4115" s="1" t="s">
        <v>569</v>
      </c>
      <c r="P4115">
        <v>60316.4</v>
      </c>
      <c r="Q4115">
        <v>28288.38</v>
      </c>
      <c r="R4115">
        <v>1</v>
      </c>
      <c r="S4115" s="1" t="s">
        <v>1122</v>
      </c>
      <c r="T4115" s="1"/>
      <c r="U4115">
        <v>60316.4</v>
      </c>
      <c r="V4115">
        <v>0</v>
      </c>
      <c r="W4115">
        <v>77913</v>
      </c>
    </row>
    <row r="4116" spans="1:23" x14ac:dyDescent="0.25">
      <c r="A4116" s="1" t="s">
        <v>39</v>
      </c>
      <c r="B4116" s="1" t="s">
        <v>84</v>
      </c>
      <c r="C4116" s="1" t="s">
        <v>209</v>
      </c>
      <c r="D4116">
        <v>8933</v>
      </c>
      <c r="E4116" s="1" t="s">
        <v>243</v>
      </c>
      <c r="F4116" s="1" t="s">
        <v>390</v>
      </c>
      <c r="G4116">
        <v>2009</v>
      </c>
      <c r="H4116">
        <v>19453.330000000002</v>
      </c>
      <c r="I4116">
        <v>11</v>
      </c>
      <c r="J4116" s="1" t="s">
        <v>549</v>
      </c>
      <c r="K4116">
        <v>0</v>
      </c>
      <c r="L4116">
        <v>0</v>
      </c>
      <c r="M4116">
        <v>194533.3</v>
      </c>
      <c r="N4116">
        <v>2</v>
      </c>
      <c r="O4116" s="1" t="s">
        <v>569</v>
      </c>
      <c r="P4116">
        <v>19453.330000000002</v>
      </c>
      <c r="Q4116">
        <v>9123.61</v>
      </c>
      <c r="R4116">
        <v>1</v>
      </c>
      <c r="S4116" s="1" t="s">
        <v>1124</v>
      </c>
      <c r="T4116" s="1"/>
      <c r="U4116">
        <v>19453.31612</v>
      </c>
      <c r="V4116">
        <v>0</v>
      </c>
      <c r="W4116">
        <v>70991</v>
      </c>
    </row>
    <row r="4117" spans="1:23" x14ac:dyDescent="0.25">
      <c r="A4117" s="1" t="s">
        <v>39</v>
      </c>
      <c r="B4117" s="1" t="s">
        <v>84</v>
      </c>
      <c r="C4117" s="1" t="s">
        <v>209</v>
      </c>
      <c r="D4117">
        <v>8933</v>
      </c>
      <c r="E4117" s="1" t="s">
        <v>243</v>
      </c>
      <c r="F4117" s="1" t="s">
        <v>390</v>
      </c>
      <c r="G4117">
        <v>2009</v>
      </c>
      <c r="H4117">
        <v>39054.18</v>
      </c>
      <c r="I4117">
        <v>11</v>
      </c>
      <c r="J4117" s="1" t="s">
        <v>433</v>
      </c>
      <c r="K4117">
        <v>0</v>
      </c>
      <c r="L4117">
        <v>0</v>
      </c>
      <c r="M4117">
        <v>390541.8</v>
      </c>
      <c r="N4117">
        <v>2</v>
      </c>
      <c r="O4117" s="1" t="s">
        <v>569</v>
      </c>
      <c r="P4117">
        <v>39054.18</v>
      </c>
      <c r="Q4117">
        <v>18316.41</v>
      </c>
      <c r="R4117">
        <v>1</v>
      </c>
      <c r="S4117" s="1" t="s">
        <v>1120</v>
      </c>
      <c r="T4117" s="1"/>
      <c r="U4117">
        <v>39054.181559999997</v>
      </c>
      <c r="V4117">
        <v>0</v>
      </c>
      <c r="W4117">
        <v>70994</v>
      </c>
    </row>
    <row r="4118" spans="1:23" x14ac:dyDescent="0.25">
      <c r="A4118" s="1" t="s">
        <v>39</v>
      </c>
      <c r="B4118" s="1" t="s">
        <v>84</v>
      </c>
      <c r="C4118" s="1" t="s">
        <v>209</v>
      </c>
      <c r="D4118">
        <v>8933</v>
      </c>
      <c r="E4118" s="1" t="s">
        <v>243</v>
      </c>
      <c r="F4118" s="1" t="s">
        <v>390</v>
      </c>
      <c r="G4118">
        <v>2009</v>
      </c>
      <c r="H4118">
        <v>12802.42</v>
      </c>
      <c r="I4118">
        <v>11</v>
      </c>
      <c r="J4118" s="1" t="s">
        <v>433</v>
      </c>
      <c r="K4118">
        <v>0</v>
      </c>
      <c r="L4118">
        <v>0</v>
      </c>
      <c r="M4118">
        <v>128024.2</v>
      </c>
      <c r="N4118">
        <v>2</v>
      </c>
      <c r="O4118" s="1" t="s">
        <v>569</v>
      </c>
      <c r="P4118">
        <v>12802.42</v>
      </c>
      <c r="Q4118">
        <v>6004.34</v>
      </c>
      <c r="R4118">
        <v>1</v>
      </c>
      <c r="S4118" s="1" t="s">
        <v>1116</v>
      </c>
      <c r="T4118" s="1"/>
      <c r="U4118">
        <v>12802.42398</v>
      </c>
      <c r="V4118">
        <v>0</v>
      </c>
      <c r="W4118">
        <v>70996</v>
      </c>
    </row>
    <row r="4119" spans="1:23" x14ac:dyDescent="0.25">
      <c r="A4119" s="1" t="s">
        <v>39</v>
      </c>
      <c r="B4119" s="1" t="s">
        <v>84</v>
      </c>
      <c r="C4119" s="1" t="s">
        <v>209</v>
      </c>
      <c r="D4119">
        <v>8933</v>
      </c>
      <c r="E4119" s="1" t="s">
        <v>243</v>
      </c>
      <c r="F4119" s="1" t="s">
        <v>390</v>
      </c>
      <c r="G4119">
        <v>2009</v>
      </c>
      <c r="H4119">
        <v>3044.63</v>
      </c>
      <c r="I4119">
        <v>11</v>
      </c>
      <c r="J4119" s="1" t="s">
        <v>433</v>
      </c>
      <c r="K4119">
        <v>0</v>
      </c>
      <c r="L4119">
        <v>0</v>
      </c>
      <c r="M4119">
        <v>30446.3</v>
      </c>
      <c r="N4119">
        <v>2</v>
      </c>
      <c r="O4119" s="1" t="s">
        <v>569</v>
      </c>
      <c r="P4119">
        <v>3044.63</v>
      </c>
      <c r="Q4119">
        <v>1427.92</v>
      </c>
      <c r="R4119">
        <v>1</v>
      </c>
      <c r="S4119" s="1" t="s">
        <v>1121</v>
      </c>
      <c r="T4119" s="1"/>
      <c r="U4119">
        <v>3044.6211800000001</v>
      </c>
      <c r="V4119">
        <v>0</v>
      </c>
      <c r="W4119">
        <v>70997</v>
      </c>
    </row>
    <row r="4120" spans="1:23" x14ac:dyDescent="0.25">
      <c r="A4120" s="1" t="s">
        <v>39</v>
      </c>
      <c r="B4120" s="1" t="s">
        <v>84</v>
      </c>
      <c r="C4120" s="1" t="s">
        <v>209</v>
      </c>
      <c r="D4120">
        <v>8933</v>
      </c>
      <c r="E4120" s="1" t="s">
        <v>243</v>
      </c>
      <c r="F4120" s="1" t="s">
        <v>390</v>
      </c>
      <c r="G4120">
        <v>2009</v>
      </c>
      <c r="H4120">
        <v>63874.45</v>
      </c>
      <c r="I4120">
        <v>11</v>
      </c>
      <c r="J4120" s="1" t="s">
        <v>549</v>
      </c>
      <c r="K4120">
        <v>0</v>
      </c>
      <c r="L4120">
        <v>0</v>
      </c>
      <c r="M4120">
        <v>638744.5</v>
      </c>
      <c r="N4120">
        <v>2</v>
      </c>
      <c r="O4120" s="1" t="s">
        <v>569</v>
      </c>
      <c r="P4120">
        <v>63874.45</v>
      </c>
      <c r="Q4120">
        <v>29957.119999999999</v>
      </c>
      <c r="R4120">
        <v>1</v>
      </c>
      <c r="S4120" s="1" t="s">
        <v>1125</v>
      </c>
      <c r="T4120" s="1"/>
      <c r="U4120">
        <v>63874.455300000001</v>
      </c>
      <c r="V4120">
        <v>0</v>
      </c>
      <c r="W4120">
        <v>70999</v>
      </c>
    </row>
    <row r="4121" spans="1:23" x14ac:dyDescent="0.25">
      <c r="A4121" s="1" t="s">
        <v>39</v>
      </c>
      <c r="B4121" s="1" t="s">
        <v>84</v>
      </c>
      <c r="C4121" s="1" t="s">
        <v>209</v>
      </c>
      <c r="D4121">
        <v>8933</v>
      </c>
      <c r="E4121" s="1" t="s">
        <v>243</v>
      </c>
      <c r="F4121" s="1" t="s">
        <v>390</v>
      </c>
      <c r="G4121">
        <v>2009</v>
      </c>
      <c r="H4121">
        <v>58581.05</v>
      </c>
      <c r="I4121">
        <v>11</v>
      </c>
      <c r="J4121" s="1" t="s">
        <v>433</v>
      </c>
      <c r="K4121">
        <v>0</v>
      </c>
      <c r="L4121">
        <v>0</v>
      </c>
      <c r="M4121">
        <v>585810.5</v>
      </c>
      <c r="N4121">
        <v>2</v>
      </c>
      <c r="O4121" s="1" t="s">
        <v>569</v>
      </c>
      <c r="P4121">
        <v>58581.05</v>
      </c>
      <c r="Q4121">
        <v>27474.53</v>
      </c>
      <c r="R4121">
        <v>1</v>
      </c>
      <c r="S4121" s="1" t="s">
        <v>1115</v>
      </c>
      <c r="T4121" s="1"/>
      <c r="U4121">
        <v>58581.052539999997</v>
      </c>
      <c r="V4121">
        <v>0</v>
      </c>
      <c r="W4121">
        <v>70990</v>
      </c>
    </row>
    <row r="4122" spans="1:23" x14ac:dyDescent="0.25">
      <c r="A4122" s="1" t="s">
        <v>39</v>
      </c>
      <c r="B4122" s="1" t="s">
        <v>84</v>
      </c>
      <c r="C4122" s="1" t="s">
        <v>209</v>
      </c>
      <c r="D4122">
        <v>8933</v>
      </c>
      <c r="E4122" s="1" t="s">
        <v>243</v>
      </c>
      <c r="F4122" s="1" t="s">
        <v>390</v>
      </c>
      <c r="G4122">
        <v>2009</v>
      </c>
      <c r="H4122">
        <v>25365.61</v>
      </c>
      <c r="I4122">
        <v>11</v>
      </c>
      <c r="J4122" s="1" t="s">
        <v>433</v>
      </c>
      <c r="K4122">
        <v>0</v>
      </c>
      <c r="L4122">
        <v>0</v>
      </c>
      <c r="M4122">
        <v>253656.1</v>
      </c>
      <c r="N4122">
        <v>2</v>
      </c>
      <c r="O4122" s="1" t="s">
        <v>569</v>
      </c>
      <c r="P4122">
        <v>25365.61</v>
      </c>
      <c r="Q4122">
        <v>11896.47</v>
      </c>
      <c r="R4122">
        <v>1</v>
      </c>
      <c r="S4122" s="1" t="s">
        <v>1119</v>
      </c>
      <c r="T4122" s="1"/>
      <c r="U4122">
        <v>25365.607370000002</v>
      </c>
      <c r="V4122">
        <v>0</v>
      </c>
      <c r="W4122">
        <v>70992</v>
      </c>
    </row>
    <row r="4123" spans="1:23" x14ac:dyDescent="0.25">
      <c r="A4123" s="1" t="s">
        <v>39</v>
      </c>
      <c r="B4123" s="1" t="s">
        <v>84</v>
      </c>
      <c r="C4123" s="1" t="s">
        <v>209</v>
      </c>
      <c r="D4123">
        <v>8933</v>
      </c>
      <c r="E4123" s="1" t="s">
        <v>243</v>
      </c>
      <c r="F4123" s="1" t="s">
        <v>390</v>
      </c>
      <c r="G4123">
        <v>2009</v>
      </c>
      <c r="H4123">
        <v>11948.72</v>
      </c>
      <c r="I4123">
        <v>10</v>
      </c>
      <c r="J4123" s="1" t="s">
        <v>548</v>
      </c>
      <c r="K4123">
        <v>0</v>
      </c>
      <c r="L4123">
        <v>0</v>
      </c>
      <c r="M4123">
        <v>119487.2</v>
      </c>
      <c r="N4123">
        <v>2</v>
      </c>
      <c r="O4123" s="1" t="s">
        <v>569</v>
      </c>
      <c r="P4123">
        <v>11948.72</v>
      </c>
      <c r="Q4123">
        <v>5603.93</v>
      </c>
      <c r="R4123">
        <v>1</v>
      </c>
      <c r="S4123" s="1" t="s">
        <v>1123</v>
      </c>
      <c r="T4123" s="1"/>
      <c r="U4123">
        <v>11948.713369999999</v>
      </c>
      <c r="V4123">
        <v>0</v>
      </c>
      <c r="W4123">
        <v>70993</v>
      </c>
    </row>
    <row r="4124" spans="1:23" x14ac:dyDescent="0.25">
      <c r="A4124" s="1" t="s">
        <v>39</v>
      </c>
      <c r="B4124" s="1" t="s">
        <v>84</v>
      </c>
      <c r="C4124" s="1" t="s">
        <v>209</v>
      </c>
      <c r="D4124">
        <v>8933</v>
      </c>
      <c r="E4124" s="1" t="s">
        <v>243</v>
      </c>
      <c r="F4124" s="1" t="s">
        <v>390</v>
      </c>
      <c r="G4124">
        <v>2009</v>
      </c>
      <c r="H4124">
        <v>5833.14</v>
      </c>
      <c r="I4124">
        <v>11</v>
      </c>
      <c r="J4124" s="1" t="s">
        <v>550</v>
      </c>
      <c r="K4124">
        <v>0</v>
      </c>
      <c r="L4124">
        <v>0</v>
      </c>
      <c r="M4124">
        <v>58331.4</v>
      </c>
      <c r="N4124">
        <v>2</v>
      </c>
      <c r="O4124" s="1" t="s">
        <v>569</v>
      </c>
      <c r="P4124">
        <v>5833.14</v>
      </c>
      <c r="Q4124">
        <v>2735.72</v>
      </c>
      <c r="R4124">
        <v>1</v>
      </c>
      <c r="S4124" s="1" t="s">
        <v>1126</v>
      </c>
      <c r="T4124" s="1"/>
      <c r="U4124">
        <v>5833.1087399999997</v>
      </c>
      <c r="V4124">
        <v>0</v>
      </c>
      <c r="W4124">
        <v>70995</v>
      </c>
    </row>
    <row r="4125" spans="1:23" x14ac:dyDescent="0.25">
      <c r="A4125" s="1" t="s">
        <v>39</v>
      </c>
      <c r="B4125" s="1" t="s">
        <v>84</v>
      </c>
      <c r="C4125" s="1" t="s">
        <v>209</v>
      </c>
      <c r="D4125">
        <v>8933</v>
      </c>
      <c r="E4125" s="1" t="s">
        <v>243</v>
      </c>
      <c r="F4125" s="1" t="s">
        <v>390</v>
      </c>
      <c r="G4125">
        <v>2009</v>
      </c>
      <c r="H4125">
        <v>30153</v>
      </c>
      <c r="I4125">
        <v>11</v>
      </c>
      <c r="J4125" s="1" t="s">
        <v>433</v>
      </c>
      <c r="K4125">
        <v>0</v>
      </c>
      <c r="L4125">
        <v>0</v>
      </c>
      <c r="M4125">
        <v>301530</v>
      </c>
      <c r="N4125">
        <v>2</v>
      </c>
      <c r="O4125" s="1" t="s">
        <v>569</v>
      </c>
      <c r="P4125">
        <v>30153</v>
      </c>
      <c r="Q4125">
        <v>14141.76</v>
      </c>
      <c r="R4125">
        <v>1</v>
      </c>
      <c r="S4125" s="1" t="s">
        <v>1117</v>
      </c>
      <c r="T4125" s="1"/>
      <c r="U4125">
        <v>30153.010139999999</v>
      </c>
      <c r="V4125">
        <v>0</v>
      </c>
      <c r="W4125">
        <v>70998</v>
      </c>
    </row>
    <row r="4126" spans="1:23" x14ac:dyDescent="0.25">
      <c r="A4126" s="1" t="s">
        <v>39</v>
      </c>
      <c r="B4126" s="1" t="s">
        <v>84</v>
      </c>
      <c r="C4126" s="1" t="s">
        <v>209</v>
      </c>
      <c r="D4126">
        <v>8933</v>
      </c>
      <c r="E4126" s="1" t="s">
        <v>243</v>
      </c>
      <c r="F4126" s="1" t="s">
        <v>390</v>
      </c>
      <c r="G4126">
        <v>2009</v>
      </c>
      <c r="H4126">
        <v>52905.96</v>
      </c>
      <c r="I4126">
        <v>11</v>
      </c>
      <c r="J4126" s="1" t="s">
        <v>433</v>
      </c>
      <c r="K4126">
        <v>0</v>
      </c>
      <c r="L4126">
        <v>0</v>
      </c>
      <c r="M4126">
        <v>529059.6</v>
      </c>
      <c r="N4126">
        <v>2</v>
      </c>
      <c r="O4126" s="1" t="s">
        <v>569</v>
      </c>
      <c r="P4126">
        <v>52905.96</v>
      </c>
      <c r="Q4126">
        <v>24812.89</v>
      </c>
      <c r="R4126">
        <v>1</v>
      </c>
      <c r="S4126" s="1" t="s">
        <v>1122</v>
      </c>
      <c r="T4126" s="1"/>
      <c r="U4126">
        <v>52905.954850000002</v>
      </c>
      <c r="V4126">
        <v>0</v>
      </c>
      <c r="W4126">
        <v>77913</v>
      </c>
    </row>
    <row r="4127" spans="1:23" x14ac:dyDescent="0.25">
      <c r="A4127" s="1" t="s">
        <v>39</v>
      </c>
      <c r="B4127" s="1" t="s">
        <v>84</v>
      </c>
      <c r="C4127" s="1" t="s">
        <v>209</v>
      </c>
      <c r="D4127">
        <v>8933</v>
      </c>
      <c r="E4127" s="1" t="s">
        <v>243</v>
      </c>
      <c r="F4127" s="1" t="s">
        <v>390</v>
      </c>
      <c r="G4127">
        <v>2008</v>
      </c>
      <c r="H4127">
        <v>19807.349999999999</v>
      </c>
      <c r="I4127">
        <v>12</v>
      </c>
      <c r="J4127" s="1" t="s">
        <v>549</v>
      </c>
      <c r="K4127">
        <v>0</v>
      </c>
      <c r="L4127">
        <v>0</v>
      </c>
      <c r="M4127">
        <v>198073.5</v>
      </c>
      <c r="N4127">
        <v>2</v>
      </c>
      <c r="O4127" s="1" t="s">
        <v>569</v>
      </c>
      <c r="P4127">
        <v>19807.349999999999</v>
      </c>
      <c r="Q4127">
        <v>9289.64</v>
      </c>
      <c r="R4127">
        <v>1</v>
      </c>
      <c r="S4127" s="1" t="s">
        <v>1124</v>
      </c>
      <c r="T4127" s="1"/>
      <c r="U4127">
        <v>19807.35053</v>
      </c>
      <c r="V4127">
        <v>0</v>
      </c>
      <c r="W4127">
        <v>70991</v>
      </c>
    </row>
    <row r="4128" spans="1:23" x14ac:dyDescent="0.25">
      <c r="A4128" s="1" t="s">
        <v>39</v>
      </c>
      <c r="B4128" s="1" t="s">
        <v>84</v>
      </c>
      <c r="C4128" s="1" t="s">
        <v>209</v>
      </c>
      <c r="D4128">
        <v>8933</v>
      </c>
      <c r="E4128" s="1" t="s">
        <v>243</v>
      </c>
      <c r="F4128" s="1" t="s">
        <v>390</v>
      </c>
      <c r="G4128">
        <v>2008</v>
      </c>
      <c r="H4128">
        <v>7230.21</v>
      </c>
      <c r="I4128">
        <v>11</v>
      </c>
      <c r="J4128" s="1" t="s">
        <v>548</v>
      </c>
      <c r="K4128">
        <v>0</v>
      </c>
      <c r="L4128">
        <v>0</v>
      </c>
      <c r="M4128">
        <v>72302.100000000006</v>
      </c>
      <c r="N4128">
        <v>2</v>
      </c>
      <c r="O4128" s="1" t="s">
        <v>569</v>
      </c>
      <c r="P4128">
        <v>7230.21</v>
      </c>
      <c r="Q4128">
        <v>3390.95</v>
      </c>
      <c r="R4128">
        <v>1</v>
      </c>
      <c r="S4128" s="1" t="s">
        <v>1123</v>
      </c>
      <c r="T4128" s="1"/>
      <c r="U4128">
        <v>7230.19139</v>
      </c>
      <c r="V4128">
        <v>0</v>
      </c>
      <c r="W4128">
        <v>70993</v>
      </c>
    </row>
    <row r="4129" spans="1:23" x14ac:dyDescent="0.25">
      <c r="A4129" s="1" t="s">
        <v>39</v>
      </c>
      <c r="B4129" s="1" t="s">
        <v>84</v>
      </c>
      <c r="C4129" s="1" t="s">
        <v>209</v>
      </c>
      <c r="D4129">
        <v>8933</v>
      </c>
      <c r="E4129" s="1" t="s">
        <v>243</v>
      </c>
      <c r="F4129" s="1" t="s">
        <v>390</v>
      </c>
      <c r="G4129">
        <v>2008</v>
      </c>
      <c r="H4129">
        <v>41958.49</v>
      </c>
      <c r="I4129">
        <v>12</v>
      </c>
      <c r="J4129" s="1" t="s">
        <v>433</v>
      </c>
      <c r="K4129">
        <v>0</v>
      </c>
      <c r="L4129">
        <v>0</v>
      </c>
      <c r="M4129">
        <v>419584.9</v>
      </c>
      <c r="N4129">
        <v>2</v>
      </c>
      <c r="O4129" s="1" t="s">
        <v>569</v>
      </c>
      <c r="P4129">
        <v>41958.49</v>
      </c>
      <c r="Q4129">
        <v>19678.52</v>
      </c>
      <c r="R4129">
        <v>1</v>
      </c>
      <c r="S4129" s="1" t="s">
        <v>1120</v>
      </c>
      <c r="T4129" s="1"/>
      <c r="U4129">
        <v>41958.494619999998</v>
      </c>
      <c r="V4129">
        <v>0</v>
      </c>
      <c r="W4129">
        <v>70994</v>
      </c>
    </row>
    <row r="4130" spans="1:23" x14ac:dyDescent="0.25">
      <c r="A4130" s="1" t="s">
        <v>39</v>
      </c>
      <c r="B4130" s="1" t="s">
        <v>84</v>
      </c>
      <c r="C4130" s="1" t="s">
        <v>209</v>
      </c>
      <c r="D4130">
        <v>8933</v>
      </c>
      <c r="E4130" s="1" t="s">
        <v>243</v>
      </c>
      <c r="F4130" s="1" t="s">
        <v>390</v>
      </c>
      <c r="G4130">
        <v>2008</v>
      </c>
      <c r="H4130">
        <v>11610.43</v>
      </c>
      <c r="I4130">
        <v>12</v>
      </c>
      <c r="J4130" s="1" t="s">
        <v>433</v>
      </c>
      <c r="K4130">
        <v>0</v>
      </c>
      <c r="L4130">
        <v>0</v>
      </c>
      <c r="M4130">
        <v>116104.3</v>
      </c>
      <c r="N4130">
        <v>2</v>
      </c>
      <c r="O4130" s="1" t="s">
        <v>569</v>
      </c>
      <c r="P4130">
        <v>11610.43</v>
      </c>
      <c r="Q4130">
        <v>5445.3</v>
      </c>
      <c r="R4130">
        <v>1</v>
      </c>
      <c r="S4130" s="1" t="s">
        <v>1116</v>
      </c>
      <c r="T4130" s="1"/>
      <c r="U4130">
        <v>11610.423650000001</v>
      </c>
      <c r="V4130">
        <v>0</v>
      </c>
      <c r="W4130">
        <v>70996</v>
      </c>
    </row>
    <row r="4131" spans="1:23" x14ac:dyDescent="0.25">
      <c r="A4131" s="1" t="s">
        <v>39</v>
      </c>
      <c r="B4131" s="1" t="s">
        <v>84</v>
      </c>
      <c r="C4131" s="1" t="s">
        <v>209</v>
      </c>
      <c r="D4131">
        <v>8933</v>
      </c>
      <c r="E4131" s="1" t="s">
        <v>243</v>
      </c>
      <c r="F4131" s="1" t="s">
        <v>390</v>
      </c>
      <c r="G4131">
        <v>2008</v>
      </c>
      <c r="H4131">
        <v>84398.19</v>
      </c>
      <c r="I4131">
        <v>12</v>
      </c>
      <c r="J4131" s="1" t="s">
        <v>549</v>
      </c>
      <c r="K4131">
        <v>0</v>
      </c>
      <c r="L4131">
        <v>0</v>
      </c>
      <c r="M4131">
        <v>843981.9</v>
      </c>
      <c r="N4131">
        <v>2</v>
      </c>
      <c r="O4131" s="1" t="s">
        <v>569</v>
      </c>
      <c r="P4131">
        <v>84398.19</v>
      </c>
      <c r="Q4131">
        <v>39582.74</v>
      </c>
      <c r="R4131">
        <v>1</v>
      </c>
      <c r="S4131" s="1" t="s">
        <v>1125</v>
      </c>
      <c r="T4131" s="1"/>
      <c r="U4131">
        <v>84398.182790000006</v>
      </c>
      <c r="V4131">
        <v>0</v>
      </c>
      <c r="W4131">
        <v>70999</v>
      </c>
    </row>
    <row r="4132" spans="1:23" x14ac:dyDescent="0.25">
      <c r="A4132" s="1" t="s">
        <v>39</v>
      </c>
      <c r="B4132" s="1" t="s">
        <v>84</v>
      </c>
      <c r="C4132" s="1" t="s">
        <v>209</v>
      </c>
      <c r="D4132">
        <v>8933</v>
      </c>
      <c r="E4132" s="1" t="s">
        <v>243</v>
      </c>
      <c r="F4132" s="1" t="s">
        <v>390</v>
      </c>
      <c r="G4132">
        <v>2008</v>
      </c>
      <c r="H4132">
        <v>25515.41</v>
      </c>
      <c r="I4132">
        <v>7</v>
      </c>
      <c r="J4132" s="1" t="s">
        <v>551</v>
      </c>
      <c r="K4132">
        <v>0</v>
      </c>
      <c r="L4132">
        <v>0</v>
      </c>
      <c r="M4132">
        <v>255154.1</v>
      </c>
      <c r="N4132">
        <v>2</v>
      </c>
      <c r="O4132" s="1" t="s">
        <v>569</v>
      </c>
      <c r="P4132">
        <v>25515.41</v>
      </c>
      <c r="Q4132">
        <v>11966.72</v>
      </c>
      <c r="R4132">
        <v>1</v>
      </c>
      <c r="S4132" s="1" t="s">
        <v>1122</v>
      </c>
      <c r="T4132" s="1"/>
      <c r="U4132">
        <v>25515.4</v>
      </c>
      <c r="V4132">
        <v>0</v>
      </c>
      <c r="W4132">
        <v>70989</v>
      </c>
    </row>
    <row r="4133" spans="1:23" x14ac:dyDescent="0.25">
      <c r="A4133" s="1" t="s">
        <v>39</v>
      </c>
      <c r="B4133" s="1" t="s">
        <v>84</v>
      </c>
      <c r="C4133" s="1" t="s">
        <v>209</v>
      </c>
      <c r="D4133">
        <v>8933</v>
      </c>
      <c r="E4133" s="1" t="s">
        <v>243</v>
      </c>
      <c r="F4133" s="1" t="s">
        <v>390</v>
      </c>
      <c r="G4133">
        <v>2008</v>
      </c>
      <c r="H4133">
        <v>73325.350000000006</v>
      </c>
      <c r="I4133">
        <v>12</v>
      </c>
      <c r="J4133" s="1" t="s">
        <v>433</v>
      </c>
      <c r="K4133">
        <v>0</v>
      </c>
      <c r="L4133">
        <v>0</v>
      </c>
      <c r="M4133">
        <v>733253.5</v>
      </c>
      <c r="N4133">
        <v>2</v>
      </c>
      <c r="O4133" s="1" t="s">
        <v>569</v>
      </c>
      <c r="P4133">
        <v>73325.350000000006</v>
      </c>
      <c r="Q4133">
        <v>34389.589999999997</v>
      </c>
      <c r="R4133">
        <v>1</v>
      </c>
      <c r="S4133" s="1" t="s">
        <v>1115</v>
      </c>
      <c r="T4133" s="1"/>
      <c r="U4133">
        <v>73325.356979999997</v>
      </c>
      <c r="V4133">
        <v>0</v>
      </c>
      <c r="W4133">
        <v>70990</v>
      </c>
    </row>
    <row r="4134" spans="1:23" x14ac:dyDescent="0.25">
      <c r="A4134" s="1" t="s">
        <v>39</v>
      </c>
      <c r="B4134" s="1" t="s">
        <v>84</v>
      </c>
      <c r="C4134" s="1" t="s">
        <v>209</v>
      </c>
      <c r="D4134">
        <v>8933</v>
      </c>
      <c r="E4134" s="1" t="s">
        <v>243</v>
      </c>
      <c r="F4134" s="1" t="s">
        <v>390</v>
      </c>
      <c r="G4134">
        <v>2008</v>
      </c>
      <c r="H4134">
        <v>40863.06</v>
      </c>
      <c r="I4134">
        <v>12</v>
      </c>
      <c r="J4134" s="1" t="s">
        <v>433</v>
      </c>
      <c r="K4134">
        <v>0</v>
      </c>
      <c r="L4134">
        <v>0</v>
      </c>
      <c r="M4134">
        <v>408630.6</v>
      </c>
      <c r="N4134">
        <v>2</v>
      </c>
      <c r="O4134" s="1" t="s">
        <v>569</v>
      </c>
      <c r="P4134">
        <v>40863.06</v>
      </c>
      <c r="Q4134">
        <v>19164.79</v>
      </c>
      <c r="R4134">
        <v>1</v>
      </c>
      <c r="S4134" s="1" t="s">
        <v>1119</v>
      </c>
      <c r="T4134" s="1"/>
      <c r="U4134">
        <v>40863.06884</v>
      </c>
      <c r="V4134">
        <v>0</v>
      </c>
      <c r="W4134">
        <v>70992</v>
      </c>
    </row>
    <row r="4135" spans="1:23" x14ac:dyDescent="0.25">
      <c r="A4135" s="1" t="s">
        <v>39</v>
      </c>
      <c r="B4135" s="1" t="s">
        <v>84</v>
      </c>
      <c r="C4135" s="1" t="s">
        <v>209</v>
      </c>
      <c r="D4135">
        <v>8933</v>
      </c>
      <c r="E4135" s="1" t="s">
        <v>243</v>
      </c>
      <c r="F4135" s="1" t="s">
        <v>390</v>
      </c>
      <c r="G4135">
        <v>2008</v>
      </c>
      <c r="H4135">
        <v>4475.1400000000003</v>
      </c>
      <c r="I4135">
        <v>12</v>
      </c>
      <c r="J4135" s="1" t="s">
        <v>550</v>
      </c>
      <c r="K4135">
        <v>0</v>
      </c>
      <c r="L4135">
        <v>0</v>
      </c>
      <c r="M4135">
        <v>44751.4</v>
      </c>
      <c r="N4135">
        <v>2</v>
      </c>
      <c r="O4135" s="1" t="s">
        <v>569</v>
      </c>
      <c r="P4135">
        <v>4475.1400000000003</v>
      </c>
      <c r="Q4135">
        <v>2098.84</v>
      </c>
      <c r="R4135">
        <v>1</v>
      </c>
      <c r="S4135" s="1" t="s">
        <v>1126</v>
      </c>
      <c r="T4135" s="1"/>
      <c r="U4135">
        <v>4475.1483799999996</v>
      </c>
      <c r="V4135">
        <v>0</v>
      </c>
      <c r="W4135">
        <v>70995</v>
      </c>
    </row>
    <row r="4136" spans="1:23" x14ac:dyDescent="0.25">
      <c r="A4136" s="1" t="s">
        <v>39</v>
      </c>
      <c r="B4136" s="1" t="s">
        <v>84</v>
      </c>
      <c r="C4136" s="1" t="s">
        <v>209</v>
      </c>
      <c r="D4136">
        <v>8933</v>
      </c>
      <c r="E4136" s="1" t="s">
        <v>243</v>
      </c>
      <c r="F4136" s="1" t="s">
        <v>390</v>
      </c>
      <c r="G4136">
        <v>2008</v>
      </c>
      <c r="H4136">
        <v>2384.67</v>
      </c>
      <c r="I4136">
        <v>12</v>
      </c>
      <c r="J4136" s="1" t="s">
        <v>433</v>
      </c>
      <c r="K4136">
        <v>0</v>
      </c>
      <c r="L4136">
        <v>0</v>
      </c>
      <c r="M4136">
        <v>23846.7</v>
      </c>
      <c r="N4136">
        <v>2</v>
      </c>
      <c r="O4136" s="1" t="s">
        <v>569</v>
      </c>
      <c r="P4136">
        <v>2384.67</v>
      </c>
      <c r="Q4136">
        <v>1118.3900000000001</v>
      </c>
      <c r="R4136">
        <v>1</v>
      </c>
      <c r="S4136" s="1" t="s">
        <v>1121</v>
      </c>
      <c r="T4136" s="1"/>
      <c r="U4136">
        <v>2384.6645100000001</v>
      </c>
      <c r="V4136">
        <v>0</v>
      </c>
      <c r="W4136">
        <v>70997</v>
      </c>
    </row>
    <row r="4137" spans="1:23" x14ac:dyDescent="0.25">
      <c r="A4137" s="1" t="s">
        <v>39</v>
      </c>
      <c r="B4137" s="1" t="s">
        <v>84</v>
      </c>
      <c r="C4137" s="1" t="s">
        <v>209</v>
      </c>
      <c r="D4137">
        <v>8933</v>
      </c>
      <c r="E4137" s="1" t="s">
        <v>243</v>
      </c>
      <c r="F4137" s="1" t="s">
        <v>390</v>
      </c>
      <c r="G4137">
        <v>2008</v>
      </c>
      <c r="H4137">
        <v>28167.040000000001</v>
      </c>
      <c r="I4137">
        <v>12</v>
      </c>
      <c r="J4137" s="1" t="s">
        <v>433</v>
      </c>
      <c r="K4137">
        <v>0</v>
      </c>
      <c r="L4137">
        <v>0</v>
      </c>
      <c r="M4137">
        <v>281670.40000000002</v>
      </c>
      <c r="N4137">
        <v>2</v>
      </c>
      <c r="O4137" s="1" t="s">
        <v>569</v>
      </c>
      <c r="P4137">
        <v>28167.040000000001</v>
      </c>
      <c r="Q4137">
        <v>13210.34</v>
      </c>
      <c r="R4137">
        <v>1</v>
      </c>
      <c r="S4137" s="1" t="s">
        <v>1117</v>
      </c>
      <c r="T4137" s="1"/>
      <c r="U4137">
        <v>28167.02795</v>
      </c>
      <c r="V4137">
        <v>0</v>
      </c>
      <c r="W4137">
        <v>70998</v>
      </c>
    </row>
    <row r="4138" spans="1:23" x14ac:dyDescent="0.25">
      <c r="A4138" s="1" t="s">
        <v>39</v>
      </c>
      <c r="B4138" s="1" t="s">
        <v>84</v>
      </c>
      <c r="C4138" s="1" t="s">
        <v>209</v>
      </c>
      <c r="D4138">
        <v>8933</v>
      </c>
      <c r="E4138" s="1" t="s">
        <v>243</v>
      </c>
      <c r="F4138" s="1" t="s">
        <v>390</v>
      </c>
      <c r="G4138">
        <v>2008</v>
      </c>
      <c r="H4138">
        <v>25429.65</v>
      </c>
      <c r="I4138">
        <v>7</v>
      </c>
      <c r="J4138" s="1" t="s">
        <v>433</v>
      </c>
      <c r="K4138">
        <v>0</v>
      </c>
      <c r="L4138">
        <v>0</v>
      </c>
      <c r="M4138">
        <v>254296.5</v>
      </c>
      <c r="N4138">
        <v>2</v>
      </c>
      <c r="O4138" s="1" t="s">
        <v>569</v>
      </c>
      <c r="P4138">
        <v>25429.65</v>
      </c>
      <c r="Q4138">
        <v>11926.51</v>
      </c>
      <c r="R4138">
        <v>1</v>
      </c>
      <c r="S4138" s="1" t="s">
        <v>1122</v>
      </c>
      <c r="T4138" s="1"/>
      <c r="U4138">
        <v>25429.64516</v>
      </c>
      <c r="V4138">
        <v>0</v>
      </c>
      <c r="W4138">
        <v>77913</v>
      </c>
    </row>
    <row r="4139" spans="1:23" x14ac:dyDescent="0.25">
      <c r="A4139" s="1" t="s">
        <v>39</v>
      </c>
      <c r="B4139" s="1" t="s">
        <v>84</v>
      </c>
      <c r="C4139" s="1" t="s">
        <v>209</v>
      </c>
      <c r="D4139">
        <v>8878</v>
      </c>
      <c r="E4139" s="1"/>
      <c r="F4139" s="1" t="s">
        <v>347</v>
      </c>
      <c r="G4139">
        <v>2015</v>
      </c>
      <c r="H4139">
        <v>211619.68</v>
      </c>
      <c r="I4139">
        <v>5</v>
      </c>
      <c r="J4139" s="1"/>
      <c r="K4139">
        <v>0</v>
      </c>
      <c r="L4139">
        <v>3615</v>
      </c>
      <c r="M4139">
        <v>58.537711000000002</v>
      </c>
      <c r="N4139">
        <v>2</v>
      </c>
      <c r="O4139" s="1" t="s">
        <v>569</v>
      </c>
      <c r="P4139">
        <v>211619.68</v>
      </c>
      <c r="Q4139">
        <v>63485.9</v>
      </c>
      <c r="R4139">
        <v>0</v>
      </c>
      <c r="S4139" s="1" t="s">
        <v>1127</v>
      </c>
      <c r="T4139" s="1" t="s">
        <v>1244</v>
      </c>
      <c r="U4139">
        <v>211619.68</v>
      </c>
      <c r="V4139">
        <v>0</v>
      </c>
      <c r="W4139">
        <v>76947</v>
      </c>
    </row>
    <row r="4140" spans="1:23" x14ac:dyDescent="0.25">
      <c r="A4140" s="1" t="s">
        <v>39</v>
      </c>
      <c r="B4140" s="1" t="s">
        <v>84</v>
      </c>
      <c r="C4140" s="1" t="s">
        <v>209</v>
      </c>
      <c r="D4140">
        <v>8878</v>
      </c>
      <c r="E4140" s="1"/>
      <c r="F4140" s="1" t="s">
        <v>347</v>
      </c>
      <c r="G4140">
        <v>2014</v>
      </c>
      <c r="H4140">
        <v>496546.65</v>
      </c>
      <c r="I4140">
        <v>12</v>
      </c>
      <c r="J4140" s="1"/>
      <c r="K4140">
        <v>0</v>
      </c>
      <c r="L4140">
        <v>3615</v>
      </c>
      <c r="M4140">
        <v>137.35350299999999</v>
      </c>
      <c r="N4140">
        <v>2</v>
      </c>
      <c r="O4140" s="1" t="s">
        <v>569</v>
      </c>
      <c r="P4140">
        <v>496546.65</v>
      </c>
      <c r="Q4140">
        <v>148964</v>
      </c>
      <c r="R4140">
        <v>0</v>
      </c>
      <c r="S4140" s="1" t="s">
        <v>1127</v>
      </c>
      <c r="T4140" s="1" t="s">
        <v>1244</v>
      </c>
      <c r="U4140">
        <v>496546.65</v>
      </c>
      <c r="V4140">
        <v>0</v>
      </c>
      <c r="W4140">
        <v>76947</v>
      </c>
    </row>
    <row r="4141" spans="1:23" x14ac:dyDescent="0.25">
      <c r="A4141" s="1" t="s">
        <v>39</v>
      </c>
      <c r="B4141" s="1" t="s">
        <v>84</v>
      </c>
      <c r="C4141" s="1" t="s">
        <v>209</v>
      </c>
      <c r="D4141">
        <v>8878</v>
      </c>
      <c r="E4141" s="1"/>
      <c r="F4141" s="1" t="s">
        <v>347</v>
      </c>
      <c r="G4141">
        <v>2013</v>
      </c>
      <c r="H4141">
        <v>440955.34</v>
      </c>
      <c r="I4141">
        <v>12</v>
      </c>
      <c r="J4141" s="1"/>
      <c r="K4141">
        <v>0</v>
      </c>
      <c r="L4141">
        <v>3615</v>
      </c>
      <c r="M4141">
        <v>121.975973</v>
      </c>
      <c r="N4141">
        <v>2</v>
      </c>
      <c r="O4141" s="1" t="s">
        <v>569</v>
      </c>
      <c r="P4141">
        <v>440955.34</v>
      </c>
      <c r="Q4141">
        <v>132286.60999999999</v>
      </c>
      <c r="R4141">
        <v>0</v>
      </c>
      <c r="S4141" s="1" t="s">
        <v>1127</v>
      </c>
      <c r="T4141" s="1" t="s">
        <v>1244</v>
      </c>
      <c r="U4141">
        <v>440955.34</v>
      </c>
      <c r="V4141">
        <v>0</v>
      </c>
      <c r="W4141">
        <v>76947</v>
      </c>
    </row>
    <row r="4142" spans="1:23" x14ac:dyDescent="0.25">
      <c r="A4142" s="1" t="s">
        <v>39</v>
      </c>
      <c r="B4142" s="1" t="s">
        <v>84</v>
      </c>
      <c r="C4142" s="1" t="s">
        <v>209</v>
      </c>
      <c r="D4142">
        <v>8878</v>
      </c>
      <c r="E4142" s="1"/>
      <c r="F4142" s="1" t="s">
        <v>347</v>
      </c>
      <c r="G4142">
        <v>2012</v>
      </c>
      <c r="H4142">
        <v>441422.13</v>
      </c>
      <c r="I4142">
        <v>12</v>
      </c>
      <c r="J4142" s="1"/>
      <c r="K4142">
        <v>0</v>
      </c>
      <c r="L4142">
        <v>3615</v>
      </c>
      <c r="M4142">
        <v>122.10509500000001</v>
      </c>
      <c r="N4142">
        <v>2</v>
      </c>
      <c r="O4142" s="1" t="s">
        <v>569</v>
      </c>
      <c r="P4142">
        <v>441422.13</v>
      </c>
      <c r="Q4142">
        <v>176568.86</v>
      </c>
      <c r="R4142">
        <v>0</v>
      </c>
      <c r="S4142" s="1" t="s">
        <v>1127</v>
      </c>
      <c r="T4142" s="1" t="s">
        <v>1244</v>
      </c>
      <c r="U4142">
        <v>441422.13</v>
      </c>
      <c r="V4142">
        <v>0</v>
      </c>
      <c r="W4142">
        <v>76947</v>
      </c>
    </row>
    <row r="4143" spans="1:23" x14ac:dyDescent="0.25">
      <c r="A4143" s="1" t="s">
        <v>39</v>
      </c>
      <c r="B4143" s="1" t="s">
        <v>84</v>
      </c>
      <c r="C4143" s="1" t="s">
        <v>209</v>
      </c>
      <c r="D4143">
        <v>8878</v>
      </c>
      <c r="E4143" s="1"/>
      <c r="F4143" s="1" t="s">
        <v>347</v>
      </c>
      <c r="G4143">
        <v>2011</v>
      </c>
      <c r="H4143">
        <v>483448.52</v>
      </c>
      <c r="I4143">
        <v>12</v>
      </c>
      <c r="J4143" s="1"/>
      <c r="K4143">
        <v>0</v>
      </c>
      <c r="L4143">
        <v>3615</v>
      </c>
      <c r="M4143">
        <v>133.73033100000001</v>
      </c>
      <c r="N4143">
        <v>2</v>
      </c>
      <c r="O4143" s="1" t="s">
        <v>569</v>
      </c>
      <c r="P4143">
        <v>483448.52</v>
      </c>
      <c r="Q4143">
        <v>226737.36</v>
      </c>
      <c r="R4143">
        <v>0</v>
      </c>
      <c r="S4143" s="1" t="s">
        <v>1127</v>
      </c>
      <c r="T4143" s="1" t="s">
        <v>1244</v>
      </c>
      <c r="U4143">
        <v>483448.52</v>
      </c>
      <c r="V4143">
        <v>0</v>
      </c>
      <c r="W4143">
        <v>76947</v>
      </c>
    </row>
    <row r="4144" spans="1:23" x14ac:dyDescent="0.25">
      <c r="A4144" s="1" t="s">
        <v>39</v>
      </c>
      <c r="B4144" s="1" t="s">
        <v>84</v>
      </c>
      <c r="C4144" s="1" t="s">
        <v>209</v>
      </c>
      <c r="D4144">
        <v>8878</v>
      </c>
      <c r="E4144" s="1"/>
      <c r="F4144" s="1" t="s">
        <v>347</v>
      </c>
      <c r="G4144">
        <v>2010</v>
      </c>
      <c r="H4144">
        <v>521742.78</v>
      </c>
      <c r="I4144">
        <v>12</v>
      </c>
      <c r="J4144" s="1"/>
      <c r="K4144">
        <v>0</v>
      </c>
      <c r="L4144">
        <v>3615</v>
      </c>
      <c r="M4144">
        <v>144.323194</v>
      </c>
      <c r="N4144">
        <v>2</v>
      </c>
      <c r="O4144" s="1" t="s">
        <v>569</v>
      </c>
      <c r="P4144">
        <v>521742.78</v>
      </c>
      <c r="Q4144">
        <v>244697.37</v>
      </c>
      <c r="R4144">
        <v>0</v>
      </c>
      <c r="S4144" s="1" t="s">
        <v>1127</v>
      </c>
      <c r="T4144" s="1" t="s">
        <v>1244</v>
      </c>
      <c r="U4144">
        <v>521742.78</v>
      </c>
      <c r="V4144">
        <v>0</v>
      </c>
      <c r="W4144">
        <v>76947</v>
      </c>
    </row>
    <row r="4145" spans="1:23" x14ac:dyDescent="0.25">
      <c r="A4145" s="1" t="s">
        <v>39</v>
      </c>
      <c r="B4145" s="1" t="s">
        <v>84</v>
      </c>
      <c r="C4145" s="1" t="s">
        <v>209</v>
      </c>
      <c r="D4145">
        <v>8878</v>
      </c>
      <c r="E4145" s="1"/>
      <c r="F4145" s="1" t="s">
        <v>347</v>
      </c>
      <c r="G4145">
        <v>2009</v>
      </c>
      <c r="H4145">
        <v>560250.12</v>
      </c>
      <c r="I4145">
        <v>12</v>
      </c>
      <c r="J4145" s="1"/>
      <c r="K4145">
        <v>0</v>
      </c>
      <c r="L4145">
        <v>3615</v>
      </c>
      <c r="M4145">
        <v>154.974999</v>
      </c>
      <c r="N4145">
        <v>2</v>
      </c>
      <c r="O4145" s="1" t="s">
        <v>569</v>
      </c>
      <c r="P4145">
        <v>560250.12</v>
      </c>
      <c r="Q4145">
        <v>262757.33</v>
      </c>
      <c r="R4145">
        <v>0</v>
      </c>
      <c r="S4145" s="1" t="s">
        <v>1127</v>
      </c>
      <c r="T4145" s="1" t="s">
        <v>1244</v>
      </c>
      <c r="U4145">
        <v>560250.12</v>
      </c>
      <c r="V4145">
        <v>0</v>
      </c>
      <c r="W4145">
        <v>76947</v>
      </c>
    </row>
    <row r="4146" spans="1:23" x14ac:dyDescent="0.25">
      <c r="A4146" s="1" t="s">
        <v>39</v>
      </c>
      <c r="B4146" s="1" t="s">
        <v>84</v>
      </c>
      <c r="C4146" s="1" t="s">
        <v>209</v>
      </c>
      <c r="D4146">
        <v>8878</v>
      </c>
      <c r="E4146" s="1"/>
      <c r="F4146" s="1" t="s">
        <v>347</v>
      </c>
      <c r="G4146">
        <v>2008</v>
      </c>
      <c r="H4146">
        <v>374960.01</v>
      </c>
      <c r="I4146">
        <v>8</v>
      </c>
      <c r="J4146" s="1"/>
      <c r="K4146">
        <v>0</v>
      </c>
      <c r="L4146">
        <v>3615</v>
      </c>
      <c r="M4146">
        <v>103.720508</v>
      </c>
      <c r="N4146">
        <v>2</v>
      </c>
      <c r="O4146" s="1" t="s">
        <v>569</v>
      </c>
      <c r="P4146">
        <v>374960.01</v>
      </c>
      <c r="Q4146">
        <v>175856.23</v>
      </c>
      <c r="R4146">
        <v>0</v>
      </c>
      <c r="S4146" s="1" t="s">
        <v>1127</v>
      </c>
      <c r="T4146" s="1" t="s">
        <v>1244</v>
      </c>
      <c r="U4146">
        <v>374960.01</v>
      </c>
      <c r="V4146">
        <v>0</v>
      </c>
      <c r="W4146">
        <v>76947</v>
      </c>
    </row>
    <row r="4147" spans="1:23" x14ac:dyDescent="0.25">
      <c r="A4147" s="1" t="s">
        <v>39</v>
      </c>
      <c r="B4147" s="1" t="s">
        <v>84</v>
      </c>
      <c r="C4147" s="1" t="s">
        <v>209</v>
      </c>
      <c r="D4147">
        <v>8878</v>
      </c>
      <c r="E4147" s="1"/>
      <c r="F4147" s="1" t="s">
        <v>347</v>
      </c>
      <c r="G4147">
        <v>2008</v>
      </c>
      <c r="H4147">
        <v>218071.2</v>
      </c>
      <c r="I4147">
        <v>5</v>
      </c>
      <c r="J4147" s="1" t="s">
        <v>455</v>
      </c>
      <c r="K4147">
        <v>0</v>
      </c>
      <c r="L4147">
        <v>3615</v>
      </c>
      <c r="M4147">
        <v>60.322313999999999</v>
      </c>
      <c r="N4147">
        <v>2</v>
      </c>
      <c r="O4147" s="1" t="s">
        <v>569</v>
      </c>
      <c r="P4147">
        <v>218071.2</v>
      </c>
      <c r="Q4147">
        <v>102275.4</v>
      </c>
      <c r="R4147">
        <v>0</v>
      </c>
      <c r="S4147" s="1" t="s">
        <v>1127</v>
      </c>
      <c r="T4147" s="1"/>
      <c r="U4147">
        <v>218071.2</v>
      </c>
      <c r="V4147">
        <v>0</v>
      </c>
      <c r="W4147">
        <v>70698</v>
      </c>
    </row>
    <row r="4148" spans="1:23" x14ac:dyDescent="0.25">
      <c r="A4148" s="1" t="s">
        <v>42</v>
      </c>
      <c r="B4148" s="1"/>
      <c r="C4148" s="1" t="s">
        <v>241</v>
      </c>
      <c r="D4148">
        <v>14008</v>
      </c>
      <c r="E4148" s="1" t="s">
        <v>243</v>
      </c>
      <c r="F4148" s="1" t="s">
        <v>241</v>
      </c>
      <c r="G4148">
        <v>2015</v>
      </c>
      <c r="H4148">
        <v>300.52999999999997</v>
      </c>
      <c r="I4148">
        <v>1</v>
      </c>
      <c r="J4148" s="1" t="s">
        <v>425</v>
      </c>
      <c r="K4148">
        <v>0</v>
      </c>
      <c r="L4148">
        <v>10</v>
      </c>
      <c r="M4148">
        <v>29.755445000000002</v>
      </c>
      <c r="N4148">
        <v>2</v>
      </c>
      <c r="O4148" s="1" t="s">
        <v>569</v>
      </c>
      <c r="P4148">
        <v>300.52999999999997</v>
      </c>
      <c r="Q4148">
        <v>90.16</v>
      </c>
      <c r="R4148">
        <v>0</v>
      </c>
      <c r="S4148" s="1" t="s">
        <v>1128</v>
      </c>
      <c r="T4148" s="1"/>
      <c r="U4148">
        <v>300.52999999999997</v>
      </c>
      <c r="V4148">
        <v>0</v>
      </c>
      <c r="W4148">
        <v>94464</v>
      </c>
    </row>
    <row r="4149" spans="1:23" x14ac:dyDescent="0.25">
      <c r="A4149" s="1" t="s">
        <v>42</v>
      </c>
      <c r="B4149" s="1"/>
      <c r="C4149" s="1" t="s">
        <v>241</v>
      </c>
      <c r="D4149">
        <v>14008</v>
      </c>
      <c r="E4149" s="1" t="s">
        <v>243</v>
      </c>
      <c r="F4149" s="1" t="s">
        <v>241</v>
      </c>
      <c r="G4149">
        <v>2014</v>
      </c>
      <c r="H4149">
        <v>2712.87</v>
      </c>
      <c r="I4149">
        <v>4</v>
      </c>
      <c r="J4149" s="1" t="s">
        <v>425</v>
      </c>
      <c r="K4149">
        <v>0</v>
      </c>
      <c r="L4149">
        <v>10</v>
      </c>
      <c r="M4149">
        <v>268.60099000000002</v>
      </c>
      <c r="N4149">
        <v>2</v>
      </c>
      <c r="O4149" s="1" t="s">
        <v>569</v>
      </c>
      <c r="P4149">
        <v>2712.87</v>
      </c>
      <c r="Q4149">
        <v>813.86</v>
      </c>
      <c r="R4149">
        <v>0</v>
      </c>
      <c r="S4149" s="1" t="s">
        <v>1128</v>
      </c>
      <c r="T4149" s="1"/>
      <c r="U4149">
        <v>2712.8623899999998</v>
      </c>
      <c r="V4149">
        <v>0</v>
      </c>
      <c r="W4149">
        <v>94464</v>
      </c>
    </row>
    <row r="4150" spans="1:23" x14ac:dyDescent="0.25">
      <c r="A4150" s="1" t="s">
        <v>42</v>
      </c>
      <c r="B4150" s="1"/>
      <c r="C4150" s="1" t="s">
        <v>241</v>
      </c>
      <c r="D4150">
        <v>14008</v>
      </c>
      <c r="E4150" s="1" t="s">
        <v>243</v>
      </c>
      <c r="F4150" s="1" t="s">
        <v>241</v>
      </c>
      <c r="G4150">
        <v>2013</v>
      </c>
      <c r="H4150">
        <v>1495.61</v>
      </c>
      <c r="I4150">
        <v>2</v>
      </c>
      <c r="J4150" s="1" t="s">
        <v>425</v>
      </c>
      <c r="K4150">
        <v>0</v>
      </c>
      <c r="L4150">
        <v>10</v>
      </c>
      <c r="M4150">
        <v>148.080198</v>
      </c>
      <c r="N4150">
        <v>2</v>
      </c>
      <c r="O4150" s="1" t="s">
        <v>569</v>
      </c>
      <c r="P4150">
        <v>1495.61</v>
      </c>
      <c r="Q4150">
        <v>448.68</v>
      </c>
      <c r="R4150">
        <v>0</v>
      </c>
      <c r="S4150" s="1" t="s">
        <v>1128</v>
      </c>
      <c r="T4150" s="1"/>
      <c r="U4150">
        <v>1495.6075900000001</v>
      </c>
      <c r="V4150">
        <v>0</v>
      </c>
      <c r="W4150">
        <v>94464</v>
      </c>
    </row>
    <row r="4151" spans="1:23" x14ac:dyDescent="0.25">
      <c r="A4151" s="1" t="s">
        <v>40</v>
      </c>
      <c r="B4151" s="1"/>
      <c r="C4151" s="1" t="s">
        <v>210</v>
      </c>
      <c r="D4151">
        <v>10275</v>
      </c>
      <c r="E4151" s="1"/>
      <c r="F4151" s="1" t="s">
        <v>348</v>
      </c>
      <c r="G4151">
        <v>2015</v>
      </c>
      <c r="H4151">
        <v>171.7</v>
      </c>
      <c r="I4151">
        <v>5</v>
      </c>
      <c r="J4151" s="1" t="s">
        <v>457</v>
      </c>
      <c r="K4151">
        <v>0</v>
      </c>
      <c r="L4151">
        <v>551</v>
      </c>
      <c r="M4151">
        <v>0.311558</v>
      </c>
      <c r="N4151">
        <v>3</v>
      </c>
      <c r="O4151" s="1" t="s">
        <v>560</v>
      </c>
      <c r="P4151">
        <v>171.7</v>
      </c>
      <c r="Q4151">
        <v>137.36000000000001</v>
      </c>
      <c r="R4151">
        <v>0</v>
      </c>
      <c r="S4151" s="1" t="s">
        <v>720</v>
      </c>
      <c r="T4151" s="1"/>
      <c r="U4151">
        <v>171.7</v>
      </c>
      <c r="V4151">
        <v>0</v>
      </c>
      <c r="W4151">
        <v>77669</v>
      </c>
    </row>
    <row r="4152" spans="1:23" x14ac:dyDescent="0.25">
      <c r="A4152" s="1" t="s">
        <v>40</v>
      </c>
      <c r="B4152" s="1"/>
      <c r="C4152" s="1" t="s">
        <v>210</v>
      </c>
      <c r="D4152">
        <v>10275</v>
      </c>
      <c r="E4152" s="1"/>
      <c r="F4152" s="1" t="s">
        <v>348</v>
      </c>
      <c r="G4152">
        <v>2014</v>
      </c>
      <c r="H4152">
        <v>361.2</v>
      </c>
      <c r="I4152">
        <v>12</v>
      </c>
      <c r="J4152" s="1" t="s">
        <v>457</v>
      </c>
      <c r="K4152">
        <v>0</v>
      </c>
      <c r="L4152">
        <v>551</v>
      </c>
      <c r="M4152">
        <v>0.655416</v>
      </c>
      <c r="N4152">
        <v>3</v>
      </c>
      <c r="O4152" s="1" t="s">
        <v>560</v>
      </c>
      <c r="P4152">
        <v>361.2</v>
      </c>
      <c r="Q4152">
        <v>288.95999999999998</v>
      </c>
      <c r="R4152">
        <v>0</v>
      </c>
      <c r="S4152" s="1" t="s">
        <v>720</v>
      </c>
      <c r="T4152" s="1"/>
      <c r="U4152">
        <v>361.2</v>
      </c>
      <c r="V4152">
        <v>0</v>
      </c>
      <c r="W4152">
        <v>77669</v>
      </c>
    </row>
    <row r="4153" spans="1:23" x14ac:dyDescent="0.25">
      <c r="A4153" s="1" t="s">
        <v>40</v>
      </c>
      <c r="B4153" s="1"/>
      <c r="C4153" s="1" t="s">
        <v>210</v>
      </c>
      <c r="D4153">
        <v>10275</v>
      </c>
      <c r="E4153" s="1"/>
      <c r="F4153" s="1" t="s">
        <v>348</v>
      </c>
      <c r="G4153">
        <v>2013</v>
      </c>
      <c r="H4153">
        <v>271</v>
      </c>
      <c r="I4153">
        <v>12</v>
      </c>
      <c r="J4153" s="1" t="s">
        <v>457</v>
      </c>
      <c r="K4153">
        <v>0</v>
      </c>
      <c r="L4153">
        <v>551</v>
      </c>
      <c r="M4153">
        <v>0.49174299999999999</v>
      </c>
      <c r="N4153">
        <v>3</v>
      </c>
      <c r="O4153" s="1" t="s">
        <v>560</v>
      </c>
      <c r="P4153">
        <v>271</v>
      </c>
      <c r="Q4153">
        <v>216.8</v>
      </c>
      <c r="R4153">
        <v>0</v>
      </c>
      <c r="S4153" s="1" t="s">
        <v>720</v>
      </c>
      <c r="T4153" s="1"/>
      <c r="U4153">
        <v>271</v>
      </c>
      <c r="V4153">
        <v>0</v>
      </c>
      <c r="W4153">
        <v>77669</v>
      </c>
    </row>
    <row r="4154" spans="1:23" x14ac:dyDescent="0.25">
      <c r="A4154" s="1" t="s">
        <v>40</v>
      </c>
      <c r="B4154" s="1"/>
      <c r="C4154" s="1" t="s">
        <v>210</v>
      </c>
      <c r="D4154">
        <v>10275</v>
      </c>
      <c r="E4154" s="1"/>
      <c r="F4154" s="1" t="s">
        <v>348</v>
      </c>
      <c r="G4154">
        <v>2012</v>
      </c>
      <c r="H4154">
        <v>318.89999999999998</v>
      </c>
      <c r="I4154">
        <v>12</v>
      </c>
      <c r="J4154" s="1" t="s">
        <v>457</v>
      </c>
      <c r="K4154">
        <v>0</v>
      </c>
      <c r="L4154">
        <v>551</v>
      </c>
      <c r="M4154">
        <v>0.57865999999999995</v>
      </c>
      <c r="N4154">
        <v>3</v>
      </c>
      <c r="O4154" s="1" t="s">
        <v>560</v>
      </c>
      <c r="P4154">
        <v>318.89999999999998</v>
      </c>
      <c r="Q4154">
        <v>255.12</v>
      </c>
      <c r="R4154">
        <v>0</v>
      </c>
      <c r="S4154" s="1" t="s">
        <v>720</v>
      </c>
      <c r="T4154" s="1"/>
      <c r="U4154">
        <v>318.89999999999998</v>
      </c>
      <c r="V4154">
        <v>0</v>
      </c>
      <c r="W4154">
        <v>77669</v>
      </c>
    </row>
    <row r="4155" spans="1:23" x14ac:dyDescent="0.25">
      <c r="A4155" s="1" t="s">
        <v>40</v>
      </c>
      <c r="B4155" s="1"/>
      <c r="C4155" s="1" t="s">
        <v>210</v>
      </c>
      <c r="D4155">
        <v>10275</v>
      </c>
      <c r="E4155" s="1"/>
      <c r="F4155" s="1" t="s">
        <v>348</v>
      </c>
      <c r="G4155">
        <v>2011</v>
      </c>
      <c r="H4155">
        <v>597.48</v>
      </c>
      <c r="I4155">
        <v>5</v>
      </c>
      <c r="J4155" s="1" t="s">
        <v>457</v>
      </c>
      <c r="K4155">
        <v>0</v>
      </c>
      <c r="L4155">
        <v>551</v>
      </c>
      <c r="M4155">
        <v>1.084158</v>
      </c>
      <c r="N4155">
        <v>3</v>
      </c>
      <c r="O4155" s="1" t="s">
        <v>560</v>
      </c>
      <c r="P4155">
        <v>597.48</v>
      </c>
      <c r="Q4155">
        <v>477.98</v>
      </c>
      <c r="R4155">
        <v>0</v>
      </c>
      <c r="S4155" s="1" t="s">
        <v>720</v>
      </c>
      <c r="T4155" s="1"/>
      <c r="U4155">
        <v>597.50000999999997</v>
      </c>
      <c r="V4155">
        <v>0</v>
      </c>
      <c r="W4155">
        <v>77669</v>
      </c>
    </row>
    <row r="4156" spans="1:23" x14ac:dyDescent="0.25">
      <c r="A4156" s="1" t="s">
        <v>40</v>
      </c>
      <c r="B4156" s="1"/>
      <c r="C4156" s="1" t="s">
        <v>210</v>
      </c>
      <c r="D4156">
        <v>10275</v>
      </c>
      <c r="E4156" s="1"/>
      <c r="F4156" s="1" t="s">
        <v>348</v>
      </c>
      <c r="G4156">
        <v>2010</v>
      </c>
      <c r="H4156">
        <v>639.63</v>
      </c>
      <c r="I4156">
        <v>3</v>
      </c>
      <c r="J4156" s="1" t="s">
        <v>457</v>
      </c>
      <c r="K4156">
        <v>0</v>
      </c>
      <c r="L4156">
        <v>551</v>
      </c>
      <c r="M4156">
        <v>1.160642</v>
      </c>
      <c r="N4156">
        <v>3</v>
      </c>
      <c r="O4156" s="1" t="s">
        <v>560</v>
      </c>
      <c r="P4156">
        <v>639.63</v>
      </c>
      <c r="Q4156">
        <v>511.73</v>
      </c>
      <c r="R4156">
        <v>0</v>
      </c>
      <c r="S4156" s="1" t="s">
        <v>720</v>
      </c>
      <c r="T4156" s="1"/>
      <c r="U4156">
        <v>639.63999000000001</v>
      </c>
      <c r="V4156">
        <v>0</v>
      </c>
      <c r="W4156">
        <v>77669</v>
      </c>
    </row>
    <row r="4157" spans="1:23" x14ac:dyDescent="0.25">
      <c r="A4157" s="1" t="s">
        <v>40</v>
      </c>
      <c r="B4157" s="1"/>
      <c r="C4157" s="1" t="s">
        <v>210</v>
      </c>
      <c r="D4157">
        <v>10275</v>
      </c>
      <c r="E4157" s="1"/>
      <c r="F4157" s="1" t="s">
        <v>348</v>
      </c>
      <c r="G4157">
        <v>2009</v>
      </c>
      <c r="H4157">
        <v>632.91</v>
      </c>
      <c r="I4157">
        <v>2</v>
      </c>
      <c r="J4157" s="1" t="s">
        <v>457</v>
      </c>
      <c r="K4157">
        <v>0</v>
      </c>
      <c r="L4157">
        <v>551</v>
      </c>
      <c r="M4157">
        <v>1.1484479999999999</v>
      </c>
      <c r="N4157">
        <v>3</v>
      </c>
      <c r="O4157" s="1" t="s">
        <v>560</v>
      </c>
      <c r="P4157">
        <v>632.91</v>
      </c>
      <c r="Q4157">
        <v>506.34</v>
      </c>
      <c r="R4157">
        <v>0</v>
      </c>
      <c r="S4157" s="1" t="s">
        <v>720</v>
      </c>
      <c r="T4157" s="1"/>
      <c r="U4157">
        <v>632.90545999999995</v>
      </c>
      <c r="V4157">
        <v>0</v>
      </c>
      <c r="W4157">
        <v>77669</v>
      </c>
    </row>
    <row r="4158" spans="1:23" x14ac:dyDescent="0.25">
      <c r="A4158" s="1" t="s">
        <v>40</v>
      </c>
      <c r="B4158" s="1"/>
      <c r="C4158" s="1" t="s">
        <v>210</v>
      </c>
      <c r="D4158">
        <v>10275</v>
      </c>
      <c r="E4158" s="1"/>
      <c r="F4158" s="1" t="s">
        <v>348</v>
      </c>
      <c r="G4158">
        <v>2008</v>
      </c>
      <c r="H4158">
        <v>666.09</v>
      </c>
      <c r="I4158">
        <v>3</v>
      </c>
      <c r="J4158" s="1" t="s">
        <v>457</v>
      </c>
      <c r="K4158">
        <v>0</v>
      </c>
      <c r="L4158">
        <v>551</v>
      </c>
      <c r="M4158">
        <v>1.208655</v>
      </c>
      <c r="N4158">
        <v>3</v>
      </c>
      <c r="O4158" s="1" t="s">
        <v>560</v>
      </c>
      <c r="P4158">
        <v>666.09</v>
      </c>
      <c r="Q4158">
        <v>532.89</v>
      </c>
      <c r="R4158">
        <v>0</v>
      </c>
      <c r="S4158" s="1" t="s">
        <v>720</v>
      </c>
      <c r="T4158" s="1"/>
      <c r="U4158">
        <v>666.09559000000002</v>
      </c>
      <c r="V4158">
        <v>0</v>
      </c>
      <c r="W4158">
        <v>77669</v>
      </c>
    </row>
    <row r="4159" spans="1:23" x14ac:dyDescent="0.25">
      <c r="A4159" s="1" t="s">
        <v>40</v>
      </c>
      <c r="B4159" s="1"/>
      <c r="C4159" s="1" t="s">
        <v>211</v>
      </c>
      <c r="D4159">
        <v>10277</v>
      </c>
      <c r="E4159" s="1"/>
      <c r="F4159" s="1" t="s">
        <v>349</v>
      </c>
      <c r="G4159">
        <v>2015</v>
      </c>
      <c r="H4159">
        <v>44</v>
      </c>
      <c r="I4159">
        <v>5</v>
      </c>
      <c r="J4159" s="1" t="s">
        <v>410</v>
      </c>
      <c r="K4159">
        <v>0</v>
      </c>
      <c r="L4159">
        <v>304</v>
      </c>
      <c r="M4159">
        <v>0.14468900000000001</v>
      </c>
      <c r="N4159">
        <v>3</v>
      </c>
      <c r="O4159" s="1" t="s">
        <v>560</v>
      </c>
      <c r="P4159">
        <v>44</v>
      </c>
      <c r="Q4159">
        <v>35.200000000000003</v>
      </c>
      <c r="R4159">
        <v>0</v>
      </c>
      <c r="S4159" s="1" t="s">
        <v>721</v>
      </c>
      <c r="T4159" s="1"/>
      <c r="U4159">
        <v>44</v>
      </c>
      <c r="V4159">
        <v>0</v>
      </c>
      <c r="W4159">
        <v>77673</v>
      </c>
    </row>
    <row r="4160" spans="1:23" x14ac:dyDescent="0.25">
      <c r="A4160" s="1" t="s">
        <v>40</v>
      </c>
      <c r="B4160" s="1"/>
      <c r="C4160" s="1" t="s">
        <v>211</v>
      </c>
      <c r="D4160">
        <v>10277</v>
      </c>
      <c r="E4160" s="1"/>
      <c r="F4160" s="1" t="s">
        <v>349</v>
      </c>
      <c r="G4160">
        <v>2014</v>
      </c>
      <c r="H4160">
        <v>81.2</v>
      </c>
      <c r="I4160">
        <v>12</v>
      </c>
      <c r="J4160" s="1" t="s">
        <v>410</v>
      </c>
      <c r="K4160">
        <v>0</v>
      </c>
      <c r="L4160">
        <v>304</v>
      </c>
      <c r="M4160">
        <v>0.267017</v>
      </c>
      <c r="N4160">
        <v>3</v>
      </c>
      <c r="O4160" s="1" t="s">
        <v>560</v>
      </c>
      <c r="P4160">
        <v>81.2</v>
      </c>
      <c r="Q4160">
        <v>64.959999999999994</v>
      </c>
      <c r="R4160">
        <v>0</v>
      </c>
      <c r="S4160" s="1" t="s">
        <v>721</v>
      </c>
      <c r="T4160" s="1"/>
      <c r="U4160">
        <v>81.2</v>
      </c>
      <c r="V4160">
        <v>0</v>
      </c>
      <c r="W4160">
        <v>77673</v>
      </c>
    </row>
    <row r="4161" spans="1:23" x14ac:dyDescent="0.25">
      <c r="A4161" s="1" t="s">
        <v>40</v>
      </c>
      <c r="B4161" s="1"/>
      <c r="C4161" s="1" t="s">
        <v>211</v>
      </c>
      <c r="D4161">
        <v>10277</v>
      </c>
      <c r="E4161" s="1"/>
      <c r="F4161" s="1" t="s">
        <v>349</v>
      </c>
      <c r="G4161">
        <v>2013</v>
      </c>
      <c r="H4161">
        <v>58.63</v>
      </c>
      <c r="I4161">
        <v>13</v>
      </c>
      <c r="J4161" s="1" t="s">
        <v>410</v>
      </c>
      <c r="K4161">
        <v>0</v>
      </c>
      <c r="L4161">
        <v>304</v>
      </c>
      <c r="M4161">
        <v>0.192798</v>
      </c>
      <c r="N4161">
        <v>3</v>
      </c>
      <c r="O4161" s="1" t="s">
        <v>560</v>
      </c>
      <c r="P4161">
        <v>58.63</v>
      </c>
      <c r="Q4161">
        <v>46.89</v>
      </c>
      <c r="R4161">
        <v>0</v>
      </c>
      <c r="S4161" s="1" t="s">
        <v>721</v>
      </c>
      <c r="T4161" s="1"/>
      <c r="U4161">
        <v>58.619990000000001</v>
      </c>
      <c r="V4161">
        <v>0</v>
      </c>
      <c r="W4161">
        <v>77673</v>
      </c>
    </row>
    <row r="4162" spans="1:23" x14ac:dyDescent="0.25">
      <c r="A4162" s="1" t="s">
        <v>40</v>
      </c>
      <c r="B4162" s="1"/>
      <c r="C4162" s="1" t="s">
        <v>211</v>
      </c>
      <c r="D4162">
        <v>10277</v>
      </c>
      <c r="E4162" s="1"/>
      <c r="F4162" s="1" t="s">
        <v>349</v>
      </c>
      <c r="G4162">
        <v>2012</v>
      </c>
      <c r="H4162">
        <v>133.28</v>
      </c>
      <c r="I4162">
        <v>12</v>
      </c>
      <c r="J4162" s="1" t="s">
        <v>410</v>
      </c>
      <c r="K4162">
        <v>0</v>
      </c>
      <c r="L4162">
        <v>304</v>
      </c>
      <c r="M4162">
        <v>0.438276</v>
      </c>
      <c r="N4162">
        <v>3</v>
      </c>
      <c r="O4162" s="1" t="s">
        <v>560</v>
      </c>
      <c r="P4162">
        <v>133.28</v>
      </c>
      <c r="Q4162">
        <v>106.61</v>
      </c>
      <c r="R4162">
        <v>0</v>
      </c>
      <c r="S4162" s="1" t="s">
        <v>721</v>
      </c>
      <c r="T4162" s="1"/>
      <c r="U4162">
        <v>133.24856</v>
      </c>
      <c r="V4162">
        <v>0</v>
      </c>
      <c r="W4162">
        <v>77673</v>
      </c>
    </row>
    <row r="4163" spans="1:23" x14ac:dyDescent="0.25">
      <c r="A4163" s="1" t="s">
        <v>40</v>
      </c>
      <c r="B4163" s="1"/>
      <c r="C4163" s="1" t="s">
        <v>211</v>
      </c>
      <c r="D4163">
        <v>10277</v>
      </c>
      <c r="E4163" s="1"/>
      <c r="F4163" s="1" t="s">
        <v>349</v>
      </c>
      <c r="G4163">
        <v>2011</v>
      </c>
      <c r="H4163">
        <v>29.64</v>
      </c>
      <c r="I4163">
        <v>4</v>
      </c>
      <c r="J4163" s="1" t="s">
        <v>410</v>
      </c>
      <c r="K4163">
        <v>0</v>
      </c>
      <c r="L4163">
        <v>304</v>
      </c>
      <c r="M4163">
        <v>9.7466999999999998E-2</v>
      </c>
      <c r="N4163">
        <v>3</v>
      </c>
      <c r="O4163" s="1" t="s">
        <v>560</v>
      </c>
      <c r="P4163">
        <v>29.64</v>
      </c>
      <c r="Q4163">
        <v>23.71</v>
      </c>
      <c r="R4163">
        <v>0</v>
      </c>
      <c r="S4163" s="1" t="s">
        <v>721</v>
      </c>
      <c r="T4163" s="1"/>
      <c r="U4163">
        <v>29.631440000000001</v>
      </c>
      <c r="V4163">
        <v>0</v>
      </c>
      <c r="W4163">
        <v>77673</v>
      </c>
    </row>
    <row r="4164" spans="1:23" x14ac:dyDescent="0.25">
      <c r="A4164" s="1" t="s">
        <v>40</v>
      </c>
      <c r="B4164" s="1"/>
      <c r="C4164" s="1" t="s">
        <v>211</v>
      </c>
      <c r="D4164">
        <v>10277</v>
      </c>
      <c r="E4164" s="1"/>
      <c r="F4164" s="1" t="s">
        <v>349</v>
      </c>
      <c r="G4164">
        <v>2010</v>
      </c>
      <c r="H4164">
        <v>36.19</v>
      </c>
      <c r="I4164">
        <v>3</v>
      </c>
      <c r="J4164" s="1" t="s">
        <v>410</v>
      </c>
      <c r="K4164">
        <v>0</v>
      </c>
      <c r="L4164">
        <v>304</v>
      </c>
      <c r="M4164">
        <v>0.119006</v>
      </c>
      <c r="N4164">
        <v>3</v>
      </c>
      <c r="O4164" s="1" t="s">
        <v>560</v>
      </c>
      <c r="P4164">
        <v>36.19</v>
      </c>
      <c r="Q4164">
        <v>28.96</v>
      </c>
      <c r="R4164">
        <v>0</v>
      </c>
      <c r="S4164" s="1" t="s">
        <v>721</v>
      </c>
      <c r="T4164" s="1"/>
      <c r="U4164">
        <v>36.19999</v>
      </c>
      <c r="V4164">
        <v>0</v>
      </c>
      <c r="W4164">
        <v>77673</v>
      </c>
    </row>
    <row r="4165" spans="1:23" x14ac:dyDescent="0.25">
      <c r="A4165" s="1" t="s">
        <v>40</v>
      </c>
      <c r="B4165" s="1"/>
      <c r="C4165" s="1" t="s">
        <v>211</v>
      </c>
      <c r="D4165">
        <v>10277</v>
      </c>
      <c r="E4165" s="1"/>
      <c r="F4165" s="1" t="s">
        <v>349</v>
      </c>
      <c r="G4165">
        <v>2009</v>
      </c>
      <c r="H4165">
        <v>35.159999999999997</v>
      </c>
      <c r="I4165">
        <v>2</v>
      </c>
      <c r="J4165" s="1" t="s">
        <v>410</v>
      </c>
      <c r="K4165">
        <v>0</v>
      </c>
      <c r="L4165">
        <v>304</v>
      </c>
      <c r="M4165">
        <v>0.115619</v>
      </c>
      <c r="N4165">
        <v>3</v>
      </c>
      <c r="O4165" s="1" t="s">
        <v>560</v>
      </c>
      <c r="P4165">
        <v>35.159999999999997</v>
      </c>
      <c r="Q4165">
        <v>28.14</v>
      </c>
      <c r="R4165">
        <v>0</v>
      </c>
      <c r="S4165" s="1" t="s">
        <v>721</v>
      </c>
      <c r="T4165" s="1"/>
      <c r="U4165">
        <v>35.163640000000001</v>
      </c>
      <c r="V4165">
        <v>0</v>
      </c>
      <c r="W4165">
        <v>77673</v>
      </c>
    </row>
    <row r="4166" spans="1:23" x14ac:dyDescent="0.25">
      <c r="A4166" s="1" t="s">
        <v>40</v>
      </c>
      <c r="B4166" s="1"/>
      <c r="C4166" s="1" t="s">
        <v>211</v>
      </c>
      <c r="D4166">
        <v>10277</v>
      </c>
      <c r="E4166" s="1"/>
      <c r="F4166" s="1" t="s">
        <v>349</v>
      </c>
      <c r="G4166">
        <v>2008</v>
      </c>
      <c r="H4166">
        <v>29.58</v>
      </c>
      <c r="I4166">
        <v>3</v>
      </c>
      <c r="J4166" s="1" t="s">
        <v>410</v>
      </c>
      <c r="K4166">
        <v>0</v>
      </c>
      <c r="L4166">
        <v>304</v>
      </c>
      <c r="M4166">
        <v>9.7269999999999995E-2</v>
      </c>
      <c r="N4166">
        <v>3</v>
      </c>
      <c r="O4166" s="1" t="s">
        <v>560</v>
      </c>
      <c r="P4166">
        <v>29.58</v>
      </c>
      <c r="Q4166">
        <v>23.64</v>
      </c>
      <c r="R4166">
        <v>0</v>
      </c>
      <c r="S4166" s="1" t="s">
        <v>721</v>
      </c>
      <c r="T4166" s="1"/>
      <c r="U4166">
        <v>29.565370000000001</v>
      </c>
      <c r="V4166">
        <v>0</v>
      </c>
      <c r="W4166">
        <v>77673</v>
      </c>
    </row>
    <row r="4167" spans="1:23" x14ac:dyDescent="0.25">
      <c r="A4167" s="1" t="s">
        <v>40</v>
      </c>
      <c r="B4167" s="1" t="s">
        <v>85</v>
      </c>
      <c r="C4167" s="1" t="s">
        <v>212</v>
      </c>
      <c r="D4167">
        <v>13360</v>
      </c>
      <c r="E4167" s="1" t="s">
        <v>243</v>
      </c>
      <c r="F4167" s="1" t="s">
        <v>350</v>
      </c>
      <c r="G4167">
        <v>2015</v>
      </c>
      <c r="H4167">
        <v>32.43</v>
      </c>
      <c r="I4167">
        <v>5</v>
      </c>
      <c r="J4167" s="1" t="s">
        <v>410</v>
      </c>
      <c r="K4167">
        <v>0</v>
      </c>
      <c r="L4167">
        <v>317</v>
      </c>
      <c r="M4167">
        <v>0.10227</v>
      </c>
      <c r="N4167">
        <v>3</v>
      </c>
      <c r="O4167" s="1" t="s">
        <v>560</v>
      </c>
      <c r="P4167">
        <v>32.43</v>
      </c>
      <c r="Q4167">
        <v>25.95</v>
      </c>
      <c r="R4167">
        <v>0</v>
      </c>
      <c r="S4167" s="1" t="s">
        <v>722</v>
      </c>
      <c r="T4167" s="1"/>
      <c r="U4167">
        <v>32.436999999999998</v>
      </c>
      <c r="V4167">
        <v>0</v>
      </c>
      <c r="W4167">
        <v>89450</v>
      </c>
    </row>
    <row r="4168" spans="1:23" x14ac:dyDescent="0.25">
      <c r="A4168" s="1" t="s">
        <v>40</v>
      </c>
      <c r="B4168" s="1" t="s">
        <v>85</v>
      </c>
      <c r="C4168" s="1" t="s">
        <v>212</v>
      </c>
      <c r="D4168">
        <v>13360</v>
      </c>
      <c r="E4168" s="1" t="s">
        <v>243</v>
      </c>
      <c r="F4168" s="1" t="s">
        <v>350</v>
      </c>
      <c r="G4168">
        <v>2014</v>
      </c>
      <c r="H4168">
        <v>94.34</v>
      </c>
      <c r="I4168">
        <v>12</v>
      </c>
      <c r="J4168" s="1" t="s">
        <v>410</v>
      </c>
      <c r="K4168">
        <v>0</v>
      </c>
      <c r="L4168">
        <v>317</v>
      </c>
      <c r="M4168">
        <v>0.29750799999999999</v>
      </c>
      <c r="N4168">
        <v>3</v>
      </c>
      <c r="O4168" s="1" t="s">
        <v>560</v>
      </c>
      <c r="P4168">
        <v>94.34</v>
      </c>
      <c r="Q4168">
        <v>75.47</v>
      </c>
      <c r="R4168">
        <v>0</v>
      </c>
      <c r="S4168" s="1" t="s">
        <v>722</v>
      </c>
      <c r="T4168" s="1"/>
      <c r="U4168">
        <v>94.328999999999994</v>
      </c>
      <c r="V4168">
        <v>0</v>
      </c>
      <c r="W4168">
        <v>89450</v>
      </c>
    </row>
    <row r="4169" spans="1:23" x14ac:dyDescent="0.25">
      <c r="A4169" s="1" t="s">
        <v>40</v>
      </c>
      <c r="B4169" s="1" t="s">
        <v>85</v>
      </c>
      <c r="C4169" s="1" t="s">
        <v>212</v>
      </c>
      <c r="D4169">
        <v>13360</v>
      </c>
      <c r="E4169" s="1" t="s">
        <v>243</v>
      </c>
      <c r="F4169" s="1" t="s">
        <v>350</v>
      </c>
      <c r="G4169">
        <v>2013</v>
      </c>
      <c r="H4169">
        <v>111.08</v>
      </c>
      <c r="I4169">
        <v>13</v>
      </c>
      <c r="J4169" s="1" t="s">
        <v>410</v>
      </c>
      <c r="K4169">
        <v>0</v>
      </c>
      <c r="L4169">
        <v>317</v>
      </c>
      <c r="M4169">
        <v>0.35029900000000003</v>
      </c>
      <c r="N4169">
        <v>3</v>
      </c>
      <c r="O4169" s="1" t="s">
        <v>560</v>
      </c>
      <c r="P4169">
        <v>111.08</v>
      </c>
      <c r="Q4169">
        <v>88.85</v>
      </c>
      <c r="R4169">
        <v>0</v>
      </c>
      <c r="S4169" s="1" t="s">
        <v>722</v>
      </c>
      <c r="T4169" s="1"/>
      <c r="U4169">
        <v>111.06910999999999</v>
      </c>
      <c r="V4169">
        <v>0</v>
      </c>
      <c r="W4169">
        <v>89450</v>
      </c>
    </row>
    <row r="4170" spans="1:23" x14ac:dyDescent="0.25">
      <c r="A4170" s="1" t="s">
        <v>40</v>
      </c>
      <c r="B4170" s="1" t="s">
        <v>85</v>
      </c>
      <c r="C4170" s="1" t="s">
        <v>212</v>
      </c>
      <c r="D4170">
        <v>13360</v>
      </c>
      <c r="E4170" s="1" t="s">
        <v>243</v>
      </c>
      <c r="F4170" s="1" t="s">
        <v>350</v>
      </c>
      <c r="G4170">
        <v>2012</v>
      </c>
      <c r="H4170">
        <v>156.22999999999999</v>
      </c>
      <c r="I4170">
        <v>12</v>
      </c>
      <c r="J4170" s="1" t="s">
        <v>410</v>
      </c>
      <c r="K4170">
        <v>0</v>
      </c>
      <c r="L4170">
        <v>317</v>
      </c>
      <c r="M4170">
        <v>0.49268299999999998</v>
      </c>
      <c r="N4170">
        <v>3</v>
      </c>
      <c r="O4170" s="1" t="s">
        <v>560</v>
      </c>
      <c r="P4170">
        <v>156.22999999999999</v>
      </c>
      <c r="Q4170">
        <v>124.96</v>
      </c>
      <c r="R4170">
        <v>0</v>
      </c>
      <c r="S4170" s="1" t="s">
        <v>722</v>
      </c>
      <c r="T4170" s="1"/>
      <c r="U4170">
        <v>156.22290000000001</v>
      </c>
      <c r="V4170">
        <v>0</v>
      </c>
      <c r="W4170">
        <v>89450</v>
      </c>
    </row>
    <row r="4171" spans="1:23" x14ac:dyDescent="0.25">
      <c r="A4171" s="1" t="s">
        <v>40</v>
      </c>
      <c r="B4171" s="1" t="s">
        <v>85</v>
      </c>
      <c r="C4171" s="1" t="s">
        <v>212</v>
      </c>
      <c r="D4171">
        <v>13360</v>
      </c>
      <c r="E4171" s="1" t="s">
        <v>243</v>
      </c>
      <c r="F4171" s="1" t="s">
        <v>350</v>
      </c>
      <c r="G4171">
        <v>2011</v>
      </c>
      <c r="H4171">
        <v>75</v>
      </c>
      <c r="I4171">
        <v>5</v>
      </c>
      <c r="J4171" s="1" t="s">
        <v>410</v>
      </c>
      <c r="K4171">
        <v>0</v>
      </c>
      <c r="L4171">
        <v>317</v>
      </c>
      <c r="M4171">
        <v>0.23651800000000001</v>
      </c>
      <c r="N4171">
        <v>3</v>
      </c>
      <c r="O4171" s="1" t="s">
        <v>560</v>
      </c>
      <c r="P4171">
        <v>75</v>
      </c>
      <c r="Q4171">
        <v>60</v>
      </c>
      <c r="R4171">
        <v>0</v>
      </c>
      <c r="S4171" s="1" t="s">
        <v>722</v>
      </c>
      <c r="T4171" s="1"/>
      <c r="U4171">
        <v>75.01097</v>
      </c>
      <c r="V4171">
        <v>0</v>
      </c>
      <c r="W4171">
        <v>89450</v>
      </c>
    </row>
    <row r="4172" spans="1:23" x14ac:dyDescent="0.25">
      <c r="A4172" s="1" t="s">
        <v>40</v>
      </c>
      <c r="B4172" s="1" t="s">
        <v>86</v>
      </c>
      <c r="C4172" s="1" t="s">
        <v>213</v>
      </c>
      <c r="D4172">
        <v>6027</v>
      </c>
      <c r="E4172" s="1"/>
      <c r="F4172" s="1" t="s">
        <v>351</v>
      </c>
      <c r="G4172">
        <v>2015</v>
      </c>
      <c r="H4172">
        <v>4.01</v>
      </c>
      <c r="I4172">
        <v>5</v>
      </c>
      <c r="J4172" s="1" t="s">
        <v>421</v>
      </c>
      <c r="K4172">
        <v>0</v>
      </c>
      <c r="L4172">
        <v>0</v>
      </c>
      <c r="M4172">
        <v>40.1</v>
      </c>
      <c r="N4172">
        <v>3</v>
      </c>
      <c r="O4172" s="1" t="s">
        <v>560</v>
      </c>
      <c r="P4172">
        <v>4.01</v>
      </c>
      <c r="Q4172">
        <v>3.2</v>
      </c>
      <c r="R4172">
        <v>1</v>
      </c>
      <c r="S4172" s="1" t="s">
        <v>723</v>
      </c>
      <c r="T4172" s="1"/>
      <c r="U4172">
        <v>3.9999899999999999</v>
      </c>
      <c r="V4172">
        <v>0</v>
      </c>
      <c r="W4172">
        <v>60568</v>
      </c>
    </row>
    <row r="4173" spans="1:23" x14ac:dyDescent="0.25">
      <c r="A4173" s="1" t="s">
        <v>40</v>
      </c>
      <c r="B4173" s="1" t="s">
        <v>86</v>
      </c>
      <c r="C4173" s="1" t="s">
        <v>213</v>
      </c>
      <c r="D4173">
        <v>6027</v>
      </c>
      <c r="E4173" s="1"/>
      <c r="F4173" s="1" t="s">
        <v>351</v>
      </c>
      <c r="G4173">
        <v>2015</v>
      </c>
      <c r="H4173">
        <v>12.12</v>
      </c>
      <c r="I4173">
        <v>5</v>
      </c>
      <c r="J4173" s="1" t="s">
        <v>421</v>
      </c>
      <c r="K4173">
        <v>0</v>
      </c>
      <c r="L4173">
        <v>0</v>
      </c>
      <c r="M4173">
        <v>121.2</v>
      </c>
      <c r="N4173">
        <v>3</v>
      </c>
      <c r="O4173" s="1" t="s">
        <v>560</v>
      </c>
      <c r="P4173">
        <v>12.12</v>
      </c>
      <c r="Q4173">
        <v>9.6999999999999993</v>
      </c>
      <c r="R4173">
        <v>1</v>
      </c>
      <c r="S4173" s="1" t="s">
        <v>724</v>
      </c>
      <c r="T4173" s="1"/>
      <c r="U4173">
        <v>12.114280000000001</v>
      </c>
      <c r="V4173">
        <v>0</v>
      </c>
      <c r="W4173">
        <v>60570</v>
      </c>
    </row>
    <row r="4174" spans="1:23" x14ac:dyDescent="0.25">
      <c r="A4174" s="1" t="s">
        <v>40</v>
      </c>
      <c r="B4174" s="1" t="s">
        <v>86</v>
      </c>
      <c r="C4174" s="1" t="s">
        <v>213</v>
      </c>
      <c r="D4174">
        <v>6027</v>
      </c>
      <c r="E4174" s="1"/>
      <c r="F4174" s="1" t="s">
        <v>351</v>
      </c>
      <c r="G4174">
        <v>2015</v>
      </c>
      <c r="H4174">
        <v>6.12</v>
      </c>
      <c r="I4174">
        <v>5</v>
      </c>
      <c r="J4174" s="1" t="s">
        <v>421</v>
      </c>
      <c r="K4174">
        <v>0</v>
      </c>
      <c r="L4174">
        <v>0</v>
      </c>
      <c r="M4174">
        <v>61.2</v>
      </c>
      <c r="N4174">
        <v>3</v>
      </c>
      <c r="O4174" s="1" t="s">
        <v>560</v>
      </c>
      <c r="P4174">
        <v>6.12</v>
      </c>
      <c r="Q4174">
        <v>4.8899999999999997</v>
      </c>
      <c r="R4174">
        <v>1</v>
      </c>
      <c r="S4174" s="1" t="s">
        <v>725</v>
      </c>
      <c r="T4174" s="1"/>
      <c r="U4174">
        <v>6.1142799999999999</v>
      </c>
      <c r="V4174">
        <v>0</v>
      </c>
      <c r="W4174">
        <v>60571</v>
      </c>
    </row>
    <row r="4175" spans="1:23" x14ac:dyDescent="0.25">
      <c r="A4175" s="1" t="s">
        <v>40</v>
      </c>
      <c r="B4175" s="1" t="s">
        <v>86</v>
      </c>
      <c r="C4175" s="1" t="s">
        <v>213</v>
      </c>
      <c r="D4175">
        <v>6027</v>
      </c>
      <c r="E4175" s="1"/>
      <c r="F4175" s="1" t="s">
        <v>351</v>
      </c>
      <c r="G4175">
        <v>2015</v>
      </c>
      <c r="H4175">
        <v>0</v>
      </c>
      <c r="I4175">
        <v>5</v>
      </c>
      <c r="J4175" s="1" t="s">
        <v>421</v>
      </c>
      <c r="K4175">
        <v>0</v>
      </c>
      <c r="L4175">
        <v>0</v>
      </c>
      <c r="M4175">
        <v>0</v>
      </c>
      <c r="N4175">
        <v>3</v>
      </c>
      <c r="O4175" s="1" t="s">
        <v>560</v>
      </c>
      <c r="P4175">
        <v>0</v>
      </c>
      <c r="Q4175">
        <v>0</v>
      </c>
      <c r="R4175">
        <v>1</v>
      </c>
      <c r="S4175" s="1" t="s">
        <v>726</v>
      </c>
      <c r="T4175" s="1"/>
      <c r="U4175">
        <v>0</v>
      </c>
      <c r="V4175">
        <v>0</v>
      </c>
      <c r="W4175">
        <v>60572</v>
      </c>
    </row>
    <row r="4176" spans="1:23" x14ac:dyDescent="0.25">
      <c r="A4176" s="1" t="s">
        <v>40</v>
      </c>
      <c r="B4176" s="1" t="s">
        <v>86</v>
      </c>
      <c r="C4176" s="1" t="s">
        <v>213</v>
      </c>
      <c r="D4176">
        <v>6027</v>
      </c>
      <c r="E4176" s="1"/>
      <c r="F4176" s="1" t="s">
        <v>351</v>
      </c>
      <c r="G4176">
        <v>2015</v>
      </c>
      <c r="H4176">
        <v>0.28999999999999998</v>
      </c>
      <c r="I4176">
        <v>5</v>
      </c>
      <c r="J4176" s="1" t="s">
        <v>421</v>
      </c>
      <c r="K4176">
        <v>0</v>
      </c>
      <c r="L4176">
        <v>0</v>
      </c>
      <c r="M4176">
        <v>2.9</v>
      </c>
      <c r="N4176">
        <v>3</v>
      </c>
      <c r="O4176" s="1" t="s">
        <v>560</v>
      </c>
      <c r="P4176">
        <v>0.28999999999999998</v>
      </c>
      <c r="Q4176">
        <v>0.23</v>
      </c>
      <c r="R4176">
        <v>1</v>
      </c>
      <c r="S4176" s="1" t="s">
        <v>727</v>
      </c>
      <c r="T4176" s="1"/>
      <c r="U4176">
        <v>0.3</v>
      </c>
      <c r="V4176">
        <v>0</v>
      </c>
      <c r="W4176">
        <v>60573</v>
      </c>
    </row>
    <row r="4177" spans="1:23" x14ac:dyDescent="0.25">
      <c r="A4177" s="1" t="s">
        <v>40</v>
      </c>
      <c r="B4177" s="1" t="s">
        <v>86</v>
      </c>
      <c r="C4177" s="1" t="s">
        <v>213</v>
      </c>
      <c r="D4177">
        <v>6027</v>
      </c>
      <c r="E4177" s="1"/>
      <c r="F4177" s="1" t="s">
        <v>351</v>
      </c>
      <c r="G4177">
        <v>2015</v>
      </c>
      <c r="H4177">
        <v>1.99</v>
      </c>
      <c r="I4177">
        <v>5</v>
      </c>
      <c r="J4177" s="1" t="s">
        <v>421</v>
      </c>
      <c r="K4177">
        <v>0</v>
      </c>
      <c r="L4177">
        <v>0</v>
      </c>
      <c r="M4177">
        <v>19.899999999999999</v>
      </c>
      <c r="N4177">
        <v>3</v>
      </c>
      <c r="O4177" s="1" t="s">
        <v>560</v>
      </c>
      <c r="P4177">
        <v>1.99</v>
      </c>
      <c r="Q4177">
        <v>1.6</v>
      </c>
      <c r="R4177">
        <v>1</v>
      </c>
      <c r="S4177" s="1" t="s">
        <v>728</v>
      </c>
      <c r="T4177" s="1"/>
      <c r="U4177">
        <v>2</v>
      </c>
      <c r="V4177">
        <v>0</v>
      </c>
      <c r="W4177">
        <v>60574</v>
      </c>
    </row>
    <row r="4178" spans="1:23" x14ac:dyDescent="0.25">
      <c r="A4178" s="1" t="s">
        <v>40</v>
      </c>
      <c r="B4178" s="1" t="s">
        <v>86</v>
      </c>
      <c r="C4178" s="1" t="s">
        <v>213</v>
      </c>
      <c r="D4178">
        <v>6027</v>
      </c>
      <c r="E4178" s="1"/>
      <c r="F4178" s="1" t="s">
        <v>351</v>
      </c>
      <c r="G4178">
        <v>2015</v>
      </c>
      <c r="H4178">
        <v>60.39</v>
      </c>
      <c r="I4178">
        <v>5</v>
      </c>
      <c r="J4178" s="1" t="s">
        <v>421</v>
      </c>
      <c r="K4178">
        <v>0</v>
      </c>
      <c r="L4178">
        <v>0</v>
      </c>
      <c r="M4178">
        <v>603.9</v>
      </c>
      <c r="N4178">
        <v>3</v>
      </c>
      <c r="O4178" s="1" t="s">
        <v>560</v>
      </c>
      <c r="P4178">
        <v>60.39</v>
      </c>
      <c r="Q4178">
        <v>48.32</v>
      </c>
      <c r="R4178">
        <v>1</v>
      </c>
      <c r="S4178" s="1" t="s">
        <v>729</v>
      </c>
      <c r="T4178" s="1"/>
      <c r="U4178">
        <v>60.400010000000002</v>
      </c>
      <c r="V4178">
        <v>0</v>
      </c>
      <c r="W4178">
        <v>60575</v>
      </c>
    </row>
    <row r="4179" spans="1:23" x14ac:dyDescent="0.25">
      <c r="A4179" s="1" t="s">
        <v>40</v>
      </c>
      <c r="B4179" s="1" t="s">
        <v>86</v>
      </c>
      <c r="C4179" s="1" t="s">
        <v>213</v>
      </c>
      <c r="D4179">
        <v>6027</v>
      </c>
      <c r="E4179" s="1"/>
      <c r="F4179" s="1" t="s">
        <v>351</v>
      </c>
      <c r="G4179">
        <v>2014</v>
      </c>
      <c r="H4179">
        <v>21.04</v>
      </c>
      <c r="I4179">
        <v>12</v>
      </c>
      <c r="J4179" s="1" t="s">
        <v>421</v>
      </c>
      <c r="K4179">
        <v>0</v>
      </c>
      <c r="L4179">
        <v>0</v>
      </c>
      <c r="M4179">
        <v>210.4</v>
      </c>
      <c r="N4179">
        <v>3</v>
      </c>
      <c r="O4179" s="1" t="s">
        <v>560</v>
      </c>
      <c r="P4179">
        <v>21.04</v>
      </c>
      <c r="Q4179">
        <v>16.84</v>
      </c>
      <c r="R4179">
        <v>1</v>
      </c>
      <c r="S4179" s="1" t="s">
        <v>723</v>
      </c>
      <c r="T4179" s="1"/>
      <c r="U4179">
        <v>21.032240000000002</v>
      </c>
      <c r="V4179">
        <v>0</v>
      </c>
      <c r="W4179">
        <v>60568</v>
      </c>
    </row>
    <row r="4180" spans="1:23" x14ac:dyDescent="0.25">
      <c r="A4180" s="1" t="s">
        <v>40</v>
      </c>
      <c r="B4180" s="1" t="s">
        <v>86</v>
      </c>
      <c r="C4180" s="1" t="s">
        <v>213</v>
      </c>
      <c r="D4180">
        <v>6027</v>
      </c>
      <c r="E4180" s="1"/>
      <c r="F4180" s="1" t="s">
        <v>351</v>
      </c>
      <c r="G4180">
        <v>2014</v>
      </c>
      <c r="H4180">
        <v>81.06</v>
      </c>
      <c r="I4180">
        <v>12</v>
      </c>
      <c r="J4180" s="1" t="s">
        <v>421</v>
      </c>
      <c r="K4180">
        <v>0</v>
      </c>
      <c r="L4180">
        <v>0</v>
      </c>
      <c r="M4180">
        <v>810.6</v>
      </c>
      <c r="N4180">
        <v>3</v>
      </c>
      <c r="O4180" s="1" t="s">
        <v>560</v>
      </c>
      <c r="P4180">
        <v>81.06</v>
      </c>
      <c r="Q4180">
        <v>64.849999999999994</v>
      </c>
      <c r="R4180">
        <v>1</v>
      </c>
      <c r="S4180" s="1" t="s">
        <v>724</v>
      </c>
      <c r="T4180" s="1"/>
      <c r="U4180">
        <v>81.046999999999997</v>
      </c>
      <c r="V4180">
        <v>0</v>
      </c>
      <c r="W4180">
        <v>60570</v>
      </c>
    </row>
    <row r="4181" spans="1:23" x14ac:dyDescent="0.25">
      <c r="A4181" s="1" t="s">
        <v>40</v>
      </c>
      <c r="B4181" s="1" t="s">
        <v>86</v>
      </c>
      <c r="C4181" s="1" t="s">
        <v>213</v>
      </c>
      <c r="D4181">
        <v>6027</v>
      </c>
      <c r="E4181" s="1"/>
      <c r="F4181" s="1" t="s">
        <v>351</v>
      </c>
      <c r="G4181">
        <v>2014</v>
      </c>
      <c r="H4181">
        <v>62.98</v>
      </c>
      <c r="I4181">
        <v>12</v>
      </c>
      <c r="J4181" s="1" t="s">
        <v>421</v>
      </c>
      <c r="K4181">
        <v>0</v>
      </c>
      <c r="L4181">
        <v>0</v>
      </c>
      <c r="M4181">
        <v>629.79999999999995</v>
      </c>
      <c r="N4181">
        <v>3</v>
      </c>
      <c r="O4181" s="1" t="s">
        <v>560</v>
      </c>
      <c r="P4181">
        <v>62.98</v>
      </c>
      <c r="Q4181">
        <v>50.39</v>
      </c>
      <c r="R4181">
        <v>1</v>
      </c>
      <c r="S4181" s="1" t="s">
        <v>725</v>
      </c>
      <c r="T4181" s="1"/>
      <c r="U4181">
        <v>62.982469999999999</v>
      </c>
      <c r="V4181">
        <v>0</v>
      </c>
      <c r="W4181">
        <v>60571</v>
      </c>
    </row>
    <row r="4182" spans="1:23" x14ac:dyDescent="0.25">
      <c r="A4182" s="1" t="s">
        <v>40</v>
      </c>
      <c r="B4182" s="1" t="s">
        <v>86</v>
      </c>
      <c r="C4182" s="1" t="s">
        <v>213</v>
      </c>
      <c r="D4182">
        <v>6027</v>
      </c>
      <c r="E4182" s="1"/>
      <c r="F4182" s="1" t="s">
        <v>351</v>
      </c>
      <c r="G4182">
        <v>2014</v>
      </c>
      <c r="H4182">
        <v>0</v>
      </c>
      <c r="I4182">
        <v>12</v>
      </c>
      <c r="J4182" s="1" t="s">
        <v>421</v>
      </c>
      <c r="K4182">
        <v>0</v>
      </c>
      <c r="L4182">
        <v>0</v>
      </c>
      <c r="M4182">
        <v>0</v>
      </c>
      <c r="N4182">
        <v>3</v>
      </c>
      <c r="O4182" s="1" t="s">
        <v>560</v>
      </c>
      <c r="P4182">
        <v>0</v>
      </c>
      <c r="Q4182">
        <v>0</v>
      </c>
      <c r="R4182">
        <v>1</v>
      </c>
      <c r="S4182" s="1" t="s">
        <v>726</v>
      </c>
      <c r="T4182" s="1"/>
      <c r="U4182">
        <v>0</v>
      </c>
      <c r="V4182">
        <v>0</v>
      </c>
      <c r="W4182">
        <v>60572</v>
      </c>
    </row>
    <row r="4183" spans="1:23" x14ac:dyDescent="0.25">
      <c r="A4183" s="1" t="s">
        <v>40</v>
      </c>
      <c r="B4183" s="1" t="s">
        <v>86</v>
      </c>
      <c r="C4183" s="1" t="s">
        <v>213</v>
      </c>
      <c r="D4183">
        <v>6027</v>
      </c>
      <c r="E4183" s="1"/>
      <c r="F4183" s="1" t="s">
        <v>351</v>
      </c>
      <c r="G4183">
        <v>2014</v>
      </c>
      <c r="H4183">
        <v>0.03</v>
      </c>
      <c r="I4183">
        <v>12</v>
      </c>
      <c r="J4183" s="1" t="s">
        <v>421</v>
      </c>
      <c r="K4183">
        <v>0</v>
      </c>
      <c r="L4183">
        <v>0</v>
      </c>
      <c r="M4183">
        <v>0.3</v>
      </c>
      <c r="N4183">
        <v>3</v>
      </c>
      <c r="O4183" s="1" t="s">
        <v>560</v>
      </c>
      <c r="P4183">
        <v>0.03</v>
      </c>
      <c r="Q4183">
        <v>0.03</v>
      </c>
      <c r="R4183">
        <v>1</v>
      </c>
      <c r="S4183" s="1" t="s">
        <v>727</v>
      </c>
      <c r="T4183" s="1"/>
      <c r="U4183">
        <v>3.2259999999999997E-2</v>
      </c>
      <c r="V4183">
        <v>0</v>
      </c>
      <c r="W4183">
        <v>60573</v>
      </c>
    </row>
    <row r="4184" spans="1:23" x14ac:dyDescent="0.25">
      <c r="A4184" s="1" t="s">
        <v>40</v>
      </c>
      <c r="B4184" s="1" t="s">
        <v>86</v>
      </c>
      <c r="C4184" s="1" t="s">
        <v>213</v>
      </c>
      <c r="D4184">
        <v>6027</v>
      </c>
      <c r="E4184" s="1"/>
      <c r="F4184" s="1" t="s">
        <v>351</v>
      </c>
      <c r="G4184">
        <v>2014</v>
      </c>
      <c r="H4184">
        <v>0</v>
      </c>
      <c r="I4184">
        <v>12</v>
      </c>
      <c r="J4184" s="1" t="s">
        <v>421</v>
      </c>
      <c r="K4184">
        <v>0</v>
      </c>
      <c r="L4184">
        <v>0</v>
      </c>
      <c r="M4184">
        <v>0</v>
      </c>
      <c r="N4184">
        <v>3</v>
      </c>
      <c r="O4184" s="1" t="s">
        <v>560</v>
      </c>
      <c r="P4184">
        <v>0</v>
      </c>
      <c r="Q4184">
        <v>0</v>
      </c>
      <c r="R4184">
        <v>1</v>
      </c>
      <c r="S4184" s="1" t="s">
        <v>728</v>
      </c>
      <c r="T4184" s="1"/>
      <c r="U4184">
        <v>0</v>
      </c>
      <c r="V4184">
        <v>0</v>
      </c>
      <c r="W4184">
        <v>60574</v>
      </c>
    </row>
    <row r="4185" spans="1:23" x14ac:dyDescent="0.25">
      <c r="A4185" s="1" t="s">
        <v>40</v>
      </c>
      <c r="B4185" s="1" t="s">
        <v>86</v>
      </c>
      <c r="C4185" s="1" t="s">
        <v>213</v>
      </c>
      <c r="D4185">
        <v>6027</v>
      </c>
      <c r="E4185" s="1"/>
      <c r="F4185" s="1" t="s">
        <v>351</v>
      </c>
      <c r="G4185">
        <v>2014</v>
      </c>
      <c r="H4185">
        <v>176.02</v>
      </c>
      <c r="I4185">
        <v>12</v>
      </c>
      <c r="J4185" s="1" t="s">
        <v>421</v>
      </c>
      <c r="K4185">
        <v>0</v>
      </c>
      <c r="L4185">
        <v>0</v>
      </c>
      <c r="M4185">
        <v>1760.2</v>
      </c>
      <c r="N4185">
        <v>3</v>
      </c>
      <c r="O4185" s="1" t="s">
        <v>560</v>
      </c>
      <c r="P4185">
        <v>176.02</v>
      </c>
      <c r="Q4185">
        <v>140.82</v>
      </c>
      <c r="R4185">
        <v>1</v>
      </c>
      <c r="S4185" s="1" t="s">
        <v>729</v>
      </c>
      <c r="T4185" s="1"/>
      <c r="U4185">
        <v>176.01936000000001</v>
      </c>
      <c r="V4185">
        <v>0</v>
      </c>
      <c r="W4185">
        <v>60575</v>
      </c>
    </row>
    <row r="4186" spans="1:23" x14ac:dyDescent="0.25">
      <c r="A4186" s="1" t="s">
        <v>40</v>
      </c>
      <c r="B4186" s="1" t="s">
        <v>86</v>
      </c>
      <c r="C4186" s="1" t="s">
        <v>213</v>
      </c>
      <c r="D4186">
        <v>6027</v>
      </c>
      <c r="E4186" s="1"/>
      <c r="F4186" s="1" t="s">
        <v>351</v>
      </c>
      <c r="G4186">
        <v>2013</v>
      </c>
      <c r="H4186">
        <v>36.06</v>
      </c>
      <c r="I4186">
        <v>12</v>
      </c>
      <c r="J4186" s="1" t="s">
        <v>421</v>
      </c>
      <c r="K4186">
        <v>0</v>
      </c>
      <c r="L4186">
        <v>0</v>
      </c>
      <c r="M4186">
        <v>360.6</v>
      </c>
      <c r="N4186">
        <v>3</v>
      </c>
      <c r="O4186" s="1" t="s">
        <v>560</v>
      </c>
      <c r="P4186">
        <v>36.06</v>
      </c>
      <c r="Q4186">
        <v>28.84</v>
      </c>
      <c r="R4186">
        <v>1</v>
      </c>
      <c r="S4186" s="1" t="s">
        <v>723</v>
      </c>
      <c r="T4186" s="1"/>
      <c r="U4186">
        <v>36.055970000000002</v>
      </c>
      <c r="V4186">
        <v>0</v>
      </c>
      <c r="W4186">
        <v>60568</v>
      </c>
    </row>
    <row r="4187" spans="1:23" x14ac:dyDescent="0.25">
      <c r="A4187" s="1" t="s">
        <v>40</v>
      </c>
      <c r="B4187" s="1" t="s">
        <v>86</v>
      </c>
      <c r="C4187" s="1" t="s">
        <v>213</v>
      </c>
      <c r="D4187">
        <v>6027</v>
      </c>
      <c r="E4187" s="1"/>
      <c r="F4187" s="1" t="s">
        <v>351</v>
      </c>
      <c r="G4187">
        <v>2013</v>
      </c>
      <c r="H4187">
        <v>171.51</v>
      </c>
      <c r="I4187">
        <v>12</v>
      </c>
      <c r="J4187" s="1" t="s">
        <v>421</v>
      </c>
      <c r="K4187">
        <v>0</v>
      </c>
      <c r="L4187">
        <v>0</v>
      </c>
      <c r="M4187">
        <v>1715.1</v>
      </c>
      <c r="N4187">
        <v>3</v>
      </c>
      <c r="O4187" s="1" t="s">
        <v>560</v>
      </c>
      <c r="P4187">
        <v>171.51</v>
      </c>
      <c r="Q4187">
        <v>137.21</v>
      </c>
      <c r="R4187">
        <v>1</v>
      </c>
      <c r="S4187" s="1" t="s">
        <v>724</v>
      </c>
      <c r="T4187" s="1"/>
      <c r="U4187">
        <v>171.51519999999999</v>
      </c>
      <c r="V4187">
        <v>0</v>
      </c>
      <c r="W4187">
        <v>60570</v>
      </c>
    </row>
    <row r="4188" spans="1:23" x14ac:dyDescent="0.25">
      <c r="A4188" s="1" t="s">
        <v>40</v>
      </c>
      <c r="B4188" s="1" t="s">
        <v>86</v>
      </c>
      <c r="C4188" s="1" t="s">
        <v>213</v>
      </c>
      <c r="D4188">
        <v>6027</v>
      </c>
      <c r="E4188" s="1"/>
      <c r="F4188" s="1" t="s">
        <v>351</v>
      </c>
      <c r="G4188">
        <v>2013</v>
      </c>
      <c r="H4188">
        <v>54.98</v>
      </c>
      <c r="I4188">
        <v>12</v>
      </c>
      <c r="J4188" s="1" t="s">
        <v>421</v>
      </c>
      <c r="K4188">
        <v>0</v>
      </c>
      <c r="L4188">
        <v>0</v>
      </c>
      <c r="M4188">
        <v>549.79999999999995</v>
      </c>
      <c r="N4188">
        <v>3</v>
      </c>
      <c r="O4188" s="1" t="s">
        <v>560</v>
      </c>
      <c r="P4188">
        <v>54.98</v>
      </c>
      <c r="Q4188">
        <v>44.01</v>
      </c>
      <c r="R4188">
        <v>1</v>
      </c>
      <c r="S4188" s="1" t="s">
        <v>725</v>
      </c>
      <c r="T4188" s="1"/>
      <c r="U4188">
        <v>54.99145</v>
      </c>
      <c r="V4188">
        <v>0</v>
      </c>
      <c r="W4188">
        <v>60571</v>
      </c>
    </row>
    <row r="4189" spans="1:23" x14ac:dyDescent="0.25">
      <c r="A4189" s="1" t="s">
        <v>40</v>
      </c>
      <c r="B4189" s="1" t="s">
        <v>86</v>
      </c>
      <c r="C4189" s="1" t="s">
        <v>213</v>
      </c>
      <c r="D4189">
        <v>6027</v>
      </c>
      <c r="E4189" s="1"/>
      <c r="F4189" s="1" t="s">
        <v>351</v>
      </c>
      <c r="G4189">
        <v>2013</v>
      </c>
      <c r="H4189">
        <v>0</v>
      </c>
      <c r="I4189">
        <v>12</v>
      </c>
      <c r="J4189" s="1" t="s">
        <v>421</v>
      </c>
      <c r="K4189">
        <v>0</v>
      </c>
      <c r="L4189">
        <v>0</v>
      </c>
      <c r="M4189">
        <v>0</v>
      </c>
      <c r="N4189">
        <v>3</v>
      </c>
      <c r="O4189" s="1" t="s">
        <v>560</v>
      </c>
      <c r="P4189">
        <v>0</v>
      </c>
      <c r="Q4189">
        <v>0</v>
      </c>
      <c r="R4189">
        <v>1</v>
      </c>
      <c r="S4189" s="1" t="s">
        <v>726</v>
      </c>
      <c r="T4189" s="1"/>
      <c r="U4189">
        <v>0</v>
      </c>
      <c r="V4189">
        <v>0</v>
      </c>
      <c r="W4189">
        <v>60572</v>
      </c>
    </row>
    <row r="4190" spans="1:23" x14ac:dyDescent="0.25">
      <c r="A4190" s="1" t="s">
        <v>40</v>
      </c>
      <c r="B4190" s="1" t="s">
        <v>86</v>
      </c>
      <c r="C4190" s="1" t="s">
        <v>213</v>
      </c>
      <c r="D4190">
        <v>6027</v>
      </c>
      <c r="E4190" s="1"/>
      <c r="F4190" s="1" t="s">
        <v>351</v>
      </c>
      <c r="G4190">
        <v>2013</v>
      </c>
      <c r="H4190">
        <v>0.97</v>
      </c>
      <c r="I4190">
        <v>12</v>
      </c>
      <c r="J4190" s="1" t="s">
        <v>421</v>
      </c>
      <c r="K4190">
        <v>0</v>
      </c>
      <c r="L4190">
        <v>0</v>
      </c>
      <c r="M4190">
        <v>9.6999999999999993</v>
      </c>
      <c r="N4190">
        <v>3</v>
      </c>
      <c r="O4190" s="1" t="s">
        <v>560</v>
      </c>
      <c r="P4190">
        <v>0.97</v>
      </c>
      <c r="Q4190">
        <v>0.77</v>
      </c>
      <c r="R4190">
        <v>1</v>
      </c>
      <c r="S4190" s="1" t="s">
        <v>727</v>
      </c>
      <c r="T4190" s="1"/>
      <c r="U4190">
        <v>0.96774000000000004</v>
      </c>
      <c r="V4190">
        <v>0</v>
      </c>
      <c r="W4190">
        <v>60573</v>
      </c>
    </row>
    <row r="4191" spans="1:23" x14ac:dyDescent="0.25">
      <c r="A4191" s="1" t="s">
        <v>40</v>
      </c>
      <c r="B4191" s="1" t="s">
        <v>86</v>
      </c>
      <c r="C4191" s="1" t="s">
        <v>213</v>
      </c>
      <c r="D4191">
        <v>6027</v>
      </c>
      <c r="E4191" s="1"/>
      <c r="F4191" s="1" t="s">
        <v>351</v>
      </c>
      <c r="G4191">
        <v>2013</v>
      </c>
      <c r="H4191">
        <v>10</v>
      </c>
      <c r="I4191">
        <v>12</v>
      </c>
      <c r="J4191" s="1" t="s">
        <v>421</v>
      </c>
      <c r="K4191">
        <v>0</v>
      </c>
      <c r="L4191">
        <v>0</v>
      </c>
      <c r="M4191">
        <v>100</v>
      </c>
      <c r="N4191">
        <v>3</v>
      </c>
      <c r="O4191" s="1" t="s">
        <v>560</v>
      </c>
      <c r="P4191">
        <v>10</v>
      </c>
      <c r="Q4191">
        <v>8</v>
      </c>
      <c r="R4191">
        <v>1</v>
      </c>
      <c r="S4191" s="1" t="s">
        <v>728</v>
      </c>
      <c r="T4191" s="1"/>
      <c r="U4191">
        <v>10</v>
      </c>
      <c r="V4191">
        <v>0</v>
      </c>
      <c r="W4191">
        <v>60574</v>
      </c>
    </row>
    <row r="4192" spans="1:23" x14ac:dyDescent="0.25">
      <c r="A4192" s="1" t="s">
        <v>40</v>
      </c>
      <c r="B4192" s="1" t="s">
        <v>86</v>
      </c>
      <c r="C4192" s="1" t="s">
        <v>213</v>
      </c>
      <c r="D4192">
        <v>6027</v>
      </c>
      <c r="E4192" s="1"/>
      <c r="F4192" s="1" t="s">
        <v>351</v>
      </c>
      <c r="G4192">
        <v>2013</v>
      </c>
      <c r="H4192">
        <v>190.78</v>
      </c>
      <c r="I4192">
        <v>12</v>
      </c>
      <c r="J4192" s="1" t="s">
        <v>421</v>
      </c>
      <c r="K4192">
        <v>0</v>
      </c>
      <c r="L4192">
        <v>0</v>
      </c>
      <c r="M4192">
        <v>1907.8</v>
      </c>
      <c r="N4192">
        <v>3</v>
      </c>
      <c r="O4192" s="1" t="s">
        <v>560</v>
      </c>
      <c r="P4192">
        <v>190.78</v>
      </c>
      <c r="Q4192">
        <v>152.6</v>
      </c>
      <c r="R4192">
        <v>1</v>
      </c>
      <c r="S4192" s="1" t="s">
        <v>729</v>
      </c>
      <c r="T4192" s="1"/>
      <c r="U4192">
        <v>190.75711000000001</v>
      </c>
      <c r="V4192">
        <v>0</v>
      </c>
      <c r="W4192">
        <v>60575</v>
      </c>
    </row>
    <row r="4193" spans="1:23" x14ac:dyDescent="0.25">
      <c r="A4193" s="1" t="s">
        <v>40</v>
      </c>
      <c r="B4193" s="1" t="s">
        <v>86</v>
      </c>
      <c r="C4193" s="1" t="s">
        <v>213</v>
      </c>
      <c r="D4193">
        <v>6027</v>
      </c>
      <c r="E4193" s="1"/>
      <c r="F4193" s="1" t="s">
        <v>351</v>
      </c>
      <c r="G4193">
        <v>2012</v>
      </c>
      <c r="H4193">
        <v>30.01</v>
      </c>
      <c r="I4193">
        <v>12</v>
      </c>
      <c r="J4193" s="1" t="s">
        <v>421</v>
      </c>
      <c r="K4193">
        <v>0</v>
      </c>
      <c r="L4193">
        <v>0</v>
      </c>
      <c r="M4193">
        <v>300.10000000000002</v>
      </c>
      <c r="N4193">
        <v>3</v>
      </c>
      <c r="O4193" s="1" t="s">
        <v>560</v>
      </c>
      <c r="P4193">
        <v>30.01</v>
      </c>
      <c r="Q4193">
        <v>24.01</v>
      </c>
      <c r="R4193">
        <v>1</v>
      </c>
      <c r="S4193" s="1" t="s">
        <v>723</v>
      </c>
      <c r="T4193" s="1"/>
      <c r="U4193">
        <v>30.002680000000002</v>
      </c>
      <c r="V4193">
        <v>0</v>
      </c>
      <c r="W4193">
        <v>60568</v>
      </c>
    </row>
    <row r="4194" spans="1:23" x14ac:dyDescent="0.25">
      <c r="A4194" s="1" t="s">
        <v>40</v>
      </c>
      <c r="B4194" s="1" t="s">
        <v>86</v>
      </c>
      <c r="C4194" s="1" t="s">
        <v>213</v>
      </c>
      <c r="D4194">
        <v>6027</v>
      </c>
      <c r="E4194" s="1"/>
      <c r="F4194" s="1" t="s">
        <v>351</v>
      </c>
      <c r="G4194">
        <v>2012</v>
      </c>
      <c r="H4194">
        <v>217.44</v>
      </c>
      <c r="I4194">
        <v>12</v>
      </c>
      <c r="J4194" s="1" t="s">
        <v>421</v>
      </c>
      <c r="K4194">
        <v>0</v>
      </c>
      <c r="L4194">
        <v>0</v>
      </c>
      <c r="M4194">
        <v>2174.4</v>
      </c>
      <c r="N4194">
        <v>3</v>
      </c>
      <c r="O4194" s="1" t="s">
        <v>560</v>
      </c>
      <c r="P4194">
        <v>217.44</v>
      </c>
      <c r="Q4194">
        <v>173.96</v>
      </c>
      <c r="R4194">
        <v>1</v>
      </c>
      <c r="S4194" s="1" t="s">
        <v>724</v>
      </c>
      <c r="T4194" s="1"/>
      <c r="U4194">
        <v>217.44474</v>
      </c>
      <c r="V4194">
        <v>0</v>
      </c>
      <c r="W4194">
        <v>60570</v>
      </c>
    </row>
    <row r="4195" spans="1:23" x14ac:dyDescent="0.25">
      <c r="A4195" s="1" t="s">
        <v>40</v>
      </c>
      <c r="B4195" s="1" t="s">
        <v>86</v>
      </c>
      <c r="C4195" s="1" t="s">
        <v>213</v>
      </c>
      <c r="D4195">
        <v>6027</v>
      </c>
      <c r="E4195" s="1"/>
      <c r="F4195" s="1" t="s">
        <v>351</v>
      </c>
      <c r="G4195">
        <v>2012</v>
      </c>
      <c r="H4195">
        <v>40.950000000000003</v>
      </c>
      <c r="I4195">
        <v>12</v>
      </c>
      <c r="J4195" s="1" t="s">
        <v>421</v>
      </c>
      <c r="K4195">
        <v>0</v>
      </c>
      <c r="L4195">
        <v>0</v>
      </c>
      <c r="M4195">
        <v>409.5</v>
      </c>
      <c r="N4195">
        <v>3</v>
      </c>
      <c r="O4195" s="1" t="s">
        <v>560</v>
      </c>
      <c r="P4195">
        <v>40.950000000000003</v>
      </c>
      <c r="Q4195">
        <v>32.75</v>
      </c>
      <c r="R4195">
        <v>1</v>
      </c>
      <c r="S4195" s="1" t="s">
        <v>725</v>
      </c>
      <c r="T4195" s="1"/>
      <c r="U4195">
        <v>40.942059999999998</v>
      </c>
      <c r="V4195">
        <v>0</v>
      </c>
      <c r="W4195">
        <v>60571</v>
      </c>
    </row>
    <row r="4196" spans="1:23" x14ac:dyDescent="0.25">
      <c r="A4196" s="1" t="s">
        <v>40</v>
      </c>
      <c r="B4196" s="1" t="s">
        <v>86</v>
      </c>
      <c r="C4196" s="1" t="s">
        <v>213</v>
      </c>
      <c r="D4196">
        <v>6027</v>
      </c>
      <c r="E4196" s="1"/>
      <c r="F4196" s="1" t="s">
        <v>351</v>
      </c>
      <c r="G4196">
        <v>2012</v>
      </c>
      <c r="H4196">
        <v>0</v>
      </c>
      <c r="I4196">
        <v>12</v>
      </c>
      <c r="J4196" s="1" t="s">
        <v>421</v>
      </c>
      <c r="K4196">
        <v>0</v>
      </c>
      <c r="L4196">
        <v>0</v>
      </c>
      <c r="M4196">
        <v>0</v>
      </c>
      <c r="N4196">
        <v>3</v>
      </c>
      <c r="O4196" s="1" t="s">
        <v>560</v>
      </c>
      <c r="P4196">
        <v>0</v>
      </c>
      <c r="Q4196">
        <v>0</v>
      </c>
      <c r="R4196">
        <v>1</v>
      </c>
      <c r="S4196" s="1" t="s">
        <v>726</v>
      </c>
      <c r="T4196" s="1"/>
      <c r="U4196">
        <v>0</v>
      </c>
      <c r="V4196">
        <v>0</v>
      </c>
      <c r="W4196">
        <v>60572</v>
      </c>
    </row>
    <row r="4197" spans="1:23" x14ac:dyDescent="0.25">
      <c r="A4197" s="1" t="s">
        <v>40</v>
      </c>
      <c r="B4197" s="1" t="s">
        <v>86</v>
      </c>
      <c r="C4197" s="1" t="s">
        <v>213</v>
      </c>
      <c r="D4197">
        <v>6027</v>
      </c>
      <c r="E4197" s="1"/>
      <c r="F4197" s="1" t="s">
        <v>351</v>
      </c>
      <c r="G4197">
        <v>2012</v>
      </c>
      <c r="H4197">
        <v>1</v>
      </c>
      <c r="I4197">
        <v>12</v>
      </c>
      <c r="J4197" s="1" t="s">
        <v>421</v>
      </c>
      <c r="K4197">
        <v>0</v>
      </c>
      <c r="L4197">
        <v>0</v>
      </c>
      <c r="M4197">
        <v>10</v>
      </c>
      <c r="N4197">
        <v>3</v>
      </c>
      <c r="O4197" s="1" t="s">
        <v>560</v>
      </c>
      <c r="P4197">
        <v>1</v>
      </c>
      <c r="Q4197">
        <v>0.81</v>
      </c>
      <c r="R4197">
        <v>1</v>
      </c>
      <c r="S4197" s="1" t="s">
        <v>727</v>
      </c>
      <c r="T4197" s="1"/>
      <c r="U4197">
        <v>1</v>
      </c>
      <c r="V4197">
        <v>0</v>
      </c>
      <c r="W4197">
        <v>60573</v>
      </c>
    </row>
    <row r="4198" spans="1:23" x14ac:dyDescent="0.25">
      <c r="A4198" s="1" t="s">
        <v>40</v>
      </c>
      <c r="B4198" s="1" t="s">
        <v>86</v>
      </c>
      <c r="C4198" s="1" t="s">
        <v>213</v>
      </c>
      <c r="D4198">
        <v>6027</v>
      </c>
      <c r="E4198" s="1"/>
      <c r="F4198" s="1" t="s">
        <v>351</v>
      </c>
      <c r="G4198">
        <v>2012</v>
      </c>
      <c r="H4198">
        <v>1</v>
      </c>
      <c r="I4198">
        <v>12</v>
      </c>
      <c r="J4198" s="1" t="s">
        <v>421</v>
      </c>
      <c r="K4198">
        <v>0</v>
      </c>
      <c r="L4198">
        <v>0</v>
      </c>
      <c r="M4198">
        <v>10</v>
      </c>
      <c r="N4198">
        <v>3</v>
      </c>
      <c r="O4198" s="1" t="s">
        <v>560</v>
      </c>
      <c r="P4198">
        <v>1</v>
      </c>
      <c r="Q4198">
        <v>0.8</v>
      </c>
      <c r="R4198">
        <v>1</v>
      </c>
      <c r="S4198" s="1" t="s">
        <v>728</v>
      </c>
      <c r="T4198" s="1"/>
      <c r="U4198">
        <v>1</v>
      </c>
      <c r="V4198">
        <v>0</v>
      </c>
      <c r="W4198">
        <v>60574</v>
      </c>
    </row>
    <row r="4199" spans="1:23" x14ac:dyDescent="0.25">
      <c r="A4199" s="1" t="s">
        <v>40</v>
      </c>
      <c r="B4199" s="1" t="s">
        <v>86</v>
      </c>
      <c r="C4199" s="1" t="s">
        <v>213</v>
      </c>
      <c r="D4199">
        <v>6027</v>
      </c>
      <c r="E4199" s="1"/>
      <c r="F4199" s="1" t="s">
        <v>351</v>
      </c>
      <c r="G4199">
        <v>2012</v>
      </c>
      <c r="H4199">
        <v>112.98</v>
      </c>
      <c r="I4199">
        <v>12</v>
      </c>
      <c r="J4199" s="1" t="s">
        <v>421</v>
      </c>
      <c r="K4199">
        <v>0</v>
      </c>
      <c r="L4199">
        <v>0</v>
      </c>
      <c r="M4199">
        <v>1129.8</v>
      </c>
      <c r="N4199">
        <v>3</v>
      </c>
      <c r="O4199" s="1" t="s">
        <v>560</v>
      </c>
      <c r="P4199">
        <v>112.98</v>
      </c>
      <c r="Q4199">
        <v>90.39</v>
      </c>
      <c r="R4199">
        <v>1</v>
      </c>
      <c r="S4199" s="1" t="s">
        <v>729</v>
      </c>
      <c r="T4199" s="1"/>
      <c r="U4199">
        <v>112.97504000000001</v>
      </c>
      <c r="V4199">
        <v>0</v>
      </c>
      <c r="W4199">
        <v>60575</v>
      </c>
    </row>
    <row r="4200" spans="1:23" x14ac:dyDescent="0.25">
      <c r="A4200" s="1" t="s">
        <v>40</v>
      </c>
      <c r="B4200" s="1" t="s">
        <v>86</v>
      </c>
      <c r="C4200" s="1" t="s">
        <v>213</v>
      </c>
      <c r="D4200">
        <v>6027</v>
      </c>
      <c r="E4200" s="1"/>
      <c r="F4200" s="1" t="s">
        <v>351</v>
      </c>
      <c r="G4200">
        <v>2011</v>
      </c>
      <c r="H4200">
        <v>37.96</v>
      </c>
      <c r="I4200">
        <v>12</v>
      </c>
      <c r="J4200" s="1" t="s">
        <v>421</v>
      </c>
      <c r="K4200">
        <v>0</v>
      </c>
      <c r="L4200">
        <v>0</v>
      </c>
      <c r="M4200">
        <v>379.6</v>
      </c>
      <c r="N4200">
        <v>3</v>
      </c>
      <c r="O4200" s="1" t="s">
        <v>560</v>
      </c>
      <c r="P4200">
        <v>37.96</v>
      </c>
      <c r="Q4200">
        <v>30.37</v>
      </c>
      <c r="R4200">
        <v>1</v>
      </c>
      <c r="S4200" s="1" t="s">
        <v>723</v>
      </c>
      <c r="T4200" s="1"/>
      <c r="U4200">
        <v>37.96969</v>
      </c>
      <c r="V4200">
        <v>0</v>
      </c>
      <c r="W4200">
        <v>60568</v>
      </c>
    </row>
    <row r="4201" spans="1:23" x14ac:dyDescent="0.25">
      <c r="A4201" s="1" t="s">
        <v>40</v>
      </c>
      <c r="B4201" s="1" t="s">
        <v>86</v>
      </c>
      <c r="C4201" s="1" t="s">
        <v>213</v>
      </c>
      <c r="D4201">
        <v>6027</v>
      </c>
      <c r="E4201" s="1"/>
      <c r="F4201" s="1" t="s">
        <v>351</v>
      </c>
      <c r="G4201">
        <v>2011</v>
      </c>
      <c r="H4201">
        <v>125</v>
      </c>
      <c r="I4201">
        <v>12</v>
      </c>
      <c r="J4201" s="1" t="s">
        <v>421</v>
      </c>
      <c r="K4201">
        <v>0</v>
      </c>
      <c r="L4201">
        <v>0</v>
      </c>
      <c r="M4201">
        <v>1250</v>
      </c>
      <c r="N4201">
        <v>3</v>
      </c>
      <c r="O4201" s="1" t="s">
        <v>560</v>
      </c>
      <c r="P4201">
        <v>125</v>
      </c>
      <c r="Q4201">
        <v>100.02</v>
      </c>
      <c r="R4201">
        <v>1</v>
      </c>
      <c r="S4201" s="1" t="s">
        <v>724</v>
      </c>
      <c r="T4201" s="1"/>
      <c r="U4201">
        <v>124.99999</v>
      </c>
      <c r="V4201">
        <v>0</v>
      </c>
      <c r="W4201">
        <v>60570</v>
      </c>
    </row>
    <row r="4202" spans="1:23" x14ac:dyDescent="0.25">
      <c r="A4202" s="1" t="s">
        <v>40</v>
      </c>
      <c r="B4202" s="1" t="s">
        <v>86</v>
      </c>
      <c r="C4202" s="1" t="s">
        <v>213</v>
      </c>
      <c r="D4202">
        <v>6027</v>
      </c>
      <c r="E4202" s="1"/>
      <c r="F4202" s="1" t="s">
        <v>351</v>
      </c>
      <c r="G4202">
        <v>2011</v>
      </c>
      <c r="H4202">
        <v>36.04</v>
      </c>
      <c r="I4202">
        <v>12</v>
      </c>
      <c r="J4202" s="1" t="s">
        <v>421</v>
      </c>
      <c r="K4202">
        <v>0</v>
      </c>
      <c r="L4202">
        <v>0</v>
      </c>
      <c r="M4202">
        <v>360.4</v>
      </c>
      <c r="N4202">
        <v>3</v>
      </c>
      <c r="O4202" s="1" t="s">
        <v>560</v>
      </c>
      <c r="P4202">
        <v>36.04</v>
      </c>
      <c r="Q4202">
        <v>28.81</v>
      </c>
      <c r="R4202">
        <v>1</v>
      </c>
      <c r="S4202" s="1" t="s">
        <v>725</v>
      </c>
      <c r="T4202" s="1"/>
      <c r="U4202">
        <v>36.030290000000001</v>
      </c>
      <c r="V4202">
        <v>0</v>
      </c>
      <c r="W4202">
        <v>60571</v>
      </c>
    </row>
    <row r="4203" spans="1:23" x14ac:dyDescent="0.25">
      <c r="A4203" s="1" t="s">
        <v>40</v>
      </c>
      <c r="B4203" s="1" t="s">
        <v>86</v>
      </c>
      <c r="C4203" s="1" t="s">
        <v>213</v>
      </c>
      <c r="D4203">
        <v>6027</v>
      </c>
      <c r="E4203" s="1"/>
      <c r="F4203" s="1" t="s">
        <v>351</v>
      </c>
      <c r="G4203">
        <v>2011</v>
      </c>
      <c r="H4203">
        <v>0</v>
      </c>
      <c r="I4203">
        <v>12</v>
      </c>
      <c r="J4203" s="1" t="s">
        <v>421</v>
      </c>
      <c r="K4203">
        <v>0</v>
      </c>
      <c r="L4203">
        <v>0</v>
      </c>
      <c r="M4203">
        <v>0</v>
      </c>
      <c r="N4203">
        <v>3</v>
      </c>
      <c r="O4203" s="1" t="s">
        <v>560</v>
      </c>
      <c r="P4203">
        <v>0</v>
      </c>
      <c r="Q4203">
        <v>0</v>
      </c>
      <c r="R4203">
        <v>1</v>
      </c>
      <c r="S4203" s="1" t="s">
        <v>726</v>
      </c>
      <c r="T4203" s="1"/>
      <c r="U4203">
        <v>0</v>
      </c>
      <c r="V4203">
        <v>0</v>
      </c>
      <c r="W4203">
        <v>60572</v>
      </c>
    </row>
    <row r="4204" spans="1:23" x14ac:dyDescent="0.25">
      <c r="A4204" s="1" t="s">
        <v>40</v>
      </c>
      <c r="B4204" s="1" t="s">
        <v>86</v>
      </c>
      <c r="C4204" s="1" t="s">
        <v>213</v>
      </c>
      <c r="D4204">
        <v>6027</v>
      </c>
      <c r="E4204" s="1"/>
      <c r="F4204" s="1" t="s">
        <v>351</v>
      </c>
      <c r="G4204">
        <v>2011</v>
      </c>
      <c r="H4204">
        <v>0</v>
      </c>
      <c r="I4204">
        <v>12</v>
      </c>
      <c r="J4204" s="1" t="s">
        <v>421</v>
      </c>
      <c r="K4204">
        <v>0</v>
      </c>
      <c r="L4204">
        <v>0</v>
      </c>
      <c r="M4204">
        <v>0</v>
      </c>
      <c r="N4204">
        <v>3</v>
      </c>
      <c r="O4204" s="1" t="s">
        <v>560</v>
      </c>
      <c r="P4204">
        <v>0</v>
      </c>
      <c r="Q4204">
        <v>0</v>
      </c>
      <c r="R4204">
        <v>1</v>
      </c>
      <c r="S4204" s="1" t="s">
        <v>727</v>
      </c>
      <c r="T4204" s="1"/>
      <c r="U4204">
        <v>0</v>
      </c>
      <c r="V4204">
        <v>0</v>
      </c>
      <c r="W4204">
        <v>60573</v>
      </c>
    </row>
    <row r="4205" spans="1:23" x14ac:dyDescent="0.25">
      <c r="A4205" s="1" t="s">
        <v>40</v>
      </c>
      <c r="B4205" s="1" t="s">
        <v>86</v>
      </c>
      <c r="C4205" s="1" t="s">
        <v>213</v>
      </c>
      <c r="D4205">
        <v>6027</v>
      </c>
      <c r="E4205" s="1"/>
      <c r="F4205" s="1" t="s">
        <v>351</v>
      </c>
      <c r="G4205">
        <v>2011</v>
      </c>
      <c r="H4205">
        <v>1</v>
      </c>
      <c r="I4205">
        <v>12</v>
      </c>
      <c r="J4205" s="1" t="s">
        <v>421</v>
      </c>
      <c r="K4205">
        <v>0</v>
      </c>
      <c r="L4205">
        <v>0</v>
      </c>
      <c r="M4205">
        <v>10</v>
      </c>
      <c r="N4205">
        <v>3</v>
      </c>
      <c r="O4205" s="1" t="s">
        <v>560</v>
      </c>
      <c r="P4205">
        <v>1</v>
      </c>
      <c r="Q4205">
        <v>0.8</v>
      </c>
      <c r="R4205">
        <v>1</v>
      </c>
      <c r="S4205" s="1" t="s">
        <v>728</v>
      </c>
      <c r="T4205" s="1"/>
      <c r="U4205">
        <v>1</v>
      </c>
      <c r="V4205">
        <v>0</v>
      </c>
      <c r="W4205">
        <v>60574</v>
      </c>
    </row>
    <row r="4206" spans="1:23" x14ac:dyDescent="0.25">
      <c r="A4206" s="1" t="s">
        <v>40</v>
      </c>
      <c r="B4206" s="1" t="s">
        <v>86</v>
      </c>
      <c r="C4206" s="1" t="s">
        <v>213</v>
      </c>
      <c r="D4206">
        <v>6027</v>
      </c>
      <c r="E4206" s="1"/>
      <c r="F4206" s="1" t="s">
        <v>351</v>
      </c>
      <c r="G4206">
        <v>2011</v>
      </c>
      <c r="H4206">
        <v>159.1</v>
      </c>
      <c r="I4206">
        <v>12</v>
      </c>
      <c r="J4206" s="1" t="s">
        <v>421</v>
      </c>
      <c r="K4206">
        <v>0</v>
      </c>
      <c r="L4206">
        <v>0</v>
      </c>
      <c r="M4206">
        <v>1591</v>
      </c>
      <c r="N4206">
        <v>3</v>
      </c>
      <c r="O4206" s="1" t="s">
        <v>560</v>
      </c>
      <c r="P4206">
        <v>159.1</v>
      </c>
      <c r="Q4206">
        <v>127.28</v>
      </c>
      <c r="R4206">
        <v>1</v>
      </c>
      <c r="S4206" s="1" t="s">
        <v>729</v>
      </c>
      <c r="T4206" s="1"/>
      <c r="U4206">
        <v>159.09091000000001</v>
      </c>
      <c r="V4206">
        <v>0</v>
      </c>
      <c r="W4206">
        <v>60575</v>
      </c>
    </row>
    <row r="4207" spans="1:23" x14ac:dyDescent="0.25">
      <c r="A4207" s="1" t="s">
        <v>40</v>
      </c>
      <c r="B4207" s="1" t="s">
        <v>86</v>
      </c>
      <c r="C4207" s="1" t="s">
        <v>213</v>
      </c>
      <c r="D4207">
        <v>6027</v>
      </c>
      <c r="E4207" s="1"/>
      <c r="F4207" s="1" t="s">
        <v>351</v>
      </c>
      <c r="G4207">
        <v>2010</v>
      </c>
      <c r="H4207">
        <v>33.47</v>
      </c>
      <c r="I4207">
        <v>12</v>
      </c>
      <c r="J4207" s="1" t="s">
        <v>421</v>
      </c>
      <c r="K4207">
        <v>0</v>
      </c>
      <c r="L4207">
        <v>0</v>
      </c>
      <c r="M4207">
        <v>334.7</v>
      </c>
      <c r="N4207">
        <v>3</v>
      </c>
      <c r="O4207" s="1" t="s">
        <v>560</v>
      </c>
      <c r="P4207">
        <v>33.47</v>
      </c>
      <c r="Q4207">
        <v>26.76</v>
      </c>
      <c r="R4207">
        <v>1</v>
      </c>
      <c r="S4207" s="1" t="s">
        <v>723</v>
      </c>
      <c r="T4207" s="1"/>
      <c r="U4207">
        <v>33.468800000000002</v>
      </c>
      <c r="V4207">
        <v>0</v>
      </c>
      <c r="W4207">
        <v>60568</v>
      </c>
    </row>
    <row r="4208" spans="1:23" x14ac:dyDescent="0.25">
      <c r="A4208" s="1" t="s">
        <v>40</v>
      </c>
      <c r="B4208" s="1" t="s">
        <v>86</v>
      </c>
      <c r="C4208" s="1" t="s">
        <v>213</v>
      </c>
      <c r="D4208">
        <v>6027</v>
      </c>
      <c r="E4208" s="1"/>
      <c r="F4208" s="1" t="s">
        <v>351</v>
      </c>
      <c r="G4208">
        <v>2010</v>
      </c>
      <c r="H4208">
        <v>49.33</v>
      </c>
      <c r="I4208">
        <v>12</v>
      </c>
      <c r="J4208" s="1" t="s">
        <v>421</v>
      </c>
      <c r="K4208">
        <v>0</v>
      </c>
      <c r="L4208">
        <v>0</v>
      </c>
      <c r="M4208">
        <v>493.3</v>
      </c>
      <c r="N4208">
        <v>3</v>
      </c>
      <c r="O4208" s="1" t="s">
        <v>560</v>
      </c>
      <c r="P4208">
        <v>49.33</v>
      </c>
      <c r="Q4208">
        <v>39.46</v>
      </c>
      <c r="R4208">
        <v>1</v>
      </c>
      <c r="S4208" s="1" t="s">
        <v>724</v>
      </c>
      <c r="T4208" s="1"/>
      <c r="U4208">
        <v>49.319969999999998</v>
      </c>
      <c r="V4208">
        <v>0</v>
      </c>
      <c r="W4208">
        <v>60570</v>
      </c>
    </row>
    <row r="4209" spans="1:23" x14ac:dyDescent="0.25">
      <c r="A4209" s="1" t="s">
        <v>40</v>
      </c>
      <c r="B4209" s="1" t="s">
        <v>86</v>
      </c>
      <c r="C4209" s="1" t="s">
        <v>213</v>
      </c>
      <c r="D4209">
        <v>6027</v>
      </c>
      <c r="E4209" s="1"/>
      <c r="F4209" s="1" t="s">
        <v>351</v>
      </c>
      <c r="G4209">
        <v>2010</v>
      </c>
      <c r="H4209">
        <v>34.28</v>
      </c>
      <c r="I4209">
        <v>12</v>
      </c>
      <c r="J4209" s="1" t="s">
        <v>421</v>
      </c>
      <c r="K4209">
        <v>0</v>
      </c>
      <c r="L4209">
        <v>0</v>
      </c>
      <c r="M4209">
        <v>342.8</v>
      </c>
      <c r="N4209">
        <v>3</v>
      </c>
      <c r="O4209" s="1" t="s">
        <v>560</v>
      </c>
      <c r="P4209">
        <v>34.28</v>
      </c>
      <c r="Q4209">
        <v>27.43</v>
      </c>
      <c r="R4209">
        <v>1</v>
      </c>
      <c r="S4209" s="1" t="s">
        <v>725</v>
      </c>
      <c r="T4209" s="1"/>
      <c r="U4209">
        <v>34.292340000000003</v>
      </c>
      <c r="V4209">
        <v>0</v>
      </c>
      <c r="W4209">
        <v>60571</v>
      </c>
    </row>
    <row r="4210" spans="1:23" x14ac:dyDescent="0.25">
      <c r="A4210" s="1" t="s">
        <v>40</v>
      </c>
      <c r="B4210" s="1" t="s">
        <v>86</v>
      </c>
      <c r="C4210" s="1" t="s">
        <v>213</v>
      </c>
      <c r="D4210">
        <v>6027</v>
      </c>
      <c r="E4210" s="1"/>
      <c r="F4210" s="1" t="s">
        <v>351</v>
      </c>
      <c r="G4210">
        <v>2010</v>
      </c>
      <c r="H4210">
        <v>0</v>
      </c>
      <c r="I4210">
        <v>12</v>
      </c>
      <c r="J4210" s="1" t="s">
        <v>421</v>
      </c>
      <c r="K4210">
        <v>0</v>
      </c>
      <c r="L4210">
        <v>0</v>
      </c>
      <c r="M4210">
        <v>0</v>
      </c>
      <c r="N4210">
        <v>3</v>
      </c>
      <c r="O4210" s="1" t="s">
        <v>560</v>
      </c>
      <c r="P4210">
        <v>0</v>
      </c>
      <c r="Q4210">
        <v>0</v>
      </c>
      <c r="R4210">
        <v>1</v>
      </c>
      <c r="S4210" s="1" t="s">
        <v>726</v>
      </c>
      <c r="T4210" s="1"/>
      <c r="U4210">
        <v>0</v>
      </c>
      <c r="V4210">
        <v>0</v>
      </c>
      <c r="W4210">
        <v>60572</v>
      </c>
    </row>
    <row r="4211" spans="1:23" x14ac:dyDescent="0.25">
      <c r="A4211" s="1" t="s">
        <v>40</v>
      </c>
      <c r="B4211" s="1" t="s">
        <v>86</v>
      </c>
      <c r="C4211" s="1" t="s">
        <v>213</v>
      </c>
      <c r="D4211">
        <v>6027</v>
      </c>
      <c r="E4211" s="1"/>
      <c r="F4211" s="1" t="s">
        <v>351</v>
      </c>
      <c r="G4211">
        <v>2010</v>
      </c>
      <c r="H4211">
        <v>1</v>
      </c>
      <c r="I4211">
        <v>12</v>
      </c>
      <c r="J4211" s="1" t="s">
        <v>421</v>
      </c>
      <c r="K4211">
        <v>0</v>
      </c>
      <c r="L4211">
        <v>0</v>
      </c>
      <c r="M4211">
        <v>10</v>
      </c>
      <c r="N4211">
        <v>3</v>
      </c>
      <c r="O4211" s="1" t="s">
        <v>560</v>
      </c>
      <c r="P4211">
        <v>1</v>
      </c>
      <c r="Q4211">
        <v>0.8</v>
      </c>
      <c r="R4211">
        <v>1</v>
      </c>
      <c r="S4211" s="1" t="s">
        <v>727</v>
      </c>
      <c r="T4211" s="1"/>
      <c r="U4211">
        <v>1</v>
      </c>
      <c r="V4211">
        <v>0</v>
      </c>
      <c r="W4211">
        <v>60573</v>
      </c>
    </row>
    <row r="4212" spans="1:23" x14ac:dyDescent="0.25">
      <c r="A4212" s="1" t="s">
        <v>40</v>
      </c>
      <c r="B4212" s="1" t="s">
        <v>86</v>
      </c>
      <c r="C4212" s="1" t="s">
        <v>213</v>
      </c>
      <c r="D4212">
        <v>6027</v>
      </c>
      <c r="E4212" s="1"/>
      <c r="F4212" s="1" t="s">
        <v>351</v>
      </c>
      <c r="G4212">
        <v>2010</v>
      </c>
      <c r="H4212">
        <v>1</v>
      </c>
      <c r="I4212">
        <v>12</v>
      </c>
      <c r="J4212" s="1" t="s">
        <v>421</v>
      </c>
      <c r="K4212">
        <v>0</v>
      </c>
      <c r="L4212">
        <v>0</v>
      </c>
      <c r="M4212">
        <v>10</v>
      </c>
      <c r="N4212">
        <v>3</v>
      </c>
      <c r="O4212" s="1" t="s">
        <v>560</v>
      </c>
      <c r="P4212">
        <v>1</v>
      </c>
      <c r="Q4212">
        <v>0.8</v>
      </c>
      <c r="R4212">
        <v>1</v>
      </c>
      <c r="S4212" s="1" t="s">
        <v>728</v>
      </c>
      <c r="T4212" s="1"/>
      <c r="U4212">
        <v>1</v>
      </c>
      <c r="V4212">
        <v>0</v>
      </c>
      <c r="W4212">
        <v>60574</v>
      </c>
    </row>
    <row r="4213" spans="1:23" x14ac:dyDescent="0.25">
      <c r="A4213" s="1" t="s">
        <v>40</v>
      </c>
      <c r="B4213" s="1" t="s">
        <v>86</v>
      </c>
      <c r="C4213" s="1" t="s">
        <v>213</v>
      </c>
      <c r="D4213">
        <v>6027</v>
      </c>
      <c r="E4213" s="1"/>
      <c r="F4213" s="1" t="s">
        <v>351</v>
      </c>
      <c r="G4213">
        <v>2010</v>
      </c>
      <c r="H4213">
        <v>155.81</v>
      </c>
      <c r="I4213">
        <v>12</v>
      </c>
      <c r="J4213" s="1" t="s">
        <v>421</v>
      </c>
      <c r="K4213">
        <v>0</v>
      </c>
      <c r="L4213">
        <v>0</v>
      </c>
      <c r="M4213">
        <v>1558.1</v>
      </c>
      <c r="N4213">
        <v>3</v>
      </c>
      <c r="O4213" s="1" t="s">
        <v>560</v>
      </c>
      <c r="P4213">
        <v>155.81</v>
      </c>
      <c r="Q4213">
        <v>124.66</v>
      </c>
      <c r="R4213">
        <v>1</v>
      </c>
      <c r="S4213" s="1" t="s">
        <v>729</v>
      </c>
      <c r="T4213" s="1"/>
      <c r="U4213">
        <v>155.81640999999999</v>
      </c>
      <c r="V4213">
        <v>0</v>
      </c>
      <c r="W4213">
        <v>60575</v>
      </c>
    </row>
    <row r="4214" spans="1:23" x14ac:dyDescent="0.25">
      <c r="A4214" s="1" t="s">
        <v>40</v>
      </c>
      <c r="B4214" s="1" t="s">
        <v>86</v>
      </c>
      <c r="C4214" s="1" t="s">
        <v>213</v>
      </c>
      <c r="D4214">
        <v>6027</v>
      </c>
      <c r="E4214" s="1"/>
      <c r="F4214" s="1" t="s">
        <v>351</v>
      </c>
      <c r="G4214">
        <v>2009</v>
      </c>
      <c r="H4214">
        <v>51.59</v>
      </c>
      <c r="I4214">
        <v>12</v>
      </c>
      <c r="J4214" s="1" t="s">
        <v>421</v>
      </c>
      <c r="K4214">
        <v>0</v>
      </c>
      <c r="L4214">
        <v>0</v>
      </c>
      <c r="M4214">
        <v>515.9</v>
      </c>
      <c r="N4214">
        <v>3</v>
      </c>
      <c r="O4214" s="1" t="s">
        <v>560</v>
      </c>
      <c r="P4214">
        <v>51.59</v>
      </c>
      <c r="Q4214">
        <v>41.25</v>
      </c>
      <c r="R4214">
        <v>1</v>
      </c>
      <c r="S4214" s="1" t="s">
        <v>723</v>
      </c>
      <c r="T4214" s="1"/>
      <c r="U4214">
        <v>51.564329999999998</v>
      </c>
      <c r="V4214">
        <v>0</v>
      </c>
      <c r="W4214">
        <v>60568</v>
      </c>
    </row>
    <row r="4215" spans="1:23" x14ac:dyDescent="0.25">
      <c r="A4215" s="1" t="s">
        <v>40</v>
      </c>
      <c r="B4215" s="1" t="s">
        <v>86</v>
      </c>
      <c r="C4215" s="1" t="s">
        <v>213</v>
      </c>
      <c r="D4215">
        <v>6027</v>
      </c>
      <c r="E4215" s="1"/>
      <c r="F4215" s="1" t="s">
        <v>351</v>
      </c>
      <c r="G4215">
        <v>2009</v>
      </c>
      <c r="H4215">
        <v>60.63</v>
      </c>
      <c r="I4215">
        <v>12</v>
      </c>
      <c r="J4215" s="1" t="s">
        <v>421</v>
      </c>
      <c r="K4215">
        <v>0</v>
      </c>
      <c r="L4215">
        <v>0</v>
      </c>
      <c r="M4215">
        <v>606.29999999999995</v>
      </c>
      <c r="N4215">
        <v>3</v>
      </c>
      <c r="O4215" s="1" t="s">
        <v>560</v>
      </c>
      <c r="P4215">
        <v>60.63</v>
      </c>
      <c r="Q4215">
        <v>48.5</v>
      </c>
      <c r="R4215">
        <v>1</v>
      </c>
      <c r="S4215" s="1" t="s">
        <v>724</v>
      </c>
      <c r="T4215" s="1"/>
      <c r="U4215">
        <v>60.62133</v>
      </c>
      <c r="V4215">
        <v>0</v>
      </c>
      <c r="W4215">
        <v>60570</v>
      </c>
    </row>
    <row r="4216" spans="1:23" x14ac:dyDescent="0.25">
      <c r="A4216" s="1" t="s">
        <v>40</v>
      </c>
      <c r="B4216" s="1" t="s">
        <v>86</v>
      </c>
      <c r="C4216" s="1" t="s">
        <v>213</v>
      </c>
      <c r="D4216">
        <v>6027</v>
      </c>
      <c r="E4216" s="1"/>
      <c r="F4216" s="1" t="s">
        <v>351</v>
      </c>
      <c r="G4216">
        <v>2009</v>
      </c>
      <c r="H4216">
        <v>29.7</v>
      </c>
      <c r="I4216">
        <v>12</v>
      </c>
      <c r="J4216" s="1" t="s">
        <v>421</v>
      </c>
      <c r="K4216">
        <v>0</v>
      </c>
      <c r="L4216">
        <v>0</v>
      </c>
      <c r="M4216">
        <v>297</v>
      </c>
      <c r="N4216">
        <v>3</v>
      </c>
      <c r="O4216" s="1" t="s">
        <v>560</v>
      </c>
      <c r="P4216">
        <v>29.7</v>
      </c>
      <c r="Q4216">
        <v>23.75</v>
      </c>
      <c r="R4216">
        <v>1</v>
      </c>
      <c r="S4216" s="1" t="s">
        <v>725</v>
      </c>
      <c r="T4216" s="1"/>
      <c r="U4216">
        <v>29.70956</v>
      </c>
      <c r="V4216">
        <v>0</v>
      </c>
      <c r="W4216">
        <v>60571</v>
      </c>
    </row>
    <row r="4217" spans="1:23" x14ac:dyDescent="0.25">
      <c r="A4217" s="1" t="s">
        <v>40</v>
      </c>
      <c r="B4217" s="1" t="s">
        <v>86</v>
      </c>
      <c r="C4217" s="1" t="s">
        <v>213</v>
      </c>
      <c r="D4217">
        <v>6027</v>
      </c>
      <c r="E4217" s="1"/>
      <c r="F4217" s="1" t="s">
        <v>351</v>
      </c>
      <c r="G4217">
        <v>2009</v>
      </c>
      <c r="H4217">
        <v>141</v>
      </c>
      <c r="I4217">
        <v>12</v>
      </c>
      <c r="J4217" s="1" t="s">
        <v>421</v>
      </c>
      <c r="K4217">
        <v>0</v>
      </c>
      <c r="L4217">
        <v>0</v>
      </c>
      <c r="M4217">
        <v>1410</v>
      </c>
      <c r="N4217">
        <v>3</v>
      </c>
      <c r="O4217" s="1" t="s">
        <v>560</v>
      </c>
      <c r="P4217">
        <v>141</v>
      </c>
      <c r="Q4217">
        <v>112.8</v>
      </c>
      <c r="R4217">
        <v>1</v>
      </c>
      <c r="S4217" s="1" t="s">
        <v>726</v>
      </c>
      <c r="T4217" s="1"/>
      <c r="U4217">
        <v>141</v>
      </c>
      <c r="V4217">
        <v>0</v>
      </c>
      <c r="W4217">
        <v>60572</v>
      </c>
    </row>
    <row r="4218" spans="1:23" x14ac:dyDescent="0.25">
      <c r="A4218" s="1" t="s">
        <v>40</v>
      </c>
      <c r="B4218" s="1" t="s">
        <v>86</v>
      </c>
      <c r="C4218" s="1" t="s">
        <v>213</v>
      </c>
      <c r="D4218">
        <v>6027</v>
      </c>
      <c r="E4218" s="1"/>
      <c r="F4218" s="1" t="s">
        <v>351</v>
      </c>
      <c r="G4218">
        <v>2009</v>
      </c>
      <c r="H4218">
        <v>0</v>
      </c>
      <c r="I4218">
        <v>12</v>
      </c>
      <c r="J4218" s="1" t="s">
        <v>421</v>
      </c>
      <c r="K4218">
        <v>0</v>
      </c>
      <c r="L4218">
        <v>0</v>
      </c>
      <c r="M4218">
        <v>0</v>
      </c>
      <c r="N4218">
        <v>3</v>
      </c>
      <c r="O4218" s="1" t="s">
        <v>560</v>
      </c>
      <c r="P4218">
        <v>0</v>
      </c>
      <c r="Q4218">
        <v>0</v>
      </c>
      <c r="R4218">
        <v>1</v>
      </c>
      <c r="S4218" s="1" t="s">
        <v>727</v>
      </c>
      <c r="T4218" s="1"/>
      <c r="U4218">
        <v>0</v>
      </c>
      <c r="V4218">
        <v>0</v>
      </c>
      <c r="W4218">
        <v>60573</v>
      </c>
    </row>
    <row r="4219" spans="1:23" x14ac:dyDescent="0.25">
      <c r="A4219" s="1" t="s">
        <v>40</v>
      </c>
      <c r="B4219" s="1" t="s">
        <v>86</v>
      </c>
      <c r="C4219" s="1" t="s">
        <v>213</v>
      </c>
      <c r="D4219">
        <v>6027</v>
      </c>
      <c r="E4219" s="1"/>
      <c r="F4219" s="1" t="s">
        <v>351</v>
      </c>
      <c r="G4219">
        <v>2009</v>
      </c>
      <c r="H4219">
        <v>2</v>
      </c>
      <c r="I4219">
        <v>11</v>
      </c>
      <c r="J4219" s="1" t="s">
        <v>421</v>
      </c>
      <c r="K4219">
        <v>0</v>
      </c>
      <c r="L4219">
        <v>0</v>
      </c>
      <c r="M4219">
        <v>20</v>
      </c>
      <c r="N4219">
        <v>3</v>
      </c>
      <c r="O4219" s="1" t="s">
        <v>560</v>
      </c>
      <c r="P4219">
        <v>2</v>
      </c>
      <c r="Q4219">
        <v>1.6</v>
      </c>
      <c r="R4219">
        <v>1</v>
      </c>
      <c r="S4219" s="1" t="s">
        <v>728</v>
      </c>
      <c r="T4219" s="1"/>
      <c r="U4219">
        <v>2</v>
      </c>
      <c r="V4219">
        <v>0</v>
      </c>
      <c r="W4219">
        <v>60574</v>
      </c>
    </row>
    <row r="4220" spans="1:23" x14ac:dyDescent="0.25">
      <c r="A4220" s="1" t="s">
        <v>40</v>
      </c>
      <c r="B4220" s="1" t="s">
        <v>86</v>
      </c>
      <c r="C4220" s="1" t="s">
        <v>213</v>
      </c>
      <c r="D4220">
        <v>6027</v>
      </c>
      <c r="E4220" s="1"/>
      <c r="F4220" s="1" t="s">
        <v>351</v>
      </c>
      <c r="G4220">
        <v>2009</v>
      </c>
      <c r="H4220">
        <v>181.32</v>
      </c>
      <c r="I4220">
        <v>12</v>
      </c>
      <c r="J4220" s="1" t="s">
        <v>421</v>
      </c>
      <c r="K4220">
        <v>0</v>
      </c>
      <c r="L4220">
        <v>0</v>
      </c>
      <c r="M4220">
        <v>1813.2</v>
      </c>
      <c r="N4220">
        <v>3</v>
      </c>
      <c r="O4220" s="1" t="s">
        <v>560</v>
      </c>
      <c r="P4220">
        <v>181.32</v>
      </c>
      <c r="Q4220">
        <v>145.06</v>
      </c>
      <c r="R4220">
        <v>1</v>
      </c>
      <c r="S4220" s="1" t="s">
        <v>729</v>
      </c>
      <c r="T4220" s="1"/>
      <c r="U4220">
        <v>181.31619000000001</v>
      </c>
      <c r="V4220">
        <v>0</v>
      </c>
      <c r="W4220">
        <v>60575</v>
      </c>
    </row>
    <row r="4221" spans="1:23" x14ac:dyDescent="0.25">
      <c r="A4221" s="1" t="s">
        <v>40</v>
      </c>
      <c r="B4221" s="1" t="s">
        <v>86</v>
      </c>
      <c r="C4221" s="1" t="s">
        <v>213</v>
      </c>
      <c r="D4221">
        <v>6027</v>
      </c>
      <c r="E4221" s="1"/>
      <c r="F4221" s="1" t="s">
        <v>351</v>
      </c>
      <c r="G4221">
        <v>2008</v>
      </c>
      <c r="H4221">
        <v>67.010000000000005</v>
      </c>
      <c r="I4221">
        <v>11</v>
      </c>
      <c r="J4221" s="1" t="s">
        <v>421</v>
      </c>
      <c r="K4221">
        <v>0</v>
      </c>
      <c r="L4221">
        <v>0</v>
      </c>
      <c r="M4221">
        <v>670.1</v>
      </c>
      <c r="N4221">
        <v>3</v>
      </c>
      <c r="O4221" s="1" t="s">
        <v>560</v>
      </c>
      <c r="P4221">
        <v>67.010000000000005</v>
      </c>
      <c r="Q4221">
        <v>53.62</v>
      </c>
      <c r="R4221">
        <v>1</v>
      </c>
      <c r="S4221" s="1" t="s">
        <v>723</v>
      </c>
      <c r="T4221" s="1"/>
      <c r="U4221">
        <v>66.997159999999994</v>
      </c>
      <c r="V4221">
        <v>0</v>
      </c>
      <c r="W4221">
        <v>60568</v>
      </c>
    </row>
    <row r="4222" spans="1:23" x14ac:dyDescent="0.25">
      <c r="A4222" s="1" t="s">
        <v>40</v>
      </c>
      <c r="B4222" s="1" t="s">
        <v>86</v>
      </c>
      <c r="C4222" s="1" t="s">
        <v>213</v>
      </c>
      <c r="D4222">
        <v>6027</v>
      </c>
      <c r="E4222" s="1"/>
      <c r="F4222" s="1" t="s">
        <v>351</v>
      </c>
      <c r="G4222">
        <v>2008</v>
      </c>
      <c r="H4222">
        <v>462.02</v>
      </c>
      <c r="I4222">
        <v>11</v>
      </c>
      <c r="J4222" s="1" t="s">
        <v>421</v>
      </c>
      <c r="K4222">
        <v>0</v>
      </c>
      <c r="L4222">
        <v>0</v>
      </c>
      <c r="M4222">
        <v>4620.2</v>
      </c>
      <c r="N4222">
        <v>3</v>
      </c>
      <c r="O4222" s="1" t="s">
        <v>560</v>
      </c>
      <c r="P4222">
        <v>462.02</v>
      </c>
      <c r="Q4222">
        <v>369.63</v>
      </c>
      <c r="R4222">
        <v>1</v>
      </c>
      <c r="S4222" s="1" t="s">
        <v>724</v>
      </c>
      <c r="T4222" s="1"/>
      <c r="U4222">
        <v>462.02841000000001</v>
      </c>
      <c r="V4222">
        <v>0</v>
      </c>
      <c r="W4222">
        <v>60570</v>
      </c>
    </row>
    <row r="4223" spans="1:23" x14ac:dyDescent="0.25">
      <c r="A4223" s="1" t="s">
        <v>40</v>
      </c>
      <c r="B4223" s="1" t="s">
        <v>86</v>
      </c>
      <c r="C4223" s="1" t="s">
        <v>213</v>
      </c>
      <c r="D4223">
        <v>6027</v>
      </c>
      <c r="E4223" s="1"/>
      <c r="F4223" s="1" t="s">
        <v>351</v>
      </c>
      <c r="G4223">
        <v>2008</v>
      </c>
      <c r="H4223">
        <v>56.03</v>
      </c>
      <c r="I4223">
        <v>11</v>
      </c>
      <c r="J4223" s="1" t="s">
        <v>421</v>
      </c>
      <c r="K4223">
        <v>0</v>
      </c>
      <c r="L4223">
        <v>0</v>
      </c>
      <c r="M4223">
        <v>560.29999999999995</v>
      </c>
      <c r="N4223">
        <v>3</v>
      </c>
      <c r="O4223" s="1" t="s">
        <v>560</v>
      </c>
      <c r="P4223">
        <v>56.03</v>
      </c>
      <c r="Q4223">
        <v>44.83</v>
      </c>
      <c r="R4223">
        <v>1</v>
      </c>
      <c r="S4223" s="1" t="s">
        <v>725</v>
      </c>
      <c r="T4223" s="1"/>
      <c r="U4223">
        <v>56.028410000000001</v>
      </c>
      <c r="V4223">
        <v>0</v>
      </c>
      <c r="W4223">
        <v>60571</v>
      </c>
    </row>
    <row r="4224" spans="1:23" x14ac:dyDescent="0.25">
      <c r="A4224" s="1" t="s">
        <v>40</v>
      </c>
      <c r="B4224" s="1" t="s">
        <v>86</v>
      </c>
      <c r="C4224" s="1" t="s">
        <v>213</v>
      </c>
      <c r="D4224">
        <v>6027</v>
      </c>
      <c r="E4224" s="1"/>
      <c r="F4224" s="1" t="s">
        <v>351</v>
      </c>
      <c r="G4224">
        <v>2008</v>
      </c>
      <c r="H4224">
        <v>484</v>
      </c>
      <c r="I4224">
        <v>11</v>
      </c>
      <c r="J4224" s="1" t="s">
        <v>421</v>
      </c>
      <c r="K4224">
        <v>0</v>
      </c>
      <c r="L4224">
        <v>0</v>
      </c>
      <c r="M4224">
        <v>4840</v>
      </c>
      <c r="N4224">
        <v>3</v>
      </c>
      <c r="O4224" s="1" t="s">
        <v>560</v>
      </c>
      <c r="P4224">
        <v>484</v>
      </c>
      <c r="Q4224">
        <v>387.2</v>
      </c>
      <c r="R4224">
        <v>1</v>
      </c>
      <c r="S4224" s="1" t="s">
        <v>726</v>
      </c>
      <c r="T4224" s="1"/>
      <c r="U4224">
        <v>484</v>
      </c>
      <c r="V4224">
        <v>0</v>
      </c>
      <c r="W4224">
        <v>60572</v>
      </c>
    </row>
    <row r="4225" spans="1:23" x14ac:dyDescent="0.25">
      <c r="A4225" s="1" t="s">
        <v>40</v>
      </c>
      <c r="B4225" s="1" t="s">
        <v>86</v>
      </c>
      <c r="C4225" s="1" t="s">
        <v>213</v>
      </c>
      <c r="D4225">
        <v>6027</v>
      </c>
      <c r="E4225" s="1"/>
      <c r="F4225" s="1" t="s">
        <v>351</v>
      </c>
      <c r="G4225">
        <v>2008</v>
      </c>
      <c r="H4225">
        <v>1</v>
      </c>
      <c r="I4225">
        <v>11</v>
      </c>
      <c r="J4225" s="1" t="s">
        <v>421</v>
      </c>
      <c r="K4225">
        <v>0</v>
      </c>
      <c r="L4225">
        <v>0</v>
      </c>
      <c r="M4225">
        <v>10</v>
      </c>
      <c r="N4225">
        <v>3</v>
      </c>
      <c r="O4225" s="1" t="s">
        <v>560</v>
      </c>
      <c r="P4225">
        <v>1</v>
      </c>
      <c r="Q4225">
        <v>0.8</v>
      </c>
      <c r="R4225">
        <v>1</v>
      </c>
      <c r="S4225" s="1" t="s">
        <v>727</v>
      </c>
      <c r="T4225" s="1"/>
      <c r="U4225">
        <v>1</v>
      </c>
      <c r="V4225">
        <v>0</v>
      </c>
      <c r="W4225">
        <v>60573</v>
      </c>
    </row>
    <row r="4226" spans="1:23" x14ac:dyDescent="0.25">
      <c r="A4226" s="1" t="s">
        <v>40</v>
      </c>
      <c r="B4226" s="1" t="s">
        <v>86</v>
      </c>
      <c r="C4226" s="1" t="s">
        <v>213</v>
      </c>
      <c r="D4226">
        <v>6027</v>
      </c>
      <c r="E4226" s="1"/>
      <c r="F4226" s="1" t="s">
        <v>351</v>
      </c>
      <c r="G4226">
        <v>2008</v>
      </c>
      <c r="H4226">
        <v>0</v>
      </c>
      <c r="I4226">
        <v>11</v>
      </c>
      <c r="J4226" s="1" t="s">
        <v>421</v>
      </c>
      <c r="K4226">
        <v>0</v>
      </c>
      <c r="L4226">
        <v>0</v>
      </c>
      <c r="M4226">
        <v>0</v>
      </c>
      <c r="N4226">
        <v>3</v>
      </c>
      <c r="O4226" s="1" t="s">
        <v>560</v>
      </c>
      <c r="P4226">
        <v>0</v>
      </c>
      <c r="Q4226">
        <v>0</v>
      </c>
      <c r="R4226">
        <v>1</v>
      </c>
      <c r="S4226" s="1" t="s">
        <v>728</v>
      </c>
      <c r="T4226" s="1"/>
      <c r="U4226">
        <v>0</v>
      </c>
      <c r="V4226">
        <v>0</v>
      </c>
      <c r="W4226">
        <v>60574</v>
      </c>
    </row>
    <row r="4227" spans="1:23" x14ac:dyDescent="0.25">
      <c r="A4227" s="1" t="s">
        <v>40</v>
      </c>
      <c r="B4227" s="1" t="s">
        <v>86</v>
      </c>
      <c r="C4227" s="1" t="s">
        <v>213</v>
      </c>
      <c r="D4227">
        <v>6027</v>
      </c>
      <c r="E4227" s="1"/>
      <c r="F4227" s="1" t="s">
        <v>351</v>
      </c>
      <c r="G4227">
        <v>2008</v>
      </c>
      <c r="H4227">
        <v>338.05</v>
      </c>
      <c r="I4227">
        <v>11</v>
      </c>
      <c r="J4227" s="1" t="s">
        <v>421</v>
      </c>
      <c r="K4227">
        <v>0</v>
      </c>
      <c r="L4227">
        <v>0</v>
      </c>
      <c r="M4227">
        <v>3380.5</v>
      </c>
      <c r="N4227">
        <v>3</v>
      </c>
      <c r="O4227" s="1" t="s">
        <v>560</v>
      </c>
      <c r="P4227">
        <v>338.05</v>
      </c>
      <c r="Q4227">
        <v>270.45</v>
      </c>
      <c r="R4227">
        <v>1</v>
      </c>
      <c r="S4227" s="1" t="s">
        <v>729</v>
      </c>
      <c r="T4227" s="1"/>
      <c r="U4227">
        <v>338.04924999999997</v>
      </c>
      <c r="V4227">
        <v>0</v>
      </c>
      <c r="W4227">
        <v>60575</v>
      </c>
    </row>
    <row r="4228" spans="1:23" x14ac:dyDescent="0.25">
      <c r="A4228" s="1" t="s">
        <v>40</v>
      </c>
      <c r="B4228" s="1" t="s">
        <v>86</v>
      </c>
      <c r="C4228" s="1" t="s">
        <v>213</v>
      </c>
      <c r="D4228">
        <v>5468</v>
      </c>
      <c r="E4228" s="1"/>
      <c r="F4228" s="1" t="s">
        <v>213</v>
      </c>
      <c r="G4228">
        <v>2015</v>
      </c>
      <c r="H4228">
        <v>292.58</v>
      </c>
      <c r="I4228">
        <v>5</v>
      </c>
      <c r="J4228" s="1"/>
      <c r="K4228">
        <v>0</v>
      </c>
      <c r="L4228">
        <v>12237</v>
      </c>
      <c r="M4228">
        <v>2.3909E-2</v>
      </c>
      <c r="N4228">
        <v>3</v>
      </c>
      <c r="O4228" s="1" t="s">
        <v>560</v>
      </c>
      <c r="P4228">
        <v>292.58</v>
      </c>
      <c r="Q4228">
        <v>234.07</v>
      </c>
      <c r="R4228">
        <v>1</v>
      </c>
      <c r="S4228" s="1" t="s">
        <v>730</v>
      </c>
      <c r="T4228" s="1"/>
      <c r="U4228">
        <v>292.58600000000001</v>
      </c>
      <c r="V4228">
        <v>0</v>
      </c>
      <c r="W4228">
        <v>57827</v>
      </c>
    </row>
    <row r="4229" spans="1:23" x14ac:dyDescent="0.25">
      <c r="A4229" s="1" t="s">
        <v>40</v>
      </c>
      <c r="B4229" s="1" t="s">
        <v>86</v>
      </c>
      <c r="C4229" s="1" t="s">
        <v>213</v>
      </c>
      <c r="D4229">
        <v>5468</v>
      </c>
      <c r="E4229" s="1"/>
      <c r="F4229" s="1" t="s">
        <v>213</v>
      </c>
      <c r="G4229">
        <v>2015</v>
      </c>
      <c r="H4229">
        <v>11.59</v>
      </c>
      <c r="I4229">
        <v>5</v>
      </c>
      <c r="J4229" s="1"/>
      <c r="K4229">
        <v>0</v>
      </c>
      <c r="L4229">
        <v>12237</v>
      </c>
      <c r="M4229">
        <v>9.4700000000000003E-4</v>
      </c>
      <c r="N4229">
        <v>3</v>
      </c>
      <c r="O4229" s="1" t="s">
        <v>560</v>
      </c>
      <c r="P4229">
        <v>11.59</v>
      </c>
      <c r="Q4229">
        <v>9.27</v>
      </c>
      <c r="R4229">
        <v>1</v>
      </c>
      <c r="S4229" s="1" t="s">
        <v>731</v>
      </c>
      <c r="T4229" s="1"/>
      <c r="U4229">
        <v>11.59</v>
      </c>
      <c r="V4229">
        <v>0</v>
      </c>
      <c r="W4229">
        <v>57829</v>
      </c>
    </row>
    <row r="4230" spans="1:23" x14ac:dyDescent="0.25">
      <c r="A4230" s="1" t="s">
        <v>40</v>
      </c>
      <c r="B4230" s="1" t="s">
        <v>86</v>
      </c>
      <c r="C4230" s="1" t="s">
        <v>213</v>
      </c>
      <c r="D4230">
        <v>5468</v>
      </c>
      <c r="E4230" s="1"/>
      <c r="F4230" s="1" t="s">
        <v>213</v>
      </c>
      <c r="G4230">
        <v>2015</v>
      </c>
      <c r="H4230">
        <v>1127.1500000000001</v>
      </c>
      <c r="I4230">
        <v>5</v>
      </c>
      <c r="J4230" s="1"/>
      <c r="K4230">
        <v>0</v>
      </c>
      <c r="L4230">
        <v>12237</v>
      </c>
      <c r="M4230">
        <v>9.2108999999999996E-2</v>
      </c>
      <c r="N4230">
        <v>3</v>
      </c>
      <c r="O4230" s="1" t="s">
        <v>560</v>
      </c>
      <c r="P4230">
        <v>1127.1500000000001</v>
      </c>
      <c r="Q4230">
        <v>901.72</v>
      </c>
      <c r="R4230">
        <v>0</v>
      </c>
      <c r="S4230" s="1" t="s">
        <v>732</v>
      </c>
      <c r="T4230" s="1"/>
      <c r="U4230">
        <v>1127.146</v>
      </c>
      <c r="V4230">
        <v>0</v>
      </c>
      <c r="W4230">
        <v>58260</v>
      </c>
    </row>
    <row r="4231" spans="1:23" x14ac:dyDescent="0.25">
      <c r="A4231" s="1" t="s">
        <v>40</v>
      </c>
      <c r="B4231" s="1" t="s">
        <v>86</v>
      </c>
      <c r="C4231" s="1" t="s">
        <v>213</v>
      </c>
      <c r="D4231">
        <v>5468</v>
      </c>
      <c r="E4231" s="1"/>
      <c r="F4231" s="1" t="s">
        <v>213</v>
      </c>
      <c r="G4231">
        <v>2015</v>
      </c>
      <c r="H4231">
        <v>0</v>
      </c>
      <c r="I4231">
        <v>5</v>
      </c>
      <c r="J4231" s="1" t="s">
        <v>421</v>
      </c>
      <c r="K4231">
        <v>0</v>
      </c>
      <c r="L4231">
        <v>12237</v>
      </c>
      <c r="M4231">
        <v>0</v>
      </c>
      <c r="N4231">
        <v>3</v>
      </c>
      <c r="O4231" s="1" t="s">
        <v>560</v>
      </c>
      <c r="P4231">
        <v>0</v>
      </c>
      <c r="Q4231">
        <v>0</v>
      </c>
      <c r="R4231">
        <v>0</v>
      </c>
      <c r="S4231" s="1" t="s">
        <v>733</v>
      </c>
      <c r="T4231" s="1"/>
      <c r="U4231">
        <v>0</v>
      </c>
      <c r="V4231">
        <v>0</v>
      </c>
      <c r="W4231">
        <v>92976</v>
      </c>
    </row>
    <row r="4232" spans="1:23" x14ac:dyDescent="0.25">
      <c r="A4232" s="1" t="s">
        <v>40</v>
      </c>
      <c r="B4232" s="1" t="s">
        <v>86</v>
      </c>
      <c r="C4232" s="1" t="s">
        <v>213</v>
      </c>
      <c r="D4232">
        <v>5468</v>
      </c>
      <c r="E4232" s="1"/>
      <c r="F4232" s="1" t="s">
        <v>213</v>
      </c>
      <c r="G4232">
        <v>2014</v>
      </c>
      <c r="H4232">
        <v>653.9</v>
      </c>
      <c r="I4232">
        <v>12</v>
      </c>
      <c r="J4232" s="1"/>
      <c r="K4232">
        <v>0</v>
      </c>
      <c r="L4232">
        <v>12237</v>
      </c>
      <c r="M4232">
        <v>5.3435000000000003E-2</v>
      </c>
      <c r="N4232">
        <v>3</v>
      </c>
      <c r="O4232" s="1" t="s">
        <v>560</v>
      </c>
      <c r="P4232">
        <v>653.9</v>
      </c>
      <c r="Q4232">
        <v>523.13</v>
      </c>
      <c r="R4232">
        <v>1</v>
      </c>
      <c r="S4232" s="1" t="s">
        <v>730</v>
      </c>
      <c r="T4232" s="1"/>
      <c r="U4232">
        <v>653.91</v>
      </c>
      <c r="V4232">
        <v>0</v>
      </c>
      <c r="W4232">
        <v>57827</v>
      </c>
    </row>
    <row r="4233" spans="1:23" x14ac:dyDescent="0.25">
      <c r="A4233" s="1" t="s">
        <v>40</v>
      </c>
      <c r="B4233" s="1" t="s">
        <v>86</v>
      </c>
      <c r="C4233" s="1" t="s">
        <v>213</v>
      </c>
      <c r="D4233">
        <v>5468</v>
      </c>
      <c r="E4233" s="1"/>
      <c r="F4233" s="1" t="s">
        <v>213</v>
      </c>
      <c r="G4233">
        <v>2014</v>
      </c>
      <c r="H4233">
        <v>92.58</v>
      </c>
      <c r="I4233">
        <v>12</v>
      </c>
      <c r="J4233" s="1"/>
      <c r="K4233">
        <v>0</v>
      </c>
      <c r="L4233">
        <v>12237</v>
      </c>
      <c r="M4233">
        <v>7.5649999999999997E-3</v>
      </c>
      <c r="N4233">
        <v>3</v>
      </c>
      <c r="O4233" s="1" t="s">
        <v>560</v>
      </c>
      <c r="P4233">
        <v>92.58</v>
      </c>
      <c r="Q4233">
        <v>74.06</v>
      </c>
      <c r="R4233">
        <v>1</v>
      </c>
      <c r="S4233" s="1" t="s">
        <v>731</v>
      </c>
      <c r="T4233" s="1"/>
      <c r="U4233">
        <v>92.58</v>
      </c>
      <c r="V4233">
        <v>0</v>
      </c>
      <c r="W4233">
        <v>57829</v>
      </c>
    </row>
    <row r="4234" spans="1:23" x14ac:dyDescent="0.25">
      <c r="A4234" s="1" t="s">
        <v>40</v>
      </c>
      <c r="B4234" s="1" t="s">
        <v>86</v>
      </c>
      <c r="C4234" s="1" t="s">
        <v>213</v>
      </c>
      <c r="D4234">
        <v>5468</v>
      </c>
      <c r="E4234" s="1"/>
      <c r="F4234" s="1" t="s">
        <v>213</v>
      </c>
      <c r="G4234">
        <v>2014</v>
      </c>
      <c r="H4234">
        <v>3352.8</v>
      </c>
      <c r="I4234">
        <v>12</v>
      </c>
      <c r="J4234" s="1"/>
      <c r="K4234">
        <v>0</v>
      </c>
      <c r="L4234">
        <v>12237</v>
      </c>
      <c r="M4234">
        <v>0.27398600000000001</v>
      </c>
      <c r="N4234">
        <v>3</v>
      </c>
      <c r="O4234" s="1" t="s">
        <v>560</v>
      </c>
      <c r="P4234">
        <v>3352.8</v>
      </c>
      <c r="Q4234">
        <v>2682.23</v>
      </c>
      <c r="R4234">
        <v>0</v>
      </c>
      <c r="S4234" s="1" t="s">
        <v>732</v>
      </c>
      <c r="T4234" s="1"/>
      <c r="U4234">
        <v>3352.7860000000001</v>
      </c>
      <c r="V4234">
        <v>0</v>
      </c>
      <c r="W4234">
        <v>58260</v>
      </c>
    </row>
    <row r="4235" spans="1:23" x14ac:dyDescent="0.25">
      <c r="A4235" s="1" t="s">
        <v>40</v>
      </c>
      <c r="B4235" s="1" t="s">
        <v>86</v>
      </c>
      <c r="C4235" s="1" t="s">
        <v>213</v>
      </c>
      <c r="D4235">
        <v>5468</v>
      </c>
      <c r="E4235" s="1"/>
      <c r="F4235" s="1" t="s">
        <v>213</v>
      </c>
      <c r="G4235">
        <v>2014</v>
      </c>
      <c r="H4235">
        <v>8641</v>
      </c>
      <c r="I4235">
        <v>12</v>
      </c>
      <c r="J4235" s="1" t="s">
        <v>421</v>
      </c>
      <c r="K4235">
        <v>0</v>
      </c>
      <c r="L4235">
        <v>12237</v>
      </c>
      <c r="M4235">
        <v>0.70613099999999995</v>
      </c>
      <c r="N4235">
        <v>3</v>
      </c>
      <c r="O4235" s="1" t="s">
        <v>560</v>
      </c>
      <c r="P4235">
        <v>8641</v>
      </c>
      <c r="Q4235">
        <v>6912.79</v>
      </c>
      <c r="R4235">
        <v>0</v>
      </c>
      <c r="S4235" s="1" t="s">
        <v>733</v>
      </c>
      <c r="T4235" s="1"/>
      <c r="U4235">
        <v>8640.9999900000003</v>
      </c>
      <c r="V4235">
        <v>0</v>
      </c>
      <c r="W4235">
        <v>92976</v>
      </c>
    </row>
    <row r="4236" spans="1:23" x14ac:dyDescent="0.25">
      <c r="A4236" s="1" t="s">
        <v>40</v>
      </c>
      <c r="B4236" s="1" t="s">
        <v>86</v>
      </c>
      <c r="C4236" s="1" t="s">
        <v>213</v>
      </c>
      <c r="D4236">
        <v>5468</v>
      </c>
      <c r="E4236" s="1"/>
      <c r="F4236" s="1" t="s">
        <v>213</v>
      </c>
      <c r="G4236">
        <v>2013</v>
      </c>
      <c r="H4236">
        <v>575.54</v>
      </c>
      <c r="I4236">
        <v>12</v>
      </c>
      <c r="J4236" s="1"/>
      <c r="K4236">
        <v>0</v>
      </c>
      <c r="L4236">
        <v>12237</v>
      </c>
      <c r="M4236">
        <v>4.7031999999999997E-2</v>
      </c>
      <c r="N4236">
        <v>3</v>
      </c>
      <c r="O4236" s="1" t="s">
        <v>560</v>
      </c>
      <c r="P4236">
        <v>575.54</v>
      </c>
      <c r="Q4236">
        <v>460.43</v>
      </c>
      <c r="R4236">
        <v>1</v>
      </c>
      <c r="S4236" s="1" t="s">
        <v>730</v>
      </c>
      <c r="T4236" s="1"/>
      <c r="U4236">
        <v>575.53200000000004</v>
      </c>
      <c r="V4236">
        <v>0</v>
      </c>
      <c r="W4236">
        <v>57827</v>
      </c>
    </row>
    <row r="4237" spans="1:23" x14ac:dyDescent="0.25">
      <c r="A4237" s="1" t="s">
        <v>40</v>
      </c>
      <c r="B4237" s="1" t="s">
        <v>86</v>
      </c>
      <c r="C4237" s="1" t="s">
        <v>213</v>
      </c>
      <c r="D4237">
        <v>5468</v>
      </c>
      <c r="E4237" s="1"/>
      <c r="F4237" s="1" t="s">
        <v>213</v>
      </c>
      <c r="G4237">
        <v>2013</v>
      </c>
      <c r="H4237">
        <v>95.85</v>
      </c>
      <c r="I4237">
        <v>12</v>
      </c>
      <c r="J4237" s="1"/>
      <c r="K4237">
        <v>0</v>
      </c>
      <c r="L4237">
        <v>12237</v>
      </c>
      <c r="M4237">
        <v>7.8320000000000004E-3</v>
      </c>
      <c r="N4237">
        <v>3</v>
      </c>
      <c r="O4237" s="1" t="s">
        <v>560</v>
      </c>
      <c r="P4237">
        <v>95.85</v>
      </c>
      <c r="Q4237">
        <v>76.69</v>
      </c>
      <c r="R4237">
        <v>1</v>
      </c>
      <c r="S4237" s="1" t="s">
        <v>731</v>
      </c>
      <c r="T4237" s="1"/>
      <c r="U4237">
        <v>95.85</v>
      </c>
      <c r="V4237">
        <v>0</v>
      </c>
      <c r="W4237">
        <v>57829</v>
      </c>
    </row>
    <row r="4238" spans="1:23" x14ac:dyDescent="0.25">
      <c r="A4238" s="1" t="s">
        <v>40</v>
      </c>
      <c r="B4238" s="1" t="s">
        <v>86</v>
      </c>
      <c r="C4238" s="1" t="s">
        <v>213</v>
      </c>
      <c r="D4238">
        <v>5468</v>
      </c>
      <c r="E4238" s="1"/>
      <c r="F4238" s="1" t="s">
        <v>213</v>
      </c>
      <c r="G4238">
        <v>2013</v>
      </c>
      <c r="H4238">
        <v>3016.05</v>
      </c>
      <c r="I4238">
        <v>12</v>
      </c>
      <c r="J4238" s="1"/>
      <c r="K4238">
        <v>0</v>
      </c>
      <c r="L4238">
        <v>12237</v>
      </c>
      <c r="M4238">
        <v>0.24646699999999999</v>
      </c>
      <c r="N4238">
        <v>3</v>
      </c>
      <c r="O4238" s="1" t="s">
        <v>560</v>
      </c>
      <c r="P4238">
        <v>3016.05</v>
      </c>
      <c r="Q4238">
        <v>2412.85</v>
      </c>
      <c r="R4238">
        <v>0</v>
      </c>
      <c r="S4238" s="1" t="s">
        <v>732</v>
      </c>
      <c r="T4238" s="1"/>
      <c r="U4238">
        <v>3016.0569999999998</v>
      </c>
      <c r="V4238">
        <v>0</v>
      </c>
      <c r="W4238">
        <v>58260</v>
      </c>
    </row>
    <row r="4239" spans="1:23" x14ac:dyDescent="0.25">
      <c r="A4239" s="1" t="s">
        <v>40</v>
      </c>
      <c r="B4239" s="1" t="s">
        <v>86</v>
      </c>
      <c r="C4239" s="1" t="s">
        <v>213</v>
      </c>
      <c r="D4239">
        <v>5468</v>
      </c>
      <c r="E4239" s="1"/>
      <c r="F4239" s="1" t="s">
        <v>213</v>
      </c>
      <c r="G4239">
        <v>2013</v>
      </c>
      <c r="H4239">
        <v>5676.01</v>
      </c>
      <c r="I4239">
        <v>9</v>
      </c>
      <c r="J4239" s="1" t="s">
        <v>421</v>
      </c>
      <c r="K4239">
        <v>0</v>
      </c>
      <c r="L4239">
        <v>12237</v>
      </c>
      <c r="M4239">
        <v>0.46383600000000003</v>
      </c>
      <c r="N4239">
        <v>3</v>
      </c>
      <c r="O4239" s="1" t="s">
        <v>560</v>
      </c>
      <c r="P4239">
        <v>5676.01</v>
      </c>
      <c r="Q4239">
        <v>4540.8</v>
      </c>
      <c r="R4239">
        <v>0</v>
      </c>
      <c r="S4239" s="1" t="s">
        <v>733</v>
      </c>
      <c r="T4239" s="1"/>
      <c r="U4239">
        <v>5676.0000099999997</v>
      </c>
      <c r="V4239">
        <v>0</v>
      </c>
      <c r="W4239">
        <v>92976</v>
      </c>
    </row>
    <row r="4240" spans="1:23" x14ac:dyDescent="0.25">
      <c r="A4240" s="1" t="s">
        <v>40</v>
      </c>
      <c r="B4240" s="1" t="s">
        <v>86</v>
      </c>
      <c r="C4240" s="1" t="s">
        <v>213</v>
      </c>
      <c r="D4240">
        <v>5468</v>
      </c>
      <c r="E4240" s="1"/>
      <c r="F4240" s="1" t="s">
        <v>213</v>
      </c>
      <c r="G4240">
        <v>2012</v>
      </c>
      <c r="H4240">
        <v>585.70000000000005</v>
      </c>
      <c r="I4240">
        <v>12</v>
      </c>
      <c r="J4240" s="1"/>
      <c r="K4240">
        <v>0</v>
      </c>
      <c r="L4240">
        <v>12237</v>
      </c>
      <c r="M4240">
        <v>4.7862000000000002E-2</v>
      </c>
      <c r="N4240">
        <v>3</v>
      </c>
      <c r="O4240" s="1" t="s">
        <v>560</v>
      </c>
      <c r="P4240">
        <v>585.70000000000005</v>
      </c>
      <c r="Q4240">
        <v>468.56</v>
      </c>
      <c r="R4240">
        <v>1</v>
      </c>
      <c r="S4240" s="1" t="s">
        <v>730</v>
      </c>
      <c r="T4240" s="1"/>
      <c r="U4240">
        <v>585.69600000000003</v>
      </c>
      <c r="V4240">
        <v>0</v>
      </c>
      <c r="W4240">
        <v>57827</v>
      </c>
    </row>
    <row r="4241" spans="1:23" x14ac:dyDescent="0.25">
      <c r="A4241" s="1" t="s">
        <v>40</v>
      </c>
      <c r="B4241" s="1" t="s">
        <v>86</v>
      </c>
      <c r="C4241" s="1" t="s">
        <v>213</v>
      </c>
      <c r="D4241">
        <v>5468</v>
      </c>
      <c r="E4241" s="1"/>
      <c r="F4241" s="1" t="s">
        <v>213</v>
      </c>
      <c r="G4241">
        <v>2012</v>
      </c>
      <c r="H4241">
        <v>66.77</v>
      </c>
      <c r="I4241">
        <v>12</v>
      </c>
      <c r="J4241" s="1"/>
      <c r="K4241">
        <v>0</v>
      </c>
      <c r="L4241">
        <v>12237</v>
      </c>
      <c r="M4241">
        <v>5.4559999999999999E-3</v>
      </c>
      <c r="N4241">
        <v>3</v>
      </c>
      <c r="O4241" s="1" t="s">
        <v>560</v>
      </c>
      <c r="P4241">
        <v>66.77</v>
      </c>
      <c r="Q4241">
        <v>53.42</v>
      </c>
      <c r="R4241">
        <v>1</v>
      </c>
      <c r="S4241" s="1" t="s">
        <v>731</v>
      </c>
      <c r="T4241" s="1"/>
      <c r="U4241">
        <v>66.77</v>
      </c>
      <c r="V4241">
        <v>0</v>
      </c>
      <c r="W4241">
        <v>57829</v>
      </c>
    </row>
    <row r="4242" spans="1:23" x14ac:dyDescent="0.25">
      <c r="A4242" s="1" t="s">
        <v>40</v>
      </c>
      <c r="B4242" s="1" t="s">
        <v>86</v>
      </c>
      <c r="C4242" s="1" t="s">
        <v>213</v>
      </c>
      <c r="D4242">
        <v>5468</v>
      </c>
      <c r="E4242" s="1"/>
      <c r="F4242" s="1" t="s">
        <v>213</v>
      </c>
      <c r="G4242">
        <v>2012</v>
      </c>
      <c r="H4242">
        <v>3244.6</v>
      </c>
      <c r="I4242">
        <v>12</v>
      </c>
      <c r="J4242" s="1"/>
      <c r="K4242">
        <v>0</v>
      </c>
      <c r="L4242">
        <v>12237</v>
      </c>
      <c r="M4242">
        <v>0.26514399999999999</v>
      </c>
      <c r="N4242">
        <v>3</v>
      </c>
      <c r="O4242" s="1" t="s">
        <v>560</v>
      </c>
      <c r="P4242">
        <v>3244.6</v>
      </c>
      <c r="Q4242">
        <v>2595.67</v>
      </c>
      <c r="R4242">
        <v>0</v>
      </c>
      <c r="S4242" s="1" t="s">
        <v>732</v>
      </c>
      <c r="T4242" s="1"/>
      <c r="U4242">
        <v>3244.5940000000001</v>
      </c>
      <c r="V4242">
        <v>0</v>
      </c>
      <c r="W4242">
        <v>58260</v>
      </c>
    </row>
    <row r="4243" spans="1:23" x14ac:dyDescent="0.25">
      <c r="A4243" s="1" t="s">
        <v>40</v>
      </c>
      <c r="B4243" s="1" t="s">
        <v>86</v>
      </c>
      <c r="C4243" s="1" t="s">
        <v>213</v>
      </c>
      <c r="D4243">
        <v>5468</v>
      </c>
      <c r="E4243" s="1"/>
      <c r="F4243" s="1" t="s">
        <v>213</v>
      </c>
      <c r="G4243">
        <v>2012</v>
      </c>
      <c r="H4243">
        <v>157</v>
      </c>
      <c r="I4243">
        <v>8</v>
      </c>
      <c r="J4243" s="1" t="s">
        <v>458</v>
      </c>
      <c r="K4243">
        <v>0</v>
      </c>
      <c r="L4243">
        <v>12237</v>
      </c>
      <c r="M4243">
        <v>1.2829E-2</v>
      </c>
      <c r="N4243">
        <v>3</v>
      </c>
      <c r="O4243" s="1" t="s">
        <v>560</v>
      </c>
      <c r="P4243">
        <v>157</v>
      </c>
      <c r="Q4243">
        <v>125.61</v>
      </c>
      <c r="R4243">
        <v>0</v>
      </c>
      <c r="S4243" s="1" t="s">
        <v>734</v>
      </c>
      <c r="T4243" s="1"/>
      <c r="U4243">
        <v>157</v>
      </c>
      <c r="V4243">
        <v>0</v>
      </c>
      <c r="W4243">
        <v>85967</v>
      </c>
    </row>
    <row r="4244" spans="1:23" x14ac:dyDescent="0.25">
      <c r="A4244" s="1" t="s">
        <v>40</v>
      </c>
      <c r="B4244" s="1" t="s">
        <v>86</v>
      </c>
      <c r="C4244" s="1" t="s">
        <v>213</v>
      </c>
      <c r="D4244">
        <v>5468</v>
      </c>
      <c r="E4244" s="1"/>
      <c r="F4244" s="1" t="s">
        <v>213</v>
      </c>
      <c r="G4244">
        <v>2012</v>
      </c>
      <c r="H4244">
        <v>0</v>
      </c>
      <c r="I4244">
        <v>3</v>
      </c>
      <c r="J4244" s="1" t="s">
        <v>421</v>
      </c>
      <c r="K4244">
        <v>0</v>
      </c>
      <c r="L4244">
        <v>12237</v>
      </c>
      <c r="M4244">
        <v>0</v>
      </c>
      <c r="N4244">
        <v>3</v>
      </c>
      <c r="O4244" s="1" t="s">
        <v>560</v>
      </c>
      <c r="P4244">
        <v>0</v>
      </c>
      <c r="Q4244">
        <v>0</v>
      </c>
      <c r="R4244">
        <v>0</v>
      </c>
      <c r="S4244" s="1" t="s">
        <v>733</v>
      </c>
      <c r="T4244" s="1"/>
      <c r="U4244">
        <v>0</v>
      </c>
      <c r="V4244">
        <v>0</v>
      </c>
      <c r="W4244">
        <v>92976</v>
      </c>
    </row>
    <row r="4245" spans="1:23" x14ac:dyDescent="0.25">
      <c r="A4245" s="1" t="s">
        <v>40</v>
      </c>
      <c r="B4245" s="1" t="s">
        <v>86</v>
      </c>
      <c r="C4245" s="1" t="s">
        <v>213</v>
      </c>
      <c r="D4245">
        <v>5468</v>
      </c>
      <c r="E4245" s="1"/>
      <c r="F4245" s="1" t="s">
        <v>213</v>
      </c>
      <c r="G4245">
        <v>2011</v>
      </c>
      <c r="H4245">
        <v>548.84</v>
      </c>
      <c r="I4245">
        <v>12</v>
      </c>
      <c r="J4245" s="1"/>
      <c r="K4245">
        <v>0</v>
      </c>
      <c r="L4245">
        <v>12237</v>
      </c>
      <c r="M4245">
        <v>4.4850000000000001E-2</v>
      </c>
      <c r="N4245">
        <v>3</v>
      </c>
      <c r="O4245" s="1" t="s">
        <v>560</v>
      </c>
      <c r="P4245">
        <v>548.84</v>
      </c>
      <c r="Q4245">
        <v>439.07</v>
      </c>
      <c r="R4245">
        <v>1</v>
      </c>
      <c r="S4245" s="1" t="s">
        <v>730</v>
      </c>
      <c r="T4245" s="1"/>
      <c r="U4245">
        <v>548.83900000000006</v>
      </c>
      <c r="V4245">
        <v>0</v>
      </c>
      <c r="W4245">
        <v>57827</v>
      </c>
    </row>
    <row r="4246" spans="1:23" x14ac:dyDescent="0.25">
      <c r="A4246" s="1" t="s">
        <v>40</v>
      </c>
      <c r="B4246" s="1" t="s">
        <v>86</v>
      </c>
      <c r="C4246" s="1" t="s">
        <v>213</v>
      </c>
      <c r="D4246">
        <v>5468</v>
      </c>
      <c r="E4246" s="1"/>
      <c r="F4246" s="1" t="s">
        <v>213</v>
      </c>
      <c r="G4246">
        <v>2011</v>
      </c>
      <c r="H4246">
        <v>77.8</v>
      </c>
      <c r="I4246">
        <v>12</v>
      </c>
      <c r="J4246" s="1"/>
      <c r="K4246">
        <v>0</v>
      </c>
      <c r="L4246">
        <v>12237</v>
      </c>
      <c r="M4246">
        <v>6.3569999999999998E-3</v>
      </c>
      <c r="N4246">
        <v>3</v>
      </c>
      <c r="O4246" s="1" t="s">
        <v>560</v>
      </c>
      <c r="P4246">
        <v>77.8</v>
      </c>
      <c r="Q4246">
        <v>62.24</v>
      </c>
      <c r="R4246">
        <v>1</v>
      </c>
      <c r="S4246" s="1" t="s">
        <v>731</v>
      </c>
      <c r="T4246" s="1"/>
      <c r="U4246">
        <v>77.8</v>
      </c>
      <c r="V4246">
        <v>0</v>
      </c>
      <c r="W4246">
        <v>57829</v>
      </c>
    </row>
    <row r="4247" spans="1:23" x14ac:dyDescent="0.25">
      <c r="A4247" s="1" t="s">
        <v>40</v>
      </c>
      <c r="B4247" s="1" t="s">
        <v>86</v>
      </c>
      <c r="C4247" s="1" t="s">
        <v>213</v>
      </c>
      <c r="D4247">
        <v>5468</v>
      </c>
      <c r="E4247" s="1"/>
      <c r="F4247" s="1" t="s">
        <v>213</v>
      </c>
      <c r="G4247">
        <v>2011</v>
      </c>
      <c r="H4247">
        <v>3451.01</v>
      </c>
      <c r="I4247">
        <v>12</v>
      </c>
      <c r="J4247" s="1"/>
      <c r="K4247">
        <v>0</v>
      </c>
      <c r="L4247">
        <v>12237</v>
      </c>
      <c r="M4247">
        <v>0.28201199999999998</v>
      </c>
      <c r="N4247">
        <v>3</v>
      </c>
      <c r="O4247" s="1" t="s">
        <v>560</v>
      </c>
      <c r="P4247">
        <v>3451.01</v>
      </c>
      <c r="Q4247">
        <v>2760.81</v>
      </c>
      <c r="R4247">
        <v>0</v>
      </c>
      <c r="S4247" s="1" t="s">
        <v>732</v>
      </c>
      <c r="T4247" s="1"/>
      <c r="U4247">
        <v>3451.0010000000002</v>
      </c>
      <c r="V4247">
        <v>0</v>
      </c>
      <c r="W4247">
        <v>58260</v>
      </c>
    </row>
    <row r="4248" spans="1:23" x14ac:dyDescent="0.25">
      <c r="A4248" s="1" t="s">
        <v>40</v>
      </c>
      <c r="B4248" s="1" t="s">
        <v>86</v>
      </c>
      <c r="C4248" s="1" t="s">
        <v>213</v>
      </c>
      <c r="D4248">
        <v>5468</v>
      </c>
      <c r="E4248" s="1"/>
      <c r="F4248" s="1" t="s">
        <v>213</v>
      </c>
      <c r="G4248">
        <v>2011</v>
      </c>
      <c r="H4248">
        <v>250</v>
      </c>
      <c r="I4248">
        <v>13</v>
      </c>
      <c r="J4248" s="1" t="s">
        <v>458</v>
      </c>
      <c r="K4248">
        <v>0</v>
      </c>
      <c r="L4248">
        <v>12237</v>
      </c>
      <c r="M4248">
        <v>2.0428999999999999E-2</v>
      </c>
      <c r="N4248">
        <v>3</v>
      </c>
      <c r="O4248" s="1" t="s">
        <v>560</v>
      </c>
      <c r="P4248">
        <v>250</v>
      </c>
      <c r="Q4248">
        <v>200</v>
      </c>
      <c r="R4248">
        <v>0</v>
      </c>
      <c r="S4248" s="1" t="s">
        <v>734</v>
      </c>
      <c r="T4248" s="1"/>
      <c r="U4248">
        <v>250</v>
      </c>
      <c r="V4248">
        <v>0</v>
      </c>
      <c r="W4248">
        <v>85967</v>
      </c>
    </row>
    <row r="4249" spans="1:23" x14ac:dyDescent="0.25">
      <c r="A4249" s="1" t="s">
        <v>40</v>
      </c>
      <c r="B4249" s="1" t="s">
        <v>86</v>
      </c>
      <c r="C4249" s="1" t="s">
        <v>213</v>
      </c>
      <c r="D4249">
        <v>5468</v>
      </c>
      <c r="E4249" s="1"/>
      <c r="F4249" s="1" t="s">
        <v>213</v>
      </c>
      <c r="G4249">
        <v>2010</v>
      </c>
      <c r="H4249">
        <v>492.75</v>
      </c>
      <c r="I4249">
        <v>12</v>
      </c>
      <c r="J4249" s="1"/>
      <c r="K4249">
        <v>0</v>
      </c>
      <c r="L4249">
        <v>12237</v>
      </c>
      <c r="M4249">
        <v>4.0266000000000003E-2</v>
      </c>
      <c r="N4249">
        <v>3</v>
      </c>
      <c r="O4249" s="1" t="s">
        <v>560</v>
      </c>
      <c r="P4249">
        <v>492.75</v>
      </c>
      <c r="Q4249">
        <v>394.2</v>
      </c>
      <c r="R4249">
        <v>1</v>
      </c>
      <c r="S4249" s="1" t="s">
        <v>730</v>
      </c>
      <c r="T4249" s="1"/>
      <c r="U4249">
        <v>492.74299999999999</v>
      </c>
      <c r="V4249">
        <v>0</v>
      </c>
      <c r="W4249">
        <v>57827</v>
      </c>
    </row>
    <row r="4250" spans="1:23" x14ac:dyDescent="0.25">
      <c r="A4250" s="1" t="s">
        <v>40</v>
      </c>
      <c r="B4250" s="1" t="s">
        <v>86</v>
      </c>
      <c r="C4250" s="1" t="s">
        <v>213</v>
      </c>
      <c r="D4250">
        <v>5468</v>
      </c>
      <c r="E4250" s="1"/>
      <c r="F4250" s="1" t="s">
        <v>213</v>
      </c>
      <c r="G4250">
        <v>2010</v>
      </c>
      <c r="H4250">
        <v>70.73</v>
      </c>
      <c r="I4250">
        <v>12</v>
      </c>
      <c r="J4250" s="1"/>
      <c r="K4250">
        <v>0</v>
      </c>
      <c r="L4250">
        <v>12237</v>
      </c>
      <c r="M4250">
        <v>5.7790000000000003E-3</v>
      </c>
      <c r="N4250">
        <v>3</v>
      </c>
      <c r="O4250" s="1" t="s">
        <v>560</v>
      </c>
      <c r="P4250">
        <v>70.73</v>
      </c>
      <c r="Q4250">
        <v>56.57</v>
      </c>
      <c r="R4250">
        <v>1</v>
      </c>
      <c r="S4250" s="1" t="s">
        <v>731</v>
      </c>
      <c r="T4250" s="1"/>
      <c r="U4250">
        <v>70.73</v>
      </c>
      <c r="V4250">
        <v>0</v>
      </c>
      <c r="W4250">
        <v>57829</v>
      </c>
    </row>
    <row r="4251" spans="1:23" x14ac:dyDescent="0.25">
      <c r="A4251" s="1" t="s">
        <v>40</v>
      </c>
      <c r="B4251" s="1" t="s">
        <v>86</v>
      </c>
      <c r="C4251" s="1" t="s">
        <v>213</v>
      </c>
      <c r="D4251">
        <v>5468</v>
      </c>
      <c r="E4251" s="1"/>
      <c r="F4251" s="1" t="s">
        <v>213</v>
      </c>
      <c r="G4251">
        <v>2010</v>
      </c>
      <c r="H4251">
        <v>2711.19</v>
      </c>
      <c r="I4251">
        <v>12</v>
      </c>
      <c r="J4251" s="1"/>
      <c r="K4251">
        <v>0</v>
      </c>
      <c r="L4251">
        <v>12237</v>
      </c>
      <c r="M4251">
        <v>0.221554</v>
      </c>
      <c r="N4251">
        <v>3</v>
      </c>
      <c r="O4251" s="1" t="s">
        <v>560</v>
      </c>
      <c r="P4251">
        <v>2711.19</v>
      </c>
      <c r="Q4251">
        <v>2168.94</v>
      </c>
      <c r="R4251">
        <v>0</v>
      </c>
      <c r="S4251" s="1" t="s">
        <v>732</v>
      </c>
      <c r="T4251" s="1"/>
      <c r="U4251">
        <v>2711.1869999999999</v>
      </c>
      <c r="V4251">
        <v>0</v>
      </c>
      <c r="W4251">
        <v>58260</v>
      </c>
    </row>
    <row r="4252" spans="1:23" x14ac:dyDescent="0.25">
      <c r="A4252" s="1" t="s">
        <v>40</v>
      </c>
      <c r="B4252" s="1" t="s">
        <v>86</v>
      </c>
      <c r="C4252" s="1" t="s">
        <v>213</v>
      </c>
      <c r="D4252">
        <v>5468</v>
      </c>
      <c r="E4252" s="1"/>
      <c r="F4252" s="1" t="s">
        <v>213</v>
      </c>
      <c r="G4252">
        <v>2010</v>
      </c>
      <c r="H4252">
        <v>93.01</v>
      </c>
      <c r="I4252">
        <v>5</v>
      </c>
      <c r="J4252" s="1" t="s">
        <v>458</v>
      </c>
      <c r="K4252">
        <v>0</v>
      </c>
      <c r="L4252">
        <v>12237</v>
      </c>
      <c r="M4252">
        <v>7.6E-3</v>
      </c>
      <c r="N4252">
        <v>3</v>
      </c>
      <c r="O4252" s="1" t="s">
        <v>560</v>
      </c>
      <c r="P4252">
        <v>93.01</v>
      </c>
      <c r="Q4252">
        <v>74.400000000000006</v>
      </c>
      <c r="R4252">
        <v>0</v>
      </c>
      <c r="S4252" s="1" t="s">
        <v>734</v>
      </c>
      <c r="T4252" s="1"/>
      <c r="U4252">
        <v>92.999989999999997</v>
      </c>
      <c r="V4252">
        <v>0</v>
      </c>
      <c r="W4252">
        <v>85967</v>
      </c>
    </row>
    <row r="4253" spans="1:23" x14ac:dyDescent="0.25">
      <c r="A4253" s="1" t="s">
        <v>40</v>
      </c>
      <c r="B4253" s="1" t="s">
        <v>86</v>
      </c>
      <c r="C4253" s="1" t="s">
        <v>213</v>
      </c>
      <c r="D4253">
        <v>5468</v>
      </c>
      <c r="E4253" s="1"/>
      <c r="F4253" s="1" t="s">
        <v>213</v>
      </c>
      <c r="G4253">
        <v>2009</v>
      </c>
      <c r="H4253">
        <v>488.12</v>
      </c>
      <c r="I4253">
        <v>12</v>
      </c>
      <c r="J4253" s="1"/>
      <c r="K4253">
        <v>0</v>
      </c>
      <c r="L4253">
        <v>12237</v>
      </c>
      <c r="M4253">
        <v>3.9888E-2</v>
      </c>
      <c r="N4253">
        <v>3</v>
      </c>
      <c r="O4253" s="1" t="s">
        <v>560</v>
      </c>
      <c r="P4253">
        <v>488.12</v>
      </c>
      <c r="Q4253">
        <v>390.5</v>
      </c>
      <c r="R4253">
        <v>1</v>
      </c>
      <c r="S4253" s="1" t="s">
        <v>730</v>
      </c>
      <c r="T4253" s="1"/>
      <c r="U4253">
        <v>488.12700000000001</v>
      </c>
      <c r="V4253">
        <v>0</v>
      </c>
      <c r="W4253">
        <v>57827</v>
      </c>
    </row>
    <row r="4254" spans="1:23" x14ac:dyDescent="0.25">
      <c r="A4254" s="1" t="s">
        <v>40</v>
      </c>
      <c r="B4254" s="1" t="s">
        <v>86</v>
      </c>
      <c r="C4254" s="1" t="s">
        <v>213</v>
      </c>
      <c r="D4254">
        <v>5468</v>
      </c>
      <c r="E4254" s="1"/>
      <c r="F4254" s="1" t="s">
        <v>213</v>
      </c>
      <c r="G4254">
        <v>2009</v>
      </c>
      <c r="H4254">
        <v>85.88</v>
      </c>
      <c r="I4254">
        <v>12</v>
      </c>
      <c r="J4254" s="1"/>
      <c r="K4254">
        <v>0</v>
      </c>
      <c r="L4254">
        <v>12237</v>
      </c>
      <c r="M4254">
        <v>7.0179999999999999E-3</v>
      </c>
      <c r="N4254">
        <v>3</v>
      </c>
      <c r="O4254" s="1" t="s">
        <v>560</v>
      </c>
      <c r="P4254">
        <v>85.88</v>
      </c>
      <c r="Q4254">
        <v>68.709999999999994</v>
      </c>
      <c r="R4254">
        <v>1</v>
      </c>
      <c r="S4254" s="1" t="s">
        <v>731</v>
      </c>
      <c r="T4254" s="1"/>
      <c r="U4254">
        <v>85.88</v>
      </c>
      <c r="V4254">
        <v>0</v>
      </c>
      <c r="W4254">
        <v>57829</v>
      </c>
    </row>
    <row r="4255" spans="1:23" x14ac:dyDescent="0.25">
      <c r="A4255" s="1" t="s">
        <v>40</v>
      </c>
      <c r="B4255" s="1" t="s">
        <v>86</v>
      </c>
      <c r="C4255" s="1" t="s">
        <v>213</v>
      </c>
      <c r="D4255">
        <v>5468</v>
      </c>
      <c r="E4255" s="1"/>
      <c r="F4255" s="1" t="s">
        <v>213</v>
      </c>
      <c r="G4255">
        <v>2009</v>
      </c>
      <c r="H4255">
        <v>2642.78</v>
      </c>
      <c r="I4255">
        <v>12</v>
      </c>
      <c r="J4255" s="1"/>
      <c r="K4255">
        <v>0</v>
      </c>
      <c r="L4255">
        <v>12237</v>
      </c>
      <c r="M4255">
        <v>0.21596399999999999</v>
      </c>
      <c r="N4255">
        <v>3</v>
      </c>
      <c r="O4255" s="1" t="s">
        <v>560</v>
      </c>
      <c r="P4255">
        <v>2642.78</v>
      </c>
      <c r="Q4255">
        <v>2114.2199999999998</v>
      </c>
      <c r="R4255">
        <v>0</v>
      </c>
      <c r="S4255" s="1" t="s">
        <v>732</v>
      </c>
      <c r="T4255" s="1"/>
      <c r="U4255">
        <v>2642.779</v>
      </c>
      <c r="V4255">
        <v>0</v>
      </c>
      <c r="W4255">
        <v>58260</v>
      </c>
    </row>
    <row r="4256" spans="1:23" x14ac:dyDescent="0.25">
      <c r="A4256" s="1" t="s">
        <v>40</v>
      </c>
      <c r="B4256" s="1" t="s">
        <v>86</v>
      </c>
      <c r="C4256" s="1" t="s">
        <v>213</v>
      </c>
      <c r="D4256">
        <v>5468</v>
      </c>
      <c r="E4256" s="1"/>
      <c r="F4256" s="1" t="s">
        <v>213</v>
      </c>
      <c r="G4256">
        <v>2008</v>
      </c>
      <c r="H4256">
        <v>969</v>
      </c>
      <c r="I4256">
        <v>5</v>
      </c>
      <c r="J4256" s="1" t="s">
        <v>455</v>
      </c>
      <c r="K4256">
        <v>0</v>
      </c>
      <c r="L4256">
        <v>12237</v>
      </c>
      <c r="M4256">
        <v>7.9185000000000005E-2</v>
      </c>
      <c r="N4256">
        <v>3</v>
      </c>
      <c r="O4256" s="1" t="s">
        <v>560</v>
      </c>
      <c r="P4256">
        <v>969</v>
      </c>
      <c r="Q4256">
        <v>775.2</v>
      </c>
      <c r="R4256">
        <v>0</v>
      </c>
      <c r="S4256" s="1" t="s">
        <v>732</v>
      </c>
      <c r="T4256" s="1"/>
      <c r="U4256">
        <v>969</v>
      </c>
      <c r="V4256">
        <v>0</v>
      </c>
      <c r="W4256">
        <v>57826</v>
      </c>
    </row>
    <row r="4257" spans="1:23" x14ac:dyDescent="0.25">
      <c r="A4257" s="1" t="s">
        <v>40</v>
      </c>
      <c r="B4257" s="1" t="s">
        <v>86</v>
      </c>
      <c r="C4257" s="1" t="s">
        <v>213</v>
      </c>
      <c r="D4257">
        <v>5468</v>
      </c>
      <c r="E4257" s="1"/>
      <c r="F4257" s="1" t="s">
        <v>213</v>
      </c>
      <c r="G4257">
        <v>2008</v>
      </c>
      <c r="H4257">
        <v>308.88</v>
      </c>
      <c r="I4257">
        <v>12</v>
      </c>
      <c r="J4257" s="1"/>
      <c r="K4257">
        <v>0</v>
      </c>
      <c r="L4257">
        <v>12237</v>
      </c>
      <c r="M4257">
        <v>2.5241E-2</v>
      </c>
      <c r="N4257">
        <v>3</v>
      </c>
      <c r="O4257" s="1" t="s">
        <v>560</v>
      </c>
      <c r="P4257">
        <v>308.88</v>
      </c>
      <c r="Q4257">
        <v>247.09</v>
      </c>
      <c r="R4257">
        <v>1</v>
      </c>
      <c r="S4257" s="1" t="s">
        <v>730</v>
      </c>
      <c r="T4257" s="1"/>
      <c r="U4257">
        <v>308.875</v>
      </c>
      <c r="V4257">
        <v>0</v>
      </c>
      <c r="W4257">
        <v>57827</v>
      </c>
    </row>
    <row r="4258" spans="1:23" x14ac:dyDescent="0.25">
      <c r="A4258" s="1" t="s">
        <v>40</v>
      </c>
      <c r="B4258" s="1" t="s">
        <v>86</v>
      </c>
      <c r="C4258" s="1" t="s">
        <v>213</v>
      </c>
      <c r="D4258">
        <v>5468</v>
      </c>
      <c r="E4258" s="1"/>
      <c r="F4258" s="1" t="s">
        <v>213</v>
      </c>
      <c r="G4258">
        <v>2008</v>
      </c>
      <c r="H4258">
        <v>93.33</v>
      </c>
      <c r="I4258">
        <v>12</v>
      </c>
      <c r="J4258" s="1"/>
      <c r="K4258">
        <v>0</v>
      </c>
      <c r="L4258">
        <v>12237</v>
      </c>
      <c r="M4258">
        <v>7.626E-3</v>
      </c>
      <c r="N4258">
        <v>3</v>
      </c>
      <c r="O4258" s="1" t="s">
        <v>560</v>
      </c>
      <c r="P4258">
        <v>93.33</v>
      </c>
      <c r="Q4258">
        <v>74.650000000000006</v>
      </c>
      <c r="R4258">
        <v>1</v>
      </c>
      <c r="S4258" s="1" t="s">
        <v>731</v>
      </c>
      <c r="T4258" s="1"/>
      <c r="U4258">
        <v>93.33</v>
      </c>
      <c r="V4258">
        <v>0</v>
      </c>
      <c r="W4258">
        <v>57829</v>
      </c>
    </row>
    <row r="4259" spans="1:23" x14ac:dyDescent="0.25">
      <c r="A4259" s="1" t="s">
        <v>40</v>
      </c>
      <c r="B4259" s="1" t="s">
        <v>86</v>
      </c>
      <c r="C4259" s="1" t="s">
        <v>213</v>
      </c>
      <c r="D4259">
        <v>5468</v>
      </c>
      <c r="E4259" s="1"/>
      <c r="F4259" s="1" t="s">
        <v>213</v>
      </c>
      <c r="G4259">
        <v>2008</v>
      </c>
      <c r="H4259">
        <v>35</v>
      </c>
      <c r="I4259">
        <v>5</v>
      </c>
      <c r="J4259" s="1" t="s">
        <v>455</v>
      </c>
      <c r="K4259">
        <v>0</v>
      </c>
      <c r="L4259">
        <v>12237</v>
      </c>
      <c r="M4259">
        <v>2.8600000000000001E-3</v>
      </c>
      <c r="N4259">
        <v>3</v>
      </c>
      <c r="O4259" s="1" t="s">
        <v>560</v>
      </c>
      <c r="P4259">
        <v>35</v>
      </c>
      <c r="Q4259">
        <v>28</v>
      </c>
      <c r="R4259">
        <v>1</v>
      </c>
      <c r="S4259" s="1" t="s">
        <v>731</v>
      </c>
      <c r="T4259" s="1"/>
      <c r="U4259">
        <v>35</v>
      </c>
      <c r="V4259">
        <v>0</v>
      </c>
      <c r="W4259">
        <v>57830</v>
      </c>
    </row>
    <row r="4260" spans="1:23" x14ac:dyDescent="0.25">
      <c r="A4260" s="1" t="s">
        <v>40</v>
      </c>
      <c r="B4260" s="1" t="s">
        <v>86</v>
      </c>
      <c r="C4260" s="1" t="s">
        <v>213</v>
      </c>
      <c r="D4260">
        <v>5468</v>
      </c>
      <c r="E4260" s="1"/>
      <c r="F4260" s="1" t="s">
        <v>213</v>
      </c>
      <c r="G4260">
        <v>2008</v>
      </c>
      <c r="H4260">
        <v>2163.91</v>
      </c>
      <c r="I4260">
        <v>12</v>
      </c>
      <c r="J4260" s="1"/>
      <c r="K4260">
        <v>0</v>
      </c>
      <c r="L4260">
        <v>12237</v>
      </c>
      <c r="M4260">
        <v>0.17683099999999999</v>
      </c>
      <c r="N4260">
        <v>3</v>
      </c>
      <c r="O4260" s="1" t="s">
        <v>560</v>
      </c>
      <c r="P4260">
        <v>2163.91</v>
      </c>
      <c r="Q4260">
        <v>1731.13</v>
      </c>
      <c r="R4260">
        <v>0</v>
      </c>
      <c r="S4260" s="1" t="s">
        <v>732</v>
      </c>
      <c r="T4260" s="1"/>
      <c r="U4260">
        <v>2163.9160000000002</v>
      </c>
      <c r="V4260">
        <v>0</v>
      </c>
      <c r="W4260">
        <v>58260</v>
      </c>
    </row>
    <row r="4261" spans="1:23" x14ac:dyDescent="0.25">
      <c r="A4261" s="1" t="s">
        <v>40</v>
      </c>
      <c r="B4261" s="1" t="s">
        <v>87</v>
      </c>
      <c r="C4261" s="1" t="s">
        <v>214</v>
      </c>
      <c r="D4261">
        <v>5954</v>
      </c>
      <c r="E4261" s="1"/>
      <c r="F4261" s="1" t="s">
        <v>352</v>
      </c>
      <c r="G4261">
        <v>2015</v>
      </c>
      <c r="H4261">
        <v>50.37</v>
      </c>
      <c r="I4261">
        <v>5</v>
      </c>
      <c r="J4261" s="1" t="s">
        <v>426</v>
      </c>
      <c r="K4261">
        <v>0</v>
      </c>
      <c r="L4261">
        <v>475</v>
      </c>
      <c r="M4261">
        <v>0.106019</v>
      </c>
      <c r="N4261">
        <v>3</v>
      </c>
      <c r="O4261" s="1" t="s">
        <v>560</v>
      </c>
      <c r="P4261">
        <v>50.37</v>
      </c>
      <c r="Q4261">
        <v>40.299999999999997</v>
      </c>
      <c r="R4261">
        <v>0</v>
      </c>
      <c r="S4261" s="1" t="s">
        <v>735</v>
      </c>
      <c r="T4261" s="1"/>
      <c r="U4261">
        <v>50.372999999999998</v>
      </c>
      <c r="V4261">
        <v>0</v>
      </c>
      <c r="W4261">
        <v>59982</v>
      </c>
    </row>
    <row r="4262" spans="1:23" x14ac:dyDescent="0.25">
      <c r="A4262" s="1" t="s">
        <v>40</v>
      </c>
      <c r="B4262" s="1" t="s">
        <v>87</v>
      </c>
      <c r="C4262" s="1" t="s">
        <v>214</v>
      </c>
      <c r="D4262">
        <v>5954</v>
      </c>
      <c r="E4262" s="1"/>
      <c r="F4262" s="1" t="s">
        <v>352</v>
      </c>
      <c r="G4262">
        <v>2014</v>
      </c>
      <c r="H4262">
        <v>173.93</v>
      </c>
      <c r="I4262">
        <v>12</v>
      </c>
      <c r="J4262" s="1" t="s">
        <v>426</v>
      </c>
      <c r="K4262">
        <v>0</v>
      </c>
      <c r="L4262">
        <v>475</v>
      </c>
      <c r="M4262">
        <v>0.366091</v>
      </c>
      <c r="N4262">
        <v>3</v>
      </c>
      <c r="O4262" s="1" t="s">
        <v>560</v>
      </c>
      <c r="P4262">
        <v>173.93</v>
      </c>
      <c r="Q4262">
        <v>139.15</v>
      </c>
      <c r="R4262">
        <v>0</v>
      </c>
      <c r="S4262" s="1" t="s">
        <v>735</v>
      </c>
      <c r="T4262" s="1"/>
      <c r="U4262">
        <v>173.935</v>
      </c>
      <c r="V4262">
        <v>0</v>
      </c>
      <c r="W4262">
        <v>59982</v>
      </c>
    </row>
    <row r="4263" spans="1:23" x14ac:dyDescent="0.25">
      <c r="A4263" s="1" t="s">
        <v>40</v>
      </c>
      <c r="B4263" s="1" t="s">
        <v>87</v>
      </c>
      <c r="C4263" s="1" t="s">
        <v>214</v>
      </c>
      <c r="D4263">
        <v>5954</v>
      </c>
      <c r="E4263" s="1"/>
      <c r="F4263" s="1" t="s">
        <v>352</v>
      </c>
      <c r="G4263">
        <v>2013</v>
      </c>
      <c r="H4263">
        <v>203.36</v>
      </c>
      <c r="I4263">
        <v>12</v>
      </c>
      <c r="J4263" s="1" t="s">
        <v>426</v>
      </c>
      <c r="K4263">
        <v>0</v>
      </c>
      <c r="L4263">
        <v>475</v>
      </c>
      <c r="M4263">
        <v>0.42803600000000003</v>
      </c>
      <c r="N4263">
        <v>3</v>
      </c>
      <c r="O4263" s="1" t="s">
        <v>560</v>
      </c>
      <c r="P4263">
        <v>203.36</v>
      </c>
      <c r="Q4263">
        <v>162.68</v>
      </c>
      <c r="R4263">
        <v>0</v>
      </c>
      <c r="S4263" s="1" t="s">
        <v>735</v>
      </c>
      <c r="T4263" s="1"/>
      <c r="U4263">
        <v>203.37</v>
      </c>
      <c r="V4263">
        <v>0</v>
      </c>
      <c r="W4263">
        <v>59982</v>
      </c>
    </row>
    <row r="4264" spans="1:23" x14ac:dyDescent="0.25">
      <c r="A4264" s="1" t="s">
        <v>40</v>
      </c>
      <c r="B4264" s="1" t="s">
        <v>87</v>
      </c>
      <c r="C4264" s="1" t="s">
        <v>214</v>
      </c>
      <c r="D4264">
        <v>5954</v>
      </c>
      <c r="E4264" s="1"/>
      <c r="F4264" s="1" t="s">
        <v>352</v>
      </c>
      <c r="G4264">
        <v>2012</v>
      </c>
      <c r="H4264">
        <v>247.37</v>
      </c>
      <c r="I4264">
        <v>12</v>
      </c>
      <c r="J4264" s="1" t="s">
        <v>426</v>
      </c>
      <c r="K4264">
        <v>0</v>
      </c>
      <c r="L4264">
        <v>475</v>
      </c>
      <c r="M4264">
        <v>0.52066900000000005</v>
      </c>
      <c r="N4264">
        <v>3</v>
      </c>
      <c r="O4264" s="1" t="s">
        <v>560</v>
      </c>
      <c r="P4264">
        <v>247.37</v>
      </c>
      <c r="Q4264">
        <v>197.9</v>
      </c>
      <c r="R4264">
        <v>0</v>
      </c>
      <c r="S4264" s="1" t="s">
        <v>735</v>
      </c>
      <c r="T4264" s="1"/>
      <c r="U4264">
        <v>247.36743000000001</v>
      </c>
      <c r="V4264">
        <v>0</v>
      </c>
      <c r="W4264">
        <v>59982</v>
      </c>
    </row>
    <row r="4265" spans="1:23" x14ac:dyDescent="0.25">
      <c r="A4265" s="1" t="s">
        <v>40</v>
      </c>
      <c r="B4265" s="1" t="s">
        <v>87</v>
      </c>
      <c r="C4265" s="1" t="s">
        <v>214</v>
      </c>
      <c r="D4265">
        <v>5954</v>
      </c>
      <c r="E4265" s="1"/>
      <c r="F4265" s="1" t="s">
        <v>352</v>
      </c>
      <c r="G4265">
        <v>2011</v>
      </c>
      <c r="H4265">
        <v>223.19</v>
      </c>
      <c r="I4265">
        <v>12</v>
      </c>
      <c r="J4265" s="1" t="s">
        <v>426</v>
      </c>
      <c r="K4265">
        <v>0</v>
      </c>
      <c r="L4265">
        <v>475</v>
      </c>
      <c r="M4265">
        <v>0.46977400000000002</v>
      </c>
      <c r="N4265">
        <v>3</v>
      </c>
      <c r="O4265" s="1" t="s">
        <v>560</v>
      </c>
      <c r="P4265">
        <v>223.19</v>
      </c>
      <c r="Q4265">
        <v>178.55</v>
      </c>
      <c r="R4265">
        <v>0</v>
      </c>
      <c r="S4265" s="1" t="s">
        <v>735</v>
      </c>
      <c r="T4265" s="1"/>
      <c r="U4265">
        <v>223.18672000000001</v>
      </c>
      <c r="V4265">
        <v>0</v>
      </c>
      <c r="W4265">
        <v>59982</v>
      </c>
    </row>
    <row r="4266" spans="1:23" x14ac:dyDescent="0.25">
      <c r="A4266" s="1" t="s">
        <v>40</v>
      </c>
      <c r="B4266" s="1" t="s">
        <v>87</v>
      </c>
      <c r="C4266" s="1" t="s">
        <v>214</v>
      </c>
      <c r="D4266">
        <v>5954</v>
      </c>
      <c r="E4266" s="1"/>
      <c r="F4266" s="1" t="s">
        <v>352</v>
      </c>
      <c r="G4266">
        <v>2010</v>
      </c>
      <c r="H4266">
        <v>352.01</v>
      </c>
      <c r="I4266">
        <v>11</v>
      </c>
      <c r="J4266" s="1" t="s">
        <v>426</v>
      </c>
      <c r="K4266">
        <v>0</v>
      </c>
      <c r="L4266">
        <v>475</v>
      </c>
      <c r="M4266">
        <v>0.74091700000000005</v>
      </c>
      <c r="N4266">
        <v>3</v>
      </c>
      <c r="O4266" s="1" t="s">
        <v>560</v>
      </c>
      <c r="P4266">
        <v>352.01</v>
      </c>
      <c r="Q4266">
        <v>281.64</v>
      </c>
      <c r="R4266">
        <v>0</v>
      </c>
      <c r="S4266" s="1" t="s">
        <v>735</v>
      </c>
      <c r="T4266" s="1"/>
      <c r="U4266">
        <v>352.02656000000002</v>
      </c>
      <c r="V4266">
        <v>0</v>
      </c>
      <c r="W4266">
        <v>59982</v>
      </c>
    </row>
    <row r="4267" spans="1:23" x14ac:dyDescent="0.25">
      <c r="A4267" s="1" t="s">
        <v>40</v>
      </c>
      <c r="B4267" s="1" t="s">
        <v>87</v>
      </c>
      <c r="C4267" s="1" t="s">
        <v>214</v>
      </c>
      <c r="D4267">
        <v>5954</v>
      </c>
      <c r="E4267" s="1"/>
      <c r="F4267" s="1" t="s">
        <v>352</v>
      </c>
      <c r="G4267">
        <v>2009</v>
      </c>
      <c r="H4267">
        <v>240.17</v>
      </c>
      <c r="I4267">
        <v>11</v>
      </c>
      <c r="J4267" s="1" t="s">
        <v>426</v>
      </c>
      <c r="K4267">
        <v>0</v>
      </c>
      <c r="L4267">
        <v>475</v>
      </c>
      <c r="M4267">
        <v>0.50551400000000002</v>
      </c>
      <c r="N4267">
        <v>3</v>
      </c>
      <c r="O4267" s="1" t="s">
        <v>560</v>
      </c>
      <c r="P4267">
        <v>240.17</v>
      </c>
      <c r="Q4267">
        <v>192.15</v>
      </c>
      <c r="R4267">
        <v>0</v>
      </c>
      <c r="S4267" s="1" t="s">
        <v>735</v>
      </c>
      <c r="T4267" s="1"/>
      <c r="U4267">
        <v>240.17122000000001</v>
      </c>
      <c r="V4267">
        <v>0</v>
      </c>
      <c r="W4267">
        <v>59982</v>
      </c>
    </row>
    <row r="4268" spans="1:23" x14ac:dyDescent="0.25">
      <c r="A4268" s="1" t="s">
        <v>40</v>
      </c>
      <c r="B4268" s="1" t="s">
        <v>87</v>
      </c>
      <c r="C4268" s="1" t="s">
        <v>214</v>
      </c>
      <c r="D4268">
        <v>5954</v>
      </c>
      <c r="E4268" s="1"/>
      <c r="F4268" s="1" t="s">
        <v>352</v>
      </c>
      <c r="G4268">
        <v>2008</v>
      </c>
      <c r="H4268">
        <v>196.73</v>
      </c>
      <c r="I4268">
        <v>12</v>
      </c>
      <c r="J4268" s="1" t="s">
        <v>426</v>
      </c>
      <c r="K4268">
        <v>0</v>
      </c>
      <c r="L4268">
        <v>475</v>
      </c>
      <c r="M4268">
        <v>0.41408099999999998</v>
      </c>
      <c r="N4268">
        <v>3</v>
      </c>
      <c r="O4268" s="1" t="s">
        <v>560</v>
      </c>
      <c r="P4268">
        <v>196.73</v>
      </c>
      <c r="Q4268">
        <v>157.38</v>
      </c>
      <c r="R4268">
        <v>0</v>
      </c>
      <c r="S4268" s="1" t="s">
        <v>735</v>
      </c>
      <c r="T4268" s="1"/>
      <c r="U4268">
        <v>196.73255</v>
      </c>
      <c r="V4268">
        <v>0</v>
      </c>
      <c r="W4268">
        <v>59982</v>
      </c>
    </row>
    <row r="4269" spans="1:23" x14ac:dyDescent="0.25">
      <c r="A4269" s="1" t="s">
        <v>40</v>
      </c>
      <c r="B4269" s="1" t="s">
        <v>88</v>
      </c>
      <c r="C4269" s="1" t="s">
        <v>215</v>
      </c>
      <c r="D4269">
        <v>5429</v>
      </c>
      <c r="E4269" s="1"/>
      <c r="F4269" s="1" t="s">
        <v>215</v>
      </c>
      <c r="G4269">
        <v>2015</v>
      </c>
      <c r="H4269">
        <v>91.3</v>
      </c>
      <c r="I4269">
        <v>5</v>
      </c>
      <c r="J4269" s="1"/>
      <c r="K4269">
        <v>0</v>
      </c>
      <c r="L4269">
        <v>1747</v>
      </c>
      <c r="M4269">
        <v>5.2257999999999999E-2</v>
      </c>
      <c r="N4269">
        <v>3</v>
      </c>
      <c r="O4269" s="1" t="s">
        <v>560</v>
      </c>
      <c r="P4269">
        <v>91.3</v>
      </c>
      <c r="Q4269">
        <v>73.03</v>
      </c>
      <c r="R4269">
        <v>0</v>
      </c>
      <c r="S4269" s="1" t="s">
        <v>736</v>
      </c>
      <c r="T4269" s="1"/>
      <c r="U4269">
        <v>91.298000000000002</v>
      </c>
      <c r="V4269">
        <v>0</v>
      </c>
      <c r="W4269">
        <v>57410</v>
      </c>
    </row>
    <row r="4270" spans="1:23" x14ac:dyDescent="0.25">
      <c r="A4270" s="1" t="s">
        <v>40</v>
      </c>
      <c r="B4270" s="1" t="s">
        <v>88</v>
      </c>
      <c r="C4270" s="1" t="s">
        <v>215</v>
      </c>
      <c r="D4270">
        <v>5429</v>
      </c>
      <c r="E4270" s="1"/>
      <c r="F4270" s="1" t="s">
        <v>215</v>
      </c>
      <c r="G4270">
        <v>2014</v>
      </c>
      <c r="H4270">
        <v>453.99</v>
      </c>
      <c r="I4270">
        <v>12</v>
      </c>
      <c r="J4270" s="1"/>
      <c r="K4270">
        <v>0</v>
      </c>
      <c r="L4270">
        <v>1747</v>
      </c>
      <c r="M4270">
        <v>0.259853</v>
      </c>
      <c r="N4270">
        <v>3</v>
      </c>
      <c r="O4270" s="1" t="s">
        <v>560</v>
      </c>
      <c r="P4270">
        <v>453.99</v>
      </c>
      <c r="Q4270">
        <v>363.18</v>
      </c>
      <c r="R4270">
        <v>0</v>
      </c>
      <c r="S4270" s="1" t="s">
        <v>736</v>
      </c>
      <c r="T4270" s="1"/>
      <c r="U4270">
        <v>453.988</v>
      </c>
      <c r="V4270">
        <v>0</v>
      </c>
      <c r="W4270">
        <v>57410</v>
      </c>
    </row>
    <row r="4271" spans="1:23" x14ac:dyDescent="0.25">
      <c r="A4271" s="1" t="s">
        <v>40</v>
      </c>
      <c r="B4271" s="1" t="s">
        <v>88</v>
      </c>
      <c r="C4271" s="1" t="s">
        <v>215</v>
      </c>
      <c r="D4271">
        <v>5429</v>
      </c>
      <c r="E4271" s="1"/>
      <c r="F4271" s="1" t="s">
        <v>215</v>
      </c>
      <c r="G4271">
        <v>2013</v>
      </c>
      <c r="H4271">
        <v>385.16</v>
      </c>
      <c r="I4271">
        <v>12</v>
      </c>
      <c r="J4271" s="1"/>
      <c r="K4271">
        <v>0</v>
      </c>
      <c r="L4271">
        <v>1747</v>
      </c>
      <c r="M4271">
        <v>0.22045600000000001</v>
      </c>
      <c r="N4271">
        <v>3</v>
      </c>
      <c r="O4271" s="1" t="s">
        <v>560</v>
      </c>
      <c r="P4271">
        <v>385.16</v>
      </c>
      <c r="Q4271">
        <v>308.12</v>
      </c>
      <c r="R4271">
        <v>0</v>
      </c>
      <c r="S4271" s="1" t="s">
        <v>736</v>
      </c>
      <c r="T4271" s="1"/>
      <c r="U4271">
        <v>385.15800000000002</v>
      </c>
      <c r="V4271">
        <v>0</v>
      </c>
      <c r="W4271">
        <v>57410</v>
      </c>
    </row>
    <row r="4272" spans="1:23" x14ac:dyDescent="0.25">
      <c r="A4272" s="1" t="s">
        <v>40</v>
      </c>
      <c r="B4272" s="1" t="s">
        <v>88</v>
      </c>
      <c r="C4272" s="1" t="s">
        <v>215</v>
      </c>
      <c r="D4272">
        <v>5429</v>
      </c>
      <c r="E4272" s="1"/>
      <c r="F4272" s="1" t="s">
        <v>215</v>
      </c>
      <c r="G4272">
        <v>2012</v>
      </c>
      <c r="H4272">
        <v>417.53</v>
      </c>
      <c r="I4272">
        <v>12</v>
      </c>
      <c r="J4272" s="1"/>
      <c r="K4272">
        <v>0</v>
      </c>
      <c r="L4272">
        <v>1747</v>
      </c>
      <c r="M4272">
        <v>0.238984</v>
      </c>
      <c r="N4272">
        <v>3</v>
      </c>
      <c r="O4272" s="1" t="s">
        <v>560</v>
      </c>
      <c r="P4272">
        <v>417.53</v>
      </c>
      <c r="Q4272">
        <v>334.03</v>
      </c>
      <c r="R4272">
        <v>0</v>
      </c>
      <c r="S4272" s="1" t="s">
        <v>736</v>
      </c>
      <c r="T4272" s="1"/>
      <c r="U4272">
        <v>417.54199999999997</v>
      </c>
      <c r="V4272">
        <v>0</v>
      </c>
      <c r="W4272">
        <v>57410</v>
      </c>
    </row>
    <row r="4273" spans="1:23" x14ac:dyDescent="0.25">
      <c r="A4273" s="1" t="s">
        <v>40</v>
      </c>
      <c r="B4273" s="1" t="s">
        <v>88</v>
      </c>
      <c r="C4273" s="1" t="s">
        <v>215</v>
      </c>
      <c r="D4273">
        <v>5429</v>
      </c>
      <c r="E4273" s="1"/>
      <c r="F4273" s="1" t="s">
        <v>215</v>
      </c>
      <c r="G4273">
        <v>2011</v>
      </c>
      <c r="H4273">
        <v>612.1</v>
      </c>
      <c r="I4273">
        <v>12</v>
      </c>
      <c r="J4273" s="1"/>
      <c r="K4273">
        <v>0</v>
      </c>
      <c r="L4273">
        <v>1747</v>
      </c>
      <c r="M4273">
        <v>0.350352</v>
      </c>
      <c r="N4273">
        <v>3</v>
      </c>
      <c r="O4273" s="1" t="s">
        <v>560</v>
      </c>
      <c r="P4273">
        <v>612.1</v>
      </c>
      <c r="Q4273">
        <v>489.71</v>
      </c>
      <c r="R4273">
        <v>0</v>
      </c>
      <c r="S4273" s="1" t="s">
        <v>736</v>
      </c>
      <c r="T4273" s="1"/>
      <c r="U4273">
        <v>612.11546999999996</v>
      </c>
      <c r="V4273">
        <v>0</v>
      </c>
      <c r="W4273">
        <v>57410</v>
      </c>
    </row>
    <row r="4274" spans="1:23" x14ac:dyDescent="0.25">
      <c r="A4274" s="1" t="s">
        <v>40</v>
      </c>
      <c r="B4274" s="1" t="s">
        <v>88</v>
      </c>
      <c r="C4274" s="1" t="s">
        <v>215</v>
      </c>
      <c r="D4274">
        <v>5429</v>
      </c>
      <c r="E4274" s="1"/>
      <c r="F4274" s="1" t="s">
        <v>215</v>
      </c>
      <c r="G4274">
        <v>2010</v>
      </c>
      <c r="H4274">
        <v>531.07000000000005</v>
      </c>
      <c r="I4274">
        <v>12</v>
      </c>
      <c r="J4274" s="1"/>
      <c r="K4274">
        <v>0</v>
      </c>
      <c r="L4274">
        <v>1747</v>
      </c>
      <c r="M4274">
        <v>0.30397200000000002</v>
      </c>
      <c r="N4274">
        <v>3</v>
      </c>
      <c r="O4274" s="1" t="s">
        <v>560</v>
      </c>
      <c r="P4274">
        <v>531.07000000000005</v>
      </c>
      <c r="Q4274">
        <v>424.85</v>
      </c>
      <c r="R4274">
        <v>0</v>
      </c>
      <c r="S4274" s="1" t="s">
        <v>736</v>
      </c>
      <c r="T4274" s="1"/>
      <c r="U4274">
        <v>531.07351000000006</v>
      </c>
      <c r="V4274">
        <v>0</v>
      </c>
      <c r="W4274">
        <v>57410</v>
      </c>
    </row>
    <row r="4275" spans="1:23" x14ac:dyDescent="0.25">
      <c r="A4275" s="1" t="s">
        <v>40</v>
      </c>
      <c r="B4275" s="1" t="s">
        <v>88</v>
      </c>
      <c r="C4275" s="1" t="s">
        <v>215</v>
      </c>
      <c r="D4275">
        <v>5429</v>
      </c>
      <c r="E4275" s="1"/>
      <c r="F4275" s="1" t="s">
        <v>215</v>
      </c>
      <c r="G4275">
        <v>2009</v>
      </c>
      <c r="H4275">
        <v>359.24</v>
      </c>
      <c r="I4275">
        <v>12</v>
      </c>
      <c r="J4275" s="1"/>
      <c r="K4275">
        <v>0</v>
      </c>
      <c r="L4275">
        <v>1747</v>
      </c>
      <c r="M4275">
        <v>0.20562</v>
      </c>
      <c r="N4275">
        <v>3</v>
      </c>
      <c r="O4275" s="1" t="s">
        <v>560</v>
      </c>
      <c r="P4275">
        <v>359.24</v>
      </c>
      <c r="Q4275">
        <v>287.43</v>
      </c>
      <c r="R4275">
        <v>0</v>
      </c>
      <c r="S4275" s="1" t="s">
        <v>736</v>
      </c>
      <c r="T4275" s="1"/>
      <c r="U4275">
        <v>359.274</v>
      </c>
      <c r="V4275">
        <v>0</v>
      </c>
      <c r="W4275">
        <v>57410</v>
      </c>
    </row>
    <row r="4276" spans="1:23" x14ac:dyDescent="0.25">
      <c r="A4276" s="1" t="s">
        <v>40</v>
      </c>
      <c r="B4276" s="1" t="s">
        <v>88</v>
      </c>
      <c r="C4276" s="1" t="s">
        <v>215</v>
      </c>
      <c r="D4276">
        <v>5429</v>
      </c>
      <c r="E4276" s="1"/>
      <c r="F4276" s="1" t="s">
        <v>215</v>
      </c>
      <c r="G4276">
        <v>2008</v>
      </c>
      <c r="H4276">
        <v>406.32</v>
      </c>
      <c r="I4276">
        <v>12</v>
      </c>
      <c r="J4276" s="1"/>
      <c r="K4276">
        <v>0</v>
      </c>
      <c r="L4276">
        <v>1747</v>
      </c>
      <c r="M4276">
        <v>0.232568</v>
      </c>
      <c r="N4276">
        <v>3</v>
      </c>
      <c r="O4276" s="1" t="s">
        <v>560</v>
      </c>
      <c r="P4276">
        <v>406.32</v>
      </c>
      <c r="Q4276">
        <v>325.06</v>
      </c>
      <c r="R4276">
        <v>0</v>
      </c>
      <c r="S4276" s="1" t="s">
        <v>736</v>
      </c>
      <c r="T4276" s="1"/>
      <c r="U4276">
        <v>406.31900000000002</v>
      </c>
      <c r="V4276">
        <v>0</v>
      </c>
      <c r="W4276">
        <v>57410</v>
      </c>
    </row>
    <row r="4277" spans="1:23" x14ac:dyDescent="0.25">
      <c r="A4277" s="1" t="s">
        <v>40</v>
      </c>
      <c r="B4277" s="1" t="s">
        <v>89</v>
      </c>
      <c r="C4277" s="1" t="s">
        <v>216</v>
      </c>
      <c r="D4277">
        <v>5265</v>
      </c>
      <c r="E4277" s="1"/>
      <c r="F4277" s="1" t="s">
        <v>216</v>
      </c>
      <c r="G4277">
        <v>2015</v>
      </c>
      <c r="H4277">
        <v>52.13</v>
      </c>
      <c r="I4277">
        <v>5</v>
      </c>
      <c r="J4277" s="1" t="s">
        <v>404</v>
      </c>
      <c r="K4277">
        <v>0</v>
      </c>
      <c r="L4277">
        <v>585</v>
      </c>
      <c r="M4277">
        <v>8.9094999999999994E-2</v>
      </c>
      <c r="N4277">
        <v>3</v>
      </c>
      <c r="O4277" s="1" t="s">
        <v>560</v>
      </c>
      <c r="P4277">
        <v>52.13</v>
      </c>
      <c r="Q4277">
        <v>41.71</v>
      </c>
      <c r="R4277">
        <v>0</v>
      </c>
      <c r="S4277" s="1" t="s">
        <v>737</v>
      </c>
      <c r="T4277" s="1"/>
      <c r="U4277">
        <v>52.137999999999998</v>
      </c>
      <c r="V4277">
        <v>0</v>
      </c>
      <c r="W4277">
        <v>56775</v>
      </c>
    </row>
    <row r="4278" spans="1:23" x14ac:dyDescent="0.25">
      <c r="A4278" s="1" t="s">
        <v>40</v>
      </c>
      <c r="B4278" s="1" t="s">
        <v>89</v>
      </c>
      <c r="C4278" s="1" t="s">
        <v>216</v>
      </c>
      <c r="D4278">
        <v>5265</v>
      </c>
      <c r="E4278" s="1"/>
      <c r="F4278" s="1" t="s">
        <v>216</v>
      </c>
      <c r="G4278">
        <v>2014</v>
      </c>
      <c r="H4278">
        <v>155.56</v>
      </c>
      <c r="I4278">
        <v>12</v>
      </c>
      <c r="J4278" s="1" t="s">
        <v>404</v>
      </c>
      <c r="K4278">
        <v>0</v>
      </c>
      <c r="L4278">
        <v>585</v>
      </c>
      <c r="M4278">
        <v>0.26586900000000002</v>
      </c>
      <c r="N4278">
        <v>3</v>
      </c>
      <c r="O4278" s="1" t="s">
        <v>560</v>
      </c>
      <c r="P4278">
        <v>155.56</v>
      </c>
      <c r="Q4278">
        <v>124.43</v>
      </c>
      <c r="R4278">
        <v>0</v>
      </c>
      <c r="S4278" s="1" t="s">
        <v>737</v>
      </c>
      <c r="T4278" s="1"/>
      <c r="U4278">
        <v>155.55199999999999</v>
      </c>
      <c r="V4278">
        <v>0</v>
      </c>
      <c r="W4278">
        <v>56775</v>
      </c>
    </row>
    <row r="4279" spans="1:23" x14ac:dyDescent="0.25">
      <c r="A4279" s="1" t="s">
        <v>40</v>
      </c>
      <c r="B4279" s="1" t="s">
        <v>89</v>
      </c>
      <c r="C4279" s="1" t="s">
        <v>216</v>
      </c>
      <c r="D4279">
        <v>5265</v>
      </c>
      <c r="E4279" s="1"/>
      <c r="F4279" s="1" t="s">
        <v>216</v>
      </c>
      <c r="G4279">
        <v>2013</v>
      </c>
      <c r="H4279">
        <v>136.71</v>
      </c>
      <c r="I4279">
        <v>12</v>
      </c>
      <c r="J4279" s="1" t="s">
        <v>404</v>
      </c>
      <c r="K4279">
        <v>0</v>
      </c>
      <c r="L4279">
        <v>585</v>
      </c>
      <c r="M4279">
        <v>0.233652</v>
      </c>
      <c r="N4279">
        <v>3</v>
      </c>
      <c r="O4279" s="1" t="s">
        <v>560</v>
      </c>
      <c r="P4279">
        <v>136.71</v>
      </c>
      <c r="Q4279">
        <v>109.38</v>
      </c>
      <c r="R4279">
        <v>0</v>
      </c>
      <c r="S4279" s="1" t="s">
        <v>737</v>
      </c>
      <c r="T4279" s="1"/>
      <c r="U4279">
        <v>136.715</v>
      </c>
      <c r="V4279">
        <v>0</v>
      </c>
      <c r="W4279">
        <v>56775</v>
      </c>
    </row>
    <row r="4280" spans="1:23" x14ac:dyDescent="0.25">
      <c r="A4280" s="1" t="s">
        <v>40</v>
      </c>
      <c r="B4280" s="1" t="s">
        <v>89</v>
      </c>
      <c r="C4280" s="1" t="s">
        <v>216</v>
      </c>
      <c r="D4280">
        <v>5265</v>
      </c>
      <c r="E4280" s="1"/>
      <c r="F4280" s="1" t="s">
        <v>216</v>
      </c>
      <c r="G4280">
        <v>2012</v>
      </c>
      <c r="H4280">
        <v>129.1</v>
      </c>
      <c r="I4280">
        <v>12</v>
      </c>
      <c r="J4280" s="1" t="s">
        <v>404</v>
      </c>
      <c r="K4280">
        <v>0</v>
      </c>
      <c r="L4280">
        <v>585</v>
      </c>
      <c r="M4280">
        <v>0.22064600000000001</v>
      </c>
      <c r="N4280">
        <v>3</v>
      </c>
      <c r="O4280" s="1" t="s">
        <v>560</v>
      </c>
      <c r="P4280">
        <v>129.1</v>
      </c>
      <c r="Q4280">
        <v>103.28</v>
      </c>
      <c r="R4280">
        <v>0</v>
      </c>
      <c r="S4280" s="1" t="s">
        <v>737</v>
      </c>
      <c r="T4280" s="1"/>
      <c r="U4280">
        <v>129.101</v>
      </c>
      <c r="V4280">
        <v>0</v>
      </c>
      <c r="W4280">
        <v>56775</v>
      </c>
    </row>
    <row r="4281" spans="1:23" x14ac:dyDescent="0.25">
      <c r="A4281" s="1" t="s">
        <v>40</v>
      </c>
      <c r="B4281" s="1" t="s">
        <v>89</v>
      </c>
      <c r="C4281" s="1" t="s">
        <v>216</v>
      </c>
      <c r="D4281">
        <v>5265</v>
      </c>
      <c r="E4281" s="1"/>
      <c r="F4281" s="1" t="s">
        <v>216</v>
      </c>
      <c r="G4281">
        <v>2011</v>
      </c>
      <c r="H4281">
        <v>151.59</v>
      </c>
      <c r="I4281">
        <v>12</v>
      </c>
      <c r="J4281" s="1" t="s">
        <v>404</v>
      </c>
      <c r="K4281">
        <v>0</v>
      </c>
      <c r="L4281">
        <v>585</v>
      </c>
      <c r="M4281">
        <v>0.25908300000000001</v>
      </c>
      <c r="N4281">
        <v>3</v>
      </c>
      <c r="O4281" s="1" t="s">
        <v>560</v>
      </c>
      <c r="P4281">
        <v>151.59</v>
      </c>
      <c r="Q4281">
        <v>121.28</v>
      </c>
      <c r="R4281">
        <v>0</v>
      </c>
      <c r="S4281" s="1" t="s">
        <v>737</v>
      </c>
      <c r="T4281" s="1"/>
      <c r="U4281">
        <v>151.59</v>
      </c>
      <c r="V4281">
        <v>0</v>
      </c>
      <c r="W4281">
        <v>56775</v>
      </c>
    </row>
    <row r="4282" spans="1:23" x14ac:dyDescent="0.25">
      <c r="A4282" s="1" t="s">
        <v>40</v>
      </c>
      <c r="B4282" s="1" t="s">
        <v>89</v>
      </c>
      <c r="C4282" s="1" t="s">
        <v>216</v>
      </c>
      <c r="D4282">
        <v>5265</v>
      </c>
      <c r="E4282" s="1"/>
      <c r="F4282" s="1" t="s">
        <v>216</v>
      </c>
      <c r="G4282">
        <v>2010</v>
      </c>
      <c r="H4282">
        <v>162.44</v>
      </c>
      <c r="I4282">
        <v>12</v>
      </c>
      <c r="J4282" s="1" t="s">
        <v>404</v>
      </c>
      <c r="K4282">
        <v>0</v>
      </c>
      <c r="L4282">
        <v>585</v>
      </c>
      <c r="M4282">
        <v>0.27762700000000001</v>
      </c>
      <c r="N4282">
        <v>3</v>
      </c>
      <c r="O4282" s="1" t="s">
        <v>560</v>
      </c>
      <c r="P4282">
        <v>162.44</v>
      </c>
      <c r="Q4282">
        <v>129.96</v>
      </c>
      <c r="R4282">
        <v>0</v>
      </c>
      <c r="S4282" s="1" t="s">
        <v>737</v>
      </c>
      <c r="T4282" s="1"/>
      <c r="U4282">
        <v>162.44999999999999</v>
      </c>
      <c r="V4282">
        <v>0</v>
      </c>
      <c r="W4282">
        <v>56775</v>
      </c>
    </row>
    <row r="4283" spans="1:23" x14ac:dyDescent="0.25">
      <c r="A4283" s="1" t="s">
        <v>40</v>
      </c>
      <c r="B4283" s="1" t="s">
        <v>89</v>
      </c>
      <c r="C4283" s="1" t="s">
        <v>216</v>
      </c>
      <c r="D4283">
        <v>5265</v>
      </c>
      <c r="E4283" s="1"/>
      <c r="F4283" s="1" t="s">
        <v>216</v>
      </c>
      <c r="G4283">
        <v>2009</v>
      </c>
      <c r="H4283">
        <v>150.57</v>
      </c>
      <c r="I4283">
        <v>12</v>
      </c>
      <c r="J4283" s="1" t="s">
        <v>404</v>
      </c>
      <c r="K4283">
        <v>0</v>
      </c>
      <c r="L4283">
        <v>585</v>
      </c>
      <c r="M4283">
        <v>0.25734000000000001</v>
      </c>
      <c r="N4283">
        <v>3</v>
      </c>
      <c r="O4283" s="1" t="s">
        <v>560</v>
      </c>
      <c r="P4283">
        <v>150.57</v>
      </c>
      <c r="Q4283">
        <v>120.48</v>
      </c>
      <c r="R4283">
        <v>0</v>
      </c>
      <c r="S4283" s="1" t="s">
        <v>737</v>
      </c>
      <c r="T4283" s="1"/>
      <c r="U4283">
        <v>150.58199999999999</v>
      </c>
      <c r="V4283">
        <v>0</v>
      </c>
      <c r="W4283">
        <v>56775</v>
      </c>
    </row>
    <row r="4284" spans="1:23" x14ac:dyDescent="0.25">
      <c r="A4284" s="1" t="s">
        <v>40</v>
      </c>
      <c r="B4284" s="1" t="s">
        <v>89</v>
      </c>
      <c r="C4284" s="1" t="s">
        <v>216</v>
      </c>
      <c r="D4284">
        <v>5265</v>
      </c>
      <c r="E4284" s="1"/>
      <c r="F4284" s="1" t="s">
        <v>216</v>
      </c>
      <c r="G4284">
        <v>2008</v>
      </c>
      <c r="H4284">
        <v>170.8</v>
      </c>
      <c r="I4284">
        <v>12</v>
      </c>
      <c r="J4284" s="1" t="s">
        <v>404</v>
      </c>
      <c r="K4284">
        <v>0</v>
      </c>
      <c r="L4284">
        <v>585</v>
      </c>
      <c r="M4284">
        <v>0.29191499999999998</v>
      </c>
      <c r="N4284">
        <v>3</v>
      </c>
      <c r="O4284" s="1" t="s">
        <v>560</v>
      </c>
      <c r="P4284">
        <v>170.8</v>
      </c>
      <c r="Q4284">
        <v>136.65</v>
      </c>
      <c r="R4284">
        <v>0</v>
      </c>
      <c r="S4284" s="1" t="s">
        <v>737</v>
      </c>
      <c r="T4284" s="1"/>
      <c r="U4284">
        <v>170.797</v>
      </c>
      <c r="V4284">
        <v>0</v>
      </c>
      <c r="W4284">
        <v>56775</v>
      </c>
    </row>
    <row r="4285" spans="1:23" x14ac:dyDescent="0.25">
      <c r="A4285" s="1" t="s">
        <v>40</v>
      </c>
      <c r="B4285" s="1" t="s">
        <v>90</v>
      </c>
      <c r="C4285" s="1" t="s">
        <v>217</v>
      </c>
      <c r="D4285">
        <v>5266</v>
      </c>
      <c r="E4285" s="1"/>
      <c r="F4285" s="1" t="s">
        <v>217</v>
      </c>
      <c r="G4285">
        <v>2015</v>
      </c>
      <c r="H4285">
        <v>65.23</v>
      </c>
      <c r="I4285">
        <v>5</v>
      </c>
      <c r="J4285" s="1" t="s">
        <v>404</v>
      </c>
      <c r="K4285">
        <v>0</v>
      </c>
      <c r="L4285">
        <v>585</v>
      </c>
      <c r="M4285">
        <v>0.111485</v>
      </c>
      <c r="N4285">
        <v>3</v>
      </c>
      <c r="O4285" s="1" t="s">
        <v>560</v>
      </c>
      <c r="P4285">
        <v>65.23</v>
      </c>
      <c r="Q4285">
        <v>52.18</v>
      </c>
      <c r="R4285">
        <v>0</v>
      </c>
      <c r="S4285" s="1" t="s">
        <v>738</v>
      </c>
      <c r="T4285" s="1"/>
      <c r="U4285">
        <v>65.224000000000004</v>
      </c>
      <c r="V4285">
        <v>0</v>
      </c>
      <c r="W4285">
        <v>56781</v>
      </c>
    </row>
    <row r="4286" spans="1:23" x14ac:dyDescent="0.25">
      <c r="A4286" s="1" t="s">
        <v>40</v>
      </c>
      <c r="B4286" s="1" t="s">
        <v>90</v>
      </c>
      <c r="C4286" s="1" t="s">
        <v>217</v>
      </c>
      <c r="D4286">
        <v>5266</v>
      </c>
      <c r="E4286" s="1"/>
      <c r="F4286" s="1" t="s">
        <v>217</v>
      </c>
      <c r="G4286">
        <v>2014</v>
      </c>
      <c r="H4286">
        <v>161.05000000000001</v>
      </c>
      <c r="I4286">
        <v>12</v>
      </c>
      <c r="J4286" s="1" t="s">
        <v>404</v>
      </c>
      <c r="K4286">
        <v>0</v>
      </c>
      <c r="L4286">
        <v>585</v>
      </c>
      <c r="M4286">
        <v>0.275252</v>
      </c>
      <c r="N4286">
        <v>3</v>
      </c>
      <c r="O4286" s="1" t="s">
        <v>560</v>
      </c>
      <c r="P4286">
        <v>161.05000000000001</v>
      </c>
      <c r="Q4286">
        <v>128.83000000000001</v>
      </c>
      <c r="R4286">
        <v>0</v>
      </c>
      <c r="S4286" s="1" t="s">
        <v>738</v>
      </c>
      <c r="T4286" s="1"/>
      <c r="U4286">
        <v>161.04</v>
      </c>
      <c r="V4286">
        <v>0</v>
      </c>
      <c r="W4286">
        <v>56781</v>
      </c>
    </row>
    <row r="4287" spans="1:23" x14ac:dyDescent="0.25">
      <c r="A4287" s="1" t="s">
        <v>40</v>
      </c>
      <c r="B4287" s="1" t="s">
        <v>90</v>
      </c>
      <c r="C4287" s="1" t="s">
        <v>217</v>
      </c>
      <c r="D4287">
        <v>5266</v>
      </c>
      <c r="E4287" s="1"/>
      <c r="F4287" s="1" t="s">
        <v>217</v>
      </c>
      <c r="G4287">
        <v>2013</v>
      </c>
      <c r="H4287">
        <v>184.54</v>
      </c>
      <c r="I4287">
        <v>12</v>
      </c>
      <c r="J4287" s="1" t="s">
        <v>404</v>
      </c>
      <c r="K4287">
        <v>0</v>
      </c>
      <c r="L4287">
        <v>585</v>
      </c>
      <c r="M4287">
        <v>0.31539899999999998</v>
      </c>
      <c r="N4287">
        <v>3</v>
      </c>
      <c r="O4287" s="1" t="s">
        <v>560</v>
      </c>
      <c r="P4287">
        <v>184.54</v>
      </c>
      <c r="Q4287">
        <v>147.62</v>
      </c>
      <c r="R4287">
        <v>0</v>
      </c>
      <c r="S4287" s="1" t="s">
        <v>738</v>
      </c>
      <c r="T4287" s="1"/>
      <c r="U4287">
        <v>184.541</v>
      </c>
      <c r="V4287">
        <v>0</v>
      </c>
      <c r="W4287">
        <v>56781</v>
      </c>
    </row>
    <row r="4288" spans="1:23" x14ac:dyDescent="0.25">
      <c r="A4288" s="1" t="s">
        <v>40</v>
      </c>
      <c r="B4288" s="1" t="s">
        <v>90</v>
      </c>
      <c r="C4288" s="1" t="s">
        <v>217</v>
      </c>
      <c r="D4288">
        <v>5266</v>
      </c>
      <c r="E4288" s="1"/>
      <c r="F4288" s="1" t="s">
        <v>217</v>
      </c>
      <c r="G4288">
        <v>2012</v>
      </c>
      <c r="H4288">
        <v>172.84</v>
      </c>
      <c r="I4288">
        <v>12</v>
      </c>
      <c r="J4288" s="1" t="s">
        <v>404</v>
      </c>
      <c r="K4288">
        <v>0</v>
      </c>
      <c r="L4288">
        <v>585</v>
      </c>
      <c r="M4288">
        <v>0.295402</v>
      </c>
      <c r="N4288">
        <v>3</v>
      </c>
      <c r="O4288" s="1" t="s">
        <v>560</v>
      </c>
      <c r="P4288">
        <v>172.84</v>
      </c>
      <c r="Q4288">
        <v>138.26</v>
      </c>
      <c r="R4288">
        <v>0</v>
      </c>
      <c r="S4288" s="1" t="s">
        <v>738</v>
      </c>
      <c r="T4288" s="1"/>
      <c r="U4288">
        <v>172.82400000000001</v>
      </c>
      <c r="V4288">
        <v>0</v>
      </c>
      <c r="W4288">
        <v>56781</v>
      </c>
    </row>
    <row r="4289" spans="1:23" x14ac:dyDescent="0.25">
      <c r="A4289" s="1" t="s">
        <v>40</v>
      </c>
      <c r="B4289" s="1" t="s">
        <v>90</v>
      </c>
      <c r="C4289" s="1" t="s">
        <v>217</v>
      </c>
      <c r="D4289">
        <v>5266</v>
      </c>
      <c r="E4289" s="1"/>
      <c r="F4289" s="1" t="s">
        <v>217</v>
      </c>
      <c r="G4289">
        <v>2011</v>
      </c>
      <c r="H4289">
        <v>176.38</v>
      </c>
      <c r="I4289">
        <v>12</v>
      </c>
      <c r="J4289" s="1" t="s">
        <v>404</v>
      </c>
      <c r="K4289">
        <v>0</v>
      </c>
      <c r="L4289">
        <v>585</v>
      </c>
      <c r="M4289">
        <v>0.301452</v>
      </c>
      <c r="N4289">
        <v>3</v>
      </c>
      <c r="O4289" s="1" t="s">
        <v>560</v>
      </c>
      <c r="P4289">
        <v>176.38</v>
      </c>
      <c r="Q4289">
        <v>141.09</v>
      </c>
      <c r="R4289">
        <v>0</v>
      </c>
      <c r="S4289" s="1" t="s">
        <v>738</v>
      </c>
      <c r="T4289" s="1"/>
      <c r="U4289">
        <v>176.369</v>
      </c>
      <c r="V4289">
        <v>0</v>
      </c>
      <c r="W4289">
        <v>56781</v>
      </c>
    </row>
    <row r="4290" spans="1:23" x14ac:dyDescent="0.25">
      <c r="A4290" s="1" t="s">
        <v>40</v>
      </c>
      <c r="B4290" s="1" t="s">
        <v>90</v>
      </c>
      <c r="C4290" s="1" t="s">
        <v>217</v>
      </c>
      <c r="D4290">
        <v>5266</v>
      </c>
      <c r="E4290" s="1"/>
      <c r="F4290" s="1" t="s">
        <v>217</v>
      </c>
      <c r="G4290">
        <v>2010</v>
      </c>
      <c r="H4290">
        <v>212.72</v>
      </c>
      <c r="I4290">
        <v>12</v>
      </c>
      <c r="J4290" s="1" t="s">
        <v>404</v>
      </c>
      <c r="K4290">
        <v>0</v>
      </c>
      <c r="L4290">
        <v>585</v>
      </c>
      <c r="M4290">
        <v>0.36356100000000002</v>
      </c>
      <c r="N4290">
        <v>3</v>
      </c>
      <c r="O4290" s="1" t="s">
        <v>560</v>
      </c>
      <c r="P4290">
        <v>212.72</v>
      </c>
      <c r="Q4290">
        <v>170.18</v>
      </c>
      <c r="R4290">
        <v>0</v>
      </c>
      <c r="S4290" s="1" t="s">
        <v>738</v>
      </c>
      <c r="T4290" s="1"/>
      <c r="U4290">
        <v>212.726</v>
      </c>
      <c r="V4290">
        <v>0</v>
      </c>
      <c r="W4290">
        <v>56781</v>
      </c>
    </row>
    <row r="4291" spans="1:23" x14ac:dyDescent="0.25">
      <c r="A4291" s="1" t="s">
        <v>40</v>
      </c>
      <c r="B4291" s="1" t="s">
        <v>90</v>
      </c>
      <c r="C4291" s="1" t="s">
        <v>217</v>
      </c>
      <c r="D4291">
        <v>5266</v>
      </c>
      <c r="E4291" s="1"/>
      <c r="F4291" s="1" t="s">
        <v>217</v>
      </c>
      <c r="G4291">
        <v>2009</v>
      </c>
      <c r="H4291">
        <v>234.8</v>
      </c>
      <c r="I4291">
        <v>12</v>
      </c>
      <c r="J4291" s="1" t="s">
        <v>404</v>
      </c>
      <c r="K4291">
        <v>0</v>
      </c>
      <c r="L4291">
        <v>585</v>
      </c>
      <c r="M4291">
        <v>0.40129799999999999</v>
      </c>
      <c r="N4291">
        <v>3</v>
      </c>
      <c r="O4291" s="1" t="s">
        <v>560</v>
      </c>
      <c r="P4291">
        <v>234.8</v>
      </c>
      <c r="Q4291">
        <v>187.86</v>
      </c>
      <c r="R4291">
        <v>0</v>
      </c>
      <c r="S4291" s="1" t="s">
        <v>738</v>
      </c>
      <c r="T4291" s="1"/>
      <c r="U4291">
        <v>234.80500000000001</v>
      </c>
      <c r="V4291">
        <v>0</v>
      </c>
      <c r="W4291">
        <v>56781</v>
      </c>
    </row>
    <row r="4292" spans="1:23" x14ac:dyDescent="0.25">
      <c r="A4292" s="1" t="s">
        <v>40</v>
      </c>
      <c r="B4292" s="1" t="s">
        <v>90</v>
      </c>
      <c r="C4292" s="1" t="s">
        <v>217</v>
      </c>
      <c r="D4292">
        <v>5266</v>
      </c>
      <c r="E4292" s="1"/>
      <c r="F4292" s="1" t="s">
        <v>217</v>
      </c>
      <c r="G4292">
        <v>2008</v>
      </c>
      <c r="H4292">
        <v>211.86</v>
      </c>
      <c r="I4292">
        <v>12</v>
      </c>
      <c r="J4292" s="1" t="s">
        <v>404</v>
      </c>
      <c r="K4292">
        <v>0</v>
      </c>
      <c r="L4292">
        <v>585</v>
      </c>
      <c r="M4292">
        <v>0.362091</v>
      </c>
      <c r="N4292">
        <v>3</v>
      </c>
      <c r="O4292" s="1" t="s">
        <v>560</v>
      </c>
      <c r="P4292">
        <v>211.86</v>
      </c>
      <c r="Q4292">
        <v>169.49</v>
      </c>
      <c r="R4292">
        <v>0</v>
      </c>
      <c r="S4292" s="1" t="s">
        <v>738</v>
      </c>
      <c r="T4292" s="1"/>
      <c r="U4292">
        <v>211.86</v>
      </c>
      <c r="V4292">
        <v>0</v>
      </c>
      <c r="W4292">
        <v>56781</v>
      </c>
    </row>
    <row r="4293" spans="1:23" x14ac:dyDescent="0.25">
      <c r="A4293" s="1" t="s">
        <v>40</v>
      </c>
      <c r="B4293" s="1"/>
      <c r="C4293" s="1" t="s">
        <v>218</v>
      </c>
      <c r="D4293">
        <v>11035</v>
      </c>
      <c r="E4293" s="1"/>
      <c r="F4293" s="1" t="s">
        <v>353</v>
      </c>
      <c r="G4293">
        <v>2015</v>
      </c>
      <c r="H4293">
        <v>49.59</v>
      </c>
      <c r="I4293">
        <v>5</v>
      </c>
      <c r="J4293" s="1" t="s">
        <v>459</v>
      </c>
      <c r="K4293">
        <v>0</v>
      </c>
      <c r="L4293">
        <v>225</v>
      </c>
      <c r="M4293">
        <v>0.220302</v>
      </c>
      <c r="N4293">
        <v>3</v>
      </c>
      <c r="O4293" s="1" t="s">
        <v>560</v>
      </c>
      <c r="P4293">
        <v>49.59</v>
      </c>
      <c r="Q4293">
        <v>39.68</v>
      </c>
      <c r="R4293">
        <v>0</v>
      </c>
      <c r="S4293" s="1" t="s">
        <v>739</v>
      </c>
      <c r="T4293" s="1"/>
      <c r="U4293">
        <v>49.585999999999999</v>
      </c>
      <c r="V4293">
        <v>0</v>
      </c>
      <c r="W4293">
        <v>79963</v>
      </c>
    </row>
    <row r="4294" spans="1:23" x14ac:dyDescent="0.25">
      <c r="A4294" s="1" t="s">
        <v>40</v>
      </c>
      <c r="B4294" s="1"/>
      <c r="C4294" s="1" t="s">
        <v>218</v>
      </c>
      <c r="D4294">
        <v>11035</v>
      </c>
      <c r="E4294" s="1"/>
      <c r="F4294" s="1" t="s">
        <v>353</v>
      </c>
      <c r="G4294">
        <v>2014</v>
      </c>
      <c r="H4294">
        <v>101.05</v>
      </c>
      <c r="I4294">
        <v>12</v>
      </c>
      <c r="J4294" s="1" t="s">
        <v>459</v>
      </c>
      <c r="K4294">
        <v>0</v>
      </c>
      <c r="L4294">
        <v>225</v>
      </c>
      <c r="M4294">
        <v>0.448911</v>
      </c>
      <c r="N4294">
        <v>3</v>
      </c>
      <c r="O4294" s="1" t="s">
        <v>560</v>
      </c>
      <c r="P4294">
        <v>101.05</v>
      </c>
      <c r="Q4294">
        <v>80.849999999999994</v>
      </c>
      <c r="R4294">
        <v>0</v>
      </c>
      <c r="S4294" s="1" t="s">
        <v>739</v>
      </c>
      <c r="T4294" s="1"/>
      <c r="U4294">
        <v>101.06599</v>
      </c>
      <c r="V4294">
        <v>0</v>
      </c>
      <c r="W4294">
        <v>79963</v>
      </c>
    </row>
    <row r="4295" spans="1:23" x14ac:dyDescent="0.25">
      <c r="A4295" s="1" t="s">
        <v>40</v>
      </c>
      <c r="B4295" s="1"/>
      <c r="C4295" s="1" t="s">
        <v>218</v>
      </c>
      <c r="D4295">
        <v>11035</v>
      </c>
      <c r="E4295" s="1"/>
      <c r="F4295" s="1" t="s">
        <v>353</v>
      </c>
      <c r="G4295">
        <v>2013</v>
      </c>
      <c r="H4295">
        <v>98.62</v>
      </c>
      <c r="I4295">
        <v>12</v>
      </c>
      <c r="J4295" s="1" t="s">
        <v>459</v>
      </c>
      <c r="K4295">
        <v>0</v>
      </c>
      <c r="L4295">
        <v>225</v>
      </c>
      <c r="M4295">
        <v>0.43811600000000001</v>
      </c>
      <c r="N4295">
        <v>3</v>
      </c>
      <c r="O4295" s="1" t="s">
        <v>560</v>
      </c>
      <c r="P4295">
        <v>98.62</v>
      </c>
      <c r="Q4295">
        <v>78.89</v>
      </c>
      <c r="R4295">
        <v>0</v>
      </c>
      <c r="S4295" s="1" t="s">
        <v>739</v>
      </c>
      <c r="T4295" s="1"/>
      <c r="U4295">
        <v>98.62</v>
      </c>
      <c r="V4295">
        <v>0</v>
      </c>
      <c r="W4295">
        <v>79963</v>
      </c>
    </row>
    <row r="4296" spans="1:23" x14ac:dyDescent="0.25">
      <c r="A4296" s="1" t="s">
        <v>40</v>
      </c>
      <c r="B4296" s="1"/>
      <c r="C4296" s="1" t="s">
        <v>218</v>
      </c>
      <c r="D4296">
        <v>11035</v>
      </c>
      <c r="E4296" s="1"/>
      <c r="F4296" s="1" t="s">
        <v>353</v>
      </c>
      <c r="G4296">
        <v>2012</v>
      </c>
      <c r="H4296">
        <v>151.33000000000001</v>
      </c>
      <c r="I4296">
        <v>13</v>
      </c>
      <c r="J4296" s="1" t="s">
        <v>459</v>
      </c>
      <c r="K4296">
        <v>0</v>
      </c>
      <c r="L4296">
        <v>225</v>
      </c>
      <c r="M4296">
        <v>0.67227800000000004</v>
      </c>
      <c r="N4296">
        <v>3</v>
      </c>
      <c r="O4296" s="1" t="s">
        <v>560</v>
      </c>
      <c r="P4296">
        <v>151.33000000000001</v>
      </c>
      <c r="Q4296">
        <v>121.08</v>
      </c>
      <c r="R4296">
        <v>0</v>
      </c>
      <c r="S4296" s="1" t="s">
        <v>739</v>
      </c>
      <c r="T4296" s="1"/>
      <c r="U4296">
        <v>151.35004000000001</v>
      </c>
      <c r="V4296">
        <v>0</v>
      </c>
      <c r="W4296">
        <v>79963</v>
      </c>
    </row>
    <row r="4297" spans="1:23" x14ac:dyDescent="0.25">
      <c r="A4297" s="1" t="s">
        <v>40</v>
      </c>
      <c r="B4297" s="1"/>
      <c r="C4297" s="1" t="s">
        <v>218</v>
      </c>
      <c r="D4297">
        <v>11035</v>
      </c>
      <c r="E4297" s="1"/>
      <c r="F4297" s="1" t="s">
        <v>353</v>
      </c>
      <c r="G4297">
        <v>2011</v>
      </c>
      <c r="H4297">
        <v>93.48</v>
      </c>
      <c r="I4297">
        <v>6</v>
      </c>
      <c r="J4297" s="1" t="s">
        <v>459</v>
      </c>
      <c r="K4297">
        <v>0</v>
      </c>
      <c r="L4297">
        <v>225</v>
      </c>
      <c r="M4297">
        <v>0.41528199999999998</v>
      </c>
      <c r="N4297">
        <v>3</v>
      </c>
      <c r="O4297" s="1" t="s">
        <v>560</v>
      </c>
      <c r="P4297">
        <v>93.48</v>
      </c>
      <c r="Q4297">
        <v>74.790000000000006</v>
      </c>
      <c r="R4297">
        <v>0</v>
      </c>
      <c r="S4297" s="1" t="s">
        <v>739</v>
      </c>
      <c r="T4297" s="1"/>
      <c r="U4297">
        <v>93.472430000000003</v>
      </c>
      <c r="V4297">
        <v>0</v>
      </c>
      <c r="W4297">
        <v>79963</v>
      </c>
    </row>
    <row r="4298" spans="1:23" x14ac:dyDescent="0.25">
      <c r="A4298" s="1" t="s">
        <v>40</v>
      </c>
      <c r="B4298" s="1"/>
      <c r="C4298" s="1" t="s">
        <v>218</v>
      </c>
      <c r="D4298">
        <v>11035</v>
      </c>
      <c r="E4298" s="1"/>
      <c r="F4298" s="1" t="s">
        <v>353</v>
      </c>
      <c r="G4298">
        <v>2010</v>
      </c>
      <c r="H4298">
        <v>152.01</v>
      </c>
      <c r="I4298">
        <v>4</v>
      </c>
      <c r="J4298" s="1" t="s">
        <v>459</v>
      </c>
      <c r="K4298">
        <v>0</v>
      </c>
      <c r="L4298">
        <v>225</v>
      </c>
      <c r="M4298">
        <v>0.67529899999999998</v>
      </c>
      <c r="N4298">
        <v>3</v>
      </c>
      <c r="O4298" s="1" t="s">
        <v>560</v>
      </c>
      <c r="P4298">
        <v>152.01</v>
      </c>
      <c r="Q4298">
        <v>121.6</v>
      </c>
      <c r="R4298">
        <v>0</v>
      </c>
      <c r="S4298" s="1" t="s">
        <v>739</v>
      </c>
      <c r="T4298" s="1"/>
      <c r="U4298">
        <v>152.00151</v>
      </c>
      <c r="V4298">
        <v>0</v>
      </c>
      <c r="W4298">
        <v>79963</v>
      </c>
    </row>
    <row r="4299" spans="1:23" x14ac:dyDescent="0.25">
      <c r="A4299" s="1" t="s">
        <v>40</v>
      </c>
      <c r="B4299" s="1"/>
      <c r="C4299" s="1" t="s">
        <v>218</v>
      </c>
      <c r="D4299">
        <v>11035</v>
      </c>
      <c r="E4299" s="1"/>
      <c r="F4299" s="1" t="s">
        <v>353</v>
      </c>
      <c r="G4299">
        <v>2009</v>
      </c>
      <c r="H4299">
        <v>126.25</v>
      </c>
      <c r="I4299">
        <v>2</v>
      </c>
      <c r="J4299" s="1" t="s">
        <v>459</v>
      </c>
      <c r="K4299">
        <v>0</v>
      </c>
      <c r="L4299">
        <v>225</v>
      </c>
      <c r="M4299">
        <v>0.56086100000000005</v>
      </c>
      <c r="N4299">
        <v>3</v>
      </c>
      <c r="O4299" s="1" t="s">
        <v>560</v>
      </c>
      <c r="P4299">
        <v>126.25</v>
      </c>
      <c r="Q4299">
        <v>101.03</v>
      </c>
      <c r="R4299">
        <v>0</v>
      </c>
      <c r="S4299" s="1" t="s">
        <v>739</v>
      </c>
      <c r="T4299" s="1"/>
      <c r="U4299">
        <v>126.28269</v>
      </c>
      <c r="V4299">
        <v>0</v>
      </c>
      <c r="W4299">
        <v>79963</v>
      </c>
    </row>
    <row r="4300" spans="1:23" x14ac:dyDescent="0.25">
      <c r="A4300" s="1" t="s">
        <v>40</v>
      </c>
      <c r="B4300" s="1"/>
      <c r="C4300" s="1" t="s">
        <v>218</v>
      </c>
      <c r="D4300">
        <v>11035</v>
      </c>
      <c r="E4300" s="1"/>
      <c r="F4300" s="1" t="s">
        <v>353</v>
      </c>
      <c r="G4300">
        <v>2008</v>
      </c>
      <c r="H4300">
        <v>21.1</v>
      </c>
      <c r="I4300">
        <v>2</v>
      </c>
      <c r="J4300" s="1" t="s">
        <v>459</v>
      </c>
      <c r="K4300">
        <v>0</v>
      </c>
      <c r="L4300">
        <v>225</v>
      </c>
      <c r="M4300">
        <v>9.3736E-2</v>
      </c>
      <c r="N4300">
        <v>3</v>
      </c>
      <c r="O4300" s="1" t="s">
        <v>560</v>
      </c>
      <c r="P4300">
        <v>21.1</v>
      </c>
      <c r="Q4300">
        <v>16.88</v>
      </c>
      <c r="R4300">
        <v>0</v>
      </c>
      <c r="S4300" s="1" t="s">
        <v>739</v>
      </c>
      <c r="T4300" s="1"/>
      <c r="U4300">
        <v>21.1</v>
      </c>
      <c r="V4300">
        <v>0</v>
      </c>
      <c r="W4300">
        <v>79963</v>
      </c>
    </row>
    <row r="4301" spans="1:23" x14ac:dyDescent="0.25">
      <c r="A4301" s="1" t="s">
        <v>40</v>
      </c>
      <c r="B4301" s="1" t="s">
        <v>91</v>
      </c>
      <c r="C4301" s="1" t="s">
        <v>219</v>
      </c>
      <c r="D4301">
        <v>13666</v>
      </c>
      <c r="E4301" s="1" t="s">
        <v>243</v>
      </c>
      <c r="F4301" s="1" t="s">
        <v>354</v>
      </c>
      <c r="G4301">
        <v>2014</v>
      </c>
      <c r="H4301">
        <v>128.91</v>
      </c>
      <c r="I4301">
        <v>4</v>
      </c>
      <c r="J4301" s="1" t="s">
        <v>414</v>
      </c>
      <c r="K4301">
        <v>0</v>
      </c>
      <c r="L4301">
        <v>1155</v>
      </c>
      <c r="M4301">
        <v>0.1116</v>
      </c>
      <c r="N4301">
        <v>3</v>
      </c>
      <c r="O4301" s="1" t="s">
        <v>560</v>
      </c>
      <c r="P4301">
        <v>128.91</v>
      </c>
      <c r="Q4301">
        <v>103.14</v>
      </c>
      <c r="R4301">
        <v>0</v>
      </c>
      <c r="S4301" s="1" t="s">
        <v>740</v>
      </c>
      <c r="T4301" s="1"/>
      <c r="U4301">
        <v>128.90290999999999</v>
      </c>
      <c r="V4301">
        <v>0</v>
      </c>
      <c r="W4301">
        <v>91260</v>
      </c>
    </row>
    <row r="4302" spans="1:23" x14ac:dyDescent="0.25">
      <c r="A4302" s="1" t="s">
        <v>40</v>
      </c>
      <c r="B4302" s="1" t="s">
        <v>91</v>
      </c>
      <c r="C4302" s="1" t="s">
        <v>219</v>
      </c>
      <c r="D4302">
        <v>13666</v>
      </c>
      <c r="E4302" s="1" t="s">
        <v>243</v>
      </c>
      <c r="F4302" s="1" t="s">
        <v>354</v>
      </c>
      <c r="G4302">
        <v>2013</v>
      </c>
      <c r="H4302">
        <v>129.75</v>
      </c>
      <c r="I4302">
        <v>2</v>
      </c>
      <c r="J4302" s="1" t="s">
        <v>414</v>
      </c>
      <c r="K4302">
        <v>0</v>
      </c>
      <c r="L4302">
        <v>1155</v>
      </c>
      <c r="M4302">
        <v>0.112327</v>
      </c>
      <c r="N4302">
        <v>3</v>
      </c>
      <c r="O4302" s="1" t="s">
        <v>560</v>
      </c>
      <c r="P4302">
        <v>129.75</v>
      </c>
      <c r="Q4302">
        <v>103.83</v>
      </c>
      <c r="R4302">
        <v>0</v>
      </c>
      <c r="S4302" s="1" t="s">
        <v>740</v>
      </c>
      <c r="T4302" s="1"/>
      <c r="U4302">
        <v>129.76373000000001</v>
      </c>
      <c r="V4302">
        <v>0</v>
      </c>
      <c r="W4302">
        <v>91260</v>
      </c>
    </row>
    <row r="4303" spans="1:23" x14ac:dyDescent="0.25">
      <c r="A4303" s="1" t="s">
        <v>40</v>
      </c>
      <c r="B4303" s="1" t="s">
        <v>91</v>
      </c>
      <c r="C4303" s="1" t="s">
        <v>219</v>
      </c>
      <c r="D4303">
        <v>13666</v>
      </c>
      <c r="E4303" s="1" t="s">
        <v>243</v>
      </c>
      <c r="F4303" s="1" t="s">
        <v>354</v>
      </c>
      <c r="G4303">
        <v>2012</v>
      </c>
      <c r="H4303">
        <v>7.33</v>
      </c>
      <c r="I4303">
        <v>1</v>
      </c>
      <c r="J4303" s="1" t="s">
        <v>414</v>
      </c>
      <c r="K4303">
        <v>0</v>
      </c>
      <c r="L4303">
        <v>1155</v>
      </c>
      <c r="M4303">
        <v>6.3449999999999999E-3</v>
      </c>
      <c r="N4303">
        <v>3</v>
      </c>
      <c r="O4303" s="1" t="s">
        <v>560</v>
      </c>
      <c r="P4303">
        <v>7.33</v>
      </c>
      <c r="Q4303">
        <v>5.87</v>
      </c>
      <c r="R4303">
        <v>0</v>
      </c>
      <c r="S4303" s="1" t="s">
        <v>740</v>
      </c>
      <c r="T4303" s="1"/>
      <c r="U4303">
        <v>7.3333300000000001</v>
      </c>
      <c r="V4303">
        <v>0</v>
      </c>
      <c r="W4303">
        <v>91260</v>
      </c>
    </row>
    <row r="4304" spans="1:23" x14ac:dyDescent="0.25">
      <c r="A4304" s="1" t="s">
        <v>40</v>
      </c>
      <c r="B4304" s="1" t="s">
        <v>92</v>
      </c>
      <c r="C4304" s="1" t="s">
        <v>220</v>
      </c>
      <c r="D4304">
        <v>13868</v>
      </c>
      <c r="E4304" s="1" t="s">
        <v>243</v>
      </c>
      <c r="F4304" s="1" t="s">
        <v>355</v>
      </c>
      <c r="G4304">
        <v>2015</v>
      </c>
      <c r="H4304">
        <v>133.13</v>
      </c>
      <c r="I4304">
        <v>5</v>
      </c>
      <c r="J4304" s="1" t="s">
        <v>460</v>
      </c>
      <c r="K4304">
        <v>0</v>
      </c>
      <c r="L4304">
        <v>867</v>
      </c>
      <c r="M4304">
        <v>0.153534</v>
      </c>
      <c r="N4304">
        <v>3</v>
      </c>
      <c r="O4304" s="1" t="s">
        <v>560</v>
      </c>
      <c r="P4304">
        <v>133.13</v>
      </c>
      <c r="Q4304">
        <v>106.5</v>
      </c>
      <c r="R4304">
        <v>0</v>
      </c>
      <c r="S4304" s="1" t="s">
        <v>741</v>
      </c>
      <c r="T4304" s="1"/>
      <c r="U4304">
        <v>133.126</v>
      </c>
      <c r="V4304">
        <v>0</v>
      </c>
      <c r="W4304">
        <v>92217</v>
      </c>
    </row>
    <row r="4305" spans="1:23" x14ac:dyDescent="0.25">
      <c r="A4305" s="1" t="s">
        <v>40</v>
      </c>
      <c r="B4305" s="1" t="s">
        <v>92</v>
      </c>
      <c r="C4305" s="1" t="s">
        <v>220</v>
      </c>
      <c r="D4305">
        <v>13868</v>
      </c>
      <c r="E4305" s="1" t="s">
        <v>243</v>
      </c>
      <c r="F4305" s="1" t="s">
        <v>355</v>
      </c>
      <c r="G4305">
        <v>2014</v>
      </c>
      <c r="H4305">
        <v>320.97000000000003</v>
      </c>
      <c r="I4305">
        <v>11</v>
      </c>
      <c r="J4305" s="1" t="s">
        <v>460</v>
      </c>
      <c r="K4305">
        <v>0</v>
      </c>
      <c r="L4305">
        <v>867</v>
      </c>
      <c r="M4305">
        <v>0.37016399999999999</v>
      </c>
      <c r="N4305">
        <v>3</v>
      </c>
      <c r="O4305" s="1" t="s">
        <v>560</v>
      </c>
      <c r="P4305">
        <v>320.97000000000003</v>
      </c>
      <c r="Q4305">
        <v>256.8</v>
      </c>
      <c r="R4305">
        <v>0</v>
      </c>
      <c r="S4305" s="1" t="s">
        <v>741</v>
      </c>
      <c r="T4305" s="1"/>
      <c r="U4305">
        <v>320.98516999999998</v>
      </c>
      <c r="V4305">
        <v>0</v>
      </c>
      <c r="W4305">
        <v>92217</v>
      </c>
    </row>
    <row r="4306" spans="1:23" x14ac:dyDescent="0.25">
      <c r="A4306" s="1" t="s">
        <v>40</v>
      </c>
      <c r="B4306" s="1" t="s">
        <v>92</v>
      </c>
      <c r="C4306" s="1" t="s">
        <v>220</v>
      </c>
      <c r="D4306">
        <v>13868</v>
      </c>
      <c r="E4306" s="1" t="s">
        <v>243</v>
      </c>
      <c r="F4306" s="1" t="s">
        <v>355</v>
      </c>
      <c r="G4306">
        <v>2013</v>
      </c>
      <c r="H4306">
        <v>311.85000000000002</v>
      </c>
      <c r="I4306">
        <v>4</v>
      </c>
      <c r="J4306" s="1" t="s">
        <v>460</v>
      </c>
      <c r="K4306">
        <v>0</v>
      </c>
      <c r="L4306">
        <v>867</v>
      </c>
      <c r="M4306">
        <v>0.35964699999999999</v>
      </c>
      <c r="N4306">
        <v>3</v>
      </c>
      <c r="O4306" s="1" t="s">
        <v>560</v>
      </c>
      <c r="P4306">
        <v>311.85000000000002</v>
      </c>
      <c r="Q4306">
        <v>249.47</v>
      </c>
      <c r="R4306">
        <v>0</v>
      </c>
      <c r="S4306" s="1" t="s">
        <v>741</v>
      </c>
      <c r="T4306" s="1"/>
      <c r="U4306">
        <v>311.84782999999999</v>
      </c>
      <c r="V4306">
        <v>0</v>
      </c>
      <c r="W4306">
        <v>92217</v>
      </c>
    </row>
    <row r="4307" spans="1:23" x14ac:dyDescent="0.25">
      <c r="A4307" s="1" t="s">
        <v>40</v>
      </c>
      <c r="B4307" s="1" t="s">
        <v>93</v>
      </c>
      <c r="C4307" s="1" t="s">
        <v>221</v>
      </c>
      <c r="D4307">
        <v>6370</v>
      </c>
      <c r="E4307" s="1"/>
      <c r="F4307" s="1" t="s">
        <v>356</v>
      </c>
      <c r="G4307">
        <v>2015</v>
      </c>
      <c r="H4307">
        <v>38.31</v>
      </c>
      <c r="I4307">
        <v>5</v>
      </c>
      <c r="J4307" s="1" t="s">
        <v>426</v>
      </c>
      <c r="K4307">
        <v>0</v>
      </c>
      <c r="L4307">
        <v>99</v>
      </c>
      <c r="M4307">
        <v>0.38657900000000001</v>
      </c>
      <c r="N4307">
        <v>3</v>
      </c>
      <c r="O4307" s="1" t="s">
        <v>560</v>
      </c>
      <c r="P4307">
        <v>38.31</v>
      </c>
      <c r="Q4307">
        <v>30.66</v>
      </c>
      <c r="R4307">
        <v>0</v>
      </c>
      <c r="S4307" s="1" t="s">
        <v>742</v>
      </c>
      <c r="T4307" s="1"/>
      <c r="U4307">
        <v>38.311</v>
      </c>
      <c r="V4307">
        <v>0</v>
      </c>
      <c r="W4307">
        <v>62723</v>
      </c>
    </row>
    <row r="4308" spans="1:23" x14ac:dyDescent="0.25">
      <c r="A4308" s="1" t="s">
        <v>40</v>
      </c>
      <c r="B4308" s="1" t="s">
        <v>93</v>
      </c>
      <c r="C4308" s="1" t="s">
        <v>221</v>
      </c>
      <c r="D4308">
        <v>6370</v>
      </c>
      <c r="E4308" s="1"/>
      <c r="F4308" s="1" t="s">
        <v>356</v>
      </c>
      <c r="G4308">
        <v>2014</v>
      </c>
      <c r="H4308">
        <v>94.74</v>
      </c>
      <c r="I4308">
        <v>12</v>
      </c>
      <c r="J4308" s="1" t="s">
        <v>426</v>
      </c>
      <c r="K4308">
        <v>0</v>
      </c>
      <c r="L4308">
        <v>99</v>
      </c>
      <c r="M4308">
        <v>0.95600399999999996</v>
      </c>
      <c r="N4308">
        <v>3</v>
      </c>
      <c r="O4308" s="1" t="s">
        <v>560</v>
      </c>
      <c r="P4308">
        <v>94.74</v>
      </c>
      <c r="Q4308">
        <v>75.790000000000006</v>
      </c>
      <c r="R4308">
        <v>0</v>
      </c>
      <c r="S4308" s="1" t="s">
        <v>742</v>
      </c>
      <c r="T4308" s="1"/>
      <c r="U4308">
        <v>94.738</v>
      </c>
      <c r="V4308">
        <v>0</v>
      </c>
      <c r="W4308">
        <v>62723</v>
      </c>
    </row>
    <row r="4309" spans="1:23" x14ac:dyDescent="0.25">
      <c r="A4309" s="1" t="s">
        <v>40</v>
      </c>
      <c r="B4309" s="1" t="s">
        <v>93</v>
      </c>
      <c r="C4309" s="1" t="s">
        <v>221</v>
      </c>
      <c r="D4309">
        <v>6370</v>
      </c>
      <c r="E4309" s="1"/>
      <c r="F4309" s="1" t="s">
        <v>356</v>
      </c>
      <c r="G4309">
        <v>2013</v>
      </c>
      <c r="H4309">
        <v>95.31</v>
      </c>
      <c r="I4309">
        <v>12</v>
      </c>
      <c r="J4309" s="1" t="s">
        <v>426</v>
      </c>
      <c r="K4309">
        <v>0</v>
      </c>
      <c r="L4309">
        <v>99</v>
      </c>
      <c r="M4309">
        <v>0.96175500000000003</v>
      </c>
      <c r="N4309">
        <v>3</v>
      </c>
      <c r="O4309" s="1" t="s">
        <v>560</v>
      </c>
      <c r="P4309">
        <v>95.31</v>
      </c>
      <c r="Q4309">
        <v>76.25</v>
      </c>
      <c r="R4309">
        <v>0</v>
      </c>
      <c r="S4309" s="1" t="s">
        <v>742</v>
      </c>
      <c r="T4309" s="1"/>
      <c r="U4309">
        <v>95.311999999999998</v>
      </c>
      <c r="V4309">
        <v>0</v>
      </c>
      <c r="W4309">
        <v>62723</v>
      </c>
    </row>
    <row r="4310" spans="1:23" x14ac:dyDescent="0.25">
      <c r="A4310" s="1" t="s">
        <v>40</v>
      </c>
      <c r="B4310" s="1" t="s">
        <v>93</v>
      </c>
      <c r="C4310" s="1" t="s">
        <v>221</v>
      </c>
      <c r="D4310">
        <v>6370</v>
      </c>
      <c r="E4310" s="1"/>
      <c r="F4310" s="1" t="s">
        <v>356</v>
      </c>
      <c r="G4310">
        <v>2012</v>
      </c>
      <c r="H4310">
        <v>91.66</v>
      </c>
      <c r="I4310">
        <v>12</v>
      </c>
      <c r="J4310" s="1" t="s">
        <v>426</v>
      </c>
      <c r="K4310">
        <v>0</v>
      </c>
      <c r="L4310">
        <v>99</v>
      </c>
      <c r="M4310">
        <v>0.92492399999999997</v>
      </c>
      <c r="N4310">
        <v>3</v>
      </c>
      <c r="O4310" s="1" t="s">
        <v>560</v>
      </c>
      <c r="P4310">
        <v>91.66</v>
      </c>
      <c r="Q4310">
        <v>73.33</v>
      </c>
      <c r="R4310">
        <v>0</v>
      </c>
      <c r="S4310" s="1" t="s">
        <v>742</v>
      </c>
      <c r="T4310" s="1"/>
      <c r="U4310">
        <v>91.67</v>
      </c>
      <c r="V4310">
        <v>0</v>
      </c>
      <c r="W4310">
        <v>62723</v>
      </c>
    </row>
    <row r="4311" spans="1:23" x14ac:dyDescent="0.25">
      <c r="A4311" s="1" t="s">
        <v>40</v>
      </c>
      <c r="B4311" s="1" t="s">
        <v>93</v>
      </c>
      <c r="C4311" s="1" t="s">
        <v>221</v>
      </c>
      <c r="D4311">
        <v>6370</v>
      </c>
      <c r="E4311" s="1"/>
      <c r="F4311" s="1" t="s">
        <v>356</v>
      </c>
      <c r="G4311">
        <v>2011</v>
      </c>
      <c r="H4311">
        <v>76.14</v>
      </c>
      <c r="I4311">
        <v>6</v>
      </c>
      <c r="J4311" s="1" t="s">
        <v>426</v>
      </c>
      <c r="K4311">
        <v>0</v>
      </c>
      <c r="L4311">
        <v>99</v>
      </c>
      <c r="M4311">
        <v>0.76831400000000005</v>
      </c>
      <c r="N4311">
        <v>3</v>
      </c>
      <c r="O4311" s="1" t="s">
        <v>560</v>
      </c>
      <c r="P4311">
        <v>76.14</v>
      </c>
      <c r="Q4311">
        <v>60.93</v>
      </c>
      <c r="R4311">
        <v>0</v>
      </c>
      <c r="S4311" s="1" t="s">
        <v>742</v>
      </c>
      <c r="T4311" s="1"/>
      <c r="U4311">
        <v>76.15701</v>
      </c>
      <c r="V4311">
        <v>0</v>
      </c>
      <c r="W4311">
        <v>62723</v>
      </c>
    </row>
    <row r="4312" spans="1:23" x14ac:dyDescent="0.25">
      <c r="A4312" s="1" t="s">
        <v>40</v>
      </c>
      <c r="B4312" s="1" t="s">
        <v>93</v>
      </c>
      <c r="C4312" s="1" t="s">
        <v>221</v>
      </c>
      <c r="D4312">
        <v>6370</v>
      </c>
      <c r="E4312" s="1"/>
      <c r="F4312" s="1" t="s">
        <v>356</v>
      </c>
      <c r="G4312">
        <v>2010</v>
      </c>
      <c r="H4312">
        <v>67.91</v>
      </c>
      <c r="I4312">
        <v>5</v>
      </c>
      <c r="J4312" s="1" t="s">
        <v>426</v>
      </c>
      <c r="K4312">
        <v>0</v>
      </c>
      <c r="L4312">
        <v>99</v>
      </c>
      <c r="M4312">
        <v>0.68526699999999996</v>
      </c>
      <c r="N4312">
        <v>3</v>
      </c>
      <c r="O4312" s="1" t="s">
        <v>560</v>
      </c>
      <c r="P4312">
        <v>67.91</v>
      </c>
      <c r="Q4312">
        <v>54.35</v>
      </c>
      <c r="R4312">
        <v>0</v>
      </c>
      <c r="S4312" s="1" t="s">
        <v>742</v>
      </c>
      <c r="T4312" s="1"/>
      <c r="U4312">
        <v>67.935400000000001</v>
      </c>
      <c r="V4312">
        <v>0</v>
      </c>
      <c r="W4312">
        <v>62723</v>
      </c>
    </row>
    <row r="4313" spans="1:23" x14ac:dyDescent="0.25">
      <c r="A4313" s="1" t="s">
        <v>40</v>
      </c>
      <c r="B4313" s="1" t="s">
        <v>93</v>
      </c>
      <c r="C4313" s="1" t="s">
        <v>221</v>
      </c>
      <c r="D4313">
        <v>6370</v>
      </c>
      <c r="E4313" s="1"/>
      <c r="F4313" s="1" t="s">
        <v>356</v>
      </c>
      <c r="G4313">
        <v>2009</v>
      </c>
      <c r="H4313">
        <v>68.14</v>
      </c>
      <c r="I4313">
        <v>6</v>
      </c>
      <c r="J4313" s="1" t="s">
        <v>426</v>
      </c>
      <c r="K4313">
        <v>0</v>
      </c>
      <c r="L4313">
        <v>99</v>
      </c>
      <c r="M4313">
        <v>0.68758799999999998</v>
      </c>
      <c r="N4313">
        <v>3</v>
      </c>
      <c r="O4313" s="1" t="s">
        <v>560</v>
      </c>
      <c r="P4313">
        <v>68.14</v>
      </c>
      <c r="Q4313">
        <v>54.55</v>
      </c>
      <c r="R4313">
        <v>0</v>
      </c>
      <c r="S4313" s="1" t="s">
        <v>742</v>
      </c>
      <c r="T4313" s="1"/>
      <c r="U4313">
        <v>68.165940000000006</v>
      </c>
      <c r="V4313">
        <v>0</v>
      </c>
      <c r="W4313">
        <v>62723</v>
      </c>
    </row>
    <row r="4314" spans="1:23" x14ac:dyDescent="0.25">
      <c r="A4314" s="1" t="s">
        <v>40</v>
      </c>
      <c r="B4314" s="1" t="s">
        <v>93</v>
      </c>
      <c r="C4314" s="1" t="s">
        <v>221</v>
      </c>
      <c r="D4314">
        <v>6370</v>
      </c>
      <c r="E4314" s="1"/>
      <c r="F4314" s="1" t="s">
        <v>356</v>
      </c>
      <c r="G4314">
        <v>2008</v>
      </c>
      <c r="H4314">
        <v>77.319999999999993</v>
      </c>
      <c r="I4314">
        <v>5</v>
      </c>
      <c r="J4314" s="1" t="s">
        <v>426</v>
      </c>
      <c r="K4314">
        <v>0</v>
      </c>
      <c r="L4314">
        <v>99</v>
      </c>
      <c r="M4314">
        <v>0.78022100000000005</v>
      </c>
      <c r="N4314">
        <v>3</v>
      </c>
      <c r="O4314" s="1" t="s">
        <v>560</v>
      </c>
      <c r="P4314">
        <v>77.319999999999993</v>
      </c>
      <c r="Q4314">
        <v>61.85</v>
      </c>
      <c r="R4314">
        <v>0</v>
      </c>
      <c r="S4314" s="1" t="s">
        <v>742</v>
      </c>
      <c r="T4314" s="1"/>
      <c r="U4314">
        <v>77.31371</v>
      </c>
      <c r="V4314">
        <v>0</v>
      </c>
      <c r="W4314">
        <v>62723</v>
      </c>
    </row>
    <row r="4315" spans="1:23" x14ac:dyDescent="0.25">
      <c r="A4315" s="1" t="s">
        <v>40</v>
      </c>
      <c r="B4315" s="1" t="s">
        <v>47</v>
      </c>
      <c r="C4315" s="1" t="s">
        <v>222</v>
      </c>
      <c r="D4315">
        <v>5953</v>
      </c>
      <c r="E4315" s="1"/>
      <c r="F4315" s="1" t="s">
        <v>357</v>
      </c>
      <c r="G4315">
        <v>2015</v>
      </c>
      <c r="H4315">
        <v>36.630000000000003</v>
      </c>
      <c r="I4315">
        <v>5</v>
      </c>
      <c r="J4315" s="1" t="s">
        <v>399</v>
      </c>
      <c r="K4315">
        <v>0</v>
      </c>
      <c r="L4315">
        <v>272</v>
      </c>
      <c r="M4315">
        <v>0.13461899999999999</v>
      </c>
      <c r="N4315">
        <v>3</v>
      </c>
      <c r="O4315" s="1" t="s">
        <v>560</v>
      </c>
      <c r="P4315">
        <v>36.630000000000003</v>
      </c>
      <c r="Q4315">
        <v>29.29</v>
      </c>
      <c r="R4315">
        <v>0</v>
      </c>
      <c r="S4315" s="1" t="s">
        <v>743</v>
      </c>
      <c r="T4315" s="1"/>
      <c r="U4315">
        <v>36.617429999999999</v>
      </c>
      <c r="V4315">
        <v>0</v>
      </c>
      <c r="W4315">
        <v>59979</v>
      </c>
    </row>
    <row r="4316" spans="1:23" x14ac:dyDescent="0.25">
      <c r="A4316" s="1" t="s">
        <v>40</v>
      </c>
      <c r="B4316" s="1" t="s">
        <v>47</v>
      </c>
      <c r="C4316" s="1" t="s">
        <v>222</v>
      </c>
      <c r="D4316">
        <v>5953</v>
      </c>
      <c r="E4316" s="1"/>
      <c r="F4316" s="1" t="s">
        <v>357</v>
      </c>
      <c r="G4316">
        <v>2014</v>
      </c>
      <c r="H4316">
        <v>165.04</v>
      </c>
      <c r="I4316">
        <v>12</v>
      </c>
      <c r="J4316" s="1" t="s">
        <v>399</v>
      </c>
      <c r="K4316">
        <v>0</v>
      </c>
      <c r="L4316">
        <v>272</v>
      </c>
      <c r="M4316">
        <v>0.606541</v>
      </c>
      <c r="N4316">
        <v>3</v>
      </c>
      <c r="O4316" s="1" t="s">
        <v>560</v>
      </c>
      <c r="P4316">
        <v>165.04</v>
      </c>
      <c r="Q4316">
        <v>132.08000000000001</v>
      </c>
      <c r="R4316">
        <v>0</v>
      </c>
      <c r="S4316" s="1" t="s">
        <v>743</v>
      </c>
      <c r="T4316" s="1"/>
      <c r="U4316">
        <v>165.07326</v>
      </c>
      <c r="V4316">
        <v>0</v>
      </c>
      <c r="W4316">
        <v>59979</v>
      </c>
    </row>
    <row r="4317" spans="1:23" x14ac:dyDescent="0.25">
      <c r="A4317" s="1" t="s">
        <v>40</v>
      </c>
      <c r="B4317" s="1" t="s">
        <v>47</v>
      </c>
      <c r="C4317" s="1" t="s">
        <v>222</v>
      </c>
      <c r="D4317">
        <v>5953</v>
      </c>
      <c r="E4317" s="1"/>
      <c r="F4317" s="1" t="s">
        <v>357</v>
      </c>
      <c r="G4317">
        <v>2013</v>
      </c>
      <c r="H4317">
        <v>163.51</v>
      </c>
      <c r="I4317">
        <v>12</v>
      </c>
      <c r="J4317" s="1" t="s">
        <v>399</v>
      </c>
      <c r="K4317">
        <v>0</v>
      </c>
      <c r="L4317">
        <v>272</v>
      </c>
      <c r="M4317">
        <v>0.60091799999999995</v>
      </c>
      <c r="N4317">
        <v>3</v>
      </c>
      <c r="O4317" s="1" t="s">
        <v>560</v>
      </c>
      <c r="P4317">
        <v>163.51</v>
      </c>
      <c r="Q4317">
        <v>130.79</v>
      </c>
      <c r="R4317">
        <v>0</v>
      </c>
      <c r="S4317" s="1" t="s">
        <v>743</v>
      </c>
      <c r="T4317" s="1"/>
      <c r="U4317">
        <v>163.50334000000001</v>
      </c>
      <c r="V4317">
        <v>0</v>
      </c>
      <c r="W4317">
        <v>59979</v>
      </c>
    </row>
    <row r="4318" spans="1:23" x14ac:dyDescent="0.25">
      <c r="A4318" s="1" t="s">
        <v>40</v>
      </c>
      <c r="B4318" s="1" t="s">
        <v>47</v>
      </c>
      <c r="C4318" s="1" t="s">
        <v>222</v>
      </c>
      <c r="D4318">
        <v>5953</v>
      </c>
      <c r="E4318" s="1"/>
      <c r="F4318" s="1" t="s">
        <v>357</v>
      </c>
      <c r="G4318">
        <v>2012</v>
      </c>
      <c r="H4318">
        <v>174.01</v>
      </c>
      <c r="I4318">
        <v>12</v>
      </c>
      <c r="J4318" s="1" t="s">
        <v>399</v>
      </c>
      <c r="K4318">
        <v>0</v>
      </c>
      <c r="L4318">
        <v>272</v>
      </c>
      <c r="M4318">
        <v>0.63950700000000005</v>
      </c>
      <c r="N4318">
        <v>3</v>
      </c>
      <c r="O4318" s="1" t="s">
        <v>560</v>
      </c>
      <c r="P4318">
        <v>174.01</v>
      </c>
      <c r="Q4318">
        <v>139.21</v>
      </c>
      <c r="R4318">
        <v>0</v>
      </c>
      <c r="S4318" s="1" t="s">
        <v>743</v>
      </c>
      <c r="T4318" s="1"/>
      <c r="U4318">
        <v>174.00001</v>
      </c>
      <c r="V4318">
        <v>0</v>
      </c>
      <c r="W4318">
        <v>59979</v>
      </c>
    </row>
    <row r="4319" spans="1:23" x14ac:dyDescent="0.25">
      <c r="A4319" s="1" t="s">
        <v>40</v>
      </c>
      <c r="B4319" s="1" t="s">
        <v>47</v>
      </c>
      <c r="C4319" s="1" t="s">
        <v>222</v>
      </c>
      <c r="D4319">
        <v>5953</v>
      </c>
      <c r="E4319" s="1"/>
      <c r="F4319" s="1" t="s">
        <v>357</v>
      </c>
      <c r="G4319">
        <v>2011</v>
      </c>
      <c r="H4319">
        <v>264.43</v>
      </c>
      <c r="I4319">
        <v>10</v>
      </c>
      <c r="J4319" s="1" t="s">
        <v>399</v>
      </c>
      <c r="K4319">
        <v>0</v>
      </c>
      <c r="L4319">
        <v>272</v>
      </c>
      <c r="M4319">
        <v>0.97181099999999998</v>
      </c>
      <c r="N4319">
        <v>3</v>
      </c>
      <c r="O4319" s="1" t="s">
        <v>560</v>
      </c>
      <c r="P4319">
        <v>264.43</v>
      </c>
      <c r="Q4319">
        <v>211.55</v>
      </c>
      <c r="R4319">
        <v>0</v>
      </c>
      <c r="S4319" s="1" t="s">
        <v>743</v>
      </c>
      <c r="T4319" s="1"/>
      <c r="U4319">
        <v>264.43671999999998</v>
      </c>
      <c r="V4319">
        <v>0</v>
      </c>
      <c r="W4319">
        <v>59979</v>
      </c>
    </row>
    <row r="4320" spans="1:23" x14ac:dyDescent="0.25">
      <c r="A4320" s="1" t="s">
        <v>40</v>
      </c>
      <c r="B4320" s="1" t="s">
        <v>47</v>
      </c>
      <c r="C4320" s="1" t="s">
        <v>222</v>
      </c>
      <c r="D4320">
        <v>5953</v>
      </c>
      <c r="E4320" s="1"/>
      <c r="F4320" s="1" t="s">
        <v>357</v>
      </c>
      <c r="G4320">
        <v>2010</v>
      </c>
      <c r="H4320">
        <v>265.27999999999997</v>
      </c>
      <c r="I4320">
        <v>4</v>
      </c>
      <c r="J4320" s="1" t="s">
        <v>399</v>
      </c>
      <c r="K4320">
        <v>0</v>
      </c>
      <c r="L4320">
        <v>272</v>
      </c>
      <c r="M4320">
        <v>0.974935</v>
      </c>
      <c r="N4320">
        <v>3</v>
      </c>
      <c r="O4320" s="1" t="s">
        <v>560</v>
      </c>
      <c r="P4320">
        <v>265.27999999999997</v>
      </c>
      <c r="Q4320">
        <v>212.21</v>
      </c>
      <c r="R4320">
        <v>0</v>
      </c>
      <c r="S4320" s="1" t="s">
        <v>743</v>
      </c>
      <c r="T4320" s="1"/>
      <c r="U4320">
        <v>265.28377999999998</v>
      </c>
      <c r="V4320">
        <v>0</v>
      </c>
      <c r="W4320">
        <v>59979</v>
      </c>
    </row>
    <row r="4321" spans="1:23" x14ac:dyDescent="0.25">
      <c r="A4321" s="1" t="s">
        <v>40</v>
      </c>
      <c r="B4321" s="1" t="s">
        <v>47</v>
      </c>
      <c r="C4321" s="1" t="s">
        <v>222</v>
      </c>
      <c r="D4321">
        <v>5953</v>
      </c>
      <c r="E4321" s="1"/>
      <c r="F4321" s="1" t="s">
        <v>357</v>
      </c>
      <c r="G4321">
        <v>2009</v>
      </c>
      <c r="H4321">
        <v>152.11000000000001</v>
      </c>
      <c r="I4321">
        <v>1</v>
      </c>
      <c r="J4321" s="1" t="s">
        <v>399</v>
      </c>
      <c r="K4321">
        <v>0</v>
      </c>
      <c r="L4321">
        <v>272</v>
      </c>
      <c r="M4321">
        <v>0.55902200000000002</v>
      </c>
      <c r="N4321">
        <v>3</v>
      </c>
      <c r="O4321" s="1" t="s">
        <v>560</v>
      </c>
      <c r="P4321">
        <v>152.11000000000001</v>
      </c>
      <c r="Q4321">
        <v>121.66</v>
      </c>
      <c r="R4321">
        <v>0</v>
      </c>
      <c r="S4321" s="1" t="s">
        <v>743</v>
      </c>
      <c r="T4321" s="1"/>
      <c r="U4321">
        <v>152.08452</v>
      </c>
      <c r="V4321">
        <v>0</v>
      </c>
      <c r="W4321">
        <v>59979</v>
      </c>
    </row>
    <row r="4322" spans="1:23" x14ac:dyDescent="0.25">
      <c r="A4322" s="1" t="s">
        <v>40</v>
      </c>
      <c r="B4322" s="1" t="s">
        <v>47</v>
      </c>
      <c r="C4322" s="1" t="s">
        <v>222</v>
      </c>
      <c r="D4322">
        <v>5953</v>
      </c>
      <c r="E4322" s="1"/>
      <c r="F4322" s="1" t="s">
        <v>357</v>
      </c>
      <c r="G4322">
        <v>2008</v>
      </c>
      <c r="H4322">
        <v>126.72</v>
      </c>
      <c r="I4322">
        <v>3</v>
      </c>
      <c r="J4322" s="1" t="s">
        <v>399</v>
      </c>
      <c r="K4322">
        <v>0</v>
      </c>
      <c r="L4322">
        <v>272</v>
      </c>
      <c r="M4322">
        <v>0.46571099999999999</v>
      </c>
      <c r="N4322">
        <v>3</v>
      </c>
      <c r="O4322" s="1" t="s">
        <v>560</v>
      </c>
      <c r="P4322">
        <v>126.72</v>
      </c>
      <c r="Q4322">
        <v>101.34</v>
      </c>
      <c r="R4322">
        <v>0</v>
      </c>
      <c r="S4322" s="1" t="s">
        <v>743</v>
      </c>
      <c r="T4322" s="1"/>
      <c r="U4322">
        <v>126.71760999999999</v>
      </c>
      <c r="V4322">
        <v>0</v>
      </c>
      <c r="W4322">
        <v>59979</v>
      </c>
    </row>
    <row r="4323" spans="1:23" x14ac:dyDescent="0.25">
      <c r="A4323" s="1" t="s">
        <v>40</v>
      </c>
      <c r="B4323" s="1"/>
      <c r="C4323" s="1" t="s">
        <v>223</v>
      </c>
      <c r="D4323">
        <v>13534</v>
      </c>
      <c r="E4323" s="1" t="s">
        <v>243</v>
      </c>
      <c r="F4323" s="1" t="s">
        <v>223</v>
      </c>
      <c r="G4323">
        <v>2015</v>
      </c>
      <c r="H4323">
        <v>195.57</v>
      </c>
      <c r="I4323">
        <v>3</v>
      </c>
      <c r="J4323" s="1" t="s">
        <v>421</v>
      </c>
      <c r="K4323">
        <v>0</v>
      </c>
      <c r="L4323">
        <v>2088</v>
      </c>
      <c r="M4323">
        <v>9.3659000000000006E-2</v>
      </c>
      <c r="N4323">
        <v>3</v>
      </c>
      <c r="O4323" s="1" t="s">
        <v>560</v>
      </c>
      <c r="P4323">
        <v>195.57</v>
      </c>
      <c r="Q4323">
        <v>0</v>
      </c>
      <c r="R4323">
        <v>1</v>
      </c>
      <c r="S4323" s="1" t="s">
        <v>744</v>
      </c>
      <c r="T4323" s="1"/>
      <c r="U4323">
        <v>195.57144</v>
      </c>
      <c r="V4323">
        <v>0</v>
      </c>
      <c r="W4323">
        <v>90572</v>
      </c>
    </row>
    <row r="4324" spans="1:23" x14ac:dyDescent="0.25">
      <c r="A4324" s="1" t="s">
        <v>40</v>
      </c>
      <c r="B4324" s="1"/>
      <c r="C4324" s="1" t="s">
        <v>223</v>
      </c>
      <c r="D4324">
        <v>13534</v>
      </c>
      <c r="E4324" s="1" t="s">
        <v>243</v>
      </c>
      <c r="F4324" s="1" t="s">
        <v>223</v>
      </c>
      <c r="G4324">
        <v>2014</v>
      </c>
      <c r="H4324">
        <v>134.82</v>
      </c>
      <c r="I4324">
        <v>10</v>
      </c>
      <c r="J4324" s="1" t="s">
        <v>461</v>
      </c>
      <c r="K4324">
        <v>0</v>
      </c>
      <c r="L4324">
        <v>2088</v>
      </c>
      <c r="M4324">
        <v>6.4564999999999997E-2</v>
      </c>
      <c r="N4324">
        <v>3</v>
      </c>
      <c r="O4324" s="1" t="s">
        <v>561</v>
      </c>
      <c r="P4324">
        <v>134.82</v>
      </c>
      <c r="Q4324">
        <v>0</v>
      </c>
      <c r="R4324">
        <v>1</v>
      </c>
      <c r="S4324" s="1" t="s">
        <v>745</v>
      </c>
      <c r="T4324" s="1"/>
      <c r="U4324">
        <v>134830.47824999999</v>
      </c>
      <c r="V4324">
        <v>0</v>
      </c>
      <c r="W4324">
        <v>90570</v>
      </c>
    </row>
    <row r="4325" spans="1:23" x14ac:dyDescent="0.25">
      <c r="A4325" s="1" t="s">
        <v>40</v>
      </c>
      <c r="B4325" s="1"/>
      <c r="C4325" s="1" t="s">
        <v>223</v>
      </c>
      <c r="D4325">
        <v>13534</v>
      </c>
      <c r="E4325" s="1" t="s">
        <v>243</v>
      </c>
      <c r="F4325" s="1" t="s">
        <v>223</v>
      </c>
      <c r="G4325">
        <v>2014</v>
      </c>
      <c r="H4325">
        <v>154.25</v>
      </c>
      <c r="I4325">
        <v>10</v>
      </c>
      <c r="J4325" s="1" t="s">
        <v>461</v>
      </c>
      <c r="K4325">
        <v>0</v>
      </c>
      <c r="L4325">
        <v>2088</v>
      </c>
      <c r="M4325">
        <v>7.3870000000000005E-2</v>
      </c>
      <c r="N4325">
        <v>3</v>
      </c>
      <c r="O4325" s="1" t="s">
        <v>561</v>
      </c>
      <c r="P4325">
        <v>154.25</v>
      </c>
      <c r="Q4325">
        <v>0</v>
      </c>
      <c r="R4325">
        <v>1</v>
      </c>
      <c r="S4325" s="1" t="s">
        <v>746</v>
      </c>
      <c r="T4325" s="1"/>
      <c r="U4325">
        <v>154237.08695999999</v>
      </c>
      <c r="V4325">
        <v>0</v>
      </c>
      <c r="W4325">
        <v>90571</v>
      </c>
    </row>
    <row r="4326" spans="1:23" x14ac:dyDescent="0.25">
      <c r="A4326" s="1" t="s">
        <v>40</v>
      </c>
      <c r="B4326" s="1"/>
      <c r="C4326" s="1" t="s">
        <v>223</v>
      </c>
      <c r="D4326">
        <v>13534</v>
      </c>
      <c r="E4326" s="1" t="s">
        <v>243</v>
      </c>
      <c r="F4326" s="1" t="s">
        <v>223</v>
      </c>
      <c r="G4326">
        <v>2014</v>
      </c>
      <c r="H4326">
        <v>305.31</v>
      </c>
      <c r="I4326">
        <v>11</v>
      </c>
      <c r="J4326" s="1" t="s">
        <v>421</v>
      </c>
      <c r="K4326">
        <v>0</v>
      </c>
      <c r="L4326">
        <v>2088</v>
      </c>
      <c r="M4326">
        <v>0.14621400000000001</v>
      </c>
      <c r="N4326">
        <v>3</v>
      </c>
      <c r="O4326" s="1" t="s">
        <v>560</v>
      </c>
      <c r="P4326">
        <v>305.31</v>
      </c>
      <c r="Q4326">
        <v>0</v>
      </c>
      <c r="R4326">
        <v>1</v>
      </c>
      <c r="S4326" s="1" t="s">
        <v>744</v>
      </c>
      <c r="T4326" s="1"/>
      <c r="U4326">
        <v>305.30248</v>
      </c>
      <c r="V4326">
        <v>0</v>
      </c>
      <c r="W4326">
        <v>90572</v>
      </c>
    </row>
    <row r="4327" spans="1:23" x14ac:dyDescent="0.25">
      <c r="A4327" s="1" t="s">
        <v>40</v>
      </c>
      <c r="B4327" s="1"/>
      <c r="C4327" s="1" t="s">
        <v>223</v>
      </c>
      <c r="D4327">
        <v>13534</v>
      </c>
      <c r="E4327" s="1" t="s">
        <v>243</v>
      </c>
      <c r="F4327" s="1" t="s">
        <v>223</v>
      </c>
      <c r="G4327">
        <v>2013</v>
      </c>
      <c r="H4327">
        <v>396.15</v>
      </c>
      <c r="I4327">
        <v>6</v>
      </c>
      <c r="J4327" s="1" t="s">
        <v>461</v>
      </c>
      <c r="K4327">
        <v>0</v>
      </c>
      <c r="L4327">
        <v>2088</v>
      </c>
      <c r="M4327">
        <v>0.189717</v>
      </c>
      <c r="N4327">
        <v>3</v>
      </c>
      <c r="O4327" s="1" t="s">
        <v>561</v>
      </c>
      <c r="P4327">
        <v>396.15</v>
      </c>
      <c r="Q4327">
        <v>0</v>
      </c>
      <c r="R4327">
        <v>1</v>
      </c>
      <c r="S4327" s="1" t="s">
        <v>745</v>
      </c>
      <c r="T4327" s="1"/>
      <c r="U4327">
        <v>396151.74047999998</v>
      </c>
      <c r="V4327">
        <v>0</v>
      </c>
      <c r="W4327">
        <v>90570</v>
      </c>
    </row>
    <row r="4328" spans="1:23" x14ac:dyDescent="0.25">
      <c r="A4328" s="1" t="s">
        <v>40</v>
      </c>
      <c r="B4328" s="1"/>
      <c r="C4328" s="1" t="s">
        <v>223</v>
      </c>
      <c r="D4328">
        <v>13534</v>
      </c>
      <c r="E4328" s="1" t="s">
        <v>243</v>
      </c>
      <c r="F4328" s="1" t="s">
        <v>223</v>
      </c>
      <c r="G4328">
        <v>2013</v>
      </c>
      <c r="H4328">
        <v>549.16</v>
      </c>
      <c r="I4328">
        <v>6</v>
      </c>
      <c r="J4328" s="1" t="s">
        <v>461</v>
      </c>
      <c r="K4328">
        <v>0</v>
      </c>
      <c r="L4328">
        <v>2088</v>
      </c>
      <c r="M4328">
        <v>0.26299499999999998</v>
      </c>
      <c r="N4328">
        <v>3</v>
      </c>
      <c r="O4328" s="1" t="s">
        <v>561</v>
      </c>
      <c r="P4328">
        <v>549.16</v>
      </c>
      <c r="Q4328">
        <v>0</v>
      </c>
      <c r="R4328">
        <v>1</v>
      </c>
      <c r="S4328" s="1" t="s">
        <v>746</v>
      </c>
      <c r="T4328" s="1"/>
      <c r="U4328">
        <v>549161.41304000001</v>
      </c>
      <c r="V4328">
        <v>0</v>
      </c>
      <c r="W4328">
        <v>90571</v>
      </c>
    </row>
    <row r="4329" spans="1:23" x14ac:dyDescent="0.25">
      <c r="A4329" s="1" t="s">
        <v>40</v>
      </c>
      <c r="B4329" s="1"/>
      <c r="C4329" s="1" t="s">
        <v>223</v>
      </c>
      <c r="D4329">
        <v>13534</v>
      </c>
      <c r="E4329" s="1" t="s">
        <v>243</v>
      </c>
      <c r="F4329" s="1" t="s">
        <v>223</v>
      </c>
      <c r="G4329">
        <v>2013</v>
      </c>
      <c r="H4329">
        <v>195.71</v>
      </c>
      <c r="I4329">
        <v>6</v>
      </c>
      <c r="J4329" s="1" t="s">
        <v>421</v>
      </c>
      <c r="K4329">
        <v>0</v>
      </c>
      <c r="L4329">
        <v>2088</v>
      </c>
      <c r="M4329">
        <v>9.3726000000000004E-2</v>
      </c>
      <c r="N4329">
        <v>3</v>
      </c>
      <c r="O4329" s="1" t="s">
        <v>560</v>
      </c>
      <c r="P4329">
        <v>195.71</v>
      </c>
      <c r="Q4329">
        <v>0</v>
      </c>
      <c r="R4329">
        <v>1</v>
      </c>
      <c r="S4329" s="1" t="s">
        <v>744</v>
      </c>
      <c r="T4329" s="1"/>
      <c r="U4329">
        <v>195.71983</v>
      </c>
      <c r="V4329">
        <v>0</v>
      </c>
      <c r="W4329">
        <v>90572</v>
      </c>
    </row>
    <row r="4330" spans="1:23" x14ac:dyDescent="0.25">
      <c r="A4330" s="1" t="s">
        <v>40</v>
      </c>
      <c r="B4330" s="1"/>
      <c r="C4330" s="1" t="s">
        <v>223</v>
      </c>
      <c r="D4330">
        <v>13534</v>
      </c>
      <c r="E4330" s="1" t="s">
        <v>243</v>
      </c>
      <c r="F4330" s="1" t="s">
        <v>223</v>
      </c>
      <c r="G4330">
        <v>2012</v>
      </c>
      <c r="H4330">
        <v>394.13</v>
      </c>
      <c r="I4330">
        <v>6</v>
      </c>
      <c r="J4330" s="1" t="s">
        <v>461</v>
      </c>
      <c r="K4330">
        <v>0</v>
      </c>
      <c r="L4330">
        <v>2088</v>
      </c>
      <c r="M4330">
        <v>0.18875</v>
      </c>
      <c r="N4330">
        <v>3</v>
      </c>
      <c r="O4330" s="1" t="s">
        <v>561</v>
      </c>
      <c r="P4330">
        <v>394.13</v>
      </c>
      <c r="Q4330">
        <v>0</v>
      </c>
      <c r="R4330">
        <v>1</v>
      </c>
      <c r="S4330" s="1" t="s">
        <v>745</v>
      </c>
      <c r="T4330" s="1"/>
      <c r="U4330">
        <v>394128.23285999999</v>
      </c>
      <c r="V4330">
        <v>0</v>
      </c>
      <c r="W4330">
        <v>90570</v>
      </c>
    </row>
    <row r="4331" spans="1:23" x14ac:dyDescent="0.25">
      <c r="A4331" s="1" t="s">
        <v>40</v>
      </c>
      <c r="B4331" s="1"/>
      <c r="C4331" s="1" t="s">
        <v>223</v>
      </c>
      <c r="D4331">
        <v>13534</v>
      </c>
      <c r="E4331" s="1" t="s">
        <v>243</v>
      </c>
      <c r="F4331" s="1" t="s">
        <v>223</v>
      </c>
      <c r="G4331">
        <v>2012</v>
      </c>
      <c r="H4331">
        <v>553.89</v>
      </c>
      <c r="I4331">
        <v>6</v>
      </c>
      <c r="J4331" s="1" t="s">
        <v>461</v>
      </c>
      <c r="K4331">
        <v>0</v>
      </c>
      <c r="L4331">
        <v>2088</v>
      </c>
      <c r="M4331">
        <v>0.26526</v>
      </c>
      <c r="N4331">
        <v>3</v>
      </c>
      <c r="O4331" s="1" t="s">
        <v>561</v>
      </c>
      <c r="P4331">
        <v>553.89</v>
      </c>
      <c r="Q4331">
        <v>0</v>
      </c>
      <c r="R4331">
        <v>1</v>
      </c>
      <c r="S4331" s="1" t="s">
        <v>746</v>
      </c>
      <c r="T4331" s="1"/>
      <c r="U4331">
        <v>553884.62902999995</v>
      </c>
      <c r="V4331">
        <v>0</v>
      </c>
      <c r="W4331">
        <v>90571</v>
      </c>
    </row>
    <row r="4332" spans="1:23" x14ac:dyDescent="0.25">
      <c r="A4332" s="1" t="s">
        <v>40</v>
      </c>
      <c r="B4332" s="1"/>
      <c r="C4332" s="1" t="s">
        <v>223</v>
      </c>
      <c r="D4332">
        <v>13534</v>
      </c>
      <c r="E4332" s="1" t="s">
        <v>243</v>
      </c>
      <c r="F4332" s="1" t="s">
        <v>223</v>
      </c>
      <c r="G4332">
        <v>2012</v>
      </c>
      <c r="H4332">
        <v>212.91</v>
      </c>
      <c r="I4332">
        <v>6</v>
      </c>
      <c r="J4332" s="1" t="s">
        <v>421</v>
      </c>
      <c r="K4332">
        <v>0</v>
      </c>
      <c r="L4332">
        <v>2088</v>
      </c>
      <c r="M4332">
        <v>0.101963</v>
      </c>
      <c r="N4332">
        <v>3</v>
      </c>
      <c r="O4332" s="1" t="s">
        <v>560</v>
      </c>
      <c r="P4332">
        <v>212.91</v>
      </c>
      <c r="Q4332">
        <v>0</v>
      </c>
      <c r="R4332">
        <v>1</v>
      </c>
      <c r="S4332" s="1" t="s">
        <v>744</v>
      </c>
      <c r="T4332" s="1"/>
      <c r="U4332">
        <v>212.92238</v>
      </c>
      <c r="V4332">
        <v>0</v>
      </c>
      <c r="W4332">
        <v>90572</v>
      </c>
    </row>
    <row r="4333" spans="1:23" x14ac:dyDescent="0.25">
      <c r="A4333" s="1" t="s">
        <v>40</v>
      </c>
      <c r="B4333" s="1"/>
      <c r="C4333" s="1" t="s">
        <v>223</v>
      </c>
      <c r="D4333">
        <v>13534</v>
      </c>
      <c r="E4333" s="1" t="s">
        <v>243</v>
      </c>
      <c r="F4333" s="1" t="s">
        <v>223</v>
      </c>
      <c r="G4333">
        <v>2011</v>
      </c>
      <c r="H4333">
        <v>424.1</v>
      </c>
      <c r="I4333">
        <v>2</v>
      </c>
      <c r="J4333" s="1" t="s">
        <v>461</v>
      </c>
      <c r="K4333">
        <v>0</v>
      </c>
      <c r="L4333">
        <v>2088</v>
      </c>
      <c r="M4333">
        <v>0.20310300000000001</v>
      </c>
      <c r="N4333">
        <v>3</v>
      </c>
      <c r="O4333" s="1" t="s">
        <v>561</v>
      </c>
      <c r="P4333">
        <v>424.1</v>
      </c>
      <c r="Q4333">
        <v>0</v>
      </c>
      <c r="R4333">
        <v>1</v>
      </c>
      <c r="S4333" s="1" t="s">
        <v>745</v>
      </c>
      <c r="T4333" s="1"/>
      <c r="U4333">
        <v>424078.91201999999</v>
      </c>
      <c r="V4333">
        <v>0</v>
      </c>
      <c r="W4333">
        <v>90570</v>
      </c>
    </row>
    <row r="4334" spans="1:23" x14ac:dyDescent="0.25">
      <c r="A4334" s="1" t="s">
        <v>40</v>
      </c>
      <c r="B4334" s="1"/>
      <c r="C4334" s="1" t="s">
        <v>223</v>
      </c>
      <c r="D4334">
        <v>13534</v>
      </c>
      <c r="E4334" s="1" t="s">
        <v>243</v>
      </c>
      <c r="F4334" s="1" t="s">
        <v>223</v>
      </c>
      <c r="G4334">
        <v>2011</v>
      </c>
      <c r="H4334">
        <v>541.42999999999995</v>
      </c>
      <c r="I4334">
        <v>2</v>
      </c>
      <c r="J4334" s="1" t="s">
        <v>461</v>
      </c>
      <c r="K4334">
        <v>0</v>
      </c>
      <c r="L4334">
        <v>2088</v>
      </c>
      <c r="M4334">
        <v>0.259293</v>
      </c>
      <c r="N4334">
        <v>3</v>
      </c>
      <c r="O4334" s="1" t="s">
        <v>561</v>
      </c>
      <c r="P4334">
        <v>541.42999999999995</v>
      </c>
      <c r="Q4334">
        <v>0</v>
      </c>
      <c r="R4334">
        <v>1</v>
      </c>
      <c r="S4334" s="1" t="s">
        <v>746</v>
      </c>
      <c r="T4334" s="1"/>
      <c r="U4334">
        <v>541451.14373000001</v>
      </c>
      <c r="V4334">
        <v>0</v>
      </c>
      <c r="W4334">
        <v>90571</v>
      </c>
    </row>
    <row r="4335" spans="1:23" x14ac:dyDescent="0.25">
      <c r="A4335" s="1" t="s">
        <v>40</v>
      </c>
      <c r="B4335" s="1"/>
      <c r="C4335" s="1" t="s">
        <v>223</v>
      </c>
      <c r="D4335">
        <v>13534</v>
      </c>
      <c r="E4335" s="1" t="s">
        <v>243</v>
      </c>
      <c r="F4335" s="1" t="s">
        <v>223</v>
      </c>
      <c r="G4335">
        <v>2011</v>
      </c>
      <c r="H4335">
        <v>193.3</v>
      </c>
      <c r="I4335">
        <v>2</v>
      </c>
      <c r="J4335" s="1" t="s">
        <v>421</v>
      </c>
      <c r="K4335">
        <v>0</v>
      </c>
      <c r="L4335">
        <v>2088</v>
      </c>
      <c r="M4335">
        <v>9.2572000000000002E-2</v>
      </c>
      <c r="N4335">
        <v>3</v>
      </c>
      <c r="O4335" s="1" t="s">
        <v>560</v>
      </c>
      <c r="P4335">
        <v>193.3</v>
      </c>
      <c r="Q4335">
        <v>0</v>
      </c>
      <c r="R4335">
        <v>1</v>
      </c>
      <c r="S4335" s="1" t="s">
        <v>744</v>
      </c>
      <c r="T4335" s="1"/>
      <c r="U4335">
        <v>193.30206000000001</v>
      </c>
      <c r="V4335">
        <v>0</v>
      </c>
      <c r="W4335">
        <v>90572</v>
      </c>
    </row>
    <row r="4336" spans="1:23" x14ac:dyDescent="0.25">
      <c r="A4336" s="1" t="s">
        <v>40</v>
      </c>
      <c r="B4336" s="1"/>
      <c r="C4336" s="1" t="s">
        <v>223</v>
      </c>
      <c r="D4336">
        <v>13534</v>
      </c>
      <c r="E4336" s="1" t="s">
        <v>243</v>
      </c>
      <c r="F4336" s="1" t="s">
        <v>223</v>
      </c>
      <c r="G4336">
        <v>2010</v>
      </c>
      <c r="H4336">
        <v>41.94</v>
      </c>
      <c r="I4336">
        <v>1</v>
      </c>
      <c r="J4336" s="1" t="s">
        <v>461</v>
      </c>
      <c r="K4336">
        <v>0</v>
      </c>
      <c r="L4336">
        <v>2088</v>
      </c>
      <c r="M4336">
        <v>2.0084999999999999E-2</v>
      </c>
      <c r="N4336">
        <v>3</v>
      </c>
      <c r="O4336" s="1" t="s">
        <v>561</v>
      </c>
      <c r="P4336">
        <v>41.94</v>
      </c>
      <c r="Q4336">
        <v>0</v>
      </c>
      <c r="R4336">
        <v>1</v>
      </c>
      <c r="S4336" s="1" t="s">
        <v>745</v>
      </c>
      <c r="T4336" s="1"/>
      <c r="U4336">
        <v>41943.636359999997</v>
      </c>
      <c r="V4336">
        <v>0</v>
      </c>
      <c r="W4336">
        <v>90570</v>
      </c>
    </row>
    <row r="4337" spans="1:23" x14ac:dyDescent="0.25">
      <c r="A4337" s="1" t="s">
        <v>40</v>
      </c>
      <c r="B4337" s="1"/>
      <c r="C4337" s="1" t="s">
        <v>223</v>
      </c>
      <c r="D4337">
        <v>13534</v>
      </c>
      <c r="E4337" s="1" t="s">
        <v>243</v>
      </c>
      <c r="F4337" s="1" t="s">
        <v>223</v>
      </c>
      <c r="G4337">
        <v>2010</v>
      </c>
      <c r="H4337">
        <v>38.65</v>
      </c>
      <c r="I4337">
        <v>1</v>
      </c>
      <c r="J4337" s="1" t="s">
        <v>461</v>
      </c>
      <c r="K4337">
        <v>0</v>
      </c>
      <c r="L4337">
        <v>2088</v>
      </c>
      <c r="M4337">
        <v>1.8509000000000001E-2</v>
      </c>
      <c r="N4337">
        <v>3</v>
      </c>
      <c r="O4337" s="1" t="s">
        <v>561</v>
      </c>
      <c r="P4337">
        <v>38.65</v>
      </c>
      <c r="Q4337">
        <v>0</v>
      </c>
      <c r="R4337">
        <v>1</v>
      </c>
      <c r="S4337" s="1" t="s">
        <v>746</v>
      </c>
      <c r="T4337" s="1"/>
      <c r="U4337">
        <v>38652.727270000003</v>
      </c>
      <c r="V4337">
        <v>0</v>
      </c>
      <c r="W4337">
        <v>90571</v>
      </c>
    </row>
    <row r="4338" spans="1:23" x14ac:dyDescent="0.25">
      <c r="A4338" s="1" t="s">
        <v>40</v>
      </c>
      <c r="B4338" s="1"/>
      <c r="C4338" s="1" t="s">
        <v>223</v>
      </c>
      <c r="D4338">
        <v>13534</v>
      </c>
      <c r="E4338" s="1" t="s">
        <v>243</v>
      </c>
      <c r="F4338" s="1" t="s">
        <v>223</v>
      </c>
      <c r="G4338">
        <v>2010</v>
      </c>
      <c r="H4338">
        <v>231.18</v>
      </c>
      <c r="I4338">
        <v>2</v>
      </c>
      <c r="J4338" s="1" t="s">
        <v>421</v>
      </c>
      <c r="K4338">
        <v>0</v>
      </c>
      <c r="L4338">
        <v>2088</v>
      </c>
      <c r="M4338">
        <v>0.11071300000000001</v>
      </c>
      <c r="N4338">
        <v>3</v>
      </c>
      <c r="O4338" s="1" t="s">
        <v>560</v>
      </c>
      <c r="P4338">
        <v>231.18</v>
      </c>
      <c r="Q4338">
        <v>0</v>
      </c>
      <c r="R4338">
        <v>1</v>
      </c>
      <c r="S4338" s="1" t="s">
        <v>744</v>
      </c>
      <c r="T4338" s="1"/>
      <c r="U4338">
        <v>231.17417</v>
      </c>
      <c r="V4338">
        <v>0</v>
      </c>
      <c r="W4338">
        <v>90572</v>
      </c>
    </row>
    <row r="4339" spans="1:23" x14ac:dyDescent="0.25">
      <c r="A4339" s="1" t="s">
        <v>40</v>
      </c>
      <c r="B4339" s="1"/>
      <c r="C4339" s="1" t="s">
        <v>223</v>
      </c>
      <c r="D4339">
        <v>13534</v>
      </c>
      <c r="E4339" s="1" t="s">
        <v>243</v>
      </c>
      <c r="F4339" s="1" t="s">
        <v>223</v>
      </c>
      <c r="G4339">
        <v>2009</v>
      </c>
      <c r="H4339">
        <v>157.01</v>
      </c>
      <c r="I4339">
        <v>1</v>
      </c>
      <c r="J4339" s="1" t="s">
        <v>421</v>
      </c>
      <c r="K4339">
        <v>0</v>
      </c>
      <c r="L4339">
        <v>2088</v>
      </c>
      <c r="M4339">
        <v>7.5191999999999995E-2</v>
      </c>
      <c r="N4339">
        <v>3</v>
      </c>
      <c r="O4339" s="1" t="s">
        <v>560</v>
      </c>
      <c r="P4339">
        <v>157.01</v>
      </c>
      <c r="Q4339">
        <v>0</v>
      </c>
      <c r="R4339">
        <v>1</v>
      </c>
      <c r="S4339" s="1" t="s">
        <v>744</v>
      </c>
      <c r="T4339" s="1"/>
      <c r="U4339">
        <v>157.00766999999999</v>
      </c>
      <c r="V4339">
        <v>0</v>
      </c>
      <c r="W4339">
        <v>90572</v>
      </c>
    </row>
    <row r="4340" spans="1:23" x14ac:dyDescent="0.25">
      <c r="A4340" s="1" t="s">
        <v>40</v>
      </c>
      <c r="B4340" s="1" t="s">
        <v>94</v>
      </c>
      <c r="C4340" s="1" t="s">
        <v>224</v>
      </c>
      <c r="D4340">
        <v>5465</v>
      </c>
      <c r="E4340" s="1"/>
      <c r="F4340" s="1" t="s">
        <v>224</v>
      </c>
      <c r="G4340">
        <v>2015</v>
      </c>
      <c r="H4340">
        <v>56.07</v>
      </c>
      <c r="I4340">
        <v>5</v>
      </c>
      <c r="J4340" s="1"/>
      <c r="K4340">
        <v>0</v>
      </c>
      <c r="L4340">
        <v>1384</v>
      </c>
      <c r="M4340">
        <v>4.0509999999999997E-2</v>
      </c>
      <c r="N4340">
        <v>3</v>
      </c>
      <c r="O4340" s="1" t="s">
        <v>560</v>
      </c>
      <c r="P4340">
        <v>56.07</v>
      </c>
      <c r="Q4340">
        <v>44.86</v>
      </c>
      <c r="R4340">
        <v>0</v>
      </c>
      <c r="S4340" s="1" t="s">
        <v>747</v>
      </c>
      <c r="T4340" s="1"/>
      <c r="U4340">
        <v>56.07</v>
      </c>
      <c r="V4340">
        <v>0</v>
      </c>
      <c r="W4340">
        <v>57761</v>
      </c>
    </row>
    <row r="4341" spans="1:23" x14ac:dyDescent="0.25">
      <c r="A4341" s="1" t="s">
        <v>40</v>
      </c>
      <c r="B4341" s="1" t="s">
        <v>94</v>
      </c>
      <c r="C4341" s="1" t="s">
        <v>224</v>
      </c>
      <c r="D4341">
        <v>5465</v>
      </c>
      <c r="E4341" s="1"/>
      <c r="F4341" s="1" t="s">
        <v>224</v>
      </c>
      <c r="G4341">
        <v>2015</v>
      </c>
      <c r="H4341">
        <v>12.06</v>
      </c>
      <c r="I4341">
        <v>5</v>
      </c>
      <c r="J4341" s="1"/>
      <c r="K4341">
        <v>0</v>
      </c>
      <c r="L4341">
        <v>1384</v>
      </c>
      <c r="M4341">
        <v>8.7130000000000003E-3</v>
      </c>
      <c r="N4341">
        <v>3</v>
      </c>
      <c r="O4341" s="1" t="s">
        <v>560</v>
      </c>
      <c r="P4341">
        <v>12.06</v>
      </c>
      <c r="Q4341">
        <v>9.64</v>
      </c>
      <c r="R4341">
        <v>1</v>
      </c>
      <c r="S4341" s="1" t="s">
        <v>748</v>
      </c>
      <c r="T4341" s="1"/>
      <c r="U4341">
        <v>12.06</v>
      </c>
      <c r="V4341">
        <v>0</v>
      </c>
      <c r="W4341">
        <v>58121</v>
      </c>
    </row>
    <row r="4342" spans="1:23" x14ac:dyDescent="0.25">
      <c r="A4342" s="1" t="s">
        <v>40</v>
      </c>
      <c r="B4342" s="1" t="s">
        <v>94</v>
      </c>
      <c r="C4342" s="1" t="s">
        <v>224</v>
      </c>
      <c r="D4342">
        <v>5465</v>
      </c>
      <c r="E4342" s="1"/>
      <c r="F4342" s="1" t="s">
        <v>224</v>
      </c>
      <c r="G4342">
        <v>2014</v>
      </c>
      <c r="H4342">
        <v>175.67</v>
      </c>
      <c r="I4342">
        <v>12</v>
      </c>
      <c r="J4342" s="1"/>
      <c r="K4342">
        <v>0</v>
      </c>
      <c r="L4342">
        <v>1384</v>
      </c>
      <c r="M4342">
        <v>0.12692000000000001</v>
      </c>
      <c r="N4342">
        <v>3</v>
      </c>
      <c r="O4342" s="1" t="s">
        <v>560</v>
      </c>
      <c r="P4342">
        <v>175.67</v>
      </c>
      <c r="Q4342">
        <v>140.53</v>
      </c>
      <c r="R4342">
        <v>0</v>
      </c>
      <c r="S4342" s="1" t="s">
        <v>747</v>
      </c>
      <c r="T4342" s="1"/>
      <c r="U4342">
        <v>175.67</v>
      </c>
      <c r="V4342">
        <v>0</v>
      </c>
      <c r="W4342">
        <v>57761</v>
      </c>
    </row>
    <row r="4343" spans="1:23" x14ac:dyDescent="0.25">
      <c r="A4343" s="1" t="s">
        <v>40</v>
      </c>
      <c r="B4343" s="1" t="s">
        <v>94</v>
      </c>
      <c r="C4343" s="1" t="s">
        <v>224</v>
      </c>
      <c r="D4343">
        <v>5465</v>
      </c>
      <c r="E4343" s="1"/>
      <c r="F4343" s="1" t="s">
        <v>224</v>
      </c>
      <c r="G4343">
        <v>2014</v>
      </c>
      <c r="H4343">
        <v>33.35</v>
      </c>
      <c r="I4343">
        <v>12</v>
      </c>
      <c r="J4343" s="1"/>
      <c r="K4343">
        <v>0</v>
      </c>
      <c r="L4343">
        <v>1384</v>
      </c>
      <c r="M4343">
        <v>2.4094999999999998E-2</v>
      </c>
      <c r="N4343">
        <v>3</v>
      </c>
      <c r="O4343" s="1" t="s">
        <v>560</v>
      </c>
      <c r="P4343">
        <v>33.35</v>
      </c>
      <c r="Q4343">
        <v>26.69</v>
      </c>
      <c r="R4343">
        <v>1</v>
      </c>
      <c r="S4343" s="1" t="s">
        <v>748</v>
      </c>
      <c r="T4343" s="1"/>
      <c r="U4343">
        <v>33.35</v>
      </c>
      <c r="V4343">
        <v>0</v>
      </c>
      <c r="W4343">
        <v>58121</v>
      </c>
    </row>
    <row r="4344" spans="1:23" x14ac:dyDescent="0.25">
      <c r="A4344" s="1" t="s">
        <v>40</v>
      </c>
      <c r="B4344" s="1" t="s">
        <v>94</v>
      </c>
      <c r="C4344" s="1" t="s">
        <v>224</v>
      </c>
      <c r="D4344">
        <v>5465</v>
      </c>
      <c r="E4344" s="1"/>
      <c r="F4344" s="1" t="s">
        <v>224</v>
      </c>
      <c r="G4344">
        <v>2013</v>
      </c>
      <c r="H4344">
        <v>158.62</v>
      </c>
      <c r="I4344">
        <v>12</v>
      </c>
      <c r="J4344" s="1"/>
      <c r="K4344">
        <v>0</v>
      </c>
      <c r="L4344">
        <v>1384</v>
      </c>
      <c r="M4344">
        <v>0.11460099999999999</v>
      </c>
      <c r="N4344">
        <v>3</v>
      </c>
      <c r="O4344" s="1" t="s">
        <v>560</v>
      </c>
      <c r="P4344">
        <v>158.62</v>
      </c>
      <c r="Q4344">
        <v>126.91</v>
      </c>
      <c r="R4344">
        <v>0</v>
      </c>
      <c r="S4344" s="1" t="s">
        <v>747</v>
      </c>
      <c r="T4344" s="1"/>
      <c r="U4344">
        <v>158.62</v>
      </c>
      <c r="V4344">
        <v>0</v>
      </c>
      <c r="W4344">
        <v>57761</v>
      </c>
    </row>
    <row r="4345" spans="1:23" x14ac:dyDescent="0.25">
      <c r="A4345" s="1" t="s">
        <v>40</v>
      </c>
      <c r="B4345" s="1" t="s">
        <v>94</v>
      </c>
      <c r="C4345" s="1" t="s">
        <v>224</v>
      </c>
      <c r="D4345">
        <v>5465</v>
      </c>
      <c r="E4345" s="1"/>
      <c r="F4345" s="1" t="s">
        <v>224</v>
      </c>
      <c r="G4345">
        <v>2013</v>
      </c>
      <c r="H4345">
        <v>32.78</v>
      </c>
      <c r="I4345">
        <v>12</v>
      </c>
      <c r="J4345" s="1"/>
      <c r="K4345">
        <v>0</v>
      </c>
      <c r="L4345">
        <v>1384</v>
      </c>
      <c r="M4345">
        <v>2.3682999999999999E-2</v>
      </c>
      <c r="N4345">
        <v>3</v>
      </c>
      <c r="O4345" s="1" t="s">
        <v>560</v>
      </c>
      <c r="P4345">
        <v>32.78</v>
      </c>
      <c r="Q4345">
        <v>26.21</v>
      </c>
      <c r="R4345">
        <v>1</v>
      </c>
      <c r="S4345" s="1" t="s">
        <v>748</v>
      </c>
      <c r="T4345" s="1"/>
      <c r="U4345">
        <v>32.78</v>
      </c>
      <c r="V4345">
        <v>0</v>
      </c>
      <c r="W4345">
        <v>58121</v>
      </c>
    </row>
    <row r="4346" spans="1:23" x14ac:dyDescent="0.25">
      <c r="A4346" s="1" t="s">
        <v>40</v>
      </c>
      <c r="B4346" s="1" t="s">
        <v>94</v>
      </c>
      <c r="C4346" s="1" t="s">
        <v>224</v>
      </c>
      <c r="D4346">
        <v>5465</v>
      </c>
      <c r="E4346" s="1"/>
      <c r="F4346" s="1" t="s">
        <v>224</v>
      </c>
      <c r="G4346">
        <v>2012</v>
      </c>
      <c r="H4346">
        <v>164.71</v>
      </c>
      <c r="I4346">
        <v>12</v>
      </c>
      <c r="J4346" s="1"/>
      <c r="K4346">
        <v>0</v>
      </c>
      <c r="L4346">
        <v>1384</v>
      </c>
      <c r="M4346">
        <v>0.119001</v>
      </c>
      <c r="N4346">
        <v>3</v>
      </c>
      <c r="O4346" s="1" t="s">
        <v>560</v>
      </c>
      <c r="P4346">
        <v>164.71</v>
      </c>
      <c r="Q4346">
        <v>131.78</v>
      </c>
      <c r="R4346">
        <v>0</v>
      </c>
      <c r="S4346" s="1" t="s">
        <v>747</v>
      </c>
      <c r="T4346" s="1"/>
      <c r="U4346">
        <v>164.71</v>
      </c>
      <c r="V4346">
        <v>0</v>
      </c>
      <c r="W4346">
        <v>57761</v>
      </c>
    </row>
    <row r="4347" spans="1:23" x14ac:dyDescent="0.25">
      <c r="A4347" s="1" t="s">
        <v>40</v>
      </c>
      <c r="B4347" s="1" t="s">
        <v>94</v>
      </c>
      <c r="C4347" s="1" t="s">
        <v>224</v>
      </c>
      <c r="D4347">
        <v>5465</v>
      </c>
      <c r="E4347" s="1"/>
      <c r="F4347" s="1" t="s">
        <v>224</v>
      </c>
      <c r="G4347">
        <v>2012</v>
      </c>
      <c r="H4347">
        <v>34.619999999999997</v>
      </c>
      <c r="I4347">
        <v>12</v>
      </c>
      <c r="J4347" s="1"/>
      <c r="K4347">
        <v>0</v>
      </c>
      <c r="L4347">
        <v>1384</v>
      </c>
      <c r="M4347">
        <v>2.5012E-2</v>
      </c>
      <c r="N4347">
        <v>3</v>
      </c>
      <c r="O4347" s="1" t="s">
        <v>560</v>
      </c>
      <c r="P4347">
        <v>34.619999999999997</v>
      </c>
      <c r="Q4347">
        <v>27.69</v>
      </c>
      <c r="R4347">
        <v>1</v>
      </c>
      <c r="S4347" s="1" t="s">
        <v>748</v>
      </c>
      <c r="T4347" s="1"/>
      <c r="U4347">
        <v>34.619999999999997</v>
      </c>
      <c r="V4347">
        <v>0</v>
      </c>
      <c r="W4347">
        <v>58121</v>
      </c>
    </row>
    <row r="4348" spans="1:23" x14ac:dyDescent="0.25">
      <c r="A4348" s="1" t="s">
        <v>40</v>
      </c>
      <c r="B4348" s="1" t="s">
        <v>94</v>
      </c>
      <c r="C4348" s="1" t="s">
        <v>224</v>
      </c>
      <c r="D4348">
        <v>5465</v>
      </c>
      <c r="E4348" s="1"/>
      <c r="F4348" s="1" t="s">
        <v>224</v>
      </c>
      <c r="G4348">
        <v>2011</v>
      </c>
      <c r="H4348">
        <v>184.98</v>
      </c>
      <c r="I4348">
        <v>12</v>
      </c>
      <c r="J4348" s="1"/>
      <c r="K4348">
        <v>0</v>
      </c>
      <c r="L4348">
        <v>1384</v>
      </c>
      <c r="M4348">
        <v>0.13364599999999999</v>
      </c>
      <c r="N4348">
        <v>3</v>
      </c>
      <c r="O4348" s="1" t="s">
        <v>560</v>
      </c>
      <c r="P4348">
        <v>184.98</v>
      </c>
      <c r="Q4348">
        <v>147.99</v>
      </c>
      <c r="R4348">
        <v>0</v>
      </c>
      <c r="S4348" s="1" t="s">
        <v>747</v>
      </c>
      <c r="T4348" s="1"/>
      <c r="U4348">
        <v>184.98</v>
      </c>
      <c r="V4348">
        <v>0</v>
      </c>
      <c r="W4348">
        <v>57761</v>
      </c>
    </row>
    <row r="4349" spans="1:23" x14ac:dyDescent="0.25">
      <c r="A4349" s="1" t="s">
        <v>40</v>
      </c>
      <c r="B4349" s="1" t="s">
        <v>94</v>
      </c>
      <c r="C4349" s="1" t="s">
        <v>224</v>
      </c>
      <c r="D4349">
        <v>5465</v>
      </c>
      <c r="E4349" s="1"/>
      <c r="F4349" s="1" t="s">
        <v>224</v>
      </c>
      <c r="G4349">
        <v>2011</v>
      </c>
      <c r="H4349">
        <v>31.31</v>
      </c>
      <c r="I4349">
        <v>12</v>
      </c>
      <c r="J4349" s="1"/>
      <c r="K4349">
        <v>0</v>
      </c>
      <c r="L4349">
        <v>1384</v>
      </c>
      <c r="M4349">
        <v>2.2620999999999999E-2</v>
      </c>
      <c r="N4349">
        <v>3</v>
      </c>
      <c r="O4349" s="1" t="s">
        <v>560</v>
      </c>
      <c r="P4349">
        <v>31.31</v>
      </c>
      <c r="Q4349">
        <v>25.04</v>
      </c>
      <c r="R4349">
        <v>1</v>
      </c>
      <c r="S4349" s="1" t="s">
        <v>748</v>
      </c>
      <c r="T4349" s="1"/>
      <c r="U4349">
        <v>31.31</v>
      </c>
      <c r="V4349">
        <v>0</v>
      </c>
      <c r="W4349">
        <v>58121</v>
      </c>
    </row>
    <row r="4350" spans="1:23" x14ac:dyDescent="0.25">
      <c r="A4350" s="1" t="s">
        <v>40</v>
      </c>
      <c r="B4350" s="1" t="s">
        <v>94</v>
      </c>
      <c r="C4350" s="1" t="s">
        <v>224</v>
      </c>
      <c r="D4350">
        <v>5465</v>
      </c>
      <c r="E4350" s="1"/>
      <c r="F4350" s="1" t="s">
        <v>224</v>
      </c>
      <c r="G4350">
        <v>2010</v>
      </c>
      <c r="H4350">
        <v>193.04</v>
      </c>
      <c r="I4350">
        <v>12</v>
      </c>
      <c r="J4350" s="1"/>
      <c r="K4350">
        <v>0</v>
      </c>
      <c r="L4350">
        <v>1384</v>
      </c>
      <c r="M4350">
        <v>0.13946900000000001</v>
      </c>
      <c r="N4350">
        <v>3</v>
      </c>
      <c r="O4350" s="1" t="s">
        <v>560</v>
      </c>
      <c r="P4350">
        <v>193.04</v>
      </c>
      <c r="Q4350">
        <v>154.43</v>
      </c>
      <c r="R4350">
        <v>0</v>
      </c>
      <c r="S4350" s="1" t="s">
        <v>747</v>
      </c>
      <c r="T4350" s="1"/>
      <c r="U4350">
        <v>193.04</v>
      </c>
      <c r="V4350">
        <v>0</v>
      </c>
      <c r="W4350">
        <v>57761</v>
      </c>
    </row>
    <row r="4351" spans="1:23" x14ac:dyDescent="0.25">
      <c r="A4351" s="1" t="s">
        <v>40</v>
      </c>
      <c r="B4351" s="1" t="s">
        <v>94</v>
      </c>
      <c r="C4351" s="1" t="s">
        <v>224</v>
      </c>
      <c r="D4351">
        <v>5465</v>
      </c>
      <c r="E4351" s="1"/>
      <c r="F4351" s="1" t="s">
        <v>224</v>
      </c>
      <c r="G4351">
        <v>2010</v>
      </c>
      <c r="H4351">
        <v>36.69</v>
      </c>
      <c r="I4351">
        <v>12</v>
      </c>
      <c r="J4351" s="1"/>
      <c r="K4351">
        <v>0</v>
      </c>
      <c r="L4351">
        <v>1384</v>
      </c>
      <c r="M4351">
        <v>2.6508E-2</v>
      </c>
      <c r="N4351">
        <v>3</v>
      </c>
      <c r="O4351" s="1" t="s">
        <v>560</v>
      </c>
      <c r="P4351">
        <v>36.69</v>
      </c>
      <c r="Q4351">
        <v>29.35</v>
      </c>
      <c r="R4351">
        <v>1</v>
      </c>
      <c r="S4351" s="1" t="s">
        <v>748</v>
      </c>
      <c r="T4351" s="1"/>
      <c r="U4351">
        <v>36.69</v>
      </c>
      <c r="V4351">
        <v>0</v>
      </c>
      <c r="W4351">
        <v>58121</v>
      </c>
    </row>
    <row r="4352" spans="1:23" x14ac:dyDescent="0.25">
      <c r="A4352" s="1" t="s">
        <v>40</v>
      </c>
      <c r="B4352" s="1" t="s">
        <v>94</v>
      </c>
      <c r="C4352" s="1" t="s">
        <v>224</v>
      </c>
      <c r="D4352">
        <v>5465</v>
      </c>
      <c r="E4352" s="1"/>
      <c r="F4352" s="1" t="s">
        <v>224</v>
      </c>
      <c r="G4352">
        <v>2009</v>
      </c>
      <c r="H4352">
        <v>138.66999999999999</v>
      </c>
      <c r="I4352">
        <v>12</v>
      </c>
      <c r="J4352" s="1"/>
      <c r="K4352">
        <v>0</v>
      </c>
      <c r="L4352">
        <v>1384</v>
      </c>
      <c r="M4352">
        <v>0.100187</v>
      </c>
      <c r="N4352">
        <v>3</v>
      </c>
      <c r="O4352" s="1" t="s">
        <v>560</v>
      </c>
      <c r="P4352">
        <v>138.66999999999999</v>
      </c>
      <c r="Q4352">
        <v>110.94</v>
      </c>
      <c r="R4352">
        <v>0</v>
      </c>
      <c r="S4352" s="1" t="s">
        <v>747</v>
      </c>
      <c r="T4352" s="1"/>
      <c r="U4352">
        <v>138.66999999999999</v>
      </c>
      <c r="V4352">
        <v>0</v>
      </c>
      <c r="W4352">
        <v>57761</v>
      </c>
    </row>
    <row r="4353" spans="1:23" x14ac:dyDescent="0.25">
      <c r="A4353" s="1" t="s">
        <v>40</v>
      </c>
      <c r="B4353" s="1" t="s">
        <v>94</v>
      </c>
      <c r="C4353" s="1" t="s">
        <v>224</v>
      </c>
      <c r="D4353">
        <v>5465</v>
      </c>
      <c r="E4353" s="1"/>
      <c r="F4353" s="1" t="s">
        <v>224</v>
      </c>
      <c r="G4353">
        <v>2009</v>
      </c>
      <c r="H4353">
        <v>27.92</v>
      </c>
      <c r="I4353">
        <v>12</v>
      </c>
      <c r="J4353" s="1"/>
      <c r="K4353">
        <v>0</v>
      </c>
      <c r="L4353">
        <v>1384</v>
      </c>
      <c r="M4353">
        <v>2.0171000000000001E-2</v>
      </c>
      <c r="N4353">
        <v>3</v>
      </c>
      <c r="O4353" s="1" t="s">
        <v>560</v>
      </c>
      <c r="P4353">
        <v>27.92</v>
      </c>
      <c r="Q4353">
        <v>22.33</v>
      </c>
      <c r="R4353">
        <v>1</v>
      </c>
      <c r="S4353" s="1" t="s">
        <v>748</v>
      </c>
      <c r="T4353" s="1"/>
      <c r="U4353">
        <v>27.92</v>
      </c>
      <c r="V4353">
        <v>0</v>
      </c>
      <c r="W4353">
        <v>58121</v>
      </c>
    </row>
    <row r="4354" spans="1:23" x14ac:dyDescent="0.25">
      <c r="A4354" s="1" t="s">
        <v>40</v>
      </c>
      <c r="B4354" s="1" t="s">
        <v>94</v>
      </c>
      <c r="C4354" s="1" t="s">
        <v>224</v>
      </c>
      <c r="D4354">
        <v>5465</v>
      </c>
      <c r="E4354" s="1"/>
      <c r="F4354" s="1" t="s">
        <v>224</v>
      </c>
      <c r="G4354">
        <v>2008</v>
      </c>
      <c r="H4354">
        <v>112.81</v>
      </c>
      <c r="I4354">
        <v>12</v>
      </c>
      <c r="J4354" s="1"/>
      <c r="K4354">
        <v>0</v>
      </c>
      <c r="L4354">
        <v>1384</v>
      </c>
      <c r="M4354">
        <v>8.1503999999999993E-2</v>
      </c>
      <c r="N4354">
        <v>3</v>
      </c>
      <c r="O4354" s="1" t="s">
        <v>560</v>
      </c>
      <c r="P4354">
        <v>112.81</v>
      </c>
      <c r="Q4354">
        <v>90.24</v>
      </c>
      <c r="R4354">
        <v>0</v>
      </c>
      <c r="S4354" s="1" t="s">
        <v>747</v>
      </c>
      <c r="T4354" s="1"/>
      <c r="U4354">
        <v>112.81</v>
      </c>
      <c r="V4354">
        <v>0</v>
      </c>
      <c r="W4354">
        <v>57761</v>
      </c>
    </row>
    <row r="4355" spans="1:23" x14ac:dyDescent="0.25">
      <c r="A4355" s="1" t="s">
        <v>40</v>
      </c>
      <c r="B4355" s="1" t="s">
        <v>94</v>
      </c>
      <c r="C4355" s="1" t="s">
        <v>224</v>
      </c>
      <c r="D4355">
        <v>5465</v>
      </c>
      <c r="E4355" s="1"/>
      <c r="F4355" s="1" t="s">
        <v>224</v>
      </c>
      <c r="G4355">
        <v>2008</v>
      </c>
      <c r="H4355">
        <v>24.67</v>
      </c>
      <c r="I4355">
        <v>12</v>
      </c>
      <c r="J4355" s="1"/>
      <c r="K4355">
        <v>0</v>
      </c>
      <c r="L4355">
        <v>1384</v>
      </c>
      <c r="M4355">
        <v>1.7822999999999999E-2</v>
      </c>
      <c r="N4355">
        <v>3</v>
      </c>
      <c r="O4355" s="1" t="s">
        <v>560</v>
      </c>
      <c r="P4355">
        <v>24.67</v>
      </c>
      <c r="Q4355">
        <v>19.75</v>
      </c>
      <c r="R4355">
        <v>1</v>
      </c>
      <c r="S4355" s="1" t="s">
        <v>748</v>
      </c>
      <c r="T4355" s="1"/>
      <c r="U4355">
        <v>24.67</v>
      </c>
      <c r="V4355">
        <v>0</v>
      </c>
      <c r="W4355">
        <v>58121</v>
      </c>
    </row>
    <row r="4356" spans="1:23" x14ac:dyDescent="0.25">
      <c r="A4356" s="1" t="s">
        <v>40</v>
      </c>
      <c r="B4356" s="1"/>
      <c r="C4356" s="1" t="s">
        <v>225</v>
      </c>
      <c r="D4356">
        <v>13825</v>
      </c>
      <c r="E4356" s="1"/>
      <c r="F4356" s="1" t="s">
        <v>358</v>
      </c>
      <c r="G4356">
        <v>2015</v>
      </c>
      <c r="H4356">
        <v>160.81</v>
      </c>
      <c r="I4356">
        <v>5</v>
      </c>
      <c r="J4356" s="1" t="s">
        <v>462</v>
      </c>
      <c r="K4356">
        <v>0</v>
      </c>
      <c r="L4356">
        <v>739</v>
      </c>
      <c r="M4356">
        <v>0.21757499999999999</v>
      </c>
      <c r="N4356">
        <v>3</v>
      </c>
      <c r="O4356" s="1" t="s">
        <v>560</v>
      </c>
      <c r="P4356">
        <v>160.81</v>
      </c>
      <c r="Q4356">
        <v>128.65</v>
      </c>
      <c r="R4356">
        <v>0</v>
      </c>
      <c r="S4356" s="1" t="s">
        <v>749</v>
      </c>
      <c r="T4356" s="1"/>
      <c r="U4356">
        <v>160.804</v>
      </c>
      <c r="V4356">
        <v>0</v>
      </c>
      <c r="W4356">
        <v>91848</v>
      </c>
    </row>
    <row r="4357" spans="1:23" x14ac:dyDescent="0.25">
      <c r="A4357" s="1" t="s">
        <v>40</v>
      </c>
      <c r="B4357" s="1"/>
      <c r="C4357" s="1" t="s">
        <v>225</v>
      </c>
      <c r="D4357">
        <v>13825</v>
      </c>
      <c r="E4357" s="1"/>
      <c r="F4357" s="1" t="s">
        <v>358</v>
      </c>
      <c r="G4357">
        <v>2014</v>
      </c>
      <c r="H4357">
        <v>381.01</v>
      </c>
      <c r="I4357">
        <v>12</v>
      </c>
      <c r="J4357" s="1" t="s">
        <v>462</v>
      </c>
      <c r="K4357">
        <v>0</v>
      </c>
      <c r="L4357">
        <v>739</v>
      </c>
      <c r="M4357">
        <v>0.51550499999999999</v>
      </c>
      <c r="N4357">
        <v>3</v>
      </c>
      <c r="O4357" s="1" t="s">
        <v>560</v>
      </c>
      <c r="P4357">
        <v>381.01</v>
      </c>
      <c r="Q4357">
        <v>304.81</v>
      </c>
      <c r="R4357">
        <v>0</v>
      </c>
      <c r="S4357" s="1" t="s">
        <v>749</v>
      </c>
      <c r="T4357" s="1"/>
      <c r="U4357">
        <v>381.005</v>
      </c>
      <c r="V4357">
        <v>0</v>
      </c>
      <c r="W4357">
        <v>91848</v>
      </c>
    </row>
    <row r="4358" spans="1:23" x14ac:dyDescent="0.25">
      <c r="A4358" s="1" t="s">
        <v>40</v>
      </c>
      <c r="B4358" s="1"/>
      <c r="C4358" s="1" t="s">
        <v>225</v>
      </c>
      <c r="D4358">
        <v>13825</v>
      </c>
      <c r="E4358" s="1"/>
      <c r="F4358" s="1" t="s">
        <v>358</v>
      </c>
      <c r="G4358">
        <v>2013</v>
      </c>
      <c r="H4358">
        <v>317.04000000000002</v>
      </c>
      <c r="I4358">
        <v>7</v>
      </c>
      <c r="J4358" s="1" t="s">
        <v>462</v>
      </c>
      <c r="K4358">
        <v>0</v>
      </c>
      <c r="L4358">
        <v>739</v>
      </c>
      <c r="M4358">
        <v>0.428954</v>
      </c>
      <c r="N4358">
        <v>3</v>
      </c>
      <c r="O4358" s="1" t="s">
        <v>560</v>
      </c>
      <c r="P4358">
        <v>317.04000000000002</v>
      </c>
      <c r="Q4358">
        <v>253.6</v>
      </c>
      <c r="R4358">
        <v>0</v>
      </c>
      <c r="S4358" s="1" t="s">
        <v>749</v>
      </c>
      <c r="T4358" s="1"/>
      <c r="U4358">
        <v>317.03100000000001</v>
      </c>
      <c r="V4358">
        <v>0</v>
      </c>
      <c r="W4358">
        <v>91848</v>
      </c>
    </row>
    <row r="4359" spans="1:23" x14ac:dyDescent="0.25">
      <c r="A4359" s="1" t="s">
        <v>40</v>
      </c>
      <c r="B4359" s="1"/>
      <c r="C4359" s="1" t="s">
        <v>210</v>
      </c>
      <c r="D4359">
        <v>10275</v>
      </c>
      <c r="E4359" s="1"/>
      <c r="F4359" s="1" t="s">
        <v>348</v>
      </c>
      <c r="G4359">
        <v>2015</v>
      </c>
      <c r="H4359">
        <v>40730.26</v>
      </c>
      <c r="I4359">
        <v>5</v>
      </c>
      <c r="J4359" s="1" t="s">
        <v>457</v>
      </c>
      <c r="K4359">
        <v>0</v>
      </c>
      <c r="L4359">
        <v>551</v>
      </c>
      <c r="M4359">
        <v>73.907202999999996</v>
      </c>
      <c r="N4359">
        <v>1</v>
      </c>
      <c r="O4359" s="1" t="s">
        <v>564</v>
      </c>
      <c r="P4359">
        <v>40730.26</v>
      </c>
      <c r="Q4359">
        <v>8613.7000000000007</v>
      </c>
      <c r="R4359">
        <v>0</v>
      </c>
      <c r="S4359" s="1" t="s">
        <v>901</v>
      </c>
      <c r="T4359" s="1" t="s">
        <v>1226</v>
      </c>
      <c r="U4359">
        <v>3771.32</v>
      </c>
      <c r="V4359">
        <v>0</v>
      </c>
      <c r="W4359">
        <v>77675</v>
      </c>
    </row>
    <row r="4360" spans="1:23" x14ac:dyDescent="0.25">
      <c r="A4360" s="1" t="s">
        <v>40</v>
      </c>
      <c r="B4360" s="1"/>
      <c r="C4360" s="1" t="s">
        <v>210</v>
      </c>
      <c r="D4360">
        <v>10275</v>
      </c>
      <c r="E4360" s="1"/>
      <c r="F4360" s="1" t="s">
        <v>348</v>
      </c>
      <c r="G4360">
        <v>2014</v>
      </c>
      <c r="H4360">
        <v>74784.92</v>
      </c>
      <c r="I4360">
        <v>12</v>
      </c>
      <c r="J4360" s="1" t="s">
        <v>457</v>
      </c>
      <c r="K4360">
        <v>0</v>
      </c>
      <c r="L4360">
        <v>551</v>
      </c>
      <c r="M4360">
        <v>135.701179</v>
      </c>
      <c r="N4360">
        <v>1</v>
      </c>
      <c r="O4360" s="1" t="s">
        <v>564</v>
      </c>
      <c r="P4360">
        <v>74784.92</v>
      </c>
      <c r="Q4360">
        <v>15815.62</v>
      </c>
      <c r="R4360">
        <v>0</v>
      </c>
      <c r="S4360" s="1" t="s">
        <v>901</v>
      </c>
      <c r="T4360" s="1" t="s">
        <v>1226</v>
      </c>
      <c r="U4360">
        <v>6924.53</v>
      </c>
      <c r="V4360">
        <v>0</v>
      </c>
      <c r="W4360">
        <v>77675</v>
      </c>
    </row>
    <row r="4361" spans="1:23" x14ac:dyDescent="0.25">
      <c r="A4361" s="1" t="s">
        <v>40</v>
      </c>
      <c r="B4361" s="1"/>
      <c r="C4361" s="1" t="s">
        <v>210</v>
      </c>
      <c r="D4361">
        <v>10275</v>
      </c>
      <c r="E4361" s="1"/>
      <c r="F4361" s="1" t="s">
        <v>348</v>
      </c>
      <c r="G4361">
        <v>2013</v>
      </c>
      <c r="H4361">
        <v>84278.57</v>
      </c>
      <c r="I4361">
        <v>12</v>
      </c>
      <c r="J4361" s="1" t="s">
        <v>457</v>
      </c>
      <c r="K4361">
        <v>0</v>
      </c>
      <c r="L4361">
        <v>551</v>
      </c>
      <c r="M4361">
        <v>152.927907</v>
      </c>
      <c r="N4361">
        <v>1</v>
      </c>
      <c r="O4361" s="1" t="s">
        <v>564</v>
      </c>
      <c r="P4361">
        <v>84278.57</v>
      </c>
      <c r="Q4361">
        <v>17823.36</v>
      </c>
      <c r="R4361">
        <v>0</v>
      </c>
      <c r="S4361" s="1" t="s">
        <v>901</v>
      </c>
      <c r="T4361" s="1" t="s">
        <v>1226</v>
      </c>
      <c r="U4361">
        <v>7803.57</v>
      </c>
      <c r="V4361">
        <v>0</v>
      </c>
      <c r="W4361">
        <v>77675</v>
      </c>
    </row>
    <row r="4362" spans="1:23" x14ac:dyDescent="0.25">
      <c r="A4362" s="1" t="s">
        <v>40</v>
      </c>
      <c r="B4362" s="1"/>
      <c r="C4362" s="1" t="s">
        <v>210</v>
      </c>
      <c r="D4362">
        <v>10275</v>
      </c>
      <c r="E4362" s="1"/>
      <c r="F4362" s="1" t="s">
        <v>348</v>
      </c>
      <c r="G4362">
        <v>2012</v>
      </c>
      <c r="H4362">
        <v>81237.91</v>
      </c>
      <c r="I4362">
        <v>12</v>
      </c>
      <c r="J4362" s="1" t="s">
        <v>457</v>
      </c>
      <c r="K4362">
        <v>0</v>
      </c>
      <c r="L4362">
        <v>551</v>
      </c>
      <c r="M4362">
        <v>147.41046900000001</v>
      </c>
      <c r="N4362">
        <v>1</v>
      </c>
      <c r="O4362" s="1" t="s">
        <v>564</v>
      </c>
      <c r="P4362">
        <v>81237.91</v>
      </c>
      <c r="Q4362">
        <v>17180.32</v>
      </c>
      <c r="R4362">
        <v>0</v>
      </c>
      <c r="S4362" s="1" t="s">
        <v>901</v>
      </c>
      <c r="T4362" s="1" t="s">
        <v>1226</v>
      </c>
      <c r="U4362">
        <v>7522.03</v>
      </c>
      <c r="V4362">
        <v>0</v>
      </c>
      <c r="W4362">
        <v>77675</v>
      </c>
    </row>
    <row r="4363" spans="1:23" x14ac:dyDescent="0.25">
      <c r="A4363" s="1" t="s">
        <v>40</v>
      </c>
      <c r="B4363" s="1"/>
      <c r="C4363" s="1" t="s">
        <v>210</v>
      </c>
      <c r="D4363">
        <v>10275</v>
      </c>
      <c r="E4363" s="1"/>
      <c r="F4363" s="1" t="s">
        <v>348</v>
      </c>
      <c r="G4363">
        <v>2011</v>
      </c>
      <c r="H4363">
        <v>56370.07</v>
      </c>
      <c r="I4363">
        <v>4</v>
      </c>
      <c r="J4363" s="1" t="s">
        <v>457</v>
      </c>
      <c r="K4363">
        <v>0</v>
      </c>
      <c r="L4363">
        <v>551</v>
      </c>
      <c r="M4363">
        <v>102.286463</v>
      </c>
      <c r="N4363">
        <v>1</v>
      </c>
      <c r="O4363" s="1" t="s">
        <v>564</v>
      </c>
      <c r="P4363">
        <v>56370.07</v>
      </c>
      <c r="Q4363">
        <v>11921.22</v>
      </c>
      <c r="R4363">
        <v>0</v>
      </c>
      <c r="S4363" s="1" t="s">
        <v>901</v>
      </c>
      <c r="T4363" s="1" t="s">
        <v>1226</v>
      </c>
      <c r="U4363">
        <v>5219.4508500000002</v>
      </c>
      <c r="V4363">
        <v>0</v>
      </c>
      <c r="W4363">
        <v>77675</v>
      </c>
    </row>
    <row r="4364" spans="1:23" x14ac:dyDescent="0.25">
      <c r="A4364" s="1" t="s">
        <v>40</v>
      </c>
      <c r="B4364" s="1"/>
      <c r="C4364" s="1" t="s">
        <v>210</v>
      </c>
      <c r="D4364">
        <v>10275</v>
      </c>
      <c r="E4364" s="1"/>
      <c r="F4364" s="1" t="s">
        <v>348</v>
      </c>
      <c r="G4364">
        <v>2010</v>
      </c>
      <c r="H4364">
        <v>64454.43</v>
      </c>
      <c r="I4364">
        <v>2</v>
      </c>
      <c r="J4364" s="1" t="s">
        <v>457</v>
      </c>
      <c r="K4364">
        <v>0</v>
      </c>
      <c r="L4364">
        <v>551</v>
      </c>
      <c r="M4364">
        <v>116.95596</v>
      </c>
      <c r="N4364">
        <v>1</v>
      </c>
      <c r="O4364" s="1" t="s">
        <v>564</v>
      </c>
      <c r="P4364">
        <v>64454.43</v>
      </c>
      <c r="Q4364">
        <v>13630.93</v>
      </c>
      <c r="R4364">
        <v>0</v>
      </c>
      <c r="S4364" s="1" t="s">
        <v>901</v>
      </c>
      <c r="T4364" s="1" t="s">
        <v>1226</v>
      </c>
      <c r="U4364">
        <v>5968.0036499999997</v>
      </c>
      <c r="V4364">
        <v>0</v>
      </c>
      <c r="W4364">
        <v>77675</v>
      </c>
    </row>
    <row r="4365" spans="1:23" x14ac:dyDescent="0.25">
      <c r="A4365" s="1" t="s">
        <v>40</v>
      </c>
      <c r="B4365" s="1"/>
      <c r="C4365" s="1" t="s">
        <v>210</v>
      </c>
      <c r="D4365">
        <v>10275</v>
      </c>
      <c r="E4365" s="1"/>
      <c r="F4365" s="1" t="s">
        <v>348</v>
      </c>
      <c r="G4365">
        <v>2009</v>
      </c>
      <c r="H4365">
        <v>81017.06</v>
      </c>
      <c r="I4365">
        <v>2</v>
      </c>
      <c r="J4365" s="1" t="s">
        <v>457</v>
      </c>
      <c r="K4365">
        <v>0</v>
      </c>
      <c r="L4365">
        <v>551</v>
      </c>
      <c r="M4365">
        <v>147.009726</v>
      </c>
      <c r="N4365">
        <v>1</v>
      </c>
      <c r="O4365" s="1" t="s">
        <v>564</v>
      </c>
      <c r="P4365">
        <v>81017.06</v>
      </c>
      <c r="Q4365">
        <v>17133.64</v>
      </c>
      <c r="R4365">
        <v>0</v>
      </c>
      <c r="S4365" s="1" t="s">
        <v>901</v>
      </c>
      <c r="T4365" s="1" t="s">
        <v>1226</v>
      </c>
      <c r="U4365">
        <v>7501.5808299999999</v>
      </c>
      <c r="V4365">
        <v>0</v>
      </c>
      <c r="W4365">
        <v>77675</v>
      </c>
    </row>
    <row r="4366" spans="1:23" x14ac:dyDescent="0.25">
      <c r="A4366" s="1" t="s">
        <v>40</v>
      </c>
      <c r="B4366" s="1"/>
      <c r="C4366" s="1" t="s">
        <v>210</v>
      </c>
      <c r="D4366">
        <v>10275</v>
      </c>
      <c r="E4366" s="1"/>
      <c r="F4366" s="1" t="s">
        <v>348</v>
      </c>
      <c r="G4366">
        <v>2008</v>
      </c>
      <c r="H4366">
        <v>62805.63</v>
      </c>
      <c r="I4366">
        <v>2</v>
      </c>
      <c r="J4366" s="1" t="s">
        <v>457</v>
      </c>
      <c r="K4366">
        <v>0</v>
      </c>
      <c r="L4366">
        <v>551</v>
      </c>
      <c r="M4366">
        <v>113.96412599999999</v>
      </c>
      <c r="N4366">
        <v>1</v>
      </c>
      <c r="O4366" s="1" t="s">
        <v>564</v>
      </c>
      <c r="P4366">
        <v>62805.63</v>
      </c>
      <c r="Q4366">
        <v>13282.22</v>
      </c>
      <c r="R4366">
        <v>0</v>
      </c>
      <c r="S4366" s="1" t="s">
        <v>901</v>
      </c>
      <c r="T4366" s="1" t="s">
        <v>1226</v>
      </c>
      <c r="U4366">
        <v>5815.3372099999997</v>
      </c>
      <c r="V4366">
        <v>0</v>
      </c>
      <c r="W4366">
        <v>77675</v>
      </c>
    </row>
    <row r="4367" spans="1:23" x14ac:dyDescent="0.25">
      <c r="A4367" s="1" t="s">
        <v>40</v>
      </c>
      <c r="B4367" s="1"/>
      <c r="C4367" s="1" t="s">
        <v>227</v>
      </c>
      <c r="D4367">
        <v>10276</v>
      </c>
      <c r="E4367" s="1"/>
      <c r="F4367" s="1" t="s">
        <v>367</v>
      </c>
      <c r="G4367">
        <v>2015</v>
      </c>
      <c r="H4367">
        <v>6652.27</v>
      </c>
      <c r="I4367">
        <v>5</v>
      </c>
      <c r="J4367" s="1" t="s">
        <v>457</v>
      </c>
      <c r="K4367">
        <v>0</v>
      </c>
      <c r="L4367">
        <v>0</v>
      </c>
      <c r="M4367">
        <v>66522.7</v>
      </c>
      <c r="N4367">
        <v>1</v>
      </c>
      <c r="O4367" s="1" t="s">
        <v>564</v>
      </c>
      <c r="P4367">
        <v>6652.27</v>
      </c>
      <c r="Q4367">
        <v>1406.85</v>
      </c>
      <c r="R4367">
        <v>0</v>
      </c>
      <c r="S4367" s="1" t="s">
        <v>902</v>
      </c>
      <c r="T4367" s="1" t="s">
        <v>1227</v>
      </c>
      <c r="U4367">
        <v>615.95000000000005</v>
      </c>
      <c r="V4367">
        <v>0</v>
      </c>
      <c r="W4367">
        <v>77670</v>
      </c>
    </row>
    <row r="4368" spans="1:23" x14ac:dyDescent="0.25">
      <c r="A4368" s="1" t="s">
        <v>40</v>
      </c>
      <c r="B4368" s="1"/>
      <c r="C4368" s="1" t="s">
        <v>227</v>
      </c>
      <c r="D4368">
        <v>10276</v>
      </c>
      <c r="E4368" s="1"/>
      <c r="F4368" s="1" t="s">
        <v>367</v>
      </c>
      <c r="G4368">
        <v>2014</v>
      </c>
      <c r="H4368">
        <v>11406</v>
      </c>
      <c r="I4368">
        <v>12</v>
      </c>
      <c r="J4368" s="1" t="s">
        <v>457</v>
      </c>
      <c r="K4368">
        <v>0</v>
      </c>
      <c r="L4368">
        <v>0</v>
      </c>
      <c r="M4368">
        <v>114060</v>
      </c>
      <c r="N4368">
        <v>1</v>
      </c>
      <c r="O4368" s="1" t="s">
        <v>564</v>
      </c>
      <c r="P4368">
        <v>11406</v>
      </c>
      <c r="Q4368">
        <v>2412.16</v>
      </c>
      <c r="R4368">
        <v>0</v>
      </c>
      <c r="S4368" s="1" t="s">
        <v>902</v>
      </c>
      <c r="T4368" s="1" t="s">
        <v>1227</v>
      </c>
      <c r="U4368">
        <v>1056.1099999999999</v>
      </c>
      <c r="V4368">
        <v>0</v>
      </c>
      <c r="W4368">
        <v>77670</v>
      </c>
    </row>
    <row r="4369" spans="1:23" x14ac:dyDescent="0.25">
      <c r="A4369" s="1" t="s">
        <v>40</v>
      </c>
      <c r="B4369" s="1"/>
      <c r="C4369" s="1" t="s">
        <v>227</v>
      </c>
      <c r="D4369">
        <v>10276</v>
      </c>
      <c r="E4369" s="1"/>
      <c r="F4369" s="1" t="s">
        <v>367</v>
      </c>
      <c r="G4369">
        <v>2013</v>
      </c>
      <c r="H4369">
        <v>12068.03</v>
      </c>
      <c r="I4369">
        <v>12</v>
      </c>
      <c r="J4369" s="1" t="s">
        <v>457</v>
      </c>
      <c r="K4369">
        <v>0</v>
      </c>
      <c r="L4369">
        <v>0</v>
      </c>
      <c r="M4369">
        <v>120680.3</v>
      </c>
      <c r="N4369">
        <v>1</v>
      </c>
      <c r="O4369" s="1" t="s">
        <v>564</v>
      </c>
      <c r="P4369">
        <v>12068.03</v>
      </c>
      <c r="Q4369">
        <v>2552.19</v>
      </c>
      <c r="R4369">
        <v>0</v>
      </c>
      <c r="S4369" s="1" t="s">
        <v>902</v>
      </c>
      <c r="T4369" s="1" t="s">
        <v>1227</v>
      </c>
      <c r="U4369">
        <v>1117.4100000000001</v>
      </c>
      <c r="V4369">
        <v>0</v>
      </c>
      <c r="W4369">
        <v>77670</v>
      </c>
    </row>
    <row r="4370" spans="1:23" x14ac:dyDescent="0.25">
      <c r="A4370" s="1" t="s">
        <v>40</v>
      </c>
      <c r="B4370" s="1"/>
      <c r="C4370" s="1" t="s">
        <v>227</v>
      </c>
      <c r="D4370">
        <v>10276</v>
      </c>
      <c r="E4370" s="1"/>
      <c r="F4370" s="1" t="s">
        <v>367</v>
      </c>
      <c r="G4370">
        <v>2012</v>
      </c>
      <c r="H4370">
        <v>10425.129999999999</v>
      </c>
      <c r="I4370">
        <v>12</v>
      </c>
      <c r="J4370" s="1" t="s">
        <v>457</v>
      </c>
      <c r="K4370">
        <v>0</v>
      </c>
      <c r="L4370">
        <v>0</v>
      </c>
      <c r="M4370">
        <v>104251.3</v>
      </c>
      <c r="N4370">
        <v>1</v>
      </c>
      <c r="O4370" s="1" t="s">
        <v>564</v>
      </c>
      <c r="P4370">
        <v>10425.129999999999</v>
      </c>
      <c r="Q4370">
        <v>2204.73</v>
      </c>
      <c r="R4370">
        <v>0</v>
      </c>
      <c r="S4370" s="1" t="s">
        <v>902</v>
      </c>
      <c r="T4370" s="1" t="s">
        <v>1227</v>
      </c>
      <c r="U4370">
        <v>965.29</v>
      </c>
      <c r="V4370">
        <v>0</v>
      </c>
      <c r="W4370">
        <v>77670</v>
      </c>
    </row>
    <row r="4371" spans="1:23" x14ac:dyDescent="0.25">
      <c r="A4371" s="1" t="s">
        <v>40</v>
      </c>
      <c r="B4371" s="1"/>
      <c r="C4371" s="1" t="s">
        <v>227</v>
      </c>
      <c r="D4371">
        <v>10276</v>
      </c>
      <c r="E4371" s="1"/>
      <c r="F4371" s="1" t="s">
        <v>367</v>
      </c>
      <c r="G4371">
        <v>2011</v>
      </c>
      <c r="H4371">
        <v>9211.0499999999993</v>
      </c>
      <c r="I4371">
        <v>4</v>
      </c>
      <c r="J4371" s="1" t="s">
        <v>457</v>
      </c>
      <c r="K4371">
        <v>0</v>
      </c>
      <c r="L4371">
        <v>0</v>
      </c>
      <c r="M4371">
        <v>92110.5</v>
      </c>
      <c r="N4371">
        <v>1</v>
      </c>
      <c r="O4371" s="1" t="s">
        <v>564</v>
      </c>
      <c r="P4371">
        <v>9211.0499999999993</v>
      </c>
      <c r="Q4371">
        <v>1947.98</v>
      </c>
      <c r="R4371">
        <v>0</v>
      </c>
      <c r="S4371" s="1" t="s">
        <v>902</v>
      </c>
      <c r="T4371" s="1" t="s">
        <v>1227</v>
      </c>
      <c r="U4371">
        <v>852.87508000000003</v>
      </c>
      <c r="V4371">
        <v>0</v>
      </c>
      <c r="W4371">
        <v>77670</v>
      </c>
    </row>
    <row r="4372" spans="1:23" x14ac:dyDescent="0.25">
      <c r="A4372" s="1" t="s">
        <v>40</v>
      </c>
      <c r="B4372" s="1"/>
      <c r="C4372" s="1" t="s">
        <v>227</v>
      </c>
      <c r="D4372">
        <v>10276</v>
      </c>
      <c r="E4372" s="1"/>
      <c r="F4372" s="1" t="s">
        <v>367</v>
      </c>
      <c r="G4372">
        <v>2010</v>
      </c>
      <c r="H4372">
        <v>11373.2</v>
      </c>
      <c r="I4372">
        <v>2</v>
      </c>
      <c r="J4372" s="1" t="s">
        <v>457</v>
      </c>
      <c r="K4372">
        <v>0</v>
      </c>
      <c r="L4372">
        <v>0</v>
      </c>
      <c r="M4372">
        <v>113732</v>
      </c>
      <c r="N4372">
        <v>1</v>
      </c>
      <c r="O4372" s="1" t="s">
        <v>564</v>
      </c>
      <c r="P4372">
        <v>11373.2</v>
      </c>
      <c r="Q4372">
        <v>2405.2399999999998</v>
      </c>
      <c r="R4372">
        <v>0</v>
      </c>
      <c r="S4372" s="1" t="s">
        <v>902</v>
      </c>
      <c r="T4372" s="1" t="s">
        <v>1227</v>
      </c>
      <c r="U4372">
        <v>1053.0749000000001</v>
      </c>
      <c r="V4372">
        <v>0</v>
      </c>
      <c r="W4372">
        <v>77670</v>
      </c>
    </row>
    <row r="4373" spans="1:23" x14ac:dyDescent="0.25">
      <c r="A4373" s="1" t="s">
        <v>40</v>
      </c>
      <c r="B4373" s="1"/>
      <c r="C4373" s="1" t="s">
        <v>227</v>
      </c>
      <c r="D4373">
        <v>10276</v>
      </c>
      <c r="E4373" s="1"/>
      <c r="F4373" s="1" t="s">
        <v>367</v>
      </c>
      <c r="G4373">
        <v>2009</v>
      </c>
      <c r="H4373">
        <v>14242.16</v>
      </c>
      <c r="I4373">
        <v>2</v>
      </c>
      <c r="J4373" s="1" t="s">
        <v>457</v>
      </c>
      <c r="K4373">
        <v>0</v>
      </c>
      <c r="L4373">
        <v>0</v>
      </c>
      <c r="M4373">
        <v>142421.6</v>
      </c>
      <c r="N4373">
        <v>1</v>
      </c>
      <c r="O4373" s="1" t="s">
        <v>564</v>
      </c>
      <c r="P4373">
        <v>14242.16</v>
      </c>
      <c r="Q4373">
        <v>3011.96</v>
      </c>
      <c r="R4373">
        <v>0</v>
      </c>
      <c r="S4373" s="1" t="s">
        <v>902</v>
      </c>
      <c r="T4373" s="1" t="s">
        <v>1227</v>
      </c>
      <c r="U4373">
        <v>1318.7165500000001</v>
      </c>
      <c r="V4373">
        <v>0</v>
      </c>
      <c r="W4373">
        <v>77670</v>
      </c>
    </row>
    <row r="4374" spans="1:23" x14ac:dyDescent="0.25">
      <c r="A4374" s="1" t="s">
        <v>40</v>
      </c>
      <c r="B4374" s="1"/>
      <c r="C4374" s="1" t="s">
        <v>227</v>
      </c>
      <c r="D4374">
        <v>10276</v>
      </c>
      <c r="E4374" s="1"/>
      <c r="F4374" s="1" t="s">
        <v>367</v>
      </c>
      <c r="G4374">
        <v>2008</v>
      </c>
      <c r="H4374">
        <v>5409.75</v>
      </c>
      <c r="I4374">
        <v>3</v>
      </c>
      <c r="J4374" s="1" t="s">
        <v>457</v>
      </c>
      <c r="K4374">
        <v>0</v>
      </c>
      <c r="L4374">
        <v>0</v>
      </c>
      <c r="M4374">
        <v>54097.5</v>
      </c>
      <c r="N4374">
        <v>1</v>
      </c>
      <c r="O4374" s="1" t="s">
        <v>564</v>
      </c>
      <c r="P4374">
        <v>5409.75</v>
      </c>
      <c r="Q4374">
        <v>1144.06</v>
      </c>
      <c r="R4374">
        <v>0</v>
      </c>
      <c r="S4374" s="1" t="s">
        <v>902</v>
      </c>
      <c r="T4374" s="1" t="s">
        <v>1227</v>
      </c>
      <c r="U4374">
        <v>500.90345000000002</v>
      </c>
      <c r="V4374">
        <v>0</v>
      </c>
      <c r="W4374">
        <v>77670</v>
      </c>
    </row>
    <row r="4375" spans="1:23" x14ac:dyDescent="0.25">
      <c r="A4375" s="1" t="s">
        <v>40</v>
      </c>
      <c r="B4375" s="1"/>
      <c r="C4375" s="1" t="s">
        <v>211</v>
      </c>
      <c r="D4375">
        <v>10277</v>
      </c>
      <c r="E4375" s="1"/>
      <c r="F4375" s="1" t="s">
        <v>349</v>
      </c>
      <c r="G4375">
        <v>2015</v>
      </c>
      <c r="H4375">
        <v>17429.439999999999</v>
      </c>
      <c r="I4375">
        <v>5</v>
      </c>
      <c r="J4375" s="1" t="s">
        <v>410</v>
      </c>
      <c r="K4375">
        <v>0</v>
      </c>
      <c r="L4375">
        <v>304</v>
      </c>
      <c r="M4375">
        <v>57.314830000000001</v>
      </c>
      <c r="N4375">
        <v>1</v>
      </c>
      <c r="O4375" s="1" t="s">
        <v>566</v>
      </c>
      <c r="P4375">
        <v>17429.439999999999</v>
      </c>
      <c r="Q4375">
        <v>3554.37</v>
      </c>
      <c r="R4375">
        <v>0</v>
      </c>
      <c r="S4375" s="1" t="s">
        <v>903</v>
      </c>
      <c r="T4375" s="1" t="s">
        <v>1228</v>
      </c>
      <c r="U4375">
        <v>1556.2</v>
      </c>
      <c r="V4375">
        <v>0</v>
      </c>
      <c r="W4375">
        <v>77672</v>
      </c>
    </row>
    <row r="4376" spans="1:23" x14ac:dyDescent="0.25">
      <c r="A4376" s="1" t="s">
        <v>40</v>
      </c>
      <c r="B4376" s="1"/>
      <c r="C4376" s="1" t="s">
        <v>211</v>
      </c>
      <c r="D4376">
        <v>10277</v>
      </c>
      <c r="E4376" s="1"/>
      <c r="F4376" s="1" t="s">
        <v>349</v>
      </c>
      <c r="G4376">
        <v>2014</v>
      </c>
      <c r="H4376">
        <v>26030.82</v>
      </c>
      <c r="I4376">
        <v>12</v>
      </c>
      <c r="J4376" s="1" t="s">
        <v>410</v>
      </c>
      <c r="K4376">
        <v>0</v>
      </c>
      <c r="L4376">
        <v>304</v>
      </c>
      <c r="M4376">
        <v>85.599538999999993</v>
      </c>
      <c r="N4376">
        <v>1</v>
      </c>
      <c r="O4376" s="1" t="s">
        <v>566</v>
      </c>
      <c r="P4376">
        <v>26030.82</v>
      </c>
      <c r="Q4376">
        <v>5308.42</v>
      </c>
      <c r="R4376">
        <v>0</v>
      </c>
      <c r="S4376" s="1" t="s">
        <v>903</v>
      </c>
      <c r="T4376" s="1" t="s">
        <v>1228</v>
      </c>
      <c r="U4376">
        <v>2324.1799999999998</v>
      </c>
      <c r="V4376">
        <v>0</v>
      </c>
      <c r="W4376">
        <v>77672</v>
      </c>
    </row>
    <row r="4377" spans="1:23" x14ac:dyDescent="0.25">
      <c r="A4377" s="1" t="s">
        <v>40</v>
      </c>
      <c r="B4377" s="1"/>
      <c r="C4377" s="1" t="s">
        <v>211</v>
      </c>
      <c r="D4377">
        <v>10277</v>
      </c>
      <c r="E4377" s="1"/>
      <c r="F4377" s="1" t="s">
        <v>349</v>
      </c>
      <c r="G4377">
        <v>2013</v>
      </c>
      <c r="H4377">
        <v>24520.38</v>
      </c>
      <c r="I4377">
        <v>13</v>
      </c>
      <c r="J4377" s="1" t="s">
        <v>410</v>
      </c>
      <c r="K4377">
        <v>0</v>
      </c>
      <c r="L4377">
        <v>304</v>
      </c>
      <c r="M4377">
        <v>80.632620000000003</v>
      </c>
      <c r="N4377">
        <v>1</v>
      </c>
      <c r="O4377" s="1" t="s">
        <v>566</v>
      </c>
      <c r="P4377">
        <v>24520.38</v>
      </c>
      <c r="Q4377">
        <v>5000.42</v>
      </c>
      <c r="R4377">
        <v>0</v>
      </c>
      <c r="S4377" s="1" t="s">
        <v>903</v>
      </c>
      <c r="T4377" s="1" t="s">
        <v>1228</v>
      </c>
      <c r="U4377">
        <v>2189.3200099999999</v>
      </c>
      <c r="V4377">
        <v>0</v>
      </c>
      <c r="W4377">
        <v>77672</v>
      </c>
    </row>
    <row r="4378" spans="1:23" x14ac:dyDescent="0.25">
      <c r="A4378" s="1" t="s">
        <v>40</v>
      </c>
      <c r="B4378" s="1"/>
      <c r="C4378" s="1" t="s">
        <v>211</v>
      </c>
      <c r="D4378">
        <v>10277</v>
      </c>
      <c r="E4378" s="1"/>
      <c r="F4378" s="1" t="s">
        <v>349</v>
      </c>
      <c r="G4378">
        <v>2012</v>
      </c>
      <c r="H4378">
        <v>39691.39</v>
      </c>
      <c r="I4378">
        <v>12</v>
      </c>
      <c r="J4378" s="1" t="s">
        <v>410</v>
      </c>
      <c r="K4378">
        <v>0</v>
      </c>
      <c r="L4378">
        <v>304</v>
      </c>
      <c r="M4378">
        <v>130.520848</v>
      </c>
      <c r="N4378">
        <v>1</v>
      </c>
      <c r="O4378" s="1" t="s">
        <v>566</v>
      </c>
      <c r="P4378">
        <v>39691.39</v>
      </c>
      <c r="Q4378">
        <v>8094.21</v>
      </c>
      <c r="R4378">
        <v>0</v>
      </c>
      <c r="S4378" s="1" t="s">
        <v>903</v>
      </c>
      <c r="T4378" s="1" t="s">
        <v>1228</v>
      </c>
      <c r="U4378">
        <v>3543.8714399999999</v>
      </c>
      <c r="V4378">
        <v>0</v>
      </c>
      <c r="W4378">
        <v>77672</v>
      </c>
    </row>
    <row r="4379" spans="1:23" x14ac:dyDescent="0.25">
      <c r="A4379" s="1" t="s">
        <v>40</v>
      </c>
      <c r="B4379" s="1"/>
      <c r="C4379" s="1" t="s">
        <v>211</v>
      </c>
      <c r="D4379">
        <v>10277</v>
      </c>
      <c r="E4379" s="1"/>
      <c r="F4379" s="1" t="s">
        <v>349</v>
      </c>
      <c r="G4379">
        <v>2011</v>
      </c>
      <c r="H4379">
        <v>11604.78</v>
      </c>
      <c r="I4379">
        <v>4</v>
      </c>
      <c r="J4379" s="1" t="s">
        <v>410</v>
      </c>
      <c r="K4379">
        <v>0</v>
      </c>
      <c r="L4379">
        <v>304</v>
      </c>
      <c r="M4379">
        <v>38.161065000000001</v>
      </c>
      <c r="N4379">
        <v>1</v>
      </c>
      <c r="O4379" s="1" t="s">
        <v>566</v>
      </c>
      <c r="P4379">
        <v>11604.78</v>
      </c>
      <c r="Q4379">
        <v>2366.54</v>
      </c>
      <c r="R4379">
        <v>0</v>
      </c>
      <c r="S4379" s="1" t="s">
        <v>903</v>
      </c>
      <c r="T4379" s="1" t="s">
        <v>1228</v>
      </c>
      <c r="U4379">
        <v>1036.1401000000001</v>
      </c>
      <c r="V4379">
        <v>0</v>
      </c>
      <c r="W4379">
        <v>77672</v>
      </c>
    </row>
    <row r="4380" spans="1:23" x14ac:dyDescent="0.25">
      <c r="A4380" s="1" t="s">
        <v>40</v>
      </c>
      <c r="B4380" s="1"/>
      <c r="C4380" s="1" t="s">
        <v>211</v>
      </c>
      <c r="D4380">
        <v>10277</v>
      </c>
      <c r="E4380" s="1"/>
      <c r="F4380" s="1" t="s">
        <v>349</v>
      </c>
      <c r="G4380">
        <v>2010</v>
      </c>
      <c r="H4380">
        <v>24018.32</v>
      </c>
      <c r="I4380">
        <v>5</v>
      </c>
      <c r="J4380" s="1" t="s">
        <v>410</v>
      </c>
      <c r="K4380">
        <v>0</v>
      </c>
      <c r="L4380">
        <v>304</v>
      </c>
      <c r="M4380">
        <v>78.981650000000002</v>
      </c>
      <c r="N4380">
        <v>1</v>
      </c>
      <c r="O4380" s="1" t="s">
        <v>566</v>
      </c>
      <c r="P4380">
        <v>24018.32</v>
      </c>
      <c r="Q4380">
        <v>4898</v>
      </c>
      <c r="R4380">
        <v>0</v>
      </c>
      <c r="S4380" s="1" t="s">
        <v>903</v>
      </c>
      <c r="T4380" s="1" t="s">
        <v>1228</v>
      </c>
      <c r="U4380">
        <v>2144.4944500000001</v>
      </c>
      <c r="V4380">
        <v>0</v>
      </c>
      <c r="W4380">
        <v>77672</v>
      </c>
    </row>
    <row r="4381" spans="1:23" x14ac:dyDescent="0.25">
      <c r="A4381" s="1" t="s">
        <v>40</v>
      </c>
      <c r="B4381" s="1"/>
      <c r="C4381" s="1" t="s">
        <v>211</v>
      </c>
      <c r="D4381">
        <v>10277</v>
      </c>
      <c r="E4381" s="1"/>
      <c r="F4381" s="1" t="s">
        <v>349</v>
      </c>
      <c r="G4381">
        <v>2009</v>
      </c>
      <c r="H4381">
        <v>34427.67</v>
      </c>
      <c r="I4381">
        <v>2</v>
      </c>
      <c r="J4381" s="1" t="s">
        <v>410</v>
      </c>
      <c r="K4381">
        <v>0</v>
      </c>
      <c r="L4381">
        <v>304</v>
      </c>
      <c r="M4381">
        <v>113.211673</v>
      </c>
      <c r="N4381">
        <v>1</v>
      </c>
      <c r="O4381" s="1" t="s">
        <v>566</v>
      </c>
      <c r="P4381">
        <v>34427.67</v>
      </c>
      <c r="Q4381">
        <v>7020.76</v>
      </c>
      <c r="R4381">
        <v>0</v>
      </c>
      <c r="S4381" s="1" t="s">
        <v>903</v>
      </c>
      <c r="T4381" s="1" t="s">
        <v>1228</v>
      </c>
      <c r="U4381">
        <v>3073.8991700000001</v>
      </c>
      <c r="V4381">
        <v>0</v>
      </c>
      <c r="W4381">
        <v>77672</v>
      </c>
    </row>
    <row r="4382" spans="1:23" x14ac:dyDescent="0.25">
      <c r="A4382" s="1" t="s">
        <v>40</v>
      </c>
      <c r="B4382" s="1"/>
      <c r="C4382" s="1" t="s">
        <v>211</v>
      </c>
      <c r="D4382">
        <v>10277</v>
      </c>
      <c r="E4382" s="1"/>
      <c r="F4382" s="1" t="s">
        <v>349</v>
      </c>
      <c r="G4382">
        <v>2008</v>
      </c>
      <c r="H4382">
        <v>24517.19</v>
      </c>
      <c r="I4382">
        <v>3</v>
      </c>
      <c r="J4382" s="1" t="s">
        <v>410</v>
      </c>
      <c r="K4382">
        <v>0</v>
      </c>
      <c r="L4382">
        <v>304</v>
      </c>
      <c r="M4382">
        <v>80.622129999999999</v>
      </c>
      <c r="N4382">
        <v>1</v>
      </c>
      <c r="O4382" s="1" t="s">
        <v>566</v>
      </c>
      <c r="P4382">
        <v>24517.19</v>
      </c>
      <c r="Q4382">
        <v>4999.7700000000004</v>
      </c>
      <c r="R4382">
        <v>0</v>
      </c>
      <c r="S4382" s="1" t="s">
        <v>903</v>
      </c>
      <c r="T4382" s="1" t="s">
        <v>1228</v>
      </c>
      <c r="U4382">
        <v>2189.0359600000002</v>
      </c>
      <c r="V4382">
        <v>0</v>
      </c>
      <c r="W4382">
        <v>77672</v>
      </c>
    </row>
    <row r="4383" spans="1:23" x14ac:dyDescent="0.25">
      <c r="A4383" s="1" t="s">
        <v>40</v>
      </c>
      <c r="B4383" s="1" t="s">
        <v>85</v>
      </c>
      <c r="C4383" s="1" t="s">
        <v>212</v>
      </c>
      <c r="D4383">
        <v>13360</v>
      </c>
      <c r="E4383" s="1" t="s">
        <v>243</v>
      </c>
      <c r="F4383" s="1" t="s">
        <v>350</v>
      </c>
      <c r="G4383">
        <v>2015</v>
      </c>
      <c r="H4383">
        <v>17958.349999999999</v>
      </c>
      <c r="I4383">
        <v>5</v>
      </c>
      <c r="J4383" s="1" t="s">
        <v>410</v>
      </c>
      <c r="K4383">
        <v>0</v>
      </c>
      <c r="L4383">
        <v>317</v>
      </c>
      <c r="M4383">
        <v>56.633080999999997</v>
      </c>
      <c r="N4383">
        <v>1</v>
      </c>
      <c r="O4383" s="1" t="s">
        <v>564</v>
      </c>
      <c r="P4383">
        <v>20100.849999999999</v>
      </c>
      <c r="Q4383">
        <v>4250.96</v>
      </c>
      <c r="R4383">
        <v>0</v>
      </c>
      <c r="S4383" s="1" t="s">
        <v>904</v>
      </c>
      <c r="T4383" s="1"/>
      <c r="U4383">
        <v>1662.81</v>
      </c>
      <c r="V4383">
        <v>0</v>
      </c>
      <c r="W4383">
        <v>89468</v>
      </c>
    </row>
    <row r="4384" spans="1:23" x14ac:dyDescent="0.25">
      <c r="A4384" s="1" t="s">
        <v>40</v>
      </c>
      <c r="B4384" s="1" t="s">
        <v>85</v>
      </c>
      <c r="C4384" s="1" t="s">
        <v>212</v>
      </c>
      <c r="D4384">
        <v>13360</v>
      </c>
      <c r="E4384" s="1" t="s">
        <v>243</v>
      </c>
      <c r="F4384" s="1" t="s">
        <v>350</v>
      </c>
      <c r="G4384">
        <v>2014</v>
      </c>
      <c r="H4384">
        <v>29810.58</v>
      </c>
      <c r="I4384">
        <v>12</v>
      </c>
      <c r="J4384" s="1" t="s">
        <v>410</v>
      </c>
      <c r="K4384">
        <v>0</v>
      </c>
      <c r="L4384">
        <v>317</v>
      </c>
      <c r="M4384">
        <v>94.010028000000005</v>
      </c>
      <c r="N4384">
        <v>1</v>
      </c>
      <c r="O4384" s="1" t="s">
        <v>564</v>
      </c>
      <c r="P4384">
        <v>35577.86</v>
      </c>
      <c r="Q4384">
        <v>7524.06</v>
      </c>
      <c r="R4384">
        <v>0</v>
      </c>
      <c r="S4384" s="1" t="s">
        <v>904</v>
      </c>
      <c r="T4384" s="1"/>
      <c r="U4384">
        <v>2760.2401</v>
      </c>
      <c r="V4384">
        <v>0</v>
      </c>
      <c r="W4384">
        <v>89468</v>
      </c>
    </row>
    <row r="4385" spans="1:23" x14ac:dyDescent="0.25">
      <c r="A4385" s="1" t="s">
        <v>40</v>
      </c>
      <c r="B4385" s="1" t="s">
        <v>85</v>
      </c>
      <c r="C4385" s="1" t="s">
        <v>212</v>
      </c>
      <c r="D4385">
        <v>13360</v>
      </c>
      <c r="E4385" s="1" t="s">
        <v>243</v>
      </c>
      <c r="F4385" s="1" t="s">
        <v>350</v>
      </c>
      <c r="G4385">
        <v>2013</v>
      </c>
      <c r="H4385">
        <v>43988.1</v>
      </c>
      <c r="I4385">
        <v>13</v>
      </c>
      <c r="J4385" s="1" t="s">
        <v>410</v>
      </c>
      <c r="K4385">
        <v>0</v>
      </c>
      <c r="L4385">
        <v>317</v>
      </c>
      <c r="M4385">
        <v>138.71996200000001</v>
      </c>
      <c r="N4385">
        <v>1</v>
      </c>
      <c r="O4385" s="1" t="s">
        <v>564</v>
      </c>
      <c r="P4385">
        <v>46465.08</v>
      </c>
      <c r="Q4385">
        <v>9826.5</v>
      </c>
      <c r="R4385">
        <v>0</v>
      </c>
      <c r="S4385" s="1" t="s">
        <v>904</v>
      </c>
      <c r="T4385" s="1"/>
      <c r="U4385">
        <v>4072.97334</v>
      </c>
      <c r="V4385">
        <v>0</v>
      </c>
      <c r="W4385">
        <v>89468</v>
      </c>
    </row>
    <row r="4386" spans="1:23" x14ac:dyDescent="0.25">
      <c r="A4386" s="1" t="s">
        <v>40</v>
      </c>
      <c r="B4386" s="1" t="s">
        <v>85</v>
      </c>
      <c r="C4386" s="1" t="s">
        <v>212</v>
      </c>
      <c r="D4386">
        <v>13360</v>
      </c>
      <c r="E4386" s="1" t="s">
        <v>243</v>
      </c>
      <c r="F4386" s="1" t="s">
        <v>350</v>
      </c>
      <c r="G4386">
        <v>2012</v>
      </c>
      <c r="H4386">
        <v>67610.89</v>
      </c>
      <c r="I4386">
        <v>12</v>
      </c>
      <c r="J4386" s="1" t="s">
        <v>410</v>
      </c>
      <c r="K4386">
        <v>0</v>
      </c>
      <c r="L4386">
        <v>317</v>
      </c>
      <c r="M4386">
        <v>213.21630400000001</v>
      </c>
      <c r="N4386">
        <v>1</v>
      </c>
      <c r="O4386" s="1" t="s">
        <v>564</v>
      </c>
      <c r="P4386">
        <v>73563.98</v>
      </c>
      <c r="Q4386">
        <v>15557.41</v>
      </c>
      <c r="R4386">
        <v>0</v>
      </c>
      <c r="S4386" s="1" t="s">
        <v>904</v>
      </c>
      <c r="T4386" s="1"/>
      <c r="U4386">
        <v>6260.2645599999996</v>
      </c>
      <c r="V4386">
        <v>0</v>
      </c>
      <c r="W4386">
        <v>89468</v>
      </c>
    </row>
    <row r="4387" spans="1:23" x14ac:dyDescent="0.25">
      <c r="A4387" s="1" t="s">
        <v>40</v>
      </c>
      <c r="B4387" s="1" t="s">
        <v>85</v>
      </c>
      <c r="C4387" s="1" t="s">
        <v>212</v>
      </c>
      <c r="D4387">
        <v>13360</v>
      </c>
      <c r="E4387" s="1" t="s">
        <v>243</v>
      </c>
      <c r="F4387" s="1" t="s">
        <v>350</v>
      </c>
      <c r="G4387">
        <v>2011</v>
      </c>
      <c r="H4387">
        <v>31334.959999999999</v>
      </c>
      <c r="I4387">
        <v>4</v>
      </c>
      <c r="J4387" s="1" t="s">
        <v>410</v>
      </c>
      <c r="K4387">
        <v>0</v>
      </c>
      <c r="L4387">
        <v>317</v>
      </c>
      <c r="M4387">
        <v>98.817280999999994</v>
      </c>
      <c r="N4387">
        <v>1</v>
      </c>
      <c r="O4387" s="1" t="s">
        <v>564</v>
      </c>
      <c r="P4387">
        <v>35015.26</v>
      </c>
      <c r="Q4387">
        <v>7405.07</v>
      </c>
      <c r="R4387">
        <v>0</v>
      </c>
      <c r="S4387" s="1" t="s">
        <v>904</v>
      </c>
      <c r="T4387" s="1"/>
      <c r="U4387">
        <v>2901.3856099999998</v>
      </c>
      <c r="V4387">
        <v>0</v>
      </c>
      <c r="W4387">
        <v>89468</v>
      </c>
    </row>
    <row r="4388" spans="1:23" x14ac:dyDescent="0.25">
      <c r="A4388" s="1" t="s">
        <v>40</v>
      </c>
      <c r="B4388" s="1" t="s">
        <v>85</v>
      </c>
      <c r="C4388" s="1" t="s">
        <v>212</v>
      </c>
      <c r="D4388">
        <v>13360</v>
      </c>
      <c r="E4388" s="1" t="s">
        <v>243</v>
      </c>
      <c r="F4388" s="1" t="s">
        <v>350</v>
      </c>
      <c r="G4388">
        <v>2010</v>
      </c>
      <c r="H4388">
        <v>48481.9</v>
      </c>
      <c r="I4388">
        <v>1</v>
      </c>
      <c r="J4388" s="1" t="s">
        <v>410</v>
      </c>
      <c r="K4388">
        <v>0</v>
      </c>
      <c r="L4388">
        <v>317</v>
      </c>
      <c r="M4388">
        <v>152.891516</v>
      </c>
      <c r="N4388">
        <v>1</v>
      </c>
      <c r="O4388" s="1" t="s">
        <v>564</v>
      </c>
      <c r="P4388">
        <v>61311.71</v>
      </c>
      <c r="Q4388">
        <v>12966.31</v>
      </c>
      <c r="R4388">
        <v>0</v>
      </c>
      <c r="S4388" s="1" t="s">
        <v>904</v>
      </c>
      <c r="T4388" s="1"/>
      <c r="U4388">
        <v>4489.06495</v>
      </c>
      <c r="V4388">
        <v>0</v>
      </c>
      <c r="W4388">
        <v>89468</v>
      </c>
    </row>
    <row r="4389" spans="1:23" x14ac:dyDescent="0.25">
      <c r="A4389" s="1" t="s">
        <v>40</v>
      </c>
      <c r="B4389" s="1" t="s">
        <v>85</v>
      </c>
      <c r="C4389" s="1" t="s">
        <v>212</v>
      </c>
      <c r="D4389">
        <v>13360</v>
      </c>
      <c r="E4389" s="1" t="s">
        <v>243</v>
      </c>
      <c r="F4389" s="1" t="s">
        <v>350</v>
      </c>
      <c r="G4389">
        <v>2009</v>
      </c>
      <c r="H4389">
        <v>27989.42</v>
      </c>
      <c r="I4389">
        <v>4</v>
      </c>
      <c r="J4389" s="1" t="s">
        <v>410</v>
      </c>
      <c r="K4389">
        <v>0</v>
      </c>
      <c r="L4389">
        <v>317</v>
      </c>
      <c r="M4389">
        <v>88.266855000000007</v>
      </c>
      <c r="N4389">
        <v>1</v>
      </c>
      <c r="O4389" s="1" t="s">
        <v>564</v>
      </c>
      <c r="P4389">
        <v>28819.599999999999</v>
      </c>
      <c r="Q4389">
        <v>6094.83</v>
      </c>
      <c r="R4389">
        <v>0</v>
      </c>
      <c r="S4389" s="1" t="s">
        <v>904</v>
      </c>
      <c r="T4389" s="1"/>
      <c r="U4389">
        <v>2591.6122300000002</v>
      </c>
      <c r="V4389">
        <v>0</v>
      </c>
      <c r="W4389">
        <v>89468</v>
      </c>
    </row>
    <row r="4390" spans="1:23" x14ac:dyDescent="0.25">
      <c r="A4390" s="1" t="s">
        <v>40</v>
      </c>
      <c r="B4390" s="1" t="s">
        <v>85</v>
      </c>
      <c r="C4390" s="1" t="s">
        <v>212</v>
      </c>
      <c r="D4390">
        <v>13360</v>
      </c>
      <c r="E4390" s="1" t="s">
        <v>243</v>
      </c>
      <c r="F4390" s="1" t="s">
        <v>350</v>
      </c>
      <c r="G4390">
        <v>2008</v>
      </c>
      <c r="H4390">
        <v>54709.46</v>
      </c>
      <c r="I4390">
        <v>1</v>
      </c>
      <c r="J4390" s="1" t="s">
        <v>410</v>
      </c>
      <c r="K4390">
        <v>0</v>
      </c>
      <c r="L4390">
        <v>317</v>
      </c>
      <c r="M4390">
        <v>172.530621</v>
      </c>
      <c r="N4390">
        <v>1</v>
      </c>
      <c r="O4390" s="1" t="s">
        <v>564</v>
      </c>
      <c r="P4390">
        <v>69983.11</v>
      </c>
      <c r="Q4390">
        <v>14800.15</v>
      </c>
      <c r="R4390">
        <v>0</v>
      </c>
      <c r="S4390" s="1" t="s">
        <v>904</v>
      </c>
      <c r="T4390" s="1"/>
      <c r="U4390">
        <v>5065.6925700000002</v>
      </c>
      <c r="V4390">
        <v>0</v>
      </c>
      <c r="W4390">
        <v>89468</v>
      </c>
    </row>
    <row r="4391" spans="1:23" x14ac:dyDescent="0.25">
      <c r="A4391" s="1" t="s">
        <v>40</v>
      </c>
      <c r="B4391" s="1" t="s">
        <v>86</v>
      </c>
      <c r="C4391" s="1" t="s">
        <v>213</v>
      </c>
      <c r="D4391">
        <v>6026</v>
      </c>
      <c r="E4391" s="1"/>
      <c r="F4391" s="1" t="s">
        <v>368</v>
      </c>
      <c r="G4391">
        <v>2015</v>
      </c>
      <c r="H4391">
        <v>126998.77</v>
      </c>
      <c r="I4391">
        <v>5</v>
      </c>
      <c r="J4391" s="1" t="s">
        <v>421</v>
      </c>
      <c r="K4391">
        <v>0</v>
      </c>
      <c r="L4391">
        <v>0</v>
      </c>
      <c r="M4391">
        <v>1269987.7</v>
      </c>
      <c r="N4391">
        <v>1</v>
      </c>
      <c r="O4391" s="1" t="s">
        <v>562</v>
      </c>
      <c r="P4391">
        <v>145441.82999999999</v>
      </c>
      <c r="Q4391">
        <v>26906738.550000001</v>
      </c>
      <c r="R4391">
        <v>1</v>
      </c>
      <c r="S4391" s="1" t="s">
        <v>905</v>
      </c>
      <c r="T4391" s="1"/>
      <c r="U4391">
        <v>126998.77142999999</v>
      </c>
      <c r="V4391">
        <v>0</v>
      </c>
      <c r="W4391">
        <v>60556</v>
      </c>
    </row>
    <row r="4392" spans="1:23" x14ac:dyDescent="0.25">
      <c r="A4392" s="1" t="s">
        <v>40</v>
      </c>
      <c r="B4392" s="1" t="s">
        <v>86</v>
      </c>
      <c r="C4392" s="1" t="s">
        <v>213</v>
      </c>
      <c r="D4392">
        <v>6026</v>
      </c>
      <c r="E4392" s="1"/>
      <c r="F4392" s="1" t="s">
        <v>368</v>
      </c>
      <c r="G4392">
        <v>2014</v>
      </c>
      <c r="H4392">
        <v>187630.49</v>
      </c>
      <c r="I4392">
        <v>11</v>
      </c>
      <c r="J4392" s="1" t="s">
        <v>421</v>
      </c>
      <c r="K4392">
        <v>0</v>
      </c>
      <c r="L4392">
        <v>0</v>
      </c>
      <c r="M4392">
        <v>1876304.9</v>
      </c>
      <c r="N4392">
        <v>1</v>
      </c>
      <c r="O4392" s="1" t="s">
        <v>562</v>
      </c>
      <c r="P4392">
        <v>229628.17</v>
      </c>
      <c r="Q4392">
        <v>14373065.890000001</v>
      </c>
      <c r="R4392">
        <v>1</v>
      </c>
      <c r="S4392" s="1" t="s">
        <v>905</v>
      </c>
      <c r="T4392" s="1"/>
      <c r="U4392">
        <v>187630.48663</v>
      </c>
      <c r="V4392">
        <v>0</v>
      </c>
      <c r="W4392">
        <v>60556</v>
      </c>
    </row>
    <row r="4393" spans="1:23" x14ac:dyDescent="0.25">
      <c r="A4393" s="1" t="s">
        <v>40</v>
      </c>
      <c r="B4393" s="1" t="s">
        <v>86</v>
      </c>
      <c r="C4393" s="1" t="s">
        <v>213</v>
      </c>
      <c r="D4393">
        <v>6026</v>
      </c>
      <c r="E4393" s="1"/>
      <c r="F4393" s="1" t="s">
        <v>368</v>
      </c>
      <c r="G4393">
        <v>2013</v>
      </c>
      <c r="H4393">
        <v>188600.11</v>
      </c>
      <c r="I4393">
        <v>12</v>
      </c>
      <c r="J4393" s="1" t="s">
        <v>421</v>
      </c>
      <c r="K4393">
        <v>0</v>
      </c>
      <c r="L4393">
        <v>0</v>
      </c>
      <c r="M4393">
        <v>1886001.1</v>
      </c>
      <c r="N4393">
        <v>1</v>
      </c>
      <c r="O4393" s="1" t="s">
        <v>562</v>
      </c>
      <c r="P4393">
        <v>192226.54</v>
      </c>
      <c r="Q4393">
        <v>35561.910000000003</v>
      </c>
      <c r="R4393">
        <v>1</v>
      </c>
      <c r="S4393" s="1" t="s">
        <v>905</v>
      </c>
      <c r="T4393" s="1"/>
      <c r="U4393">
        <v>188600.09487999999</v>
      </c>
      <c r="V4393">
        <v>0</v>
      </c>
      <c r="W4393">
        <v>60556</v>
      </c>
    </row>
    <row r="4394" spans="1:23" x14ac:dyDescent="0.25">
      <c r="A4394" s="1" t="s">
        <v>40</v>
      </c>
      <c r="B4394" s="1" t="s">
        <v>86</v>
      </c>
      <c r="C4394" s="1" t="s">
        <v>213</v>
      </c>
      <c r="D4394">
        <v>6026</v>
      </c>
      <c r="E4394" s="1"/>
      <c r="F4394" s="1" t="s">
        <v>368</v>
      </c>
      <c r="G4394">
        <v>2012</v>
      </c>
      <c r="H4394">
        <v>232561.53</v>
      </c>
      <c r="I4394">
        <v>12</v>
      </c>
      <c r="J4394" s="1" t="s">
        <v>421</v>
      </c>
      <c r="K4394">
        <v>0</v>
      </c>
      <c r="L4394">
        <v>0</v>
      </c>
      <c r="M4394">
        <v>2325615.2999999998</v>
      </c>
      <c r="N4394">
        <v>1</v>
      </c>
      <c r="O4394" s="1" t="s">
        <v>562</v>
      </c>
      <c r="P4394">
        <v>244843.51</v>
      </c>
      <c r="Q4394">
        <v>45296.07</v>
      </c>
      <c r="R4394">
        <v>1</v>
      </c>
      <c r="S4394" s="1" t="s">
        <v>905</v>
      </c>
      <c r="T4394" s="1"/>
      <c r="U4394">
        <v>232561.52585999999</v>
      </c>
      <c r="V4394">
        <v>0</v>
      </c>
      <c r="W4394">
        <v>60556</v>
      </c>
    </row>
    <row r="4395" spans="1:23" x14ac:dyDescent="0.25">
      <c r="A4395" s="1" t="s">
        <v>40</v>
      </c>
      <c r="B4395" s="1" t="s">
        <v>86</v>
      </c>
      <c r="C4395" s="1" t="s">
        <v>213</v>
      </c>
      <c r="D4395">
        <v>6026</v>
      </c>
      <c r="E4395" s="1"/>
      <c r="F4395" s="1" t="s">
        <v>368</v>
      </c>
      <c r="G4395">
        <v>2011</v>
      </c>
      <c r="H4395">
        <v>197954.3</v>
      </c>
      <c r="I4395">
        <v>12</v>
      </c>
      <c r="J4395" s="1" t="s">
        <v>421</v>
      </c>
      <c r="K4395">
        <v>0</v>
      </c>
      <c r="L4395">
        <v>0</v>
      </c>
      <c r="M4395">
        <v>1979543</v>
      </c>
      <c r="N4395">
        <v>1</v>
      </c>
      <c r="O4395" s="1" t="s">
        <v>562</v>
      </c>
      <c r="P4395">
        <v>213988.82</v>
      </c>
      <c r="Q4395">
        <v>39587.93</v>
      </c>
      <c r="R4395">
        <v>1</v>
      </c>
      <c r="S4395" s="1" t="s">
        <v>905</v>
      </c>
      <c r="T4395" s="1"/>
      <c r="U4395">
        <v>197954.30301999999</v>
      </c>
      <c r="V4395">
        <v>0</v>
      </c>
      <c r="W4395">
        <v>60556</v>
      </c>
    </row>
    <row r="4396" spans="1:23" x14ac:dyDescent="0.25">
      <c r="A4396" s="1" t="s">
        <v>40</v>
      </c>
      <c r="B4396" s="1" t="s">
        <v>86</v>
      </c>
      <c r="C4396" s="1" t="s">
        <v>213</v>
      </c>
      <c r="D4396">
        <v>6026</v>
      </c>
      <c r="E4396" s="1"/>
      <c r="F4396" s="1" t="s">
        <v>368</v>
      </c>
      <c r="G4396">
        <v>2010</v>
      </c>
      <c r="H4396">
        <v>269779.40000000002</v>
      </c>
      <c r="I4396">
        <v>12</v>
      </c>
      <c r="J4396" s="1" t="s">
        <v>421</v>
      </c>
      <c r="K4396">
        <v>0</v>
      </c>
      <c r="L4396">
        <v>0</v>
      </c>
      <c r="M4396">
        <v>2697794</v>
      </c>
      <c r="N4396">
        <v>1</v>
      </c>
      <c r="O4396" s="1" t="s">
        <v>562</v>
      </c>
      <c r="P4396">
        <v>244395.46</v>
      </c>
      <c r="Q4396">
        <v>45213.15</v>
      </c>
      <c r="R4396">
        <v>1</v>
      </c>
      <c r="S4396" s="1" t="s">
        <v>905</v>
      </c>
      <c r="T4396" s="1"/>
      <c r="U4396">
        <v>269779.40642000001</v>
      </c>
      <c r="V4396">
        <v>0</v>
      </c>
      <c r="W4396">
        <v>60556</v>
      </c>
    </row>
    <row r="4397" spans="1:23" x14ac:dyDescent="0.25">
      <c r="A4397" s="1" t="s">
        <v>40</v>
      </c>
      <c r="B4397" s="1" t="s">
        <v>86</v>
      </c>
      <c r="C4397" s="1" t="s">
        <v>213</v>
      </c>
      <c r="D4397">
        <v>6026</v>
      </c>
      <c r="E4397" s="1"/>
      <c r="F4397" s="1" t="s">
        <v>368</v>
      </c>
      <c r="G4397">
        <v>2009</v>
      </c>
      <c r="H4397">
        <v>185249.57</v>
      </c>
      <c r="I4397">
        <v>12</v>
      </c>
      <c r="J4397" s="1" t="s">
        <v>421</v>
      </c>
      <c r="K4397">
        <v>0</v>
      </c>
      <c r="L4397">
        <v>0</v>
      </c>
      <c r="M4397">
        <v>1852495.7</v>
      </c>
      <c r="N4397">
        <v>1</v>
      </c>
      <c r="O4397" s="1" t="s">
        <v>562</v>
      </c>
      <c r="P4397">
        <v>198374.59</v>
      </c>
      <c r="Q4397">
        <v>36699.300000000003</v>
      </c>
      <c r="R4397">
        <v>1</v>
      </c>
      <c r="S4397" s="1" t="s">
        <v>905</v>
      </c>
      <c r="T4397" s="1"/>
      <c r="U4397">
        <v>185249.568</v>
      </c>
      <c r="V4397">
        <v>0</v>
      </c>
      <c r="W4397">
        <v>60556</v>
      </c>
    </row>
    <row r="4398" spans="1:23" x14ac:dyDescent="0.25">
      <c r="A4398" s="1" t="s">
        <v>40</v>
      </c>
      <c r="B4398" s="1" t="s">
        <v>86</v>
      </c>
      <c r="C4398" s="1" t="s">
        <v>213</v>
      </c>
      <c r="D4398">
        <v>6026</v>
      </c>
      <c r="E4398" s="1"/>
      <c r="F4398" s="1" t="s">
        <v>368</v>
      </c>
      <c r="G4398">
        <v>2008</v>
      </c>
      <c r="H4398">
        <v>151068.96</v>
      </c>
      <c r="I4398">
        <v>11</v>
      </c>
      <c r="J4398" s="1" t="s">
        <v>421</v>
      </c>
      <c r="K4398">
        <v>0</v>
      </c>
      <c r="L4398">
        <v>0</v>
      </c>
      <c r="M4398">
        <v>1510689.6</v>
      </c>
      <c r="N4398">
        <v>1</v>
      </c>
      <c r="O4398" s="1" t="s">
        <v>562</v>
      </c>
      <c r="P4398">
        <v>175864.42</v>
      </c>
      <c r="Q4398">
        <v>32534.94</v>
      </c>
      <c r="R4398">
        <v>1</v>
      </c>
      <c r="S4398" s="1" t="s">
        <v>905</v>
      </c>
      <c r="T4398" s="1"/>
      <c r="U4398">
        <v>151068.96496000001</v>
      </c>
      <c r="V4398">
        <v>0</v>
      </c>
      <c r="W4398">
        <v>60556</v>
      </c>
    </row>
    <row r="4399" spans="1:23" x14ac:dyDescent="0.25">
      <c r="A4399" s="1" t="s">
        <v>40</v>
      </c>
      <c r="B4399" s="1" t="s">
        <v>86</v>
      </c>
      <c r="C4399" s="1" t="s">
        <v>213</v>
      </c>
      <c r="D4399">
        <v>6027</v>
      </c>
      <c r="E4399" s="1"/>
      <c r="F4399" s="1" t="s">
        <v>351</v>
      </c>
      <c r="G4399">
        <v>2015</v>
      </c>
      <c r="H4399">
        <v>38953.06</v>
      </c>
      <c r="I4399">
        <v>5</v>
      </c>
      <c r="J4399" s="1" t="s">
        <v>421</v>
      </c>
      <c r="K4399">
        <v>0</v>
      </c>
      <c r="L4399">
        <v>0</v>
      </c>
      <c r="M4399">
        <v>389530.6</v>
      </c>
      <c r="N4399">
        <v>1</v>
      </c>
      <c r="O4399" s="1" t="s">
        <v>562</v>
      </c>
      <c r="P4399">
        <v>44535.11</v>
      </c>
      <c r="Q4399">
        <v>8238995.3499999996</v>
      </c>
      <c r="R4399">
        <v>1</v>
      </c>
      <c r="S4399" s="1" t="s">
        <v>906</v>
      </c>
      <c r="T4399" s="1"/>
      <c r="U4399">
        <v>38953.057139999997</v>
      </c>
      <c r="V4399">
        <v>0</v>
      </c>
      <c r="W4399">
        <v>60567</v>
      </c>
    </row>
    <row r="4400" spans="1:23" x14ac:dyDescent="0.25">
      <c r="A4400" s="1" t="s">
        <v>40</v>
      </c>
      <c r="B4400" s="1" t="s">
        <v>86</v>
      </c>
      <c r="C4400" s="1" t="s">
        <v>213</v>
      </c>
      <c r="D4400">
        <v>6027</v>
      </c>
      <c r="E4400" s="1"/>
      <c r="F4400" s="1" t="s">
        <v>351</v>
      </c>
      <c r="G4400">
        <v>2014</v>
      </c>
      <c r="H4400">
        <v>1630.21</v>
      </c>
      <c r="I4400">
        <v>1</v>
      </c>
      <c r="J4400" s="1" t="s">
        <v>501</v>
      </c>
      <c r="K4400">
        <v>0</v>
      </c>
      <c r="L4400">
        <v>0</v>
      </c>
      <c r="M4400">
        <v>16302.1</v>
      </c>
      <c r="N4400">
        <v>1</v>
      </c>
      <c r="O4400" s="1" t="s">
        <v>562</v>
      </c>
      <c r="P4400">
        <v>1767.29</v>
      </c>
      <c r="Q4400">
        <v>326.95</v>
      </c>
      <c r="R4400">
        <v>1</v>
      </c>
      <c r="S4400" s="1" t="s">
        <v>907</v>
      </c>
      <c r="T4400" s="1"/>
      <c r="U4400">
        <v>1630.20759</v>
      </c>
      <c r="V4400">
        <v>0</v>
      </c>
      <c r="W4400">
        <v>60564</v>
      </c>
    </row>
    <row r="4401" spans="1:23" x14ac:dyDescent="0.25">
      <c r="A4401" s="1" t="s">
        <v>40</v>
      </c>
      <c r="B4401" s="1" t="s">
        <v>86</v>
      </c>
      <c r="C4401" s="1" t="s">
        <v>213</v>
      </c>
      <c r="D4401">
        <v>6027</v>
      </c>
      <c r="E4401" s="1"/>
      <c r="F4401" s="1" t="s">
        <v>351</v>
      </c>
      <c r="G4401">
        <v>2014</v>
      </c>
      <c r="H4401">
        <v>1652.18</v>
      </c>
      <c r="I4401">
        <v>1</v>
      </c>
      <c r="J4401" s="1" t="s">
        <v>501</v>
      </c>
      <c r="K4401">
        <v>0</v>
      </c>
      <c r="L4401">
        <v>0</v>
      </c>
      <c r="M4401">
        <v>16521.8</v>
      </c>
      <c r="N4401">
        <v>1</v>
      </c>
      <c r="O4401" s="1" t="s">
        <v>562</v>
      </c>
      <c r="P4401">
        <v>1790.14</v>
      </c>
      <c r="Q4401">
        <v>331.18</v>
      </c>
      <c r="R4401">
        <v>1</v>
      </c>
      <c r="S4401" s="1" t="s">
        <v>908</v>
      </c>
      <c r="T4401" s="1"/>
      <c r="U4401">
        <v>1652.18228</v>
      </c>
      <c r="V4401">
        <v>0</v>
      </c>
      <c r="W4401">
        <v>60565</v>
      </c>
    </row>
    <row r="4402" spans="1:23" x14ac:dyDescent="0.25">
      <c r="A4402" s="1" t="s">
        <v>40</v>
      </c>
      <c r="B4402" s="1" t="s">
        <v>86</v>
      </c>
      <c r="C4402" s="1" t="s">
        <v>213</v>
      </c>
      <c r="D4402">
        <v>6027</v>
      </c>
      <c r="E4402" s="1"/>
      <c r="F4402" s="1" t="s">
        <v>351</v>
      </c>
      <c r="G4402">
        <v>2014</v>
      </c>
      <c r="H4402">
        <v>63839.18</v>
      </c>
      <c r="I4402">
        <v>12</v>
      </c>
      <c r="J4402" s="1" t="s">
        <v>421</v>
      </c>
      <c r="K4402">
        <v>0</v>
      </c>
      <c r="L4402">
        <v>0</v>
      </c>
      <c r="M4402">
        <v>638391.80000000005</v>
      </c>
      <c r="N4402">
        <v>1</v>
      </c>
      <c r="O4402" s="1" t="s">
        <v>562</v>
      </c>
      <c r="P4402">
        <v>78649.320000000007</v>
      </c>
      <c r="Q4402">
        <v>5221315.4000000004</v>
      </c>
      <c r="R4402">
        <v>1</v>
      </c>
      <c r="S4402" s="1" t="s">
        <v>906</v>
      </c>
      <c r="T4402" s="1"/>
      <c r="U4402">
        <v>63839.168660000003</v>
      </c>
      <c r="V4402">
        <v>0</v>
      </c>
      <c r="W4402">
        <v>60567</v>
      </c>
    </row>
    <row r="4403" spans="1:23" x14ac:dyDescent="0.25">
      <c r="A4403" s="1" t="s">
        <v>40</v>
      </c>
      <c r="B4403" s="1" t="s">
        <v>86</v>
      </c>
      <c r="C4403" s="1" t="s">
        <v>213</v>
      </c>
      <c r="D4403">
        <v>6027</v>
      </c>
      <c r="E4403" s="1"/>
      <c r="F4403" s="1" t="s">
        <v>351</v>
      </c>
      <c r="G4403">
        <v>2013</v>
      </c>
      <c r="H4403">
        <v>19833.14</v>
      </c>
      <c r="I4403">
        <v>1</v>
      </c>
      <c r="J4403" s="1" t="s">
        <v>501</v>
      </c>
      <c r="K4403">
        <v>0</v>
      </c>
      <c r="L4403">
        <v>0</v>
      </c>
      <c r="M4403">
        <v>198331.4</v>
      </c>
      <c r="N4403">
        <v>1</v>
      </c>
      <c r="O4403" s="1" t="s">
        <v>562</v>
      </c>
      <c r="P4403">
        <v>28450.7</v>
      </c>
      <c r="Q4403">
        <v>5263.38</v>
      </c>
      <c r="R4403">
        <v>1</v>
      </c>
      <c r="S4403" s="1" t="s">
        <v>908</v>
      </c>
      <c r="T4403" s="1"/>
      <c r="U4403">
        <v>19833.14128</v>
      </c>
      <c r="V4403">
        <v>0</v>
      </c>
      <c r="W4403">
        <v>60565</v>
      </c>
    </row>
    <row r="4404" spans="1:23" x14ac:dyDescent="0.25">
      <c r="A4404" s="1" t="s">
        <v>40</v>
      </c>
      <c r="B4404" s="1" t="s">
        <v>86</v>
      </c>
      <c r="C4404" s="1" t="s">
        <v>213</v>
      </c>
      <c r="D4404">
        <v>6027</v>
      </c>
      <c r="E4404" s="1"/>
      <c r="F4404" s="1" t="s">
        <v>351</v>
      </c>
      <c r="G4404">
        <v>2013</v>
      </c>
      <c r="H4404">
        <v>19157.650000000001</v>
      </c>
      <c r="I4404">
        <v>1</v>
      </c>
      <c r="J4404" s="1" t="s">
        <v>501</v>
      </c>
      <c r="K4404">
        <v>0</v>
      </c>
      <c r="L4404">
        <v>0</v>
      </c>
      <c r="M4404">
        <v>191576.5</v>
      </c>
      <c r="N4404">
        <v>1</v>
      </c>
      <c r="O4404" s="1" t="s">
        <v>562</v>
      </c>
      <c r="P4404">
        <v>27706.54</v>
      </c>
      <c r="Q4404">
        <v>5125.7299999999996</v>
      </c>
      <c r="R4404">
        <v>1</v>
      </c>
      <c r="S4404" s="1" t="s">
        <v>907</v>
      </c>
      <c r="T4404" s="1"/>
      <c r="U4404">
        <v>19157.633890000001</v>
      </c>
      <c r="V4404">
        <v>0</v>
      </c>
      <c r="W4404">
        <v>60564</v>
      </c>
    </row>
    <row r="4405" spans="1:23" x14ac:dyDescent="0.25">
      <c r="A4405" s="1" t="s">
        <v>40</v>
      </c>
      <c r="B4405" s="1" t="s">
        <v>86</v>
      </c>
      <c r="C4405" s="1" t="s">
        <v>213</v>
      </c>
      <c r="D4405">
        <v>6027</v>
      </c>
      <c r="E4405" s="1"/>
      <c r="F4405" s="1" t="s">
        <v>351</v>
      </c>
      <c r="G4405">
        <v>2013</v>
      </c>
      <c r="H4405">
        <v>59077.42</v>
      </c>
      <c r="I4405">
        <v>12</v>
      </c>
      <c r="J4405" s="1" t="s">
        <v>421</v>
      </c>
      <c r="K4405">
        <v>0</v>
      </c>
      <c r="L4405">
        <v>0</v>
      </c>
      <c r="M4405">
        <v>590774.19999999995</v>
      </c>
      <c r="N4405">
        <v>1</v>
      </c>
      <c r="O4405" s="1" t="s">
        <v>562</v>
      </c>
      <c r="P4405">
        <v>60252.93</v>
      </c>
      <c r="Q4405">
        <v>11146.79</v>
      </c>
      <c r="R4405">
        <v>1</v>
      </c>
      <c r="S4405" s="1" t="s">
        <v>906</v>
      </c>
      <c r="T4405" s="1"/>
      <c r="U4405">
        <v>59077.421249999999</v>
      </c>
      <c r="V4405">
        <v>0</v>
      </c>
      <c r="W4405">
        <v>60567</v>
      </c>
    </row>
    <row r="4406" spans="1:23" x14ac:dyDescent="0.25">
      <c r="A4406" s="1" t="s">
        <v>40</v>
      </c>
      <c r="B4406" s="1" t="s">
        <v>86</v>
      </c>
      <c r="C4406" s="1" t="s">
        <v>213</v>
      </c>
      <c r="D4406">
        <v>6027</v>
      </c>
      <c r="E4406" s="1"/>
      <c r="F4406" s="1" t="s">
        <v>351</v>
      </c>
      <c r="G4406">
        <v>2012</v>
      </c>
      <c r="H4406">
        <v>16356.65</v>
      </c>
      <c r="I4406">
        <v>12</v>
      </c>
      <c r="J4406" s="1" t="s">
        <v>501</v>
      </c>
      <c r="K4406">
        <v>0</v>
      </c>
      <c r="L4406">
        <v>0</v>
      </c>
      <c r="M4406">
        <v>163566.5</v>
      </c>
      <c r="N4406">
        <v>1</v>
      </c>
      <c r="O4406" s="1" t="s">
        <v>562</v>
      </c>
      <c r="P4406">
        <v>15747.53</v>
      </c>
      <c r="Q4406">
        <v>2913.29</v>
      </c>
      <c r="R4406">
        <v>1</v>
      </c>
      <c r="S4406" s="1" t="s">
        <v>908</v>
      </c>
      <c r="T4406" s="1"/>
      <c r="U4406">
        <v>16356.64617</v>
      </c>
      <c r="V4406">
        <v>0</v>
      </c>
      <c r="W4406">
        <v>60565</v>
      </c>
    </row>
    <row r="4407" spans="1:23" x14ac:dyDescent="0.25">
      <c r="A4407" s="1" t="s">
        <v>40</v>
      </c>
      <c r="B4407" s="1" t="s">
        <v>86</v>
      </c>
      <c r="C4407" s="1" t="s">
        <v>213</v>
      </c>
      <c r="D4407">
        <v>6027</v>
      </c>
      <c r="E4407" s="1"/>
      <c r="F4407" s="1" t="s">
        <v>351</v>
      </c>
      <c r="G4407">
        <v>2012</v>
      </c>
      <c r="H4407">
        <v>6122.85</v>
      </c>
      <c r="I4407">
        <v>1</v>
      </c>
      <c r="J4407" s="1" t="s">
        <v>501</v>
      </c>
      <c r="K4407">
        <v>0</v>
      </c>
      <c r="L4407">
        <v>0</v>
      </c>
      <c r="M4407">
        <v>61228.5</v>
      </c>
      <c r="N4407">
        <v>1</v>
      </c>
      <c r="O4407" s="1" t="s">
        <v>562</v>
      </c>
      <c r="P4407">
        <v>6827.78</v>
      </c>
      <c r="Q4407">
        <v>1263.1400000000001</v>
      </c>
      <c r="R4407">
        <v>1</v>
      </c>
      <c r="S4407" s="1" t="s">
        <v>907</v>
      </c>
      <c r="T4407" s="1"/>
      <c r="U4407">
        <v>6122.8251200000004</v>
      </c>
      <c r="V4407">
        <v>0</v>
      </c>
      <c r="W4407">
        <v>60564</v>
      </c>
    </row>
    <row r="4408" spans="1:23" x14ac:dyDescent="0.25">
      <c r="A4408" s="1" t="s">
        <v>40</v>
      </c>
      <c r="B4408" s="1" t="s">
        <v>86</v>
      </c>
      <c r="C4408" s="1" t="s">
        <v>213</v>
      </c>
      <c r="D4408">
        <v>6027</v>
      </c>
      <c r="E4408" s="1"/>
      <c r="F4408" s="1" t="s">
        <v>351</v>
      </c>
      <c r="G4408">
        <v>2012</v>
      </c>
      <c r="H4408">
        <v>82768.38</v>
      </c>
      <c r="I4408">
        <v>12</v>
      </c>
      <c r="J4408" s="1" t="s">
        <v>421</v>
      </c>
      <c r="K4408">
        <v>0</v>
      </c>
      <c r="L4408">
        <v>0</v>
      </c>
      <c r="M4408">
        <v>827683.8</v>
      </c>
      <c r="N4408">
        <v>1</v>
      </c>
      <c r="O4408" s="1" t="s">
        <v>562</v>
      </c>
      <c r="P4408">
        <v>85950.95</v>
      </c>
      <c r="Q4408">
        <v>15900.92</v>
      </c>
      <c r="R4408">
        <v>1</v>
      </c>
      <c r="S4408" s="1" t="s">
        <v>906</v>
      </c>
      <c r="T4408" s="1"/>
      <c r="U4408">
        <v>82768.383239999996</v>
      </c>
      <c r="V4408">
        <v>0</v>
      </c>
      <c r="W4408">
        <v>60567</v>
      </c>
    </row>
    <row r="4409" spans="1:23" x14ac:dyDescent="0.25">
      <c r="A4409" s="1" t="s">
        <v>40</v>
      </c>
      <c r="B4409" s="1" t="s">
        <v>86</v>
      </c>
      <c r="C4409" s="1" t="s">
        <v>213</v>
      </c>
      <c r="D4409">
        <v>6027</v>
      </c>
      <c r="E4409" s="1"/>
      <c r="F4409" s="1" t="s">
        <v>351</v>
      </c>
      <c r="G4409">
        <v>2011</v>
      </c>
      <c r="H4409">
        <v>65823.03</v>
      </c>
      <c r="I4409">
        <v>11</v>
      </c>
      <c r="J4409" s="1" t="s">
        <v>501</v>
      </c>
      <c r="K4409">
        <v>0</v>
      </c>
      <c r="L4409">
        <v>0</v>
      </c>
      <c r="M4409">
        <v>658230.30000000005</v>
      </c>
      <c r="N4409">
        <v>1</v>
      </c>
      <c r="O4409" s="1" t="s">
        <v>562</v>
      </c>
      <c r="P4409">
        <v>79451.77</v>
      </c>
      <c r="Q4409">
        <v>14698.58</v>
      </c>
      <c r="R4409">
        <v>1</v>
      </c>
      <c r="S4409" s="1" t="s">
        <v>908</v>
      </c>
      <c r="T4409" s="1"/>
      <c r="U4409">
        <v>65823.030310000002</v>
      </c>
      <c r="V4409">
        <v>0</v>
      </c>
      <c r="W4409">
        <v>60565</v>
      </c>
    </row>
    <row r="4410" spans="1:23" x14ac:dyDescent="0.25">
      <c r="A4410" s="1" t="s">
        <v>40</v>
      </c>
      <c r="B4410" s="1" t="s">
        <v>86</v>
      </c>
      <c r="C4410" s="1" t="s">
        <v>213</v>
      </c>
      <c r="D4410">
        <v>6027</v>
      </c>
      <c r="E4410" s="1"/>
      <c r="F4410" s="1" t="s">
        <v>351</v>
      </c>
      <c r="G4410">
        <v>2011</v>
      </c>
      <c r="H4410">
        <v>59715.58</v>
      </c>
      <c r="I4410">
        <v>12</v>
      </c>
      <c r="J4410" s="1" t="s">
        <v>421</v>
      </c>
      <c r="K4410">
        <v>0</v>
      </c>
      <c r="L4410">
        <v>0</v>
      </c>
      <c r="M4410">
        <v>597155.80000000005</v>
      </c>
      <c r="N4410">
        <v>1</v>
      </c>
      <c r="O4410" s="1" t="s">
        <v>562</v>
      </c>
      <c r="P4410">
        <v>64699.81</v>
      </c>
      <c r="Q4410">
        <v>11969.48</v>
      </c>
      <c r="R4410">
        <v>1</v>
      </c>
      <c r="S4410" s="1" t="s">
        <v>906</v>
      </c>
      <c r="T4410" s="1"/>
      <c r="U4410">
        <v>59715.57576</v>
      </c>
      <c r="V4410">
        <v>0</v>
      </c>
      <c r="W4410">
        <v>60567</v>
      </c>
    </row>
    <row r="4411" spans="1:23" x14ac:dyDescent="0.25">
      <c r="A4411" s="1" t="s">
        <v>40</v>
      </c>
      <c r="B4411" s="1" t="s">
        <v>86</v>
      </c>
      <c r="C4411" s="1" t="s">
        <v>213</v>
      </c>
      <c r="D4411">
        <v>6027</v>
      </c>
      <c r="E4411" s="1"/>
      <c r="F4411" s="1" t="s">
        <v>351</v>
      </c>
      <c r="G4411">
        <v>2011</v>
      </c>
      <c r="H4411">
        <v>10901.34</v>
      </c>
      <c r="I4411">
        <v>11</v>
      </c>
      <c r="J4411" s="1" t="s">
        <v>501</v>
      </c>
      <c r="K4411">
        <v>0</v>
      </c>
      <c r="L4411">
        <v>0</v>
      </c>
      <c r="M4411">
        <v>109013.4</v>
      </c>
      <c r="N4411">
        <v>1</v>
      </c>
      <c r="O4411" s="1" t="s">
        <v>562</v>
      </c>
      <c r="P4411">
        <v>13158.48</v>
      </c>
      <c r="Q4411">
        <v>2434.3200000000002</v>
      </c>
      <c r="R4411">
        <v>1</v>
      </c>
      <c r="S4411" s="1" t="s">
        <v>907</v>
      </c>
      <c r="T4411" s="1"/>
      <c r="U4411">
        <v>10901.333339999999</v>
      </c>
      <c r="V4411">
        <v>0</v>
      </c>
      <c r="W4411">
        <v>60564</v>
      </c>
    </row>
    <row r="4412" spans="1:23" x14ac:dyDescent="0.25">
      <c r="A4412" s="1" t="s">
        <v>40</v>
      </c>
      <c r="B4412" s="1" t="s">
        <v>86</v>
      </c>
      <c r="C4412" s="1" t="s">
        <v>213</v>
      </c>
      <c r="D4412">
        <v>6027</v>
      </c>
      <c r="E4412" s="1"/>
      <c r="F4412" s="1" t="s">
        <v>351</v>
      </c>
      <c r="G4412">
        <v>2010</v>
      </c>
      <c r="H4412">
        <v>0</v>
      </c>
      <c r="I4412">
        <v>11</v>
      </c>
      <c r="J4412" s="1" t="s">
        <v>501</v>
      </c>
      <c r="K4412">
        <v>0</v>
      </c>
      <c r="L4412">
        <v>0</v>
      </c>
      <c r="M4412">
        <v>0</v>
      </c>
      <c r="N4412">
        <v>1</v>
      </c>
      <c r="O4412" s="1" t="s">
        <v>562</v>
      </c>
      <c r="P4412">
        <v>0</v>
      </c>
      <c r="Q4412">
        <v>0</v>
      </c>
      <c r="R4412">
        <v>1</v>
      </c>
      <c r="S4412" s="1" t="s">
        <v>907</v>
      </c>
      <c r="T4412" s="1"/>
      <c r="U4412">
        <v>0</v>
      </c>
      <c r="V4412">
        <v>0</v>
      </c>
      <c r="W4412">
        <v>60564</v>
      </c>
    </row>
    <row r="4413" spans="1:23" x14ac:dyDescent="0.25">
      <c r="A4413" s="1" t="s">
        <v>40</v>
      </c>
      <c r="B4413" s="1" t="s">
        <v>86</v>
      </c>
      <c r="C4413" s="1" t="s">
        <v>213</v>
      </c>
      <c r="D4413">
        <v>6027</v>
      </c>
      <c r="E4413" s="1"/>
      <c r="F4413" s="1" t="s">
        <v>351</v>
      </c>
      <c r="G4413">
        <v>2010</v>
      </c>
      <c r="H4413">
        <v>0</v>
      </c>
      <c r="I4413">
        <v>11</v>
      </c>
      <c r="J4413" s="1" t="s">
        <v>501</v>
      </c>
      <c r="K4413">
        <v>0</v>
      </c>
      <c r="L4413">
        <v>0</v>
      </c>
      <c r="M4413">
        <v>0</v>
      </c>
      <c r="N4413">
        <v>1</v>
      </c>
      <c r="O4413" s="1" t="s">
        <v>562</v>
      </c>
      <c r="P4413">
        <v>0</v>
      </c>
      <c r="Q4413">
        <v>0</v>
      </c>
      <c r="R4413">
        <v>1</v>
      </c>
      <c r="S4413" s="1" t="s">
        <v>908</v>
      </c>
      <c r="T4413" s="1"/>
      <c r="U4413">
        <v>0</v>
      </c>
      <c r="V4413">
        <v>0</v>
      </c>
      <c r="W4413">
        <v>60565</v>
      </c>
    </row>
    <row r="4414" spans="1:23" x14ac:dyDescent="0.25">
      <c r="A4414" s="1" t="s">
        <v>40</v>
      </c>
      <c r="B4414" s="1" t="s">
        <v>86</v>
      </c>
      <c r="C4414" s="1" t="s">
        <v>213</v>
      </c>
      <c r="D4414">
        <v>6027</v>
      </c>
      <c r="E4414" s="1"/>
      <c r="F4414" s="1" t="s">
        <v>351</v>
      </c>
      <c r="G4414">
        <v>2010</v>
      </c>
      <c r="H4414">
        <v>86614.39</v>
      </c>
      <c r="I4414">
        <v>12</v>
      </c>
      <c r="J4414" s="1" t="s">
        <v>421</v>
      </c>
      <c r="K4414">
        <v>0</v>
      </c>
      <c r="L4414">
        <v>0</v>
      </c>
      <c r="M4414">
        <v>866143.9</v>
      </c>
      <c r="N4414">
        <v>1</v>
      </c>
      <c r="O4414" s="1" t="s">
        <v>562</v>
      </c>
      <c r="P4414">
        <v>78521.259999999995</v>
      </c>
      <c r="Q4414">
        <v>14526.42</v>
      </c>
      <c r="R4414">
        <v>1</v>
      </c>
      <c r="S4414" s="1" t="s">
        <v>906</v>
      </c>
      <c r="T4414" s="1"/>
      <c r="U4414">
        <v>86614.393930000006</v>
      </c>
      <c r="V4414">
        <v>0</v>
      </c>
      <c r="W4414">
        <v>60567</v>
      </c>
    </row>
    <row r="4415" spans="1:23" x14ac:dyDescent="0.25">
      <c r="A4415" s="1" t="s">
        <v>40</v>
      </c>
      <c r="B4415" s="1" t="s">
        <v>86</v>
      </c>
      <c r="C4415" s="1" t="s">
        <v>213</v>
      </c>
      <c r="D4415">
        <v>6027</v>
      </c>
      <c r="E4415" s="1"/>
      <c r="F4415" s="1" t="s">
        <v>351</v>
      </c>
      <c r="G4415">
        <v>2009</v>
      </c>
      <c r="H4415">
        <v>0</v>
      </c>
      <c r="I4415">
        <v>11</v>
      </c>
      <c r="J4415" s="1" t="s">
        <v>501</v>
      </c>
      <c r="K4415">
        <v>0</v>
      </c>
      <c r="L4415">
        <v>0</v>
      </c>
      <c r="M4415">
        <v>0</v>
      </c>
      <c r="N4415">
        <v>1</v>
      </c>
      <c r="O4415" s="1" t="s">
        <v>562</v>
      </c>
      <c r="P4415">
        <v>0</v>
      </c>
      <c r="Q4415">
        <v>0</v>
      </c>
      <c r="R4415">
        <v>1</v>
      </c>
      <c r="S4415" s="1" t="s">
        <v>908</v>
      </c>
      <c r="T4415" s="1"/>
      <c r="U4415">
        <v>0</v>
      </c>
      <c r="V4415">
        <v>0</v>
      </c>
      <c r="W4415">
        <v>60565</v>
      </c>
    </row>
    <row r="4416" spans="1:23" x14ac:dyDescent="0.25">
      <c r="A4416" s="1" t="s">
        <v>40</v>
      </c>
      <c r="B4416" s="1" t="s">
        <v>86</v>
      </c>
      <c r="C4416" s="1" t="s">
        <v>213</v>
      </c>
      <c r="D4416">
        <v>6027</v>
      </c>
      <c r="E4416" s="1"/>
      <c r="F4416" s="1" t="s">
        <v>351</v>
      </c>
      <c r="G4416">
        <v>2009</v>
      </c>
      <c r="H4416">
        <v>0</v>
      </c>
      <c r="I4416">
        <v>11</v>
      </c>
      <c r="J4416" s="1" t="s">
        <v>501</v>
      </c>
      <c r="K4416">
        <v>0</v>
      </c>
      <c r="L4416">
        <v>0</v>
      </c>
      <c r="M4416">
        <v>0</v>
      </c>
      <c r="N4416">
        <v>1</v>
      </c>
      <c r="O4416" s="1" t="s">
        <v>562</v>
      </c>
      <c r="P4416">
        <v>0</v>
      </c>
      <c r="Q4416">
        <v>0</v>
      </c>
      <c r="R4416">
        <v>1</v>
      </c>
      <c r="S4416" s="1" t="s">
        <v>907</v>
      </c>
      <c r="T4416" s="1"/>
      <c r="U4416">
        <v>0</v>
      </c>
      <c r="V4416">
        <v>0</v>
      </c>
      <c r="W4416">
        <v>60564</v>
      </c>
    </row>
    <row r="4417" spans="1:23" x14ac:dyDescent="0.25">
      <c r="A4417" s="1" t="s">
        <v>40</v>
      </c>
      <c r="B4417" s="1" t="s">
        <v>86</v>
      </c>
      <c r="C4417" s="1" t="s">
        <v>213</v>
      </c>
      <c r="D4417">
        <v>6027</v>
      </c>
      <c r="E4417" s="1"/>
      <c r="F4417" s="1" t="s">
        <v>351</v>
      </c>
      <c r="G4417">
        <v>2009</v>
      </c>
      <c r="H4417">
        <v>33181.99</v>
      </c>
      <c r="I4417">
        <v>14</v>
      </c>
      <c r="J4417" s="1" t="s">
        <v>421</v>
      </c>
      <c r="K4417">
        <v>0</v>
      </c>
      <c r="L4417">
        <v>0</v>
      </c>
      <c r="M4417">
        <v>331819.90000000002</v>
      </c>
      <c r="N4417">
        <v>1</v>
      </c>
      <c r="O4417" s="1" t="s">
        <v>562</v>
      </c>
      <c r="P4417">
        <v>34646.65</v>
      </c>
      <c r="Q4417">
        <v>6409.62</v>
      </c>
      <c r="R4417">
        <v>1</v>
      </c>
      <c r="S4417" s="1" t="s">
        <v>906</v>
      </c>
      <c r="T4417" s="1"/>
      <c r="U4417">
        <v>33181.968739999997</v>
      </c>
      <c r="V4417">
        <v>0</v>
      </c>
      <c r="W4417">
        <v>60567</v>
      </c>
    </row>
    <row r="4418" spans="1:23" x14ac:dyDescent="0.25">
      <c r="A4418" s="1" t="s">
        <v>40</v>
      </c>
      <c r="B4418" s="1" t="s">
        <v>86</v>
      </c>
      <c r="C4418" s="1" t="s">
        <v>213</v>
      </c>
      <c r="D4418">
        <v>6027</v>
      </c>
      <c r="E4418" s="1"/>
      <c r="F4418" s="1" t="s">
        <v>351</v>
      </c>
      <c r="G4418">
        <v>2008</v>
      </c>
      <c r="H4418">
        <v>0</v>
      </c>
      <c r="I4418">
        <v>11</v>
      </c>
      <c r="J4418" s="1" t="s">
        <v>501</v>
      </c>
      <c r="K4418">
        <v>0</v>
      </c>
      <c r="L4418">
        <v>0</v>
      </c>
      <c r="M4418">
        <v>0</v>
      </c>
      <c r="N4418">
        <v>1</v>
      </c>
      <c r="O4418" s="1" t="s">
        <v>562</v>
      </c>
      <c r="P4418">
        <v>0</v>
      </c>
      <c r="Q4418">
        <v>0</v>
      </c>
      <c r="R4418">
        <v>1</v>
      </c>
      <c r="S4418" s="1" t="s">
        <v>908</v>
      </c>
      <c r="T4418" s="1"/>
      <c r="U4418">
        <v>0</v>
      </c>
      <c r="V4418">
        <v>0</v>
      </c>
      <c r="W4418">
        <v>60565</v>
      </c>
    </row>
    <row r="4419" spans="1:23" x14ac:dyDescent="0.25">
      <c r="A4419" s="1" t="s">
        <v>40</v>
      </c>
      <c r="B4419" s="1" t="s">
        <v>86</v>
      </c>
      <c r="C4419" s="1" t="s">
        <v>213</v>
      </c>
      <c r="D4419">
        <v>6027</v>
      </c>
      <c r="E4419" s="1"/>
      <c r="F4419" s="1" t="s">
        <v>351</v>
      </c>
      <c r="G4419">
        <v>2008</v>
      </c>
      <c r="H4419">
        <v>0</v>
      </c>
      <c r="I4419">
        <v>10</v>
      </c>
      <c r="J4419" s="1" t="s">
        <v>501</v>
      </c>
      <c r="K4419">
        <v>0</v>
      </c>
      <c r="L4419">
        <v>0</v>
      </c>
      <c r="M4419">
        <v>0</v>
      </c>
      <c r="N4419">
        <v>1</v>
      </c>
      <c r="O4419" s="1" t="s">
        <v>562</v>
      </c>
      <c r="P4419">
        <v>0</v>
      </c>
      <c r="Q4419">
        <v>0</v>
      </c>
      <c r="R4419">
        <v>1</v>
      </c>
      <c r="S4419" s="1" t="s">
        <v>907</v>
      </c>
      <c r="T4419" s="1"/>
      <c r="U4419">
        <v>0</v>
      </c>
      <c r="V4419">
        <v>0</v>
      </c>
      <c r="W4419">
        <v>60564</v>
      </c>
    </row>
    <row r="4420" spans="1:23" x14ac:dyDescent="0.25">
      <c r="A4420" s="1" t="s">
        <v>40</v>
      </c>
      <c r="B4420" s="1" t="s">
        <v>86</v>
      </c>
      <c r="C4420" s="1" t="s">
        <v>213</v>
      </c>
      <c r="D4420">
        <v>6027</v>
      </c>
      <c r="E4420" s="1"/>
      <c r="F4420" s="1" t="s">
        <v>351</v>
      </c>
      <c r="G4420">
        <v>2008</v>
      </c>
      <c r="H4420">
        <v>13435.62</v>
      </c>
      <c r="I4420">
        <v>12</v>
      </c>
      <c r="J4420" s="1" t="s">
        <v>421</v>
      </c>
      <c r="K4420">
        <v>0</v>
      </c>
      <c r="L4420">
        <v>0</v>
      </c>
      <c r="M4420">
        <v>134356.20000000001</v>
      </c>
      <c r="N4420">
        <v>1</v>
      </c>
      <c r="O4420" s="1" t="s">
        <v>562</v>
      </c>
      <c r="P4420">
        <v>15671.49</v>
      </c>
      <c r="Q4420">
        <v>2899.24</v>
      </c>
      <c r="R4420">
        <v>1</v>
      </c>
      <c r="S4420" s="1" t="s">
        <v>906</v>
      </c>
      <c r="T4420" s="1"/>
      <c r="U4420">
        <v>13435.60701</v>
      </c>
      <c r="V4420">
        <v>0</v>
      </c>
      <c r="W4420">
        <v>60567</v>
      </c>
    </row>
    <row r="4421" spans="1:23" x14ac:dyDescent="0.25">
      <c r="A4421" s="1" t="s">
        <v>40</v>
      </c>
      <c r="B4421" s="1" t="s">
        <v>86</v>
      </c>
      <c r="C4421" s="1" t="s">
        <v>213</v>
      </c>
      <c r="D4421">
        <v>5468</v>
      </c>
      <c r="E4421" s="1"/>
      <c r="F4421" s="1" t="s">
        <v>213</v>
      </c>
      <c r="G4421">
        <v>2015</v>
      </c>
      <c r="H4421">
        <v>143690</v>
      </c>
      <c r="I4421">
        <v>5</v>
      </c>
      <c r="J4421" s="1"/>
      <c r="K4421">
        <v>0</v>
      </c>
      <c r="L4421">
        <v>12237</v>
      </c>
      <c r="M4421">
        <v>11.742160999999999</v>
      </c>
      <c r="N4421">
        <v>1</v>
      </c>
      <c r="O4421" s="1" t="s">
        <v>562</v>
      </c>
      <c r="P4421">
        <v>163018.65</v>
      </c>
      <c r="Q4421">
        <v>30158450.25</v>
      </c>
      <c r="R4421">
        <v>0</v>
      </c>
      <c r="S4421" s="1" t="s">
        <v>909</v>
      </c>
      <c r="T4421" s="1"/>
      <c r="U4421">
        <v>143690</v>
      </c>
      <c r="V4421">
        <v>0</v>
      </c>
      <c r="W4421">
        <v>57821</v>
      </c>
    </row>
    <row r="4422" spans="1:23" x14ac:dyDescent="0.25">
      <c r="A4422" s="1" t="s">
        <v>40</v>
      </c>
      <c r="B4422" s="1" t="s">
        <v>86</v>
      </c>
      <c r="C4422" s="1" t="s">
        <v>213</v>
      </c>
      <c r="D4422">
        <v>5468</v>
      </c>
      <c r="E4422" s="1"/>
      <c r="F4422" s="1" t="s">
        <v>213</v>
      </c>
      <c r="G4422">
        <v>2015</v>
      </c>
      <c r="H4422">
        <v>186570</v>
      </c>
      <c r="I4422">
        <v>5</v>
      </c>
      <c r="J4422" s="1"/>
      <c r="K4422">
        <v>0</v>
      </c>
      <c r="L4422">
        <v>12237</v>
      </c>
      <c r="M4422">
        <v>15.246259</v>
      </c>
      <c r="N4422">
        <v>1</v>
      </c>
      <c r="O4422" s="1" t="s">
        <v>562</v>
      </c>
      <c r="P4422">
        <v>209380.09</v>
      </c>
      <c r="Q4422">
        <v>38735316.649999999</v>
      </c>
      <c r="R4422">
        <v>0</v>
      </c>
      <c r="S4422" s="1" t="s">
        <v>910</v>
      </c>
      <c r="T4422" s="1"/>
      <c r="U4422">
        <v>186570</v>
      </c>
      <c r="V4422">
        <v>0</v>
      </c>
      <c r="W4422">
        <v>57834</v>
      </c>
    </row>
    <row r="4423" spans="1:23" x14ac:dyDescent="0.25">
      <c r="A4423" s="1" t="s">
        <v>40</v>
      </c>
      <c r="B4423" s="1" t="s">
        <v>86</v>
      </c>
      <c r="C4423" s="1" t="s">
        <v>213</v>
      </c>
      <c r="D4423">
        <v>5468</v>
      </c>
      <c r="E4423" s="1"/>
      <c r="F4423" s="1" t="s">
        <v>213</v>
      </c>
      <c r="G4423">
        <v>2015</v>
      </c>
      <c r="H4423">
        <v>0</v>
      </c>
      <c r="I4423">
        <v>5</v>
      </c>
      <c r="J4423" s="1"/>
      <c r="K4423">
        <v>0</v>
      </c>
      <c r="L4423">
        <v>12237</v>
      </c>
      <c r="M4423">
        <v>0</v>
      </c>
      <c r="N4423">
        <v>1</v>
      </c>
      <c r="O4423" s="1" t="s">
        <v>563</v>
      </c>
      <c r="P4423">
        <v>0</v>
      </c>
      <c r="Q4423">
        <v>0</v>
      </c>
      <c r="R4423">
        <v>1</v>
      </c>
      <c r="S4423" s="1" t="s">
        <v>909</v>
      </c>
      <c r="T4423" s="1"/>
      <c r="U4423">
        <v>0</v>
      </c>
      <c r="V4423">
        <v>57821</v>
      </c>
      <c r="W4423">
        <v>57832</v>
      </c>
    </row>
    <row r="4424" spans="1:23" x14ac:dyDescent="0.25">
      <c r="A4424" s="1" t="s">
        <v>40</v>
      </c>
      <c r="B4424" s="1" t="s">
        <v>86</v>
      </c>
      <c r="C4424" s="1" t="s">
        <v>213</v>
      </c>
      <c r="D4424">
        <v>5468</v>
      </c>
      <c r="E4424" s="1"/>
      <c r="F4424" s="1" t="s">
        <v>213</v>
      </c>
      <c r="G4424">
        <v>2015</v>
      </c>
      <c r="H4424">
        <v>135104.54</v>
      </c>
      <c r="I4424">
        <v>5</v>
      </c>
      <c r="J4424" s="1"/>
      <c r="K4424">
        <v>0</v>
      </c>
      <c r="L4424">
        <v>12237</v>
      </c>
      <c r="M4424">
        <v>11.040568</v>
      </c>
      <c r="N4424">
        <v>1</v>
      </c>
      <c r="O4424" s="1" t="s">
        <v>563</v>
      </c>
      <c r="P4424">
        <v>151510</v>
      </c>
      <c r="Q4424">
        <v>803363.42</v>
      </c>
      <c r="R4424">
        <v>1</v>
      </c>
      <c r="S4424" s="1" t="s">
        <v>910</v>
      </c>
      <c r="T4424" s="1"/>
      <c r="U4424">
        <v>3872.3</v>
      </c>
      <c r="V4424">
        <v>57834</v>
      </c>
      <c r="W4424">
        <v>57835</v>
      </c>
    </row>
    <row r="4425" spans="1:23" x14ac:dyDescent="0.25">
      <c r="A4425" s="1" t="s">
        <v>40</v>
      </c>
      <c r="B4425" s="1" t="s">
        <v>86</v>
      </c>
      <c r="C4425" s="1" t="s">
        <v>213</v>
      </c>
      <c r="D4425">
        <v>5468</v>
      </c>
      <c r="E4425" s="1"/>
      <c r="F4425" s="1" t="s">
        <v>213</v>
      </c>
      <c r="G4425">
        <v>2014</v>
      </c>
      <c r="H4425">
        <v>205950</v>
      </c>
      <c r="I4425">
        <v>12</v>
      </c>
      <c r="J4425" s="1"/>
      <c r="K4425">
        <v>0</v>
      </c>
      <c r="L4425">
        <v>12237</v>
      </c>
      <c r="M4425">
        <v>16.829967</v>
      </c>
      <c r="N4425">
        <v>1</v>
      </c>
      <c r="O4425" s="1" t="s">
        <v>562</v>
      </c>
      <c r="P4425">
        <v>247667.78</v>
      </c>
      <c r="Q4425">
        <v>24135720.079999998</v>
      </c>
      <c r="R4425">
        <v>0</v>
      </c>
      <c r="S4425" s="1" t="s">
        <v>909</v>
      </c>
      <c r="T4425" s="1"/>
      <c r="U4425">
        <v>205950</v>
      </c>
      <c r="V4425">
        <v>0</v>
      </c>
      <c r="W4425">
        <v>57821</v>
      </c>
    </row>
    <row r="4426" spans="1:23" x14ac:dyDescent="0.25">
      <c r="A4426" s="1" t="s">
        <v>40</v>
      </c>
      <c r="B4426" s="1" t="s">
        <v>86</v>
      </c>
      <c r="C4426" s="1" t="s">
        <v>213</v>
      </c>
      <c r="D4426">
        <v>5468</v>
      </c>
      <c r="E4426" s="1"/>
      <c r="F4426" s="1" t="s">
        <v>213</v>
      </c>
      <c r="G4426">
        <v>2014</v>
      </c>
      <c r="H4426">
        <v>278680</v>
      </c>
      <c r="I4426">
        <v>12</v>
      </c>
      <c r="J4426" s="1"/>
      <c r="K4426">
        <v>0</v>
      </c>
      <c r="L4426">
        <v>12237</v>
      </c>
      <c r="M4426">
        <v>22.773368999999999</v>
      </c>
      <c r="N4426">
        <v>1</v>
      </c>
      <c r="O4426" s="1" t="s">
        <v>562</v>
      </c>
      <c r="P4426">
        <v>331923.23</v>
      </c>
      <c r="Q4426">
        <v>21528187.379999999</v>
      </c>
      <c r="R4426">
        <v>0</v>
      </c>
      <c r="S4426" s="1" t="s">
        <v>910</v>
      </c>
      <c r="T4426" s="1"/>
      <c r="U4426">
        <v>278680</v>
      </c>
      <c r="V4426">
        <v>0</v>
      </c>
      <c r="W4426">
        <v>57834</v>
      </c>
    </row>
    <row r="4427" spans="1:23" x14ac:dyDescent="0.25">
      <c r="A4427" s="1" t="s">
        <v>40</v>
      </c>
      <c r="B4427" s="1" t="s">
        <v>86</v>
      </c>
      <c r="C4427" s="1" t="s">
        <v>213</v>
      </c>
      <c r="D4427">
        <v>5468</v>
      </c>
      <c r="E4427" s="1"/>
      <c r="F4427" s="1" t="s">
        <v>213</v>
      </c>
      <c r="G4427">
        <v>2014</v>
      </c>
      <c r="H4427">
        <v>21111.94</v>
      </c>
      <c r="I4427">
        <v>12</v>
      </c>
      <c r="J4427" s="1"/>
      <c r="K4427">
        <v>0</v>
      </c>
      <c r="L4427">
        <v>12237</v>
      </c>
      <c r="M4427">
        <v>1.7252400000000001</v>
      </c>
      <c r="N4427">
        <v>1</v>
      </c>
      <c r="O4427" s="1" t="s">
        <v>563</v>
      </c>
      <c r="P4427">
        <v>23392.23</v>
      </c>
      <c r="Q4427">
        <v>124.03</v>
      </c>
      <c r="R4427">
        <v>1</v>
      </c>
      <c r="S4427" s="1" t="s">
        <v>909</v>
      </c>
      <c r="T4427" s="1"/>
      <c r="U4427">
        <v>605.1</v>
      </c>
      <c r="V4427">
        <v>57821</v>
      </c>
      <c r="W4427">
        <v>57832</v>
      </c>
    </row>
    <row r="4428" spans="1:23" x14ac:dyDescent="0.25">
      <c r="A4428" s="1" t="s">
        <v>40</v>
      </c>
      <c r="B4428" s="1" t="s">
        <v>86</v>
      </c>
      <c r="C4428" s="1" t="s">
        <v>213</v>
      </c>
      <c r="D4428">
        <v>5468</v>
      </c>
      <c r="E4428" s="1"/>
      <c r="F4428" s="1" t="s">
        <v>213</v>
      </c>
      <c r="G4428">
        <v>2014</v>
      </c>
      <c r="H4428">
        <v>212267.27</v>
      </c>
      <c r="I4428">
        <v>12</v>
      </c>
      <c r="J4428" s="1"/>
      <c r="K4428">
        <v>0</v>
      </c>
      <c r="L4428">
        <v>12237</v>
      </c>
      <c r="M4428">
        <v>17.346207</v>
      </c>
      <c r="N4428">
        <v>1</v>
      </c>
      <c r="O4428" s="1" t="s">
        <v>563</v>
      </c>
      <c r="P4428">
        <v>252523.21</v>
      </c>
      <c r="Q4428">
        <v>466101.97</v>
      </c>
      <c r="R4428">
        <v>1</v>
      </c>
      <c r="S4428" s="1" t="s">
        <v>910</v>
      </c>
      <c r="T4428" s="1"/>
      <c r="U4428">
        <v>6083.9</v>
      </c>
      <c r="V4428">
        <v>57834</v>
      </c>
      <c r="W4428">
        <v>57835</v>
      </c>
    </row>
    <row r="4429" spans="1:23" x14ac:dyDescent="0.25">
      <c r="A4429" s="1" t="s">
        <v>40</v>
      </c>
      <c r="B4429" s="1" t="s">
        <v>86</v>
      </c>
      <c r="C4429" s="1" t="s">
        <v>213</v>
      </c>
      <c r="D4429">
        <v>5468</v>
      </c>
      <c r="E4429" s="1"/>
      <c r="F4429" s="1" t="s">
        <v>213</v>
      </c>
      <c r="G4429">
        <v>2013</v>
      </c>
      <c r="H4429">
        <v>227011.79</v>
      </c>
      <c r="I4429">
        <v>12</v>
      </c>
      <c r="J4429" s="1"/>
      <c r="K4429">
        <v>0</v>
      </c>
      <c r="L4429">
        <v>12237</v>
      </c>
      <c r="M4429">
        <v>18.551110000000001</v>
      </c>
      <c r="N4429">
        <v>1</v>
      </c>
      <c r="O4429" s="1" t="s">
        <v>563</v>
      </c>
      <c r="P4429">
        <v>249225.46</v>
      </c>
      <c r="Q4429">
        <v>1321.49</v>
      </c>
      <c r="R4429">
        <v>1</v>
      </c>
      <c r="S4429" s="1" t="s">
        <v>910</v>
      </c>
      <c r="T4429" s="1"/>
      <c r="U4429">
        <v>6506.5</v>
      </c>
      <c r="V4429">
        <v>57834</v>
      </c>
      <c r="W4429">
        <v>57835</v>
      </c>
    </row>
    <row r="4430" spans="1:23" x14ac:dyDescent="0.25">
      <c r="A4430" s="1" t="s">
        <v>40</v>
      </c>
      <c r="B4430" s="1" t="s">
        <v>86</v>
      </c>
      <c r="C4430" s="1" t="s">
        <v>213</v>
      </c>
      <c r="D4430">
        <v>5468</v>
      </c>
      <c r="E4430" s="1"/>
      <c r="F4430" s="1" t="s">
        <v>213</v>
      </c>
      <c r="G4430">
        <v>2013</v>
      </c>
      <c r="H4430">
        <v>332970</v>
      </c>
      <c r="I4430">
        <v>12</v>
      </c>
      <c r="J4430" s="1"/>
      <c r="K4430">
        <v>0</v>
      </c>
      <c r="L4430">
        <v>12237</v>
      </c>
      <c r="M4430">
        <v>27.209878</v>
      </c>
      <c r="N4430">
        <v>1</v>
      </c>
      <c r="O4430" s="1" t="s">
        <v>562</v>
      </c>
      <c r="P4430">
        <v>359760.67</v>
      </c>
      <c r="Q4430">
        <v>66555.72</v>
      </c>
      <c r="R4430">
        <v>0</v>
      </c>
      <c r="S4430" s="1" t="s">
        <v>909</v>
      </c>
      <c r="T4430" s="1"/>
      <c r="U4430">
        <v>332970</v>
      </c>
      <c r="V4430">
        <v>0</v>
      </c>
      <c r="W4430">
        <v>57821</v>
      </c>
    </row>
    <row r="4431" spans="1:23" x14ac:dyDescent="0.25">
      <c r="A4431" s="1" t="s">
        <v>40</v>
      </c>
      <c r="B4431" s="1" t="s">
        <v>86</v>
      </c>
      <c r="C4431" s="1" t="s">
        <v>213</v>
      </c>
      <c r="D4431">
        <v>5468</v>
      </c>
      <c r="E4431" s="1"/>
      <c r="F4431" s="1" t="s">
        <v>213</v>
      </c>
      <c r="G4431">
        <v>2013</v>
      </c>
      <c r="H4431">
        <v>265820</v>
      </c>
      <c r="I4431">
        <v>12</v>
      </c>
      <c r="J4431" s="1"/>
      <c r="K4431">
        <v>0</v>
      </c>
      <c r="L4431">
        <v>12237</v>
      </c>
      <c r="M4431">
        <v>21.722466000000001</v>
      </c>
      <c r="N4431">
        <v>1</v>
      </c>
      <c r="O4431" s="1" t="s">
        <v>562</v>
      </c>
      <c r="P4431">
        <v>269839.56</v>
      </c>
      <c r="Q4431">
        <v>49920.31</v>
      </c>
      <c r="R4431">
        <v>0</v>
      </c>
      <c r="S4431" s="1" t="s">
        <v>910</v>
      </c>
      <c r="T4431" s="1"/>
      <c r="U4431">
        <v>265820</v>
      </c>
      <c r="V4431">
        <v>0</v>
      </c>
      <c r="W4431">
        <v>57834</v>
      </c>
    </row>
    <row r="4432" spans="1:23" x14ac:dyDescent="0.25">
      <c r="A4432" s="1" t="s">
        <v>40</v>
      </c>
      <c r="B4432" s="1" t="s">
        <v>86</v>
      </c>
      <c r="C4432" s="1" t="s">
        <v>213</v>
      </c>
      <c r="D4432">
        <v>5468</v>
      </c>
      <c r="E4432" s="1"/>
      <c r="F4432" s="1" t="s">
        <v>213</v>
      </c>
      <c r="G4432">
        <v>2013</v>
      </c>
      <c r="H4432">
        <v>335362.68</v>
      </c>
      <c r="I4432">
        <v>12</v>
      </c>
      <c r="J4432" s="1"/>
      <c r="K4432">
        <v>0</v>
      </c>
      <c r="L4432">
        <v>12237</v>
      </c>
      <c r="M4432">
        <v>27.405404000000001</v>
      </c>
      <c r="N4432">
        <v>1</v>
      </c>
      <c r="O4432" s="1" t="s">
        <v>563</v>
      </c>
      <c r="P4432">
        <v>353083.74</v>
      </c>
      <c r="Q4432">
        <v>1872.2</v>
      </c>
      <c r="R4432">
        <v>1</v>
      </c>
      <c r="S4432" s="1" t="s">
        <v>909</v>
      </c>
      <c r="T4432" s="1"/>
      <c r="U4432">
        <v>9612.0000999999993</v>
      </c>
      <c r="V4432">
        <v>57821</v>
      </c>
      <c r="W4432">
        <v>57832</v>
      </c>
    </row>
    <row r="4433" spans="1:23" x14ac:dyDescent="0.25">
      <c r="A4433" s="1" t="s">
        <v>40</v>
      </c>
      <c r="B4433" s="1" t="s">
        <v>86</v>
      </c>
      <c r="C4433" s="1" t="s">
        <v>213</v>
      </c>
      <c r="D4433">
        <v>5468</v>
      </c>
      <c r="E4433" s="1"/>
      <c r="F4433" s="1" t="s">
        <v>213</v>
      </c>
      <c r="G4433">
        <v>2012</v>
      </c>
      <c r="H4433">
        <v>302980</v>
      </c>
      <c r="I4433">
        <v>12</v>
      </c>
      <c r="J4433" s="1"/>
      <c r="K4433">
        <v>0</v>
      </c>
      <c r="L4433">
        <v>12237</v>
      </c>
      <c r="M4433">
        <v>24.759134</v>
      </c>
      <c r="N4433">
        <v>1</v>
      </c>
      <c r="O4433" s="1" t="s">
        <v>562</v>
      </c>
      <c r="P4433">
        <v>318429.57</v>
      </c>
      <c r="Q4433">
        <v>58909.48</v>
      </c>
      <c r="R4433">
        <v>0</v>
      </c>
      <c r="S4433" s="1" t="s">
        <v>909</v>
      </c>
      <c r="T4433" s="1"/>
      <c r="U4433">
        <v>302980</v>
      </c>
      <c r="V4433">
        <v>0</v>
      </c>
      <c r="W4433">
        <v>57821</v>
      </c>
    </row>
    <row r="4434" spans="1:23" x14ac:dyDescent="0.25">
      <c r="A4434" s="1" t="s">
        <v>40</v>
      </c>
      <c r="B4434" s="1" t="s">
        <v>86</v>
      </c>
      <c r="C4434" s="1" t="s">
        <v>213</v>
      </c>
      <c r="D4434">
        <v>5468</v>
      </c>
      <c r="E4434" s="1"/>
      <c r="F4434" s="1" t="s">
        <v>213</v>
      </c>
      <c r="G4434">
        <v>2012</v>
      </c>
      <c r="H4434">
        <v>285660</v>
      </c>
      <c r="I4434">
        <v>12</v>
      </c>
      <c r="J4434" s="1"/>
      <c r="K4434">
        <v>0</v>
      </c>
      <c r="L4434">
        <v>12237</v>
      </c>
      <c r="M4434">
        <v>23.343765999999999</v>
      </c>
      <c r="N4434">
        <v>1</v>
      </c>
      <c r="O4434" s="1" t="s">
        <v>562</v>
      </c>
      <c r="P4434">
        <v>298692.96999999997</v>
      </c>
      <c r="Q4434">
        <v>55258.19</v>
      </c>
      <c r="R4434">
        <v>0</v>
      </c>
      <c r="S4434" s="1" t="s">
        <v>910</v>
      </c>
      <c r="T4434" s="1"/>
      <c r="U4434">
        <v>285660</v>
      </c>
      <c r="V4434">
        <v>0</v>
      </c>
      <c r="W4434">
        <v>57834</v>
      </c>
    </row>
    <row r="4435" spans="1:23" x14ac:dyDescent="0.25">
      <c r="A4435" s="1" t="s">
        <v>40</v>
      </c>
      <c r="B4435" s="1" t="s">
        <v>86</v>
      </c>
      <c r="C4435" s="1" t="s">
        <v>213</v>
      </c>
      <c r="D4435">
        <v>5468</v>
      </c>
      <c r="E4435" s="1"/>
      <c r="F4435" s="1" t="s">
        <v>213</v>
      </c>
      <c r="G4435">
        <v>2012</v>
      </c>
      <c r="H4435">
        <v>201761.89</v>
      </c>
      <c r="I4435">
        <v>12</v>
      </c>
      <c r="J4435" s="1"/>
      <c r="K4435">
        <v>0</v>
      </c>
      <c r="L4435">
        <v>12237</v>
      </c>
      <c r="M4435">
        <v>16.487719999999999</v>
      </c>
      <c r="N4435">
        <v>1</v>
      </c>
      <c r="O4435" s="1" t="s">
        <v>563</v>
      </c>
      <c r="P4435">
        <v>209739.61</v>
      </c>
      <c r="Q4435">
        <v>1112.0999999999999</v>
      </c>
      <c r="R4435">
        <v>1</v>
      </c>
      <c r="S4435" s="1" t="s">
        <v>909</v>
      </c>
      <c r="T4435" s="1"/>
      <c r="U4435">
        <v>5782.8</v>
      </c>
      <c r="V4435">
        <v>57821</v>
      </c>
      <c r="W4435">
        <v>57832</v>
      </c>
    </row>
    <row r="4436" spans="1:23" x14ac:dyDescent="0.25">
      <c r="A4436" s="1" t="s">
        <v>40</v>
      </c>
      <c r="B4436" s="1" t="s">
        <v>86</v>
      </c>
      <c r="C4436" s="1" t="s">
        <v>213</v>
      </c>
      <c r="D4436">
        <v>5468</v>
      </c>
      <c r="E4436" s="1"/>
      <c r="F4436" s="1" t="s">
        <v>213</v>
      </c>
      <c r="G4436">
        <v>2012</v>
      </c>
      <c r="H4436">
        <v>223770.51</v>
      </c>
      <c r="I4436">
        <v>12</v>
      </c>
      <c r="J4436" s="1"/>
      <c r="K4436">
        <v>0</v>
      </c>
      <c r="L4436">
        <v>12237</v>
      </c>
      <c r="M4436">
        <v>18.286235999999999</v>
      </c>
      <c r="N4436">
        <v>1</v>
      </c>
      <c r="O4436" s="1" t="s">
        <v>563</v>
      </c>
      <c r="P4436">
        <v>233351.14</v>
      </c>
      <c r="Q4436">
        <v>1237.3</v>
      </c>
      <c r="R4436">
        <v>1</v>
      </c>
      <c r="S4436" s="1" t="s">
        <v>910</v>
      </c>
      <c r="T4436" s="1"/>
      <c r="U4436">
        <v>6413.6</v>
      </c>
      <c r="V4436">
        <v>57834</v>
      </c>
      <c r="W4436">
        <v>57835</v>
      </c>
    </row>
    <row r="4437" spans="1:23" x14ac:dyDescent="0.25">
      <c r="A4437" s="1" t="s">
        <v>40</v>
      </c>
      <c r="B4437" s="1" t="s">
        <v>86</v>
      </c>
      <c r="C4437" s="1" t="s">
        <v>213</v>
      </c>
      <c r="D4437">
        <v>5468</v>
      </c>
      <c r="E4437" s="1"/>
      <c r="F4437" s="1" t="s">
        <v>213</v>
      </c>
      <c r="G4437">
        <v>2011</v>
      </c>
      <c r="H4437">
        <v>288140</v>
      </c>
      <c r="I4437">
        <v>12</v>
      </c>
      <c r="J4437" s="1"/>
      <c r="K4437">
        <v>0</v>
      </c>
      <c r="L4437">
        <v>12237</v>
      </c>
      <c r="M4437">
        <v>23.546427999999999</v>
      </c>
      <c r="N4437">
        <v>1</v>
      </c>
      <c r="O4437" s="1" t="s">
        <v>562</v>
      </c>
      <c r="P4437">
        <v>315405.76</v>
      </c>
      <c r="Q4437">
        <v>58350.06</v>
      </c>
      <c r="R4437">
        <v>0</v>
      </c>
      <c r="S4437" s="1" t="s">
        <v>909</v>
      </c>
      <c r="T4437" s="1"/>
      <c r="U4437">
        <v>288140</v>
      </c>
      <c r="V4437">
        <v>0</v>
      </c>
      <c r="W4437">
        <v>57821</v>
      </c>
    </row>
    <row r="4438" spans="1:23" x14ac:dyDescent="0.25">
      <c r="A4438" s="1" t="s">
        <v>40</v>
      </c>
      <c r="B4438" s="1" t="s">
        <v>86</v>
      </c>
      <c r="C4438" s="1" t="s">
        <v>213</v>
      </c>
      <c r="D4438">
        <v>5468</v>
      </c>
      <c r="E4438" s="1"/>
      <c r="F4438" s="1" t="s">
        <v>213</v>
      </c>
      <c r="G4438">
        <v>2011</v>
      </c>
      <c r="H4438">
        <v>235080</v>
      </c>
      <c r="I4438">
        <v>12</v>
      </c>
      <c r="J4438" s="1"/>
      <c r="K4438">
        <v>0</v>
      </c>
      <c r="L4438">
        <v>12237</v>
      </c>
      <c r="M4438">
        <v>19.210432999999998</v>
      </c>
      <c r="N4438">
        <v>1</v>
      </c>
      <c r="O4438" s="1" t="s">
        <v>562</v>
      </c>
      <c r="P4438">
        <v>250413.95</v>
      </c>
      <c r="Q4438">
        <v>46326.59</v>
      </c>
      <c r="R4438">
        <v>0</v>
      </c>
      <c r="S4438" s="1" t="s">
        <v>910</v>
      </c>
      <c r="T4438" s="1"/>
      <c r="U4438">
        <v>235080</v>
      </c>
      <c r="V4438">
        <v>0</v>
      </c>
      <c r="W4438">
        <v>57834</v>
      </c>
    </row>
    <row r="4439" spans="1:23" x14ac:dyDescent="0.25">
      <c r="A4439" s="1" t="s">
        <v>40</v>
      </c>
      <c r="B4439" s="1" t="s">
        <v>86</v>
      </c>
      <c r="C4439" s="1" t="s">
        <v>213</v>
      </c>
      <c r="D4439">
        <v>5468</v>
      </c>
      <c r="E4439" s="1"/>
      <c r="F4439" s="1" t="s">
        <v>213</v>
      </c>
      <c r="G4439">
        <v>2011</v>
      </c>
      <c r="H4439">
        <v>187593.06</v>
      </c>
      <c r="I4439">
        <v>12</v>
      </c>
      <c r="J4439" s="1"/>
      <c r="K4439">
        <v>0</v>
      </c>
      <c r="L4439">
        <v>12237</v>
      </c>
      <c r="M4439">
        <v>15.329862</v>
      </c>
      <c r="N4439">
        <v>1</v>
      </c>
      <c r="O4439" s="1" t="s">
        <v>563</v>
      </c>
      <c r="P4439">
        <v>201651.39</v>
      </c>
      <c r="Q4439">
        <v>1069.22</v>
      </c>
      <c r="R4439">
        <v>1</v>
      </c>
      <c r="S4439" s="1" t="s">
        <v>909</v>
      </c>
      <c r="T4439" s="1"/>
      <c r="U4439">
        <v>5376.7</v>
      </c>
      <c r="V4439">
        <v>57821</v>
      </c>
      <c r="W4439">
        <v>57832</v>
      </c>
    </row>
    <row r="4440" spans="1:23" x14ac:dyDescent="0.25">
      <c r="A4440" s="1" t="s">
        <v>40</v>
      </c>
      <c r="B4440" s="1" t="s">
        <v>86</v>
      </c>
      <c r="C4440" s="1" t="s">
        <v>213</v>
      </c>
      <c r="D4440">
        <v>5468</v>
      </c>
      <c r="E4440" s="1"/>
      <c r="F4440" s="1" t="s">
        <v>213</v>
      </c>
      <c r="G4440">
        <v>2011</v>
      </c>
      <c r="H4440">
        <v>165594.93</v>
      </c>
      <c r="I4440">
        <v>12</v>
      </c>
      <c r="J4440" s="1"/>
      <c r="K4440">
        <v>0</v>
      </c>
      <c r="L4440">
        <v>12237</v>
      </c>
      <c r="M4440">
        <v>13.532203000000001</v>
      </c>
      <c r="N4440">
        <v>1</v>
      </c>
      <c r="O4440" s="1" t="s">
        <v>563</v>
      </c>
      <c r="P4440">
        <v>175932.2</v>
      </c>
      <c r="Q4440">
        <v>932.87</v>
      </c>
      <c r="R4440">
        <v>1</v>
      </c>
      <c r="S4440" s="1" t="s">
        <v>910</v>
      </c>
      <c r="T4440" s="1"/>
      <c r="U4440">
        <v>4746.2</v>
      </c>
      <c r="V4440">
        <v>57834</v>
      </c>
      <c r="W4440">
        <v>57835</v>
      </c>
    </row>
    <row r="4441" spans="1:23" x14ac:dyDescent="0.25">
      <c r="A4441" s="1" t="s">
        <v>40</v>
      </c>
      <c r="B4441" s="1" t="s">
        <v>86</v>
      </c>
      <c r="C4441" s="1" t="s">
        <v>213</v>
      </c>
      <c r="D4441">
        <v>5468</v>
      </c>
      <c r="E4441" s="1"/>
      <c r="F4441" s="1" t="s">
        <v>213</v>
      </c>
      <c r="G4441">
        <v>2010</v>
      </c>
      <c r="H4441">
        <v>338650</v>
      </c>
      <c r="I4441">
        <v>12</v>
      </c>
      <c r="J4441" s="1"/>
      <c r="K4441">
        <v>0</v>
      </c>
      <c r="L4441">
        <v>12237</v>
      </c>
      <c r="M4441">
        <v>27.674040000000002</v>
      </c>
      <c r="N4441">
        <v>1</v>
      </c>
      <c r="O4441" s="1" t="s">
        <v>562</v>
      </c>
      <c r="P4441">
        <v>309620.09999999998</v>
      </c>
      <c r="Q4441">
        <v>57279.72</v>
      </c>
      <c r="R4441">
        <v>0</v>
      </c>
      <c r="S4441" s="1" t="s">
        <v>909</v>
      </c>
      <c r="T4441" s="1"/>
      <c r="U4441">
        <v>338650</v>
      </c>
      <c r="V4441">
        <v>0</v>
      </c>
      <c r="W4441">
        <v>57821</v>
      </c>
    </row>
    <row r="4442" spans="1:23" x14ac:dyDescent="0.25">
      <c r="A4442" s="1" t="s">
        <v>40</v>
      </c>
      <c r="B4442" s="1" t="s">
        <v>86</v>
      </c>
      <c r="C4442" s="1" t="s">
        <v>213</v>
      </c>
      <c r="D4442">
        <v>5468</v>
      </c>
      <c r="E4442" s="1"/>
      <c r="F4442" s="1" t="s">
        <v>213</v>
      </c>
      <c r="G4442">
        <v>2010</v>
      </c>
      <c r="H4442">
        <v>328480</v>
      </c>
      <c r="I4442">
        <v>12</v>
      </c>
      <c r="J4442" s="1"/>
      <c r="K4442">
        <v>0</v>
      </c>
      <c r="L4442">
        <v>12237</v>
      </c>
      <c r="M4442">
        <v>26.842960999999999</v>
      </c>
      <c r="N4442">
        <v>1</v>
      </c>
      <c r="O4442" s="1" t="s">
        <v>562</v>
      </c>
      <c r="P4442">
        <v>300708.17</v>
      </c>
      <c r="Q4442">
        <v>55631</v>
      </c>
      <c r="R4442">
        <v>0</v>
      </c>
      <c r="S4442" s="1" t="s">
        <v>910</v>
      </c>
      <c r="T4442" s="1"/>
      <c r="U4442">
        <v>328480</v>
      </c>
      <c r="V4442">
        <v>0</v>
      </c>
      <c r="W4442">
        <v>57834</v>
      </c>
    </row>
    <row r="4443" spans="1:23" x14ac:dyDescent="0.25">
      <c r="A4443" s="1" t="s">
        <v>40</v>
      </c>
      <c r="B4443" s="1" t="s">
        <v>86</v>
      </c>
      <c r="C4443" s="1" t="s">
        <v>213</v>
      </c>
      <c r="D4443">
        <v>5468</v>
      </c>
      <c r="E4443" s="1"/>
      <c r="F4443" s="1" t="s">
        <v>213</v>
      </c>
      <c r="G4443">
        <v>2010</v>
      </c>
      <c r="H4443">
        <v>227936.36</v>
      </c>
      <c r="I4443">
        <v>12</v>
      </c>
      <c r="J4443" s="1"/>
      <c r="K4443">
        <v>0</v>
      </c>
      <c r="L4443">
        <v>12237</v>
      </c>
      <c r="M4443">
        <v>18.626664000000002</v>
      </c>
      <c r="N4443">
        <v>1</v>
      </c>
      <c r="O4443" s="1" t="s">
        <v>563</v>
      </c>
      <c r="P4443">
        <v>210276.63</v>
      </c>
      <c r="Q4443">
        <v>1114.96</v>
      </c>
      <c r="R4443">
        <v>1</v>
      </c>
      <c r="S4443" s="1" t="s">
        <v>909</v>
      </c>
      <c r="T4443" s="1"/>
      <c r="U4443">
        <v>6533</v>
      </c>
      <c r="V4443">
        <v>57821</v>
      </c>
      <c r="W4443">
        <v>57832</v>
      </c>
    </row>
    <row r="4444" spans="1:23" x14ac:dyDescent="0.25">
      <c r="A4444" s="1" t="s">
        <v>40</v>
      </c>
      <c r="B4444" s="1" t="s">
        <v>86</v>
      </c>
      <c r="C4444" s="1" t="s">
        <v>213</v>
      </c>
      <c r="D4444">
        <v>5468</v>
      </c>
      <c r="E4444" s="1"/>
      <c r="F4444" s="1" t="s">
        <v>213</v>
      </c>
      <c r="G4444">
        <v>2010</v>
      </c>
      <c r="H4444">
        <v>290106.86</v>
      </c>
      <c r="I4444">
        <v>12</v>
      </c>
      <c r="J4444" s="1"/>
      <c r="K4444">
        <v>0</v>
      </c>
      <c r="L4444">
        <v>12237</v>
      </c>
      <c r="M4444">
        <v>23.707156999999999</v>
      </c>
      <c r="N4444">
        <v>1</v>
      </c>
      <c r="O4444" s="1" t="s">
        <v>563</v>
      </c>
      <c r="P4444">
        <v>267978.37</v>
      </c>
      <c r="Q4444">
        <v>1420.94</v>
      </c>
      <c r="R4444">
        <v>1</v>
      </c>
      <c r="S4444" s="1" t="s">
        <v>910</v>
      </c>
      <c r="T4444" s="1"/>
      <c r="U4444">
        <v>8314.9</v>
      </c>
      <c r="V4444">
        <v>57834</v>
      </c>
      <c r="W4444">
        <v>57835</v>
      </c>
    </row>
    <row r="4445" spans="1:23" x14ac:dyDescent="0.25">
      <c r="A4445" s="1" t="s">
        <v>40</v>
      </c>
      <c r="B4445" s="1" t="s">
        <v>86</v>
      </c>
      <c r="C4445" s="1" t="s">
        <v>213</v>
      </c>
      <c r="D4445">
        <v>5468</v>
      </c>
      <c r="E4445" s="1"/>
      <c r="F4445" s="1" t="s">
        <v>213</v>
      </c>
      <c r="G4445">
        <v>2009</v>
      </c>
      <c r="H4445">
        <v>216293.58</v>
      </c>
      <c r="I4445">
        <v>12</v>
      </c>
      <c r="J4445" s="1"/>
      <c r="K4445">
        <v>0</v>
      </c>
      <c r="L4445">
        <v>12237</v>
      </c>
      <c r="M4445">
        <v>17.675231</v>
      </c>
      <c r="N4445">
        <v>1</v>
      </c>
      <c r="O4445" s="1" t="s">
        <v>563</v>
      </c>
      <c r="P4445">
        <v>230936.59</v>
      </c>
      <c r="Q4445">
        <v>1224.5</v>
      </c>
      <c r="R4445">
        <v>1</v>
      </c>
      <c r="S4445" s="1" t="s">
        <v>910</v>
      </c>
      <c r="T4445" s="1"/>
      <c r="U4445">
        <v>6199.3</v>
      </c>
      <c r="V4445">
        <v>57834</v>
      </c>
      <c r="W4445">
        <v>57835</v>
      </c>
    </row>
    <row r="4446" spans="1:23" x14ac:dyDescent="0.25">
      <c r="A4446" s="1" t="s">
        <v>40</v>
      </c>
      <c r="B4446" s="1" t="s">
        <v>86</v>
      </c>
      <c r="C4446" s="1" t="s">
        <v>213</v>
      </c>
      <c r="D4446">
        <v>5468</v>
      </c>
      <c r="E4446" s="1"/>
      <c r="F4446" s="1" t="s">
        <v>213</v>
      </c>
      <c r="G4446">
        <v>2009</v>
      </c>
      <c r="H4446">
        <v>263390</v>
      </c>
      <c r="I4446">
        <v>12</v>
      </c>
      <c r="J4446" s="1"/>
      <c r="K4446">
        <v>0</v>
      </c>
      <c r="L4446">
        <v>12237</v>
      </c>
      <c r="M4446">
        <v>21.523890000000002</v>
      </c>
      <c r="N4446">
        <v>1</v>
      </c>
      <c r="O4446" s="1" t="s">
        <v>562</v>
      </c>
      <c r="P4446">
        <v>281820.25</v>
      </c>
      <c r="Q4446">
        <v>52136.75</v>
      </c>
      <c r="R4446">
        <v>0</v>
      </c>
      <c r="S4446" s="1" t="s">
        <v>909</v>
      </c>
      <c r="T4446" s="1"/>
      <c r="U4446">
        <v>263390</v>
      </c>
      <c r="V4446">
        <v>0</v>
      </c>
      <c r="W4446">
        <v>57821</v>
      </c>
    </row>
    <row r="4447" spans="1:23" x14ac:dyDescent="0.25">
      <c r="A4447" s="1" t="s">
        <v>40</v>
      </c>
      <c r="B4447" s="1" t="s">
        <v>86</v>
      </c>
      <c r="C4447" s="1" t="s">
        <v>213</v>
      </c>
      <c r="D4447">
        <v>5468</v>
      </c>
      <c r="E4447" s="1"/>
      <c r="F4447" s="1" t="s">
        <v>213</v>
      </c>
      <c r="G4447">
        <v>2009</v>
      </c>
      <c r="H4447">
        <v>224290</v>
      </c>
      <c r="I4447">
        <v>12</v>
      </c>
      <c r="J4447" s="1"/>
      <c r="K4447">
        <v>0</v>
      </c>
      <c r="L4447">
        <v>12237</v>
      </c>
      <c r="M4447">
        <v>18.328688</v>
      </c>
      <c r="N4447">
        <v>1</v>
      </c>
      <c r="O4447" s="1" t="s">
        <v>562</v>
      </c>
      <c r="P4447">
        <v>237371.54</v>
      </c>
      <c r="Q4447">
        <v>43913.74</v>
      </c>
      <c r="R4447">
        <v>0</v>
      </c>
      <c r="S4447" s="1" t="s">
        <v>910</v>
      </c>
      <c r="T4447" s="1"/>
      <c r="U4447">
        <v>224290</v>
      </c>
      <c r="V4447">
        <v>0</v>
      </c>
      <c r="W4447">
        <v>57834</v>
      </c>
    </row>
    <row r="4448" spans="1:23" x14ac:dyDescent="0.25">
      <c r="A4448" s="1" t="s">
        <v>40</v>
      </c>
      <c r="B4448" s="1" t="s">
        <v>86</v>
      </c>
      <c r="C4448" s="1" t="s">
        <v>213</v>
      </c>
      <c r="D4448">
        <v>5468</v>
      </c>
      <c r="E4448" s="1"/>
      <c r="F4448" s="1" t="s">
        <v>213</v>
      </c>
      <c r="G4448">
        <v>2009</v>
      </c>
      <c r="H4448">
        <v>218673.09</v>
      </c>
      <c r="I4448">
        <v>12</v>
      </c>
      <c r="J4448" s="1"/>
      <c r="K4448">
        <v>0</v>
      </c>
      <c r="L4448">
        <v>12237</v>
      </c>
      <c r="M4448">
        <v>17.869682000000001</v>
      </c>
      <c r="N4448">
        <v>1</v>
      </c>
      <c r="O4448" s="1" t="s">
        <v>563</v>
      </c>
      <c r="P4448">
        <v>329268.39</v>
      </c>
      <c r="Q4448">
        <v>1745.92</v>
      </c>
      <c r="R4448">
        <v>1</v>
      </c>
      <c r="S4448" s="1" t="s">
        <v>909</v>
      </c>
      <c r="T4448" s="1"/>
      <c r="U4448">
        <v>6267.5</v>
      </c>
      <c r="V4448">
        <v>57821</v>
      </c>
      <c r="W4448">
        <v>57832</v>
      </c>
    </row>
    <row r="4449" spans="1:23" x14ac:dyDescent="0.25">
      <c r="A4449" s="1" t="s">
        <v>40</v>
      </c>
      <c r="B4449" s="1" t="s">
        <v>86</v>
      </c>
      <c r="C4449" s="1" t="s">
        <v>213</v>
      </c>
      <c r="D4449">
        <v>5468</v>
      </c>
      <c r="E4449" s="1"/>
      <c r="F4449" s="1" t="s">
        <v>213</v>
      </c>
      <c r="G4449">
        <v>2008</v>
      </c>
      <c r="H4449">
        <v>122760</v>
      </c>
      <c r="I4449">
        <v>12</v>
      </c>
      <c r="J4449" s="1"/>
      <c r="K4449">
        <v>0</v>
      </c>
      <c r="L4449">
        <v>12237</v>
      </c>
      <c r="M4449">
        <v>10.031788000000001</v>
      </c>
      <c r="N4449">
        <v>1</v>
      </c>
      <c r="O4449" s="1" t="s">
        <v>562</v>
      </c>
      <c r="P4449">
        <v>133902.63</v>
      </c>
      <c r="Q4449">
        <v>24771.99</v>
      </c>
      <c r="R4449">
        <v>0</v>
      </c>
      <c r="S4449" s="1" t="s">
        <v>909</v>
      </c>
      <c r="T4449" s="1"/>
      <c r="U4449">
        <v>122760</v>
      </c>
      <c r="V4449">
        <v>0</v>
      </c>
      <c r="W4449">
        <v>57821</v>
      </c>
    </row>
    <row r="4450" spans="1:23" x14ac:dyDescent="0.25">
      <c r="A4450" s="1" t="s">
        <v>40</v>
      </c>
      <c r="B4450" s="1" t="s">
        <v>86</v>
      </c>
      <c r="C4450" s="1" t="s">
        <v>213</v>
      </c>
      <c r="D4450">
        <v>5468</v>
      </c>
      <c r="E4450" s="1"/>
      <c r="F4450" s="1" t="s">
        <v>213</v>
      </c>
      <c r="G4450">
        <v>2008</v>
      </c>
      <c r="H4450">
        <v>84716.41</v>
      </c>
      <c r="I4450">
        <v>12</v>
      </c>
      <c r="J4450" s="1"/>
      <c r="K4450">
        <v>0</v>
      </c>
      <c r="L4450">
        <v>12237</v>
      </c>
      <c r="M4450">
        <v>6.9229149999999997</v>
      </c>
      <c r="N4450">
        <v>1</v>
      </c>
      <c r="O4450" s="1" t="s">
        <v>563</v>
      </c>
      <c r="P4450">
        <v>90927.48</v>
      </c>
      <c r="Q4450">
        <v>482.14</v>
      </c>
      <c r="R4450">
        <v>1</v>
      </c>
      <c r="S4450" s="1" t="s">
        <v>909</v>
      </c>
      <c r="T4450" s="1"/>
      <c r="U4450">
        <v>2428.1</v>
      </c>
      <c r="V4450">
        <v>57821</v>
      </c>
      <c r="W4450">
        <v>57832</v>
      </c>
    </row>
    <row r="4451" spans="1:23" x14ac:dyDescent="0.25">
      <c r="A4451" s="1" t="s">
        <v>40</v>
      </c>
      <c r="B4451" s="1" t="s">
        <v>86</v>
      </c>
      <c r="C4451" s="1" t="s">
        <v>213</v>
      </c>
      <c r="D4451">
        <v>5468</v>
      </c>
      <c r="E4451" s="1"/>
      <c r="F4451" s="1" t="s">
        <v>213</v>
      </c>
      <c r="G4451">
        <v>2008</v>
      </c>
      <c r="H4451">
        <v>59839.83</v>
      </c>
      <c r="I4451">
        <v>12</v>
      </c>
      <c r="J4451" s="1"/>
      <c r="K4451">
        <v>0</v>
      </c>
      <c r="L4451">
        <v>12237</v>
      </c>
      <c r="M4451">
        <v>4.8900329999999999</v>
      </c>
      <c r="N4451">
        <v>1</v>
      </c>
      <c r="O4451" s="1" t="s">
        <v>563</v>
      </c>
      <c r="P4451">
        <v>63984.99</v>
      </c>
      <c r="Q4451">
        <v>339.27</v>
      </c>
      <c r="R4451">
        <v>1</v>
      </c>
      <c r="S4451" s="1" t="s">
        <v>910</v>
      </c>
      <c r="T4451" s="1"/>
      <c r="U4451">
        <v>1715.1</v>
      </c>
      <c r="V4451">
        <v>57834</v>
      </c>
      <c r="W4451">
        <v>57835</v>
      </c>
    </row>
    <row r="4452" spans="1:23" x14ac:dyDescent="0.25">
      <c r="A4452" s="1" t="s">
        <v>40</v>
      </c>
      <c r="B4452" s="1" t="s">
        <v>86</v>
      </c>
      <c r="C4452" s="1" t="s">
        <v>213</v>
      </c>
      <c r="D4452">
        <v>5468</v>
      </c>
      <c r="E4452" s="1"/>
      <c r="F4452" s="1" t="s">
        <v>213</v>
      </c>
      <c r="G4452">
        <v>2008</v>
      </c>
      <c r="H4452">
        <v>80590</v>
      </c>
      <c r="I4452">
        <v>12</v>
      </c>
      <c r="J4452" s="1"/>
      <c r="K4452">
        <v>0</v>
      </c>
      <c r="L4452">
        <v>12237</v>
      </c>
      <c r="M4452">
        <v>6.5857099999999997</v>
      </c>
      <c r="N4452">
        <v>1</v>
      </c>
      <c r="O4452" s="1" t="s">
        <v>562</v>
      </c>
      <c r="P4452">
        <v>84940.5</v>
      </c>
      <c r="Q4452">
        <v>15713.99</v>
      </c>
      <c r="R4452">
        <v>0</v>
      </c>
      <c r="S4452" s="1" t="s">
        <v>910</v>
      </c>
      <c r="T4452" s="1"/>
      <c r="U4452">
        <v>80590</v>
      </c>
      <c r="V4452">
        <v>0</v>
      </c>
      <c r="W4452">
        <v>57834</v>
      </c>
    </row>
    <row r="4453" spans="1:23" x14ac:dyDescent="0.25">
      <c r="A4453" s="1" t="s">
        <v>40</v>
      </c>
      <c r="B4453" s="1" t="s">
        <v>86</v>
      </c>
      <c r="C4453" s="1" t="s">
        <v>213</v>
      </c>
      <c r="D4453">
        <v>5468</v>
      </c>
      <c r="E4453" s="1"/>
      <c r="F4453" s="1" t="s">
        <v>213</v>
      </c>
      <c r="G4453">
        <v>2008</v>
      </c>
      <c r="H4453">
        <v>134990</v>
      </c>
      <c r="I4453">
        <v>5</v>
      </c>
      <c r="J4453" s="1" t="s">
        <v>455</v>
      </c>
      <c r="K4453">
        <v>0</v>
      </c>
      <c r="L4453">
        <v>12237</v>
      </c>
      <c r="M4453">
        <v>11.031207999999999</v>
      </c>
      <c r="N4453">
        <v>1</v>
      </c>
      <c r="O4453" s="1" t="s">
        <v>565</v>
      </c>
      <c r="P4453">
        <v>167995.1</v>
      </c>
      <c r="Q4453">
        <v>31.08</v>
      </c>
      <c r="R4453">
        <v>0</v>
      </c>
      <c r="S4453" s="1" t="s">
        <v>909</v>
      </c>
      <c r="T4453" s="1"/>
      <c r="U4453">
        <v>134.99</v>
      </c>
      <c r="V4453">
        <v>0</v>
      </c>
      <c r="W4453">
        <v>57831</v>
      </c>
    </row>
    <row r="4454" spans="1:23" x14ac:dyDescent="0.25">
      <c r="A4454" s="1" t="s">
        <v>40</v>
      </c>
      <c r="B4454" s="1" t="s">
        <v>86</v>
      </c>
      <c r="C4454" s="1" t="s">
        <v>213</v>
      </c>
      <c r="D4454">
        <v>5468</v>
      </c>
      <c r="E4454" s="1"/>
      <c r="F4454" s="1" t="s">
        <v>213</v>
      </c>
      <c r="G4454">
        <v>2008</v>
      </c>
      <c r="H4454">
        <v>110360</v>
      </c>
      <c r="I4454">
        <v>5</v>
      </c>
      <c r="J4454" s="1" t="s">
        <v>455</v>
      </c>
      <c r="K4454">
        <v>0</v>
      </c>
      <c r="L4454">
        <v>12237</v>
      </c>
      <c r="M4454">
        <v>9.0184759999999997</v>
      </c>
      <c r="N4454">
        <v>1</v>
      </c>
      <c r="O4454" s="1" t="s">
        <v>565</v>
      </c>
      <c r="P4454">
        <v>137677.42000000001</v>
      </c>
      <c r="Q4454">
        <v>25.47</v>
      </c>
      <c r="R4454">
        <v>0</v>
      </c>
      <c r="S4454" s="1" t="s">
        <v>910</v>
      </c>
      <c r="T4454" s="1"/>
      <c r="U4454">
        <v>110.36</v>
      </c>
      <c r="V4454">
        <v>0</v>
      </c>
      <c r="W4454">
        <v>57836</v>
      </c>
    </row>
    <row r="4455" spans="1:23" x14ac:dyDescent="0.25">
      <c r="A4455" s="1" t="s">
        <v>40</v>
      </c>
      <c r="B4455" s="1" t="s">
        <v>87</v>
      </c>
      <c r="C4455" s="1" t="s">
        <v>214</v>
      </c>
      <c r="D4455">
        <v>5954</v>
      </c>
      <c r="E4455" s="1"/>
      <c r="F4455" s="1" t="s">
        <v>352</v>
      </c>
      <c r="G4455">
        <v>2015</v>
      </c>
      <c r="H4455">
        <v>35363.14</v>
      </c>
      <c r="I4455">
        <v>5</v>
      </c>
      <c r="J4455" s="1" t="s">
        <v>482</v>
      </c>
      <c r="K4455">
        <v>0</v>
      </c>
      <c r="L4455">
        <v>475</v>
      </c>
      <c r="M4455">
        <v>74.433045000000007</v>
      </c>
      <c r="N4455">
        <v>1</v>
      </c>
      <c r="O4455" s="1" t="s">
        <v>564</v>
      </c>
      <c r="P4455">
        <v>39805.42</v>
      </c>
      <c r="Q4455">
        <v>8418.11</v>
      </c>
      <c r="R4455">
        <v>0</v>
      </c>
      <c r="S4455" s="1" t="s">
        <v>911</v>
      </c>
      <c r="T4455" s="1" t="s">
        <v>1229</v>
      </c>
      <c r="U4455">
        <v>3274.3649999999998</v>
      </c>
      <c r="V4455">
        <v>0</v>
      </c>
      <c r="W4455">
        <v>59981</v>
      </c>
    </row>
    <row r="4456" spans="1:23" x14ac:dyDescent="0.25">
      <c r="A4456" s="1" t="s">
        <v>40</v>
      </c>
      <c r="B4456" s="1" t="s">
        <v>87</v>
      </c>
      <c r="C4456" s="1" t="s">
        <v>214</v>
      </c>
      <c r="D4456">
        <v>5954</v>
      </c>
      <c r="E4456" s="1"/>
      <c r="F4456" s="1" t="s">
        <v>352</v>
      </c>
      <c r="G4456">
        <v>2014</v>
      </c>
      <c r="H4456">
        <v>66378.14</v>
      </c>
      <c r="I4456">
        <v>12</v>
      </c>
      <c r="J4456" s="1" t="s">
        <v>482</v>
      </c>
      <c r="K4456">
        <v>0</v>
      </c>
      <c r="L4456">
        <v>475</v>
      </c>
      <c r="M4456">
        <v>139.71403900000001</v>
      </c>
      <c r="N4456">
        <v>1</v>
      </c>
      <c r="O4456" s="1" t="s">
        <v>564</v>
      </c>
      <c r="P4456">
        <v>78967.5</v>
      </c>
      <c r="Q4456">
        <v>16700.18</v>
      </c>
      <c r="R4456">
        <v>0</v>
      </c>
      <c r="S4456" s="1" t="s">
        <v>911</v>
      </c>
      <c r="T4456" s="1" t="s">
        <v>1229</v>
      </c>
      <c r="U4456">
        <v>6146.125</v>
      </c>
      <c r="V4456">
        <v>0</v>
      </c>
      <c r="W4456">
        <v>59981</v>
      </c>
    </row>
    <row r="4457" spans="1:23" x14ac:dyDescent="0.25">
      <c r="A4457" s="1" t="s">
        <v>40</v>
      </c>
      <c r="B4457" s="1" t="s">
        <v>87</v>
      </c>
      <c r="C4457" s="1" t="s">
        <v>214</v>
      </c>
      <c r="D4457">
        <v>5954</v>
      </c>
      <c r="E4457" s="1"/>
      <c r="F4457" s="1" t="s">
        <v>352</v>
      </c>
      <c r="G4457">
        <v>2013</v>
      </c>
      <c r="H4457">
        <v>75932.2</v>
      </c>
      <c r="I4457">
        <v>12</v>
      </c>
      <c r="J4457" s="1" t="s">
        <v>482</v>
      </c>
      <c r="K4457">
        <v>0</v>
      </c>
      <c r="L4457">
        <v>475</v>
      </c>
      <c r="M4457">
        <v>159.82361599999999</v>
      </c>
      <c r="N4457">
        <v>1</v>
      </c>
      <c r="O4457" s="1" t="s">
        <v>564</v>
      </c>
      <c r="P4457">
        <v>80792.320000000007</v>
      </c>
      <c r="Q4457">
        <v>17086.09</v>
      </c>
      <c r="R4457">
        <v>0</v>
      </c>
      <c r="S4457" s="1" t="s">
        <v>911</v>
      </c>
      <c r="T4457" s="1" t="s">
        <v>1229</v>
      </c>
      <c r="U4457">
        <v>7030.76</v>
      </c>
      <c r="V4457">
        <v>0</v>
      </c>
      <c r="W4457">
        <v>59981</v>
      </c>
    </row>
    <row r="4458" spans="1:23" x14ac:dyDescent="0.25">
      <c r="A4458" s="1" t="s">
        <v>40</v>
      </c>
      <c r="B4458" s="1" t="s">
        <v>87</v>
      </c>
      <c r="C4458" s="1" t="s">
        <v>214</v>
      </c>
      <c r="D4458">
        <v>5954</v>
      </c>
      <c r="E4458" s="1"/>
      <c r="F4458" s="1" t="s">
        <v>352</v>
      </c>
      <c r="G4458">
        <v>2012</v>
      </c>
      <c r="H4458">
        <v>74357.2</v>
      </c>
      <c r="I4458">
        <v>12</v>
      </c>
      <c r="J4458" s="1" t="s">
        <v>482</v>
      </c>
      <c r="K4458">
        <v>0</v>
      </c>
      <c r="L4458">
        <v>475</v>
      </c>
      <c r="M4458">
        <v>156.50852399999999</v>
      </c>
      <c r="N4458">
        <v>1</v>
      </c>
      <c r="O4458" s="1" t="s">
        <v>564</v>
      </c>
      <c r="P4458">
        <v>77773.350000000006</v>
      </c>
      <c r="Q4458">
        <v>16447.63</v>
      </c>
      <c r="R4458">
        <v>0</v>
      </c>
      <c r="S4458" s="1" t="s">
        <v>911</v>
      </c>
      <c r="T4458" s="1" t="s">
        <v>1229</v>
      </c>
      <c r="U4458">
        <v>6884.9256999999998</v>
      </c>
      <c r="V4458">
        <v>0</v>
      </c>
      <c r="W4458">
        <v>59981</v>
      </c>
    </row>
    <row r="4459" spans="1:23" x14ac:dyDescent="0.25">
      <c r="A4459" s="1" t="s">
        <v>40</v>
      </c>
      <c r="B4459" s="1" t="s">
        <v>87</v>
      </c>
      <c r="C4459" s="1" t="s">
        <v>214</v>
      </c>
      <c r="D4459">
        <v>5954</v>
      </c>
      <c r="E4459" s="1"/>
      <c r="F4459" s="1" t="s">
        <v>352</v>
      </c>
      <c r="G4459">
        <v>2011</v>
      </c>
      <c r="H4459">
        <v>73502.929999999993</v>
      </c>
      <c r="I4459">
        <v>12</v>
      </c>
      <c r="J4459" s="1" t="s">
        <v>482</v>
      </c>
      <c r="K4459">
        <v>0</v>
      </c>
      <c r="L4459">
        <v>475</v>
      </c>
      <c r="M4459">
        <v>154.71043900000001</v>
      </c>
      <c r="N4459">
        <v>1</v>
      </c>
      <c r="O4459" s="1" t="s">
        <v>564</v>
      </c>
      <c r="P4459">
        <v>80456.179999999993</v>
      </c>
      <c r="Q4459">
        <v>17014.990000000002</v>
      </c>
      <c r="R4459">
        <v>0</v>
      </c>
      <c r="S4459" s="1" t="s">
        <v>911</v>
      </c>
      <c r="T4459" s="1" t="s">
        <v>1229</v>
      </c>
      <c r="U4459">
        <v>6805.8264600000002</v>
      </c>
      <c r="V4459">
        <v>0</v>
      </c>
      <c r="W4459">
        <v>59981</v>
      </c>
    </row>
    <row r="4460" spans="1:23" x14ac:dyDescent="0.25">
      <c r="A4460" s="1" t="s">
        <v>40</v>
      </c>
      <c r="B4460" s="1" t="s">
        <v>87</v>
      </c>
      <c r="C4460" s="1" t="s">
        <v>214</v>
      </c>
      <c r="D4460">
        <v>5954</v>
      </c>
      <c r="E4460" s="1"/>
      <c r="F4460" s="1" t="s">
        <v>352</v>
      </c>
      <c r="G4460">
        <v>2010</v>
      </c>
      <c r="H4460">
        <v>77257.070000000007</v>
      </c>
      <c r="I4460">
        <v>11</v>
      </c>
      <c r="J4460" s="1" t="s">
        <v>482</v>
      </c>
      <c r="K4460">
        <v>0</v>
      </c>
      <c r="L4460">
        <v>475</v>
      </c>
      <c r="M4460">
        <v>162.61222900000001</v>
      </c>
      <c r="N4460">
        <v>1</v>
      </c>
      <c r="O4460" s="1" t="s">
        <v>564</v>
      </c>
      <c r="P4460">
        <v>70016.86</v>
      </c>
      <c r="Q4460">
        <v>14807.28</v>
      </c>
      <c r="R4460">
        <v>0</v>
      </c>
      <c r="S4460" s="1" t="s">
        <v>911</v>
      </c>
      <c r="T4460" s="1" t="s">
        <v>1229</v>
      </c>
      <c r="U4460">
        <v>7153.4308000000001</v>
      </c>
      <c r="V4460">
        <v>0</v>
      </c>
      <c r="W4460">
        <v>59981</v>
      </c>
    </row>
    <row r="4461" spans="1:23" x14ac:dyDescent="0.25">
      <c r="A4461" s="1" t="s">
        <v>40</v>
      </c>
      <c r="B4461" s="1" t="s">
        <v>87</v>
      </c>
      <c r="C4461" s="1" t="s">
        <v>214</v>
      </c>
      <c r="D4461">
        <v>5954</v>
      </c>
      <c r="E4461" s="1"/>
      <c r="F4461" s="1" t="s">
        <v>352</v>
      </c>
      <c r="G4461">
        <v>2009</v>
      </c>
      <c r="H4461">
        <v>75347.45</v>
      </c>
      <c r="I4461">
        <v>11</v>
      </c>
      <c r="J4461" s="1" t="s">
        <v>482</v>
      </c>
      <c r="K4461">
        <v>0</v>
      </c>
      <c r="L4461">
        <v>475</v>
      </c>
      <c r="M4461">
        <v>158.59282200000001</v>
      </c>
      <c r="N4461">
        <v>1</v>
      </c>
      <c r="O4461" s="1" t="s">
        <v>564</v>
      </c>
      <c r="P4461">
        <v>81141.48</v>
      </c>
      <c r="Q4461">
        <v>17159.93</v>
      </c>
      <c r="R4461">
        <v>0</v>
      </c>
      <c r="S4461" s="1" t="s">
        <v>911</v>
      </c>
      <c r="T4461" s="1" t="s">
        <v>1229</v>
      </c>
      <c r="U4461">
        <v>6976.6162999999997</v>
      </c>
      <c r="V4461">
        <v>0</v>
      </c>
      <c r="W4461">
        <v>59981</v>
      </c>
    </row>
    <row r="4462" spans="1:23" x14ac:dyDescent="0.25">
      <c r="A4462" s="1" t="s">
        <v>40</v>
      </c>
      <c r="B4462" s="1" t="s">
        <v>87</v>
      </c>
      <c r="C4462" s="1" t="s">
        <v>214</v>
      </c>
      <c r="D4462">
        <v>5954</v>
      </c>
      <c r="E4462" s="1"/>
      <c r="F4462" s="1" t="s">
        <v>352</v>
      </c>
      <c r="G4462">
        <v>2008</v>
      </c>
      <c r="H4462">
        <v>68328.149999999994</v>
      </c>
      <c r="I4462">
        <v>12</v>
      </c>
      <c r="J4462" s="1" t="s">
        <v>482</v>
      </c>
      <c r="K4462">
        <v>0</v>
      </c>
      <c r="L4462">
        <v>475</v>
      </c>
      <c r="M4462">
        <v>143.81845899999999</v>
      </c>
      <c r="N4462">
        <v>1</v>
      </c>
      <c r="O4462" s="1" t="s">
        <v>564</v>
      </c>
      <c r="P4462">
        <v>77965.55</v>
      </c>
      <c r="Q4462">
        <v>16488.259999999998</v>
      </c>
      <c r="R4462">
        <v>0</v>
      </c>
      <c r="S4462" s="1" t="s">
        <v>911</v>
      </c>
      <c r="T4462" s="1" t="s">
        <v>1229</v>
      </c>
      <c r="U4462">
        <v>6326.6796800000002</v>
      </c>
      <c r="V4462">
        <v>0</v>
      </c>
      <c r="W4462">
        <v>59981</v>
      </c>
    </row>
    <row r="4463" spans="1:23" x14ac:dyDescent="0.25">
      <c r="A4463" s="1" t="s">
        <v>40</v>
      </c>
      <c r="B4463" s="1" t="s">
        <v>88</v>
      </c>
      <c r="C4463" s="1" t="s">
        <v>215</v>
      </c>
      <c r="D4463">
        <v>5429</v>
      </c>
      <c r="E4463" s="1"/>
      <c r="F4463" s="1" t="s">
        <v>215</v>
      </c>
      <c r="G4463">
        <v>2015</v>
      </c>
      <c r="H4463">
        <v>53114.5</v>
      </c>
      <c r="I4463">
        <v>5</v>
      </c>
      <c r="J4463" s="1" t="s">
        <v>472</v>
      </c>
      <c r="K4463">
        <v>0</v>
      </c>
      <c r="L4463">
        <v>1747</v>
      </c>
      <c r="M4463">
        <v>30.401522</v>
      </c>
      <c r="N4463">
        <v>1</v>
      </c>
      <c r="O4463" s="1" t="s">
        <v>564</v>
      </c>
      <c r="P4463">
        <v>59666.09</v>
      </c>
      <c r="Q4463">
        <v>12618.28</v>
      </c>
      <c r="R4463">
        <v>0</v>
      </c>
      <c r="S4463" s="1" t="s">
        <v>912</v>
      </c>
      <c r="T4463" s="1" t="s">
        <v>1230</v>
      </c>
      <c r="U4463">
        <v>4918.01</v>
      </c>
      <c r="V4463">
        <v>0</v>
      </c>
      <c r="W4463">
        <v>57409</v>
      </c>
    </row>
    <row r="4464" spans="1:23" x14ac:dyDescent="0.25">
      <c r="A4464" s="1" t="s">
        <v>40</v>
      </c>
      <c r="B4464" s="1" t="s">
        <v>88</v>
      </c>
      <c r="C4464" s="1" t="s">
        <v>215</v>
      </c>
      <c r="D4464">
        <v>5429</v>
      </c>
      <c r="E4464" s="1"/>
      <c r="F4464" s="1" t="s">
        <v>215</v>
      </c>
      <c r="G4464">
        <v>2014</v>
      </c>
      <c r="H4464">
        <v>92634.29</v>
      </c>
      <c r="I4464">
        <v>12</v>
      </c>
      <c r="J4464" s="1" t="s">
        <v>472</v>
      </c>
      <c r="K4464">
        <v>0</v>
      </c>
      <c r="L4464">
        <v>1747</v>
      </c>
      <c r="M4464">
        <v>53.021743999999998</v>
      </c>
      <c r="N4464">
        <v>1</v>
      </c>
      <c r="O4464" s="1" t="s">
        <v>564</v>
      </c>
      <c r="P4464">
        <v>110498.32</v>
      </c>
      <c r="Q4464">
        <v>23368.34</v>
      </c>
      <c r="R4464">
        <v>0</v>
      </c>
      <c r="S4464" s="1" t="s">
        <v>912</v>
      </c>
      <c r="T4464" s="1" t="s">
        <v>1230</v>
      </c>
      <c r="U4464">
        <v>8577.25</v>
      </c>
      <c r="V4464">
        <v>0</v>
      </c>
      <c r="W4464">
        <v>57409</v>
      </c>
    </row>
    <row r="4465" spans="1:23" x14ac:dyDescent="0.25">
      <c r="A4465" s="1" t="s">
        <v>40</v>
      </c>
      <c r="B4465" s="1" t="s">
        <v>88</v>
      </c>
      <c r="C4465" s="1" t="s">
        <v>215</v>
      </c>
      <c r="D4465">
        <v>5429</v>
      </c>
      <c r="E4465" s="1"/>
      <c r="F4465" s="1" t="s">
        <v>215</v>
      </c>
      <c r="G4465">
        <v>2013</v>
      </c>
      <c r="H4465">
        <v>102614.25</v>
      </c>
      <c r="I4465">
        <v>12</v>
      </c>
      <c r="J4465" s="1" t="s">
        <v>472</v>
      </c>
      <c r="K4465">
        <v>0</v>
      </c>
      <c r="L4465">
        <v>1747</v>
      </c>
      <c r="M4465">
        <v>58.734043999999997</v>
      </c>
      <c r="N4465">
        <v>1</v>
      </c>
      <c r="O4465" s="1" t="s">
        <v>564</v>
      </c>
      <c r="P4465">
        <v>107240.93</v>
      </c>
      <c r="Q4465">
        <v>22679.47</v>
      </c>
      <c r="R4465">
        <v>0</v>
      </c>
      <c r="S4465" s="1" t="s">
        <v>912</v>
      </c>
      <c r="T4465" s="1" t="s">
        <v>1230</v>
      </c>
      <c r="U4465">
        <v>9501.32</v>
      </c>
      <c r="V4465">
        <v>0</v>
      </c>
      <c r="W4465">
        <v>57409</v>
      </c>
    </row>
    <row r="4466" spans="1:23" x14ac:dyDescent="0.25">
      <c r="A4466" s="1" t="s">
        <v>40</v>
      </c>
      <c r="B4466" s="1" t="s">
        <v>88</v>
      </c>
      <c r="C4466" s="1" t="s">
        <v>215</v>
      </c>
      <c r="D4466">
        <v>5429</v>
      </c>
      <c r="E4466" s="1"/>
      <c r="F4466" s="1" t="s">
        <v>215</v>
      </c>
      <c r="G4466">
        <v>2012</v>
      </c>
      <c r="H4466">
        <v>95958.97</v>
      </c>
      <c r="I4466">
        <v>12</v>
      </c>
      <c r="J4466" s="1" t="s">
        <v>472</v>
      </c>
      <c r="K4466">
        <v>0</v>
      </c>
      <c r="L4466">
        <v>1747</v>
      </c>
      <c r="M4466">
        <v>54.924714999999999</v>
      </c>
      <c r="N4466">
        <v>1</v>
      </c>
      <c r="O4466" s="1" t="s">
        <v>564</v>
      </c>
      <c r="P4466">
        <v>100611.86</v>
      </c>
      <c r="Q4466">
        <v>21277.52</v>
      </c>
      <c r="R4466">
        <v>0</v>
      </c>
      <c r="S4466" s="1" t="s">
        <v>912</v>
      </c>
      <c r="T4466" s="1" t="s">
        <v>1230</v>
      </c>
      <c r="U4466">
        <v>8885.09</v>
      </c>
      <c r="V4466">
        <v>0</v>
      </c>
      <c r="W4466">
        <v>57409</v>
      </c>
    </row>
    <row r="4467" spans="1:23" x14ac:dyDescent="0.25">
      <c r="A4467" s="1" t="s">
        <v>40</v>
      </c>
      <c r="B4467" s="1" t="s">
        <v>88</v>
      </c>
      <c r="C4467" s="1" t="s">
        <v>215</v>
      </c>
      <c r="D4467">
        <v>5429</v>
      </c>
      <c r="E4467" s="1"/>
      <c r="F4467" s="1" t="s">
        <v>215</v>
      </c>
      <c r="G4467">
        <v>2011</v>
      </c>
      <c r="H4467">
        <v>94017.13</v>
      </c>
      <c r="I4467">
        <v>12</v>
      </c>
      <c r="J4467" s="1" t="s">
        <v>472</v>
      </c>
      <c r="K4467">
        <v>0</v>
      </c>
      <c r="L4467">
        <v>1747</v>
      </c>
      <c r="M4467">
        <v>53.813249999999996</v>
      </c>
      <c r="N4467">
        <v>1</v>
      </c>
      <c r="O4467" s="1" t="s">
        <v>564</v>
      </c>
      <c r="P4467">
        <v>102687.24</v>
      </c>
      <c r="Q4467">
        <v>21716.46</v>
      </c>
      <c r="R4467">
        <v>0</v>
      </c>
      <c r="S4467" s="1" t="s">
        <v>912</v>
      </c>
      <c r="T4467" s="1" t="s">
        <v>1230</v>
      </c>
      <c r="U4467">
        <v>8705.2900000000009</v>
      </c>
      <c r="V4467">
        <v>0</v>
      </c>
      <c r="W4467">
        <v>57409</v>
      </c>
    </row>
    <row r="4468" spans="1:23" x14ac:dyDescent="0.25">
      <c r="A4468" s="1" t="s">
        <v>40</v>
      </c>
      <c r="B4468" s="1" t="s">
        <v>88</v>
      </c>
      <c r="C4468" s="1" t="s">
        <v>215</v>
      </c>
      <c r="D4468">
        <v>5429</v>
      </c>
      <c r="E4468" s="1"/>
      <c r="F4468" s="1" t="s">
        <v>215</v>
      </c>
      <c r="G4468">
        <v>2010</v>
      </c>
      <c r="H4468">
        <v>122168.63</v>
      </c>
      <c r="I4468">
        <v>12</v>
      </c>
      <c r="J4468" s="1" t="s">
        <v>472</v>
      </c>
      <c r="K4468">
        <v>0</v>
      </c>
      <c r="L4468">
        <v>1747</v>
      </c>
      <c r="M4468">
        <v>69.926523000000003</v>
      </c>
      <c r="N4468">
        <v>1</v>
      </c>
      <c r="O4468" s="1" t="s">
        <v>564</v>
      </c>
      <c r="P4468">
        <v>111098.94</v>
      </c>
      <c r="Q4468">
        <v>23495.37</v>
      </c>
      <c r="R4468">
        <v>0</v>
      </c>
      <c r="S4468" s="1" t="s">
        <v>912</v>
      </c>
      <c r="T4468" s="1" t="s">
        <v>1230</v>
      </c>
      <c r="U4468">
        <v>11311.91</v>
      </c>
      <c r="V4468">
        <v>0</v>
      </c>
      <c r="W4468">
        <v>57409</v>
      </c>
    </row>
    <row r="4469" spans="1:23" x14ac:dyDescent="0.25">
      <c r="A4469" s="1" t="s">
        <v>40</v>
      </c>
      <c r="B4469" s="1" t="s">
        <v>88</v>
      </c>
      <c r="C4469" s="1" t="s">
        <v>215</v>
      </c>
      <c r="D4469">
        <v>5429</v>
      </c>
      <c r="E4469" s="1"/>
      <c r="F4469" s="1" t="s">
        <v>215</v>
      </c>
      <c r="G4469">
        <v>2009</v>
      </c>
      <c r="H4469">
        <v>94946.36</v>
      </c>
      <c r="I4469">
        <v>12</v>
      </c>
      <c r="J4469" s="1" t="s">
        <v>472</v>
      </c>
      <c r="K4469">
        <v>0</v>
      </c>
      <c r="L4469">
        <v>1747</v>
      </c>
      <c r="M4469">
        <v>54.345120000000001</v>
      </c>
      <c r="N4469">
        <v>1</v>
      </c>
      <c r="O4469" s="1" t="s">
        <v>564</v>
      </c>
      <c r="P4469">
        <v>100171.06</v>
      </c>
      <c r="Q4469">
        <v>21184.33</v>
      </c>
      <c r="R4469">
        <v>0</v>
      </c>
      <c r="S4469" s="1" t="s">
        <v>912</v>
      </c>
      <c r="T4469" s="1" t="s">
        <v>1230</v>
      </c>
      <c r="U4469">
        <v>8791.33</v>
      </c>
      <c r="V4469">
        <v>0</v>
      </c>
      <c r="W4469">
        <v>57409</v>
      </c>
    </row>
    <row r="4470" spans="1:23" x14ac:dyDescent="0.25">
      <c r="A4470" s="1" t="s">
        <v>40</v>
      </c>
      <c r="B4470" s="1" t="s">
        <v>88</v>
      </c>
      <c r="C4470" s="1" t="s">
        <v>215</v>
      </c>
      <c r="D4470">
        <v>5429</v>
      </c>
      <c r="E4470" s="1"/>
      <c r="F4470" s="1" t="s">
        <v>215</v>
      </c>
      <c r="G4470">
        <v>2008</v>
      </c>
      <c r="H4470">
        <v>92716.86</v>
      </c>
      <c r="I4470">
        <v>12</v>
      </c>
      <c r="J4470" s="1" t="s">
        <v>472</v>
      </c>
      <c r="K4470">
        <v>0</v>
      </c>
      <c r="L4470">
        <v>1747</v>
      </c>
      <c r="M4470">
        <v>53.069004999999997</v>
      </c>
      <c r="N4470">
        <v>1</v>
      </c>
      <c r="O4470" s="1" t="s">
        <v>564</v>
      </c>
      <c r="P4470">
        <v>103993.04</v>
      </c>
      <c r="Q4470">
        <v>21992.63</v>
      </c>
      <c r="R4470">
        <v>0</v>
      </c>
      <c r="S4470" s="1" t="s">
        <v>912</v>
      </c>
      <c r="T4470" s="1" t="s">
        <v>1230</v>
      </c>
      <c r="U4470">
        <v>8584.8943999999992</v>
      </c>
      <c r="V4470">
        <v>0</v>
      </c>
      <c r="W4470">
        <v>57409</v>
      </c>
    </row>
    <row r="4471" spans="1:23" x14ac:dyDescent="0.25">
      <c r="A4471" s="1" t="s">
        <v>40</v>
      </c>
      <c r="B4471" s="1" t="s">
        <v>89</v>
      </c>
      <c r="C4471" s="1" t="s">
        <v>216</v>
      </c>
      <c r="D4471">
        <v>5265</v>
      </c>
      <c r="E4471" s="1"/>
      <c r="F4471" s="1" t="s">
        <v>216</v>
      </c>
      <c r="G4471">
        <v>2015</v>
      </c>
      <c r="H4471">
        <v>17981</v>
      </c>
      <c r="I4471">
        <v>5</v>
      </c>
      <c r="J4471" s="1" t="s">
        <v>469</v>
      </c>
      <c r="K4471">
        <v>0</v>
      </c>
      <c r="L4471">
        <v>585</v>
      </c>
      <c r="M4471">
        <v>30.731497999999998</v>
      </c>
      <c r="N4471">
        <v>1</v>
      </c>
      <c r="O4471" s="1" t="s">
        <v>562</v>
      </c>
      <c r="P4471">
        <v>19940.14</v>
      </c>
      <c r="Q4471">
        <v>3688925.9</v>
      </c>
      <c r="R4471">
        <v>0</v>
      </c>
      <c r="S4471" s="1" t="s">
        <v>913</v>
      </c>
      <c r="T4471" s="1"/>
      <c r="U4471">
        <v>17981</v>
      </c>
      <c r="V4471">
        <v>0</v>
      </c>
      <c r="W4471">
        <v>56774</v>
      </c>
    </row>
    <row r="4472" spans="1:23" x14ac:dyDescent="0.25">
      <c r="A4472" s="1" t="s">
        <v>40</v>
      </c>
      <c r="B4472" s="1" t="s">
        <v>89</v>
      </c>
      <c r="C4472" s="1" t="s">
        <v>216</v>
      </c>
      <c r="D4472">
        <v>5265</v>
      </c>
      <c r="E4472" s="1"/>
      <c r="F4472" s="1" t="s">
        <v>216</v>
      </c>
      <c r="G4472">
        <v>2015</v>
      </c>
      <c r="H4472">
        <v>15032.36</v>
      </c>
      <c r="I4472">
        <v>5</v>
      </c>
      <c r="J4472" s="1" t="s">
        <v>469</v>
      </c>
      <c r="K4472">
        <v>0</v>
      </c>
      <c r="L4472">
        <v>585</v>
      </c>
      <c r="M4472">
        <v>25.691949999999999</v>
      </c>
      <c r="N4472">
        <v>1</v>
      </c>
      <c r="O4472" s="1" t="s">
        <v>563</v>
      </c>
      <c r="P4472">
        <v>16619.330000000002</v>
      </c>
      <c r="Q4472">
        <v>88121.99</v>
      </c>
      <c r="R4472">
        <v>1</v>
      </c>
      <c r="S4472" s="1" t="s">
        <v>913</v>
      </c>
      <c r="T4472" s="1"/>
      <c r="U4472">
        <v>430.85</v>
      </c>
      <c r="V4472">
        <v>0</v>
      </c>
      <c r="W4472">
        <v>56999</v>
      </c>
    </row>
    <row r="4473" spans="1:23" x14ac:dyDescent="0.25">
      <c r="A4473" s="1" t="s">
        <v>40</v>
      </c>
      <c r="B4473" s="1" t="s">
        <v>89</v>
      </c>
      <c r="C4473" s="1" t="s">
        <v>216</v>
      </c>
      <c r="D4473">
        <v>5265</v>
      </c>
      <c r="E4473" s="1"/>
      <c r="F4473" s="1" t="s">
        <v>216</v>
      </c>
      <c r="G4473">
        <v>2014</v>
      </c>
      <c r="H4473">
        <v>58965</v>
      </c>
      <c r="I4473">
        <v>12</v>
      </c>
      <c r="J4473" s="1" t="s">
        <v>469</v>
      </c>
      <c r="K4473">
        <v>0</v>
      </c>
      <c r="L4473">
        <v>585</v>
      </c>
      <c r="M4473">
        <v>100.777644</v>
      </c>
      <c r="N4473">
        <v>1</v>
      </c>
      <c r="O4473" s="1" t="s">
        <v>562</v>
      </c>
      <c r="P4473">
        <v>70960.67</v>
      </c>
      <c r="Q4473">
        <v>2992813.11</v>
      </c>
      <c r="R4473">
        <v>0</v>
      </c>
      <c r="S4473" s="1" t="s">
        <v>913</v>
      </c>
      <c r="T4473" s="1"/>
      <c r="U4473">
        <v>58965</v>
      </c>
      <c r="V4473">
        <v>0</v>
      </c>
      <c r="W4473">
        <v>56774</v>
      </c>
    </row>
    <row r="4474" spans="1:23" x14ac:dyDescent="0.25">
      <c r="A4474" s="1" t="s">
        <v>40</v>
      </c>
      <c r="B4474" s="1" t="s">
        <v>89</v>
      </c>
      <c r="C4474" s="1" t="s">
        <v>216</v>
      </c>
      <c r="D4474">
        <v>5265</v>
      </c>
      <c r="E4474" s="1"/>
      <c r="F4474" s="1" t="s">
        <v>216</v>
      </c>
      <c r="G4474">
        <v>2014</v>
      </c>
      <c r="H4474">
        <v>52978.36</v>
      </c>
      <c r="I4474">
        <v>12</v>
      </c>
      <c r="J4474" s="1" t="s">
        <v>469</v>
      </c>
      <c r="K4474">
        <v>0</v>
      </c>
      <c r="L4474">
        <v>585</v>
      </c>
      <c r="M4474">
        <v>90.545821000000004</v>
      </c>
      <c r="N4474">
        <v>1</v>
      </c>
      <c r="O4474" s="1" t="s">
        <v>563</v>
      </c>
      <c r="P4474">
        <v>63340.55</v>
      </c>
      <c r="Q4474">
        <v>83231.570000000007</v>
      </c>
      <c r="R4474">
        <v>1</v>
      </c>
      <c r="S4474" s="1" t="s">
        <v>913</v>
      </c>
      <c r="T4474" s="1"/>
      <c r="U4474">
        <v>1518.44</v>
      </c>
      <c r="V4474">
        <v>0</v>
      </c>
      <c r="W4474">
        <v>56999</v>
      </c>
    </row>
    <row r="4475" spans="1:23" x14ac:dyDescent="0.25">
      <c r="A4475" s="1" t="s">
        <v>40</v>
      </c>
      <c r="B4475" s="1" t="s">
        <v>89</v>
      </c>
      <c r="C4475" s="1" t="s">
        <v>216</v>
      </c>
      <c r="D4475">
        <v>5265</v>
      </c>
      <c r="E4475" s="1"/>
      <c r="F4475" s="1" t="s">
        <v>216</v>
      </c>
      <c r="G4475">
        <v>2013</v>
      </c>
      <c r="H4475">
        <v>67548</v>
      </c>
      <c r="I4475">
        <v>12</v>
      </c>
      <c r="J4475" s="1" t="s">
        <v>469</v>
      </c>
      <c r="K4475">
        <v>0</v>
      </c>
      <c r="L4475">
        <v>585</v>
      </c>
      <c r="M4475">
        <v>115.446932</v>
      </c>
      <c r="N4475">
        <v>1</v>
      </c>
      <c r="O4475" s="1" t="s">
        <v>562</v>
      </c>
      <c r="P4475">
        <v>73359.77</v>
      </c>
      <c r="Q4475">
        <v>13571.57</v>
      </c>
      <c r="R4475">
        <v>0</v>
      </c>
      <c r="S4475" s="1" t="s">
        <v>913</v>
      </c>
      <c r="T4475" s="1"/>
      <c r="U4475">
        <v>67548</v>
      </c>
      <c r="V4475">
        <v>0</v>
      </c>
      <c r="W4475">
        <v>56774</v>
      </c>
    </row>
    <row r="4476" spans="1:23" x14ac:dyDescent="0.25">
      <c r="A4476" s="1" t="s">
        <v>40</v>
      </c>
      <c r="B4476" s="1" t="s">
        <v>89</v>
      </c>
      <c r="C4476" s="1" t="s">
        <v>216</v>
      </c>
      <c r="D4476">
        <v>5265</v>
      </c>
      <c r="E4476" s="1"/>
      <c r="F4476" s="1" t="s">
        <v>216</v>
      </c>
      <c r="G4476">
        <v>2013</v>
      </c>
      <c r="H4476">
        <v>58975.25</v>
      </c>
      <c r="I4476">
        <v>12</v>
      </c>
      <c r="J4476" s="1" t="s">
        <v>469</v>
      </c>
      <c r="K4476">
        <v>0</v>
      </c>
      <c r="L4476">
        <v>585</v>
      </c>
      <c r="M4476">
        <v>100.795163</v>
      </c>
      <c r="N4476">
        <v>1</v>
      </c>
      <c r="O4476" s="1" t="s">
        <v>563</v>
      </c>
      <c r="P4476">
        <v>63904.76</v>
      </c>
      <c r="Q4476">
        <v>338.84</v>
      </c>
      <c r="R4476">
        <v>1</v>
      </c>
      <c r="S4476" s="1" t="s">
        <v>913</v>
      </c>
      <c r="T4476" s="1"/>
      <c r="U4476">
        <v>1690.32</v>
      </c>
      <c r="V4476">
        <v>0</v>
      </c>
      <c r="W4476">
        <v>56999</v>
      </c>
    </row>
    <row r="4477" spans="1:23" x14ac:dyDescent="0.25">
      <c r="A4477" s="1" t="s">
        <v>40</v>
      </c>
      <c r="B4477" s="1" t="s">
        <v>89</v>
      </c>
      <c r="C4477" s="1" t="s">
        <v>216</v>
      </c>
      <c r="D4477">
        <v>5265</v>
      </c>
      <c r="E4477" s="1"/>
      <c r="F4477" s="1" t="s">
        <v>216</v>
      </c>
      <c r="G4477">
        <v>2012</v>
      </c>
      <c r="H4477">
        <v>40778</v>
      </c>
      <c r="I4477">
        <v>12</v>
      </c>
      <c r="J4477" s="1" t="s">
        <v>469</v>
      </c>
      <c r="K4477">
        <v>0</v>
      </c>
      <c r="L4477">
        <v>585</v>
      </c>
      <c r="M4477">
        <v>69.694068999999999</v>
      </c>
      <c r="N4477">
        <v>1</v>
      </c>
      <c r="O4477" s="1" t="s">
        <v>562</v>
      </c>
      <c r="P4477">
        <v>42545.87</v>
      </c>
      <c r="Q4477">
        <v>7870.97</v>
      </c>
      <c r="R4477">
        <v>0</v>
      </c>
      <c r="S4477" s="1" t="s">
        <v>913</v>
      </c>
      <c r="T4477" s="1"/>
      <c r="U4477">
        <v>40778</v>
      </c>
      <c r="V4477">
        <v>0</v>
      </c>
      <c r="W4477">
        <v>56774</v>
      </c>
    </row>
    <row r="4478" spans="1:23" x14ac:dyDescent="0.25">
      <c r="A4478" s="1" t="s">
        <v>40</v>
      </c>
      <c r="B4478" s="1" t="s">
        <v>89</v>
      </c>
      <c r="C4478" s="1" t="s">
        <v>216</v>
      </c>
      <c r="D4478">
        <v>5265</v>
      </c>
      <c r="E4478" s="1"/>
      <c r="F4478" s="1" t="s">
        <v>216</v>
      </c>
      <c r="G4478">
        <v>2012</v>
      </c>
      <c r="H4478">
        <v>60333.19</v>
      </c>
      <c r="I4478">
        <v>12</v>
      </c>
      <c r="J4478" s="1" t="s">
        <v>469</v>
      </c>
      <c r="K4478">
        <v>0</v>
      </c>
      <c r="L4478">
        <v>585</v>
      </c>
      <c r="M4478">
        <v>103.11603100000001</v>
      </c>
      <c r="N4478">
        <v>1</v>
      </c>
      <c r="O4478" s="1" t="s">
        <v>563</v>
      </c>
      <c r="P4478">
        <v>65481.72</v>
      </c>
      <c r="Q4478">
        <v>347.2</v>
      </c>
      <c r="R4478">
        <v>1</v>
      </c>
      <c r="S4478" s="1" t="s">
        <v>913</v>
      </c>
      <c r="T4478" s="1"/>
      <c r="U4478">
        <v>1729.24</v>
      </c>
      <c r="V4478">
        <v>0</v>
      </c>
      <c r="W4478">
        <v>56999</v>
      </c>
    </row>
    <row r="4479" spans="1:23" x14ac:dyDescent="0.25">
      <c r="A4479" s="1" t="s">
        <v>40</v>
      </c>
      <c r="B4479" s="1" t="s">
        <v>89</v>
      </c>
      <c r="C4479" s="1" t="s">
        <v>216</v>
      </c>
      <c r="D4479">
        <v>5265</v>
      </c>
      <c r="E4479" s="1"/>
      <c r="F4479" s="1" t="s">
        <v>216</v>
      </c>
      <c r="G4479">
        <v>2011</v>
      </c>
      <c r="H4479">
        <v>42173</v>
      </c>
      <c r="I4479">
        <v>12</v>
      </c>
      <c r="J4479" s="1" t="s">
        <v>469</v>
      </c>
      <c r="K4479">
        <v>0</v>
      </c>
      <c r="L4479">
        <v>585</v>
      </c>
      <c r="M4479">
        <v>72.078277</v>
      </c>
      <c r="N4479">
        <v>1</v>
      </c>
      <c r="O4479" s="1" t="s">
        <v>562</v>
      </c>
      <c r="P4479">
        <v>46045.71</v>
      </c>
      <c r="Q4479">
        <v>8518.4599999999991</v>
      </c>
      <c r="R4479">
        <v>0</v>
      </c>
      <c r="S4479" s="1" t="s">
        <v>913</v>
      </c>
      <c r="T4479" s="1"/>
      <c r="U4479">
        <v>42173</v>
      </c>
      <c r="V4479">
        <v>0</v>
      </c>
      <c r="W4479">
        <v>56774</v>
      </c>
    </row>
    <row r="4480" spans="1:23" x14ac:dyDescent="0.25">
      <c r="A4480" s="1" t="s">
        <v>40</v>
      </c>
      <c r="B4480" s="1" t="s">
        <v>89</v>
      </c>
      <c r="C4480" s="1" t="s">
        <v>216</v>
      </c>
      <c r="D4480">
        <v>5265</v>
      </c>
      <c r="E4480" s="1"/>
      <c r="F4480" s="1" t="s">
        <v>216</v>
      </c>
      <c r="G4480">
        <v>2011</v>
      </c>
      <c r="H4480">
        <v>48256.37</v>
      </c>
      <c r="I4480">
        <v>12</v>
      </c>
      <c r="J4480" s="1" t="s">
        <v>469</v>
      </c>
      <c r="K4480">
        <v>0</v>
      </c>
      <c r="L4480">
        <v>585</v>
      </c>
      <c r="M4480">
        <v>82.475423000000006</v>
      </c>
      <c r="N4480">
        <v>1</v>
      </c>
      <c r="O4480" s="1" t="s">
        <v>563</v>
      </c>
      <c r="P4480">
        <v>53630.26</v>
      </c>
      <c r="Q4480">
        <v>284.36</v>
      </c>
      <c r="R4480">
        <v>1</v>
      </c>
      <c r="S4480" s="1" t="s">
        <v>913</v>
      </c>
      <c r="T4480" s="1"/>
      <c r="U4480">
        <v>1383.1</v>
      </c>
      <c r="V4480">
        <v>0</v>
      </c>
      <c r="W4480">
        <v>56999</v>
      </c>
    </row>
    <row r="4481" spans="1:23" x14ac:dyDescent="0.25">
      <c r="A4481" s="1" t="s">
        <v>40</v>
      </c>
      <c r="B4481" s="1" t="s">
        <v>89</v>
      </c>
      <c r="C4481" s="1" t="s">
        <v>216</v>
      </c>
      <c r="D4481">
        <v>5265</v>
      </c>
      <c r="E4481" s="1"/>
      <c r="F4481" s="1" t="s">
        <v>216</v>
      </c>
      <c r="G4481">
        <v>2010</v>
      </c>
      <c r="H4481">
        <v>54034</v>
      </c>
      <c r="I4481">
        <v>12</v>
      </c>
      <c r="J4481" s="1" t="s">
        <v>469</v>
      </c>
      <c r="K4481">
        <v>0</v>
      </c>
      <c r="L4481">
        <v>585</v>
      </c>
      <c r="M4481">
        <v>92.350025000000002</v>
      </c>
      <c r="N4481">
        <v>1</v>
      </c>
      <c r="O4481" s="1" t="s">
        <v>562</v>
      </c>
      <c r="P4481">
        <v>49089.9</v>
      </c>
      <c r="Q4481">
        <v>9081.64</v>
      </c>
      <c r="R4481">
        <v>0</v>
      </c>
      <c r="S4481" s="1" t="s">
        <v>913</v>
      </c>
      <c r="T4481" s="1"/>
      <c r="U4481">
        <v>54034</v>
      </c>
      <c r="V4481">
        <v>0</v>
      </c>
      <c r="W4481">
        <v>56774</v>
      </c>
    </row>
    <row r="4482" spans="1:23" x14ac:dyDescent="0.25">
      <c r="A4482" s="1" t="s">
        <v>40</v>
      </c>
      <c r="B4482" s="1" t="s">
        <v>89</v>
      </c>
      <c r="C4482" s="1" t="s">
        <v>216</v>
      </c>
      <c r="D4482">
        <v>5265</v>
      </c>
      <c r="E4482" s="1"/>
      <c r="F4482" s="1" t="s">
        <v>216</v>
      </c>
      <c r="G4482">
        <v>2010</v>
      </c>
      <c r="H4482">
        <v>66436.12</v>
      </c>
      <c r="I4482">
        <v>12</v>
      </c>
      <c r="J4482" s="1" t="s">
        <v>469</v>
      </c>
      <c r="K4482">
        <v>0</v>
      </c>
      <c r="L4482">
        <v>585</v>
      </c>
      <c r="M4482">
        <v>113.54660699999999</v>
      </c>
      <c r="N4482">
        <v>1</v>
      </c>
      <c r="O4482" s="1" t="s">
        <v>563</v>
      </c>
      <c r="P4482">
        <v>60684.38</v>
      </c>
      <c r="Q4482">
        <v>321.77999999999997</v>
      </c>
      <c r="R4482">
        <v>1</v>
      </c>
      <c r="S4482" s="1" t="s">
        <v>913</v>
      </c>
      <c r="T4482" s="1"/>
      <c r="U4482">
        <v>1904.16</v>
      </c>
      <c r="V4482">
        <v>0</v>
      </c>
      <c r="W4482">
        <v>56999</v>
      </c>
    </row>
    <row r="4483" spans="1:23" x14ac:dyDescent="0.25">
      <c r="A4483" s="1" t="s">
        <v>40</v>
      </c>
      <c r="B4483" s="1" t="s">
        <v>89</v>
      </c>
      <c r="C4483" s="1" t="s">
        <v>216</v>
      </c>
      <c r="D4483">
        <v>5265</v>
      </c>
      <c r="E4483" s="1"/>
      <c r="F4483" s="1" t="s">
        <v>216</v>
      </c>
      <c r="G4483">
        <v>2009</v>
      </c>
      <c r="H4483">
        <v>42403</v>
      </c>
      <c r="I4483">
        <v>12</v>
      </c>
      <c r="J4483" s="1" t="s">
        <v>469</v>
      </c>
      <c r="K4483">
        <v>0</v>
      </c>
      <c r="L4483">
        <v>585</v>
      </c>
      <c r="M4483">
        <v>72.471372000000002</v>
      </c>
      <c r="N4483">
        <v>1</v>
      </c>
      <c r="O4483" s="1" t="s">
        <v>562</v>
      </c>
      <c r="P4483">
        <v>45160.45</v>
      </c>
      <c r="Q4483">
        <v>8354.68</v>
      </c>
      <c r="R4483">
        <v>0</v>
      </c>
      <c r="S4483" s="1" t="s">
        <v>913</v>
      </c>
      <c r="T4483" s="1"/>
      <c r="U4483">
        <v>42402.9997</v>
      </c>
      <c r="V4483">
        <v>0</v>
      </c>
      <c r="W4483">
        <v>56774</v>
      </c>
    </row>
    <row r="4484" spans="1:23" x14ac:dyDescent="0.25">
      <c r="A4484" s="1" t="s">
        <v>40</v>
      </c>
      <c r="B4484" s="1" t="s">
        <v>89</v>
      </c>
      <c r="C4484" s="1" t="s">
        <v>216</v>
      </c>
      <c r="D4484">
        <v>5265</v>
      </c>
      <c r="E4484" s="1"/>
      <c r="F4484" s="1" t="s">
        <v>216</v>
      </c>
      <c r="G4484">
        <v>2009</v>
      </c>
      <c r="H4484">
        <v>48736.800000000003</v>
      </c>
      <c r="I4484">
        <v>12</v>
      </c>
      <c r="J4484" s="1" t="s">
        <v>469</v>
      </c>
      <c r="K4484">
        <v>0</v>
      </c>
      <c r="L4484">
        <v>585</v>
      </c>
      <c r="M4484">
        <v>83.296530000000004</v>
      </c>
      <c r="N4484">
        <v>1</v>
      </c>
      <c r="O4484" s="1" t="s">
        <v>563</v>
      </c>
      <c r="P4484">
        <v>54917.46</v>
      </c>
      <c r="Q4484">
        <v>291.18</v>
      </c>
      <c r="R4484">
        <v>1</v>
      </c>
      <c r="S4484" s="1" t="s">
        <v>913</v>
      </c>
      <c r="T4484" s="1"/>
      <c r="U4484">
        <v>1396.87</v>
      </c>
      <c r="V4484">
        <v>0</v>
      </c>
      <c r="W4484">
        <v>56999</v>
      </c>
    </row>
    <row r="4485" spans="1:23" x14ac:dyDescent="0.25">
      <c r="A4485" s="1" t="s">
        <v>40</v>
      </c>
      <c r="B4485" s="1" t="s">
        <v>89</v>
      </c>
      <c r="C4485" s="1" t="s">
        <v>216</v>
      </c>
      <c r="D4485">
        <v>5265</v>
      </c>
      <c r="E4485" s="1"/>
      <c r="F4485" s="1" t="s">
        <v>216</v>
      </c>
      <c r="G4485">
        <v>2008</v>
      </c>
      <c r="H4485">
        <v>44570</v>
      </c>
      <c r="I4485">
        <v>12</v>
      </c>
      <c r="J4485" s="1" t="s">
        <v>469</v>
      </c>
      <c r="K4485">
        <v>0</v>
      </c>
      <c r="L4485">
        <v>585</v>
      </c>
      <c r="M4485">
        <v>76.175011999999995</v>
      </c>
      <c r="N4485">
        <v>1</v>
      </c>
      <c r="O4485" s="1" t="s">
        <v>562</v>
      </c>
      <c r="P4485">
        <v>50740.19</v>
      </c>
      <c r="Q4485">
        <v>9386.9500000000007</v>
      </c>
      <c r="R4485">
        <v>0</v>
      </c>
      <c r="S4485" s="1" t="s">
        <v>913</v>
      </c>
      <c r="T4485" s="1"/>
      <c r="U4485">
        <v>44570</v>
      </c>
      <c r="V4485">
        <v>0</v>
      </c>
      <c r="W4485">
        <v>56774</v>
      </c>
    </row>
    <row r="4486" spans="1:23" x14ac:dyDescent="0.25">
      <c r="A4486" s="1" t="s">
        <v>40</v>
      </c>
      <c r="B4486" s="1" t="s">
        <v>89</v>
      </c>
      <c r="C4486" s="1" t="s">
        <v>216</v>
      </c>
      <c r="D4486">
        <v>5265</v>
      </c>
      <c r="E4486" s="1"/>
      <c r="F4486" s="1" t="s">
        <v>216</v>
      </c>
      <c r="G4486">
        <v>2008</v>
      </c>
      <c r="H4486">
        <v>43034.720000000001</v>
      </c>
      <c r="I4486">
        <v>12</v>
      </c>
      <c r="J4486" s="1" t="s">
        <v>469</v>
      </c>
      <c r="K4486">
        <v>0</v>
      </c>
      <c r="L4486">
        <v>585</v>
      </c>
      <c r="M4486">
        <v>73.551051000000001</v>
      </c>
      <c r="N4486">
        <v>1</v>
      </c>
      <c r="O4486" s="1" t="s">
        <v>563</v>
      </c>
      <c r="P4486">
        <v>47986.92</v>
      </c>
      <c r="Q4486">
        <v>254.43</v>
      </c>
      <c r="R4486">
        <v>1</v>
      </c>
      <c r="S4486" s="1" t="s">
        <v>913</v>
      </c>
      <c r="T4486" s="1"/>
      <c r="U4486">
        <v>1233.44</v>
      </c>
      <c r="V4486">
        <v>0</v>
      </c>
      <c r="W4486">
        <v>56999</v>
      </c>
    </row>
    <row r="4487" spans="1:23" x14ac:dyDescent="0.25">
      <c r="A4487" s="1" t="s">
        <v>40</v>
      </c>
      <c r="B4487" s="1" t="s">
        <v>90</v>
      </c>
      <c r="C4487" s="1" t="s">
        <v>217</v>
      </c>
      <c r="D4487">
        <v>5266</v>
      </c>
      <c r="E4487" s="1"/>
      <c r="F4487" s="1" t="s">
        <v>217</v>
      </c>
      <c r="G4487">
        <v>2015</v>
      </c>
      <c r="H4487">
        <v>42226</v>
      </c>
      <c r="I4487">
        <v>5</v>
      </c>
      <c r="J4487" s="1" t="s">
        <v>469</v>
      </c>
      <c r="K4487">
        <v>0</v>
      </c>
      <c r="L4487">
        <v>585</v>
      </c>
      <c r="M4487">
        <v>72.168859999999995</v>
      </c>
      <c r="N4487">
        <v>1</v>
      </c>
      <c r="O4487" s="1" t="s">
        <v>562</v>
      </c>
      <c r="P4487">
        <v>47380.800000000003</v>
      </c>
      <c r="Q4487">
        <v>8765448</v>
      </c>
      <c r="R4487">
        <v>0</v>
      </c>
      <c r="S4487" s="1" t="s">
        <v>914</v>
      </c>
      <c r="T4487" s="1"/>
      <c r="U4487">
        <v>42226</v>
      </c>
      <c r="V4487">
        <v>0</v>
      </c>
      <c r="W4487">
        <v>56780</v>
      </c>
    </row>
    <row r="4488" spans="1:23" x14ac:dyDescent="0.25">
      <c r="A4488" s="1" t="s">
        <v>40</v>
      </c>
      <c r="B4488" s="1" t="s">
        <v>90</v>
      </c>
      <c r="C4488" s="1" t="s">
        <v>217</v>
      </c>
      <c r="D4488">
        <v>5266</v>
      </c>
      <c r="E4488" s="1"/>
      <c r="F4488" s="1" t="s">
        <v>217</v>
      </c>
      <c r="G4488">
        <v>2015</v>
      </c>
      <c r="H4488">
        <v>30548.28</v>
      </c>
      <c r="I4488">
        <v>5</v>
      </c>
      <c r="J4488" s="1" t="s">
        <v>469</v>
      </c>
      <c r="K4488">
        <v>0</v>
      </c>
      <c r="L4488">
        <v>585</v>
      </c>
      <c r="M4488">
        <v>52.210357000000002</v>
      </c>
      <c r="N4488">
        <v>1</v>
      </c>
      <c r="O4488" s="1" t="s">
        <v>563</v>
      </c>
      <c r="P4488">
        <v>34099.93</v>
      </c>
      <c r="Q4488">
        <v>180810.75</v>
      </c>
      <c r="R4488">
        <v>1</v>
      </c>
      <c r="S4488" s="1" t="s">
        <v>914</v>
      </c>
      <c r="T4488" s="1"/>
      <c r="U4488">
        <v>875.56</v>
      </c>
      <c r="V4488">
        <v>0</v>
      </c>
      <c r="W4488">
        <v>57000</v>
      </c>
    </row>
    <row r="4489" spans="1:23" x14ac:dyDescent="0.25">
      <c r="A4489" s="1" t="s">
        <v>40</v>
      </c>
      <c r="B4489" s="1" t="s">
        <v>90</v>
      </c>
      <c r="C4489" s="1" t="s">
        <v>217</v>
      </c>
      <c r="D4489">
        <v>5266</v>
      </c>
      <c r="E4489" s="1"/>
      <c r="F4489" s="1" t="s">
        <v>217</v>
      </c>
      <c r="G4489">
        <v>2014</v>
      </c>
      <c r="H4489">
        <v>51188</v>
      </c>
      <c r="I4489">
        <v>12</v>
      </c>
      <c r="J4489" s="1" t="s">
        <v>469</v>
      </c>
      <c r="K4489">
        <v>0</v>
      </c>
      <c r="L4489">
        <v>585</v>
      </c>
      <c r="M4489">
        <v>87.485899000000003</v>
      </c>
      <c r="N4489">
        <v>1</v>
      </c>
      <c r="O4489" s="1" t="s">
        <v>562</v>
      </c>
      <c r="P4489">
        <v>60807.37</v>
      </c>
      <c r="Q4489">
        <v>5483179.7999999998</v>
      </c>
      <c r="R4489">
        <v>0</v>
      </c>
      <c r="S4489" s="1" t="s">
        <v>914</v>
      </c>
      <c r="T4489" s="1"/>
      <c r="U4489">
        <v>51188</v>
      </c>
      <c r="V4489">
        <v>0</v>
      </c>
      <c r="W4489">
        <v>56780</v>
      </c>
    </row>
    <row r="4490" spans="1:23" x14ac:dyDescent="0.25">
      <c r="A4490" s="1" t="s">
        <v>40</v>
      </c>
      <c r="B4490" s="1" t="s">
        <v>90</v>
      </c>
      <c r="C4490" s="1" t="s">
        <v>217</v>
      </c>
      <c r="D4490">
        <v>5266</v>
      </c>
      <c r="E4490" s="1"/>
      <c r="F4490" s="1" t="s">
        <v>217</v>
      </c>
      <c r="G4490">
        <v>2014</v>
      </c>
      <c r="H4490">
        <v>41208.559999999998</v>
      </c>
      <c r="I4490">
        <v>12</v>
      </c>
      <c r="J4490" s="1" t="s">
        <v>469</v>
      </c>
      <c r="K4490">
        <v>0</v>
      </c>
      <c r="L4490">
        <v>585</v>
      </c>
      <c r="M4490">
        <v>70.429942999999994</v>
      </c>
      <c r="N4490">
        <v>1</v>
      </c>
      <c r="O4490" s="1" t="s">
        <v>563</v>
      </c>
      <c r="P4490">
        <v>48643.99</v>
      </c>
      <c r="Q4490">
        <v>130009.13</v>
      </c>
      <c r="R4490">
        <v>1</v>
      </c>
      <c r="S4490" s="1" t="s">
        <v>914</v>
      </c>
      <c r="T4490" s="1"/>
      <c r="U4490">
        <v>1181.0999999999999</v>
      </c>
      <c r="V4490">
        <v>0</v>
      </c>
      <c r="W4490">
        <v>57000</v>
      </c>
    </row>
    <row r="4491" spans="1:23" x14ac:dyDescent="0.25">
      <c r="A4491" s="1" t="s">
        <v>40</v>
      </c>
      <c r="B4491" s="1" t="s">
        <v>90</v>
      </c>
      <c r="C4491" s="1" t="s">
        <v>217</v>
      </c>
      <c r="D4491">
        <v>5266</v>
      </c>
      <c r="E4491" s="1"/>
      <c r="F4491" s="1" t="s">
        <v>217</v>
      </c>
      <c r="G4491">
        <v>2013</v>
      </c>
      <c r="H4491">
        <v>44258.5</v>
      </c>
      <c r="I4491">
        <v>12</v>
      </c>
      <c r="J4491" s="1" t="s">
        <v>469</v>
      </c>
      <c r="K4491">
        <v>0</v>
      </c>
      <c r="L4491">
        <v>585</v>
      </c>
      <c r="M4491">
        <v>75.642624999999995</v>
      </c>
      <c r="N4491">
        <v>1</v>
      </c>
      <c r="O4491" s="1" t="s">
        <v>562</v>
      </c>
      <c r="P4491">
        <v>46306.3</v>
      </c>
      <c r="Q4491">
        <v>8566.67</v>
      </c>
      <c r="R4491">
        <v>0</v>
      </c>
      <c r="S4491" s="1" t="s">
        <v>914</v>
      </c>
      <c r="T4491" s="1"/>
      <c r="U4491">
        <v>44258.5</v>
      </c>
      <c r="V4491">
        <v>0</v>
      </c>
      <c r="W4491">
        <v>56780</v>
      </c>
    </row>
    <row r="4492" spans="1:23" x14ac:dyDescent="0.25">
      <c r="A4492" s="1" t="s">
        <v>40</v>
      </c>
      <c r="B4492" s="1" t="s">
        <v>90</v>
      </c>
      <c r="C4492" s="1" t="s">
        <v>217</v>
      </c>
      <c r="D4492">
        <v>5266</v>
      </c>
      <c r="E4492" s="1"/>
      <c r="F4492" s="1" t="s">
        <v>217</v>
      </c>
      <c r="G4492">
        <v>2013</v>
      </c>
      <c r="H4492">
        <v>59782.27</v>
      </c>
      <c r="I4492">
        <v>12</v>
      </c>
      <c r="J4492" s="1" t="s">
        <v>469</v>
      </c>
      <c r="K4492">
        <v>0</v>
      </c>
      <c r="L4492">
        <v>585</v>
      </c>
      <c r="M4492">
        <v>102.174448</v>
      </c>
      <c r="N4492">
        <v>1</v>
      </c>
      <c r="O4492" s="1" t="s">
        <v>563</v>
      </c>
      <c r="P4492">
        <v>66918.259999999995</v>
      </c>
      <c r="Q4492">
        <v>354.81</v>
      </c>
      <c r="R4492">
        <v>1</v>
      </c>
      <c r="S4492" s="1" t="s">
        <v>914</v>
      </c>
      <c r="T4492" s="1"/>
      <c r="U4492">
        <v>1713.45</v>
      </c>
      <c r="V4492">
        <v>0</v>
      </c>
      <c r="W4492">
        <v>57000</v>
      </c>
    </row>
    <row r="4493" spans="1:23" x14ac:dyDescent="0.25">
      <c r="A4493" s="1" t="s">
        <v>40</v>
      </c>
      <c r="B4493" s="1" t="s">
        <v>90</v>
      </c>
      <c r="C4493" s="1" t="s">
        <v>217</v>
      </c>
      <c r="D4493">
        <v>5266</v>
      </c>
      <c r="E4493" s="1"/>
      <c r="F4493" s="1" t="s">
        <v>217</v>
      </c>
      <c r="G4493">
        <v>2012</v>
      </c>
      <c r="H4493">
        <v>52224.5</v>
      </c>
      <c r="I4493">
        <v>12</v>
      </c>
      <c r="J4493" s="1" t="s">
        <v>469</v>
      </c>
      <c r="K4493">
        <v>0</v>
      </c>
      <c r="L4493">
        <v>585</v>
      </c>
      <c r="M4493">
        <v>89.257390999999998</v>
      </c>
      <c r="N4493">
        <v>1</v>
      </c>
      <c r="O4493" s="1" t="s">
        <v>562</v>
      </c>
      <c r="P4493">
        <v>55096.639999999999</v>
      </c>
      <c r="Q4493">
        <v>10192.870000000001</v>
      </c>
      <c r="R4493">
        <v>0</v>
      </c>
      <c r="S4493" s="1" t="s">
        <v>914</v>
      </c>
      <c r="T4493" s="1"/>
      <c r="U4493">
        <v>52224.5</v>
      </c>
      <c r="V4493">
        <v>0</v>
      </c>
      <c r="W4493">
        <v>56780</v>
      </c>
    </row>
    <row r="4494" spans="1:23" x14ac:dyDescent="0.25">
      <c r="A4494" s="1" t="s">
        <v>40</v>
      </c>
      <c r="B4494" s="1" t="s">
        <v>90</v>
      </c>
      <c r="C4494" s="1" t="s">
        <v>217</v>
      </c>
      <c r="D4494">
        <v>5266</v>
      </c>
      <c r="E4494" s="1"/>
      <c r="F4494" s="1" t="s">
        <v>217</v>
      </c>
      <c r="G4494">
        <v>2012</v>
      </c>
      <c r="H4494">
        <v>60150.36</v>
      </c>
      <c r="I4494">
        <v>12</v>
      </c>
      <c r="J4494" s="1" t="s">
        <v>469</v>
      </c>
      <c r="K4494">
        <v>0</v>
      </c>
      <c r="L4494">
        <v>585</v>
      </c>
      <c r="M4494">
        <v>102.80355400000001</v>
      </c>
      <c r="N4494">
        <v>1</v>
      </c>
      <c r="O4494" s="1" t="s">
        <v>563</v>
      </c>
      <c r="P4494">
        <v>59401.88</v>
      </c>
      <c r="Q4494">
        <v>314.97000000000003</v>
      </c>
      <c r="R4494">
        <v>1</v>
      </c>
      <c r="S4494" s="1" t="s">
        <v>914</v>
      </c>
      <c r="T4494" s="1"/>
      <c r="U4494">
        <v>1724</v>
      </c>
      <c r="V4494">
        <v>0</v>
      </c>
      <c r="W4494">
        <v>57000</v>
      </c>
    </row>
    <row r="4495" spans="1:23" x14ac:dyDescent="0.25">
      <c r="A4495" s="1" t="s">
        <v>40</v>
      </c>
      <c r="B4495" s="1" t="s">
        <v>90</v>
      </c>
      <c r="C4495" s="1" t="s">
        <v>217</v>
      </c>
      <c r="D4495">
        <v>5266</v>
      </c>
      <c r="E4495" s="1"/>
      <c r="F4495" s="1" t="s">
        <v>217</v>
      </c>
      <c r="G4495">
        <v>2011</v>
      </c>
      <c r="H4495">
        <v>57174</v>
      </c>
      <c r="I4495">
        <v>12</v>
      </c>
      <c r="J4495" s="1" t="s">
        <v>469</v>
      </c>
      <c r="K4495">
        <v>0</v>
      </c>
      <c r="L4495">
        <v>585</v>
      </c>
      <c r="M4495">
        <v>97.716628999999998</v>
      </c>
      <c r="N4495">
        <v>1</v>
      </c>
      <c r="O4495" s="1" t="s">
        <v>562</v>
      </c>
      <c r="P4495">
        <v>62614.68</v>
      </c>
      <c r="Q4495">
        <v>11583.7</v>
      </c>
      <c r="R4495">
        <v>0</v>
      </c>
      <c r="S4495" s="1" t="s">
        <v>914</v>
      </c>
      <c r="T4495" s="1"/>
      <c r="U4495">
        <v>57174</v>
      </c>
      <c r="V4495">
        <v>0</v>
      </c>
      <c r="W4495">
        <v>56780</v>
      </c>
    </row>
    <row r="4496" spans="1:23" x14ac:dyDescent="0.25">
      <c r="A4496" s="1" t="s">
        <v>40</v>
      </c>
      <c r="B4496" s="1" t="s">
        <v>90</v>
      </c>
      <c r="C4496" s="1" t="s">
        <v>217</v>
      </c>
      <c r="D4496">
        <v>5266</v>
      </c>
      <c r="E4496" s="1"/>
      <c r="F4496" s="1" t="s">
        <v>217</v>
      </c>
      <c r="G4496">
        <v>2011</v>
      </c>
      <c r="H4496">
        <v>47577.05</v>
      </c>
      <c r="I4496">
        <v>12</v>
      </c>
      <c r="J4496" s="1" t="s">
        <v>469</v>
      </c>
      <c r="K4496">
        <v>0</v>
      </c>
      <c r="L4496">
        <v>585</v>
      </c>
      <c r="M4496">
        <v>81.314390000000003</v>
      </c>
      <c r="N4496">
        <v>1</v>
      </c>
      <c r="O4496" s="1" t="s">
        <v>563</v>
      </c>
      <c r="P4496">
        <v>52490.44</v>
      </c>
      <c r="Q4496">
        <v>278.33</v>
      </c>
      <c r="R4496">
        <v>1</v>
      </c>
      <c r="S4496" s="1" t="s">
        <v>914</v>
      </c>
      <c r="T4496" s="1"/>
      <c r="U4496">
        <v>1363.63</v>
      </c>
      <c r="V4496">
        <v>0</v>
      </c>
      <c r="W4496">
        <v>57000</v>
      </c>
    </row>
    <row r="4497" spans="1:23" x14ac:dyDescent="0.25">
      <c r="A4497" s="1" t="s">
        <v>40</v>
      </c>
      <c r="B4497" s="1" t="s">
        <v>90</v>
      </c>
      <c r="C4497" s="1" t="s">
        <v>217</v>
      </c>
      <c r="D4497">
        <v>5266</v>
      </c>
      <c r="E4497" s="1"/>
      <c r="F4497" s="1" t="s">
        <v>217</v>
      </c>
      <c r="G4497">
        <v>2010</v>
      </c>
      <c r="H4497">
        <v>59492</v>
      </c>
      <c r="I4497">
        <v>12</v>
      </c>
      <c r="J4497" s="1" t="s">
        <v>469</v>
      </c>
      <c r="K4497">
        <v>0</v>
      </c>
      <c r="L4497">
        <v>585</v>
      </c>
      <c r="M4497">
        <v>101.67834499999999</v>
      </c>
      <c r="N4497">
        <v>1</v>
      </c>
      <c r="O4497" s="1" t="s">
        <v>562</v>
      </c>
      <c r="P4497">
        <v>54281.9</v>
      </c>
      <c r="Q4497">
        <v>10042.15</v>
      </c>
      <c r="R4497">
        <v>0</v>
      </c>
      <c r="S4497" s="1" t="s">
        <v>914</v>
      </c>
      <c r="T4497" s="1"/>
      <c r="U4497">
        <v>59492</v>
      </c>
      <c r="V4497">
        <v>0</v>
      </c>
      <c r="W4497">
        <v>56780</v>
      </c>
    </row>
    <row r="4498" spans="1:23" x14ac:dyDescent="0.25">
      <c r="A4498" s="1" t="s">
        <v>40</v>
      </c>
      <c r="B4498" s="1" t="s">
        <v>90</v>
      </c>
      <c r="C4498" s="1" t="s">
        <v>217</v>
      </c>
      <c r="D4498">
        <v>5266</v>
      </c>
      <c r="E4498" s="1"/>
      <c r="F4498" s="1" t="s">
        <v>217</v>
      </c>
      <c r="G4498">
        <v>2010</v>
      </c>
      <c r="H4498">
        <v>62093.72</v>
      </c>
      <c r="I4498">
        <v>12</v>
      </c>
      <c r="J4498" s="1" t="s">
        <v>469</v>
      </c>
      <c r="K4498">
        <v>0</v>
      </c>
      <c r="L4498">
        <v>585</v>
      </c>
      <c r="M4498">
        <v>106.12497</v>
      </c>
      <c r="N4498">
        <v>1</v>
      </c>
      <c r="O4498" s="1" t="s">
        <v>563</v>
      </c>
      <c r="P4498">
        <v>57026.48</v>
      </c>
      <c r="Q4498">
        <v>302.39</v>
      </c>
      <c r="R4498">
        <v>1</v>
      </c>
      <c r="S4498" s="1" t="s">
        <v>914</v>
      </c>
      <c r="T4498" s="1"/>
      <c r="U4498">
        <v>1779.7</v>
      </c>
      <c r="V4498">
        <v>0</v>
      </c>
      <c r="W4498">
        <v>57000</v>
      </c>
    </row>
    <row r="4499" spans="1:23" x14ac:dyDescent="0.25">
      <c r="A4499" s="1" t="s">
        <v>40</v>
      </c>
      <c r="B4499" s="1" t="s">
        <v>90</v>
      </c>
      <c r="C4499" s="1" t="s">
        <v>217</v>
      </c>
      <c r="D4499">
        <v>5266</v>
      </c>
      <c r="E4499" s="1"/>
      <c r="F4499" s="1" t="s">
        <v>217</v>
      </c>
      <c r="G4499">
        <v>2009</v>
      </c>
      <c r="H4499">
        <v>42831</v>
      </c>
      <c r="I4499">
        <v>12</v>
      </c>
      <c r="J4499" s="1" t="s">
        <v>469</v>
      </c>
      <c r="K4499">
        <v>0</v>
      </c>
      <c r="L4499">
        <v>585</v>
      </c>
      <c r="M4499">
        <v>73.202871000000002</v>
      </c>
      <c r="N4499">
        <v>1</v>
      </c>
      <c r="O4499" s="1" t="s">
        <v>562</v>
      </c>
      <c r="P4499">
        <v>45465.86</v>
      </c>
      <c r="Q4499">
        <v>8411.18</v>
      </c>
      <c r="R4499">
        <v>0</v>
      </c>
      <c r="S4499" s="1" t="s">
        <v>914</v>
      </c>
      <c r="T4499" s="1"/>
      <c r="U4499">
        <v>42831</v>
      </c>
      <c r="V4499">
        <v>0</v>
      </c>
      <c r="W4499">
        <v>56780</v>
      </c>
    </row>
    <row r="4500" spans="1:23" x14ac:dyDescent="0.25">
      <c r="A4500" s="1" t="s">
        <v>40</v>
      </c>
      <c r="B4500" s="1" t="s">
        <v>90</v>
      </c>
      <c r="C4500" s="1" t="s">
        <v>217</v>
      </c>
      <c r="D4500">
        <v>5266</v>
      </c>
      <c r="E4500" s="1"/>
      <c r="F4500" s="1" t="s">
        <v>217</v>
      </c>
      <c r="G4500">
        <v>2009</v>
      </c>
      <c r="H4500">
        <v>53438.22</v>
      </c>
      <c r="I4500">
        <v>12</v>
      </c>
      <c r="J4500" s="1" t="s">
        <v>469</v>
      </c>
      <c r="K4500">
        <v>0</v>
      </c>
      <c r="L4500">
        <v>585</v>
      </c>
      <c r="M4500">
        <v>91.331772000000001</v>
      </c>
      <c r="N4500">
        <v>1</v>
      </c>
      <c r="O4500" s="1" t="s">
        <v>563</v>
      </c>
      <c r="P4500">
        <v>56018.12</v>
      </c>
      <c r="Q4500">
        <v>297.04000000000002</v>
      </c>
      <c r="R4500">
        <v>1</v>
      </c>
      <c r="S4500" s="1" t="s">
        <v>914</v>
      </c>
      <c r="T4500" s="1"/>
      <c r="U4500">
        <v>1531.62</v>
      </c>
      <c r="V4500">
        <v>0</v>
      </c>
      <c r="W4500">
        <v>57000</v>
      </c>
    </row>
    <row r="4501" spans="1:23" x14ac:dyDescent="0.25">
      <c r="A4501" s="1" t="s">
        <v>40</v>
      </c>
      <c r="B4501" s="1" t="s">
        <v>90</v>
      </c>
      <c r="C4501" s="1" t="s">
        <v>217</v>
      </c>
      <c r="D4501">
        <v>5266</v>
      </c>
      <c r="E4501" s="1"/>
      <c r="F4501" s="1" t="s">
        <v>217</v>
      </c>
      <c r="G4501">
        <v>2008</v>
      </c>
      <c r="H4501">
        <v>41872</v>
      </c>
      <c r="I4501">
        <v>12</v>
      </c>
      <c r="J4501" s="1" t="s">
        <v>469</v>
      </c>
      <c r="K4501">
        <v>0</v>
      </c>
      <c r="L4501">
        <v>585</v>
      </c>
      <c r="M4501">
        <v>71.563834999999997</v>
      </c>
      <c r="N4501">
        <v>1</v>
      </c>
      <c r="O4501" s="1" t="s">
        <v>562</v>
      </c>
      <c r="P4501">
        <v>48240.98</v>
      </c>
      <c r="Q4501">
        <v>8924.59</v>
      </c>
      <c r="R4501">
        <v>0</v>
      </c>
      <c r="S4501" s="1" t="s">
        <v>914</v>
      </c>
      <c r="T4501" s="1"/>
      <c r="U4501">
        <v>41872</v>
      </c>
      <c r="V4501">
        <v>0</v>
      </c>
      <c r="W4501">
        <v>56780</v>
      </c>
    </row>
    <row r="4502" spans="1:23" x14ac:dyDescent="0.25">
      <c r="A4502" s="1" t="s">
        <v>40</v>
      </c>
      <c r="B4502" s="1" t="s">
        <v>90</v>
      </c>
      <c r="C4502" s="1" t="s">
        <v>217</v>
      </c>
      <c r="D4502">
        <v>5266</v>
      </c>
      <c r="E4502" s="1"/>
      <c r="F4502" s="1" t="s">
        <v>217</v>
      </c>
      <c r="G4502">
        <v>2008</v>
      </c>
      <c r="H4502">
        <v>133938.53</v>
      </c>
      <c r="I4502">
        <v>12</v>
      </c>
      <c r="J4502" s="1" t="s">
        <v>469</v>
      </c>
      <c r="K4502">
        <v>0</v>
      </c>
      <c r="L4502">
        <v>585</v>
      </c>
      <c r="M4502">
        <v>228.91562099999999</v>
      </c>
      <c r="N4502">
        <v>1</v>
      </c>
      <c r="O4502" s="1" t="s">
        <v>563</v>
      </c>
      <c r="P4502">
        <v>172127.07</v>
      </c>
      <c r="Q4502">
        <v>912.66</v>
      </c>
      <c r="R4502">
        <v>1</v>
      </c>
      <c r="S4502" s="1" t="s">
        <v>914</v>
      </c>
      <c r="T4502" s="1"/>
      <c r="U4502">
        <v>3838.88</v>
      </c>
      <c r="V4502">
        <v>0</v>
      </c>
      <c r="W4502">
        <v>57000</v>
      </c>
    </row>
    <row r="4503" spans="1:23" x14ac:dyDescent="0.25">
      <c r="A4503" s="1" t="s">
        <v>40</v>
      </c>
      <c r="B4503" s="1"/>
      <c r="C4503" s="1" t="s">
        <v>218</v>
      </c>
      <c r="D4503">
        <v>11035</v>
      </c>
      <c r="E4503" s="1"/>
      <c r="F4503" s="1" t="s">
        <v>353</v>
      </c>
      <c r="G4503">
        <v>2015</v>
      </c>
      <c r="H4503">
        <v>16242.87</v>
      </c>
      <c r="I4503">
        <v>5</v>
      </c>
      <c r="J4503" s="1" t="s">
        <v>459</v>
      </c>
      <c r="K4503">
        <v>0</v>
      </c>
      <c r="L4503">
        <v>225</v>
      </c>
      <c r="M4503">
        <v>72.158462</v>
      </c>
      <c r="N4503">
        <v>1</v>
      </c>
      <c r="O4503" s="1" t="s">
        <v>562</v>
      </c>
      <c r="P4503">
        <v>18518.310000000001</v>
      </c>
      <c r="Q4503">
        <v>1185.1600000000001</v>
      </c>
      <c r="R4503">
        <v>0</v>
      </c>
      <c r="S4503" s="1" t="s">
        <v>915</v>
      </c>
      <c r="T4503" s="1"/>
      <c r="U4503">
        <v>16242.87</v>
      </c>
      <c r="V4503">
        <v>0</v>
      </c>
      <c r="W4503">
        <v>79964</v>
      </c>
    </row>
    <row r="4504" spans="1:23" x14ac:dyDescent="0.25">
      <c r="A4504" s="1" t="s">
        <v>40</v>
      </c>
      <c r="B4504" s="1"/>
      <c r="C4504" s="1" t="s">
        <v>218</v>
      </c>
      <c r="D4504">
        <v>11035</v>
      </c>
      <c r="E4504" s="1"/>
      <c r="F4504" s="1" t="s">
        <v>353</v>
      </c>
      <c r="G4504">
        <v>2014</v>
      </c>
      <c r="H4504">
        <v>30148.01</v>
      </c>
      <c r="I4504">
        <v>12</v>
      </c>
      <c r="J4504" s="1" t="s">
        <v>459</v>
      </c>
      <c r="K4504">
        <v>0</v>
      </c>
      <c r="L4504">
        <v>225</v>
      </c>
      <c r="M4504">
        <v>133.93163000000001</v>
      </c>
      <c r="N4504">
        <v>1</v>
      </c>
      <c r="O4504" s="1" t="s">
        <v>562</v>
      </c>
      <c r="P4504">
        <v>36059.839999999997</v>
      </c>
      <c r="Q4504">
        <v>2307.84</v>
      </c>
      <c r="R4504">
        <v>0</v>
      </c>
      <c r="S4504" s="1" t="s">
        <v>915</v>
      </c>
      <c r="T4504" s="1"/>
      <c r="U4504">
        <v>30148</v>
      </c>
      <c r="V4504">
        <v>0</v>
      </c>
      <c r="W4504">
        <v>79964</v>
      </c>
    </row>
    <row r="4505" spans="1:23" x14ac:dyDescent="0.25">
      <c r="A4505" s="1" t="s">
        <v>40</v>
      </c>
      <c r="B4505" s="1"/>
      <c r="C4505" s="1" t="s">
        <v>218</v>
      </c>
      <c r="D4505">
        <v>11035</v>
      </c>
      <c r="E4505" s="1"/>
      <c r="F4505" s="1" t="s">
        <v>353</v>
      </c>
      <c r="G4505">
        <v>2013</v>
      </c>
      <c r="H4505">
        <v>33051.03</v>
      </c>
      <c r="I4505">
        <v>12</v>
      </c>
      <c r="J4505" s="1" t="s">
        <v>459</v>
      </c>
      <c r="K4505">
        <v>0</v>
      </c>
      <c r="L4505">
        <v>225</v>
      </c>
      <c r="M4505">
        <v>146.82820899999999</v>
      </c>
      <c r="N4505">
        <v>1</v>
      </c>
      <c r="O4505" s="1" t="s">
        <v>562</v>
      </c>
      <c r="P4505">
        <v>34546.65</v>
      </c>
      <c r="Q4505">
        <v>2210.98</v>
      </c>
      <c r="R4505">
        <v>0</v>
      </c>
      <c r="S4505" s="1" t="s">
        <v>915</v>
      </c>
      <c r="T4505" s="1"/>
      <c r="U4505">
        <v>33051.027999999998</v>
      </c>
      <c r="V4505">
        <v>0</v>
      </c>
      <c r="W4505">
        <v>79964</v>
      </c>
    </row>
    <row r="4506" spans="1:23" x14ac:dyDescent="0.25">
      <c r="A4506" s="1" t="s">
        <v>40</v>
      </c>
      <c r="B4506" s="1"/>
      <c r="C4506" s="1" t="s">
        <v>218</v>
      </c>
      <c r="D4506">
        <v>11035</v>
      </c>
      <c r="E4506" s="1"/>
      <c r="F4506" s="1" t="s">
        <v>353</v>
      </c>
      <c r="G4506">
        <v>2012</v>
      </c>
      <c r="H4506">
        <v>30715.26</v>
      </c>
      <c r="I4506">
        <v>13</v>
      </c>
      <c r="J4506" s="1" t="s">
        <v>459</v>
      </c>
      <c r="K4506">
        <v>0</v>
      </c>
      <c r="L4506">
        <v>225</v>
      </c>
      <c r="M4506">
        <v>136.45162099999999</v>
      </c>
      <c r="N4506">
        <v>1</v>
      </c>
      <c r="O4506" s="1" t="s">
        <v>562</v>
      </c>
      <c r="P4506">
        <v>32143.1</v>
      </c>
      <c r="Q4506">
        <v>5946.48</v>
      </c>
      <c r="R4506">
        <v>0</v>
      </c>
      <c r="S4506" s="1" t="s">
        <v>915</v>
      </c>
      <c r="T4506" s="1"/>
      <c r="U4506">
        <v>30715.265500000001</v>
      </c>
      <c r="V4506">
        <v>0</v>
      </c>
      <c r="W4506">
        <v>79964</v>
      </c>
    </row>
    <row r="4507" spans="1:23" x14ac:dyDescent="0.25">
      <c r="A4507" s="1" t="s">
        <v>40</v>
      </c>
      <c r="B4507" s="1"/>
      <c r="C4507" s="1" t="s">
        <v>218</v>
      </c>
      <c r="D4507">
        <v>11035</v>
      </c>
      <c r="E4507" s="1"/>
      <c r="F4507" s="1" t="s">
        <v>353</v>
      </c>
      <c r="G4507">
        <v>2011</v>
      </c>
      <c r="H4507">
        <v>31745.03</v>
      </c>
      <c r="I4507">
        <v>6</v>
      </c>
      <c r="J4507" s="1" t="s">
        <v>459</v>
      </c>
      <c r="K4507">
        <v>0</v>
      </c>
      <c r="L4507">
        <v>225</v>
      </c>
      <c r="M4507">
        <v>141.026343</v>
      </c>
      <c r="N4507">
        <v>1</v>
      </c>
      <c r="O4507" s="1" t="s">
        <v>562</v>
      </c>
      <c r="P4507">
        <v>35073.56</v>
      </c>
      <c r="Q4507">
        <v>6488.61</v>
      </c>
      <c r="R4507">
        <v>0</v>
      </c>
      <c r="S4507" s="1" t="s">
        <v>915</v>
      </c>
      <c r="T4507" s="1"/>
      <c r="U4507">
        <v>31745.03141</v>
      </c>
      <c r="V4507">
        <v>0</v>
      </c>
      <c r="W4507">
        <v>79964</v>
      </c>
    </row>
    <row r="4508" spans="1:23" x14ac:dyDescent="0.25">
      <c r="A4508" s="1" t="s">
        <v>40</v>
      </c>
      <c r="B4508" s="1"/>
      <c r="C4508" s="1" t="s">
        <v>218</v>
      </c>
      <c r="D4508">
        <v>11035</v>
      </c>
      <c r="E4508" s="1"/>
      <c r="F4508" s="1" t="s">
        <v>353</v>
      </c>
      <c r="G4508">
        <v>2010</v>
      </c>
      <c r="H4508">
        <v>32093.33</v>
      </c>
      <c r="I4508">
        <v>4</v>
      </c>
      <c r="J4508" s="1" t="s">
        <v>459</v>
      </c>
      <c r="K4508">
        <v>0</v>
      </c>
      <c r="L4508">
        <v>225</v>
      </c>
      <c r="M4508">
        <v>142.573656</v>
      </c>
      <c r="N4508">
        <v>1</v>
      </c>
      <c r="O4508" s="1" t="s">
        <v>562</v>
      </c>
      <c r="P4508">
        <v>37769.65</v>
      </c>
      <c r="Q4508">
        <v>6987.38</v>
      </c>
      <c r="R4508">
        <v>0</v>
      </c>
      <c r="S4508" s="1" t="s">
        <v>915</v>
      </c>
      <c r="T4508" s="1"/>
      <c r="U4508">
        <v>32093.345659999999</v>
      </c>
      <c r="V4508">
        <v>0</v>
      </c>
      <c r="W4508">
        <v>79964</v>
      </c>
    </row>
    <row r="4509" spans="1:23" x14ac:dyDescent="0.25">
      <c r="A4509" s="1" t="s">
        <v>40</v>
      </c>
      <c r="B4509" s="1"/>
      <c r="C4509" s="1" t="s">
        <v>218</v>
      </c>
      <c r="D4509">
        <v>11035</v>
      </c>
      <c r="E4509" s="1"/>
      <c r="F4509" s="1" t="s">
        <v>353</v>
      </c>
      <c r="G4509">
        <v>2009</v>
      </c>
      <c r="H4509">
        <v>35798.800000000003</v>
      </c>
      <c r="I4509">
        <v>2</v>
      </c>
      <c r="J4509" s="1" t="s">
        <v>459</v>
      </c>
      <c r="K4509">
        <v>0</v>
      </c>
      <c r="L4509">
        <v>225</v>
      </c>
      <c r="M4509">
        <v>159.03509500000001</v>
      </c>
      <c r="N4509">
        <v>1</v>
      </c>
      <c r="O4509" s="1" t="s">
        <v>562</v>
      </c>
      <c r="P4509">
        <v>49379.98</v>
      </c>
      <c r="Q4509">
        <v>9135.2900000000009</v>
      </c>
      <c r="R4509">
        <v>0</v>
      </c>
      <c r="S4509" s="1" t="s">
        <v>915</v>
      </c>
      <c r="T4509" s="1"/>
      <c r="U4509">
        <v>35798.796479999997</v>
      </c>
      <c r="V4509">
        <v>0</v>
      </c>
      <c r="W4509">
        <v>79964</v>
      </c>
    </row>
    <row r="4510" spans="1:23" x14ac:dyDescent="0.25">
      <c r="A4510" s="1" t="s">
        <v>40</v>
      </c>
      <c r="B4510" s="1"/>
      <c r="C4510" s="1" t="s">
        <v>218</v>
      </c>
      <c r="D4510">
        <v>11035</v>
      </c>
      <c r="E4510" s="1"/>
      <c r="F4510" s="1" t="s">
        <v>353</v>
      </c>
      <c r="G4510">
        <v>2008</v>
      </c>
      <c r="H4510">
        <v>8521.2000000000007</v>
      </c>
      <c r="I4510">
        <v>2</v>
      </c>
      <c r="J4510" s="1" t="s">
        <v>459</v>
      </c>
      <c r="K4510">
        <v>0</v>
      </c>
      <c r="L4510">
        <v>225</v>
      </c>
      <c r="M4510">
        <v>37.855175000000003</v>
      </c>
      <c r="N4510">
        <v>1</v>
      </c>
      <c r="O4510" s="1" t="s">
        <v>562</v>
      </c>
      <c r="P4510">
        <v>9050.94</v>
      </c>
      <c r="Q4510">
        <v>1674.42</v>
      </c>
      <c r="R4510">
        <v>0</v>
      </c>
      <c r="S4510" s="1" t="s">
        <v>915</v>
      </c>
      <c r="T4510" s="1"/>
      <c r="U4510">
        <v>8521.2000000000007</v>
      </c>
      <c r="V4510">
        <v>0</v>
      </c>
      <c r="W4510">
        <v>79964</v>
      </c>
    </row>
    <row r="4511" spans="1:23" x14ac:dyDescent="0.25">
      <c r="A4511" s="1" t="s">
        <v>40</v>
      </c>
      <c r="B4511" s="1" t="s">
        <v>92</v>
      </c>
      <c r="C4511" s="1" t="s">
        <v>220</v>
      </c>
      <c r="D4511">
        <v>13868</v>
      </c>
      <c r="E4511" s="1" t="s">
        <v>243</v>
      </c>
      <c r="F4511" s="1" t="s">
        <v>355</v>
      </c>
      <c r="G4511">
        <v>2015</v>
      </c>
      <c r="H4511">
        <v>83449.23</v>
      </c>
      <c r="I4511">
        <v>5</v>
      </c>
      <c r="J4511" s="1" t="s">
        <v>481</v>
      </c>
      <c r="K4511">
        <v>0</v>
      </c>
      <c r="L4511">
        <v>867</v>
      </c>
      <c r="M4511">
        <v>96.239452999999997</v>
      </c>
      <c r="N4511">
        <v>1</v>
      </c>
      <c r="O4511" s="1" t="s">
        <v>564</v>
      </c>
      <c r="P4511">
        <v>93376.3</v>
      </c>
      <c r="Q4511">
        <v>19747.349999999999</v>
      </c>
      <c r="R4511">
        <v>0</v>
      </c>
      <c r="S4511" s="1" t="s">
        <v>916</v>
      </c>
      <c r="T4511" s="1"/>
      <c r="U4511">
        <v>7726.78</v>
      </c>
      <c r="V4511">
        <v>0</v>
      </c>
      <c r="W4511">
        <v>92670</v>
      </c>
    </row>
    <row r="4512" spans="1:23" x14ac:dyDescent="0.25">
      <c r="A4512" s="1" t="s">
        <v>40</v>
      </c>
      <c r="B4512" s="1" t="s">
        <v>92</v>
      </c>
      <c r="C4512" s="1" t="s">
        <v>220</v>
      </c>
      <c r="D4512">
        <v>13868</v>
      </c>
      <c r="E4512" s="1" t="s">
        <v>243</v>
      </c>
      <c r="F4512" s="1" t="s">
        <v>355</v>
      </c>
      <c r="G4512">
        <v>2014</v>
      </c>
      <c r="H4512">
        <v>142359.57</v>
      </c>
      <c r="I4512">
        <v>12</v>
      </c>
      <c r="J4512" s="1" t="s">
        <v>481</v>
      </c>
      <c r="K4512">
        <v>0</v>
      </c>
      <c r="L4512">
        <v>867</v>
      </c>
      <c r="M4512">
        <v>164.17895200000001</v>
      </c>
      <c r="N4512">
        <v>1</v>
      </c>
      <c r="O4512" s="1" t="s">
        <v>564</v>
      </c>
      <c r="P4512">
        <v>168913.63</v>
      </c>
      <c r="Q4512">
        <v>35722.1</v>
      </c>
      <c r="R4512">
        <v>0</v>
      </c>
      <c r="S4512" s="1" t="s">
        <v>916</v>
      </c>
      <c r="T4512" s="1"/>
      <c r="U4512">
        <v>13181.44</v>
      </c>
      <c r="V4512">
        <v>0</v>
      </c>
      <c r="W4512">
        <v>92670</v>
      </c>
    </row>
    <row r="4513" spans="1:23" x14ac:dyDescent="0.25">
      <c r="A4513" s="1" t="s">
        <v>40</v>
      </c>
      <c r="B4513" s="1" t="s">
        <v>92</v>
      </c>
      <c r="C4513" s="1" t="s">
        <v>220</v>
      </c>
      <c r="D4513">
        <v>13868</v>
      </c>
      <c r="E4513" s="1" t="s">
        <v>243</v>
      </c>
      <c r="F4513" s="1" t="s">
        <v>355</v>
      </c>
      <c r="G4513">
        <v>2013</v>
      </c>
      <c r="H4513">
        <v>174016.76</v>
      </c>
      <c r="I4513">
        <v>6</v>
      </c>
      <c r="J4513" s="1" t="s">
        <v>481</v>
      </c>
      <c r="K4513">
        <v>0</v>
      </c>
      <c r="L4513">
        <v>867</v>
      </c>
      <c r="M4513">
        <v>200.68822499999999</v>
      </c>
      <c r="N4513">
        <v>1</v>
      </c>
      <c r="O4513" s="1" t="s">
        <v>564</v>
      </c>
      <c r="P4513">
        <v>236242.8</v>
      </c>
      <c r="Q4513">
        <v>49960.98</v>
      </c>
      <c r="R4513">
        <v>0</v>
      </c>
      <c r="S4513" s="1" t="s">
        <v>916</v>
      </c>
      <c r="T4513" s="1"/>
      <c r="U4513">
        <v>16112.66173</v>
      </c>
      <c r="V4513">
        <v>0</v>
      </c>
      <c r="W4513">
        <v>92670</v>
      </c>
    </row>
    <row r="4514" spans="1:23" x14ac:dyDescent="0.25">
      <c r="A4514" s="1" t="s">
        <v>40</v>
      </c>
      <c r="B4514" s="1" t="s">
        <v>92</v>
      </c>
      <c r="C4514" s="1" t="s">
        <v>220</v>
      </c>
      <c r="D4514">
        <v>13868</v>
      </c>
      <c r="E4514" s="1" t="s">
        <v>243</v>
      </c>
      <c r="F4514" s="1" t="s">
        <v>355</v>
      </c>
      <c r="G4514">
        <v>2012</v>
      </c>
      <c r="H4514">
        <v>147788.59</v>
      </c>
      <c r="I4514">
        <v>2</v>
      </c>
      <c r="J4514" s="1" t="s">
        <v>481</v>
      </c>
      <c r="K4514">
        <v>0</v>
      </c>
      <c r="L4514">
        <v>867</v>
      </c>
      <c r="M4514">
        <v>170.440076</v>
      </c>
      <c r="N4514">
        <v>1</v>
      </c>
      <c r="O4514" s="1" t="s">
        <v>564</v>
      </c>
      <c r="P4514">
        <v>162760.04999999999</v>
      </c>
      <c r="Q4514">
        <v>34420.75</v>
      </c>
      <c r="R4514">
        <v>0</v>
      </c>
      <c r="S4514" s="1" t="s">
        <v>916</v>
      </c>
      <c r="T4514" s="1"/>
      <c r="U4514">
        <v>13684.129569999999</v>
      </c>
      <c r="V4514">
        <v>0</v>
      </c>
      <c r="W4514">
        <v>92670</v>
      </c>
    </row>
    <row r="4515" spans="1:23" x14ac:dyDescent="0.25">
      <c r="A4515" s="1" t="s">
        <v>40</v>
      </c>
      <c r="B4515" s="1" t="s">
        <v>92</v>
      </c>
      <c r="C4515" s="1" t="s">
        <v>220</v>
      </c>
      <c r="D4515">
        <v>13868</v>
      </c>
      <c r="E4515" s="1" t="s">
        <v>243</v>
      </c>
      <c r="F4515" s="1" t="s">
        <v>355</v>
      </c>
      <c r="G4515">
        <v>2011</v>
      </c>
      <c r="H4515">
        <v>205960.07</v>
      </c>
      <c r="I4515">
        <v>1</v>
      </c>
      <c r="J4515" s="1" t="s">
        <v>481</v>
      </c>
      <c r="K4515">
        <v>0</v>
      </c>
      <c r="L4515">
        <v>867</v>
      </c>
      <c r="M4515">
        <v>237.52746999999999</v>
      </c>
      <c r="N4515">
        <v>1</v>
      </c>
      <c r="O4515" s="1" t="s">
        <v>564</v>
      </c>
      <c r="P4515">
        <v>238957.64</v>
      </c>
      <c r="Q4515">
        <v>50535.12</v>
      </c>
      <c r="R4515">
        <v>0</v>
      </c>
      <c r="S4515" s="1" t="s">
        <v>916</v>
      </c>
      <c r="T4515" s="1"/>
      <c r="U4515">
        <v>19070.378140000001</v>
      </c>
      <c r="V4515">
        <v>0</v>
      </c>
      <c r="W4515">
        <v>92670</v>
      </c>
    </row>
    <row r="4516" spans="1:23" x14ac:dyDescent="0.25">
      <c r="A4516" s="1" t="s">
        <v>40</v>
      </c>
      <c r="B4516" s="1" t="s">
        <v>92</v>
      </c>
      <c r="C4516" s="1" t="s">
        <v>220</v>
      </c>
      <c r="D4516">
        <v>13868</v>
      </c>
      <c r="E4516" s="1" t="s">
        <v>243</v>
      </c>
      <c r="F4516" s="1" t="s">
        <v>355</v>
      </c>
      <c r="G4516">
        <v>2010</v>
      </c>
      <c r="H4516">
        <v>162701.76999999999</v>
      </c>
      <c r="I4516">
        <v>2</v>
      </c>
      <c r="J4516" s="1" t="s">
        <v>481</v>
      </c>
      <c r="K4516">
        <v>0</v>
      </c>
      <c r="L4516">
        <v>867</v>
      </c>
      <c r="M4516">
        <v>187.638992</v>
      </c>
      <c r="N4516">
        <v>1</v>
      </c>
      <c r="O4516" s="1" t="s">
        <v>564</v>
      </c>
      <c r="P4516">
        <v>173933.84</v>
      </c>
      <c r="Q4516">
        <v>36783.78</v>
      </c>
      <c r="R4516">
        <v>0</v>
      </c>
      <c r="S4516" s="1" t="s">
        <v>916</v>
      </c>
      <c r="T4516" s="1"/>
      <c r="U4516">
        <v>15064.9791</v>
      </c>
      <c r="V4516">
        <v>0</v>
      </c>
      <c r="W4516">
        <v>92670</v>
      </c>
    </row>
    <row r="4517" spans="1:23" x14ac:dyDescent="0.25">
      <c r="A4517" s="1" t="s">
        <v>40</v>
      </c>
      <c r="B4517" s="1" t="s">
        <v>92</v>
      </c>
      <c r="C4517" s="1" t="s">
        <v>220</v>
      </c>
      <c r="D4517">
        <v>13868</v>
      </c>
      <c r="E4517" s="1" t="s">
        <v>243</v>
      </c>
      <c r="F4517" s="1" t="s">
        <v>355</v>
      </c>
      <c r="G4517">
        <v>2009</v>
      </c>
      <c r="H4517">
        <v>101870.82</v>
      </c>
      <c r="I4517">
        <v>1</v>
      </c>
      <c r="J4517" s="1" t="s">
        <v>481</v>
      </c>
      <c r="K4517">
        <v>0</v>
      </c>
      <c r="L4517">
        <v>867</v>
      </c>
      <c r="M4517">
        <v>117.484511</v>
      </c>
      <c r="N4517">
        <v>1</v>
      </c>
      <c r="O4517" s="1" t="s">
        <v>564</v>
      </c>
      <c r="P4517">
        <v>175411.87</v>
      </c>
      <c r="Q4517">
        <v>37096.35</v>
      </c>
      <c r="R4517">
        <v>0</v>
      </c>
      <c r="S4517" s="1" t="s">
        <v>916</v>
      </c>
      <c r="T4517" s="1"/>
      <c r="U4517">
        <v>9432.4814700000006</v>
      </c>
      <c r="V4517">
        <v>0</v>
      </c>
      <c r="W4517">
        <v>92670</v>
      </c>
    </row>
    <row r="4518" spans="1:23" x14ac:dyDescent="0.25">
      <c r="A4518" s="1" t="s">
        <v>40</v>
      </c>
      <c r="B4518" s="1" t="s">
        <v>92</v>
      </c>
      <c r="C4518" s="1" t="s">
        <v>220</v>
      </c>
      <c r="D4518">
        <v>13868</v>
      </c>
      <c r="E4518" s="1" t="s">
        <v>243</v>
      </c>
      <c r="F4518" s="1" t="s">
        <v>355</v>
      </c>
      <c r="G4518">
        <v>2008</v>
      </c>
      <c r="H4518">
        <v>60766.82</v>
      </c>
      <c r="I4518">
        <v>1</v>
      </c>
      <c r="J4518" s="1" t="s">
        <v>481</v>
      </c>
      <c r="K4518">
        <v>0</v>
      </c>
      <c r="L4518">
        <v>867</v>
      </c>
      <c r="M4518">
        <v>70.080521000000005</v>
      </c>
      <c r="N4518">
        <v>1</v>
      </c>
      <c r="O4518" s="1" t="s">
        <v>564</v>
      </c>
      <c r="P4518">
        <v>75026.929999999993</v>
      </c>
      <c r="Q4518">
        <v>15866.8</v>
      </c>
      <c r="R4518">
        <v>0</v>
      </c>
      <c r="S4518" s="1" t="s">
        <v>916</v>
      </c>
      <c r="T4518" s="1"/>
      <c r="U4518">
        <v>5626.5573800000002</v>
      </c>
      <c r="V4518">
        <v>0</v>
      </c>
      <c r="W4518">
        <v>92670</v>
      </c>
    </row>
    <row r="4519" spans="1:23" x14ac:dyDescent="0.25">
      <c r="A4519" s="1" t="s">
        <v>40</v>
      </c>
      <c r="B4519" s="1"/>
      <c r="C4519" s="1" t="s">
        <v>228</v>
      </c>
      <c r="D4519">
        <v>13988</v>
      </c>
      <c r="E4519" s="1" t="s">
        <v>243</v>
      </c>
      <c r="F4519" s="1" t="s">
        <v>228</v>
      </c>
      <c r="G4519">
        <v>2014</v>
      </c>
      <c r="H4519">
        <v>11823.91</v>
      </c>
      <c r="I4519">
        <v>3</v>
      </c>
      <c r="J4519" s="1" t="s">
        <v>502</v>
      </c>
      <c r="K4519">
        <v>0</v>
      </c>
      <c r="L4519">
        <v>0</v>
      </c>
      <c r="M4519">
        <v>118239.1</v>
      </c>
      <c r="N4519">
        <v>1</v>
      </c>
      <c r="O4519" s="1" t="s">
        <v>565</v>
      </c>
      <c r="P4519">
        <v>14388.53</v>
      </c>
      <c r="Q4519">
        <v>630.11</v>
      </c>
      <c r="R4519">
        <v>0</v>
      </c>
      <c r="S4519" s="1" t="s">
        <v>917</v>
      </c>
      <c r="T4519" s="1"/>
      <c r="U4519">
        <v>11.82391</v>
      </c>
      <c r="V4519">
        <v>0</v>
      </c>
      <c r="W4519">
        <v>94860</v>
      </c>
    </row>
    <row r="4520" spans="1:23" x14ac:dyDescent="0.25">
      <c r="A4520" s="1" t="s">
        <v>40</v>
      </c>
      <c r="B4520" s="1"/>
      <c r="C4520" s="1" t="s">
        <v>228</v>
      </c>
      <c r="D4520">
        <v>13988</v>
      </c>
      <c r="E4520" s="1" t="s">
        <v>243</v>
      </c>
      <c r="F4520" s="1" t="s">
        <v>228</v>
      </c>
      <c r="G4520">
        <v>2013</v>
      </c>
      <c r="H4520">
        <v>14726.12</v>
      </c>
      <c r="I4520">
        <v>3</v>
      </c>
      <c r="J4520" s="1" t="s">
        <v>502</v>
      </c>
      <c r="K4520">
        <v>0</v>
      </c>
      <c r="L4520">
        <v>0</v>
      </c>
      <c r="M4520">
        <v>147261.20000000001</v>
      </c>
      <c r="N4520">
        <v>1</v>
      </c>
      <c r="O4520" s="1" t="s">
        <v>565</v>
      </c>
      <c r="P4520">
        <v>21749.34</v>
      </c>
      <c r="Q4520">
        <v>4.04</v>
      </c>
      <c r="R4520">
        <v>0</v>
      </c>
      <c r="S4520" s="1" t="s">
        <v>917</v>
      </c>
      <c r="T4520" s="1"/>
      <c r="U4520">
        <v>14.72612</v>
      </c>
      <c r="V4520">
        <v>0</v>
      </c>
      <c r="W4520">
        <v>94860</v>
      </c>
    </row>
    <row r="4521" spans="1:23" x14ac:dyDescent="0.25">
      <c r="A4521" s="1" t="s">
        <v>40</v>
      </c>
      <c r="B4521" s="1"/>
      <c r="C4521" s="1" t="s">
        <v>229</v>
      </c>
      <c r="D4521">
        <v>10616</v>
      </c>
      <c r="E4521" s="1"/>
      <c r="F4521" s="1" t="s">
        <v>369</v>
      </c>
      <c r="G4521">
        <v>2015</v>
      </c>
      <c r="H4521">
        <v>70221.08</v>
      </c>
      <c r="I4521">
        <v>5</v>
      </c>
      <c r="J4521" s="1" t="s">
        <v>399</v>
      </c>
      <c r="K4521">
        <v>0</v>
      </c>
      <c r="L4521">
        <v>0</v>
      </c>
      <c r="M4521">
        <v>702210.8</v>
      </c>
      <c r="N4521">
        <v>1</v>
      </c>
      <c r="O4521" s="1" t="s">
        <v>562</v>
      </c>
      <c r="P4521">
        <v>78759.289999999994</v>
      </c>
      <c r="Q4521">
        <v>14570.45</v>
      </c>
      <c r="R4521">
        <v>0</v>
      </c>
      <c r="S4521" s="1"/>
      <c r="T4521" s="1"/>
      <c r="U4521">
        <v>70221.08</v>
      </c>
      <c r="V4521">
        <v>0</v>
      </c>
      <c r="W4521">
        <v>90988</v>
      </c>
    </row>
    <row r="4522" spans="1:23" x14ac:dyDescent="0.25">
      <c r="A4522" s="1" t="s">
        <v>40</v>
      </c>
      <c r="B4522" s="1"/>
      <c r="C4522" s="1" t="s">
        <v>229</v>
      </c>
      <c r="D4522">
        <v>10616</v>
      </c>
      <c r="E4522" s="1"/>
      <c r="F4522" s="1" t="s">
        <v>369</v>
      </c>
      <c r="G4522">
        <v>2014</v>
      </c>
      <c r="H4522">
        <v>128510.11</v>
      </c>
      <c r="I4522">
        <v>12</v>
      </c>
      <c r="J4522" s="1" t="s">
        <v>399</v>
      </c>
      <c r="K4522">
        <v>0</v>
      </c>
      <c r="L4522">
        <v>0</v>
      </c>
      <c r="M4522">
        <v>1285101.1000000001</v>
      </c>
      <c r="N4522">
        <v>1</v>
      </c>
      <c r="O4522" s="1" t="s">
        <v>562</v>
      </c>
      <c r="P4522">
        <v>153092.25</v>
      </c>
      <c r="Q4522">
        <v>28322.07</v>
      </c>
      <c r="R4522">
        <v>0</v>
      </c>
      <c r="S4522" s="1"/>
      <c r="T4522" s="1"/>
      <c r="U4522">
        <v>128510.11</v>
      </c>
      <c r="V4522">
        <v>0</v>
      </c>
      <c r="W4522">
        <v>90988</v>
      </c>
    </row>
    <row r="4523" spans="1:23" x14ac:dyDescent="0.25">
      <c r="A4523" s="1" t="s">
        <v>40</v>
      </c>
      <c r="B4523" s="1"/>
      <c r="C4523" s="1" t="s">
        <v>229</v>
      </c>
      <c r="D4523">
        <v>10616</v>
      </c>
      <c r="E4523" s="1"/>
      <c r="F4523" s="1" t="s">
        <v>369</v>
      </c>
      <c r="G4523">
        <v>2013</v>
      </c>
      <c r="H4523">
        <v>158404.15</v>
      </c>
      <c r="I4523">
        <v>12</v>
      </c>
      <c r="J4523" s="1" t="s">
        <v>399</v>
      </c>
      <c r="K4523">
        <v>0</v>
      </c>
      <c r="L4523">
        <v>0</v>
      </c>
      <c r="M4523">
        <v>1584041.5</v>
      </c>
      <c r="N4523">
        <v>1</v>
      </c>
      <c r="O4523" s="1" t="s">
        <v>562</v>
      </c>
      <c r="P4523">
        <v>167030.82999999999</v>
      </c>
      <c r="Q4523">
        <v>30900.71</v>
      </c>
      <c r="R4523">
        <v>0</v>
      </c>
      <c r="S4523" s="1"/>
      <c r="T4523" s="1"/>
      <c r="U4523">
        <v>158404.15</v>
      </c>
      <c r="V4523">
        <v>0</v>
      </c>
      <c r="W4523">
        <v>90988</v>
      </c>
    </row>
    <row r="4524" spans="1:23" x14ac:dyDescent="0.25">
      <c r="A4524" s="1" t="s">
        <v>40</v>
      </c>
      <c r="B4524" s="1"/>
      <c r="C4524" s="1" t="s">
        <v>229</v>
      </c>
      <c r="D4524">
        <v>10616</v>
      </c>
      <c r="E4524" s="1"/>
      <c r="F4524" s="1" t="s">
        <v>369</v>
      </c>
      <c r="G4524">
        <v>2012</v>
      </c>
      <c r="H4524">
        <v>134780.66</v>
      </c>
      <c r="I4524">
        <v>12</v>
      </c>
      <c r="J4524" s="1" t="s">
        <v>399</v>
      </c>
      <c r="K4524">
        <v>0</v>
      </c>
      <c r="L4524">
        <v>0</v>
      </c>
      <c r="M4524">
        <v>1347806.6</v>
      </c>
      <c r="N4524">
        <v>1</v>
      </c>
      <c r="O4524" s="1" t="s">
        <v>562</v>
      </c>
      <c r="P4524">
        <v>140370.70000000001</v>
      </c>
      <c r="Q4524">
        <v>25968.58</v>
      </c>
      <c r="R4524">
        <v>0</v>
      </c>
      <c r="S4524" s="1"/>
      <c r="T4524" s="1"/>
      <c r="U4524">
        <v>134780.65700000001</v>
      </c>
      <c r="V4524">
        <v>0</v>
      </c>
      <c r="W4524">
        <v>90988</v>
      </c>
    </row>
    <row r="4525" spans="1:23" x14ac:dyDescent="0.25">
      <c r="A4525" s="1" t="s">
        <v>40</v>
      </c>
      <c r="B4525" s="1"/>
      <c r="C4525" s="1" t="s">
        <v>229</v>
      </c>
      <c r="D4525">
        <v>10616</v>
      </c>
      <c r="E4525" s="1"/>
      <c r="F4525" s="1" t="s">
        <v>369</v>
      </c>
      <c r="G4525">
        <v>2012</v>
      </c>
      <c r="H4525">
        <v>459.43</v>
      </c>
      <c r="I4525">
        <v>1</v>
      </c>
      <c r="J4525" s="1" t="s">
        <v>503</v>
      </c>
      <c r="K4525">
        <v>0</v>
      </c>
      <c r="L4525">
        <v>0</v>
      </c>
      <c r="M4525">
        <v>4594.3</v>
      </c>
      <c r="N4525">
        <v>1</v>
      </c>
      <c r="O4525" s="1" t="s">
        <v>565</v>
      </c>
      <c r="P4525">
        <v>459.43</v>
      </c>
      <c r="Q4525">
        <v>84.99</v>
      </c>
      <c r="R4525">
        <v>0</v>
      </c>
      <c r="S4525" s="1" t="s">
        <v>810</v>
      </c>
      <c r="T4525" s="1"/>
      <c r="U4525">
        <v>0.45943000000000001</v>
      </c>
      <c r="V4525">
        <v>0</v>
      </c>
      <c r="W4525">
        <v>78588</v>
      </c>
    </row>
    <row r="4526" spans="1:23" x14ac:dyDescent="0.25">
      <c r="A4526" s="1" t="s">
        <v>40</v>
      </c>
      <c r="B4526" s="1"/>
      <c r="C4526" s="1" t="s">
        <v>229</v>
      </c>
      <c r="D4526">
        <v>10616</v>
      </c>
      <c r="E4526" s="1"/>
      <c r="F4526" s="1" t="s">
        <v>369</v>
      </c>
      <c r="G4526">
        <v>2011</v>
      </c>
      <c r="H4526">
        <v>132929.45000000001</v>
      </c>
      <c r="I4526">
        <v>6</v>
      </c>
      <c r="J4526" s="1" t="s">
        <v>503</v>
      </c>
      <c r="K4526">
        <v>0</v>
      </c>
      <c r="L4526">
        <v>0</v>
      </c>
      <c r="M4526">
        <v>1329294.5</v>
      </c>
      <c r="N4526">
        <v>1</v>
      </c>
      <c r="O4526" s="1" t="s">
        <v>565</v>
      </c>
      <c r="P4526">
        <v>153135.94</v>
      </c>
      <c r="Q4526">
        <v>28330.13</v>
      </c>
      <c r="R4526">
        <v>0</v>
      </c>
      <c r="S4526" s="1" t="s">
        <v>810</v>
      </c>
      <c r="T4526" s="1"/>
      <c r="U4526">
        <v>132.92945</v>
      </c>
      <c r="V4526">
        <v>0</v>
      </c>
      <c r="W4526">
        <v>78588</v>
      </c>
    </row>
    <row r="4527" spans="1:23" x14ac:dyDescent="0.25">
      <c r="A4527" s="1" t="s">
        <v>40</v>
      </c>
      <c r="B4527" s="1"/>
      <c r="C4527" s="1" t="s">
        <v>229</v>
      </c>
      <c r="D4527">
        <v>10616</v>
      </c>
      <c r="E4527" s="1"/>
      <c r="F4527" s="1" t="s">
        <v>369</v>
      </c>
      <c r="G4527">
        <v>2010</v>
      </c>
      <c r="H4527">
        <v>152154.57999999999</v>
      </c>
      <c r="I4527">
        <v>9</v>
      </c>
      <c r="J4527" s="1" t="s">
        <v>503</v>
      </c>
      <c r="K4527">
        <v>0</v>
      </c>
      <c r="L4527">
        <v>0</v>
      </c>
      <c r="M4527">
        <v>1521545.8</v>
      </c>
      <c r="N4527">
        <v>1</v>
      </c>
      <c r="O4527" s="1" t="s">
        <v>565</v>
      </c>
      <c r="P4527">
        <v>139379.10999999999</v>
      </c>
      <c r="Q4527">
        <v>25785.14</v>
      </c>
      <c r="R4527">
        <v>0</v>
      </c>
      <c r="S4527" s="1" t="s">
        <v>810</v>
      </c>
      <c r="T4527" s="1"/>
      <c r="U4527">
        <v>152.15458000000001</v>
      </c>
      <c r="V4527">
        <v>0</v>
      </c>
      <c r="W4527">
        <v>78588</v>
      </c>
    </row>
    <row r="4528" spans="1:23" x14ac:dyDescent="0.25">
      <c r="A4528" s="1" t="s">
        <v>40</v>
      </c>
      <c r="B4528" s="1"/>
      <c r="C4528" s="1" t="s">
        <v>229</v>
      </c>
      <c r="D4528">
        <v>10616</v>
      </c>
      <c r="E4528" s="1"/>
      <c r="F4528" s="1" t="s">
        <v>369</v>
      </c>
      <c r="G4528">
        <v>2009</v>
      </c>
      <c r="H4528">
        <v>126930.04</v>
      </c>
      <c r="I4528">
        <v>9</v>
      </c>
      <c r="J4528" s="1" t="s">
        <v>503</v>
      </c>
      <c r="K4528">
        <v>0</v>
      </c>
      <c r="L4528">
        <v>0</v>
      </c>
      <c r="M4528">
        <v>1269300.3999999999</v>
      </c>
      <c r="N4528">
        <v>1</v>
      </c>
      <c r="O4528" s="1" t="s">
        <v>565</v>
      </c>
      <c r="P4528">
        <v>135021.98000000001</v>
      </c>
      <c r="Q4528">
        <v>24979.07</v>
      </c>
      <c r="R4528">
        <v>0</v>
      </c>
      <c r="S4528" s="1" t="s">
        <v>810</v>
      </c>
      <c r="T4528" s="1"/>
      <c r="U4528">
        <v>126.93004000000001</v>
      </c>
      <c r="V4528">
        <v>0</v>
      </c>
      <c r="W4528">
        <v>78588</v>
      </c>
    </row>
    <row r="4529" spans="1:23" x14ac:dyDescent="0.25">
      <c r="A4529" s="1" t="s">
        <v>40</v>
      </c>
      <c r="B4529" s="1"/>
      <c r="C4529" s="1" t="s">
        <v>229</v>
      </c>
      <c r="D4529">
        <v>10616</v>
      </c>
      <c r="E4529" s="1"/>
      <c r="F4529" s="1" t="s">
        <v>369</v>
      </c>
      <c r="G4529">
        <v>2008</v>
      </c>
      <c r="H4529">
        <v>123776.4</v>
      </c>
      <c r="I4529">
        <v>11</v>
      </c>
      <c r="J4529" s="1" t="s">
        <v>503</v>
      </c>
      <c r="K4529">
        <v>0</v>
      </c>
      <c r="L4529">
        <v>0</v>
      </c>
      <c r="M4529">
        <v>1237764</v>
      </c>
      <c r="N4529">
        <v>1</v>
      </c>
      <c r="O4529" s="1" t="s">
        <v>565</v>
      </c>
      <c r="P4529">
        <v>140907.85</v>
      </c>
      <c r="Q4529">
        <v>26067.96</v>
      </c>
      <c r="R4529">
        <v>0</v>
      </c>
      <c r="S4529" s="1" t="s">
        <v>810</v>
      </c>
      <c r="T4529" s="1"/>
      <c r="U4529">
        <v>123.7764</v>
      </c>
      <c r="V4529">
        <v>0</v>
      </c>
      <c r="W4529">
        <v>78588</v>
      </c>
    </row>
    <row r="4530" spans="1:23" x14ac:dyDescent="0.25">
      <c r="A4530" s="1" t="s">
        <v>40</v>
      </c>
      <c r="B4530" s="1" t="s">
        <v>93</v>
      </c>
      <c r="C4530" s="1" t="s">
        <v>221</v>
      </c>
      <c r="D4530">
        <v>6370</v>
      </c>
      <c r="E4530" s="1"/>
      <c r="F4530" s="1" t="s">
        <v>356</v>
      </c>
      <c r="G4530">
        <v>2015</v>
      </c>
      <c r="H4530">
        <v>9389.42</v>
      </c>
      <c r="I4530">
        <v>5</v>
      </c>
      <c r="J4530" s="1" t="s">
        <v>482</v>
      </c>
      <c r="K4530">
        <v>0</v>
      </c>
      <c r="L4530">
        <v>99</v>
      </c>
      <c r="M4530">
        <v>94.746921999999998</v>
      </c>
      <c r="N4530">
        <v>1</v>
      </c>
      <c r="O4530" s="1" t="s">
        <v>564</v>
      </c>
      <c r="P4530">
        <v>10623.57</v>
      </c>
      <c r="Q4530">
        <v>2246.6999999999998</v>
      </c>
      <c r="R4530">
        <v>0</v>
      </c>
      <c r="S4530" s="1" t="s">
        <v>918</v>
      </c>
      <c r="T4530" s="1"/>
      <c r="U4530">
        <v>869.39</v>
      </c>
      <c r="V4530">
        <v>0</v>
      </c>
      <c r="W4530">
        <v>62722</v>
      </c>
    </row>
    <row r="4531" spans="1:23" x14ac:dyDescent="0.25">
      <c r="A4531" s="1" t="s">
        <v>40</v>
      </c>
      <c r="B4531" s="1" t="s">
        <v>93</v>
      </c>
      <c r="C4531" s="1" t="s">
        <v>221</v>
      </c>
      <c r="D4531">
        <v>6370</v>
      </c>
      <c r="E4531" s="1"/>
      <c r="F4531" s="1" t="s">
        <v>356</v>
      </c>
      <c r="G4531">
        <v>2014</v>
      </c>
      <c r="H4531">
        <v>15165.25</v>
      </c>
      <c r="I4531">
        <v>12</v>
      </c>
      <c r="J4531" s="1" t="s">
        <v>482</v>
      </c>
      <c r="K4531">
        <v>0</v>
      </c>
      <c r="L4531">
        <v>99</v>
      </c>
      <c r="M4531">
        <v>153.02976699999999</v>
      </c>
      <c r="N4531">
        <v>1</v>
      </c>
      <c r="O4531" s="1" t="s">
        <v>564</v>
      </c>
      <c r="P4531">
        <v>18095.830000000002</v>
      </c>
      <c r="Q4531">
        <v>3826.94</v>
      </c>
      <c r="R4531">
        <v>0</v>
      </c>
      <c r="S4531" s="1" t="s">
        <v>918</v>
      </c>
      <c r="T4531" s="1"/>
      <c r="U4531">
        <v>1404.19</v>
      </c>
      <c r="V4531">
        <v>0</v>
      </c>
      <c r="W4531">
        <v>62722</v>
      </c>
    </row>
    <row r="4532" spans="1:23" x14ac:dyDescent="0.25">
      <c r="A4532" s="1" t="s">
        <v>40</v>
      </c>
      <c r="B4532" s="1" t="s">
        <v>93</v>
      </c>
      <c r="C4532" s="1" t="s">
        <v>221</v>
      </c>
      <c r="D4532">
        <v>6370</v>
      </c>
      <c r="E4532" s="1"/>
      <c r="F4532" s="1" t="s">
        <v>356</v>
      </c>
      <c r="G4532">
        <v>2013</v>
      </c>
      <c r="H4532">
        <v>18621.580000000002</v>
      </c>
      <c r="I4532">
        <v>12</v>
      </c>
      <c r="J4532" s="1" t="s">
        <v>482</v>
      </c>
      <c r="K4532">
        <v>0</v>
      </c>
      <c r="L4532">
        <v>99</v>
      </c>
      <c r="M4532">
        <v>187.90696199999999</v>
      </c>
      <c r="N4532">
        <v>1</v>
      </c>
      <c r="O4532" s="1" t="s">
        <v>564</v>
      </c>
      <c r="P4532">
        <v>19433.66</v>
      </c>
      <c r="Q4532">
        <v>4109.8599999999997</v>
      </c>
      <c r="R4532">
        <v>0</v>
      </c>
      <c r="S4532" s="1" t="s">
        <v>918</v>
      </c>
      <c r="T4532" s="1"/>
      <c r="U4532">
        <v>1724.2199599999999</v>
      </c>
      <c r="V4532">
        <v>0</v>
      </c>
      <c r="W4532">
        <v>62722</v>
      </c>
    </row>
    <row r="4533" spans="1:23" x14ac:dyDescent="0.25">
      <c r="A4533" s="1" t="s">
        <v>40</v>
      </c>
      <c r="B4533" s="1" t="s">
        <v>93</v>
      </c>
      <c r="C4533" s="1" t="s">
        <v>221</v>
      </c>
      <c r="D4533">
        <v>6370</v>
      </c>
      <c r="E4533" s="1"/>
      <c r="F4533" s="1" t="s">
        <v>356</v>
      </c>
      <c r="G4533">
        <v>2012</v>
      </c>
      <c r="H4533">
        <v>18491.310000000001</v>
      </c>
      <c r="I4533">
        <v>12</v>
      </c>
      <c r="J4533" s="1" t="s">
        <v>482</v>
      </c>
      <c r="K4533">
        <v>0</v>
      </c>
      <c r="L4533">
        <v>99</v>
      </c>
      <c r="M4533">
        <v>186.592431</v>
      </c>
      <c r="N4533">
        <v>1</v>
      </c>
      <c r="O4533" s="1" t="s">
        <v>564</v>
      </c>
      <c r="P4533">
        <v>19411.25</v>
      </c>
      <c r="Q4533">
        <v>4105.1099999999997</v>
      </c>
      <c r="R4533">
        <v>0</v>
      </c>
      <c r="S4533" s="1" t="s">
        <v>918</v>
      </c>
      <c r="T4533" s="1"/>
      <c r="U4533">
        <v>1712.16</v>
      </c>
      <c r="V4533">
        <v>0</v>
      </c>
      <c r="W4533">
        <v>62722</v>
      </c>
    </row>
    <row r="4534" spans="1:23" x14ac:dyDescent="0.25">
      <c r="A4534" s="1" t="s">
        <v>40</v>
      </c>
      <c r="B4534" s="1" t="s">
        <v>93</v>
      </c>
      <c r="C4534" s="1" t="s">
        <v>221</v>
      </c>
      <c r="D4534">
        <v>6370</v>
      </c>
      <c r="E4534" s="1"/>
      <c r="F4534" s="1" t="s">
        <v>356</v>
      </c>
      <c r="G4534">
        <v>2011</v>
      </c>
      <c r="H4534">
        <v>17920.169999999998</v>
      </c>
      <c r="I4534">
        <v>6</v>
      </c>
      <c r="J4534" s="1" t="s">
        <v>482</v>
      </c>
      <c r="K4534">
        <v>0</v>
      </c>
      <c r="L4534">
        <v>99</v>
      </c>
      <c r="M4534">
        <v>180.829162</v>
      </c>
      <c r="N4534">
        <v>1</v>
      </c>
      <c r="O4534" s="1" t="s">
        <v>564</v>
      </c>
      <c r="P4534">
        <v>20469.330000000002</v>
      </c>
      <c r="Q4534">
        <v>4328.88</v>
      </c>
      <c r="R4534">
        <v>0</v>
      </c>
      <c r="S4534" s="1" t="s">
        <v>918</v>
      </c>
      <c r="T4534" s="1"/>
      <c r="U4534">
        <v>1659.2750000000001</v>
      </c>
      <c r="V4534">
        <v>0</v>
      </c>
      <c r="W4534">
        <v>62722</v>
      </c>
    </row>
    <row r="4535" spans="1:23" x14ac:dyDescent="0.25">
      <c r="A4535" s="1" t="s">
        <v>40</v>
      </c>
      <c r="B4535" s="1" t="s">
        <v>93</v>
      </c>
      <c r="C4535" s="1" t="s">
        <v>221</v>
      </c>
      <c r="D4535">
        <v>6370</v>
      </c>
      <c r="E4535" s="1"/>
      <c r="F4535" s="1" t="s">
        <v>356</v>
      </c>
      <c r="G4535">
        <v>2010</v>
      </c>
      <c r="H4535">
        <v>18090.2</v>
      </c>
      <c r="I4535">
        <v>6</v>
      </c>
      <c r="J4535" s="1" t="s">
        <v>482</v>
      </c>
      <c r="K4535">
        <v>0</v>
      </c>
      <c r="L4535">
        <v>99</v>
      </c>
      <c r="M4535">
        <v>182.544904</v>
      </c>
      <c r="N4535">
        <v>1</v>
      </c>
      <c r="O4535" s="1" t="s">
        <v>564</v>
      </c>
      <c r="P4535">
        <v>16293.35</v>
      </c>
      <c r="Q4535">
        <v>3445.74</v>
      </c>
      <c r="R4535">
        <v>0</v>
      </c>
      <c r="S4535" s="1" t="s">
        <v>918</v>
      </c>
      <c r="T4535" s="1"/>
      <c r="U4535">
        <v>1675.0194100000001</v>
      </c>
      <c r="V4535">
        <v>0</v>
      </c>
      <c r="W4535">
        <v>62722</v>
      </c>
    </row>
    <row r="4536" spans="1:23" x14ac:dyDescent="0.25">
      <c r="A4536" s="1" t="s">
        <v>40</v>
      </c>
      <c r="B4536" s="1" t="s">
        <v>93</v>
      </c>
      <c r="C4536" s="1" t="s">
        <v>221</v>
      </c>
      <c r="D4536">
        <v>6370</v>
      </c>
      <c r="E4536" s="1"/>
      <c r="F4536" s="1" t="s">
        <v>356</v>
      </c>
      <c r="G4536">
        <v>2009</v>
      </c>
      <c r="H4536">
        <v>19887</v>
      </c>
      <c r="I4536">
        <v>6</v>
      </c>
      <c r="J4536" s="1" t="s">
        <v>482</v>
      </c>
      <c r="K4536">
        <v>0</v>
      </c>
      <c r="L4536">
        <v>99</v>
      </c>
      <c r="M4536">
        <v>200.676084</v>
      </c>
      <c r="N4536">
        <v>1</v>
      </c>
      <c r="O4536" s="1" t="s">
        <v>564</v>
      </c>
      <c r="P4536">
        <v>25017.74</v>
      </c>
      <c r="Q4536">
        <v>5290.78</v>
      </c>
      <c r="R4536">
        <v>0</v>
      </c>
      <c r="S4536" s="1" t="s">
        <v>918</v>
      </c>
      <c r="T4536" s="1"/>
      <c r="U4536">
        <v>1841.3898099999999</v>
      </c>
      <c r="V4536">
        <v>0</v>
      </c>
      <c r="W4536">
        <v>62722</v>
      </c>
    </row>
    <row r="4537" spans="1:23" x14ac:dyDescent="0.25">
      <c r="A4537" s="1" t="s">
        <v>40</v>
      </c>
      <c r="B4537" s="1" t="s">
        <v>93</v>
      </c>
      <c r="C4537" s="1" t="s">
        <v>221</v>
      </c>
      <c r="D4537">
        <v>6370</v>
      </c>
      <c r="E4537" s="1"/>
      <c r="F4537" s="1" t="s">
        <v>356</v>
      </c>
      <c r="G4537">
        <v>2008</v>
      </c>
      <c r="H4537">
        <v>17799.650000000001</v>
      </c>
      <c r="I4537">
        <v>5</v>
      </c>
      <c r="J4537" s="1" t="s">
        <v>482</v>
      </c>
      <c r="K4537">
        <v>0</v>
      </c>
      <c r="L4537">
        <v>99</v>
      </c>
      <c r="M4537">
        <v>179.61301700000001</v>
      </c>
      <c r="N4537">
        <v>1</v>
      </c>
      <c r="O4537" s="1" t="s">
        <v>564</v>
      </c>
      <c r="P4537">
        <v>21473.71</v>
      </c>
      <c r="Q4537">
        <v>4541.3100000000004</v>
      </c>
      <c r="R4537">
        <v>0</v>
      </c>
      <c r="S4537" s="1" t="s">
        <v>918</v>
      </c>
      <c r="T4537" s="1"/>
      <c r="U4537">
        <v>1648.1157900000001</v>
      </c>
      <c r="V4537">
        <v>0</v>
      </c>
      <c r="W4537">
        <v>62722</v>
      </c>
    </row>
    <row r="4538" spans="1:23" x14ac:dyDescent="0.25">
      <c r="A4538" s="1" t="s">
        <v>40</v>
      </c>
      <c r="B4538" s="1" t="s">
        <v>47</v>
      </c>
      <c r="C4538" s="1" t="s">
        <v>222</v>
      </c>
      <c r="D4538">
        <v>5953</v>
      </c>
      <c r="E4538" s="1"/>
      <c r="F4538" s="1" t="s">
        <v>357</v>
      </c>
      <c r="G4538">
        <v>2015</v>
      </c>
      <c r="H4538">
        <v>24447.21</v>
      </c>
      <c r="I4538">
        <v>5</v>
      </c>
      <c r="J4538" s="1" t="s">
        <v>399</v>
      </c>
      <c r="K4538">
        <v>0</v>
      </c>
      <c r="L4538">
        <v>272</v>
      </c>
      <c r="M4538">
        <v>89.846416000000005</v>
      </c>
      <c r="N4538">
        <v>1</v>
      </c>
      <c r="O4538" s="1" t="s">
        <v>564</v>
      </c>
      <c r="P4538">
        <v>27448.79</v>
      </c>
      <c r="Q4538">
        <v>5804.91</v>
      </c>
      <c r="R4538">
        <v>0</v>
      </c>
      <c r="S4538" s="1" t="s">
        <v>919</v>
      </c>
      <c r="T4538" s="1" t="s">
        <v>1231</v>
      </c>
      <c r="U4538">
        <v>2263.63</v>
      </c>
      <c r="V4538">
        <v>0</v>
      </c>
      <c r="W4538">
        <v>59978</v>
      </c>
    </row>
    <row r="4539" spans="1:23" x14ac:dyDescent="0.25">
      <c r="A4539" s="1" t="s">
        <v>40</v>
      </c>
      <c r="B4539" s="1" t="s">
        <v>47</v>
      </c>
      <c r="C4539" s="1" t="s">
        <v>222</v>
      </c>
      <c r="D4539">
        <v>5953</v>
      </c>
      <c r="E4539" s="1"/>
      <c r="F4539" s="1" t="s">
        <v>357</v>
      </c>
      <c r="G4539">
        <v>2014</v>
      </c>
      <c r="H4539">
        <v>44683.49</v>
      </c>
      <c r="I4539">
        <v>12</v>
      </c>
      <c r="J4539" s="1" t="s">
        <v>399</v>
      </c>
      <c r="K4539">
        <v>0</v>
      </c>
      <c r="L4539">
        <v>272</v>
      </c>
      <c r="M4539">
        <v>164.217162</v>
      </c>
      <c r="N4539">
        <v>1</v>
      </c>
      <c r="O4539" s="1" t="s">
        <v>564</v>
      </c>
      <c r="P4539">
        <v>53459.45</v>
      </c>
      <c r="Q4539">
        <v>11305.69</v>
      </c>
      <c r="R4539">
        <v>0</v>
      </c>
      <c r="S4539" s="1" t="s">
        <v>919</v>
      </c>
      <c r="T4539" s="1" t="s">
        <v>1231</v>
      </c>
      <c r="U4539">
        <v>4137.3599999999997</v>
      </c>
      <c r="V4539">
        <v>0</v>
      </c>
      <c r="W4539">
        <v>59978</v>
      </c>
    </row>
    <row r="4540" spans="1:23" x14ac:dyDescent="0.25">
      <c r="A4540" s="1" t="s">
        <v>40</v>
      </c>
      <c r="B4540" s="1" t="s">
        <v>47</v>
      </c>
      <c r="C4540" s="1" t="s">
        <v>222</v>
      </c>
      <c r="D4540">
        <v>5953</v>
      </c>
      <c r="E4540" s="1"/>
      <c r="F4540" s="1" t="s">
        <v>357</v>
      </c>
      <c r="G4540">
        <v>2013</v>
      </c>
      <c r="H4540">
        <v>46428.55</v>
      </c>
      <c r="I4540">
        <v>12</v>
      </c>
      <c r="J4540" s="1" t="s">
        <v>399</v>
      </c>
      <c r="K4540">
        <v>0</v>
      </c>
      <c r="L4540">
        <v>272</v>
      </c>
      <c r="M4540">
        <v>170.63046600000001</v>
      </c>
      <c r="N4540">
        <v>1</v>
      </c>
      <c r="O4540" s="1" t="s">
        <v>564</v>
      </c>
      <c r="P4540">
        <v>48459.74</v>
      </c>
      <c r="Q4540">
        <v>10248.35</v>
      </c>
      <c r="R4540">
        <v>0</v>
      </c>
      <c r="S4540" s="1" t="s">
        <v>919</v>
      </c>
      <c r="T4540" s="1" t="s">
        <v>1231</v>
      </c>
      <c r="U4540">
        <v>4298.9399999999996</v>
      </c>
      <c r="V4540">
        <v>0</v>
      </c>
      <c r="W4540">
        <v>59978</v>
      </c>
    </row>
    <row r="4541" spans="1:23" x14ac:dyDescent="0.25">
      <c r="A4541" s="1" t="s">
        <v>40</v>
      </c>
      <c r="B4541" s="1" t="s">
        <v>47</v>
      </c>
      <c r="C4541" s="1" t="s">
        <v>222</v>
      </c>
      <c r="D4541">
        <v>5953</v>
      </c>
      <c r="E4541" s="1"/>
      <c r="F4541" s="1" t="s">
        <v>357</v>
      </c>
      <c r="G4541">
        <v>2012</v>
      </c>
      <c r="H4541">
        <v>45460.66</v>
      </c>
      <c r="I4541">
        <v>12</v>
      </c>
      <c r="J4541" s="1" t="s">
        <v>399</v>
      </c>
      <c r="K4541">
        <v>0</v>
      </c>
      <c r="L4541">
        <v>272</v>
      </c>
      <c r="M4541">
        <v>167.07335499999999</v>
      </c>
      <c r="N4541">
        <v>1</v>
      </c>
      <c r="O4541" s="1" t="s">
        <v>564</v>
      </c>
      <c r="P4541">
        <v>47974.41</v>
      </c>
      <c r="Q4541">
        <v>10145.700000000001</v>
      </c>
      <c r="R4541">
        <v>0</v>
      </c>
      <c r="S4541" s="1" t="s">
        <v>919</v>
      </c>
      <c r="T4541" s="1" t="s">
        <v>1231</v>
      </c>
      <c r="U4541">
        <v>4209.32</v>
      </c>
      <c r="V4541">
        <v>0</v>
      </c>
      <c r="W4541">
        <v>59978</v>
      </c>
    </row>
    <row r="4542" spans="1:23" x14ac:dyDescent="0.25">
      <c r="A4542" s="1" t="s">
        <v>40</v>
      </c>
      <c r="B4542" s="1" t="s">
        <v>47</v>
      </c>
      <c r="C4542" s="1" t="s">
        <v>222</v>
      </c>
      <c r="D4542">
        <v>5953</v>
      </c>
      <c r="E4542" s="1"/>
      <c r="F4542" s="1" t="s">
        <v>357</v>
      </c>
      <c r="G4542">
        <v>2011</v>
      </c>
      <c r="H4542">
        <v>48230.03</v>
      </c>
      <c r="I4542">
        <v>10</v>
      </c>
      <c r="J4542" s="1" t="s">
        <v>399</v>
      </c>
      <c r="K4542">
        <v>0</v>
      </c>
      <c r="L4542">
        <v>272</v>
      </c>
      <c r="M4542">
        <v>177.25111999999999</v>
      </c>
      <c r="N4542">
        <v>1</v>
      </c>
      <c r="O4542" s="1" t="s">
        <v>564</v>
      </c>
      <c r="P4542">
        <v>53450.54</v>
      </c>
      <c r="Q4542">
        <v>11303.8</v>
      </c>
      <c r="R4542">
        <v>0</v>
      </c>
      <c r="S4542" s="1" t="s">
        <v>919</v>
      </c>
      <c r="T4542" s="1" t="s">
        <v>1231</v>
      </c>
      <c r="U4542">
        <v>4465.7442000000001</v>
      </c>
      <c r="V4542">
        <v>0</v>
      </c>
      <c r="W4542">
        <v>59978</v>
      </c>
    </row>
    <row r="4543" spans="1:23" x14ac:dyDescent="0.25">
      <c r="A4543" s="1" t="s">
        <v>40</v>
      </c>
      <c r="B4543" s="1" t="s">
        <v>47</v>
      </c>
      <c r="C4543" s="1" t="s">
        <v>222</v>
      </c>
      <c r="D4543">
        <v>5953</v>
      </c>
      <c r="E4543" s="1"/>
      <c r="F4543" s="1" t="s">
        <v>357</v>
      </c>
      <c r="G4543">
        <v>2010</v>
      </c>
      <c r="H4543">
        <v>45365.06</v>
      </c>
      <c r="I4543">
        <v>4</v>
      </c>
      <c r="J4543" s="1" t="s">
        <v>399</v>
      </c>
      <c r="K4543">
        <v>0</v>
      </c>
      <c r="L4543">
        <v>272</v>
      </c>
      <c r="M4543">
        <v>166.722013</v>
      </c>
      <c r="N4543">
        <v>1</v>
      </c>
      <c r="O4543" s="1" t="s">
        <v>564</v>
      </c>
      <c r="P4543">
        <v>41132.19</v>
      </c>
      <c r="Q4543">
        <v>8698.68</v>
      </c>
      <c r="R4543">
        <v>0</v>
      </c>
      <c r="S4543" s="1" t="s">
        <v>919</v>
      </c>
      <c r="T4543" s="1" t="s">
        <v>1231</v>
      </c>
      <c r="U4543">
        <v>4200.4685499999996</v>
      </c>
      <c r="V4543">
        <v>0</v>
      </c>
      <c r="W4543">
        <v>59978</v>
      </c>
    </row>
    <row r="4544" spans="1:23" x14ac:dyDescent="0.25">
      <c r="A4544" s="1" t="s">
        <v>40</v>
      </c>
      <c r="B4544" s="1" t="s">
        <v>47</v>
      </c>
      <c r="C4544" s="1" t="s">
        <v>222</v>
      </c>
      <c r="D4544">
        <v>5953</v>
      </c>
      <c r="E4544" s="1"/>
      <c r="F4544" s="1" t="s">
        <v>357</v>
      </c>
      <c r="G4544">
        <v>2009</v>
      </c>
      <c r="H4544">
        <v>50304.13</v>
      </c>
      <c r="I4544">
        <v>1</v>
      </c>
      <c r="J4544" s="1" t="s">
        <v>399</v>
      </c>
      <c r="K4544">
        <v>0</v>
      </c>
      <c r="L4544">
        <v>272</v>
      </c>
      <c r="M4544">
        <v>184.87368599999999</v>
      </c>
      <c r="N4544">
        <v>1</v>
      </c>
      <c r="O4544" s="1" t="s">
        <v>564</v>
      </c>
      <c r="P4544">
        <v>72125.009999999995</v>
      </c>
      <c r="Q4544">
        <v>15253.11</v>
      </c>
      <c r="R4544">
        <v>0</v>
      </c>
      <c r="S4544" s="1" t="s">
        <v>919</v>
      </c>
      <c r="T4544" s="1" t="s">
        <v>1231</v>
      </c>
      <c r="U4544">
        <v>4657.7873099999997</v>
      </c>
      <c r="V4544">
        <v>0</v>
      </c>
      <c r="W4544">
        <v>59978</v>
      </c>
    </row>
    <row r="4545" spans="1:23" x14ac:dyDescent="0.25">
      <c r="A4545" s="1" t="s">
        <v>40</v>
      </c>
      <c r="B4545" s="1" t="s">
        <v>47</v>
      </c>
      <c r="C4545" s="1" t="s">
        <v>222</v>
      </c>
      <c r="D4545">
        <v>5953</v>
      </c>
      <c r="E4545" s="1"/>
      <c r="F4545" s="1" t="s">
        <v>357</v>
      </c>
      <c r="G4545">
        <v>2008</v>
      </c>
      <c r="H4545">
        <v>44945.279999999999</v>
      </c>
      <c r="I4545">
        <v>3</v>
      </c>
      <c r="J4545" s="1" t="s">
        <v>399</v>
      </c>
      <c r="K4545">
        <v>0</v>
      </c>
      <c r="L4545">
        <v>272</v>
      </c>
      <c r="M4545">
        <v>165.179272</v>
      </c>
      <c r="N4545">
        <v>1</v>
      </c>
      <c r="O4545" s="1" t="s">
        <v>564</v>
      </c>
      <c r="P4545">
        <v>53368.65</v>
      </c>
      <c r="Q4545">
        <v>11286.47</v>
      </c>
      <c r="R4545">
        <v>0</v>
      </c>
      <c r="S4545" s="1" t="s">
        <v>919</v>
      </c>
      <c r="T4545" s="1" t="s">
        <v>1231</v>
      </c>
      <c r="U4545">
        <v>4161.6000100000001</v>
      </c>
      <c r="V4545">
        <v>0</v>
      </c>
      <c r="W4545">
        <v>59978</v>
      </c>
    </row>
    <row r="4546" spans="1:23" x14ac:dyDescent="0.25">
      <c r="A4546" s="1" t="s">
        <v>40</v>
      </c>
      <c r="B4546" s="1"/>
      <c r="C4546" s="1" t="s">
        <v>223</v>
      </c>
      <c r="D4546">
        <v>13534</v>
      </c>
      <c r="E4546" s="1" t="s">
        <v>243</v>
      </c>
      <c r="F4546" s="1" t="s">
        <v>223</v>
      </c>
      <c r="G4546">
        <v>2015</v>
      </c>
      <c r="H4546">
        <v>77320</v>
      </c>
      <c r="I4546">
        <v>4</v>
      </c>
      <c r="J4546" s="1" t="s">
        <v>421</v>
      </c>
      <c r="K4546">
        <v>0</v>
      </c>
      <c r="L4546">
        <v>2088</v>
      </c>
      <c r="M4546">
        <v>37.028877000000001</v>
      </c>
      <c r="N4546">
        <v>1</v>
      </c>
      <c r="O4546" s="1" t="s">
        <v>565</v>
      </c>
      <c r="P4546">
        <v>85274.23</v>
      </c>
      <c r="Q4546">
        <v>15775.72</v>
      </c>
      <c r="R4546">
        <v>0</v>
      </c>
      <c r="S4546" s="1" t="s">
        <v>920</v>
      </c>
      <c r="T4546" s="1"/>
      <c r="U4546">
        <v>77.319999999999993</v>
      </c>
      <c r="V4546">
        <v>0</v>
      </c>
      <c r="W4546">
        <v>96970</v>
      </c>
    </row>
    <row r="4547" spans="1:23" x14ac:dyDescent="0.25">
      <c r="A4547" s="1" t="s">
        <v>40</v>
      </c>
      <c r="B4547" s="1"/>
      <c r="C4547" s="1" t="s">
        <v>223</v>
      </c>
      <c r="D4547">
        <v>13534</v>
      </c>
      <c r="E4547" s="1" t="s">
        <v>243</v>
      </c>
      <c r="F4547" s="1" t="s">
        <v>223</v>
      </c>
      <c r="G4547">
        <v>2014</v>
      </c>
      <c r="H4547">
        <v>70113.05</v>
      </c>
      <c r="I4547">
        <v>10</v>
      </c>
      <c r="J4547" s="1" t="s">
        <v>461</v>
      </c>
      <c r="K4547">
        <v>0</v>
      </c>
      <c r="L4547">
        <v>2088</v>
      </c>
      <c r="M4547">
        <v>33.577438000000001</v>
      </c>
      <c r="N4547">
        <v>1</v>
      </c>
      <c r="O4547" s="1" t="s">
        <v>565</v>
      </c>
      <c r="P4547">
        <v>83428.95</v>
      </c>
      <c r="Q4547">
        <v>10512.04</v>
      </c>
      <c r="R4547">
        <v>0</v>
      </c>
      <c r="S4547" s="1" t="s">
        <v>921</v>
      </c>
      <c r="T4547" s="1"/>
      <c r="U4547">
        <v>70.113050000000001</v>
      </c>
      <c r="V4547">
        <v>0</v>
      </c>
      <c r="W4547">
        <v>90565</v>
      </c>
    </row>
    <row r="4548" spans="1:23" x14ac:dyDescent="0.25">
      <c r="A4548" s="1" t="s">
        <v>40</v>
      </c>
      <c r="B4548" s="1"/>
      <c r="C4548" s="1" t="s">
        <v>223</v>
      </c>
      <c r="D4548">
        <v>13534</v>
      </c>
      <c r="E4548" s="1" t="s">
        <v>243</v>
      </c>
      <c r="F4548" s="1" t="s">
        <v>223</v>
      </c>
      <c r="G4548">
        <v>2014</v>
      </c>
      <c r="H4548">
        <v>23205.65</v>
      </c>
      <c r="I4548">
        <v>10</v>
      </c>
      <c r="J4548" s="1" t="s">
        <v>461</v>
      </c>
      <c r="K4548">
        <v>0</v>
      </c>
      <c r="L4548">
        <v>2088</v>
      </c>
      <c r="M4548">
        <v>11.113284</v>
      </c>
      <c r="N4548">
        <v>1</v>
      </c>
      <c r="O4548" s="1" t="s">
        <v>565</v>
      </c>
      <c r="P4548">
        <v>29139.26</v>
      </c>
      <c r="Q4548">
        <v>3671.55</v>
      </c>
      <c r="R4548">
        <v>0</v>
      </c>
      <c r="S4548" s="1" t="s">
        <v>922</v>
      </c>
      <c r="T4548" s="1"/>
      <c r="U4548">
        <v>23.205649999999999</v>
      </c>
      <c r="V4548">
        <v>0</v>
      </c>
      <c r="W4548">
        <v>90567</v>
      </c>
    </row>
    <row r="4549" spans="1:23" x14ac:dyDescent="0.25">
      <c r="A4549" s="1" t="s">
        <v>40</v>
      </c>
      <c r="B4549" s="1"/>
      <c r="C4549" s="1" t="s">
        <v>223</v>
      </c>
      <c r="D4549">
        <v>13534</v>
      </c>
      <c r="E4549" s="1" t="s">
        <v>243</v>
      </c>
      <c r="F4549" s="1" t="s">
        <v>223</v>
      </c>
      <c r="G4549">
        <v>2014</v>
      </c>
      <c r="H4549">
        <v>4040</v>
      </c>
      <c r="I4549">
        <v>2</v>
      </c>
      <c r="J4549" s="1" t="s">
        <v>504</v>
      </c>
      <c r="K4549">
        <v>0</v>
      </c>
      <c r="L4549">
        <v>2088</v>
      </c>
      <c r="M4549">
        <v>1.9347730000000001</v>
      </c>
      <c r="N4549">
        <v>1</v>
      </c>
      <c r="O4549" s="1" t="s">
        <v>565</v>
      </c>
      <c r="P4549">
        <v>4806.84</v>
      </c>
      <c r="Q4549">
        <v>889.27</v>
      </c>
      <c r="R4549">
        <v>1</v>
      </c>
      <c r="S4549" s="1" t="s">
        <v>923</v>
      </c>
      <c r="T4549" s="1"/>
      <c r="U4549">
        <v>4.04</v>
      </c>
      <c r="V4549">
        <v>0</v>
      </c>
      <c r="W4549">
        <v>96924</v>
      </c>
    </row>
    <row r="4550" spans="1:23" x14ac:dyDescent="0.25">
      <c r="A4550" s="1" t="s">
        <v>40</v>
      </c>
      <c r="B4550" s="1"/>
      <c r="C4550" s="1" t="s">
        <v>223</v>
      </c>
      <c r="D4550">
        <v>13534</v>
      </c>
      <c r="E4550" s="1" t="s">
        <v>243</v>
      </c>
      <c r="F4550" s="1" t="s">
        <v>223</v>
      </c>
      <c r="G4550">
        <v>2014</v>
      </c>
      <c r="H4550">
        <v>6563.46</v>
      </c>
      <c r="I4550">
        <v>9</v>
      </c>
      <c r="J4550" s="1" t="s">
        <v>461</v>
      </c>
      <c r="K4550">
        <v>0</v>
      </c>
      <c r="L4550">
        <v>2088</v>
      </c>
      <c r="M4550">
        <v>3.1432690000000001</v>
      </c>
      <c r="N4550">
        <v>1</v>
      </c>
      <c r="O4550" s="1" t="s">
        <v>565</v>
      </c>
      <c r="P4550">
        <v>8151.39</v>
      </c>
      <c r="Q4550">
        <v>1027.07</v>
      </c>
      <c r="R4550">
        <v>0</v>
      </c>
      <c r="S4550" s="1" t="s">
        <v>924</v>
      </c>
      <c r="T4550" s="1"/>
      <c r="U4550">
        <v>6.5634600000000001</v>
      </c>
      <c r="V4550">
        <v>0</v>
      </c>
      <c r="W4550">
        <v>90566</v>
      </c>
    </row>
    <row r="4551" spans="1:23" x14ac:dyDescent="0.25">
      <c r="A4551" s="1" t="s">
        <v>40</v>
      </c>
      <c r="B4551" s="1"/>
      <c r="C4551" s="1" t="s">
        <v>223</v>
      </c>
      <c r="D4551">
        <v>13534</v>
      </c>
      <c r="E4551" s="1" t="s">
        <v>243</v>
      </c>
      <c r="F4551" s="1" t="s">
        <v>223</v>
      </c>
      <c r="G4551">
        <v>2014</v>
      </c>
      <c r="H4551">
        <v>4634.34</v>
      </c>
      <c r="I4551">
        <v>10</v>
      </c>
      <c r="J4551" s="1" t="s">
        <v>461</v>
      </c>
      <c r="K4551">
        <v>0</v>
      </c>
      <c r="L4551">
        <v>2088</v>
      </c>
      <c r="M4551">
        <v>2.2194050000000001</v>
      </c>
      <c r="N4551">
        <v>1</v>
      </c>
      <c r="O4551" s="1" t="s">
        <v>565</v>
      </c>
      <c r="P4551">
        <v>6163.28</v>
      </c>
      <c r="Q4551">
        <v>776.57</v>
      </c>
      <c r="R4551">
        <v>0</v>
      </c>
      <c r="S4551" s="1" t="s">
        <v>925</v>
      </c>
      <c r="T4551" s="1"/>
      <c r="U4551">
        <v>4.6343399999999999</v>
      </c>
      <c r="V4551">
        <v>0</v>
      </c>
      <c r="W4551">
        <v>90568</v>
      </c>
    </row>
    <row r="4552" spans="1:23" x14ac:dyDescent="0.25">
      <c r="A4552" s="1" t="s">
        <v>40</v>
      </c>
      <c r="B4552" s="1"/>
      <c r="C4552" s="1" t="s">
        <v>223</v>
      </c>
      <c r="D4552">
        <v>13534</v>
      </c>
      <c r="E4552" s="1" t="s">
        <v>243</v>
      </c>
      <c r="F4552" s="1" t="s">
        <v>223</v>
      </c>
      <c r="G4552">
        <v>2013</v>
      </c>
      <c r="H4552">
        <v>30639.35</v>
      </c>
      <c r="I4552">
        <v>6</v>
      </c>
      <c r="J4552" s="1" t="s">
        <v>461</v>
      </c>
      <c r="K4552">
        <v>0</v>
      </c>
      <c r="L4552">
        <v>2088</v>
      </c>
      <c r="M4552">
        <v>14.673315000000001</v>
      </c>
      <c r="N4552">
        <v>1</v>
      </c>
      <c r="O4552" s="1" t="s">
        <v>565</v>
      </c>
      <c r="P4552">
        <v>38396.67</v>
      </c>
      <c r="Q4552">
        <v>4837.99</v>
      </c>
      <c r="R4552">
        <v>0</v>
      </c>
      <c r="S4552" s="1" t="s">
        <v>922</v>
      </c>
      <c r="T4552" s="1"/>
      <c r="U4552">
        <v>30.63935</v>
      </c>
      <c r="V4552">
        <v>0</v>
      </c>
      <c r="W4552">
        <v>90567</v>
      </c>
    </row>
    <row r="4553" spans="1:23" x14ac:dyDescent="0.25">
      <c r="A4553" s="1" t="s">
        <v>40</v>
      </c>
      <c r="B4553" s="1"/>
      <c r="C4553" s="1" t="s">
        <v>223</v>
      </c>
      <c r="D4553">
        <v>13534</v>
      </c>
      <c r="E4553" s="1" t="s">
        <v>243</v>
      </c>
      <c r="F4553" s="1" t="s">
        <v>223</v>
      </c>
      <c r="G4553">
        <v>2013</v>
      </c>
      <c r="H4553">
        <v>151921.32999999999</v>
      </c>
      <c r="I4553">
        <v>6</v>
      </c>
      <c r="J4553" s="1" t="s">
        <v>461</v>
      </c>
      <c r="K4553">
        <v>0</v>
      </c>
      <c r="L4553">
        <v>2088</v>
      </c>
      <c r="M4553">
        <v>72.755773000000005</v>
      </c>
      <c r="N4553">
        <v>1</v>
      </c>
      <c r="O4553" s="1" t="s">
        <v>565</v>
      </c>
      <c r="P4553">
        <v>177595.95</v>
      </c>
      <c r="Q4553">
        <v>22377.1</v>
      </c>
      <c r="R4553">
        <v>0</v>
      </c>
      <c r="S4553" s="1" t="s">
        <v>921</v>
      </c>
      <c r="T4553" s="1"/>
      <c r="U4553">
        <v>151.92133000000001</v>
      </c>
      <c r="V4553">
        <v>0</v>
      </c>
      <c r="W4553">
        <v>90565</v>
      </c>
    </row>
    <row r="4554" spans="1:23" x14ac:dyDescent="0.25">
      <c r="A4554" s="1" t="s">
        <v>40</v>
      </c>
      <c r="B4554" s="1"/>
      <c r="C4554" s="1" t="s">
        <v>223</v>
      </c>
      <c r="D4554">
        <v>13534</v>
      </c>
      <c r="E4554" s="1" t="s">
        <v>243</v>
      </c>
      <c r="F4554" s="1" t="s">
        <v>223</v>
      </c>
      <c r="G4554">
        <v>2013</v>
      </c>
      <c r="H4554">
        <v>13979.68</v>
      </c>
      <c r="I4554">
        <v>6</v>
      </c>
      <c r="J4554" s="1" t="s">
        <v>461</v>
      </c>
      <c r="K4554">
        <v>0</v>
      </c>
      <c r="L4554">
        <v>2088</v>
      </c>
      <c r="M4554">
        <v>6.694928</v>
      </c>
      <c r="N4554">
        <v>1</v>
      </c>
      <c r="O4554" s="1" t="s">
        <v>565</v>
      </c>
      <c r="P4554">
        <v>17629.68</v>
      </c>
      <c r="Q4554">
        <v>2221.34</v>
      </c>
      <c r="R4554">
        <v>0</v>
      </c>
      <c r="S4554" s="1" t="s">
        <v>924</v>
      </c>
      <c r="T4554" s="1"/>
      <c r="U4554">
        <v>13.97968</v>
      </c>
      <c r="V4554">
        <v>0</v>
      </c>
      <c r="W4554">
        <v>90566</v>
      </c>
    </row>
    <row r="4555" spans="1:23" x14ac:dyDescent="0.25">
      <c r="A4555" s="1" t="s">
        <v>40</v>
      </c>
      <c r="B4555" s="1"/>
      <c r="C4555" s="1" t="s">
        <v>223</v>
      </c>
      <c r="D4555">
        <v>13534</v>
      </c>
      <c r="E4555" s="1" t="s">
        <v>243</v>
      </c>
      <c r="F4555" s="1" t="s">
        <v>223</v>
      </c>
      <c r="G4555">
        <v>2013</v>
      </c>
      <c r="H4555">
        <v>2826.3</v>
      </c>
      <c r="I4555">
        <v>6</v>
      </c>
      <c r="J4555" s="1" t="s">
        <v>461</v>
      </c>
      <c r="K4555">
        <v>0</v>
      </c>
      <c r="L4555">
        <v>2088</v>
      </c>
      <c r="M4555">
        <v>1.3535269999999999</v>
      </c>
      <c r="N4555">
        <v>1</v>
      </c>
      <c r="O4555" s="1" t="s">
        <v>565</v>
      </c>
      <c r="P4555">
        <v>3442.18</v>
      </c>
      <c r="Q4555">
        <v>433.72</v>
      </c>
      <c r="R4555">
        <v>0</v>
      </c>
      <c r="S4555" s="1" t="s">
        <v>925</v>
      </c>
      <c r="T4555" s="1"/>
      <c r="U4555">
        <v>2.8262999999999998</v>
      </c>
      <c r="V4555">
        <v>0</v>
      </c>
      <c r="W4555">
        <v>90568</v>
      </c>
    </row>
    <row r="4556" spans="1:23" x14ac:dyDescent="0.25">
      <c r="A4556" s="1" t="s">
        <v>40</v>
      </c>
      <c r="B4556" s="1"/>
      <c r="C4556" s="1" t="s">
        <v>223</v>
      </c>
      <c r="D4556">
        <v>13534</v>
      </c>
      <c r="E4556" s="1" t="s">
        <v>243</v>
      </c>
      <c r="F4556" s="1" t="s">
        <v>223</v>
      </c>
      <c r="G4556">
        <v>2012</v>
      </c>
      <c r="H4556">
        <v>4773.34</v>
      </c>
      <c r="I4556">
        <v>4</v>
      </c>
      <c r="J4556" s="1" t="s">
        <v>461</v>
      </c>
      <c r="K4556">
        <v>0</v>
      </c>
      <c r="L4556">
        <v>2088</v>
      </c>
      <c r="M4556">
        <v>2.2859720000000001</v>
      </c>
      <c r="N4556">
        <v>1</v>
      </c>
      <c r="O4556" s="1" t="s">
        <v>565</v>
      </c>
      <c r="P4556">
        <v>5049.8500000000004</v>
      </c>
      <c r="Q4556">
        <v>636.29999999999995</v>
      </c>
      <c r="R4556">
        <v>0</v>
      </c>
      <c r="S4556" s="1" t="s">
        <v>924</v>
      </c>
      <c r="T4556" s="1"/>
      <c r="U4556">
        <v>4.7733400000000001</v>
      </c>
      <c r="V4556">
        <v>0</v>
      </c>
      <c r="W4556">
        <v>90566</v>
      </c>
    </row>
    <row r="4557" spans="1:23" x14ac:dyDescent="0.25">
      <c r="A4557" s="1" t="s">
        <v>40</v>
      </c>
      <c r="B4557" s="1"/>
      <c r="C4557" s="1" t="s">
        <v>223</v>
      </c>
      <c r="D4557">
        <v>13534</v>
      </c>
      <c r="E4557" s="1" t="s">
        <v>243</v>
      </c>
      <c r="F4557" s="1" t="s">
        <v>223</v>
      </c>
      <c r="G4557">
        <v>2012</v>
      </c>
      <c r="H4557">
        <v>28175.33</v>
      </c>
      <c r="I4557">
        <v>6</v>
      </c>
      <c r="J4557" s="1" t="s">
        <v>461</v>
      </c>
      <c r="K4557">
        <v>0</v>
      </c>
      <c r="L4557">
        <v>2088</v>
      </c>
      <c r="M4557">
        <v>13.493285</v>
      </c>
      <c r="N4557">
        <v>1</v>
      </c>
      <c r="O4557" s="1" t="s">
        <v>565</v>
      </c>
      <c r="P4557">
        <v>31222.17</v>
      </c>
      <c r="Q4557">
        <v>3934.01</v>
      </c>
      <c r="R4557">
        <v>0</v>
      </c>
      <c r="S4557" s="1" t="s">
        <v>922</v>
      </c>
      <c r="T4557" s="1"/>
      <c r="U4557">
        <v>28.175329999999999</v>
      </c>
      <c r="V4557">
        <v>0</v>
      </c>
      <c r="W4557">
        <v>90567</v>
      </c>
    </row>
    <row r="4558" spans="1:23" x14ac:dyDescent="0.25">
      <c r="A4558" s="1" t="s">
        <v>40</v>
      </c>
      <c r="B4558" s="1"/>
      <c r="C4558" s="1" t="s">
        <v>223</v>
      </c>
      <c r="D4558">
        <v>13534</v>
      </c>
      <c r="E4558" s="1" t="s">
        <v>243</v>
      </c>
      <c r="F4558" s="1" t="s">
        <v>223</v>
      </c>
      <c r="G4558">
        <v>2012</v>
      </c>
      <c r="H4558">
        <v>139655.95000000001</v>
      </c>
      <c r="I4558">
        <v>6</v>
      </c>
      <c r="J4558" s="1" t="s">
        <v>461</v>
      </c>
      <c r="K4558">
        <v>0</v>
      </c>
      <c r="L4558">
        <v>2088</v>
      </c>
      <c r="M4558">
        <v>66.881829999999994</v>
      </c>
      <c r="N4558">
        <v>1</v>
      </c>
      <c r="O4558" s="1" t="s">
        <v>565</v>
      </c>
      <c r="P4558">
        <v>149024.53</v>
      </c>
      <c r="Q4558">
        <v>18777.080000000002</v>
      </c>
      <c r="R4558">
        <v>0</v>
      </c>
      <c r="S4558" s="1" t="s">
        <v>921</v>
      </c>
      <c r="T4558" s="1"/>
      <c r="U4558">
        <v>139.65594999999999</v>
      </c>
      <c r="V4558">
        <v>0</v>
      </c>
      <c r="W4558">
        <v>90565</v>
      </c>
    </row>
    <row r="4559" spans="1:23" x14ac:dyDescent="0.25">
      <c r="A4559" s="1" t="s">
        <v>40</v>
      </c>
      <c r="B4559" s="1"/>
      <c r="C4559" s="1" t="s">
        <v>223</v>
      </c>
      <c r="D4559">
        <v>13534</v>
      </c>
      <c r="E4559" s="1" t="s">
        <v>243</v>
      </c>
      <c r="F4559" s="1" t="s">
        <v>223</v>
      </c>
      <c r="G4559">
        <v>2012</v>
      </c>
      <c r="H4559">
        <v>2211</v>
      </c>
      <c r="I4559">
        <v>6</v>
      </c>
      <c r="J4559" s="1" t="s">
        <v>461</v>
      </c>
      <c r="K4559">
        <v>0</v>
      </c>
      <c r="L4559">
        <v>2088</v>
      </c>
      <c r="M4559">
        <v>1.0588569999999999</v>
      </c>
      <c r="N4559">
        <v>1</v>
      </c>
      <c r="O4559" s="1" t="s">
        <v>565</v>
      </c>
      <c r="P4559">
        <v>2399.27</v>
      </c>
      <c r="Q4559">
        <v>302.3</v>
      </c>
      <c r="R4559">
        <v>0</v>
      </c>
      <c r="S4559" s="1" t="s">
        <v>925</v>
      </c>
      <c r="T4559" s="1"/>
      <c r="U4559">
        <v>2.2109999999999999</v>
      </c>
      <c r="V4559">
        <v>0</v>
      </c>
      <c r="W4559">
        <v>90568</v>
      </c>
    </row>
    <row r="4560" spans="1:23" x14ac:dyDescent="0.25">
      <c r="A4560" s="1" t="s">
        <v>40</v>
      </c>
      <c r="B4560" s="1"/>
      <c r="C4560" s="1" t="s">
        <v>223</v>
      </c>
      <c r="D4560">
        <v>13534</v>
      </c>
      <c r="E4560" s="1" t="s">
        <v>243</v>
      </c>
      <c r="F4560" s="1" t="s">
        <v>223</v>
      </c>
      <c r="G4560">
        <v>2011</v>
      </c>
      <c r="H4560">
        <v>3807.19</v>
      </c>
      <c r="I4560">
        <v>2</v>
      </c>
      <c r="J4560" s="1" t="s">
        <v>461</v>
      </c>
      <c r="K4560">
        <v>0</v>
      </c>
      <c r="L4560">
        <v>2088</v>
      </c>
      <c r="M4560">
        <v>1.8232790000000001</v>
      </c>
      <c r="N4560">
        <v>1</v>
      </c>
      <c r="O4560" s="1" t="s">
        <v>565</v>
      </c>
      <c r="P4560">
        <v>4482.74</v>
      </c>
      <c r="Q4560">
        <v>564.84</v>
      </c>
      <c r="R4560">
        <v>0</v>
      </c>
      <c r="S4560" s="1" t="s">
        <v>924</v>
      </c>
      <c r="T4560" s="1"/>
      <c r="U4560">
        <v>3.8071899999999999</v>
      </c>
      <c r="V4560">
        <v>0</v>
      </c>
      <c r="W4560">
        <v>90566</v>
      </c>
    </row>
    <row r="4561" spans="1:23" x14ac:dyDescent="0.25">
      <c r="A4561" s="1" t="s">
        <v>40</v>
      </c>
      <c r="B4561" s="1"/>
      <c r="C4561" s="1" t="s">
        <v>223</v>
      </c>
      <c r="D4561">
        <v>13534</v>
      </c>
      <c r="E4561" s="1" t="s">
        <v>243</v>
      </c>
      <c r="F4561" s="1" t="s">
        <v>223</v>
      </c>
      <c r="G4561">
        <v>2011</v>
      </c>
      <c r="H4561">
        <v>117255.1</v>
      </c>
      <c r="I4561">
        <v>2</v>
      </c>
      <c r="J4561" s="1" t="s">
        <v>461</v>
      </c>
      <c r="K4561">
        <v>0</v>
      </c>
      <c r="L4561">
        <v>2088</v>
      </c>
      <c r="M4561">
        <v>56.153967000000002</v>
      </c>
      <c r="N4561">
        <v>1</v>
      </c>
      <c r="O4561" s="1" t="s">
        <v>565</v>
      </c>
      <c r="P4561">
        <v>138749.42000000001</v>
      </c>
      <c r="Q4561">
        <v>17482.43</v>
      </c>
      <c r="R4561">
        <v>0</v>
      </c>
      <c r="S4561" s="1" t="s">
        <v>921</v>
      </c>
      <c r="T4561" s="1"/>
      <c r="U4561">
        <v>117.2551</v>
      </c>
      <c r="V4561">
        <v>0</v>
      </c>
      <c r="W4561">
        <v>90565</v>
      </c>
    </row>
    <row r="4562" spans="1:23" x14ac:dyDescent="0.25">
      <c r="A4562" s="1" t="s">
        <v>40</v>
      </c>
      <c r="B4562" s="1"/>
      <c r="C4562" s="1" t="s">
        <v>223</v>
      </c>
      <c r="D4562">
        <v>13534</v>
      </c>
      <c r="E4562" s="1" t="s">
        <v>243</v>
      </c>
      <c r="F4562" s="1" t="s">
        <v>223</v>
      </c>
      <c r="G4562">
        <v>2011</v>
      </c>
      <c r="H4562">
        <v>28738.79</v>
      </c>
      <c r="I4562">
        <v>2</v>
      </c>
      <c r="J4562" s="1" t="s">
        <v>461</v>
      </c>
      <c r="K4562">
        <v>0</v>
      </c>
      <c r="L4562">
        <v>2088</v>
      </c>
      <c r="M4562">
        <v>13.763128999999999</v>
      </c>
      <c r="N4562">
        <v>1</v>
      </c>
      <c r="O4562" s="1" t="s">
        <v>565</v>
      </c>
      <c r="P4562">
        <v>34086.17</v>
      </c>
      <c r="Q4562">
        <v>4294.87</v>
      </c>
      <c r="R4562">
        <v>0</v>
      </c>
      <c r="S4562" s="1" t="s">
        <v>922</v>
      </c>
      <c r="T4562" s="1"/>
      <c r="U4562">
        <v>28.738790000000002</v>
      </c>
      <c r="V4562">
        <v>0</v>
      </c>
      <c r="W4562">
        <v>90567</v>
      </c>
    </row>
    <row r="4563" spans="1:23" x14ac:dyDescent="0.25">
      <c r="A4563" s="1" t="s">
        <v>40</v>
      </c>
      <c r="B4563" s="1"/>
      <c r="C4563" s="1" t="s">
        <v>223</v>
      </c>
      <c r="D4563">
        <v>13534</v>
      </c>
      <c r="E4563" s="1" t="s">
        <v>243</v>
      </c>
      <c r="F4563" s="1" t="s">
        <v>223</v>
      </c>
      <c r="G4563">
        <v>2011</v>
      </c>
      <c r="H4563">
        <v>2756.59</v>
      </c>
      <c r="I4563">
        <v>2</v>
      </c>
      <c r="J4563" s="1" t="s">
        <v>461</v>
      </c>
      <c r="K4563">
        <v>0</v>
      </c>
      <c r="L4563">
        <v>2088</v>
      </c>
      <c r="M4563">
        <v>1.3201419999999999</v>
      </c>
      <c r="N4563">
        <v>1</v>
      </c>
      <c r="O4563" s="1" t="s">
        <v>565</v>
      </c>
      <c r="P4563">
        <v>3249.25</v>
      </c>
      <c r="Q4563">
        <v>409.4</v>
      </c>
      <c r="R4563">
        <v>0</v>
      </c>
      <c r="S4563" s="1" t="s">
        <v>925</v>
      </c>
      <c r="T4563" s="1"/>
      <c r="U4563">
        <v>2.7565900000000001</v>
      </c>
      <c r="V4563">
        <v>0</v>
      </c>
      <c r="W4563">
        <v>90568</v>
      </c>
    </row>
    <row r="4564" spans="1:23" x14ac:dyDescent="0.25">
      <c r="A4564" s="1" t="s">
        <v>40</v>
      </c>
      <c r="B4564" s="1"/>
      <c r="C4564" s="1" t="s">
        <v>223</v>
      </c>
      <c r="D4564">
        <v>13534</v>
      </c>
      <c r="E4564" s="1" t="s">
        <v>243</v>
      </c>
      <c r="F4564" s="1" t="s">
        <v>223</v>
      </c>
      <c r="G4564">
        <v>2010</v>
      </c>
      <c r="H4564">
        <v>8723.41</v>
      </c>
      <c r="I4564">
        <v>2</v>
      </c>
      <c r="J4564" s="1" t="s">
        <v>461</v>
      </c>
      <c r="K4564">
        <v>0</v>
      </c>
      <c r="L4564">
        <v>2088</v>
      </c>
      <c r="M4564">
        <v>4.1776780000000002</v>
      </c>
      <c r="N4564">
        <v>1</v>
      </c>
      <c r="O4564" s="1" t="s">
        <v>565</v>
      </c>
      <c r="P4564">
        <v>10916.88</v>
      </c>
      <c r="Q4564">
        <v>1375.54</v>
      </c>
      <c r="R4564">
        <v>0</v>
      </c>
      <c r="S4564" s="1" t="s">
        <v>924</v>
      </c>
      <c r="T4564" s="1"/>
      <c r="U4564">
        <v>8.7234099999999994</v>
      </c>
      <c r="V4564">
        <v>0</v>
      </c>
      <c r="W4564">
        <v>90566</v>
      </c>
    </row>
    <row r="4565" spans="1:23" x14ac:dyDescent="0.25">
      <c r="A4565" s="1" t="s">
        <v>40</v>
      </c>
      <c r="B4565" s="1"/>
      <c r="C4565" s="1" t="s">
        <v>223</v>
      </c>
      <c r="D4565">
        <v>13534</v>
      </c>
      <c r="E4565" s="1" t="s">
        <v>243</v>
      </c>
      <c r="F4565" s="1" t="s">
        <v>223</v>
      </c>
      <c r="G4565">
        <v>2010</v>
      </c>
      <c r="H4565">
        <v>5293.01</v>
      </c>
      <c r="I4565">
        <v>2</v>
      </c>
      <c r="J4565" s="1" t="s">
        <v>461</v>
      </c>
      <c r="K4565">
        <v>0</v>
      </c>
      <c r="L4565">
        <v>2088</v>
      </c>
      <c r="M4565">
        <v>2.5348449999999998</v>
      </c>
      <c r="N4565">
        <v>1</v>
      </c>
      <c r="O4565" s="1" t="s">
        <v>565</v>
      </c>
      <c r="P4565">
        <v>6569.4</v>
      </c>
      <c r="Q4565">
        <v>827.75</v>
      </c>
      <c r="R4565">
        <v>0</v>
      </c>
      <c r="S4565" s="1" t="s">
        <v>925</v>
      </c>
      <c r="T4565" s="1"/>
      <c r="U4565">
        <v>5.2930099999999998</v>
      </c>
      <c r="V4565">
        <v>0</v>
      </c>
      <c r="W4565">
        <v>90568</v>
      </c>
    </row>
    <row r="4566" spans="1:23" x14ac:dyDescent="0.25">
      <c r="A4566" s="1" t="s">
        <v>40</v>
      </c>
      <c r="B4566" s="1"/>
      <c r="C4566" s="1" t="s">
        <v>223</v>
      </c>
      <c r="D4566">
        <v>13534</v>
      </c>
      <c r="E4566" s="1" t="s">
        <v>243</v>
      </c>
      <c r="F4566" s="1" t="s">
        <v>223</v>
      </c>
      <c r="G4566">
        <v>2010</v>
      </c>
      <c r="H4566">
        <v>138449.85999999999</v>
      </c>
      <c r="I4566">
        <v>2</v>
      </c>
      <c r="J4566" s="1" t="s">
        <v>461</v>
      </c>
      <c r="K4566">
        <v>0</v>
      </c>
      <c r="L4566">
        <v>2088</v>
      </c>
      <c r="M4566">
        <v>66.304227999999995</v>
      </c>
      <c r="N4566">
        <v>1</v>
      </c>
      <c r="O4566" s="1" t="s">
        <v>565</v>
      </c>
      <c r="P4566">
        <v>177426.41</v>
      </c>
      <c r="Q4566">
        <v>22355.73</v>
      </c>
      <c r="R4566">
        <v>0</v>
      </c>
      <c r="S4566" s="1" t="s">
        <v>921</v>
      </c>
      <c r="T4566" s="1"/>
      <c r="U4566">
        <v>138.44986</v>
      </c>
      <c r="V4566">
        <v>0</v>
      </c>
      <c r="W4566">
        <v>90565</v>
      </c>
    </row>
    <row r="4567" spans="1:23" x14ac:dyDescent="0.25">
      <c r="A4567" s="1" t="s">
        <v>40</v>
      </c>
      <c r="B4567" s="1"/>
      <c r="C4567" s="1" t="s">
        <v>223</v>
      </c>
      <c r="D4567">
        <v>13534</v>
      </c>
      <c r="E4567" s="1" t="s">
        <v>243</v>
      </c>
      <c r="F4567" s="1" t="s">
        <v>223</v>
      </c>
      <c r="G4567">
        <v>2010</v>
      </c>
      <c r="H4567">
        <v>45856.23</v>
      </c>
      <c r="I4567">
        <v>2</v>
      </c>
      <c r="J4567" s="1" t="s">
        <v>461</v>
      </c>
      <c r="K4567">
        <v>0</v>
      </c>
      <c r="L4567">
        <v>2088</v>
      </c>
      <c r="M4567">
        <v>21.960743999999998</v>
      </c>
      <c r="N4567">
        <v>1</v>
      </c>
      <c r="O4567" s="1" t="s">
        <v>565</v>
      </c>
      <c r="P4567">
        <v>56930.57</v>
      </c>
      <c r="Q4567">
        <v>7173.23</v>
      </c>
      <c r="R4567">
        <v>0</v>
      </c>
      <c r="S4567" s="1" t="s">
        <v>922</v>
      </c>
      <c r="T4567" s="1"/>
      <c r="U4567">
        <v>45.856229999999996</v>
      </c>
      <c r="V4567">
        <v>0</v>
      </c>
      <c r="W4567">
        <v>90567</v>
      </c>
    </row>
    <row r="4568" spans="1:23" x14ac:dyDescent="0.25">
      <c r="A4568" s="1" t="s">
        <v>40</v>
      </c>
      <c r="B4568" s="1"/>
      <c r="C4568" s="1" t="s">
        <v>223</v>
      </c>
      <c r="D4568">
        <v>13534</v>
      </c>
      <c r="E4568" s="1" t="s">
        <v>243</v>
      </c>
      <c r="F4568" s="1" t="s">
        <v>223</v>
      </c>
      <c r="G4568">
        <v>2009</v>
      </c>
      <c r="H4568">
        <v>48904.68</v>
      </c>
      <c r="I4568">
        <v>1</v>
      </c>
      <c r="J4568" s="1" t="s">
        <v>461</v>
      </c>
      <c r="K4568">
        <v>0</v>
      </c>
      <c r="L4568">
        <v>2088</v>
      </c>
      <c r="M4568">
        <v>23.420659000000001</v>
      </c>
      <c r="N4568">
        <v>1</v>
      </c>
      <c r="O4568" s="1" t="s">
        <v>565</v>
      </c>
      <c r="P4568">
        <v>84915.11</v>
      </c>
      <c r="Q4568">
        <v>10699.31</v>
      </c>
      <c r="R4568">
        <v>0</v>
      </c>
      <c r="S4568" s="1" t="s">
        <v>921</v>
      </c>
      <c r="T4568" s="1"/>
      <c r="U4568">
        <v>48.904679999999999</v>
      </c>
      <c r="V4568">
        <v>0</v>
      </c>
      <c r="W4568">
        <v>90565</v>
      </c>
    </row>
    <row r="4569" spans="1:23" x14ac:dyDescent="0.25">
      <c r="A4569" s="1" t="s">
        <v>40</v>
      </c>
      <c r="B4569" s="1"/>
      <c r="C4569" s="1" t="s">
        <v>223</v>
      </c>
      <c r="D4569">
        <v>13534</v>
      </c>
      <c r="E4569" s="1" t="s">
        <v>243</v>
      </c>
      <c r="F4569" s="1" t="s">
        <v>223</v>
      </c>
      <c r="G4569">
        <v>2009</v>
      </c>
      <c r="H4569">
        <v>1902.94</v>
      </c>
      <c r="I4569">
        <v>1</v>
      </c>
      <c r="J4569" s="1" t="s">
        <v>461</v>
      </c>
      <c r="K4569">
        <v>0</v>
      </c>
      <c r="L4569">
        <v>2088</v>
      </c>
      <c r="M4569">
        <v>0.91132599999999997</v>
      </c>
      <c r="N4569">
        <v>1</v>
      </c>
      <c r="O4569" s="1" t="s">
        <v>565</v>
      </c>
      <c r="P4569">
        <v>3304.15</v>
      </c>
      <c r="Q4569">
        <v>416.32</v>
      </c>
      <c r="R4569">
        <v>0</v>
      </c>
      <c r="S4569" s="1" t="s">
        <v>924</v>
      </c>
      <c r="T4569" s="1"/>
      <c r="U4569">
        <v>1.9029400000000001</v>
      </c>
      <c r="V4569">
        <v>0</v>
      </c>
      <c r="W4569">
        <v>90566</v>
      </c>
    </row>
    <row r="4570" spans="1:23" x14ac:dyDescent="0.25">
      <c r="A4570" s="1" t="s">
        <v>40</v>
      </c>
      <c r="B4570" s="1"/>
      <c r="C4570" s="1" t="s">
        <v>223</v>
      </c>
      <c r="D4570">
        <v>13534</v>
      </c>
      <c r="E4570" s="1" t="s">
        <v>243</v>
      </c>
      <c r="F4570" s="1" t="s">
        <v>223</v>
      </c>
      <c r="G4570">
        <v>2009</v>
      </c>
      <c r="H4570">
        <v>1488.83</v>
      </c>
      <c r="I4570">
        <v>1</v>
      </c>
      <c r="J4570" s="1" t="s">
        <v>461</v>
      </c>
      <c r="K4570">
        <v>0</v>
      </c>
      <c r="L4570">
        <v>2088</v>
      </c>
      <c r="M4570">
        <v>0.71300699999999995</v>
      </c>
      <c r="N4570">
        <v>1</v>
      </c>
      <c r="O4570" s="1" t="s">
        <v>565</v>
      </c>
      <c r="P4570">
        <v>2585.11</v>
      </c>
      <c r="Q4570">
        <v>325.72000000000003</v>
      </c>
      <c r="R4570">
        <v>0</v>
      </c>
      <c r="S4570" s="1" t="s">
        <v>925</v>
      </c>
      <c r="T4570" s="1"/>
      <c r="U4570">
        <v>1.4888300000000001</v>
      </c>
      <c r="V4570">
        <v>0</v>
      </c>
      <c r="W4570">
        <v>90568</v>
      </c>
    </row>
    <row r="4571" spans="1:23" x14ac:dyDescent="0.25">
      <c r="A4571" s="1" t="s">
        <v>40</v>
      </c>
      <c r="B4571" s="1"/>
      <c r="C4571" s="1" t="s">
        <v>223</v>
      </c>
      <c r="D4571">
        <v>13534</v>
      </c>
      <c r="E4571" s="1" t="s">
        <v>243</v>
      </c>
      <c r="F4571" s="1" t="s">
        <v>223</v>
      </c>
      <c r="G4571">
        <v>2009</v>
      </c>
      <c r="H4571">
        <v>15144.68</v>
      </c>
      <c r="I4571">
        <v>1</v>
      </c>
      <c r="J4571" s="1" t="s">
        <v>461</v>
      </c>
      <c r="K4571">
        <v>0</v>
      </c>
      <c r="L4571">
        <v>2088</v>
      </c>
      <c r="M4571">
        <v>7.2528509999999997</v>
      </c>
      <c r="N4571">
        <v>1</v>
      </c>
      <c r="O4571" s="1" t="s">
        <v>565</v>
      </c>
      <c r="P4571">
        <v>26296.29</v>
      </c>
      <c r="Q4571">
        <v>3313.33</v>
      </c>
      <c r="R4571">
        <v>0</v>
      </c>
      <c r="S4571" s="1" t="s">
        <v>922</v>
      </c>
      <c r="T4571" s="1"/>
      <c r="U4571">
        <v>15.144679999999999</v>
      </c>
      <c r="V4571">
        <v>0</v>
      </c>
      <c r="W4571">
        <v>90567</v>
      </c>
    </row>
    <row r="4572" spans="1:23" x14ac:dyDescent="0.25">
      <c r="A4572" s="1" t="s">
        <v>40</v>
      </c>
      <c r="B4572" s="1" t="s">
        <v>94</v>
      </c>
      <c r="C4572" s="1" t="s">
        <v>224</v>
      </c>
      <c r="D4572">
        <v>5465</v>
      </c>
      <c r="E4572" s="1"/>
      <c r="F4572" s="1" t="s">
        <v>224</v>
      </c>
      <c r="G4572">
        <v>2015</v>
      </c>
      <c r="H4572">
        <v>56474.41</v>
      </c>
      <c r="I4572">
        <v>5</v>
      </c>
      <c r="J4572" s="1"/>
      <c r="K4572">
        <v>0</v>
      </c>
      <c r="L4572">
        <v>1384</v>
      </c>
      <c r="M4572">
        <v>40.802261000000001</v>
      </c>
      <c r="N4572">
        <v>1</v>
      </c>
      <c r="O4572" s="1" t="s">
        <v>562</v>
      </c>
      <c r="P4572">
        <v>64281.07</v>
      </c>
      <c r="Q4572">
        <v>11891997.949999999</v>
      </c>
      <c r="R4572">
        <v>0</v>
      </c>
      <c r="S4572" s="1" t="s">
        <v>926</v>
      </c>
      <c r="T4572" s="1"/>
      <c r="U4572">
        <v>56474.40625</v>
      </c>
      <c r="V4572">
        <v>0</v>
      </c>
      <c r="W4572">
        <v>57760</v>
      </c>
    </row>
    <row r="4573" spans="1:23" x14ac:dyDescent="0.25">
      <c r="A4573" s="1" t="s">
        <v>40</v>
      </c>
      <c r="B4573" s="1" t="s">
        <v>94</v>
      </c>
      <c r="C4573" s="1" t="s">
        <v>224</v>
      </c>
      <c r="D4573">
        <v>5465</v>
      </c>
      <c r="E4573" s="1"/>
      <c r="F4573" s="1" t="s">
        <v>224</v>
      </c>
      <c r="G4573">
        <v>2015</v>
      </c>
      <c r="H4573">
        <v>1107.5899999999999</v>
      </c>
      <c r="I4573">
        <v>5</v>
      </c>
      <c r="J4573" s="1" t="s">
        <v>421</v>
      </c>
      <c r="K4573">
        <v>0</v>
      </c>
      <c r="L4573">
        <v>1384</v>
      </c>
      <c r="M4573">
        <v>0.80022300000000002</v>
      </c>
      <c r="N4573">
        <v>1</v>
      </c>
      <c r="O4573" s="1" t="s">
        <v>562</v>
      </c>
      <c r="P4573">
        <v>1213.28</v>
      </c>
      <c r="Q4573">
        <v>224456.8</v>
      </c>
      <c r="R4573">
        <v>1</v>
      </c>
      <c r="S4573" s="1" t="s">
        <v>927</v>
      </c>
      <c r="T4573" s="1"/>
      <c r="U4573">
        <v>1107.59375</v>
      </c>
      <c r="V4573">
        <v>0</v>
      </c>
      <c r="W4573">
        <v>57767</v>
      </c>
    </row>
    <row r="4574" spans="1:23" x14ac:dyDescent="0.25">
      <c r="A4574" s="1" t="s">
        <v>40</v>
      </c>
      <c r="B4574" s="1" t="s">
        <v>94</v>
      </c>
      <c r="C4574" s="1" t="s">
        <v>224</v>
      </c>
      <c r="D4574">
        <v>5465</v>
      </c>
      <c r="E4574" s="1"/>
      <c r="F4574" s="1" t="s">
        <v>224</v>
      </c>
      <c r="G4574">
        <v>2015</v>
      </c>
      <c r="H4574">
        <v>2875.07</v>
      </c>
      <c r="I4574">
        <v>5</v>
      </c>
      <c r="J4574" s="1" t="s">
        <v>421</v>
      </c>
      <c r="K4574">
        <v>0</v>
      </c>
      <c r="L4574">
        <v>1384</v>
      </c>
      <c r="M4574">
        <v>2.0772119999999998</v>
      </c>
      <c r="N4574">
        <v>1</v>
      </c>
      <c r="O4574" s="1" t="s">
        <v>562</v>
      </c>
      <c r="P4574">
        <v>3200.43</v>
      </c>
      <c r="Q4574">
        <v>592079.55000000005</v>
      </c>
      <c r="R4574">
        <v>1</v>
      </c>
      <c r="S4574" s="1" t="s">
        <v>928</v>
      </c>
      <c r="T4574" s="1"/>
      <c r="U4574">
        <v>2875.0624899999998</v>
      </c>
      <c r="V4574">
        <v>0</v>
      </c>
      <c r="W4574">
        <v>57775</v>
      </c>
    </row>
    <row r="4575" spans="1:23" x14ac:dyDescent="0.25">
      <c r="A4575" s="1" t="s">
        <v>40</v>
      </c>
      <c r="B4575" s="1" t="s">
        <v>94</v>
      </c>
      <c r="C4575" s="1" t="s">
        <v>224</v>
      </c>
      <c r="D4575">
        <v>5465</v>
      </c>
      <c r="E4575" s="1"/>
      <c r="F4575" s="1" t="s">
        <v>224</v>
      </c>
      <c r="G4575">
        <v>2015</v>
      </c>
      <c r="H4575">
        <v>41459.78</v>
      </c>
      <c r="I4575">
        <v>5</v>
      </c>
      <c r="J4575" s="1"/>
      <c r="K4575">
        <v>0</v>
      </c>
      <c r="L4575">
        <v>1384</v>
      </c>
      <c r="M4575">
        <v>29.954324</v>
      </c>
      <c r="N4575">
        <v>1</v>
      </c>
      <c r="O4575" s="1" t="s">
        <v>563</v>
      </c>
      <c r="P4575">
        <v>46788.79</v>
      </c>
      <c r="Q4575">
        <v>248091.89</v>
      </c>
      <c r="R4575">
        <v>1</v>
      </c>
      <c r="S4575" s="1" t="s">
        <v>929</v>
      </c>
      <c r="T4575" s="1"/>
      <c r="U4575">
        <v>1188.3</v>
      </c>
      <c r="V4575">
        <v>57760</v>
      </c>
      <c r="W4575">
        <v>57765</v>
      </c>
    </row>
    <row r="4576" spans="1:23" x14ac:dyDescent="0.25">
      <c r="A4576" s="1" t="s">
        <v>40</v>
      </c>
      <c r="B4576" s="1" t="s">
        <v>94</v>
      </c>
      <c r="C4576" s="1" t="s">
        <v>224</v>
      </c>
      <c r="D4576">
        <v>5465</v>
      </c>
      <c r="E4576" s="1"/>
      <c r="F4576" s="1" t="s">
        <v>224</v>
      </c>
      <c r="G4576">
        <v>2015</v>
      </c>
      <c r="H4576">
        <v>40300.74</v>
      </c>
      <c r="I4576">
        <v>5</v>
      </c>
      <c r="J4576" s="1" t="s">
        <v>421</v>
      </c>
      <c r="K4576">
        <v>0</v>
      </c>
      <c r="L4576">
        <v>1384</v>
      </c>
      <c r="M4576">
        <v>29.116927</v>
      </c>
      <c r="N4576">
        <v>1</v>
      </c>
      <c r="O4576" s="1" t="s">
        <v>562</v>
      </c>
      <c r="P4576">
        <v>46056.93</v>
      </c>
      <c r="Q4576">
        <v>8520532.0500000007</v>
      </c>
      <c r="R4576">
        <v>1</v>
      </c>
      <c r="S4576" s="1" t="s">
        <v>930</v>
      </c>
      <c r="T4576" s="1"/>
      <c r="U4576">
        <v>40300.75</v>
      </c>
      <c r="V4576">
        <v>0</v>
      </c>
      <c r="W4576">
        <v>57777</v>
      </c>
    </row>
    <row r="4577" spans="1:23" x14ac:dyDescent="0.25">
      <c r="A4577" s="1" t="s">
        <v>40</v>
      </c>
      <c r="B4577" s="1" t="s">
        <v>94</v>
      </c>
      <c r="C4577" s="1" t="s">
        <v>224</v>
      </c>
      <c r="D4577">
        <v>5465</v>
      </c>
      <c r="E4577" s="1"/>
      <c r="F4577" s="1" t="s">
        <v>224</v>
      </c>
      <c r="G4577">
        <v>2014</v>
      </c>
      <c r="H4577">
        <v>94723.74</v>
      </c>
      <c r="I4577">
        <v>12</v>
      </c>
      <c r="J4577" s="1"/>
      <c r="K4577">
        <v>0</v>
      </c>
      <c r="L4577">
        <v>1384</v>
      </c>
      <c r="M4577">
        <v>68.437062999999995</v>
      </c>
      <c r="N4577">
        <v>1</v>
      </c>
      <c r="O4577" s="1" t="s">
        <v>562</v>
      </c>
      <c r="P4577">
        <v>111934.53</v>
      </c>
      <c r="Q4577">
        <v>8236847.2400000002</v>
      </c>
      <c r="R4577">
        <v>0</v>
      </c>
      <c r="S4577" s="1" t="s">
        <v>926</v>
      </c>
      <c r="T4577" s="1"/>
      <c r="U4577">
        <v>94723.755040000004</v>
      </c>
      <c r="V4577">
        <v>0</v>
      </c>
      <c r="W4577">
        <v>57760</v>
      </c>
    </row>
    <row r="4578" spans="1:23" x14ac:dyDescent="0.25">
      <c r="A4578" s="1" t="s">
        <v>40</v>
      </c>
      <c r="B4578" s="1" t="s">
        <v>94</v>
      </c>
      <c r="C4578" s="1" t="s">
        <v>224</v>
      </c>
      <c r="D4578">
        <v>5465</v>
      </c>
      <c r="E4578" s="1"/>
      <c r="F4578" s="1" t="s">
        <v>224</v>
      </c>
      <c r="G4578">
        <v>2014</v>
      </c>
      <c r="H4578">
        <v>4238.34</v>
      </c>
      <c r="I4578">
        <v>12</v>
      </c>
      <c r="J4578" s="1" t="s">
        <v>421</v>
      </c>
      <c r="K4578">
        <v>0</v>
      </c>
      <c r="L4578">
        <v>1384</v>
      </c>
      <c r="M4578">
        <v>3.062163</v>
      </c>
      <c r="N4578">
        <v>1</v>
      </c>
      <c r="O4578" s="1" t="s">
        <v>562</v>
      </c>
      <c r="P4578">
        <v>5341.4</v>
      </c>
      <c r="Q4578">
        <v>769689.18</v>
      </c>
      <c r="R4578">
        <v>1</v>
      </c>
      <c r="S4578" s="1" t="s">
        <v>927</v>
      </c>
      <c r="T4578" s="1"/>
      <c r="U4578">
        <v>4238.3417399999998</v>
      </c>
      <c r="V4578">
        <v>0</v>
      </c>
      <c r="W4578">
        <v>57767</v>
      </c>
    </row>
    <row r="4579" spans="1:23" x14ac:dyDescent="0.25">
      <c r="A4579" s="1" t="s">
        <v>40</v>
      </c>
      <c r="B4579" s="1" t="s">
        <v>94</v>
      </c>
      <c r="C4579" s="1" t="s">
        <v>224</v>
      </c>
      <c r="D4579">
        <v>5465</v>
      </c>
      <c r="E4579" s="1"/>
      <c r="F4579" s="1" t="s">
        <v>224</v>
      </c>
      <c r="G4579">
        <v>2014</v>
      </c>
      <c r="H4579">
        <v>8458.0400000000009</v>
      </c>
      <c r="I4579">
        <v>12</v>
      </c>
      <c r="J4579" s="1" t="s">
        <v>421</v>
      </c>
      <c r="K4579">
        <v>0</v>
      </c>
      <c r="L4579">
        <v>1384</v>
      </c>
      <c r="M4579">
        <v>6.1108589999999996</v>
      </c>
      <c r="N4579">
        <v>1</v>
      </c>
      <c r="O4579" s="1" t="s">
        <v>562</v>
      </c>
      <c r="P4579">
        <v>10000.64</v>
      </c>
      <c r="Q4579">
        <v>1000795.52</v>
      </c>
      <c r="R4579">
        <v>1</v>
      </c>
      <c r="S4579" s="1" t="s">
        <v>928</v>
      </c>
      <c r="T4579" s="1"/>
      <c r="U4579">
        <v>8458.0342700000001</v>
      </c>
      <c r="V4579">
        <v>0</v>
      </c>
      <c r="W4579">
        <v>57775</v>
      </c>
    </row>
    <row r="4580" spans="1:23" x14ac:dyDescent="0.25">
      <c r="A4580" s="1" t="s">
        <v>40</v>
      </c>
      <c r="B4580" s="1" t="s">
        <v>94</v>
      </c>
      <c r="C4580" s="1" t="s">
        <v>224</v>
      </c>
      <c r="D4580">
        <v>5465</v>
      </c>
      <c r="E4580" s="1"/>
      <c r="F4580" s="1" t="s">
        <v>224</v>
      </c>
      <c r="G4580">
        <v>2014</v>
      </c>
      <c r="H4580">
        <v>71517.52</v>
      </c>
      <c r="I4580">
        <v>12</v>
      </c>
      <c r="J4580" s="1"/>
      <c r="K4580">
        <v>0</v>
      </c>
      <c r="L4580">
        <v>1384</v>
      </c>
      <c r="M4580">
        <v>51.670774999999999</v>
      </c>
      <c r="N4580">
        <v>1</v>
      </c>
      <c r="O4580" s="1" t="s">
        <v>563</v>
      </c>
      <c r="P4580">
        <v>83314.28</v>
      </c>
      <c r="Q4580">
        <v>180420.31</v>
      </c>
      <c r="R4580">
        <v>1</v>
      </c>
      <c r="S4580" s="1" t="s">
        <v>929</v>
      </c>
      <c r="T4580" s="1"/>
      <c r="U4580">
        <v>2049.8000000000002</v>
      </c>
      <c r="V4580">
        <v>57760</v>
      </c>
      <c r="W4580">
        <v>57765</v>
      </c>
    </row>
    <row r="4581" spans="1:23" x14ac:dyDescent="0.25">
      <c r="A4581" s="1" t="s">
        <v>40</v>
      </c>
      <c r="B4581" s="1" t="s">
        <v>94</v>
      </c>
      <c r="C4581" s="1" t="s">
        <v>224</v>
      </c>
      <c r="D4581">
        <v>5465</v>
      </c>
      <c r="E4581" s="1"/>
      <c r="F4581" s="1" t="s">
        <v>224</v>
      </c>
      <c r="G4581">
        <v>2014</v>
      </c>
      <c r="H4581">
        <v>68249.820000000007</v>
      </c>
      <c r="I4581">
        <v>12</v>
      </c>
      <c r="J4581" s="1" t="s">
        <v>421</v>
      </c>
      <c r="K4581">
        <v>0</v>
      </c>
      <c r="L4581">
        <v>1384</v>
      </c>
      <c r="M4581">
        <v>49.309890000000003</v>
      </c>
      <c r="N4581">
        <v>1</v>
      </c>
      <c r="O4581" s="1" t="s">
        <v>562</v>
      </c>
      <c r="P4581">
        <v>81755.44</v>
      </c>
      <c r="Q4581">
        <v>6576763.25</v>
      </c>
      <c r="R4581">
        <v>1</v>
      </c>
      <c r="S4581" s="1" t="s">
        <v>930</v>
      </c>
      <c r="T4581" s="1"/>
      <c r="U4581">
        <v>68249.798389999996</v>
      </c>
      <c r="V4581">
        <v>0</v>
      </c>
      <c r="W4581">
        <v>57777</v>
      </c>
    </row>
    <row r="4582" spans="1:23" x14ac:dyDescent="0.25">
      <c r="A4582" s="1" t="s">
        <v>40</v>
      </c>
      <c r="B4582" s="1" t="s">
        <v>94</v>
      </c>
      <c r="C4582" s="1" t="s">
        <v>224</v>
      </c>
      <c r="D4582">
        <v>5465</v>
      </c>
      <c r="E4582" s="1"/>
      <c r="F4582" s="1" t="s">
        <v>224</v>
      </c>
      <c r="G4582">
        <v>2013</v>
      </c>
      <c r="H4582">
        <v>1369.88</v>
      </c>
      <c r="I4582">
        <v>12</v>
      </c>
      <c r="J4582" s="1" t="s">
        <v>421</v>
      </c>
      <c r="K4582">
        <v>0</v>
      </c>
      <c r="L4582">
        <v>1384</v>
      </c>
      <c r="M4582">
        <v>0.98972599999999999</v>
      </c>
      <c r="N4582">
        <v>1</v>
      </c>
      <c r="O4582" s="1" t="s">
        <v>562</v>
      </c>
      <c r="P4582">
        <v>1559</v>
      </c>
      <c r="Q4582">
        <v>288.42</v>
      </c>
      <c r="R4582">
        <v>1</v>
      </c>
      <c r="S4582" s="1" t="s">
        <v>927</v>
      </c>
      <c r="T4582" s="1"/>
      <c r="U4582">
        <v>1369.88804</v>
      </c>
      <c r="V4582">
        <v>0</v>
      </c>
      <c r="W4582">
        <v>57767</v>
      </c>
    </row>
    <row r="4583" spans="1:23" x14ac:dyDescent="0.25">
      <c r="A4583" s="1" t="s">
        <v>40</v>
      </c>
      <c r="B4583" s="1" t="s">
        <v>94</v>
      </c>
      <c r="C4583" s="1" t="s">
        <v>224</v>
      </c>
      <c r="D4583">
        <v>5465</v>
      </c>
      <c r="E4583" s="1"/>
      <c r="F4583" s="1" t="s">
        <v>224</v>
      </c>
      <c r="G4583">
        <v>2013</v>
      </c>
      <c r="H4583">
        <v>8521.07</v>
      </c>
      <c r="I4583">
        <v>12</v>
      </c>
      <c r="J4583" s="1" t="s">
        <v>421</v>
      </c>
      <c r="K4583">
        <v>0</v>
      </c>
      <c r="L4583">
        <v>1384</v>
      </c>
      <c r="M4583">
        <v>6.1563970000000001</v>
      </c>
      <c r="N4583">
        <v>1</v>
      </c>
      <c r="O4583" s="1" t="s">
        <v>562</v>
      </c>
      <c r="P4583">
        <v>11720.29</v>
      </c>
      <c r="Q4583">
        <v>2168.2399999999998</v>
      </c>
      <c r="R4583">
        <v>1</v>
      </c>
      <c r="S4583" s="1" t="s">
        <v>928</v>
      </c>
      <c r="T4583" s="1"/>
      <c r="U4583">
        <v>8521.0502699999997</v>
      </c>
      <c r="V4583">
        <v>0</v>
      </c>
      <c r="W4583">
        <v>57775</v>
      </c>
    </row>
    <row r="4584" spans="1:23" x14ac:dyDescent="0.25">
      <c r="A4584" s="1" t="s">
        <v>40</v>
      </c>
      <c r="B4584" s="1" t="s">
        <v>94</v>
      </c>
      <c r="C4584" s="1" t="s">
        <v>224</v>
      </c>
      <c r="D4584">
        <v>5465</v>
      </c>
      <c r="E4584" s="1"/>
      <c r="F4584" s="1" t="s">
        <v>224</v>
      </c>
      <c r="G4584">
        <v>2013</v>
      </c>
      <c r="H4584">
        <v>72562.66</v>
      </c>
      <c r="I4584">
        <v>12</v>
      </c>
      <c r="J4584" s="1" t="s">
        <v>421</v>
      </c>
      <c r="K4584">
        <v>0</v>
      </c>
      <c r="L4584">
        <v>1384</v>
      </c>
      <c r="M4584">
        <v>52.425879000000002</v>
      </c>
      <c r="N4584">
        <v>1</v>
      </c>
      <c r="O4584" s="1" t="s">
        <v>562</v>
      </c>
      <c r="P4584">
        <v>75778.11</v>
      </c>
      <c r="Q4584">
        <v>14018.95</v>
      </c>
      <c r="R4584">
        <v>1</v>
      </c>
      <c r="S4584" s="1" t="s">
        <v>930</v>
      </c>
      <c r="T4584" s="1"/>
      <c r="U4584">
        <v>72562.657500000001</v>
      </c>
      <c r="V4584">
        <v>0</v>
      </c>
      <c r="W4584">
        <v>57777</v>
      </c>
    </row>
    <row r="4585" spans="1:23" x14ac:dyDescent="0.25">
      <c r="A4585" s="1" t="s">
        <v>40</v>
      </c>
      <c r="B4585" s="1" t="s">
        <v>94</v>
      </c>
      <c r="C4585" s="1" t="s">
        <v>224</v>
      </c>
      <c r="D4585">
        <v>5465</v>
      </c>
      <c r="E4585" s="1"/>
      <c r="F4585" s="1" t="s">
        <v>224</v>
      </c>
      <c r="G4585">
        <v>2013</v>
      </c>
      <c r="H4585">
        <v>73638.81</v>
      </c>
      <c r="I4585">
        <v>12</v>
      </c>
      <c r="J4585" s="1"/>
      <c r="K4585">
        <v>0</v>
      </c>
      <c r="L4585">
        <v>1384</v>
      </c>
      <c r="M4585">
        <v>53.203387999999997</v>
      </c>
      <c r="N4585">
        <v>1</v>
      </c>
      <c r="O4585" s="1" t="s">
        <v>563</v>
      </c>
      <c r="P4585">
        <v>75322.509999999995</v>
      </c>
      <c r="Q4585">
        <v>399.38</v>
      </c>
      <c r="R4585">
        <v>1</v>
      </c>
      <c r="S4585" s="1" t="s">
        <v>929</v>
      </c>
      <c r="T4585" s="1"/>
      <c r="U4585">
        <v>2110.6</v>
      </c>
      <c r="V4585">
        <v>57760</v>
      </c>
      <c r="W4585">
        <v>57765</v>
      </c>
    </row>
    <row r="4586" spans="1:23" x14ac:dyDescent="0.25">
      <c r="A4586" s="1" t="s">
        <v>40</v>
      </c>
      <c r="B4586" s="1" t="s">
        <v>94</v>
      </c>
      <c r="C4586" s="1" t="s">
        <v>224</v>
      </c>
      <c r="D4586">
        <v>5465</v>
      </c>
      <c r="E4586" s="1"/>
      <c r="F4586" s="1" t="s">
        <v>224</v>
      </c>
      <c r="G4586">
        <v>2013</v>
      </c>
      <c r="H4586">
        <v>96520.13</v>
      </c>
      <c r="I4586">
        <v>12</v>
      </c>
      <c r="J4586" s="1"/>
      <c r="K4586">
        <v>0</v>
      </c>
      <c r="L4586">
        <v>1384</v>
      </c>
      <c r="M4586">
        <v>69.734938999999997</v>
      </c>
      <c r="N4586">
        <v>1</v>
      </c>
      <c r="O4586" s="1" t="s">
        <v>562</v>
      </c>
      <c r="P4586">
        <v>99264.83</v>
      </c>
      <c r="Q4586">
        <v>18363.990000000002</v>
      </c>
      <c r="R4586">
        <v>0</v>
      </c>
      <c r="S4586" s="1" t="s">
        <v>926</v>
      </c>
      <c r="T4586" s="1"/>
      <c r="U4586">
        <v>96520.132830000002</v>
      </c>
      <c r="V4586">
        <v>0</v>
      </c>
      <c r="W4586">
        <v>57760</v>
      </c>
    </row>
    <row r="4587" spans="1:23" x14ac:dyDescent="0.25">
      <c r="A4587" s="1" t="s">
        <v>40</v>
      </c>
      <c r="B4587" s="1" t="s">
        <v>94</v>
      </c>
      <c r="C4587" s="1" t="s">
        <v>224</v>
      </c>
      <c r="D4587">
        <v>5465</v>
      </c>
      <c r="E4587" s="1"/>
      <c r="F4587" s="1" t="s">
        <v>224</v>
      </c>
      <c r="G4587">
        <v>2012</v>
      </c>
      <c r="H4587">
        <v>3131.83</v>
      </c>
      <c r="I4587">
        <v>12</v>
      </c>
      <c r="J4587" s="1" t="s">
        <v>421</v>
      </c>
      <c r="K4587">
        <v>0</v>
      </c>
      <c r="L4587">
        <v>1384</v>
      </c>
      <c r="M4587">
        <v>2.2627190000000001</v>
      </c>
      <c r="N4587">
        <v>1</v>
      </c>
      <c r="O4587" s="1" t="s">
        <v>562</v>
      </c>
      <c r="P4587">
        <v>3136.86</v>
      </c>
      <c r="Q4587">
        <v>580.32000000000005</v>
      </c>
      <c r="R4587">
        <v>1</v>
      </c>
      <c r="S4587" s="1" t="s">
        <v>927</v>
      </c>
      <c r="T4587" s="1"/>
      <c r="U4587">
        <v>3131.8128200000001</v>
      </c>
      <c r="V4587">
        <v>0</v>
      </c>
      <c r="W4587">
        <v>57767</v>
      </c>
    </row>
    <row r="4588" spans="1:23" x14ac:dyDescent="0.25">
      <c r="A4588" s="1" t="s">
        <v>40</v>
      </c>
      <c r="B4588" s="1" t="s">
        <v>94</v>
      </c>
      <c r="C4588" s="1" t="s">
        <v>224</v>
      </c>
      <c r="D4588">
        <v>5465</v>
      </c>
      <c r="E4588" s="1"/>
      <c r="F4588" s="1" t="s">
        <v>224</v>
      </c>
      <c r="G4588">
        <v>2012</v>
      </c>
      <c r="H4588">
        <v>8747.4599999999991</v>
      </c>
      <c r="I4588">
        <v>12</v>
      </c>
      <c r="J4588" s="1" t="s">
        <v>421</v>
      </c>
      <c r="K4588">
        <v>0</v>
      </c>
      <c r="L4588">
        <v>1384</v>
      </c>
      <c r="M4588">
        <v>6.3199620000000003</v>
      </c>
      <c r="N4588">
        <v>1</v>
      </c>
      <c r="O4588" s="1" t="s">
        <v>562</v>
      </c>
      <c r="P4588">
        <v>9655.59</v>
      </c>
      <c r="Q4588">
        <v>1786.29</v>
      </c>
      <c r="R4588">
        <v>1</v>
      </c>
      <c r="S4588" s="1" t="s">
        <v>928</v>
      </c>
      <c r="T4588" s="1"/>
      <c r="U4588">
        <v>8747.4590000000007</v>
      </c>
      <c r="V4588">
        <v>0</v>
      </c>
      <c r="W4588">
        <v>57775</v>
      </c>
    </row>
    <row r="4589" spans="1:23" x14ac:dyDescent="0.25">
      <c r="A4589" s="1" t="s">
        <v>40</v>
      </c>
      <c r="B4589" s="1" t="s">
        <v>94</v>
      </c>
      <c r="C4589" s="1" t="s">
        <v>224</v>
      </c>
      <c r="D4589">
        <v>5465</v>
      </c>
      <c r="E4589" s="1"/>
      <c r="F4589" s="1" t="s">
        <v>224</v>
      </c>
      <c r="G4589">
        <v>2012</v>
      </c>
      <c r="H4589">
        <v>71815.41</v>
      </c>
      <c r="I4589">
        <v>12</v>
      </c>
      <c r="J4589" s="1" t="s">
        <v>421</v>
      </c>
      <c r="K4589">
        <v>0</v>
      </c>
      <c r="L4589">
        <v>1384</v>
      </c>
      <c r="M4589">
        <v>51.885998000000001</v>
      </c>
      <c r="N4589">
        <v>1</v>
      </c>
      <c r="O4589" s="1" t="s">
        <v>562</v>
      </c>
      <c r="P4589">
        <v>75745.47</v>
      </c>
      <c r="Q4589">
        <v>14012.92</v>
      </c>
      <c r="R4589">
        <v>1</v>
      </c>
      <c r="S4589" s="1" t="s">
        <v>930</v>
      </c>
      <c r="T4589" s="1"/>
      <c r="U4589">
        <v>71815.400179999997</v>
      </c>
      <c r="V4589">
        <v>0</v>
      </c>
      <c r="W4589">
        <v>57777</v>
      </c>
    </row>
    <row r="4590" spans="1:23" x14ac:dyDescent="0.25">
      <c r="A4590" s="1" t="s">
        <v>40</v>
      </c>
      <c r="B4590" s="1" t="s">
        <v>94</v>
      </c>
      <c r="C4590" s="1" t="s">
        <v>224</v>
      </c>
      <c r="D4590">
        <v>5465</v>
      </c>
      <c r="E4590" s="1"/>
      <c r="F4590" s="1" t="s">
        <v>224</v>
      </c>
      <c r="G4590">
        <v>2012</v>
      </c>
      <c r="H4590">
        <v>80208.62</v>
      </c>
      <c r="I4590">
        <v>12</v>
      </c>
      <c r="J4590" s="1"/>
      <c r="K4590">
        <v>0</v>
      </c>
      <c r="L4590">
        <v>1384</v>
      </c>
      <c r="M4590">
        <v>57.950018</v>
      </c>
      <c r="N4590">
        <v>1</v>
      </c>
      <c r="O4590" s="1" t="s">
        <v>563</v>
      </c>
      <c r="P4590">
        <v>84136.24</v>
      </c>
      <c r="Q4590">
        <v>446.13</v>
      </c>
      <c r="R4590">
        <v>1</v>
      </c>
      <c r="S4590" s="1" t="s">
        <v>929</v>
      </c>
      <c r="T4590" s="1"/>
      <c r="U4590">
        <v>2298.9</v>
      </c>
      <c r="V4590">
        <v>57760</v>
      </c>
      <c r="W4590">
        <v>57765</v>
      </c>
    </row>
    <row r="4591" spans="1:23" x14ac:dyDescent="0.25">
      <c r="A4591" s="1" t="s">
        <v>40</v>
      </c>
      <c r="B4591" s="1" t="s">
        <v>94</v>
      </c>
      <c r="C4591" s="1" t="s">
        <v>224</v>
      </c>
      <c r="D4591">
        <v>5465</v>
      </c>
      <c r="E4591" s="1"/>
      <c r="F4591" s="1" t="s">
        <v>224</v>
      </c>
      <c r="G4591">
        <v>2012</v>
      </c>
      <c r="H4591">
        <v>101460.41</v>
      </c>
      <c r="I4591">
        <v>12</v>
      </c>
      <c r="J4591" s="1"/>
      <c r="K4591">
        <v>0</v>
      </c>
      <c r="L4591">
        <v>1384</v>
      </c>
      <c r="M4591">
        <v>73.304248000000001</v>
      </c>
      <c r="N4591">
        <v>1</v>
      </c>
      <c r="O4591" s="1" t="s">
        <v>562</v>
      </c>
      <c r="P4591">
        <v>107483.21</v>
      </c>
      <c r="Q4591">
        <v>19884.39</v>
      </c>
      <c r="R4591">
        <v>0</v>
      </c>
      <c r="S4591" s="1" t="s">
        <v>926</v>
      </c>
      <c r="T4591" s="1"/>
      <c r="U4591">
        <v>101460.40286</v>
      </c>
      <c r="V4591">
        <v>0</v>
      </c>
      <c r="W4591">
        <v>57760</v>
      </c>
    </row>
    <row r="4592" spans="1:23" x14ac:dyDescent="0.25">
      <c r="A4592" s="1" t="s">
        <v>40</v>
      </c>
      <c r="B4592" s="1" t="s">
        <v>94</v>
      </c>
      <c r="C4592" s="1" t="s">
        <v>224</v>
      </c>
      <c r="D4592">
        <v>5465</v>
      </c>
      <c r="E4592" s="1"/>
      <c r="F4592" s="1" t="s">
        <v>224</v>
      </c>
      <c r="G4592">
        <v>2011</v>
      </c>
      <c r="H4592">
        <v>7164.95</v>
      </c>
      <c r="I4592">
        <v>12</v>
      </c>
      <c r="J4592" s="1" t="s">
        <v>421</v>
      </c>
      <c r="K4592">
        <v>0</v>
      </c>
      <c r="L4592">
        <v>1384</v>
      </c>
      <c r="M4592">
        <v>5.1766120000000004</v>
      </c>
      <c r="N4592">
        <v>1</v>
      </c>
      <c r="O4592" s="1" t="s">
        <v>562</v>
      </c>
      <c r="P4592">
        <v>8356.2900000000009</v>
      </c>
      <c r="Q4592">
        <v>1545.91</v>
      </c>
      <c r="R4592">
        <v>1</v>
      </c>
      <c r="S4592" s="1" t="s">
        <v>927</v>
      </c>
      <c r="T4592" s="1"/>
      <c r="U4592">
        <v>7164.9393899999995</v>
      </c>
      <c r="V4592">
        <v>0</v>
      </c>
      <c r="W4592">
        <v>57767</v>
      </c>
    </row>
    <row r="4593" spans="1:23" x14ac:dyDescent="0.25">
      <c r="A4593" s="1" t="s">
        <v>40</v>
      </c>
      <c r="B4593" s="1" t="s">
        <v>94</v>
      </c>
      <c r="C4593" s="1" t="s">
        <v>224</v>
      </c>
      <c r="D4593">
        <v>5465</v>
      </c>
      <c r="E4593" s="1"/>
      <c r="F4593" s="1" t="s">
        <v>224</v>
      </c>
      <c r="G4593">
        <v>2011</v>
      </c>
      <c r="H4593">
        <v>70066.789999999994</v>
      </c>
      <c r="I4593">
        <v>12</v>
      </c>
      <c r="J4593" s="1" t="s">
        <v>421</v>
      </c>
      <c r="K4593">
        <v>0</v>
      </c>
      <c r="L4593">
        <v>1384</v>
      </c>
      <c r="M4593">
        <v>50.622635000000002</v>
      </c>
      <c r="N4593">
        <v>1</v>
      </c>
      <c r="O4593" s="1" t="s">
        <v>562</v>
      </c>
      <c r="P4593">
        <v>76289.460000000006</v>
      </c>
      <c r="Q4593">
        <v>14113.54</v>
      </c>
      <c r="R4593">
        <v>1</v>
      </c>
      <c r="S4593" s="1" t="s">
        <v>930</v>
      </c>
      <c r="T4593" s="1"/>
      <c r="U4593">
        <v>70066.78787</v>
      </c>
      <c r="V4593">
        <v>0</v>
      </c>
      <c r="W4593">
        <v>57777</v>
      </c>
    </row>
    <row r="4594" spans="1:23" x14ac:dyDescent="0.25">
      <c r="A4594" s="1" t="s">
        <v>40</v>
      </c>
      <c r="B4594" s="1" t="s">
        <v>94</v>
      </c>
      <c r="C4594" s="1" t="s">
        <v>224</v>
      </c>
      <c r="D4594">
        <v>5465</v>
      </c>
      <c r="E4594" s="1"/>
      <c r="F4594" s="1" t="s">
        <v>224</v>
      </c>
      <c r="G4594">
        <v>2011</v>
      </c>
      <c r="H4594">
        <v>100708.03</v>
      </c>
      <c r="I4594">
        <v>12</v>
      </c>
      <c r="J4594" s="1"/>
      <c r="K4594">
        <v>0</v>
      </c>
      <c r="L4594">
        <v>1384</v>
      </c>
      <c r="M4594">
        <v>72.760660000000001</v>
      </c>
      <c r="N4594">
        <v>1</v>
      </c>
      <c r="O4594" s="1" t="s">
        <v>562</v>
      </c>
      <c r="P4594">
        <v>108764.39</v>
      </c>
      <c r="Q4594">
        <v>20121.43</v>
      </c>
      <c r="R4594">
        <v>0</v>
      </c>
      <c r="S4594" s="1" t="s">
        <v>926</v>
      </c>
      <c r="T4594" s="1"/>
      <c r="U4594">
        <v>100708.03031</v>
      </c>
      <c r="V4594">
        <v>0</v>
      </c>
      <c r="W4594">
        <v>57760</v>
      </c>
    </row>
    <row r="4595" spans="1:23" x14ac:dyDescent="0.25">
      <c r="A4595" s="1" t="s">
        <v>40</v>
      </c>
      <c r="B4595" s="1" t="s">
        <v>94</v>
      </c>
      <c r="C4595" s="1" t="s">
        <v>224</v>
      </c>
      <c r="D4595">
        <v>5465</v>
      </c>
      <c r="E4595" s="1"/>
      <c r="F4595" s="1" t="s">
        <v>224</v>
      </c>
      <c r="G4595">
        <v>2011</v>
      </c>
      <c r="H4595">
        <v>8624.2000000000007</v>
      </c>
      <c r="I4595">
        <v>12</v>
      </c>
      <c r="J4595" s="1" t="s">
        <v>421</v>
      </c>
      <c r="K4595">
        <v>0</v>
      </c>
      <c r="L4595">
        <v>1384</v>
      </c>
      <c r="M4595">
        <v>6.2309080000000003</v>
      </c>
      <c r="N4595">
        <v>1</v>
      </c>
      <c r="O4595" s="1" t="s">
        <v>562</v>
      </c>
      <c r="P4595">
        <v>10075.01</v>
      </c>
      <c r="Q4595">
        <v>1863.89</v>
      </c>
      <c r="R4595">
        <v>1</v>
      </c>
      <c r="S4595" s="1" t="s">
        <v>928</v>
      </c>
      <c r="T4595" s="1"/>
      <c r="U4595">
        <v>8624.2121299999999</v>
      </c>
      <c r="V4595">
        <v>0</v>
      </c>
      <c r="W4595">
        <v>57775</v>
      </c>
    </row>
    <row r="4596" spans="1:23" x14ac:dyDescent="0.25">
      <c r="A4596" s="1" t="s">
        <v>40</v>
      </c>
      <c r="B4596" s="1" t="s">
        <v>94</v>
      </c>
      <c r="C4596" s="1" t="s">
        <v>224</v>
      </c>
      <c r="D4596">
        <v>5465</v>
      </c>
      <c r="E4596" s="1"/>
      <c r="F4596" s="1" t="s">
        <v>224</v>
      </c>
      <c r="G4596">
        <v>2011</v>
      </c>
      <c r="H4596">
        <v>85815.45</v>
      </c>
      <c r="I4596">
        <v>12</v>
      </c>
      <c r="J4596" s="1"/>
      <c r="K4596">
        <v>0</v>
      </c>
      <c r="L4596">
        <v>1384</v>
      </c>
      <c r="M4596">
        <v>62.000903000000001</v>
      </c>
      <c r="N4596">
        <v>1</v>
      </c>
      <c r="O4596" s="1" t="s">
        <v>563</v>
      </c>
      <c r="P4596">
        <v>91149.07</v>
      </c>
      <c r="Q4596">
        <v>483.3</v>
      </c>
      <c r="R4596">
        <v>1</v>
      </c>
      <c r="S4596" s="1" t="s">
        <v>929</v>
      </c>
      <c r="T4596" s="1"/>
      <c r="U4596">
        <v>2459.6</v>
      </c>
      <c r="V4596">
        <v>57760</v>
      </c>
      <c r="W4596">
        <v>57765</v>
      </c>
    </row>
    <row r="4597" spans="1:23" x14ac:dyDescent="0.25">
      <c r="A4597" s="1" t="s">
        <v>40</v>
      </c>
      <c r="B4597" s="1" t="s">
        <v>94</v>
      </c>
      <c r="C4597" s="1" t="s">
        <v>224</v>
      </c>
      <c r="D4597">
        <v>5465</v>
      </c>
      <c r="E4597" s="1"/>
      <c r="F4597" s="1" t="s">
        <v>224</v>
      </c>
      <c r="G4597">
        <v>2010</v>
      </c>
      <c r="H4597">
        <v>81263.66</v>
      </c>
      <c r="I4597">
        <v>12</v>
      </c>
      <c r="J4597" s="1" t="s">
        <v>421</v>
      </c>
      <c r="K4597">
        <v>0</v>
      </c>
      <c r="L4597">
        <v>1384</v>
      </c>
      <c r="M4597">
        <v>58.712274999999998</v>
      </c>
      <c r="N4597">
        <v>1</v>
      </c>
      <c r="O4597" s="1" t="s">
        <v>562</v>
      </c>
      <c r="P4597">
        <v>73268.639999999999</v>
      </c>
      <c r="Q4597">
        <v>13554.69</v>
      </c>
      <c r="R4597">
        <v>1</v>
      </c>
      <c r="S4597" s="1" t="s">
        <v>930</v>
      </c>
      <c r="T4597" s="1"/>
      <c r="U4597">
        <v>81263.664879999997</v>
      </c>
      <c r="V4597">
        <v>0</v>
      </c>
      <c r="W4597">
        <v>57777</v>
      </c>
    </row>
    <row r="4598" spans="1:23" x14ac:dyDescent="0.25">
      <c r="A4598" s="1" t="s">
        <v>40</v>
      </c>
      <c r="B4598" s="1" t="s">
        <v>94</v>
      </c>
      <c r="C4598" s="1" t="s">
        <v>224</v>
      </c>
      <c r="D4598">
        <v>5465</v>
      </c>
      <c r="E4598" s="1"/>
      <c r="F4598" s="1" t="s">
        <v>224</v>
      </c>
      <c r="G4598">
        <v>2010</v>
      </c>
      <c r="H4598">
        <v>122977.46</v>
      </c>
      <c r="I4598">
        <v>12</v>
      </c>
      <c r="J4598" s="1"/>
      <c r="K4598">
        <v>0</v>
      </c>
      <c r="L4598">
        <v>1384</v>
      </c>
      <c r="M4598">
        <v>88.850126000000003</v>
      </c>
      <c r="N4598">
        <v>1</v>
      </c>
      <c r="O4598" s="1" t="s">
        <v>562</v>
      </c>
      <c r="P4598">
        <v>110484</v>
      </c>
      <c r="Q4598">
        <v>20439.54</v>
      </c>
      <c r="R4598">
        <v>0</v>
      </c>
      <c r="S4598" s="1" t="s">
        <v>926</v>
      </c>
      <c r="T4598" s="1"/>
      <c r="U4598">
        <v>122977.44919</v>
      </c>
      <c r="V4598">
        <v>0</v>
      </c>
      <c r="W4598">
        <v>57760</v>
      </c>
    </row>
    <row r="4599" spans="1:23" x14ac:dyDescent="0.25">
      <c r="A4599" s="1" t="s">
        <v>40</v>
      </c>
      <c r="B4599" s="1" t="s">
        <v>94</v>
      </c>
      <c r="C4599" s="1" t="s">
        <v>224</v>
      </c>
      <c r="D4599">
        <v>5465</v>
      </c>
      <c r="E4599" s="1"/>
      <c r="F4599" s="1" t="s">
        <v>224</v>
      </c>
      <c r="G4599">
        <v>2010</v>
      </c>
      <c r="H4599">
        <v>4780.49</v>
      </c>
      <c r="I4599">
        <v>11</v>
      </c>
      <c r="J4599" s="1" t="s">
        <v>421</v>
      </c>
      <c r="K4599">
        <v>0</v>
      </c>
      <c r="L4599">
        <v>1384</v>
      </c>
      <c r="M4599">
        <v>3.4538609999999998</v>
      </c>
      <c r="N4599">
        <v>1</v>
      </c>
      <c r="O4599" s="1" t="s">
        <v>562</v>
      </c>
      <c r="P4599">
        <v>4039.75</v>
      </c>
      <c r="Q4599">
        <v>747.35</v>
      </c>
      <c r="R4599">
        <v>1</v>
      </c>
      <c r="S4599" s="1" t="s">
        <v>927</v>
      </c>
      <c r="T4599" s="1"/>
      <c r="U4599">
        <v>4780.4830700000002</v>
      </c>
      <c r="V4599">
        <v>0</v>
      </c>
      <c r="W4599">
        <v>57767</v>
      </c>
    </row>
    <row r="4600" spans="1:23" x14ac:dyDescent="0.25">
      <c r="A4600" s="1" t="s">
        <v>40</v>
      </c>
      <c r="B4600" s="1" t="s">
        <v>94</v>
      </c>
      <c r="C4600" s="1" t="s">
        <v>224</v>
      </c>
      <c r="D4600">
        <v>5465</v>
      </c>
      <c r="E4600" s="1"/>
      <c r="F4600" s="1" t="s">
        <v>224</v>
      </c>
      <c r="G4600">
        <v>2010</v>
      </c>
      <c r="H4600">
        <v>8880.74</v>
      </c>
      <c r="I4600">
        <v>12</v>
      </c>
      <c r="J4600" s="1" t="s">
        <v>421</v>
      </c>
      <c r="K4600">
        <v>0</v>
      </c>
      <c r="L4600">
        <v>1384</v>
      </c>
      <c r="M4600">
        <v>6.4162559999999997</v>
      </c>
      <c r="N4600">
        <v>1</v>
      </c>
      <c r="O4600" s="1" t="s">
        <v>562</v>
      </c>
      <c r="P4600">
        <v>10809.78</v>
      </c>
      <c r="Q4600">
        <v>1999.81</v>
      </c>
      <c r="R4600">
        <v>1</v>
      </c>
      <c r="S4600" s="1" t="s">
        <v>928</v>
      </c>
      <c r="T4600" s="1"/>
      <c r="U4600">
        <v>8880.7406300000002</v>
      </c>
      <c r="V4600">
        <v>0</v>
      </c>
      <c r="W4600">
        <v>57775</v>
      </c>
    </row>
    <row r="4601" spans="1:23" x14ac:dyDescent="0.25">
      <c r="A4601" s="1" t="s">
        <v>40</v>
      </c>
      <c r="B4601" s="1" t="s">
        <v>94</v>
      </c>
      <c r="C4601" s="1" t="s">
        <v>224</v>
      </c>
      <c r="D4601">
        <v>5465</v>
      </c>
      <c r="E4601" s="1"/>
      <c r="F4601" s="1" t="s">
        <v>224</v>
      </c>
      <c r="G4601">
        <v>2010</v>
      </c>
      <c r="H4601">
        <v>111539.82</v>
      </c>
      <c r="I4601">
        <v>12</v>
      </c>
      <c r="J4601" s="1"/>
      <c r="K4601">
        <v>0</v>
      </c>
      <c r="L4601">
        <v>1384</v>
      </c>
      <c r="M4601">
        <v>80.586532000000005</v>
      </c>
      <c r="N4601">
        <v>1</v>
      </c>
      <c r="O4601" s="1" t="s">
        <v>563</v>
      </c>
      <c r="P4601">
        <v>101960.32000000001</v>
      </c>
      <c r="Q4601">
        <v>540.63</v>
      </c>
      <c r="R4601">
        <v>1</v>
      </c>
      <c r="S4601" s="1" t="s">
        <v>929</v>
      </c>
      <c r="T4601" s="1"/>
      <c r="U4601">
        <v>3196.9</v>
      </c>
      <c r="V4601">
        <v>57760</v>
      </c>
      <c r="W4601">
        <v>57765</v>
      </c>
    </row>
    <row r="4602" spans="1:23" x14ac:dyDescent="0.25">
      <c r="A4602" s="1" t="s">
        <v>40</v>
      </c>
      <c r="B4602" s="1" t="s">
        <v>94</v>
      </c>
      <c r="C4602" s="1" t="s">
        <v>224</v>
      </c>
      <c r="D4602">
        <v>5465</v>
      </c>
      <c r="E4602" s="1"/>
      <c r="F4602" s="1" t="s">
        <v>224</v>
      </c>
      <c r="G4602">
        <v>2009</v>
      </c>
      <c r="H4602">
        <v>106341.78</v>
      </c>
      <c r="I4602">
        <v>12</v>
      </c>
      <c r="J4602" s="1"/>
      <c r="K4602">
        <v>0</v>
      </c>
      <c r="L4602">
        <v>1384</v>
      </c>
      <c r="M4602">
        <v>76.830994000000004</v>
      </c>
      <c r="N4602">
        <v>1</v>
      </c>
      <c r="O4602" s="1" t="s">
        <v>562</v>
      </c>
      <c r="P4602">
        <v>112714.46</v>
      </c>
      <c r="Q4602">
        <v>20852.18</v>
      </c>
      <c r="R4602">
        <v>0</v>
      </c>
      <c r="S4602" s="1" t="s">
        <v>926</v>
      </c>
      <c r="T4602" s="1"/>
      <c r="U4602">
        <v>106341.79227000001</v>
      </c>
      <c r="V4602">
        <v>0</v>
      </c>
      <c r="W4602">
        <v>57760</v>
      </c>
    </row>
    <row r="4603" spans="1:23" x14ac:dyDescent="0.25">
      <c r="A4603" s="1" t="s">
        <v>40</v>
      </c>
      <c r="B4603" s="1" t="s">
        <v>94</v>
      </c>
      <c r="C4603" s="1" t="s">
        <v>224</v>
      </c>
      <c r="D4603">
        <v>5465</v>
      </c>
      <c r="E4603" s="1"/>
      <c r="F4603" s="1" t="s">
        <v>224</v>
      </c>
      <c r="G4603">
        <v>2009</v>
      </c>
      <c r="H4603">
        <v>6561.11</v>
      </c>
      <c r="I4603">
        <v>12</v>
      </c>
      <c r="J4603" s="1" t="s">
        <v>421</v>
      </c>
      <c r="K4603">
        <v>0</v>
      </c>
      <c r="L4603">
        <v>1384</v>
      </c>
      <c r="M4603">
        <v>4.7403430000000002</v>
      </c>
      <c r="N4603">
        <v>1</v>
      </c>
      <c r="O4603" s="1" t="s">
        <v>562</v>
      </c>
      <c r="P4603">
        <v>9349.01</v>
      </c>
      <c r="Q4603">
        <v>1729.57</v>
      </c>
      <c r="R4603">
        <v>1</v>
      </c>
      <c r="S4603" s="1" t="s">
        <v>927</v>
      </c>
      <c r="T4603" s="1"/>
      <c r="U4603">
        <v>6561.0974200000001</v>
      </c>
      <c r="V4603">
        <v>0</v>
      </c>
      <c r="W4603">
        <v>57767</v>
      </c>
    </row>
    <row r="4604" spans="1:23" x14ac:dyDescent="0.25">
      <c r="A4604" s="1" t="s">
        <v>40</v>
      </c>
      <c r="B4604" s="1" t="s">
        <v>94</v>
      </c>
      <c r="C4604" s="1" t="s">
        <v>224</v>
      </c>
      <c r="D4604">
        <v>5465</v>
      </c>
      <c r="E4604" s="1"/>
      <c r="F4604" s="1" t="s">
        <v>224</v>
      </c>
      <c r="G4604">
        <v>2009</v>
      </c>
      <c r="H4604">
        <v>8429.1200000000008</v>
      </c>
      <c r="I4604">
        <v>12</v>
      </c>
      <c r="J4604" s="1" t="s">
        <v>421</v>
      </c>
      <c r="K4604">
        <v>0</v>
      </c>
      <c r="L4604">
        <v>1384</v>
      </c>
      <c r="M4604">
        <v>6.0899640000000002</v>
      </c>
      <c r="N4604">
        <v>1</v>
      </c>
      <c r="O4604" s="1" t="s">
        <v>562</v>
      </c>
      <c r="P4604">
        <v>11815.38</v>
      </c>
      <c r="Q4604">
        <v>2185.85</v>
      </c>
      <c r="R4604">
        <v>1</v>
      </c>
      <c r="S4604" s="1" t="s">
        <v>928</v>
      </c>
      <c r="T4604" s="1"/>
      <c r="U4604">
        <v>8429.1286799999998</v>
      </c>
      <c r="V4604">
        <v>0</v>
      </c>
      <c r="W4604">
        <v>57775</v>
      </c>
    </row>
    <row r="4605" spans="1:23" x14ac:dyDescent="0.25">
      <c r="A4605" s="1" t="s">
        <v>40</v>
      </c>
      <c r="B4605" s="1" t="s">
        <v>94</v>
      </c>
      <c r="C4605" s="1" t="s">
        <v>224</v>
      </c>
      <c r="D4605">
        <v>5465</v>
      </c>
      <c r="E4605" s="1"/>
      <c r="F4605" s="1" t="s">
        <v>224</v>
      </c>
      <c r="G4605">
        <v>2009</v>
      </c>
      <c r="H4605">
        <v>68690.19</v>
      </c>
      <c r="I4605">
        <v>12</v>
      </c>
      <c r="J4605" s="1" t="s">
        <v>421</v>
      </c>
      <c r="K4605">
        <v>0</v>
      </c>
      <c r="L4605">
        <v>1384</v>
      </c>
      <c r="M4605">
        <v>49.628053999999999</v>
      </c>
      <c r="N4605">
        <v>1</v>
      </c>
      <c r="O4605" s="1" t="s">
        <v>562</v>
      </c>
      <c r="P4605">
        <v>72472.12</v>
      </c>
      <c r="Q4605">
        <v>13407.34</v>
      </c>
      <c r="R4605">
        <v>1</v>
      </c>
      <c r="S4605" s="1" t="s">
        <v>930</v>
      </c>
      <c r="T4605" s="1"/>
      <c r="U4605">
        <v>68690.191189999998</v>
      </c>
      <c r="V4605">
        <v>0</v>
      </c>
      <c r="W4605">
        <v>57777</v>
      </c>
    </row>
    <row r="4606" spans="1:23" x14ac:dyDescent="0.25">
      <c r="A4606" s="1" t="s">
        <v>40</v>
      </c>
      <c r="B4606" s="1" t="s">
        <v>94</v>
      </c>
      <c r="C4606" s="1" t="s">
        <v>224</v>
      </c>
      <c r="D4606">
        <v>5465</v>
      </c>
      <c r="E4606" s="1"/>
      <c r="F4606" s="1" t="s">
        <v>224</v>
      </c>
      <c r="G4606">
        <v>2009</v>
      </c>
      <c r="H4606">
        <v>91010.55</v>
      </c>
      <c r="I4606">
        <v>12</v>
      </c>
      <c r="J4606" s="1"/>
      <c r="K4606">
        <v>0</v>
      </c>
      <c r="L4606">
        <v>1384</v>
      </c>
      <c r="M4606">
        <v>65.754316000000003</v>
      </c>
      <c r="N4606">
        <v>1</v>
      </c>
      <c r="O4606" s="1" t="s">
        <v>563</v>
      </c>
      <c r="P4606">
        <v>95124.39</v>
      </c>
      <c r="Q4606">
        <v>504.38</v>
      </c>
      <c r="R4606">
        <v>1</v>
      </c>
      <c r="S4606" s="1" t="s">
        <v>929</v>
      </c>
      <c r="T4606" s="1"/>
      <c r="U4606">
        <v>2608.5</v>
      </c>
      <c r="V4606">
        <v>57760</v>
      </c>
      <c r="W4606">
        <v>57765</v>
      </c>
    </row>
    <row r="4607" spans="1:23" x14ac:dyDescent="0.25">
      <c r="A4607" s="1" t="s">
        <v>40</v>
      </c>
      <c r="B4607" s="1" t="s">
        <v>94</v>
      </c>
      <c r="C4607" s="1" t="s">
        <v>224</v>
      </c>
      <c r="D4607">
        <v>5465</v>
      </c>
      <c r="E4607" s="1"/>
      <c r="F4607" s="1" t="s">
        <v>224</v>
      </c>
      <c r="G4607">
        <v>2008</v>
      </c>
      <c r="H4607">
        <v>99750.24</v>
      </c>
      <c r="I4607">
        <v>12</v>
      </c>
      <c r="J4607" s="1"/>
      <c r="K4607">
        <v>0</v>
      </c>
      <c r="L4607">
        <v>1384</v>
      </c>
      <c r="M4607">
        <v>72.068664999999996</v>
      </c>
      <c r="N4607">
        <v>1</v>
      </c>
      <c r="O4607" s="1" t="s">
        <v>562</v>
      </c>
      <c r="P4607">
        <v>115949.61</v>
      </c>
      <c r="Q4607">
        <v>21450.7</v>
      </c>
      <c r="R4607">
        <v>0</v>
      </c>
      <c r="S4607" s="1" t="s">
        <v>926</v>
      </c>
      <c r="T4607" s="1"/>
      <c r="U4607">
        <v>99750.24037</v>
      </c>
      <c r="V4607">
        <v>0</v>
      </c>
      <c r="W4607">
        <v>57760</v>
      </c>
    </row>
    <row r="4608" spans="1:23" x14ac:dyDescent="0.25">
      <c r="A4608" s="1" t="s">
        <v>40</v>
      </c>
      <c r="B4608" s="1" t="s">
        <v>94</v>
      </c>
      <c r="C4608" s="1" t="s">
        <v>224</v>
      </c>
      <c r="D4608">
        <v>5465</v>
      </c>
      <c r="E4608" s="1"/>
      <c r="F4608" s="1" t="s">
        <v>224</v>
      </c>
      <c r="G4608">
        <v>2008</v>
      </c>
      <c r="H4608">
        <v>6351.28</v>
      </c>
      <c r="I4608">
        <v>12</v>
      </c>
      <c r="J4608" s="1" t="s">
        <v>421</v>
      </c>
      <c r="K4608">
        <v>0</v>
      </c>
      <c r="L4608">
        <v>1384</v>
      </c>
      <c r="M4608">
        <v>4.588743</v>
      </c>
      <c r="N4608">
        <v>1</v>
      </c>
      <c r="O4608" s="1" t="s">
        <v>562</v>
      </c>
      <c r="P4608">
        <v>7994.54</v>
      </c>
      <c r="Q4608">
        <v>1478.99</v>
      </c>
      <c r="R4608">
        <v>1</v>
      </c>
      <c r="S4608" s="1" t="s">
        <v>927</v>
      </c>
      <c r="T4608" s="1"/>
      <c r="U4608">
        <v>6351.2982899999997</v>
      </c>
      <c r="V4608">
        <v>0</v>
      </c>
      <c r="W4608">
        <v>57767</v>
      </c>
    </row>
    <row r="4609" spans="1:23" x14ac:dyDescent="0.25">
      <c r="A4609" s="1" t="s">
        <v>40</v>
      </c>
      <c r="B4609" s="1" t="s">
        <v>94</v>
      </c>
      <c r="C4609" s="1" t="s">
        <v>224</v>
      </c>
      <c r="D4609">
        <v>5465</v>
      </c>
      <c r="E4609" s="1"/>
      <c r="F4609" s="1" t="s">
        <v>224</v>
      </c>
      <c r="G4609">
        <v>2008</v>
      </c>
      <c r="H4609">
        <v>8489.2000000000007</v>
      </c>
      <c r="I4609">
        <v>12</v>
      </c>
      <c r="J4609" s="1" t="s">
        <v>421</v>
      </c>
      <c r="K4609">
        <v>0</v>
      </c>
      <c r="L4609">
        <v>1384</v>
      </c>
      <c r="M4609">
        <v>6.1333710000000004</v>
      </c>
      <c r="N4609">
        <v>1</v>
      </c>
      <c r="O4609" s="1" t="s">
        <v>562</v>
      </c>
      <c r="P4609">
        <v>10636.7</v>
      </c>
      <c r="Q4609">
        <v>1967.79</v>
      </c>
      <c r="R4609">
        <v>1</v>
      </c>
      <c r="S4609" s="1" t="s">
        <v>928</v>
      </c>
      <c r="T4609" s="1"/>
      <c r="U4609">
        <v>8489.1912900000007</v>
      </c>
      <c r="V4609">
        <v>0</v>
      </c>
      <c r="W4609">
        <v>57775</v>
      </c>
    </row>
    <row r="4610" spans="1:23" x14ac:dyDescent="0.25">
      <c r="A4610" s="1" t="s">
        <v>40</v>
      </c>
      <c r="B4610" s="1" t="s">
        <v>94</v>
      </c>
      <c r="C4610" s="1" t="s">
        <v>224</v>
      </c>
      <c r="D4610">
        <v>5465</v>
      </c>
      <c r="E4610" s="1"/>
      <c r="F4610" s="1" t="s">
        <v>224</v>
      </c>
      <c r="G4610">
        <v>2008</v>
      </c>
      <c r="H4610">
        <v>63125.78</v>
      </c>
      <c r="I4610">
        <v>12</v>
      </c>
      <c r="J4610" s="1" t="s">
        <v>421</v>
      </c>
      <c r="K4610">
        <v>0</v>
      </c>
      <c r="L4610">
        <v>1384</v>
      </c>
      <c r="M4610">
        <v>45.607816999999997</v>
      </c>
      <c r="N4610">
        <v>1</v>
      </c>
      <c r="O4610" s="1" t="s">
        <v>562</v>
      </c>
      <c r="P4610">
        <v>72781.58</v>
      </c>
      <c r="Q4610">
        <v>13464.59</v>
      </c>
      <c r="R4610">
        <v>1</v>
      </c>
      <c r="S4610" s="1" t="s">
        <v>930</v>
      </c>
      <c r="T4610" s="1"/>
      <c r="U4610">
        <v>63125.780299999999</v>
      </c>
      <c r="V4610">
        <v>0</v>
      </c>
      <c r="W4610">
        <v>57777</v>
      </c>
    </row>
    <row r="4611" spans="1:23" x14ac:dyDescent="0.25">
      <c r="A4611" s="1" t="s">
        <v>40</v>
      </c>
      <c r="B4611" s="1" t="s">
        <v>94</v>
      </c>
      <c r="C4611" s="1" t="s">
        <v>224</v>
      </c>
      <c r="D4611">
        <v>5465</v>
      </c>
      <c r="E4611" s="1"/>
      <c r="F4611" s="1" t="s">
        <v>224</v>
      </c>
      <c r="G4611">
        <v>2008</v>
      </c>
      <c r="H4611">
        <v>81443.73</v>
      </c>
      <c r="I4611">
        <v>12</v>
      </c>
      <c r="J4611" s="1"/>
      <c r="K4611">
        <v>0</v>
      </c>
      <c r="L4611">
        <v>1384</v>
      </c>
      <c r="M4611">
        <v>58.842374</v>
      </c>
      <c r="N4611">
        <v>1</v>
      </c>
      <c r="O4611" s="1" t="s">
        <v>563</v>
      </c>
      <c r="P4611">
        <v>91848.75</v>
      </c>
      <c r="Q4611">
        <v>487.01</v>
      </c>
      <c r="R4611">
        <v>1</v>
      </c>
      <c r="S4611" s="1" t="s">
        <v>929</v>
      </c>
      <c r="T4611" s="1"/>
      <c r="U4611">
        <v>2334.3000000000002</v>
      </c>
      <c r="V4611">
        <v>57760</v>
      </c>
      <c r="W4611">
        <v>57765</v>
      </c>
    </row>
    <row r="4612" spans="1:23" x14ac:dyDescent="0.25">
      <c r="A4612" s="1" t="s">
        <v>40</v>
      </c>
      <c r="B4612" s="1" t="s">
        <v>94</v>
      </c>
      <c r="C4612" s="1" t="s">
        <v>224</v>
      </c>
      <c r="D4612">
        <v>5539</v>
      </c>
      <c r="E4612" s="1"/>
      <c r="F4612" s="1" t="s">
        <v>370</v>
      </c>
      <c r="G4612">
        <v>2015</v>
      </c>
      <c r="H4612">
        <v>3895.59</v>
      </c>
      <c r="I4612">
        <v>4</v>
      </c>
      <c r="J4612" s="1" t="s">
        <v>421</v>
      </c>
      <c r="K4612">
        <v>0</v>
      </c>
      <c r="L4612">
        <v>1480</v>
      </c>
      <c r="M4612">
        <v>2.631977</v>
      </c>
      <c r="N4612">
        <v>1</v>
      </c>
      <c r="O4612" s="1" t="s">
        <v>562</v>
      </c>
      <c r="P4612">
        <v>4456.63</v>
      </c>
      <c r="Q4612">
        <v>824476.55</v>
      </c>
      <c r="R4612">
        <v>0</v>
      </c>
      <c r="S4612" s="1" t="s">
        <v>931</v>
      </c>
      <c r="T4612" s="1"/>
      <c r="U4612">
        <v>3895.59375</v>
      </c>
      <c r="V4612">
        <v>0</v>
      </c>
      <c r="W4612">
        <v>58289</v>
      </c>
    </row>
    <row r="4613" spans="1:23" x14ac:dyDescent="0.25">
      <c r="A4613" s="1" t="s">
        <v>40</v>
      </c>
      <c r="B4613" s="1" t="s">
        <v>94</v>
      </c>
      <c r="C4613" s="1" t="s">
        <v>224</v>
      </c>
      <c r="D4613">
        <v>5539</v>
      </c>
      <c r="E4613" s="1"/>
      <c r="F4613" s="1" t="s">
        <v>370</v>
      </c>
      <c r="G4613">
        <v>2014</v>
      </c>
      <c r="H4613">
        <v>7316.26</v>
      </c>
      <c r="I4613">
        <v>12</v>
      </c>
      <c r="J4613" s="1" t="s">
        <v>421</v>
      </c>
      <c r="K4613">
        <v>0</v>
      </c>
      <c r="L4613">
        <v>1480</v>
      </c>
      <c r="M4613">
        <v>4.9430839999999998</v>
      </c>
      <c r="N4613">
        <v>1</v>
      </c>
      <c r="O4613" s="1" t="s">
        <v>562</v>
      </c>
      <c r="P4613">
        <v>8746.99</v>
      </c>
      <c r="Q4613">
        <v>206138.17</v>
      </c>
      <c r="R4613">
        <v>0</v>
      </c>
      <c r="S4613" s="1" t="s">
        <v>931</v>
      </c>
      <c r="T4613" s="1"/>
      <c r="U4613">
        <v>7316.24496</v>
      </c>
      <c r="V4613">
        <v>0</v>
      </c>
      <c r="W4613">
        <v>58289</v>
      </c>
    </row>
    <row r="4614" spans="1:23" x14ac:dyDescent="0.25">
      <c r="A4614" s="1" t="s">
        <v>40</v>
      </c>
      <c r="B4614" s="1" t="s">
        <v>94</v>
      </c>
      <c r="C4614" s="1" t="s">
        <v>224</v>
      </c>
      <c r="D4614">
        <v>5539</v>
      </c>
      <c r="E4614" s="1"/>
      <c r="F4614" s="1" t="s">
        <v>370</v>
      </c>
      <c r="G4614">
        <v>2013</v>
      </c>
      <c r="H4614">
        <v>12899.87</v>
      </c>
      <c r="I4614">
        <v>12</v>
      </c>
      <c r="J4614" s="1" t="s">
        <v>421</v>
      </c>
      <c r="K4614">
        <v>0</v>
      </c>
      <c r="L4614">
        <v>1480</v>
      </c>
      <c r="M4614">
        <v>8.7155389999999997</v>
      </c>
      <c r="N4614">
        <v>1</v>
      </c>
      <c r="O4614" s="1" t="s">
        <v>562</v>
      </c>
      <c r="P4614">
        <v>13226.75</v>
      </c>
      <c r="Q4614">
        <v>2446.96</v>
      </c>
      <c r="R4614">
        <v>0</v>
      </c>
      <c r="S4614" s="1" t="s">
        <v>931</v>
      </c>
      <c r="T4614" s="1"/>
      <c r="U4614">
        <v>12899.86717</v>
      </c>
      <c r="V4614">
        <v>0</v>
      </c>
      <c r="W4614">
        <v>58289</v>
      </c>
    </row>
    <row r="4615" spans="1:23" x14ac:dyDescent="0.25">
      <c r="A4615" s="1" t="s">
        <v>40</v>
      </c>
      <c r="B4615" s="1" t="s">
        <v>94</v>
      </c>
      <c r="C4615" s="1" t="s">
        <v>224</v>
      </c>
      <c r="D4615">
        <v>5539</v>
      </c>
      <c r="E4615" s="1"/>
      <c r="F4615" s="1" t="s">
        <v>370</v>
      </c>
      <c r="G4615">
        <v>2012</v>
      </c>
      <c r="H4615">
        <v>12009.59</v>
      </c>
      <c r="I4615">
        <v>12</v>
      </c>
      <c r="J4615" s="1" t="s">
        <v>421</v>
      </c>
      <c r="K4615">
        <v>0</v>
      </c>
      <c r="L4615">
        <v>1480</v>
      </c>
      <c r="M4615">
        <v>8.114039</v>
      </c>
      <c r="N4615">
        <v>1</v>
      </c>
      <c r="O4615" s="1" t="s">
        <v>562</v>
      </c>
      <c r="P4615">
        <v>12962.79</v>
      </c>
      <c r="Q4615">
        <v>2398.11</v>
      </c>
      <c r="R4615">
        <v>0</v>
      </c>
      <c r="S4615" s="1" t="s">
        <v>931</v>
      </c>
      <c r="T4615" s="1"/>
      <c r="U4615">
        <v>12009.59714</v>
      </c>
      <c r="V4615">
        <v>0</v>
      </c>
      <c r="W4615">
        <v>58289</v>
      </c>
    </row>
    <row r="4616" spans="1:23" x14ac:dyDescent="0.25">
      <c r="A4616" s="1" t="s">
        <v>40</v>
      </c>
      <c r="B4616" s="1" t="s">
        <v>94</v>
      </c>
      <c r="C4616" s="1" t="s">
        <v>224</v>
      </c>
      <c r="D4616">
        <v>5539</v>
      </c>
      <c r="E4616" s="1"/>
      <c r="F4616" s="1" t="s">
        <v>370</v>
      </c>
      <c r="G4616">
        <v>2011</v>
      </c>
      <c r="H4616">
        <v>15671.97</v>
      </c>
      <c r="I4616">
        <v>12</v>
      </c>
      <c r="J4616" s="1" t="s">
        <v>421</v>
      </c>
      <c r="K4616">
        <v>0</v>
      </c>
      <c r="L4616">
        <v>1480</v>
      </c>
      <c r="M4616">
        <v>10.588452999999999</v>
      </c>
      <c r="N4616">
        <v>1</v>
      </c>
      <c r="O4616" s="1" t="s">
        <v>562</v>
      </c>
      <c r="P4616">
        <v>16597.87</v>
      </c>
      <c r="Q4616">
        <v>3070.62</v>
      </c>
      <c r="R4616">
        <v>0</v>
      </c>
      <c r="S4616" s="1" t="s">
        <v>931</v>
      </c>
      <c r="T4616" s="1"/>
      <c r="U4616">
        <v>15671.96969</v>
      </c>
      <c r="V4616">
        <v>0</v>
      </c>
      <c r="W4616">
        <v>58289</v>
      </c>
    </row>
    <row r="4617" spans="1:23" x14ac:dyDescent="0.25">
      <c r="A4617" s="1" t="s">
        <v>40</v>
      </c>
      <c r="B4617" s="1" t="s">
        <v>94</v>
      </c>
      <c r="C4617" s="1" t="s">
        <v>224</v>
      </c>
      <c r="D4617">
        <v>5539</v>
      </c>
      <c r="E4617" s="1"/>
      <c r="F4617" s="1" t="s">
        <v>370</v>
      </c>
      <c r="G4617">
        <v>2010</v>
      </c>
      <c r="H4617">
        <v>23702.54</v>
      </c>
      <c r="I4617">
        <v>12</v>
      </c>
      <c r="J4617" s="1" t="s">
        <v>421</v>
      </c>
      <c r="K4617">
        <v>0</v>
      </c>
      <c r="L4617">
        <v>1480</v>
      </c>
      <c r="M4617">
        <v>16.014147000000001</v>
      </c>
      <c r="N4617">
        <v>1</v>
      </c>
      <c r="O4617" s="1" t="s">
        <v>562</v>
      </c>
      <c r="P4617">
        <v>21746.06</v>
      </c>
      <c r="Q4617">
        <v>4023.03</v>
      </c>
      <c r="R4617">
        <v>0</v>
      </c>
      <c r="S4617" s="1" t="s">
        <v>931</v>
      </c>
      <c r="T4617" s="1"/>
      <c r="U4617">
        <v>23702.550810000001</v>
      </c>
      <c r="V4617">
        <v>0</v>
      </c>
      <c r="W4617">
        <v>58289</v>
      </c>
    </row>
    <row r="4618" spans="1:23" x14ac:dyDescent="0.25">
      <c r="A4618" s="1" t="s">
        <v>40</v>
      </c>
      <c r="B4618" s="1" t="s">
        <v>94</v>
      </c>
      <c r="C4618" s="1" t="s">
        <v>224</v>
      </c>
      <c r="D4618">
        <v>5539</v>
      </c>
      <c r="E4618" s="1"/>
      <c r="F4618" s="1" t="s">
        <v>370</v>
      </c>
      <c r="G4618">
        <v>2009</v>
      </c>
      <c r="H4618">
        <v>18488.22</v>
      </c>
      <c r="I4618">
        <v>12</v>
      </c>
      <c r="J4618" s="1" t="s">
        <v>421</v>
      </c>
      <c r="K4618">
        <v>0</v>
      </c>
      <c r="L4618">
        <v>1480</v>
      </c>
      <c r="M4618">
        <v>12.491196</v>
      </c>
      <c r="N4618">
        <v>1</v>
      </c>
      <c r="O4618" s="1" t="s">
        <v>562</v>
      </c>
      <c r="P4618">
        <v>19558.12</v>
      </c>
      <c r="Q4618">
        <v>3618.27</v>
      </c>
      <c r="R4618">
        <v>0</v>
      </c>
      <c r="S4618" s="1" t="s">
        <v>931</v>
      </c>
      <c r="T4618" s="1"/>
      <c r="U4618">
        <v>18488.207729999998</v>
      </c>
      <c r="V4618">
        <v>0</v>
      </c>
      <c r="W4618">
        <v>58289</v>
      </c>
    </row>
    <row r="4619" spans="1:23" x14ac:dyDescent="0.25">
      <c r="A4619" s="1" t="s">
        <v>40</v>
      </c>
      <c r="B4619" s="1" t="s">
        <v>94</v>
      </c>
      <c r="C4619" s="1" t="s">
        <v>224</v>
      </c>
      <c r="D4619">
        <v>5539</v>
      </c>
      <c r="E4619" s="1"/>
      <c r="F4619" s="1" t="s">
        <v>370</v>
      </c>
      <c r="G4619">
        <v>2008</v>
      </c>
      <c r="H4619">
        <v>15449.76</v>
      </c>
      <c r="I4619">
        <v>12</v>
      </c>
      <c r="J4619" s="1" t="s">
        <v>421</v>
      </c>
      <c r="K4619">
        <v>0</v>
      </c>
      <c r="L4619">
        <v>1480</v>
      </c>
      <c r="M4619">
        <v>10.438321</v>
      </c>
      <c r="N4619">
        <v>1</v>
      </c>
      <c r="O4619" s="1" t="s">
        <v>562</v>
      </c>
      <c r="P4619">
        <v>17909.68</v>
      </c>
      <c r="Q4619">
        <v>3313.29</v>
      </c>
      <c r="R4619">
        <v>0</v>
      </c>
      <c r="S4619" s="1" t="s">
        <v>931</v>
      </c>
      <c r="T4619" s="1"/>
      <c r="U4619">
        <v>15449.75663</v>
      </c>
      <c r="V4619">
        <v>0</v>
      </c>
      <c r="W4619">
        <v>58289</v>
      </c>
    </row>
    <row r="4620" spans="1:23" x14ac:dyDescent="0.25">
      <c r="A4620" s="1" t="s">
        <v>40</v>
      </c>
      <c r="B4620" s="1"/>
      <c r="C4620" s="1" t="s">
        <v>225</v>
      </c>
      <c r="D4620">
        <v>13825</v>
      </c>
      <c r="E4620" s="1"/>
      <c r="F4620" s="1" t="s">
        <v>358</v>
      </c>
      <c r="G4620">
        <v>2015</v>
      </c>
      <c r="H4620">
        <v>4913</v>
      </c>
      <c r="I4620">
        <v>5</v>
      </c>
      <c r="J4620" s="1" t="s">
        <v>471</v>
      </c>
      <c r="K4620">
        <v>0</v>
      </c>
      <c r="L4620">
        <v>739</v>
      </c>
      <c r="M4620">
        <v>6.6472730000000002</v>
      </c>
      <c r="N4620">
        <v>1</v>
      </c>
      <c r="O4620" s="1" t="s">
        <v>562</v>
      </c>
      <c r="P4620">
        <v>5568.24</v>
      </c>
      <c r="Q4620">
        <v>356.36</v>
      </c>
      <c r="R4620">
        <v>0</v>
      </c>
      <c r="S4620" s="1" t="s">
        <v>932</v>
      </c>
      <c r="T4620" s="1"/>
      <c r="U4620">
        <v>4913</v>
      </c>
      <c r="V4620">
        <v>0</v>
      </c>
      <c r="W4620">
        <v>94197</v>
      </c>
    </row>
    <row r="4621" spans="1:23" x14ac:dyDescent="0.25">
      <c r="A4621" s="1" t="s">
        <v>40</v>
      </c>
      <c r="B4621" s="1"/>
      <c r="C4621" s="1" t="s">
        <v>225</v>
      </c>
      <c r="D4621">
        <v>13825</v>
      </c>
      <c r="E4621" s="1"/>
      <c r="F4621" s="1" t="s">
        <v>358</v>
      </c>
      <c r="G4621">
        <v>2015</v>
      </c>
      <c r="H4621">
        <v>60181</v>
      </c>
      <c r="I4621">
        <v>5</v>
      </c>
      <c r="J4621" s="1" t="s">
        <v>471</v>
      </c>
      <c r="K4621">
        <v>0</v>
      </c>
      <c r="L4621">
        <v>739</v>
      </c>
      <c r="M4621">
        <v>81.424705000000003</v>
      </c>
      <c r="N4621">
        <v>1</v>
      </c>
      <c r="O4621" s="1" t="s">
        <v>562</v>
      </c>
      <c r="P4621">
        <v>67898.83</v>
      </c>
      <c r="Q4621">
        <v>4345.5200000000004</v>
      </c>
      <c r="R4621">
        <v>0</v>
      </c>
      <c r="S4621" s="1" t="s">
        <v>933</v>
      </c>
      <c r="T4621" s="1"/>
      <c r="U4621">
        <v>60181</v>
      </c>
      <c r="V4621">
        <v>0</v>
      </c>
      <c r="W4621">
        <v>94055</v>
      </c>
    </row>
    <row r="4622" spans="1:23" x14ac:dyDescent="0.25">
      <c r="A4622" s="1" t="s">
        <v>40</v>
      </c>
      <c r="B4622" s="1"/>
      <c r="C4622" s="1" t="s">
        <v>225</v>
      </c>
      <c r="D4622">
        <v>13825</v>
      </c>
      <c r="E4622" s="1"/>
      <c r="F4622" s="1" t="s">
        <v>358</v>
      </c>
      <c r="G4622">
        <v>2014</v>
      </c>
      <c r="H4622">
        <v>7566.92</v>
      </c>
      <c r="I4622">
        <v>11</v>
      </c>
      <c r="J4622" s="1" t="s">
        <v>471</v>
      </c>
      <c r="K4622">
        <v>0</v>
      </c>
      <c r="L4622">
        <v>739</v>
      </c>
      <c r="M4622">
        <v>10.238019</v>
      </c>
      <c r="N4622">
        <v>1</v>
      </c>
      <c r="O4622" s="1" t="s">
        <v>562</v>
      </c>
      <c r="P4622">
        <v>9181.14</v>
      </c>
      <c r="Q4622">
        <v>587.58000000000004</v>
      </c>
      <c r="R4622">
        <v>0</v>
      </c>
      <c r="S4622" s="1" t="s">
        <v>932</v>
      </c>
      <c r="T4622" s="1"/>
      <c r="U4622">
        <v>7566.9147300000004</v>
      </c>
      <c r="V4622">
        <v>0</v>
      </c>
      <c r="W4622">
        <v>94197</v>
      </c>
    </row>
    <row r="4623" spans="1:23" x14ac:dyDescent="0.25">
      <c r="A4623" s="1" t="s">
        <v>40</v>
      </c>
      <c r="B4623" s="1"/>
      <c r="C4623" s="1" t="s">
        <v>225</v>
      </c>
      <c r="D4623">
        <v>13825</v>
      </c>
      <c r="E4623" s="1"/>
      <c r="F4623" s="1" t="s">
        <v>358</v>
      </c>
      <c r="G4623">
        <v>2014</v>
      </c>
      <c r="H4623">
        <v>20295.86</v>
      </c>
      <c r="I4623">
        <v>1</v>
      </c>
      <c r="J4623" s="1" t="s">
        <v>505</v>
      </c>
      <c r="K4623">
        <v>0</v>
      </c>
      <c r="L4623">
        <v>739</v>
      </c>
      <c r="M4623">
        <v>27.460235000000001</v>
      </c>
      <c r="N4623">
        <v>1</v>
      </c>
      <c r="O4623" s="1" t="s">
        <v>565</v>
      </c>
      <c r="P4623">
        <v>24249.41</v>
      </c>
      <c r="Q4623">
        <v>1551.97</v>
      </c>
      <c r="R4623">
        <v>1</v>
      </c>
      <c r="S4623" s="1" t="s">
        <v>934</v>
      </c>
      <c r="T4623" s="1"/>
      <c r="U4623">
        <v>20.295860000000001</v>
      </c>
      <c r="V4623">
        <v>0</v>
      </c>
      <c r="W4623">
        <v>94054</v>
      </c>
    </row>
    <row r="4624" spans="1:23" x14ac:dyDescent="0.25">
      <c r="A4624" s="1" t="s">
        <v>40</v>
      </c>
      <c r="B4624" s="1"/>
      <c r="C4624" s="1" t="s">
        <v>225</v>
      </c>
      <c r="D4624">
        <v>13825</v>
      </c>
      <c r="E4624" s="1"/>
      <c r="F4624" s="1" t="s">
        <v>358</v>
      </c>
      <c r="G4624">
        <v>2014</v>
      </c>
      <c r="H4624">
        <v>98594.95</v>
      </c>
      <c r="I4624">
        <v>13</v>
      </c>
      <c r="J4624" s="1" t="s">
        <v>471</v>
      </c>
      <c r="K4624">
        <v>0</v>
      </c>
      <c r="L4624">
        <v>739</v>
      </c>
      <c r="M4624">
        <v>133.39866000000001</v>
      </c>
      <c r="N4624">
        <v>1</v>
      </c>
      <c r="O4624" s="1" t="s">
        <v>562</v>
      </c>
      <c r="P4624">
        <v>119377.32</v>
      </c>
      <c r="Q4624">
        <v>7640.12</v>
      </c>
      <c r="R4624">
        <v>0</v>
      </c>
      <c r="S4624" s="1" t="s">
        <v>933</v>
      </c>
      <c r="T4624" s="1"/>
      <c r="U4624">
        <v>98594.950419999994</v>
      </c>
      <c r="V4624">
        <v>0</v>
      </c>
      <c r="W4624">
        <v>94055</v>
      </c>
    </row>
    <row r="4625" spans="1:23" x14ac:dyDescent="0.25">
      <c r="A4625" s="1" t="s">
        <v>40</v>
      </c>
      <c r="B4625" s="1"/>
      <c r="C4625" s="1" t="s">
        <v>225</v>
      </c>
      <c r="D4625">
        <v>13825</v>
      </c>
      <c r="E4625" s="1"/>
      <c r="F4625" s="1" t="s">
        <v>358</v>
      </c>
      <c r="G4625">
        <v>2013</v>
      </c>
      <c r="H4625">
        <v>11187.93</v>
      </c>
      <c r="I4625">
        <v>5</v>
      </c>
      <c r="J4625" s="1" t="s">
        <v>471</v>
      </c>
      <c r="K4625">
        <v>0</v>
      </c>
      <c r="L4625">
        <v>739</v>
      </c>
      <c r="M4625">
        <v>15.137233999999999</v>
      </c>
      <c r="N4625">
        <v>1</v>
      </c>
      <c r="O4625" s="1" t="s">
        <v>562</v>
      </c>
      <c r="P4625">
        <v>12103.55</v>
      </c>
      <c r="Q4625">
        <v>774.63</v>
      </c>
      <c r="R4625">
        <v>0</v>
      </c>
      <c r="S4625" s="1" t="s">
        <v>932</v>
      </c>
      <c r="T4625" s="1"/>
      <c r="U4625">
        <v>11187.9256</v>
      </c>
      <c r="V4625">
        <v>0</v>
      </c>
      <c r="W4625">
        <v>94197</v>
      </c>
    </row>
    <row r="4626" spans="1:23" x14ac:dyDescent="0.25">
      <c r="A4626" s="1" t="s">
        <v>40</v>
      </c>
      <c r="B4626" s="1"/>
      <c r="C4626" s="1" t="s">
        <v>225</v>
      </c>
      <c r="D4626">
        <v>13825</v>
      </c>
      <c r="E4626" s="1"/>
      <c r="F4626" s="1" t="s">
        <v>358</v>
      </c>
      <c r="G4626">
        <v>2013</v>
      </c>
      <c r="H4626">
        <v>38247.15</v>
      </c>
      <c r="I4626">
        <v>4</v>
      </c>
      <c r="J4626" s="1" t="s">
        <v>505</v>
      </c>
      <c r="K4626">
        <v>0</v>
      </c>
      <c r="L4626">
        <v>739</v>
      </c>
      <c r="M4626">
        <v>51.748274000000002</v>
      </c>
      <c r="N4626">
        <v>1</v>
      </c>
      <c r="O4626" s="1" t="s">
        <v>565</v>
      </c>
      <c r="P4626">
        <v>46035.3</v>
      </c>
      <c r="Q4626">
        <v>2946.25</v>
      </c>
      <c r="R4626">
        <v>1</v>
      </c>
      <c r="S4626" s="1" t="s">
        <v>934</v>
      </c>
      <c r="T4626" s="1"/>
      <c r="U4626">
        <v>38.247149999999998</v>
      </c>
      <c r="V4626">
        <v>0</v>
      </c>
      <c r="W4626">
        <v>94054</v>
      </c>
    </row>
    <row r="4627" spans="1:23" x14ac:dyDescent="0.25">
      <c r="A4627" s="1" t="s">
        <v>40</v>
      </c>
      <c r="B4627" s="1"/>
      <c r="C4627" s="1" t="s">
        <v>225</v>
      </c>
      <c r="D4627">
        <v>13825</v>
      </c>
      <c r="E4627" s="1"/>
      <c r="F4627" s="1" t="s">
        <v>358</v>
      </c>
      <c r="G4627">
        <v>2013</v>
      </c>
      <c r="H4627">
        <v>108594.16</v>
      </c>
      <c r="I4627">
        <v>4</v>
      </c>
      <c r="J4627" s="1" t="s">
        <v>471</v>
      </c>
      <c r="K4627">
        <v>0</v>
      </c>
      <c r="L4627">
        <v>739</v>
      </c>
      <c r="M4627">
        <v>146.92756</v>
      </c>
      <c r="N4627">
        <v>1</v>
      </c>
      <c r="O4627" s="1" t="s">
        <v>562</v>
      </c>
      <c r="P4627">
        <v>120238.57</v>
      </c>
      <c r="Q4627">
        <v>7695.25</v>
      </c>
      <c r="R4627">
        <v>0</v>
      </c>
      <c r="S4627" s="1" t="s">
        <v>933</v>
      </c>
      <c r="T4627" s="1"/>
      <c r="U4627">
        <v>108594.17675</v>
      </c>
      <c r="V4627">
        <v>0</v>
      </c>
      <c r="W4627">
        <v>94055</v>
      </c>
    </row>
    <row r="4628" spans="1:23" x14ac:dyDescent="0.25">
      <c r="A4628" s="1" t="s">
        <v>40</v>
      </c>
      <c r="B4628" s="1"/>
      <c r="C4628" s="1" t="s">
        <v>225</v>
      </c>
      <c r="D4628">
        <v>13825</v>
      </c>
      <c r="E4628" s="1"/>
      <c r="F4628" s="1" t="s">
        <v>358</v>
      </c>
      <c r="G4628">
        <v>2012</v>
      </c>
      <c r="H4628">
        <v>134419.34</v>
      </c>
      <c r="I4628">
        <v>1</v>
      </c>
      <c r="J4628" s="1" t="s">
        <v>471</v>
      </c>
      <c r="K4628">
        <v>0</v>
      </c>
      <c r="L4628">
        <v>739</v>
      </c>
      <c r="M4628">
        <v>181.86894799999999</v>
      </c>
      <c r="N4628">
        <v>1</v>
      </c>
      <c r="O4628" s="1" t="s">
        <v>562</v>
      </c>
      <c r="P4628">
        <v>147376.46</v>
      </c>
      <c r="Q4628">
        <v>27264.65</v>
      </c>
      <c r="R4628">
        <v>0</v>
      </c>
      <c r="S4628" s="1" t="s">
        <v>933</v>
      </c>
      <c r="T4628" s="1"/>
      <c r="U4628">
        <v>134419.36463</v>
      </c>
      <c r="V4628">
        <v>0</v>
      </c>
      <c r="W4628">
        <v>94055</v>
      </c>
    </row>
    <row r="4629" spans="1:23" x14ac:dyDescent="0.25">
      <c r="A4629" s="1" t="s">
        <v>40</v>
      </c>
      <c r="B4629" s="1"/>
      <c r="C4629" s="1" t="s">
        <v>225</v>
      </c>
      <c r="D4629">
        <v>13825</v>
      </c>
      <c r="E4629" s="1"/>
      <c r="F4629" s="1" t="s">
        <v>358</v>
      </c>
      <c r="G4629">
        <v>2012</v>
      </c>
      <c r="H4629">
        <v>14133.09</v>
      </c>
      <c r="I4629">
        <v>1</v>
      </c>
      <c r="J4629" s="1" t="s">
        <v>471</v>
      </c>
      <c r="K4629">
        <v>0</v>
      </c>
      <c r="L4629">
        <v>739</v>
      </c>
      <c r="M4629">
        <v>19.122026000000002</v>
      </c>
      <c r="N4629">
        <v>1</v>
      </c>
      <c r="O4629" s="1" t="s">
        <v>562</v>
      </c>
      <c r="P4629">
        <v>15587.21</v>
      </c>
      <c r="Q4629">
        <v>2883.63</v>
      </c>
      <c r="R4629">
        <v>0</v>
      </c>
      <c r="S4629" s="1" t="s">
        <v>932</v>
      </c>
      <c r="T4629" s="1"/>
      <c r="U4629">
        <v>14133.110479999999</v>
      </c>
      <c r="V4629">
        <v>0</v>
      </c>
      <c r="W4629">
        <v>94197</v>
      </c>
    </row>
    <row r="4630" spans="1:23" x14ac:dyDescent="0.25">
      <c r="A4630" s="1" t="s">
        <v>40</v>
      </c>
      <c r="B4630" s="1"/>
      <c r="C4630" s="1" t="s">
        <v>225</v>
      </c>
      <c r="D4630">
        <v>13825</v>
      </c>
      <c r="E4630" s="1"/>
      <c r="F4630" s="1" t="s">
        <v>358</v>
      </c>
      <c r="G4630">
        <v>2011</v>
      </c>
      <c r="H4630">
        <v>125900.35</v>
      </c>
      <c r="I4630">
        <v>1</v>
      </c>
      <c r="J4630" s="1" t="s">
        <v>471</v>
      </c>
      <c r="K4630">
        <v>0</v>
      </c>
      <c r="L4630">
        <v>739</v>
      </c>
      <c r="M4630">
        <v>170.342781</v>
      </c>
      <c r="N4630">
        <v>1</v>
      </c>
      <c r="O4630" s="1" t="s">
        <v>562</v>
      </c>
      <c r="P4630">
        <v>149837.09</v>
      </c>
      <c r="Q4630">
        <v>27719.85</v>
      </c>
      <c r="R4630">
        <v>0</v>
      </c>
      <c r="S4630" s="1" t="s">
        <v>933</v>
      </c>
      <c r="T4630" s="1"/>
      <c r="U4630">
        <v>125900.36571</v>
      </c>
      <c r="V4630">
        <v>0</v>
      </c>
      <c r="W4630">
        <v>94055</v>
      </c>
    </row>
    <row r="4631" spans="1:23" x14ac:dyDescent="0.25">
      <c r="A4631" s="1" t="s">
        <v>40</v>
      </c>
      <c r="B4631" s="1"/>
      <c r="C4631" s="1" t="s">
        <v>225</v>
      </c>
      <c r="D4631">
        <v>13825</v>
      </c>
      <c r="E4631" s="1"/>
      <c r="F4631" s="1" t="s">
        <v>358</v>
      </c>
      <c r="G4631">
        <v>2011</v>
      </c>
      <c r="H4631">
        <v>12777.59</v>
      </c>
      <c r="I4631">
        <v>1</v>
      </c>
      <c r="J4631" s="1" t="s">
        <v>471</v>
      </c>
      <c r="K4631">
        <v>0</v>
      </c>
      <c r="L4631">
        <v>739</v>
      </c>
      <c r="M4631">
        <v>17.288039000000001</v>
      </c>
      <c r="N4631">
        <v>1</v>
      </c>
      <c r="O4631" s="1" t="s">
        <v>562</v>
      </c>
      <c r="P4631">
        <v>15176.83</v>
      </c>
      <c r="Q4631">
        <v>2807.71</v>
      </c>
      <c r="R4631">
        <v>0</v>
      </c>
      <c r="S4631" s="1" t="s">
        <v>932</v>
      </c>
      <c r="T4631" s="1"/>
      <c r="U4631">
        <v>12777.6026</v>
      </c>
      <c r="V4631">
        <v>0</v>
      </c>
      <c r="W4631">
        <v>94197</v>
      </c>
    </row>
    <row r="4632" spans="1:23" x14ac:dyDescent="0.25">
      <c r="A4632" s="1" t="s">
        <v>40</v>
      </c>
      <c r="B4632" s="1"/>
      <c r="C4632" s="1" t="s">
        <v>225</v>
      </c>
      <c r="D4632">
        <v>13825</v>
      </c>
      <c r="E4632" s="1"/>
      <c r="F4632" s="1" t="s">
        <v>358</v>
      </c>
      <c r="G4632">
        <v>2010</v>
      </c>
      <c r="H4632">
        <v>114513.68</v>
      </c>
      <c r="I4632">
        <v>1</v>
      </c>
      <c r="J4632" s="1" t="s">
        <v>471</v>
      </c>
      <c r="K4632">
        <v>0</v>
      </c>
      <c r="L4632">
        <v>739</v>
      </c>
      <c r="M4632">
        <v>154.93665200000001</v>
      </c>
      <c r="N4632">
        <v>1</v>
      </c>
      <c r="O4632" s="1" t="s">
        <v>562</v>
      </c>
      <c r="P4632">
        <v>151012.76</v>
      </c>
      <c r="Q4632">
        <v>27937.35</v>
      </c>
      <c r="R4632">
        <v>0</v>
      </c>
      <c r="S4632" s="1" t="s">
        <v>933</v>
      </c>
      <c r="T4632" s="1"/>
      <c r="U4632">
        <v>114513.66574</v>
      </c>
      <c r="V4632">
        <v>0</v>
      </c>
      <c r="W4632">
        <v>94055</v>
      </c>
    </row>
    <row r="4633" spans="1:23" x14ac:dyDescent="0.25">
      <c r="A4633" s="1" t="s">
        <v>40</v>
      </c>
      <c r="B4633" s="1"/>
      <c r="C4633" s="1" t="s">
        <v>225</v>
      </c>
      <c r="D4633">
        <v>13825</v>
      </c>
      <c r="E4633" s="1"/>
      <c r="F4633" s="1" t="s">
        <v>358</v>
      </c>
      <c r="G4633">
        <v>2010</v>
      </c>
      <c r="H4633">
        <v>10175.719999999999</v>
      </c>
      <c r="I4633">
        <v>1</v>
      </c>
      <c r="J4633" s="1" t="s">
        <v>471</v>
      </c>
      <c r="K4633">
        <v>0</v>
      </c>
      <c r="L4633">
        <v>739</v>
      </c>
      <c r="M4633">
        <v>13.767716999999999</v>
      </c>
      <c r="N4633">
        <v>1</v>
      </c>
      <c r="O4633" s="1" t="s">
        <v>562</v>
      </c>
      <c r="P4633">
        <v>13141.63</v>
      </c>
      <c r="Q4633">
        <v>2431.2199999999998</v>
      </c>
      <c r="R4633">
        <v>0</v>
      </c>
      <c r="S4633" s="1" t="s">
        <v>932</v>
      </c>
      <c r="T4633" s="1"/>
      <c r="U4633">
        <v>10175.73695</v>
      </c>
      <c r="V4633">
        <v>0</v>
      </c>
      <c r="W4633">
        <v>94197</v>
      </c>
    </row>
    <row r="4634" spans="1:23" x14ac:dyDescent="0.25">
      <c r="A4634" s="1" t="s">
        <v>40</v>
      </c>
      <c r="B4634" s="1"/>
      <c r="C4634" s="1" t="s">
        <v>225</v>
      </c>
      <c r="D4634">
        <v>13825</v>
      </c>
      <c r="E4634" s="1"/>
      <c r="F4634" s="1" t="s">
        <v>358</v>
      </c>
      <c r="G4634">
        <v>2009</v>
      </c>
      <c r="H4634">
        <v>100796.38</v>
      </c>
      <c r="I4634">
        <v>1</v>
      </c>
      <c r="J4634" s="1" t="s">
        <v>471</v>
      </c>
      <c r="K4634">
        <v>0</v>
      </c>
      <c r="L4634">
        <v>739</v>
      </c>
      <c r="M4634">
        <v>136.37718799999999</v>
      </c>
      <c r="N4634">
        <v>1</v>
      </c>
      <c r="O4634" s="1" t="s">
        <v>562</v>
      </c>
      <c r="P4634">
        <v>147831.71</v>
      </c>
      <c r="Q4634">
        <v>27348.86</v>
      </c>
      <c r="R4634">
        <v>0</v>
      </c>
      <c r="S4634" s="1" t="s">
        <v>933</v>
      </c>
      <c r="T4634" s="1"/>
      <c r="U4634">
        <v>100796.38082999999</v>
      </c>
      <c r="V4634">
        <v>0</v>
      </c>
      <c r="W4634">
        <v>94055</v>
      </c>
    </row>
    <row r="4635" spans="1:23" x14ac:dyDescent="0.25">
      <c r="A4635" s="1" t="s">
        <v>40</v>
      </c>
      <c r="B4635" s="1"/>
      <c r="C4635" s="1" t="s">
        <v>225</v>
      </c>
      <c r="D4635">
        <v>13825</v>
      </c>
      <c r="E4635" s="1"/>
      <c r="F4635" s="1" t="s">
        <v>358</v>
      </c>
      <c r="G4635">
        <v>2009</v>
      </c>
      <c r="H4635">
        <v>8044.88</v>
      </c>
      <c r="I4635">
        <v>1</v>
      </c>
      <c r="J4635" s="1" t="s">
        <v>471</v>
      </c>
      <c r="K4635">
        <v>0</v>
      </c>
      <c r="L4635">
        <v>739</v>
      </c>
      <c r="M4635">
        <v>10.884696999999999</v>
      </c>
      <c r="N4635">
        <v>1</v>
      </c>
      <c r="O4635" s="1" t="s">
        <v>562</v>
      </c>
      <c r="P4635">
        <v>11687.97</v>
      </c>
      <c r="Q4635">
        <v>2162.27</v>
      </c>
      <c r="R4635">
        <v>0</v>
      </c>
      <c r="S4635" s="1" t="s">
        <v>932</v>
      </c>
      <c r="T4635" s="1"/>
      <c r="U4635">
        <v>8044.9013699999996</v>
      </c>
      <c r="V4635">
        <v>0</v>
      </c>
      <c r="W4635">
        <v>94197</v>
      </c>
    </row>
    <row r="4636" spans="1:23" x14ac:dyDescent="0.25">
      <c r="A4636" s="1" t="s">
        <v>40</v>
      </c>
      <c r="B4636" s="1"/>
      <c r="C4636" s="1" t="s">
        <v>225</v>
      </c>
      <c r="D4636">
        <v>13825</v>
      </c>
      <c r="E4636" s="1"/>
      <c r="F4636" s="1" t="s">
        <v>358</v>
      </c>
      <c r="G4636">
        <v>2008</v>
      </c>
      <c r="H4636">
        <v>97806.68</v>
      </c>
      <c r="I4636">
        <v>1</v>
      </c>
      <c r="J4636" s="1" t="s">
        <v>471</v>
      </c>
      <c r="K4636">
        <v>0</v>
      </c>
      <c r="L4636">
        <v>739</v>
      </c>
      <c r="M4636">
        <v>132.332133</v>
      </c>
      <c r="N4636">
        <v>1</v>
      </c>
      <c r="O4636" s="1" t="s">
        <v>562</v>
      </c>
      <c r="P4636">
        <v>126843.8</v>
      </c>
      <c r="Q4636">
        <v>23466.1</v>
      </c>
      <c r="R4636">
        <v>0</v>
      </c>
      <c r="S4636" s="1" t="s">
        <v>933</v>
      </c>
      <c r="T4636" s="1"/>
      <c r="U4636">
        <v>97806.669670000003</v>
      </c>
      <c r="V4636">
        <v>0</v>
      </c>
      <c r="W4636">
        <v>94055</v>
      </c>
    </row>
    <row r="4637" spans="1:23" x14ac:dyDescent="0.25">
      <c r="A4637" s="1" t="s">
        <v>40</v>
      </c>
      <c r="B4637" s="1"/>
      <c r="C4637" s="1" t="s">
        <v>225</v>
      </c>
      <c r="D4637">
        <v>13825</v>
      </c>
      <c r="E4637" s="1"/>
      <c r="F4637" s="1" t="s">
        <v>358</v>
      </c>
      <c r="G4637">
        <v>2008</v>
      </c>
      <c r="H4637">
        <v>7534.82</v>
      </c>
      <c r="I4637">
        <v>1</v>
      </c>
      <c r="J4637" s="1" t="s">
        <v>471</v>
      </c>
      <c r="K4637">
        <v>0</v>
      </c>
      <c r="L4637">
        <v>739</v>
      </c>
      <c r="M4637">
        <v>10.194588</v>
      </c>
      <c r="N4637">
        <v>1</v>
      </c>
      <c r="O4637" s="1" t="s">
        <v>562</v>
      </c>
      <c r="P4637">
        <v>9762.44</v>
      </c>
      <c r="Q4637">
        <v>1806.07</v>
      </c>
      <c r="R4637">
        <v>0</v>
      </c>
      <c r="S4637" s="1" t="s">
        <v>932</v>
      </c>
      <c r="T4637" s="1"/>
      <c r="U4637">
        <v>7534.8328000000001</v>
      </c>
      <c r="V4637">
        <v>0</v>
      </c>
      <c r="W4637">
        <v>94197</v>
      </c>
    </row>
    <row r="4638" spans="1:23" x14ac:dyDescent="0.25">
      <c r="A4638" s="1" t="s">
        <v>40</v>
      </c>
      <c r="B4638" s="1"/>
      <c r="C4638" s="1" t="s">
        <v>210</v>
      </c>
      <c r="D4638">
        <v>10275</v>
      </c>
      <c r="E4638" s="1"/>
      <c r="F4638" s="1" t="s">
        <v>348</v>
      </c>
      <c r="G4638">
        <v>2015</v>
      </c>
      <c r="H4638">
        <v>1719.35</v>
      </c>
      <c r="I4638">
        <v>5</v>
      </c>
      <c r="J4638" s="1"/>
      <c r="K4638">
        <v>0</v>
      </c>
      <c r="L4638">
        <v>551</v>
      </c>
      <c r="M4638">
        <v>3.1198510000000002</v>
      </c>
      <c r="N4638">
        <v>2</v>
      </c>
      <c r="O4638" s="1" t="s">
        <v>569</v>
      </c>
      <c r="P4638">
        <v>1719.35</v>
      </c>
      <c r="Q4638">
        <v>515.82000000000005</v>
      </c>
      <c r="R4638">
        <v>0</v>
      </c>
      <c r="S4638" s="1" t="s">
        <v>1129</v>
      </c>
      <c r="T4638" s="1" t="s">
        <v>1348</v>
      </c>
      <c r="U4638">
        <v>1719.3642</v>
      </c>
      <c r="V4638">
        <v>0</v>
      </c>
      <c r="W4638">
        <v>92619</v>
      </c>
    </row>
    <row r="4639" spans="1:23" x14ac:dyDescent="0.25">
      <c r="A4639" s="1" t="s">
        <v>40</v>
      </c>
      <c r="B4639" s="1"/>
      <c r="C4639" s="1" t="s">
        <v>210</v>
      </c>
      <c r="D4639">
        <v>10275</v>
      </c>
      <c r="E4639" s="1"/>
      <c r="F4639" s="1" t="s">
        <v>348</v>
      </c>
      <c r="G4639">
        <v>2014</v>
      </c>
      <c r="H4639">
        <v>10497.57</v>
      </c>
      <c r="I4639">
        <v>12</v>
      </c>
      <c r="J4639" s="1"/>
      <c r="K4639">
        <v>0</v>
      </c>
      <c r="L4639">
        <v>551</v>
      </c>
      <c r="M4639">
        <v>19.048393999999998</v>
      </c>
      <c r="N4639">
        <v>2</v>
      </c>
      <c r="O4639" s="1" t="s">
        <v>569</v>
      </c>
      <c r="P4639">
        <v>10497.57</v>
      </c>
      <c r="Q4639">
        <v>3149.27</v>
      </c>
      <c r="R4639">
        <v>0</v>
      </c>
      <c r="S4639" s="1" t="s">
        <v>1129</v>
      </c>
      <c r="T4639" s="1" t="s">
        <v>1348</v>
      </c>
      <c r="U4639">
        <v>10497.559300000001</v>
      </c>
      <c r="V4639">
        <v>0</v>
      </c>
      <c r="W4639">
        <v>92619</v>
      </c>
    </row>
    <row r="4640" spans="1:23" x14ac:dyDescent="0.25">
      <c r="A4640" s="1" t="s">
        <v>40</v>
      </c>
      <c r="B4640" s="1"/>
      <c r="C4640" s="1" t="s">
        <v>210</v>
      </c>
      <c r="D4640">
        <v>10275</v>
      </c>
      <c r="E4640" s="1"/>
      <c r="F4640" s="1" t="s">
        <v>348</v>
      </c>
      <c r="G4640">
        <v>2013</v>
      </c>
      <c r="H4640">
        <v>12678.82</v>
      </c>
      <c r="I4640">
        <v>12</v>
      </c>
      <c r="J4640" s="1"/>
      <c r="K4640">
        <v>0</v>
      </c>
      <c r="L4640">
        <v>551</v>
      </c>
      <c r="M4640">
        <v>23.006387</v>
      </c>
      <c r="N4640">
        <v>2</v>
      </c>
      <c r="O4640" s="1" t="s">
        <v>569</v>
      </c>
      <c r="P4640">
        <v>12678.82</v>
      </c>
      <c r="Q4640">
        <v>3803.65</v>
      </c>
      <c r="R4640">
        <v>0</v>
      </c>
      <c r="S4640" s="1" t="s">
        <v>1129</v>
      </c>
      <c r="T4640" s="1" t="s">
        <v>1348</v>
      </c>
      <c r="U4640">
        <v>12678.8228</v>
      </c>
      <c r="V4640">
        <v>0</v>
      </c>
      <c r="W4640">
        <v>92619</v>
      </c>
    </row>
    <row r="4641" spans="1:23" x14ac:dyDescent="0.25">
      <c r="A4641" s="1" t="s">
        <v>40</v>
      </c>
      <c r="B4641" s="1"/>
      <c r="C4641" s="1" t="s">
        <v>210</v>
      </c>
      <c r="D4641">
        <v>10275</v>
      </c>
      <c r="E4641" s="1"/>
      <c r="F4641" s="1" t="s">
        <v>348</v>
      </c>
      <c r="G4641">
        <v>2012</v>
      </c>
      <c r="H4641">
        <v>8204.51</v>
      </c>
      <c r="I4641">
        <v>12</v>
      </c>
      <c r="J4641" s="1"/>
      <c r="K4641">
        <v>0</v>
      </c>
      <c r="L4641">
        <v>551</v>
      </c>
      <c r="M4641">
        <v>14.887515</v>
      </c>
      <c r="N4641">
        <v>2</v>
      </c>
      <c r="O4641" s="1" t="s">
        <v>569</v>
      </c>
      <c r="P4641">
        <v>8204.51</v>
      </c>
      <c r="Q4641">
        <v>3281.8</v>
      </c>
      <c r="R4641">
        <v>0</v>
      </c>
      <c r="S4641" s="1" t="s">
        <v>1129</v>
      </c>
      <c r="T4641" s="1" t="s">
        <v>1348</v>
      </c>
      <c r="U4641">
        <v>8204.4969000000001</v>
      </c>
      <c r="V4641">
        <v>0</v>
      </c>
      <c r="W4641">
        <v>92619</v>
      </c>
    </row>
    <row r="4642" spans="1:23" x14ac:dyDescent="0.25">
      <c r="A4642" s="1" t="s">
        <v>40</v>
      </c>
      <c r="B4642" s="1"/>
      <c r="C4642" s="1" t="s">
        <v>210</v>
      </c>
      <c r="D4642">
        <v>10275</v>
      </c>
      <c r="E4642" s="1"/>
      <c r="F4642" s="1" t="s">
        <v>348</v>
      </c>
      <c r="G4642">
        <v>2011</v>
      </c>
      <c r="H4642">
        <v>225.5</v>
      </c>
      <c r="I4642">
        <v>1</v>
      </c>
      <c r="J4642" s="1"/>
      <c r="K4642">
        <v>0</v>
      </c>
      <c r="L4642">
        <v>551</v>
      </c>
      <c r="M4642">
        <v>0.40918100000000002</v>
      </c>
      <c r="N4642">
        <v>2</v>
      </c>
      <c r="O4642" s="1" t="s">
        <v>569</v>
      </c>
      <c r="P4642">
        <v>225.5</v>
      </c>
      <c r="Q4642">
        <v>105.75</v>
      </c>
      <c r="R4642">
        <v>0</v>
      </c>
      <c r="S4642" s="1" t="s">
        <v>1129</v>
      </c>
      <c r="T4642" s="1" t="s">
        <v>1348</v>
      </c>
      <c r="U4642">
        <v>225.49629999999999</v>
      </c>
      <c r="V4642">
        <v>0</v>
      </c>
      <c r="W4642">
        <v>92619</v>
      </c>
    </row>
    <row r="4643" spans="1:23" x14ac:dyDescent="0.25">
      <c r="A4643" s="1" t="s">
        <v>40</v>
      </c>
      <c r="B4643" s="1"/>
      <c r="C4643" s="1" t="s">
        <v>210</v>
      </c>
      <c r="D4643">
        <v>10275</v>
      </c>
      <c r="E4643" s="1"/>
      <c r="F4643" s="1" t="s">
        <v>348</v>
      </c>
      <c r="G4643">
        <v>2011</v>
      </c>
      <c r="H4643">
        <v>5725.5</v>
      </c>
      <c r="I4643">
        <v>3</v>
      </c>
      <c r="J4643" s="1" t="s">
        <v>457</v>
      </c>
      <c r="K4643">
        <v>0</v>
      </c>
      <c r="L4643">
        <v>551</v>
      </c>
      <c r="M4643">
        <v>10.389220999999999</v>
      </c>
      <c r="N4643">
        <v>2</v>
      </c>
      <c r="O4643" s="1" t="s">
        <v>569</v>
      </c>
      <c r="P4643">
        <v>5725.5</v>
      </c>
      <c r="Q4643">
        <v>2685.26</v>
      </c>
      <c r="R4643">
        <v>0</v>
      </c>
      <c r="S4643" s="1" t="s">
        <v>1130</v>
      </c>
      <c r="T4643" s="1"/>
      <c r="U4643">
        <v>5725.5000099999997</v>
      </c>
      <c r="V4643">
        <v>0</v>
      </c>
      <c r="W4643">
        <v>77668</v>
      </c>
    </row>
    <row r="4644" spans="1:23" x14ac:dyDescent="0.25">
      <c r="A4644" s="1" t="s">
        <v>40</v>
      </c>
      <c r="B4644" s="1"/>
      <c r="C4644" s="1" t="s">
        <v>210</v>
      </c>
      <c r="D4644">
        <v>10275</v>
      </c>
      <c r="E4644" s="1"/>
      <c r="F4644" s="1" t="s">
        <v>348</v>
      </c>
      <c r="G4644">
        <v>2010</v>
      </c>
      <c r="H4644">
        <v>19809.09</v>
      </c>
      <c r="I4644">
        <v>3</v>
      </c>
      <c r="J4644" s="1" t="s">
        <v>457</v>
      </c>
      <c r="K4644">
        <v>0</v>
      </c>
      <c r="L4644">
        <v>551</v>
      </c>
      <c r="M4644">
        <v>35.944637</v>
      </c>
      <c r="N4644">
        <v>2</v>
      </c>
      <c r="O4644" s="1" t="s">
        <v>569</v>
      </c>
      <c r="P4644">
        <v>19809.09</v>
      </c>
      <c r="Q4644">
        <v>9290.4599999999991</v>
      </c>
      <c r="R4644">
        <v>0</v>
      </c>
      <c r="S4644" s="1" t="s">
        <v>1130</v>
      </c>
      <c r="T4644" s="1"/>
      <c r="U4644">
        <v>19809.09</v>
      </c>
      <c r="V4644">
        <v>0</v>
      </c>
      <c r="W4644">
        <v>77668</v>
      </c>
    </row>
    <row r="4645" spans="1:23" x14ac:dyDescent="0.25">
      <c r="A4645" s="1" t="s">
        <v>40</v>
      </c>
      <c r="B4645" s="1"/>
      <c r="C4645" s="1" t="s">
        <v>210</v>
      </c>
      <c r="D4645">
        <v>10275</v>
      </c>
      <c r="E4645" s="1"/>
      <c r="F4645" s="1" t="s">
        <v>348</v>
      </c>
      <c r="G4645">
        <v>2009</v>
      </c>
      <c r="H4645">
        <v>20849.23</v>
      </c>
      <c r="I4645">
        <v>2</v>
      </c>
      <c r="J4645" s="1" t="s">
        <v>457</v>
      </c>
      <c r="K4645">
        <v>0</v>
      </c>
      <c r="L4645">
        <v>551</v>
      </c>
      <c r="M4645">
        <v>37.832025999999999</v>
      </c>
      <c r="N4645">
        <v>2</v>
      </c>
      <c r="O4645" s="1" t="s">
        <v>569</v>
      </c>
      <c r="P4645">
        <v>20849.23</v>
      </c>
      <c r="Q4645">
        <v>9778.26</v>
      </c>
      <c r="R4645">
        <v>0</v>
      </c>
      <c r="S4645" s="1" t="s">
        <v>1130</v>
      </c>
      <c r="T4645" s="1"/>
      <c r="U4645">
        <v>20849.228190000002</v>
      </c>
      <c r="V4645">
        <v>0</v>
      </c>
      <c r="W4645">
        <v>77668</v>
      </c>
    </row>
    <row r="4646" spans="1:23" x14ac:dyDescent="0.25">
      <c r="A4646" s="1" t="s">
        <v>40</v>
      </c>
      <c r="B4646" s="1"/>
      <c r="C4646" s="1" t="s">
        <v>210</v>
      </c>
      <c r="D4646">
        <v>10275</v>
      </c>
      <c r="E4646" s="1"/>
      <c r="F4646" s="1" t="s">
        <v>348</v>
      </c>
      <c r="G4646">
        <v>2008</v>
      </c>
      <c r="H4646">
        <v>20190.86</v>
      </c>
      <c r="I4646">
        <v>4</v>
      </c>
      <c r="J4646" s="1" t="s">
        <v>457</v>
      </c>
      <c r="K4646">
        <v>0</v>
      </c>
      <c r="L4646">
        <v>551</v>
      </c>
      <c r="M4646">
        <v>36.637379000000003</v>
      </c>
      <c r="N4646">
        <v>2</v>
      </c>
      <c r="O4646" s="1" t="s">
        <v>569</v>
      </c>
      <c r="P4646">
        <v>20190.86</v>
      </c>
      <c r="Q4646">
        <v>9469.5400000000009</v>
      </c>
      <c r="R4646">
        <v>0</v>
      </c>
      <c r="S4646" s="1" t="s">
        <v>1130</v>
      </c>
      <c r="T4646" s="1"/>
      <c r="U4646">
        <v>20190.850480000001</v>
      </c>
      <c r="V4646">
        <v>0</v>
      </c>
      <c r="W4646">
        <v>77668</v>
      </c>
    </row>
    <row r="4647" spans="1:23" x14ac:dyDescent="0.25">
      <c r="A4647" s="1" t="s">
        <v>40</v>
      </c>
      <c r="B4647" s="1"/>
      <c r="C4647" s="1" t="s">
        <v>227</v>
      </c>
      <c r="D4647">
        <v>10276</v>
      </c>
      <c r="E4647" s="1"/>
      <c r="F4647" s="1" t="s">
        <v>367</v>
      </c>
      <c r="G4647">
        <v>2015</v>
      </c>
      <c r="H4647">
        <v>1894.93</v>
      </c>
      <c r="I4647">
        <v>5</v>
      </c>
      <c r="J4647" s="1"/>
      <c r="K4647">
        <v>0</v>
      </c>
      <c r="L4647">
        <v>0</v>
      </c>
      <c r="M4647">
        <v>18949.3</v>
      </c>
      <c r="N4647">
        <v>2</v>
      </c>
      <c r="O4647" s="1" t="s">
        <v>569</v>
      </c>
      <c r="P4647">
        <v>1894.93</v>
      </c>
      <c r="Q4647">
        <v>888.73</v>
      </c>
      <c r="R4647">
        <v>0</v>
      </c>
      <c r="S4647" s="1"/>
      <c r="T4647" s="1"/>
      <c r="U4647">
        <v>1894.9163000000001</v>
      </c>
      <c r="V4647">
        <v>0</v>
      </c>
      <c r="W4647">
        <v>90594</v>
      </c>
    </row>
    <row r="4648" spans="1:23" x14ac:dyDescent="0.25">
      <c r="A4648" s="1" t="s">
        <v>40</v>
      </c>
      <c r="B4648" s="1"/>
      <c r="C4648" s="1" t="s">
        <v>227</v>
      </c>
      <c r="D4648">
        <v>10276</v>
      </c>
      <c r="E4648" s="1"/>
      <c r="F4648" s="1" t="s">
        <v>367</v>
      </c>
      <c r="G4648">
        <v>2014</v>
      </c>
      <c r="H4648">
        <v>4012.98</v>
      </c>
      <c r="I4648">
        <v>12</v>
      </c>
      <c r="J4648" s="1"/>
      <c r="K4648">
        <v>0</v>
      </c>
      <c r="L4648">
        <v>0</v>
      </c>
      <c r="M4648">
        <v>40129.800000000003</v>
      </c>
      <c r="N4648">
        <v>2</v>
      </c>
      <c r="O4648" s="1" t="s">
        <v>569</v>
      </c>
      <c r="P4648">
        <v>4012.98</v>
      </c>
      <c r="Q4648">
        <v>1882.1</v>
      </c>
      <c r="R4648">
        <v>0</v>
      </c>
      <c r="S4648" s="1"/>
      <c r="T4648" s="1"/>
      <c r="U4648">
        <v>4012.9987000000001</v>
      </c>
      <c r="V4648">
        <v>0</v>
      </c>
      <c r="W4648">
        <v>90594</v>
      </c>
    </row>
    <row r="4649" spans="1:23" x14ac:dyDescent="0.25">
      <c r="A4649" s="1" t="s">
        <v>40</v>
      </c>
      <c r="B4649" s="1"/>
      <c r="C4649" s="1" t="s">
        <v>227</v>
      </c>
      <c r="D4649">
        <v>10276</v>
      </c>
      <c r="E4649" s="1"/>
      <c r="F4649" s="1" t="s">
        <v>367</v>
      </c>
      <c r="G4649">
        <v>2013</v>
      </c>
      <c r="H4649">
        <v>2759.33</v>
      </c>
      <c r="I4649">
        <v>12</v>
      </c>
      <c r="J4649" s="1"/>
      <c r="K4649">
        <v>0</v>
      </c>
      <c r="L4649">
        <v>0</v>
      </c>
      <c r="M4649">
        <v>27593.3</v>
      </c>
      <c r="N4649">
        <v>2</v>
      </c>
      <c r="O4649" s="1" t="s">
        <v>569</v>
      </c>
      <c r="P4649">
        <v>2759.33</v>
      </c>
      <c r="Q4649">
        <v>1294.1099999999999</v>
      </c>
      <c r="R4649">
        <v>0</v>
      </c>
      <c r="S4649" s="1"/>
      <c r="T4649" s="1"/>
      <c r="U4649">
        <v>2759.3262</v>
      </c>
      <c r="V4649">
        <v>0</v>
      </c>
      <c r="W4649">
        <v>90594</v>
      </c>
    </row>
    <row r="4650" spans="1:23" x14ac:dyDescent="0.25">
      <c r="A4650" s="1" t="s">
        <v>40</v>
      </c>
      <c r="B4650" s="1"/>
      <c r="C4650" s="1" t="s">
        <v>227</v>
      </c>
      <c r="D4650">
        <v>10276</v>
      </c>
      <c r="E4650" s="1"/>
      <c r="F4650" s="1" t="s">
        <v>367</v>
      </c>
      <c r="G4650">
        <v>2012</v>
      </c>
      <c r="H4650">
        <v>5428.67</v>
      </c>
      <c r="I4650">
        <v>12</v>
      </c>
      <c r="J4650" s="1"/>
      <c r="K4650">
        <v>0</v>
      </c>
      <c r="L4650">
        <v>0</v>
      </c>
      <c r="M4650">
        <v>54286.7</v>
      </c>
      <c r="N4650">
        <v>2</v>
      </c>
      <c r="O4650" s="1" t="s">
        <v>569</v>
      </c>
      <c r="P4650">
        <v>5428.67</v>
      </c>
      <c r="Q4650">
        <v>2546.0500000000002</v>
      </c>
      <c r="R4650">
        <v>0</v>
      </c>
      <c r="S4650" s="1"/>
      <c r="T4650" s="1"/>
      <c r="U4650">
        <v>5428.6736000000001</v>
      </c>
      <c r="V4650">
        <v>0</v>
      </c>
      <c r="W4650">
        <v>90594</v>
      </c>
    </row>
    <row r="4651" spans="1:23" x14ac:dyDescent="0.25">
      <c r="A4651" s="1" t="s">
        <v>40</v>
      </c>
      <c r="B4651" s="1"/>
      <c r="C4651" s="1" t="s">
        <v>227</v>
      </c>
      <c r="D4651">
        <v>10276</v>
      </c>
      <c r="E4651" s="1"/>
      <c r="F4651" s="1" t="s">
        <v>367</v>
      </c>
      <c r="G4651">
        <v>2011</v>
      </c>
      <c r="H4651">
        <v>277.14999999999998</v>
      </c>
      <c r="I4651">
        <v>1</v>
      </c>
      <c r="J4651" s="1"/>
      <c r="K4651">
        <v>0</v>
      </c>
      <c r="L4651">
        <v>0</v>
      </c>
      <c r="M4651">
        <v>2771.5</v>
      </c>
      <c r="N4651">
        <v>2</v>
      </c>
      <c r="O4651" s="1" t="s">
        <v>569</v>
      </c>
      <c r="P4651">
        <v>277.14999999999998</v>
      </c>
      <c r="Q4651">
        <v>129.99</v>
      </c>
      <c r="R4651">
        <v>0</v>
      </c>
      <c r="S4651" s="1"/>
      <c r="T4651" s="1"/>
      <c r="U4651">
        <v>277.15370000000001</v>
      </c>
      <c r="V4651">
        <v>0</v>
      </c>
      <c r="W4651">
        <v>90594</v>
      </c>
    </row>
    <row r="4652" spans="1:23" x14ac:dyDescent="0.25">
      <c r="A4652" s="1" t="s">
        <v>40</v>
      </c>
      <c r="B4652" s="1"/>
      <c r="C4652" s="1" t="s">
        <v>211</v>
      </c>
      <c r="D4652">
        <v>10277</v>
      </c>
      <c r="E4652" s="1"/>
      <c r="F4652" s="1" t="s">
        <v>349</v>
      </c>
      <c r="G4652">
        <v>2015</v>
      </c>
      <c r="H4652">
        <v>4738.24</v>
      </c>
      <c r="I4652">
        <v>5</v>
      </c>
      <c r="J4652" s="1" t="s">
        <v>410</v>
      </c>
      <c r="K4652">
        <v>0</v>
      </c>
      <c r="L4652">
        <v>304</v>
      </c>
      <c r="M4652">
        <v>15.581189999999999</v>
      </c>
      <c r="N4652">
        <v>2</v>
      </c>
      <c r="O4652" s="1" t="s">
        <v>569</v>
      </c>
      <c r="P4652">
        <v>4738.24</v>
      </c>
      <c r="Q4652">
        <v>1421.47</v>
      </c>
      <c r="R4652">
        <v>0</v>
      </c>
      <c r="S4652" s="1" t="s">
        <v>1131</v>
      </c>
      <c r="T4652" s="1" t="s">
        <v>1349</v>
      </c>
      <c r="U4652">
        <v>4738.2349999999997</v>
      </c>
      <c r="V4652">
        <v>0</v>
      </c>
      <c r="W4652">
        <v>77671</v>
      </c>
    </row>
    <row r="4653" spans="1:23" x14ac:dyDescent="0.25">
      <c r="A4653" s="1" t="s">
        <v>40</v>
      </c>
      <c r="B4653" s="1"/>
      <c r="C4653" s="1" t="s">
        <v>211</v>
      </c>
      <c r="D4653">
        <v>10277</v>
      </c>
      <c r="E4653" s="1"/>
      <c r="F4653" s="1" t="s">
        <v>349</v>
      </c>
      <c r="G4653">
        <v>2014</v>
      </c>
      <c r="H4653">
        <v>6323.73</v>
      </c>
      <c r="I4653">
        <v>12</v>
      </c>
      <c r="J4653" s="1" t="s">
        <v>410</v>
      </c>
      <c r="K4653">
        <v>0</v>
      </c>
      <c r="L4653">
        <v>304</v>
      </c>
      <c r="M4653">
        <v>20.794902</v>
      </c>
      <c r="N4653">
        <v>2</v>
      </c>
      <c r="O4653" s="1" t="s">
        <v>569</v>
      </c>
      <c r="P4653">
        <v>6323.73</v>
      </c>
      <c r="Q4653">
        <v>1897.13</v>
      </c>
      <c r="R4653">
        <v>0</v>
      </c>
      <c r="S4653" s="1" t="s">
        <v>1131</v>
      </c>
      <c r="T4653" s="1" t="s">
        <v>1349</v>
      </c>
      <c r="U4653">
        <v>6323.7349999999997</v>
      </c>
      <c r="V4653">
        <v>0</v>
      </c>
      <c r="W4653">
        <v>77671</v>
      </c>
    </row>
    <row r="4654" spans="1:23" x14ac:dyDescent="0.25">
      <c r="A4654" s="1" t="s">
        <v>40</v>
      </c>
      <c r="B4654" s="1"/>
      <c r="C4654" s="1" t="s">
        <v>211</v>
      </c>
      <c r="D4654">
        <v>10277</v>
      </c>
      <c r="E4654" s="1"/>
      <c r="F4654" s="1" t="s">
        <v>349</v>
      </c>
      <c r="G4654">
        <v>2013</v>
      </c>
      <c r="H4654">
        <v>5140.1400000000003</v>
      </c>
      <c r="I4654">
        <v>13</v>
      </c>
      <c r="J4654" s="1" t="s">
        <v>410</v>
      </c>
      <c r="K4654">
        <v>0</v>
      </c>
      <c r="L4654">
        <v>304</v>
      </c>
      <c r="M4654">
        <v>16.902795000000001</v>
      </c>
      <c r="N4654">
        <v>2</v>
      </c>
      <c r="O4654" s="1" t="s">
        <v>569</v>
      </c>
      <c r="P4654">
        <v>5140.1400000000003</v>
      </c>
      <c r="Q4654">
        <v>1542.05</v>
      </c>
      <c r="R4654">
        <v>0</v>
      </c>
      <c r="S4654" s="1" t="s">
        <v>1131</v>
      </c>
      <c r="T4654" s="1" t="s">
        <v>1349</v>
      </c>
      <c r="U4654">
        <v>5140.1309899999997</v>
      </c>
      <c r="V4654">
        <v>0</v>
      </c>
      <c r="W4654">
        <v>77671</v>
      </c>
    </row>
    <row r="4655" spans="1:23" x14ac:dyDescent="0.25">
      <c r="A4655" s="1" t="s">
        <v>40</v>
      </c>
      <c r="B4655" s="1"/>
      <c r="C4655" s="1" t="s">
        <v>211</v>
      </c>
      <c r="D4655">
        <v>10277</v>
      </c>
      <c r="E4655" s="1"/>
      <c r="F4655" s="1" t="s">
        <v>349</v>
      </c>
      <c r="G4655">
        <v>2012</v>
      </c>
      <c r="H4655">
        <v>13415.42</v>
      </c>
      <c r="I4655">
        <v>12</v>
      </c>
      <c r="J4655" s="1" t="s">
        <v>410</v>
      </c>
      <c r="K4655">
        <v>0</v>
      </c>
      <c r="L4655">
        <v>304</v>
      </c>
      <c r="M4655">
        <v>44.115158999999998</v>
      </c>
      <c r="N4655">
        <v>2</v>
      </c>
      <c r="O4655" s="1" t="s">
        <v>569</v>
      </c>
      <c r="P4655">
        <v>13415.42</v>
      </c>
      <c r="Q4655">
        <v>5366.09</v>
      </c>
      <c r="R4655">
        <v>0</v>
      </c>
      <c r="S4655" s="1" t="s">
        <v>1131</v>
      </c>
      <c r="T4655" s="1" t="s">
        <v>1349</v>
      </c>
      <c r="U4655">
        <v>13415.3791</v>
      </c>
      <c r="V4655">
        <v>0</v>
      </c>
      <c r="W4655">
        <v>77671</v>
      </c>
    </row>
    <row r="4656" spans="1:23" x14ac:dyDescent="0.25">
      <c r="A4656" s="1" t="s">
        <v>40</v>
      </c>
      <c r="B4656" s="1"/>
      <c r="C4656" s="1" t="s">
        <v>211</v>
      </c>
      <c r="D4656">
        <v>10277</v>
      </c>
      <c r="E4656" s="1"/>
      <c r="F4656" s="1" t="s">
        <v>349</v>
      </c>
      <c r="G4656">
        <v>2011</v>
      </c>
      <c r="H4656">
        <v>2556.14</v>
      </c>
      <c r="I4656">
        <v>3</v>
      </c>
      <c r="J4656" s="1" t="s">
        <v>410</v>
      </c>
      <c r="K4656">
        <v>0</v>
      </c>
      <c r="L4656">
        <v>304</v>
      </c>
      <c r="M4656">
        <v>8.4055900000000001</v>
      </c>
      <c r="N4656">
        <v>2</v>
      </c>
      <c r="O4656" s="1" t="s">
        <v>569</v>
      </c>
      <c r="P4656">
        <v>2556.14</v>
      </c>
      <c r="Q4656">
        <v>1198.8399999999999</v>
      </c>
      <c r="R4656">
        <v>0</v>
      </c>
      <c r="S4656" s="1" t="s">
        <v>1131</v>
      </c>
      <c r="T4656" s="1" t="s">
        <v>1349</v>
      </c>
      <c r="U4656">
        <v>2556.1228900000001</v>
      </c>
      <c r="V4656">
        <v>0</v>
      </c>
      <c r="W4656">
        <v>77671</v>
      </c>
    </row>
    <row r="4657" spans="1:23" x14ac:dyDescent="0.25">
      <c r="A4657" s="1" t="s">
        <v>40</v>
      </c>
      <c r="B4657" s="1"/>
      <c r="C4657" s="1" t="s">
        <v>211</v>
      </c>
      <c r="D4657">
        <v>10277</v>
      </c>
      <c r="E4657" s="1"/>
      <c r="F4657" s="1" t="s">
        <v>349</v>
      </c>
      <c r="G4657">
        <v>2010</v>
      </c>
      <c r="H4657">
        <v>3935.94</v>
      </c>
      <c r="I4657">
        <v>3</v>
      </c>
      <c r="J4657" s="1" t="s">
        <v>410</v>
      </c>
      <c r="K4657">
        <v>0</v>
      </c>
      <c r="L4657">
        <v>304</v>
      </c>
      <c r="M4657">
        <v>12.942913000000001</v>
      </c>
      <c r="N4657">
        <v>2</v>
      </c>
      <c r="O4657" s="1" t="s">
        <v>569</v>
      </c>
      <c r="P4657">
        <v>3935.94</v>
      </c>
      <c r="Q4657">
        <v>1845.96</v>
      </c>
      <c r="R4657">
        <v>0</v>
      </c>
      <c r="S4657" s="1" t="s">
        <v>1131</v>
      </c>
      <c r="T4657" s="1" t="s">
        <v>1349</v>
      </c>
      <c r="U4657">
        <v>3935.9627399999999</v>
      </c>
      <c r="V4657">
        <v>0</v>
      </c>
      <c r="W4657">
        <v>77671</v>
      </c>
    </row>
    <row r="4658" spans="1:23" x14ac:dyDescent="0.25">
      <c r="A4658" s="1" t="s">
        <v>40</v>
      </c>
      <c r="B4658" s="1"/>
      <c r="C4658" s="1" t="s">
        <v>211</v>
      </c>
      <c r="D4658">
        <v>10277</v>
      </c>
      <c r="E4658" s="1"/>
      <c r="F4658" s="1" t="s">
        <v>349</v>
      </c>
      <c r="G4658">
        <v>2009</v>
      </c>
      <c r="H4658">
        <v>4248.1099999999997</v>
      </c>
      <c r="I4658">
        <v>4</v>
      </c>
      <c r="J4658" s="1" t="s">
        <v>410</v>
      </c>
      <c r="K4658">
        <v>0</v>
      </c>
      <c r="L4658">
        <v>304</v>
      </c>
      <c r="M4658">
        <v>13.96945</v>
      </c>
      <c r="N4658">
        <v>2</v>
      </c>
      <c r="O4658" s="1" t="s">
        <v>569</v>
      </c>
      <c r="P4658">
        <v>4248.1099999999997</v>
      </c>
      <c r="Q4658">
        <v>1992.37</v>
      </c>
      <c r="R4658">
        <v>0</v>
      </c>
      <c r="S4658" s="1" t="s">
        <v>1131</v>
      </c>
      <c r="T4658" s="1" t="s">
        <v>1349</v>
      </c>
      <c r="U4658">
        <v>4248.1281499999996</v>
      </c>
      <c r="V4658">
        <v>0</v>
      </c>
      <c r="W4658">
        <v>77671</v>
      </c>
    </row>
    <row r="4659" spans="1:23" x14ac:dyDescent="0.25">
      <c r="A4659" s="1" t="s">
        <v>40</v>
      </c>
      <c r="B4659" s="1"/>
      <c r="C4659" s="1" t="s">
        <v>211</v>
      </c>
      <c r="D4659">
        <v>10277</v>
      </c>
      <c r="E4659" s="1"/>
      <c r="F4659" s="1" t="s">
        <v>349</v>
      </c>
      <c r="G4659">
        <v>2008</v>
      </c>
      <c r="H4659">
        <v>4419.3900000000003</v>
      </c>
      <c r="I4659">
        <v>4</v>
      </c>
      <c r="J4659" s="1" t="s">
        <v>410</v>
      </c>
      <c r="K4659">
        <v>0</v>
      </c>
      <c r="L4659">
        <v>304</v>
      </c>
      <c r="M4659">
        <v>14.532686</v>
      </c>
      <c r="N4659">
        <v>2</v>
      </c>
      <c r="O4659" s="1" t="s">
        <v>569</v>
      </c>
      <c r="P4659">
        <v>4419.3900000000003</v>
      </c>
      <c r="Q4659">
        <v>2072.7199999999998</v>
      </c>
      <c r="R4659">
        <v>0</v>
      </c>
      <c r="S4659" s="1" t="s">
        <v>1131</v>
      </c>
      <c r="T4659" s="1" t="s">
        <v>1349</v>
      </c>
      <c r="U4659">
        <v>4419.41795</v>
      </c>
      <c r="V4659">
        <v>0</v>
      </c>
      <c r="W4659">
        <v>77671</v>
      </c>
    </row>
    <row r="4660" spans="1:23" x14ac:dyDescent="0.25">
      <c r="A4660" s="1" t="s">
        <v>40</v>
      </c>
      <c r="B4660" s="1" t="s">
        <v>85</v>
      </c>
      <c r="C4660" s="1" t="s">
        <v>212</v>
      </c>
      <c r="D4660">
        <v>13360</v>
      </c>
      <c r="E4660" s="1" t="s">
        <v>243</v>
      </c>
      <c r="F4660" s="1" t="s">
        <v>350</v>
      </c>
      <c r="G4660">
        <v>2015</v>
      </c>
      <c r="H4660">
        <v>11046.88</v>
      </c>
      <c r="I4660">
        <v>5</v>
      </c>
      <c r="J4660" s="1" t="s">
        <v>552</v>
      </c>
      <c r="K4660">
        <v>0</v>
      </c>
      <c r="L4660">
        <v>317</v>
      </c>
      <c r="M4660">
        <v>34.837212000000001</v>
      </c>
      <c r="N4660">
        <v>2</v>
      </c>
      <c r="O4660" s="1" t="s">
        <v>569</v>
      </c>
      <c r="P4660">
        <v>11046.88</v>
      </c>
      <c r="Q4660">
        <v>3314.07</v>
      </c>
      <c r="R4660">
        <v>0</v>
      </c>
      <c r="S4660" s="1" t="s">
        <v>1132</v>
      </c>
      <c r="T4660" s="1"/>
      <c r="U4660">
        <v>11046.882</v>
      </c>
      <c r="V4660">
        <v>0</v>
      </c>
      <c r="W4660">
        <v>91052</v>
      </c>
    </row>
    <row r="4661" spans="1:23" x14ac:dyDescent="0.25">
      <c r="A4661" s="1" t="s">
        <v>40</v>
      </c>
      <c r="B4661" s="1" t="s">
        <v>85</v>
      </c>
      <c r="C4661" s="1" t="s">
        <v>212</v>
      </c>
      <c r="D4661">
        <v>13360</v>
      </c>
      <c r="E4661" s="1" t="s">
        <v>243</v>
      </c>
      <c r="F4661" s="1" t="s">
        <v>350</v>
      </c>
      <c r="G4661">
        <v>2014</v>
      </c>
      <c r="H4661">
        <v>25299.73</v>
      </c>
      <c r="I4661">
        <v>12</v>
      </c>
      <c r="J4661" s="1" t="s">
        <v>552</v>
      </c>
      <c r="K4661">
        <v>0</v>
      </c>
      <c r="L4661">
        <v>317</v>
      </c>
      <c r="M4661">
        <v>79.784705000000002</v>
      </c>
      <c r="N4661">
        <v>2</v>
      </c>
      <c r="O4661" s="1" t="s">
        <v>569</v>
      </c>
      <c r="P4661">
        <v>25299.73</v>
      </c>
      <c r="Q4661">
        <v>7589.91</v>
      </c>
      <c r="R4661">
        <v>0</v>
      </c>
      <c r="S4661" s="1" t="s">
        <v>1132</v>
      </c>
      <c r="T4661" s="1"/>
      <c r="U4661">
        <v>25299.738000000001</v>
      </c>
      <c r="V4661">
        <v>0</v>
      </c>
      <c r="W4661">
        <v>91052</v>
      </c>
    </row>
    <row r="4662" spans="1:23" x14ac:dyDescent="0.25">
      <c r="A4662" s="1" t="s">
        <v>40</v>
      </c>
      <c r="B4662" s="1" t="s">
        <v>85</v>
      </c>
      <c r="C4662" s="1" t="s">
        <v>212</v>
      </c>
      <c r="D4662">
        <v>13360</v>
      </c>
      <c r="E4662" s="1" t="s">
        <v>243</v>
      </c>
      <c r="F4662" s="1" t="s">
        <v>350</v>
      </c>
      <c r="G4662">
        <v>2013</v>
      </c>
      <c r="H4662">
        <v>25328.19</v>
      </c>
      <c r="I4662">
        <v>12</v>
      </c>
      <c r="J4662" s="1" t="s">
        <v>552</v>
      </c>
      <c r="K4662">
        <v>0</v>
      </c>
      <c r="L4662">
        <v>317</v>
      </c>
      <c r="M4662">
        <v>79.874455999999995</v>
      </c>
      <c r="N4662">
        <v>2</v>
      </c>
      <c r="O4662" s="1" t="s">
        <v>569</v>
      </c>
      <c r="P4662">
        <v>25328.19</v>
      </c>
      <c r="Q4662">
        <v>7598.46</v>
      </c>
      <c r="R4662">
        <v>0</v>
      </c>
      <c r="S4662" s="1" t="s">
        <v>1132</v>
      </c>
      <c r="T4662" s="1"/>
      <c r="U4662">
        <v>25328.194</v>
      </c>
      <c r="V4662">
        <v>0</v>
      </c>
      <c r="W4662">
        <v>91052</v>
      </c>
    </row>
    <row r="4663" spans="1:23" x14ac:dyDescent="0.25">
      <c r="A4663" s="1" t="s">
        <v>40</v>
      </c>
      <c r="B4663" s="1" t="s">
        <v>85</v>
      </c>
      <c r="C4663" s="1" t="s">
        <v>212</v>
      </c>
      <c r="D4663">
        <v>13360</v>
      </c>
      <c r="E4663" s="1" t="s">
        <v>243</v>
      </c>
      <c r="F4663" s="1" t="s">
        <v>350</v>
      </c>
      <c r="G4663">
        <v>2012</v>
      </c>
      <c r="H4663">
        <v>22467.32</v>
      </c>
      <c r="I4663">
        <v>13</v>
      </c>
      <c r="J4663" s="1" t="s">
        <v>552</v>
      </c>
      <c r="K4663">
        <v>0</v>
      </c>
      <c r="L4663">
        <v>317</v>
      </c>
      <c r="M4663">
        <v>70.852474999999998</v>
      </c>
      <c r="N4663">
        <v>2</v>
      </c>
      <c r="O4663" s="1" t="s">
        <v>569</v>
      </c>
      <c r="P4663">
        <v>22467.32</v>
      </c>
      <c r="Q4663">
        <v>8986.9500000000007</v>
      </c>
      <c r="R4663">
        <v>0</v>
      </c>
      <c r="S4663" s="1" t="s">
        <v>1132</v>
      </c>
      <c r="T4663" s="1"/>
      <c r="U4663">
        <v>22467.348999999998</v>
      </c>
      <c r="V4663">
        <v>0</v>
      </c>
      <c r="W4663">
        <v>91052</v>
      </c>
    </row>
    <row r="4664" spans="1:23" x14ac:dyDescent="0.25">
      <c r="A4664" s="1" t="s">
        <v>40</v>
      </c>
      <c r="B4664" s="1" t="s">
        <v>85</v>
      </c>
      <c r="C4664" s="1" t="s">
        <v>212</v>
      </c>
      <c r="D4664">
        <v>13360</v>
      </c>
      <c r="E4664" s="1" t="s">
        <v>243</v>
      </c>
      <c r="F4664" s="1" t="s">
        <v>350</v>
      </c>
      <c r="G4664">
        <v>2012</v>
      </c>
      <c r="H4664">
        <v>2127.21</v>
      </c>
      <c r="I4664">
        <v>2</v>
      </c>
      <c r="J4664" s="1" t="s">
        <v>553</v>
      </c>
      <c r="K4664">
        <v>0</v>
      </c>
      <c r="L4664">
        <v>317</v>
      </c>
      <c r="M4664">
        <v>6.7083250000000003</v>
      </c>
      <c r="N4664">
        <v>2</v>
      </c>
      <c r="O4664" s="1" t="s">
        <v>569</v>
      </c>
      <c r="P4664">
        <v>2127.21</v>
      </c>
      <c r="Q4664">
        <v>850.89</v>
      </c>
      <c r="R4664">
        <v>0</v>
      </c>
      <c r="S4664" s="1" t="s">
        <v>810</v>
      </c>
      <c r="T4664" s="1" t="s">
        <v>1350</v>
      </c>
      <c r="U4664">
        <v>2127.2142899999999</v>
      </c>
      <c r="V4664">
        <v>0</v>
      </c>
      <c r="W4664">
        <v>89449</v>
      </c>
    </row>
    <row r="4665" spans="1:23" x14ac:dyDescent="0.25">
      <c r="A4665" s="1" t="s">
        <v>40</v>
      </c>
      <c r="B4665" s="1" t="s">
        <v>85</v>
      </c>
      <c r="C4665" s="1" t="s">
        <v>212</v>
      </c>
      <c r="D4665">
        <v>13360</v>
      </c>
      <c r="E4665" s="1" t="s">
        <v>243</v>
      </c>
      <c r="F4665" s="1" t="s">
        <v>350</v>
      </c>
      <c r="G4665">
        <v>2011</v>
      </c>
      <c r="H4665">
        <v>27121.77</v>
      </c>
      <c r="I4665">
        <v>4</v>
      </c>
      <c r="J4665" s="1" t="s">
        <v>553</v>
      </c>
      <c r="K4665">
        <v>0</v>
      </c>
      <c r="L4665">
        <v>317</v>
      </c>
      <c r="M4665">
        <v>85.530652000000003</v>
      </c>
      <c r="N4665">
        <v>2</v>
      </c>
      <c r="O4665" s="1" t="s">
        <v>569</v>
      </c>
      <c r="P4665">
        <v>27121.77</v>
      </c>
      <c r="Q4665">
        <v>12720.11</v>
      </c>
      <c r="R4665">
        <v>0</v>
      </c>
      <c r="S4665" s="1" t="s">
        <v>810</v>
      </c>
      <c r="T4665" s="1" t="s">
        <v>1350</v>
      </c>
      <c r="U4665">
        <v>27121.766540000001</v>
      </c>
      <c r="V4665">
        <v>0</v>
      </c>
      <c r="W4665">
        <v>89449</v>
      </c>
    </row>
    <row r="4666" spans="1:23" x14ac:dyDescent="0.25">
      <c r="A4666" s="1" t="s">
        <v>40</v>
      </c>
      <c r="B4666" s="1" t="s">
        <v>85</v>
      </c>
      <c r="C4666" s="1" t="s">
        <v>212</v>
      </c>
      <c r="D4666">
        <v>13360</v>
      </c>
      <c r="E4666" s="1" t="s">
        <v>243</v>
      </c>
      <c r="F4666" s="1" t="s">
        <v>350</v>
      </c>
      <c r="G4666">
        <v>2010</v>
      </c>
      <c r="H4666">
        <v>25069.89</v>
      </c>
      <c r="I4666">
        <v>1</v>
      </c>
      <c r="J4666" s="1" t="s">
        <v>553</v>
      </c>
      <c r="K4666">
        <v>0</v>
      </c>
      <c r="L4666">
        <v>317</v>
      </c>
      <c r="M4666">
        <v>79.059886000000006</v>
      </c>
      <c r="N4666">
        <v>2</v>
      </c>
      <c r="O4666" s="1" t="s">
        <v>569</v>
      </c>
      <c r="P4666">
        <v>25069.89</v>
      </c>
      <c r="Q4666">
        <v>11757.76</v>
      </c>
      <c r="R4666">
        <v>0</v>
      </c>
      <c r="S4666" s="1" t="s">
        <v>810</v>
      </c>
      <c r="T4666" s="1" t="s">
        <v>1350</v>
      </c>
      <c r="U4666">
        <v>25069.857540000001</v>
      </c>
      <c r="V4666">
        <v>0</v>
      </c>
      <c r="W4666">
        <v>89449</v>
      </c>
    </row>
    <row r="4667" spans="1:23" x14ac:dyDescent="0.25">
      <c r="A4667" s="1" t="s">
        <v>40</v>
      </c>
      <c r="B4667" s="1" t="s">
        <v>85</v>
      </c>
      <c r="C4667" s="1" t="s">
        <v>212</v>
      </c>
      <c r="D4667">
        <v>13360</v>
      </c>
      <c r="E4667" s="1" t="s">
        <v>243</v>
      </c>
      <c r="F4667" s="1" t="s">
        <v>350</v>
      </c>
      <c r="G4667">
        <v>2009</v>
      </c>
      <c r="H4667">
        <v>21356.92</v>
      </c>
      <c r="I4667">
        <v>1</v>
      </c>
      <c r="J4667" s="1" t="s">
        <v>553</v>
      </c>
      <c r="K4667">
        <v>0</v>
      </c>
      <c r="L4667">
        <v>317</v>
      </c>
      <c r="M4667">
        <v>67.350740999999999</v>
      </c>
      <c r="N4667">
        <v>2</v>
      </c>
      <c r="O4667" s="1" t="s">
        <v>569</v>
      </c>
      <c r="P4667">
        <v>21356.92</v>
      </c>
      <c r="Q4667">
        <v>10016.4</v>
      </c>
      <c r="R4667">
        <v>0</v>
      </c>
      <c r="S4667" s="1" t="s">
        <v>810</v>
      </c>
      <c r="T4667" s="1" t="s">
        <v>1350</v>
      </c>
      <c r="U4667">
        <v>21356.91576</v>
      </c>
      <c r="V4667">
        <v>0</v>
      </c>
      <c r="W4667">
        <v>89449</v>
      </c>
    </row>
    <row r="4668" spans="1:23" x14ac:dyDescent="0.25">
      <c r="A4668" s="1" t="s">
        <v>40</v>
      </c>
      <c r="B4668" s="1" t="s">
        <v>85</v>
      </c>
      <c r="C4668" s="1" t="s">
        <v>212</v>
      </c>
      <c r="D4668">
        <v>13360</v>
      </c>
      <c r="E4668" s="1" t="s">
        <v>243</v>
      </c>
      <c r="F4668" s="1" t="s">
        <v>350</v>
      </c>
      <c r="G4668">
        <v>2008</v>
      </c>
      <c r="H4668">
        <v>25727.79</v>
      </c>
      <c r="I4668">
        <v>1</v>
      </c>
      <c r="J4668" s="1" t="s">
        <v>553</v>
      </c>
      <c r="K4668">
        <v>0</v>
      </c>
      <c r="L4668">
        <v>317</v>
      </c>
      <c r="M4668">
        <v>81.134625999999997</v>
      </c>
      <c r="N4668">
        <v>2</v>
      </c>
      <c r="O4668" s="1" t="s">
        <v>569</v>
      </c>
      <c r="P4668">
        <v>25727.79</v>
      </c>
      <c r="Q4668">
        <v>12066.3</v>
      </c>
      <c r="R4668">
        <v>0</v>
      </c>
      <c r="S4668" s="1" t="s">
        <v>810</v>
      </c>
      <c r="T4668" s="1" t="s">
        <v>1350</v>
      </c>
      <c r="U4668">
        <v>25727.788359999999</v>
      </c>
      <c r="V4668">
        <v>0</v>
      </c>
      <c r="W4668">
        <v>89449</v>
      </c>
    </row>
    <row r="4669" spans="1:23" x14ac:dyDescent="0.25">
      <c r="A4669" s="1" t="s">
        <v>40</v>
      </c>
      <c r="B4669" s="1" t="s">
        <v>86</v>
      </c>
      <c r="C4669" s="1" t="s">
        <v>213</v>
      </c>
      <c r="D4669">
        <v>6026</v>
      </c>
      <c r="E4669" s="1"/>
      <c r="F4669" s="1" t="s">
        <v>368</v>
      </c>
      <c r="G4669">
        <v>2015</v>
      </c>
      <c r="H4669">
        <v>1057.9100000000001</v>
      </c>
      <c r="I4669">
        <v>5</v>
      </c>
      <c r="J4669" s="1" t="s">
        <v>421</v>
      </c>
      <c r="K4669">
        <v>0</v>
      </c>
      <c r="L4669">
        <v>0</v>
      </c>
      <c r="M4669">
        <v>10579.1</v>
      </c>
      <c r="N4669">
        <v>2</v>
      </c>
      <c r="O4669" s="1" t="s">
        <v>569</v>
      </c>
      <c r="P4669">
        <v>1057.9100000000001</v>
      </c>
      <c r="Q4669">
        <v>423.17</v>
      </c>
      <c r="R4669">
        <v>1</v>
      </c>
      <c r="S4669" s="1" t="s">
        <v>1133</v>
      </c>
      <c r="T4669" s="1"/>
      <c r="U4669">
        <v>1057.9142899999999</v>
      </c>
      <c r="V4669">
        <v>0</v>
      </c>
      <c r="W4669">
        <v>60555</v>
      </c>
    </row>
    <row r="4670" spans="1:23" x14ac:dyDescent="0.25">
      <c r="A4670" s="1" t="s">
        <v>40</v>
      </c>
      <c r="B4670" s="1" t="s">
        <v>86</v>
      </c>
      <c r="C4670" s="1" t="s">
        <v>213</v>
      </c>
      <c r="D4670">
        <v>6026</v>
      </c>
      <c r="E4670" s="1"/>
      <c r="F4670" s="1" t="s">
        <v>368</v>
      </c>
      <c r="G4670">
        <v>2015</v>
      </c>
      <c r="H4670">
        <v>5438.63</v>
      </c>
      <c r="I4670">
        <v>5</v>
      </c>
      <c r="J4670" s="1" t="s">
        <v>421</v>
      </c>
      <c r="K4670">
        <v>0</v>
      </c>
      <c r="L4670">
        <v>0</v>
      </c>
      <c r="M4670">
        <v>54386.3</v>
      </c>
      <c r="N4670">
        <v>2</v>
      </c>
      <c r="O4670" s="1" t="s">
        <v>569</v>
      </c>
      <c r="P4670">
        <v>5438.63</v>
      </c>
      <c r="Q4670">
        <v>1631.58</v>
      </c>
      <c r="R4670">
        <v>1</v>
      </c>
      <c r="S4670" s="1" t="s">
        <v>1134</v>
      </c>
      <c r="T4670" s="1"/>
      <c r="U4670">
        <v>5438.6285699999999</v>
      </c>
      <c r="V4670">
        <v>0</v>
      </c>
      <c r="W4670">
        <v>93454</v>
      </c>
    </row>
    <row r="4671" spans="1:23" x14ac:dyDescent="0.25">
      <c r="A4671" s="1" t="s">
        <v>40</v>
      </c>
      <c r="B4671" s="1" t="s">
        <v>86</v>
      </c>
      <c r="C4671" s="1" t="s">
        <v>213</v>
      </c>
      <c r="D4671">
        <v>6026</v>
      </c>
      <c r="E4671" s="1"/>
      <c r="F4671" s="1" t="s">
        <v>368</v>
      </c>
      <c r="G4671">
        <v>2015</v>
      </c>
      <c r="H4671">
        <v>5411.26</v>
      </c>
      <c r="I4671">
        <v>5</v>
      </c>
      <c r="J4671" s="1" t="s">
        <v>421</v>
      </c>
      <c r="K4671">
        <v>0</v>
      </c>
      <c r="L4671">
        <v>0</v>
      </c>
      <c r="M4671">
        <v>54112.6</v>
      </c>
      <c r="N4671">
        <v>2</v>
      </c>
      <c r="O4671" s="1" t="s">
        <v>569</v>
      </c>
      <c r="P4671">
        <v>5411.26</v>
      </c>
      <c r="Q4671">
        <v>1623.38</v>
      </c>
      <c r="R4671">
        <v>1</v>
      </c>
      <c r="S4671" s="1" t="s">
        <v>1135</v>
      </c>
      <c r="T4671" s="1"/>
      <c r="U4671">
        <v>5411.2571399999997</v>
      </c>
      <c r="V4671">
        <v>0</v>
      </c>
      <c r="W4671">
        <v>93455</v>
      </c>
    </row>
    <row r="4672" spans="1:23" x14ac:dyDescent="0.25">
      <c r="A4672" s="1" t="s">
        <v>40</v>
      </c>
      <c r="B4672" s="1" t="s">
        <v>86</v>
      </c>
      <c r="C4672" s="1" t="s">
        <v>213</v>
      </c>
      <c r="D4672">
        <v>6026</v>
      </c>
      <c r="E4672" s="1"/>
      <c r="F4672" s="1" t="s">
        <v>368</v>
      </c>
      <c r="G4672">
        <v>2015</v>
      </c>
      <c r="H4672">
        <v>5436.69</v>
      </c>
      <c r="I4672">
        <v>5</v>
      </c>
      <c r="J4672" s="1" t="s">
        <v>421</v>
      </c>
      <c r="K4672">
        <v>0</v>
      </c>
      <c r="L4672">
        <v>0</v>
      </c>
      <c r="M4672">
        <v>54366.9</v>
      </c>
      <c r="N4672">
        <v>2</v>
      </c>
      <c r="O4672" s="1" t="s">
        <v>569</v>
      </c>
      <c r="P4672">
        <v>5436.69</v>
      </c>
      <c r="Q4672">
        <v>1631.01</v>
      </c>
      <c r="R4672">
        <v>1</v>
      </c>
      <c r="S4672" s="1" t="s">
        <v>1136</v>
      </c>
      <c r="T4672" s="1"/>
      <c r="U4672">
        <v>5436.6857099999997</v>
      </c>
      <c r="V4672">
        <v>0</v>
      </c>
      <c r="W4672">
        <v>93457</v>
      </c>
    </row>
    <row r="4673" spans="1:23" x14ac:dyDescent="0.25">
      <c r="A4673" s="1" t="s">
        <v>40</v>
      </c>
      <c r="B4673" s="1" t="s">
        <v>86</v>
      </c>
      <c r="C4673" s="1" t="s">
        <v>213</v>
      </c>
      <c r="D4673">
        <v>6026</v>
      </c>
      <c r="E4673" s="1"/>
      <c r="F4673" s="1" t="s">
        <v>368</v>
      </c>
      <c r="G4673">
        <v>2015</v>
      </c>
      <c r="H4673">
        <v>10529.71</v>
      </c>
      <c r="I4673">
        <v>5</v>
      </c>
      <c r="J4673" s="1" t="s">
        <v>421</v>
      </c>
      <c r="K4673">
        <v>0</v>
      </c>
      <c r="L4673">
        <v>0</v>
      </c>
      <c r="M4673">
        <v>105297.1</v>
      </c>
      <c r="N4673">
        <v>2</v>
      </c>
      <c r="O4673" s="1" t="s">
        <v>569</v>
      </c>
      <c r="P4673">
        <v>10529.71</v>
      </c>
      <c r="Q4673">
        <v>3158.9</v>
      </c>
      <c r="R4673">
        <v>1</v>
      </c>
      <c r="S4673" s="1" t="s">
        <v>1137</v>
      </c>
      <c r="T4673" s="1"/>
      <c r="U4673">
        <v>10529.71429</v>
      </c>
      <c r="V4673">
        <v>0</v>
      </c>
      <c r="W4673">
        <v>95436</v>
      </c>
    </row>
    <row r="4674" spans="1:23" x14ac:dyDescent="0.25">
      <c r="A4674" s="1" t="s">
        <v>40</v>
      </c>
      <c r="B4674" s="1" t="s">
        <v>86</v>
      </c>
      <c r="C4674" s="1" t="s">
        <v>213</v>
      </c>
      <c r="D4674">
        <v>6026</v>
      </c>
      <c r="E4674" s="1"/>
      <c r="F4674" s="1" t="s">
        <v>368</v>
      </c>
      <c r="G4674">
        <v>2015</v>
      </c>
      <c r="H4674">
        <v>3172</v>
      </c>
      <c r="I4674">
        <v>4</v>
      </c>
      <c r="J4674" s="1" t="s">
        <v>421</v>
      </c>
      <c r="K4674">
        <v>0</v>
      </c>
      <c r="L4674">
        <v>0</v>
      </c>
      <c r="M4674">
        <v>31720</v>
      </c>
      <c r="N4674">
        <v>2</v>
      </c>
      <c r="O4674" s="1" t="s">
        <v>569</v>
      </c>
      <c r="P4674">
        <v>3172</v>
      </c>
      <c r="Q4674">
        <v>951.6</v>
      </c>
      <c r="R4674">
        <v>1</v>
      </c>
      <c r="S4674" s="1" t="s">
        <v>1138</v>
      </c>
      <c r="T4674" s="1"/>
      <c r="U4674">
        <v>3172</v>
      </c>
      <c r="V4674">
        <v>0</v>
      </c>
      <c r="W4674">
        <v>97266</v>
      </c>
    </row>
    <row r="4675" spans="1:23" x14ac:dyDescent="0.25">
      <c r="A4675" s="1" t="s">
        <v>40</v>
      </c>
      <c r="B4675" s="1" t="s">
        <v>86</v>
      </c>
      <c r="C4675" s="1" t="s">
        <v>213</v>
      </c>
      <c r="D4675">
        <v>6026</v>
      </c>
      <c r="E4675" s="1"/>
      <c r="F4675" s="1" t="s">
        <v>368</v>
      </c>
      <c r="G4675">
        <v>2014</v>
      </c>
      <c r="H4675">
        <v>10886.35</v>
      </c>
      <c r="I4675">
        <v>12</v>
      </c>
      <c r="J4675" s="1" t="s">
        <v>421</v>
      </c>
      <c r="K4675">
        <v>0</v>
      </c>
      <c r="L4675">
        <v>0</v>
      </c>
      <c r="M4675">
        <v>108863.5</v>
      </c>
      <c r="N4675">
        <v>2</v>
      </c>
      <c r="O4675" s="1" t="s">
        <v>569</v>
      </c>
      <c r="P4675">
        <v>10886.35</v>
      </c>
      <c r="Q4675">
        <v>3265.91</v>
      </c>
      <c r="R4675">
        <v>1</v>
      </c>
      <c r="S4675" s="1" t="s">
        <v>1135</v>
      </c>
      <c r="T4675" s="1"/>
      <c r="U4675">
        <v>10886.35576</v>
      </c>
      <c r="V4675">
        <v>0</v>
      </c>
      <c r="W4675">
        <v>93455</v>
      </c>
    </row>
    <row r="4676" spans="1:23" x14ac:dyDescent="0.25">
      <c r="A4676" s="1" t="s">
        <v>40</v>
      </c>
      <c r="B4676" s="1" t="s">
        <v>86</v>
      </c>
      <c r="C4676" s="1" t="s">
        <v>213</v>
      </c>
      <c r="D4676">
        <v>6026</v>
      </c>
      <c r="E4676" s="1"/>
      <c r="F4676" s="1" t="s">
        <v>368</v>
      </c>
      <c r="G4676">
        <v>2014</v>
      </c>
      <c r="H4676">
        <v>32150.29</v>
      </c>
      <c r="I4676">
        <v>12</v>
      </c>
      <c r="J4676" s="1" t="s">
        <v>421</v>
      </c>
      <c r="K4676">
        <v>0</v>
      </c>
      <c r="L4676">
        <v>0</v>
      </c>
      <c r="M4676">
        <v>321502.90000000002</v>
      </c>
      <c r="N4676">
        <v>2</v>
      </c>
      <c r="O4676" s="1" t="s">
        <v>569</v>
      </c>
      <c r="P4676">
        <v>32150.29</v>
      </c>
      <c r="Q4676">
        <v>9645.09</v>
      </c>
      <c r="R4676">
        <v>1</v>
      </c>
      <c r="S4676" s="1" t="s">
        <v>1137</v>
      </c>
      <c r="T4676" s="1"/>
      <c r="U4676">
        <v>32150.2857</v>
      </c>
      <c r="V4676">
        <v>0</v>
      </c>
      <c r="W4676">
        <v>95436</v>
      </c>
    </row>
    <row r="4677" spans="1:23" x14ac:dyDescent="0.25">
      <c r="A4677" s="1" t="s">
        <v>40</v>
      </c>
      <c r="B4677" s="1" t="s">
        <v>86</v>
      </c>
      <c r="C4677" s="1" t="s">
        <v>213</v>
      </c>
      <c r="D4677">
        <v>6026</v>
      </c>
      <c r="E4677" s="1"/>
      <c r="F4677" s="1" t="s">
        <v>368</v>
      </c>
      <c r="G4677">
        <v>2014</v>
      </c>
      <c r="H4677">
        <v>1646.49</v>
      </c>
      <c r="I4677">
        <v>12</v>
      </c>
      <c r="J4677" s="1" t="s">
        <v>421</v>
      </c>
      <c r="K4677">
        <v>0</v>
      </c>
      <c r="L4677">
        <v>0</v>
      </c>
      <c r="M4677">
        <v>16464.900000000001</v>
      </c>
      <c r="N4677">
        <v>2</v>
      </c>
      <c r="O4677" s="1" t="s">
        <v>569</v>
      </c>
      <c r="P4677">
        <v>1646.49</v>
      </c>
      <c r="Q4677">
        <v>658.59</v>
      </c>
      <c r="R4677">
        <v>1</v>
      </c>
      <c r="S4677" s="1" t="s">
        <v>1133</v>
      </c>
      <c r="T4677" s="1"/>
      <c r="U4677">
        <v>1646.4728</v>
      </c>
      <c r="V4677">
        <v>0</v>
      </c>
      <c r="W4677">
        <v>60555</v>
      </c>
    </row>
    <row r="4678" spans="1:23" x14ac:dyDescent="0.25">
      <c r="A4678" s="1" t="s">
        <v>40</v>
      </c>
      <c r="B4678" s="1" t="s">
        <v>86</v>
      </c>
      <c r="C4678" s="1" t="s">
        <v>213</v>
      </c>
      <c r="D4678">
        <v>6026</v>
      </c>
      <c r="E4678" s="1"/>
      <c r="F4678" s="1" t="s">
        <v>368</v>
      </c>
      <c r="G4678">
        <v>2014</v>
      </c>
      <c r="H4678">
        <v>10716.2</v>
      </c>
      <c r="I4678">
        <v>12</v>
      </c>
      <c r="J4678" s="1" t="s">
        <v>421</v>
      </c>
      <c r="K4678">
        <v>0</v>
      </c>
      <c r="L4678">
        <v>0</v>
      </c>
      <c r="M4678">
        <v>107162</v>
      </c>
      <c r="N4678">
        <v>2</v>
      </c>
      <c r="O4678" s="1" t="s">
        <v>569</v>
      </c>
      <c r="P4678">
        <v>10716.2</v>
      </c>
      <c r="Q4678">
        <v>3214.86</v>
      </c>
      <c r="R4678">
        <v>1</v>
      </c>
      <c r="S4678" s="1" t="s">
        <v>1134</v>
      </c>
      <c r="T4678" s="1"/>
      <c r="U4678">
        <v>10716.210150000001</v>
      </c>
      <c r="V4678">
        <v>0</v>
      </c>
      <c r="W4678">
        <v>93454</v>
      </c>
    </row>
    <row r="4679" spans="1:23" x14ac:dyDescent="0.25">
      <c r="A4679" s="1" t="s">
        <v>40</v>
      </c>
      <c r="B4679" s="1" t="s">
        <v>86</v>
      </c>
      <c r="C4679" s="1" t="s">
        <v>213</v>
      </c>
      <c r="D4679">
        <v>6026</v>
      </c>
      <c r="E4679" s="1"/>
      <c r="F4679" s="1" t="s">
        <v>368</v>
      </c>
      <c r="G4679">
        <v>2014</v>
      </c>
      <c r="H4679">
        <v>12789.31</v>
      </c>
      <c r="I4679">
        <v>12</v>
      </c>
      <c r="J4679" s="1" t="s">
        <v>421</v>
      </c>
      <c r="K4679">
        <v>0</v>
      </c>
      <c r="L4679">
        <v>0</v>
      </c>
      <c r="M4679">
        <v>127893.1</v>
      </c>
      <c r="N4679">
        <v>2</v>
      </c>
      <c r="O4679" s="1" t="s">
        <v>569</v>
      </c>
      <c r="P4679">
        <v>12789.31</v>
      </c>
      <c r="Q4679">
        <v>3836.79</v>
      </c>
      <c r="R4679">
        <v>1</v>
      </c>
      <c r="S4679" s="1" t="s">
        <v>1136</v>
      </c>
      <c r="T4679" s="1"/>
      <c r="U4679">
        <v>12789.31429</v>
      </c>
      <c r="V4679">
        <v>0</v>
      </c>
      <c r="W4679">
        <v>93457</v>
      </c>
    </row>
    <row r="4680" spans="1:23" x14ac:dyDescent="0.25">
      <c r="A4680" s="1" t="s">
        <v>40</v>
      </c>
      <c r="B4680" s="1" t="s">
        <v>86</v>
      </c>
      <c r="C4680" s="1" t="s">
        <v>213</v>
      </c>
      <c r="D4680">
        <v>6026</v>
      </c>
      <c r="E4680" s="1"/>
      <c r="F4680" s="1" t="s">
        <v>368</v>
      </c>
      <c r="G4680">
        <v>2013</v>
      </c>
      <c r="H4680">
        <v>483.24</v>
      </c>
      <c r="I4680">
        <v>3</v>
      </c>
      <c r="J4680" s="1" t="s">
        <v>554</v>
      </c>
      <c r="K4680">
        <v>0</v>
      </c>
      <c r="L4680">
        <v>0</v>
      </c>
      <c r="M4680">
        <v>4832.3999999999996</v>
      </c>
      <c r="N4680">
        <v>2</v>
      </c>
      <c r="O4680" s="1" t="s">
        <v>569</v>
      </c>
      <c r="P4680">
        <v>483.24</v>
      </c>
      <c r="Q4680">
        <v>193.29</v>
      </c>
      <c r="R4680">
        <v>1</v>
      </c>
      <c r="S4680" s="1" t="s">
        <v>1139</v>
      </c>
      <c r="T4680" s="1"/>
      <c r="U4680">
        <v>483.23529000000002</v>
      </c>
      <c r="V4680">
        <v>0</v>
      </c>
      <c r="W4680">
        <v>60553</v>
      </c>
    </row>
    <row r="4681" spans="1:23" x14ac:dyDescent="0.25">
      <c r="A4681" s="1" t="s">
        <v>40</v>
      </c>
      <c r="B4681" s="1" t="s">
        <v>86</v>
      </c>
      <c r="C4681" s="1" t="s">
        <v>213</v>
      </c>
      <c r="D4681">
        <v>6026</v>
      </c>
      <c r="E4681" s="1"/>
      <c r="F4681" s="1" t="s">
        <v>368</v>
      </c>
      <c r="G4681">
        <v>2013</v>
      </c>
      <c r="H4681">
        <v>7736.5</v>
      </c>
      <c r="I4681">
        <v>12</v>
      </c>
      <c r="J4681" s="1" t="s">
        <v>421</v>
      </c>
      <c r="K4681">
        <v>0</v>
      </c>
      <c r="L4681">
        <v>0</v>
      </c>
      <c r="M4681">
        <v>77365</v>
      </c>
      <c r="N4681">
        <v>2</v>
      </c>
      <c r="O4681" s="1" t="s">
        <v>569</v>
      </c>
      <c r="P4681">
        <v>7736.5</v>
      </c>
      <c r="Q4681">
        <v>2320.94</v>
      </c>
      <c r="R4681">
        <v>1</v>
      </c>
      <c r="S4681" s="1" t="s">
        <v>1135</v>
      </c>
      <c r="T4681" s="1"/>
      <c r="U4681">
        <v>7736.48855</v>
      </c>
      <c r="V4681">
        <v>0</v>
      </c>
      <c r="W4681">
        <v>93455</v>
      </c>
    </row>
    <row r="4682" spans="1:23" x14ac:dyDescent="0.25">
      <c r="A4682" s="1" t="s">
        <v>40</v>
      </c>
      <c r="B4682" s="1" t="s">
        <v>86</v>
      </c>
      <c r="C4682" s="1" t="s">
        <v>213</v>
      </c>
      <c r="D4682">
        <v>6026</v>
      </c>
      <c r="E4682" s="1"/>
      <c r="F4682" s="1" t="s">
        <v>368</v>
      </c>
      <c r="G4682">
        <v>2013</v>
      </c>
      <c r="H4682">
        <v>5550.59</v>
      </c>
      <c r="I4682">
        <v>12</v>
      </c>
      <c r="J4682" s="1" t="s">
        <v>421</v>
      </c>
      <c r="K4682">
        <v>0</v>
      </c>
      <c r="L4682">
        <v>0</v>
      </c>
      <c r="M4682">
        <v>55505.9</v>
      </c>
      <c r="N4682">
        <v>2</v>
      </c>
      <c r="O4682" s="1" t="s">
        <v>569</v>
      </c>
      <c r="P4682">
        <v>5550.59</v>
      </c>
      <c r="Q4682">
        <v>2220.2199999999998</v>
      </c>
      <c r="R4682">
        <v>1</v>
      </c>
      <c r="S4682" s="1" t="s">
        <v>1133</v>
      </c>
      <c r="T4682" s="1"/>
      <c r="U4682">
        <v>5550.5834800000002</v>
      </c>
      <c r="V4682">
        <v>0</v>
      </c>
      <c r="W4682">
        <v>60555</v>
      </c>
    </row>
    <row r="4683" spans="1:23" x14ac:dyDescent="0.25">
      <c r="A4683" s="1" t="s">
        <v>40</v>
      </c>
      <c r="B4683" s="1" t="s">
        <v>86</v>
      </c>
      <c r="C4683" s="1" t="s">
        <v>213</v>
      </c>
      <c r="D4683">
        <v>6026</v>
      </c>
      <c r="E4683" s="1"/>
      <c r="F4683" s="1" t="s">
        <v>368</v>
      </c>
      <c r="G4683">
        <v>2013</v>
      </c>
      <c r="H4683">
        <v>2836.38</v>
      </c>
      <c r="I4683">
        <v>3</v>
      </c>
      <c r="J4683" s="1" t="s">
        <v>554</v>
      </c>
      <c r="K4683">
        <v>0</v>
      </c>
      <c r="L4683">
        <v>0</v>
      </c>
      <c r="M4683">
        <v>28363.8</v>
      </c>
      <c r="N4683">
        <v>2</v>
      </c>
      <c r="O4683" s="1" t="s">
        <v>569</v>
      </c>
      <c r="P4683">
        <v>2836.38</v>
      </c>
      <c r="Q4683">
        <v>850.91</v>
      </c>
      <c r="R4683">
        <v>1</v>
      </c>
      <c r="S4683" s="1" t="s">
        <v>1140</v>
      </c>
      <c r="T4683" s="1"/>
      <c r="U4683">
        <v>2836.3809500000002</v>
      </c>
      <c r="V4683">
        <v>0</v>
      </c>
      <c r="W4683">
        <v>93435</v>
      </c>
    </row>
    <row r="4684" spans="1:23" x14ac:dyDescent="0.25">
      <c r="A4684" s="1" t="s">
        <v>40</v>
      </c>
      <c r="B4684" s="1" t="s">
        <v>86</v>
      </c>
      <c r="C4684" s="1" t="s">
        <v>213</v>
      </c>
      <c r="D4684">
        <v>6026</v>
      </c>
      <c r="E4684" s="1"/>
      <c r="F4684" s="1" t="s">
        <v>368</v>
      </c>
      <c r="G4684">
        <v>2013</v>
      </c>
      <c r="H4684">
        <v>7661.04</v>
      </c>
      <c r="I4684">
        <v>12</v>
      </c>
      <c r="J4684" s="1" t="s">
        <v>421</v>
      </c>
      <c r="K4684">
        <v>0</v>
      </c>
      <c r="L4684">
        <v>0</v>
      </c>
      <c r="M4684">
        <v>76610.399999999994</v>
      </c>
      <c r="N4684">
        <v>2</v>
      </c>
      <c r="O4684" s="1" t="s">
        <v>569</v>
      </c>
      <c r="P4684">
        <v>7661.04</v>
      </c>
      <c r="Q4684">
        <v>2298.3200000000002</v>
      </c>
      <c r="R4684">
        <v>1</v>
      </c>
      <c r="S4684" s="1" t="s">
        <v>1134</v>
      </c>
      <c r="T4684" s="1"/>
      <c r="U4684">
        <v>7661.0308500000001</v>
      </c>
      <c r="V4684">
        <v>0</v>
      </c>
      <c r="W4684">
        <v>93454</v>
      </c>
    </row>
    <row r="4685" spans="1:23" x14ac:dyDescent="0.25">
      <c r="A4685" s="1" t="s">
        <v>40</v>
      </c>
      <c r="B4685" s="1" t="s">
        <v>86</v>
      </c>
      <c r="C4685" s="1" t="s">
        <v>213</v>
      </c>
      <c r="D4685">
        <v>6026</v>
      </c>
      <c r="E4685" s="1"/>
      <c r="F4685" s="1" t="s">
        <v>368</v>
      </c>
      <c r="G4685">
        <v>2013</v>
      </c>
      <c r="H4685">
        <v>11067.84</v>
      </c>
      <c r="I4685">
        <v>12</v>
      </c>
      <c r="J4685" s="1" t="s">
        <v>421</v>
      </c>
      <c r="K4685">
        <v>0</v>
      </c>
      <c r="L4685">
        <v>0</v>
      </c>
      <c r="M4685">
        <v>110678.39999999999</v>
      </c>
      <c r="N4685">
        <v>2</v>
      </c>
      <c r="O4685" s="1" t="s">
        <v>569</v>
      </c>
      <c r="P4685">
        <v>11067.84</v>
      </c>
      <c r="Q4685">
        <v>3320.36</v>
      </c>
      <c r="R4685">
        <v>1</v>
      </c>
      <c r="S4685" s="1" t="s">
        <v>1136</v>
      </c>
      <c r="T4685" s="1"/>
      <c r="U4685">
        <v>11067.84058</v>
      </c>
      <c r="V4685">
        <v>0</v>
      </c>
      <c r="W4685">
        <v>93457</v>
      </c>
    </row>
    <row r="4686" spans="1:23" x14ac:dyDescent="0.25">
      <c r="A4686" s="1" t="s">
        <v>40</v>
      </c>
      <c r="B4686" s="1" t="s">
        <v>86</v>
      </c>
      <c r="C4686" s="1" t="s">
        <v>213</v>
      </c>
      <c r="D4686">
        <v>6026</v>
      </c>
      <c r="E4686" s="1"/>
      <c r="F4686" s="1" t="s">
        <v>368</v>
      </c>
      <c r="G4686">
        <v>2012</v>
      </c>
      <c r="H4686">
        <v>14929.49</v>
      </c>
      <c r="I4686">
        <v>12</v>
      </c>
      <c r="J4686" s="1" t="s">
        <v>554</v>
      </c>
      <c r="K4686">
        <v>0</v>
      </c>
      <c r="L4686">
        <v>0</v>
      </c>
      <c r="M4686">
        <v>149294.9</v>
      </c>
      <c r="N4686">
        <v>2</v>
      </c>
      <c r="O4686" s="1" t="s">
        <v>569</v>
      </c>
      <c r="P4686">
        <v>14929.49</v>
      </c>
      <c r="Q4686">
        <v>5971.81</v>
      </c>
      <c r="R4686">
        <v>1</v>
      </c>
      <c r="S4686" s="1" t="s">
        <v>1139</v>
      </c>
      <c r="T4686" s="1"/>
      <c r="U4686">
        <v>14929.491980000001</v>
      </c>
      <c r="V4686">
        <v>0</v>
      </c>
      <c r="W4686">
        <v>60553</v>
      </c>
    </row>
    <row r="4687" spans="1:23" x14ac:dyDescent="0.25">
      <c r="A4687" s="1" t="s">
        <v>40</v>
      </c>
      <c r="B4687" s="1" t="s">
        <v>86</v>
      </c>
      <c r="C4687" s="1" t="s">
        <v>213</v>
      </c>
      <c r="D4687">
        <v>6026</v>
      </c>
      <c r="E4687" s="1"/>
      <c r="F4687" s="1" t="s">
        <v>368</v>
      </c>
      <c r="G4687">
        <v>2012</v>
      </c>
      <c r="H4687">
        <v>3692.72</v>
      </c>
      <c r="I4687">
        <v>11</v>
      </c>
      <c r="J4687" s="1" t="s">
        <v>421</v>
      </c>
      <c r="K4687">
        <v>0</v>
      </c>
      <c r="L4687">
        <v>0</v>
      </c>
      <c r="M4687">
        <v>36927.199999999997</v>
      </c>
      <c r="N4687">
        <v>2</v>
      </c>
      <c r="O4687" s="1" t="s">
        <v>569</v>
      </c>
      <c r="P4687">
        <v>3692.72</v>
      </c>
      <c r="Q4687">
        <v>1477.11</v>
      </c>
      <c r="R4687">
        <v>1</v>
      </c>
      <c r="S4687" s="1" t="s">
        <v>1133</v>
      </c>
      <c r="T4687" s="1"/>
      <c r="U4687">
        <v>3692.7263899999998</v>
      </c>
      <c r="V4687">
        <v>0</v>
      </c>
      <c r="W4687">
        <v>60555</v>
      </c>
    </row>
    <row r="4688" spans="1:23" x14ac:dyDescent="0.25">
      <c r="A4688" s="1" t="s">
        <v>40</v>
      </c>
      <c r="B4688" s="1" t="s">
        <v>86</v>
      </c>
      <c r="C4688" s="1" t="s">
        <v>213</v>
      </c>
      <c r="D4688">
        <v>6026</v>
      </c>
      <c r="E4688" s="1"/>
      <c r="F4688" s="1" t="s">
        <v>368</v>
      </c>
      <c r="G4688">
        <v>2012</v>
      </c>
      <c r="H4688">
        <v>2386.89</v>
      </c>
      <c r="I4688">
        <v>1</v>
      </c>
      <c r="J4688" s="1" t="s">
        <v>421</v>
      </c>
      <c r="K4688">
        <v>0</v>
      </c>
      <c r="L4688">
        <v>0</v>
      </c>
      <c r="M4688">
        <v>23868.9</v>
      </c>
      <c r="N4688">
        <v>2</v>
      </c>
      <c r="O4688" s="1" t="s">
        <v>569</v>
      </c>
      <c r="P4688">
        <v>2386.89</v>
      </c>
      <c r="Q4688">
        <v>954.76</v>
      </c>
      <c r="R4688">
        <v>1</v>
      </c>
      <c r="S4688" s="1" t="s">
        <v>1135</v>
      </c>
      <c r="T4688" s="1"/>
      <c r="U4688">
        <v>2386.8985499999999</v>
      </c>
      <c r="V4688">
        <v>0</v>
      </c>
      <c r="W4688">
        <v>93455</v>
      </c>
    </row>
    <row r="4689" spans="1:23" x14ac:dyDescent="0.25">
      <c r="A4689" s="1" t="s">
        <v>40</v>
      </c>
      <c r="B4689" s="1" t="s">
        <v>86</v>
      </c>
      <c r="C4689" s="1" t="s">
        <v>213</v>
      </c>
      <c r="D4689">
        <v>6026</v>
      </c>
      <c r="E4689" s="1"/>
      <c r="F4689" s="1" t="s">
        <v>368</v>
      </c>
      <c r="G4689">
        <v>2012</v>
      </c>
      <c r="H4689">
        <v>3253.16</v>
      </c>
      <c r="I4689">
        <v>1</v>
      </c>
      <c r="J4689" s="1" t="s">
        <v>421</v>
      </c>
      <c r="K4689">
        <v>0</v>
      </c>
      <c r="L4689">
        <v>0</v>
      </c>
      <c r="M4689">
        <v>32531.599999999999</v>
      </c>
      <c r="N4689">
        <v>2</v>
      </c>
      <c r="O4689" s="1" t="s">
        <v>569</v>
      </c>
      <c r="P4689">
        <v>3253.16</v>
      </c>
      <c r="Q4689">
        <v>1301.26</v>
      </c>
      <c r="R4689">
        <v>1</v>
      </c>
      <c r="S4689" s="1" t="s">
        <v>1136</v>
      </c>
      <c r="T4689" s="1"/>
      <c r="U4689">
        <v>3253.15942</v>
      </c>
      <c r="V4689">
        <v>0</v>
      </c>
      <c r="W4689">
        <v>93457</v>
      </c>
    </row>
    <row r="4690" spans="1:23" x14ac:dyDescent="0.25">
      <c r="A4690" s="1" t="s">
        <v>40</v>
      </c>
      <c r="B4690" s="1" t="s">
        <v>86</v>
      </c>
      <c r="C4690" s="1" t="s">
        <v>213</v>
      </c>
      <c r="D4690">
        <v>6026</v>
      </c>
      <c r="E4690" s="1"/>
      <c r="F4690" s="1" t="s">
        <v>368</v>
      </c>
      <c r="G4690">
        <v>2012</v>
      </c>
      <c r="H4690">
        <v>2589.62</v>
      </c>
      <c r="I4690">
        <v>2</v>
      </c>
      <c r="J4690" s="1" t="s">
        <v>554</v>
      </c>
      <c r="K4690">
        <v>0</v>
      </c>
      <c r="L4690">
        <v>0</v>
      </c>
      <c r="M4690">
        <v>25896.2</v>
      </c>
      <c r="N4690">
        <v>2</v>
      </c>
      <c r="O4690" s="1" t="s">
        <v>569</v>
      </c>
      <c r="P4690">
        <v>2589.62</v>
      </c>
      <c r="Q4690">
        <v>1035.8499999999999</v>
      </c>
      <c r="R4690">
        <v>1</v>
      </c>
      <c r="S4690" s="1" t="s">
        <v>1140</v>
      </c>
      <c r="T4690" s="1"/>
      <c r="U4690">
        <v>2589.6190499999998</v>
      </c>
      <c r="V4690">
        <v>0</v>
      </c>
      <c r="W4690">
        <v>93435</v>
      </c>
    </row>
    <row r="4691" spans="1:23" x14ac:dyDescent="0.25">
      <c r="A4691" s="1" t="s">
        <v>40</v>
      </c>
      <c r="B4691" s="1" t="s">
        <v>86</v>
      </c>
      <c r="C4691" s="1" t="s">
        <v>213</v>
      </c>
      <c r="D4691">
        <v>6026</v>
      </c>
      <c r="E4691" s="1"/>
      <c r="F4691" s="1" t="s">
        <v>368</v>
      </c>
      <c r="G4691">
        <v>2012</v>
      </c>
      <c r="H4691">
        <v>2235.14</v>
      </c>
      <c r="I4691">
        <v>1</v>
      </c>
      <c r="J4691" s="1" t="s">
        <v>421</v>
      </c>
      <c r="K4691">
        <v>0</v>
      </c>
      <c r="L4691">
        <v>0</v>
      </c>
      <c r="M4691">
        <v>22351.4</v>
      </c>
      <c r="N4691">
        <v>2</v>
      </c>
      <c r="O4691" s="1" t="s">
        <v>569</v>
      </c>
      <c r="P4691">
        <v>2235.14</v>
      </c>
      <c r="Q4691">
        <v>894.04</v>
      </c>
      <c r="R4691">
        <v>1</v>
      </c>
      <c r="S4691" s="1" t="s">
        <v>1134</v>
      </c>
      <c r="T4691" s="1"/>
      <c r="U4691">
        <v>2235.1304399999999</v>
      </c>
      <c r="V4691">
        <v>0</v>
      </c>
      <c r="W4691">
        <v>93454</v>
      </c>
    </row>
    <row r="4692" spans="1:23" x14ac:dyDescent="0.25">
      <c r="A4692" s="1" t="s">
        <v>40</v>
      </c>
      <c r="B4692" s="1" t="s">
        <v>86</v>
      </c>
      <c r="C4692" s="1" t="s">
        <v>213</v>
      </c>
      <c r="D4692">
        <v>6026</v>
      </c>
      <c r="E4692" s="1"/>
      <c r="F4692" s="1" t="s">
        <v>368</v>
      </c>
      <c r="G4692">
        <v>2011</v>
      </c>
      <c r="H4692">
        <v>18260.62</v>
      </c>
      <c r="I4692">
        <v>12</v>
      </c>
      <c r="J4692" s="1" t="s">
        <v>554</v>
      </c>
      <c r="K4692">
        <v>0</v>
      </c>
      <c r="L4692">
        <v>0</v>
      </c>
      <c r="M4692">
        <v>182606.2</v>
      </c>
      <c r="N4692">
        <v>2</v>
      </c>
      <c r="O4692" s="1" t="s">
        <v>569</v>
      </c>
      <c r="P4692">
        <v>18260.62</v>
      </c>
      <c r="Q4692">
        <v>8564.2199999999993</v>
      </c>
      <c r="R4692">
        <v>1</v>
      </c>
      <c r="S4692" s="1" t="s">
        <v>1139</v>
      </c>
      <c r="T4692" s="1"/>
      <c r="U4692">
        <v>18260.606070000002</v>
      </c>
      <c r="V4692">
        <v>0</v>
      </c>
      <c r="W4692">
        <v>60553</v>
      </c>
    </row>
    <row r="4693" spans="1:23" x14ac:dyDescent="0.25">
      <c r="A4693" s="1" t="s">
        <v>40</v>
      </c>
      <c r="B4693" s="1" t="s">
        <v>86</v>
      </c>
      <c r="C4693" s="1" t="s">
        <v>213</v>
      </c>
      <c r="D4693">
        <v>6026</v>
      </c>
      <c r="E4693" s="1"/>
      <c r="F4693" s="1" t="s">
        <v>368</v>
      </c>
      <c r="G4693">
        <v>2011</v>
      </c>
      <c r="H4693">
        <v>3619.88</v>
      </c>
      <c r="I4693">
        <v>12</v>
      </c>
      <c r="J4693" s="1" t="s">
        <v>421</v>
      </c>
      <c r="K4693">
        <v>0</v>
      </c>
      <c r="L4693">
        <v>0</v>
      </c>
      <c r="M4693">
        <v>36198.800000000003</v>
      </c>
      <c r="N4693">
        <v>2</v>
      </c>
      <c r="O4693" s="1" t="s">
        <v>569</v>
      </c>
      <c r="P4693">
        <v>3619.88</v>
      </c>
      <c r="Q4693">
        <v>1697.73</v>
      </c>
      <c r="R4693">
        <v>1</v>
      </c>
      <c r="S4693" s="1" t="s">
        <v>1133</v>
      </c>
      <c r="T4693" s="1"/>
      <c r="U4693">
        <v>3619.87878</v>
      </c>
      <c r="V4693">
        <v>0</v>
      </c>
      <c r="W4693">
        <v>60555</v>
      </c>
    </row>
    <row r="4694" spans="1:23" x14ac:dyDescent="0.25">
      <c r="A4694" s="1" t="s">
        <v>40</v>
      </c>
      <c r="B4694" s="1" t="s">
        <v>86</v>
      </c>
      <c r="C4694" s="1" t="s">
        <v>213</v>
      </c>
      <c r="D4694">
        <v>6026</v>
      </c>
      <c r="E4694" s="1"/>
      <c r="F4694" s="1" t="s">
        <v>368</v>
      </c>
      <c r="G4694">
        <v>2010</v>
      </c>
      <c r="H4694">
        <v>20919.61</v>
      </c>
      <c r="I4694">
        <v>12</v>
      </c>
      <c r="J4694" s="1" t="s">
        <v>554</v>
      </c>
      <c r="K4694">
        <v>0</v>
      </c>
      <c r="L4694">
        <v>0</v>
      </c>
      <c r="M4694">
        <v>209196.1</v>
      </c>
      <c r="N4694">
        <v>2</v>
      </c>
      <c r="O4694" s="1" t="s">
        <v>569</v>
      </c>
      <c r="P4694">
        <v>20919.61</v>
      </c>
      <c r="Q4694">
        <v>9811.2999999999993</v>
      </c>
      <c r="R4694">
        <v>1</v>
      </c>
      <c r="S4694" s="1" t="s">
        <v>1139</v>
      </c>
      <c r="T4694" s="1"/>
      <c r="U4694">
        <v>20919.60786</v>
      </c>
      <c r="V4694">
        <v>0</v>
      </c>
      <c r="W4694">
        <v>60553</v>
      </c>
    </row>
    <row r="4695" spans="1:23" x14ac:dyDescent="0.25">
      <c r="A4695" s="1" t="s">
        <v>40</v>
      </c>
      <c r="B4695" s="1" t="s">
        <v>86</v>
      </c>
      <c r="C4695" s="1" t="s">
        <v>213</v>
      </c>
      <c r="D4695">
        <v>6026</v>
      </c>
      <c r="E4695" s="1"/>
      <c r="F4695" s="1" t="s">
        <v>368</v>
      </c>
      <c r="G4695">
        <v>2010</v>
      </c>
      <c r="H4695">
        <v>767.16</v>
      </c>
      <c r="I4695">
        <v>12</v>
      </c>
      <c r="J4695" s="1" t="s">
        <v>421</v>
      </c>
      <c r="K4695">
        <v>0</v>
      </c>
      <c r="L4695">
        <v>0</v>
      </c>
      <c r="M4695">
        <v>7671.6</v>
      </c>
      <c r="N4695">
        <v>2</v>
      </c>
      <c r="O4695" s="1" t="s">
        <v>569</v>
      </c>
      <c r="P4695">
        <v>767.16</v>
      </c>
      <c r="Q4695">
        <v>359.8</v>
      </c>
      <c r="R4695">
        <v>1</v>
      </c>
      <c r="S4695" s="1" t="s">
        <v>1133</v>
      </c>
      <c r="T4695" s="1"/>
      <c r="U4695">
        <v>767.15953000000002</v>
      </c>
      <c r="V4695">
        <v>0</v>
      </c>
      <c r="W4695">
        <v>60555</v>
      </c>
    </row>
    <row r="4696" spans="1:23" x14ac:dyDescent="0.25">
      <c r="A4696" s="1" t="s">
        <v>40</v>
      </c>
      <c r="B4696" s="1" t="s">
        <v>86</v>
      </c>
      <c r="C4696" s="1" t="s">
        <v>213</v>
      </c>
      <c r="D4696">
        <v>6026</v>
      </c>
      <c r="E4696" s="1"/>
      <c r="F4696" s="1" t="s">
        <v>368</v>
      </c>
      <c r="G4696">
        <v>2009</v>
      </c>
      <c r="H4696">
        <v>28833.94</v>
      </c>
      <c r="I4696">
        <v>12</v>
      </c>
      <c r="J4696" s="1" t="s">
        <v>554</v>
      </c>
      <c r="K4696">
        <v>0</v>
      </c>
      <c r="L4696">
        <v>0</v>
      </c>
      <c r="M4696">
        <v>288339.40000000002</v>
      </c>
      <c r="N4696">
        <v>2</v>
      </c>
      <c r="O4696" s="1" t="s">
        <v>569</v>
      </c>
      <c r="P4696">
        <v>28833.94</v>
      </c>
      <c r="Q4696">
        <v>13523.12</v>
      </c>
      <c r="R4696">
        <v>1</v>
      </c>
      <c r="S4696" s="1" t="s">
        <v>1139</v>
      </c>
      <c r="T4696" s="1"/>
      <c r="U4696">
        <v>28833.933809999999</v>
      </c>
      <c r="V4696">
        <v>0</v>
      </c>
      <c r="W4696">
        <v>60553</v>
      </c>
    </row>
    <row r="4697" spans="1:23" x14ac:dyDescent="0.25">
      <c r="A4697" s="1" t="s">
        <v>40</v>
      </c>
      <c r="B4697" s="1" t="s">
        <v>86</v>
      </c>
      <c r="C4697" s="1" t="s">
        <v>213</v>
      </c>
      <c r="D4697">
        <v>6026</v>
      </c>
      <c r="E4697" s="1"/>
      <c r="F4697" s="1" t="s">
        <v>368</v>
      </c>
      <c r="G4697">
        <v>2009</v>
      </c>
      <c r="H4697">
        <v>274.17</v>
      </c>
      <c r="I4697">
        <v>12</v>
      </c>
      <c r="J4697" s="1" t="s">
        <v>421</v>
      </c>
      <c r="K4697">
        <v>0</v>
      </c>
      <c r="L4697">
        <v>0</v>
      </c>
      <c r="M4697">
        <v>2741.7</v>
      </c>
      <c r="N4697">
        <v>2</v>
      </c>
      <c r="O4697" s="1" t="s">
        <v>569</v>
      </c>
      <c r="P4697">
        <v>274.17</v>
      </c>
      <c r="Q4697">
        <v>128.58000000000001</v>
      </c>
      <c r="R4697">
        <v>1</v>
      </c>
      <c r="S4697" s="1" t="s">
        <v>1133</v>
      </c>
      <c r="T4697" s="1"/>
      <c r="U4697">
        <v>274.17095999999998</v>
      </c>
      <c r="V4697">
        <v>0</v>
      </c>
      <c r="W4697">
        <v>60555</v>
      </c>
    </row>
    <row r="4698" spans="1:23" x14ac:dyDescent="0.25">
      <c r="A4698" s="1" t="s">
        <v>40</v>
      </c>
      <c r="B4698" s="1" t="s">
        <v>86</v>
      </c>
      <c r="C4698" s="1" t="s">
        <v>213</v>
      </c>
      <c r="D4698">
        <v>6026</v>
      </c>
      <c r="E4698" s="1"/>
      <c r="F4698" s="1" t="s">
        <v>368</v>
      </c>
      <c r="G4698">
        <v>2008</v>
      </c>
      <c r="H4698">
        <v>21464.35</v>
      </c>
      <c r="I4698">
        <v>12</v>
      </c>
      <c r="J4698" s="1" t="s">
        <v>554</v>
      </c>
      <c r="K4698">
        <v>0</v>
      </c>
      <c r="L4698">
        <v>0</v>
      </c>
      <c r="M4698">
        <v>214643.5</v>
      </c>
      <c r="N4698">
        <v>2</v>
      </c>
      <c r="O4698" s="1" t="s">
        <v>569</v>
      </c>
      <c r="P4698">
        <v>21464.35</v>
      </c>
      <c r="Q4698">
        <v>10066.77</v>
      </c>
      <c r="R4698">
        <v>1</v>
      </c>
      <c r="S4698" s="1" t="s">
        <v>1139</v>
      </c>
      <c r="T4698" s="1"/>
      <c r="U4698">
        <v>21464.33712</v>
      </c>
      <c r="V4698">
        <v>0</v>
      </c>
      <c r="W4698">
        <v>60553</v>
      </c>
    </row>
    <row r="4699" spans="1:23" x14ac:dyDescent="0.25">
      <c r="A4699" s="1" t="s">
        <v>40</v>
      </c>
      <c r="B4699" s="1" t="s">
        <v>86</v>
      </c>
      <c r="C4699" s="1" t="s">
        <v>213</v>
      </c>
      <c r="D4699">
        <v>6026</v>
      </c>
      <c r="E4699" s="1"/>
      <c r="F4699" s="1" t="s">
        <v>368</v>
      </c>
      <c r="G4699">
        <v>2008</v>
      </c>
      <c r="H4699">
        <v>136.55000000000001</v>
      </c>
      <c r="I4699">
        <v>12</v>
      </c>
      <c r="J4699" s="1" t="s">
        <v>421</v>
      </c>
      <c r="K4699">
        <v>0</v>
      </c>
      <c r="L4699">
        <v>0</v>
      </c>
      <c r="M4699">
        <v>1365.5</v>
      </c>
      <c r="N4699">
        <v>2</v>
      </c>
      <c r="O4699" s="1" t="s">
        <v>569</v>
      </c>
      <c r="P4699">
        <v>136.55000000000001</v>
      </c>
      <c r="Q4699">
        <v>64.040000000000006</v>
      </c>
      <c r="R4699">
        <v>1</v>
      </c>
      <c r="S4699" s="1" t="s">
        <v>1133</v>
      </c>
      <c r="T4699" s="1"/>
      <c r="U4699">
        <v>136.54829000000001</v>
      </c>
      <c r="V4699">
        <v>0</v>
      </c>
      <c r="W4699">
        <v>60555</v>
      </c>
    </row>
    <row r="4700" spans="1:23" x14ac:dyDescent="0.25">
      <c r="A4700" s="1" t="s">
        <v>40</v>
      </c>
      <c r="B4700" s="1" t="s">
        <v>86</v>
      </c>
      <c r="C4700" s="1" t="s">
        <v>213</v>
      </c>
      <c r="D4700">
        <v>6027</v>
      </c>
      <c r="E4700" s="1"/>
      <c r="F4700" s="1" t="s">
        <v>351</v>
      </c>
      <c r="G4700">
        <v>2015</v>
      </c>
      <c r="H4700">
        <v>28144.09</v>
      </c>
      <c r="I4700">
        <v>5</v>
      </c>
      <c r="J4700" s="1" t="s">
        <v>421</v>
      </c>
      <c r="K4700">
        <v>0</v>
      </c>
      <c r="L4700">
        <v>0</v>
      </c>
      <c r="M4700">
        <v>281440.90000000002</v>
      </c>
      <c r="N4700">
        <v>2</v>
      </c>
      <c r="O4700" s="1" t="s">
        <v>569</v>
      </c>
      <c r="P4700">
        <v>28144.09</v>
      </c>
      <c r="Q4700">
        <v>11257.63</v>
      </c>
      <c r="R4700">
        <v>1</v>
      </c>
      <c r="S4700" s="1" t="s">
        <v>1141</v>
      </c>
      <c r="T4700" s="1"/>
      <c r="U4700">
        <v>28144.085709999999</v>
      </c>
      <c r="V4700">
        <v>0</v>
      </c>
      <c r="W4700">
        <v>60559</v>
      </c>
    </row>
    <row r="4701" spans="1:23" x14ac:dyDescent="0.25">
      <c r="A4701" s="1" t="s">
        <v>40</v>
      </c>
      <c r="B4701" s="1" t="s">
        <v>86</v>
      </c>
      <c r="C4701" s="1" t="s">
        <v>213</v>
      </c>
      <c r="D4701">
        <v>6027</v>
      </c>
      <c r="E4701" s="1"/>
      <c r="F4701" s="1" t="s">
        <v>351</v>
      </c>
      <c r="G4701">
        <v>2015</v>
      </c>
      <c r="H4701">
        <v>13235.01</v>
      </c>
      <c r="I4701">
        <v>5</v>
      </c>
      <c r="J4701" s="1" t="s">
        <v>421</v>
      </c>
      <c r="K4701">
        <v>0</v>
      </c>
      <c r="L4701">
        <v>0</v>
      </c>
      <c r="M4701">
        <v>132350.1</v>
      </c>
      <c r="N4701">
        <v>2</v>
      </c>
      <c r="O4701" s="1" t="s">
        <v>569</v>
      </c>
      <c r="P4701">
        <v>13235.01</v>
      </c>
      <c r="Q4701">
        <v>5293.99</v>
      </c>
      <c r="R4701">
        <v>1</v>
      </c>
      <c r="S4701" s="1" t="s">
        <v>1142</v>
      </c>
      <c r="T4701" s="1"/>
      <c r="U4701">
        <v>13234.99999</v>
      </c>
      <c r="V4701">
        <v>0</v>
      </c>
      <c r="W4701">
        <v>60561</v>
      </c>
    </row>
    <row r="4702" spans="1:23" x14ac:dyDescent="0.25">
      <c r="A4702" s="1" t="s">
        <v>40</v>
      </c>
      <c r="B4702" s="1" t="s">
        <v>86</v>
      </c>
      <c r="C4702" s="1" t="s">
        <v>213</v>
      </c>
      <c r="D4702">
        <v>6027</v>
      </c>
      <c r="E4702" s="1"/>
      <c r="F4702" s="1" t="s">
        <v>351</v>
      </c>
      <c r="G4702">
        <v>2015</v>
      </c>
      <c r="H4702">
        <v>5693.09</v>
      </c>
      <c r="I4702">
        <v>5</v>
      </c>
      <c r="J4702" s="1" t="s">
        <v>421</v>
      </c>
      <c r="K4702">
        <v>0</v>
      </c>
      <c r="L4702">
        <v>0</v>
      </c>
      <c r="M4702">
        <v>56930.9</v>
      </c>
      <c r="N4702">
        <v>2</v>
      </c>
      <c r="O4702" s="1" t="s">
        <v>569</v>
      </c>
      <c r="P4702">
        <v>5693.09</v>
      </c>
      <c r="Q4702">
        <v>2277.23</v>
      </c>
      <c r="R4702">
        <v>1</v>
      </c>
      <c r="S4702" s="1" t="s">
        <v>1143</v>
      </c>
      <c r="T4702" s="1"/>
      <c r="U4702">
        <v>5693.0857100000003</v>
      </c>
      <c r="V4702">
        <v>0</v>
      </c>
      <c r="W4702">
        <v>60562</v>
      </c>
    </row>
    <row r="4703" spans="1:23" x14ac:dyDescent="0.25">
      <c r="A4703" s="1" t="s">
        <v>40</v>
      </c>
      <c r="B4703" s="1" t="s">
        <v>86</v>
      </c>
      <c r="C4703" s="1" t="s">
        <v>213</v>
      </c>
      <c r="D4703">
        <v>6027</v>
      </c>
      <c r="E4703" s="1"/>
      <c r="F4703" s="1" t="s">
        <v>351</v>
      </c>
      <c r="G4703">
        <v>2015</v>
      </c>
      <c r="H4703">
        <v>496.08</v>
      </c>
      <c r="I4703">
        <v>5</v>
      </c>
      <c r="J4703" s="1" t="s">
        <v>421</v>
      </c>
      <c r="K4703">
        <v>0</v>
      </c>
      <c r="L4703">
        <v>0</v>
      </c>
      <c r="M4703">
        <v>4960.8</v>
      </c>
      <c r="N4703">
        <v>2</v>
      </c>
      <c r="O4703" s="1" t="s">
        <v>569</v>
      </c>
      <c r="P4703">
        <v>496.08</v>
      </c>
      <c r="Q4703">
        <v>148.82</v>
      </c>
      <c r="R4703">
        <v>1</v>
      </c>
      <c r="S4703" s="1" t="s">
        <v>1144</v>
      </c>
      <c r="T4703" s="1"/>
      <c r="U4703">
        <v>496.08571999999998</v>
      </c>
      <c r="V4703">
        <v>0</v>
      </c>
      <c r="W4703">
        <v>71007</v>
      </c>
    </row>
    <row r="4704" spans="1:23" x14ac:dyDescent="0.25">
      <c r="A4704" s="1" t="s">
        <v>40</v>
      </c>
      <c r="B4704" s="1" t="s">
        <v>86</v>
      </c>
      <c r="C4704" s="1" t="s">
        <v>213</v>
      </c>
      <c r="D4704">
        <v>6027</v>
      </c>
      <c r="E4704" s="1"/>
      <c r="F4704" s="1" t="s">
        <v>351</v>
      </c>
      <c r="G4704">
        <v>2015</v>
      </c>
      <c r="H4704">
        <v>807.8</v>
      </c>
      <c r="I4704">
        <v>5</v>
      </c>
      <c r="J4704" s="1" t="s">
        <v>421</v>
      </c>
      <c r="K4704">
        <v>0</v>
      </c>
      <c r="L4704">
        <v>0</v>
      </c>
      <c r="M4704">
        <v>8078</v>
      </c>
      <c r="N4704">
        <v>2</v>
      </c>
      <c r="O4704" s="1" t="s">
        <v>569</v>
      </c>
      <c r="P4704">
        <v>807.8</v>
      </c>
      <c r="Q4704">
        <v>242.35</v>
      </c>
      <c r="R4704">
        <v>1</v>
      </c>
      <c r="S4704" s="1" t="s">
        <v>1145</v>
      </c>
      <c r="T4704" s="1"/>
      <c r="U4704">
        <v>807.8</v>
      </c>
      <c r="V4704">
        <v>0</v>
      </c>
      <c r="W4704">
        <v>92703</v>
      </c>
    </row>
    <row r="4705" spans="1:23" x14ac:dyDescent="0.25">
      <c r="A4705" s="1" t="s">
        <v>40</v>
      </c>
      <c r="B4705" s="1" t="s">
        <v>86</v>
      </c>
      <c r="C4705" s="1" t="s">
        <v>213</v>
      </c>
      <c r="D4705">
        <v>6027</v>
      </c>
      <c r="E4705" s="1"/>
      <c r="F4705" s="1" t="s">
        <v>351</v>
      </c>
      <c r="G4705">
        <v>2015</v>
      </c>
      <c r="H4705">
        <v>30495.09</v>
      </c>
      <c r="I4705">
        <v>2</v>
      </c>
      <c r="J4705" s="1" t="s">
        <v>421</v>
      </c>
      <c r="K4705">
        <v>0</v>
      </c>
      <c r="L4705">
        <v>0</v>
      </c>
      <c r="M4705">
        <v>304950.90000000002</v>
      </c>
      <c r="N4705">
        <v>2</v>
      </c>
      <c r="O4705" s="1" t="s">
        <v>569</v>
      </c>
      <c r="P4705">
        <v>30495.09</v>
      </c>
      <c r="Q4705">
        <v>9148.52</v>
      </c>
      <c r="R4705">
        <v>1</v>
      </c>
      <c r="S4705" s="1" t="s">
        <v>1146</v>
      </c>
      <c r="T4705" s="1"/>
      <c r="U4705">
        <v>30495.093049999999</v>
      </c>
      <c r="V4705">
        <v>0</v>
      </c>
      <c r="W4705">
        <v>92732</v>
      </c>
    </row>
    <row r="4706" spans="1:23" x14ac:dyDescent="0.25">
      <c r="A4706" s="1" t="s">
        <v>40</v>
      </c>
      <c r="B4706" s="1" t="s">
        <v>86</v>
      </c>
      <c r="C4706" s="1" t="s">
        <v>213</v>
      </c>
      <c r="D4706">
        <v>6027</v>
      </c>
      <c r="E4706" s="1"/>
      <c r="F4706" s="1" t="s">
        <v>351</v>
      </c>
      <c r="G4706">
        <v>2015</v>
      </c>
      <c r="H4706">
        <v>3536.57</v>
      </c>
      <c r="I4706">
        <v>5</v>
      </c>
      <c r="J4706" s="1" t="s">
        <v>421</v>
      </c>
      <c r="K4706">
        <v>0</v>
      </c>
      <c r="L4706">
        <v>0</v>
      </c>
      <c r="M4706">
        <v>35365.699999999997</v>
      </c>
      <c r="N4706">
        <v>2</v>
      </c>
      <c r="O4706" s="1" t="s">
        <v>569</v>
      </c>
      <c r="P4706">
        <v>3536.57</v>
      </c>
      <c r="Q4706">
        <v>1414.63</v>
      </c>
      <c r="R4706">
        <v>1</v>
      </c>
      <c r="S4706" s="1" t="s">
        <v>1147</v>
      </c>
      <c r="T4706" s="1"/>
      <c r="U4706">
        <v>3536.57143</v>
      </c>
      <c r="V4706">
        <v>0</v>
      </c>
      <c r="W4706">
        <v>60557</v>
      </c>
    </row>
    <row r="4707" spans="1:23" x14ac:dyDescent="0.25">
      <c r="A4707" s="1" t="s">
        <v>40</v>
      </c>
      <c r="B4707" s="1" t="s">
        <v>86</v>
      </c>
      <c r="C4707" s="1" t="s">
        <v>213</v>
      </c>
      <c r="D4707">
        <v>6027</v>
      </c>
      <c r="E4707" s="1"/>
      <c r="F4707" s="1" t="s">
        <v>351</v>
      </c>
      <c r="G4707">
        <v>2015</v>
      </c>
      <c r="H4707">
        <v>4729.91</v>
      </c>
      <c r="I4707">
        <v>5</v>
      </c>
      <c r="J4707" s="1" t="s">
        <v>421</v>
      </c>
      <c r="K4707">
        <v>0</v>
      </c>
      <c r="L4707">
        <v>0</v>
      </c>
      <c r="M4707">
        <v>47299.1</v>
      </c>
      <c r="N4707">
        <v>2</v>
      </c>
      <c r="O4707" s="1" t="s">
        <v>569</v>
      </c>
      <c r="P4707">
        <v>4729.91</v>
      </c>
      <c r="Q4707">
        <v>1891.97</v>
      </c>
      <c r="R4707">
        <v>1</v>
      </c>
      <c r="S4707" s="1" t="s">
        <v>1148</v>
      </c>
      <c r="T4707" s="1"/>
      <c r="U4707">
        <v>4729.9142899999997</v>
      </c>
      <c r="V4707">
        <v>0</v>
      </c>
      <c r="W4707">
        <v>60558</v>
      </c>
    </row>
    <row r="4708" spans="1:23" x14ac:dyDescent="0.25">
      <c r="A4708" s="1" t="s">
        <v>40</v>
      </c>
      <c r="B4708" s="1" t="s">
        <v>86</v>
      </c>
      <c r="C4708" s="1" t="s">
        <v>213</v>
      </c>
      <c r="D4708">
        <v>6027</v>
      </c>
      <c r="E4708" s="1"/>
      <c r="F4708" s="1" t="s">
        <v>351</v>
      </c>
      <c r="G4708">
        <v>2015</v>
      </c>
      <c r="H4708">
        <v>627.14</v>
      </c>
      <c r="I4708">
        <v>5</v>
      </c>
      <c r="J4708" s="1" t="s">
        <v>421</v>
      </c>
      <c r="K4708">
        <v>0</v>
      </c>
      <c r="L4708">
        <v>0</v>
      </c>
      <c r="M4708">
        <v>6271.4</v>
      </c>
      <c r="N4708">
        <v>2</v>
      </c>
      <c r="O4708" s="1" t="s">
        <v>569</v>
      </c>
      <c r="P4708">
        <v>627.14</v>
      </c>
      <c r="Q4708">
        <v>250.86</v>
      </c>
      <c r="R4708">
        <v>1</v>
      </c>
      <c r="S4708" s="1" t="s">
        <v>1149</v>
      </c>
      <c r="T4708" s="1"/>
      <c r="U4708">
        <v>627.14286000000004</v>
      </c>
      <c r="V4708">
        <v>0</v>
      </c>
      <c r="W4708">
        <v>60560</v>
      </c>
    </row>
    <row r="4709" spans="1:23" x14ac:dyDescent="0.25">
      <c r="A4709" s="1" t="s">
        <v>40</v>
      </c>
      <c r="B4709" s="1" t="s">
        <v>86</v>
      </c>
      <c r="C4709" s="1" t="s">
        <v>213</v>
      </c>
      <c r="D4709">
        <v>6027</v>
      </c>
      <c r="E4709" s="1"/>
      <c r="F4709" s="1" t="s">
        <v>351</v>
      </c>
      <c r="G4709">
        <v>2015</v>
      </c>
      <c r="H4709">
        <v>147.37</v>
      </c>
      <c r="I4709">
        <v>5</v>
      </c>
      <c r="J4709" s="1" t="s">
        <v>421</v>
      </c>
      <c r="K4709">
        <v>0</v>
      </c>
      <c r="L4709">
        <v>0</v>
      </c>
      <c r="M4709">
        <v>1473.7</v>
      </c>
      <c r="N4709">
        <v>2</v>
      </c>
      <c r="O4709" s="1" t="s">
        <v>569</v>
      </c>
      <c r="P4709">
        <v>147.37</v>
      </c>
      <c r="Q4709">
        <v>58.95</v>
      </c>
      <c r="R4709">
        <v>1</v>
      </c>
      <c r="S4709" s="1" t="s">
        <v>1150</v>
      </c>
      <c r="T4709" s="1"/>
      <c r="U4709">
        <v>147.37143</v>
      </c>
      <c r="V4709">
        <v>0</v>
      </c>
      <c r="W4709">
        <v>60563</v>
      </c>
    </row>
    <row r="4710" spans="1:23" x14ac:dyDescent="0.25">
      <c r="A4710" s="1" t="s">
        <v>40</v>
      </c>
      <c r="B4710" s="1" t="s">
        <v>86</v>
      </c>
      <c r="C4710" s="1" t="s">
        <v>213</v>
      </c>
      <c r="D4710">
        <v>6027</v>
      </c>
      <c r="E4710" s="1"/>
      <c r="F4710" s="1" t="s">
        <v>351</v>
      </c>
      <c r="G4710">
        <v>2015</v>
      </c>
      <c r="H4710">
        <v>86528.66</v>
      </c>
      <c r="I4710">
        <v>2</v>
      </c>
      <c r="J4710" s="1" t="s">
        <v>421</v>
      </c>
      <c r="K4710">
        <v>0</v>
      </c>
      <c r="L4710">
        <v>0</v>
      </c>
      <c r="M4710">
        <v>865286.6</v>
      </c>
      <c r="N4710">
        <v>2</v>
      </c>
      <c r="O4710" s="1" t="s">
        <v>569</v>
      </c>
      <c r="P4710">
        <v>86528.66</v>
      </c>
      <c r="Q4710">
        <v>25958.59</v>
      </c>
      <c r="R4710">
        <v>1</v>
      </c>
      <c r="S4710" s="1" t="s">
        <v>1151</v>
      </c>
      <c r="T4710" s="1"/>
      <c r="U4710">
        <v>86528.65006</v>
      </c>
      <c r="V4710">
        <v>0</v>
      </c>
      <c r="W4710">
        <v>92734</v>
      </c>
    </row>
    <row r="4711" spans="1:23" x14ac:dyDescent="0.25">
      <c r="A4711" s="1" t="s">
        <v>40</v>
      </c>
      <c r="B4711" s="1" t="s">
        <v>86</v>
      </c>
      <c r="C4711" s="1" t="s">
        <v>213</v>
      </c>
      <c r="D4711">
        <v>6027</v>
      </c>
      <c r="E4711" s="1"/>
      <c r="F4711" s="1" t="s">
        <v>351</v>
      </c>
      <c r="G4711">
        <v>2014</v>
      </c>
      <c r="H4711">
        <v>13579.83</v>
      </c>
      <c r="I4711">
        <v>12</v>
      </c>
      <c r="J4711" s="1" t="s">
        <v>421</v>
      </c>
      <c r="K4711">
        <v>0</v>
      </c>
      <c r="L4711">
        <v>0</v>
      </c>
      <c r="M4711">
        <v>135798.29999999999</v>
      </c>
      <c r="N4711">
        <v>2</v>
      </c>
      <c r="O4711" s="1" t="s">
        <v>569</v>
      </c>
      <c r="P4711">
        <v>13579.83</v>
      </c>
      <c r="Q4711">
        <v>5431.93</v>
      </c>
      <c r="R4711">
        <v>1</v>
      </c>
      <c r="S4711" s="1" t="s">
        <v>1148</v>
      </c>
      <c r="T4711" s="1"/>
      <c r="U4711">
        <v>13579.82764</v>
      </c>
      <c r="V4711">
        <v>0</v>
      </c>
      <c r="W4711">
        <v>60558</v>
      </c>
    </row>
    <row r="4712" spans="1:23" x14ac:dyDescent="0.25">
      <c r="A4712" s="1" t="s">
        <v>40</v>
      </c>
      <c r="B4712" s="1" t="s">
        <v>86</v>
      </c>
      <c r="C4712" s="1" t="s">
        <v>213</v>
      </c>
      <c r="D4712">
        <v>6027</v>
      </c>
      <c r="E4712" s="1"/>
      <c r="F4712" s="1" t="s">
        <v>351</v>
      </c>
      <c r="G4712">
        <v>2014</v>
      </c>
      <c r="H4712">
        <v>85154.12</v>
      </c>
      <c r="I4712">
        <v>12</v>
      </c>
      <c r="J4712" s="1" t="s">
        <v>421</v>
      </c>
      <c r="K4712">
        <v>0</v>
      </c>
      <c r="L4712">
        <v>0</v>
      </c>
      <c r="M4712">
        <v>851541.2</v>
      </c>
      <c r="N4712">
        <v>2</v>
      </c>
      <c r="O4712" s="1" t="s">
        <v>569</v>
      </c>
      <c r="P4712">
        <v>85154.12</v>
      </c>
      <c r="Q4712">
        <v>34061.67</v>
      </c>
      <c r="R4712">
        <v>1</v>
      </c>
      <c r="S4712" s="1" t="s">
        <v>1141</v>
      </c>
      <c r="T4712" s="1"/>
      <c r="U4712">
        <v>85154.140109999993</v>
      </c>
      <c r="V4712">
        <v>0</v>
      </c>
      <c r="W4712">
        <v>60559</v>
      </c>
    </row>
    <row r="4713" spans="1:23" x14ac:dyDescent="0.25">
      <c r="A4713" s="1" t="s">
        <v>40</v>
      </c>
      <c r="B4713" s="1" t="s">
        <v>86</v>
      </c>
      <c r="C4713" s="1" t="s">
        <v>213</v>
      </c>
      <c r="D4713">
        <v>6027</v>
      </c>
      <c r="E4713" s="1"/>
      <c r="F4713" s="1" t="s">
        <v>351</v>
      </c>
      <c r="G4713">
        <v>2014</v>
      </c>
      <c r="H4713">
        <v>40530.65</v>
      </c>
      <c r="I4713">
        <v>12</v>
      </c>
      <c r="J4713" s="1" t="s">
        <v>421</v>
      </c>
      <c r="K4713">
        <v>0</v>
      </c>
      <c r="L4713">
        <v>0</v>
      </c>
      <c r="M4713">
        <v>405306.5</v>
      </c>
      <c r="N4713">
        <v>2</v>
      </c>
      <c r="O4713" s="1" t="s">
        <v>569</v>
      </c>
      <c r="P4713">
        <v>40530.65</v>
      </c>
      <c r="Q4713">
        <v>16212.27</v>
      </c>
      <c r="R4713">
        <v>1</v>
      </c>
      <c r="S4713" s="1" t="s">
        <v>1142</v>
      </c>
      <c r="T4713" s="1"/>
      <c r="U4713">
        <v>40530.64516</v>
      </c>
      <c r="V4713">
        <v>0</v>
      </c>
      <c r="W4713">
        <v>60561</v>
      </c>
    </row>
    <row r="4714" spans="1:23" x14ac:dyDescent="0.25">
      <c r="A4714" s="1" t="s">
        <v>40</v>
      </c>
      <c r="B4714" s="1" t="s">
        <v>86</v>
      </c>
      <c r="C4714" s="1" t="s">
        <v>213</v>
      </c>
      <c r="D4714">
        <v>6027</v>
      </c>
      <c r="E4714" s="1"/>
      <c r="F4714" s="1" t="s">
        <v>351</v>
      </c>
      <c r="G4714">
        <v>2014</v>
      </c>
      <c r="H4714">
        <v>1870.62</v>
      </c>
      <c r="I4714">
        <v>12</v>
      </c>
      <c r="J4714" s="1" t="s">
        <v>421</v>
      </c>
      <c r="K4714">
        <v>0</v>
      </c>
      <c r="L4714">
        <v>0</v>
      </c>
      <c r="M4714">
        <v>18706.2</v>
      </c>
      <c r="N4714">
        <v>2</v>
      </c>
      <c r="O4714" s="1" t="s">
        <v>569</v>
      </c>
      <c r="P4714">
        <v>1870.62</v>
      </c>
      <c r="Q4714">
        <v>561.19000000000005</v>
      </c>
      <c r="R4714">
        <v>1</v>
      </c>
      <c r="S4714" s="1" t="s">
        <v>1144</v>
      </c>
      <c r="T4714" s="1"/>
      <c r="U4714">
        <v>1870.6239599999999</v>
      </c>
      <c r="V4714">
        <v>0</v>
      </c>
      <c r="W4714">
        <v>71007</v>
      </c>
    </row>
    <row r="4715" spans="1:23" x14ac:dyDescent="0.25">
      <c r="A4715" s="1" t="s">
        <v>40</v>
      </c>
      <c r="B4715" s="1" t="s">
        <v>86</v>
      </c>
      <c r="C4715" s="1" t="s">
        <v>213</v>
      </c>
      <c r="D4715">
        <v>6027</v>
      </c>
      <c r="E4715" s="1"/>
      <c r="F4715" s="1" t="s">
        <v>351</v>
      </c>
      <c r="G4715">
        <v>2014</v>
      </c>
      <c r="H4715">
        <v>3836.54</v>
      </c>
      <c r="I4715">
        <v>12</v>
      </c>
      <c r="J4715" s="1" t="s">
        <v>421</v>
      </c>
      <c r="K4715">
        <v>0</v>
      </c>
      <c r="L4715">
        <v>0</v>
      </c>
      <c r="M4715">
        <v>38365.4</v>
      </c>
      <c r="N4715">
        <v>2</v>
      </c>
      <c r="O4715" s="1" t="s">
        <v>569</v>
      </c>
      <c r="P4715">
        <v>3836.54</v>
      </c>
      <c r="Q4715">
        <v>1150.95</v>
      </c>
      <c r="R4715">
        <v>1</v>
      </c>
      <c r="S4715" s="1" t="s">
        <v>1145</v>
      </c>
      <c r="T4715" s="1"/>
      <c r="U4715">
        <v>3836.5225799999998</v>
      </c>
      <c r="V4715">
        <v>0</v>
      </c>
      <c r="W4715">
        <v>92703</v>
      </c>
    </row>
    <row r="4716" spans="1:23" x14ac:dyDescent="0.25">
      <c r="A4716" s="1" t="s">
        <v>40</v>
      </c>
      <c r="B4716" s="1" t="s">
        <v>86</v>
      </c>
      <c r="C4716" s="1" t="s">
        <v>213</v>
      </c>
      <c r="D4716">
        <v>6027</v>
      </c>
      <c r="E4716" s="1"/>
      <c r="F4716" s="1" t="s">
        <v>351</v>
      </c>
      <c r="G4716">
        <v>2014</v>
      </c>
      <c r="H4716">
        <v>28158.080000000002</v>
      </c>
      <c r="I4716">
        <v>0</v>
      </c>
      <c r="J4716" s="1" t="s">
        <v>421</v>
      </c>
      <c r="K4716">
        <v>0</v>
      </c>
      <c r="L4716">
        <v>0</v>
      </c>
      <c r="M4716">
        <v>281580.79999999999</v>
      </c>
      <c r="N4716">
        <v>2</v>
      </c>
      <c r="O4716" s="1" t="s">
        <v>569</v>
      </c>
      <c r="P4716">
        <v>28158.080000000002</v>
      </c>
      <c r="Q4716">
        <v>8447.41</v>
      </c>
      <c r="R4716">
        <v>1</v>
      </c>
      <c r="S4716" s="1" t="s">
        <v>1146</v>
      </c>
      <c r="T4716" s="1"/>
      <c r="U4716">
        <v>28158.099600000001</v>
      </c>
      <c r="V4716">
        <v>0</v>
      </c>
      <c r="W4716">
        <v>92732</v>
      </c>
    </row>
    <row r="4717" spans="1:23" x14ac:dyDescent="0.25">
      <c r="A4717" s="1" t="s">
        <v>40</v>
      </c>
      <c r="B4717" s="1" t="s">
        <v>86</v>
      </c>
      <c r="C4717" s="1" t="s">
        <v>213</v>
      </c>
      <c r="D4717">
        <v>6027</v>
      </c>
      <c r="E4717" s="1"/>
      <c r="F4717" s="1" t="s">
        <v>351</v>
      </c>
      <c r="G4717">
        <v>2014</v>
      </c>
      <c r="H4717">
        <v>254318.43</v>
      </c>
      <c r="I4717">
        <v>0</v>
      </c>
      <c r="J4717" s="1" t="s">
        <v>421</v>
      </c>
      <c r="K4717">
        <v>0</v>
      </c>
      <c r="L4717">
        <v>0</v>
      </c>
      <c r="M4717">
        <v>2543184.2999999998</v>
      </c>
      <c r="N4717">
        <v>2</v>
      </c>
      <c r="O4717" s="1" t="s">
        <v>569</v>
      </c>
      <c r="P4717">
        <v>254318.43</v>
      </c>
      <c r="Q4717">
        <v>76295.520000000004</v>
      </c>
      <c r="R4717">
        <v>1</v>
      </c>
      <c r="S4717" s="1" t="s">
        <v>1151</v>
      </c>
      <c r="T4717" s="1"/>
      <c r="U4717">
        <v>254318.41415</v>
      </c>
      <c r="V4717">
        <v>0</v>
      </c>
      <c r="W4717">
        <v>92734</v>
      </c>
    </row>
    <row r="4718" spans="1:23" x14ac:dyDescent="0.25">
      <c r="A4718" s="1" t="s">
        <v>40</v>
      </c>
      <c r="B4718" s="1" t="s">
        <v>86</v>
      </c>
      <c r="C4718" s="1" t="s">
        <v>213</v>
      </c>
      <c r="D4718">
        <v>6027</v>
      </c>
      <c r="E4718" s="1"/>
      <c r="F4718" s="1" t="s">
        <v>351</v>
      </c>
      <c r="G4718">
        <v>2014</v>
      </c>
      <c r="H4718">
        <v>8269.0400000000009</v>
      </c>
      <c r="I4718">
        <v>12</v>
      </c>
      <c r="J4718" s="1" t="s">
        <v>421</v>
      </c>
      <c r="K4718">
        <v>0</v>
      </c>
      <c r="L4718">
        <v>0</v>
      </c>
      <c r="M4718">
        <v>82690.399999999994</v>
      </c>
      <c r="N4718">
        <v>2</v>
      </c>
      <c r="O4718" s="1" t="s">
        <v>569</v>
      </c>
      <c r="P4718">
        <v>8269.0400000000009</v>
      </c>
      <c r="Q4718">
        <v>3307.6</v>
      </c>
      <c r="R4718">
        <v>1</v>
      </c>
      <c r="S4718" s="1" t="s">
        <v>1147</v>
      </c>
      <c r="T4718" s="1"/>
      <c r="U4718">
        <v>8269.0414899999996</v>
      </c>
      <c r="V4718">
        <v>0</v>
      </c>
      <c r="W4718">
        <v>60557</v>
      </c>
    </row>
    <row r="4719" spans="1:23" x14ac:dyDescent="0.25">
      <c r="A4719" s="1" t="s">
        <v>40</v>
      </c>
      <c r="B4719" s="1" t="s">
        <v>86</v>
      </c>
      <c r="C4719" s="1" t="s">
        <v>213</v>
      </c>
      <c r="D4719">
        <v>6027</v>
      </c>
      <c r="E4719" s="1"/>
      <c r="F4719" s="1" t="s">
        <v>351</v>
      </c>
      <c r="G4719">
        <v>2014</v>
      </c>
      <c r="H4719">
        <v>3267.23</v>
      </c>
      <c r="I4719">
        <v>12</v>
      </c>
      <c r="J4719" s="1" t="s">
        <v>421</v>
      </c>
      <c r="K4719">
        <v>0</v>
      </c>
      <c r="L4719">
        <v>0</v>
      </c>
      <c r="M4719">
        <v>32672.3</v>
      </c>
      <c r="N4719">
        <v>2</v>
      </c>
      <c r="O4719" s="1" t="s">
        <v>569</v>
      </c>
      <c r="P4719">
        <v>3267.23</v>
      </c>
      <c r="Q4719">
        <v>1306.9000000000001</v>
      </c>
      <c r="R4719">
        <v>1</v>
      </c>
      <c r="S4719" s="1" t="s">
        <v>1149</v>
      </c>
      <c r="T4719" s="1"/>
      <c r="U4719">
        <v>3267.24424</v>
      </c>
      <c r="V4719">
        <v>0</v>
      </c>
      <c r="W4719">
        <v>60560</v>
      </c>
    </row>
    <row r="4720" spans="1:23" x14ac:dyDescent="0.25">
      <c r="A4720" s="1" t="s">
        <v>40</v>
      </c>
      <c r="B4720" s="1" t="s">
        <v>86</v>
      </c>
      <c r="C4720" s="1" t="s">
        <v>213</v>
      </c>
      <c r="D4720">
        <v>6027</v>
      </c>
      <c r="E4720" s="1"/>
      <c r="F4720" s="1" t="s">
        <v>351</v>
      </c>
      <c r="G4720">
        <v>2014</v>
      </c>
      <c r="H4720">
        <v>16578.2</v>
      </c>
      <c r="I4720">
        <v>12</v>
      </c>
      <c r="J4720" s="1" t="s">
        <v>421</v>
      </c>
      <c r="K4720">
        <v>0</v>
      </c>
      <c r="L4720">
        <v>0</v>
      </c>
      <c r="M4720">
        <v>165782</v>
      </c>
      <c r="N4720">
        <v>2</v>
      </c>
      <c r="O4720" s="1" t="s">
        <v>569</v>
      </c>
      <c r="P4720">
        <v>16578.2</v>
      </c>
      <c r="Q4720">
        <v>6631.29</v>
      </c>
      <c r="R4720">
        <v>1</v>
      </c>
      <c r="S4720" s="1" t="s">
        <v>1143</v>
      </c>
      <c r="T4720" s="1"/>
      <c r="U4720">
        <v>16578.204600000001</v>
      </c>
      <c r="V4720">
        <v>0</v>
      </c>
      <c r="W4720">
        <v>60562</v>
      </c>
    </row>
    <row r="4721" spans="1:23" x14ac:dyDescent="0.25">
      <c r="A4721" s="1" t="s">
        <v>40</v>
      </c>
      <c r="B4721" s="1" t="s">
        <v>86</v>
      </c>
      <c r="C4721" s="1" t="s">
        <v>213</v>
      </c>
      <c r="D4721">
        <v>6027</v>
      </c>
      <c r="E4721" s="1"/>
      <c r="F4721" s="1" t="s">
        <v>351</v>
      </c>
      <c r="G4721">
        <v>2014</v>
      </c>
      <c r="H4721">
        <v>209.04</v>
      </c>
      <c r="I4721">
        <v>12</v>
      </c>
      <c r="J4721" s="1" t="s">
        <v>421</v>
      </c>
      <c r="K4721">
        <v>0</v>
      </c>
      <c r="L4721">
        <v>0</v>
      </c>
      <c r="M4721">
        <v>2090.4</v>
      </c>
      <c r="N4721">
        <v>2</v>
      </c>
      <c r="O4721" s="1" t="s">
        <v>569</v>
      </c>
      <c r="P4721">
        <v>209.04</v>
      </c>
      <c r="Q4721">
        <v>83.62</v>
      </c>
      <c r="R4721">
        <v>1</v>
      </c>
      <c r="S4721" s="1" t="s">
        <v>1150</v>
      </c>
      <c r="T4721" s="1"/>
      <c r="U4721">
        <v>209.04792</v>
      </c>
      <c r="V4721">
        <v>0</v>
      </c>
      <c r="W4721">
        <v>60563</v>
      </c>
    </row>
    <row r="4722" spans="1:23" x14ac:dyDescent="0.25">
      <c r="A4722" s="1" t="s">
        <v>40</v>
      </c>
      <c r="B4722" s="1" t="s">
        <v>86</v>
      </c>
      <c r="C4722" s="1" t="s">
        <v>213</v>
      </c>
      <c r="D4722">
        <v>6027</v>
      </c>
      <c r="E4722" s="1"/>
      <c r="F4722" s="1" t="s">
        <v>351</v>
      </c>
      <c r="G4722">
        <v>2013</v>
      </c>
      <c r="H4722">
        <v>15116.56</v>
      </c>
      <c r="I4722">
        <v>12</v>
      </c>
      <c r="J4722" s="1" t="s">
        <v>421</v>
      </c>
      <c r="K4722">
        <v>0</v>
      </c>
      <c r="L4722">
        <v>0</v>
      </c>
      <c r="M4722">
        <v>151165.6</v>
      </c>
      <c r="N4722">
        <v>2</v>
      </c>
      <c r="O4722" s="1" t="s">
        <v>569</v>
      </c>
      <c r="P4722">
        <v>15116.56</v>
      </c>
      <c r="Q4722">
        <v>6046.63</v>
      </c>
      <c r="R4722">
        <v>1</v>
      </c>
      <c r="S4722" s="1" t="s">
        <v>1148</v>
      </c>
      <c r="T4722" s="1"/>
      <c r="U4722">
        <v>15116.5522</v>
      </c>
      <c r="V4722">
        <v>0</v>
      </c>
      <c r="W4722">
        <v>60558</v>
      </c>
    </row>
    <row r="4723" spans="1:23" x14ac:dyDescent="0.25">
      <c r="A4723" s="1" t="s">
        <v>40</v>
      </c>
      <c r="B4723" s="1" t="s">
        <v>86</v>
      </c>
      <c r="C4723" s="1" t="s">
        <v>213</v>
      </c>
      <c r="D4723">
        <v>6027</v>
      </c>
      <c r="E4723" s="1"/>
      <c r="F4723" s="1" t="s">
        <v>351</v>
      </c>
      <c r="G4723">
        <v>2013</v>
      </c>
      <c r="H4723">
        <v>46047.73</v>
      </c>
      <c r="I4723">
        <v>12</v>
      </c>
      <c r="J4723" s="1" t="s">
        <v>421</v>
      </c>
      <c r="K4723">
        <v>0</v>
      </c>
      <c r="L4723">
        <v>0</v>
      </c>
      <c r="M4723">
        <v>460477.3</v>
      </c>
      <c r="N4723">
        <v>2</v>
      </c>
      <c r="O4723" s="1" t="s">
        <v>569</v>
      </c>
      <c r="P4723">
        <v>46047.73</v>
      </c>
      <c r="Q4723">
        <v>18419.099999999999</v>
      </c>
      <c r="R4723">
        <v>1</v>
      </c>
      <c r="S4723" s="1" t="s">
        <v>1142</v>
      </c>
      <c r="T4723" s="1"/>
      <c r="U4723">
        <v>46047.737200000003</v>
      </c>
      <c r="V4723">
        <v>0</v>
      </c>
      <c r="W4723">
        <v>60561</v>
      </c>
    </row>
    <row r="4724" spans="1:23" x14ac:dyDescent="0.25">
      <c r="A4724" s="1" t="s">
        <v>40</v>
      </c>
      <c r="B4724" s="1" t="s">
        <v>86</v>
      </c>
      <c r="C4724" s="1" t="s">
        <v>213</v>
      </c>
      <c r="D4724">
        <v>6027</v>
      </c>
      <c r="E4724" s="1"/>
      <c r="F4724" s="1" t="s">
        <v>351</v>
      </c>
      <c r="G4724">
        <v>2013</v>
      </c>
      <c r="H4724">
        <v>523.54999999999995</v>
      </c>
      <c r="I4724">
        <v>12</v>
      </c>
      <c r="J4724" s="1" t="s">
        <v>421</v>
      </c>
      <c r="K4724">
        <v>0</v>
      </c>
      <c r="L4724">
        <v>0</v>
      </c>
      <c r="M4724">
        <v>5235.5</v>
      </c>
      <c r="N4724">
        <v>2</v>
      </c>
      <c r="O4724" s="1" t="s">
        <v>569</v>
      </c>
      <c r="P4724">
        <v>523.54999999999995</v>
      </c>
      <c r="Q4724">
        <v>209.42</v>
      </c>
      <c r="R4724">
        <v>1</v>
      </c>
      <c r="S4724" s="1" t="s">
        <v>1150</v>
      </c>
      <c r="T4724" s="1"/>
      <c r="U4724">
        <v>523.55123000000003</v>
      </c>
      <c r="V4724">
        <v>0</v>
      </c>
      <c r="W4724">
        <v>60563</v>
      </c>
    </row>
    <row r="4725" spans="1:23" x14ac:dyDescent="0.25">
      <c r="A4725" s="1" t="s">
        <v>40</v>
      </c>
      <c r="B4725" s="1" t="s">
        <v>86</v>
      </c>
      <c r="C4725" s="1" t="s">
        <v>213</v>
      </c>
      <c r="D4725">
        <v>6027</v>
      </c>
      <c r="E4725" s="1"/>
      <c r="F4725" s="1" t="s">
        <v>351</v>
      </c>
      <c r="G4725">
        <v>2013</v>
      </c>
      <c r="H4725">
        <v>3115.1</v>
      </c>
      <c r="I4725">
        <v>12</v>
      </c>
      <c r="J4725" s="1" t="s">
        <v>421</v>
      </c>
      <c r="K4725">
        <v>0</v>
      </c>
      <c r="L4725">
        <v>0</v>
      </c>
      <c r="M4725">
        <v>31151</v>
      </c>
      <c r="N4725">
        <v>2</v>
      </c>
      <c r="O4725" s="1" t="s">
        <v>569</v>
      </c>
      <c r="P4725">
        <v>3115.1</v>
      </c>
      <c r="Q4725">
        <v>934.53</v>
      </c>
      <c r="R4725">
        <v>1</v>
      </c>
      <c r="S4725" s="1" t="s">
        <v>1144</v>
      </c>
      <c r="T4725" s="1"/>
      <c r="U4725">
        <v>3115.0844299999999</v>
      </c>
      <c r="V4725">
        <v>0</v>
      </c>
      <c r="W4725">
        <v>71007</v>
      </c>
    </row>
    <row r="4726" spans="1:23" x14ac:dyDescent="0.25">
      <c r="A4726" s="1" t="s">
        <v>40</v>
      </c>
      <c r="B4726" s="1" t="s">
        <v>86</v>
      </c>
      <c r="C4726" s="1" t="s">
        <v>213</v>
      </c>
      <c r="D4726">
        <v>6027</v>
      </c>
      <c r="E4726" s="1"/>
      <c r="F4726" s="1" t="s">
        <v>351</v>
      </c>
      <c r="G4726">
        <v>2013</v>
      </c>
      <c r="H4726">
        <v>6217.41</v>
      </c>
      <c r="I4726">
        <v>10</v>
      </c>
      <c r="J4726" s="1" t="s">
        <v>421</v>
      </c>
      <c r="K4726">
        <v>0</v>
      </c>
      <c r="L4726">
        <v>0</v>
      </c>
      <c r="M4726">
        <v>62174.1</v>
      </c>
      <c r="N4726">
        <v>2</v>
      </c>
      <c r="O4726" s="1" t="s">
        <v>569</v>
      </c>
      <c r="P4726">
        <v>6217.41</v>
      </c>
      <c r="Q4726">
        <v>1865.22</v>
      </c>
      <c r="R4726">
        <v>1</v>
      </c>
      <c r="S4726" s="1" t="s">
        <v>1145</v>
      </c>
      <c r="T4726" s="1"/>
      <c r="U4726">
        <v>6217.4127099999996</v>
      </c>
      <c r="V4726">
        <v>0</v>
      </c>
      <c r="W4726">
        <v>92703</v>
      </c>
    </row>
    <row r="4727" spans="1:23" x14ac:dyDescent="0.25">
      <c r="A4727" s="1" t="s">
        <v>40</v>
      </c>
      <c r="B4727" s="1" t="s">
        <v>86</v>
      </c>
      <c r="C4727" s="1" t="s">
        <v>213</v>
      </c>
      <c r="D4727">
        <v>6027</v>
      </c>
      <c r="E4727" s="1"/>
      <c r="F4727" s="1" t="s">
        <v>351</v>
      </c>
      <c r="G4727">
        <v>2013</v>
      </c>
      <c r="H4727">
        <v>344856.38</v>
      </c>
      <c r="I4727">
        <v>3</v>
      </c>
      <c r="J4727" s="1" t="s">
        <v>421</v>
      </c>
      <c r="K4727">
        <v>0</v>
      </c>
      <c r="L4727">
        <v>0</v>
      </c>
      <c r="M4727">
        <v>3448563.8</v>
      </c>
      <c r="N4727">
        <v>2</v>
      </c>
      <c r="O4727" s="1" t="s">
        <v>569</v>
      </c>
      <c r="P4727">
        <v>344856.38</v>
      </c>
      <c r="Q4727">
        <v>103456.9</v>
      </c>
      <c r="R4727">
        <v>1</v>
      </c>
      <c r="S4727" s="1" t="s">
        <v>1146</v>
      </c>
      <c r="T4727" s="1"/>
      <c r="U4727">
        <v>344856.39556999999</v>
      </c>
      <c r="V4727">
        <v>0</v>
      </c>
      <c r="W4727">
        <v>92732</v>
      </c>
    </row>
    <row r="4728" spans="1:23" x14ac:dyDescent="0.25">
      <c r="A4728" s="1" t="s">
        <v>40</v>
      </c>
      <c r="B4728" s="1" t="s">
        <v>86</v>
      </c>
      <c r="C4728" s="1" t="s">
        <v>213</v>
      </c>
      <c r="D4728">
        <v>6027</v>
      </c>
      <c r="E4728" s="1"/>
      <c r="F4728" s="1" t="s">
        <v>351</v>
      </c>
      <c r="G4728">
        <v>2013</v>
      </c>
      <c r="H4728">
        <v>215993.83</v>
      </c>
      <c r="I4728">
        <v>3</v>
      </c>
      <c r="J4728" s="1" t="s">
        <v>421</v>
      </c>
      <c r="K4728">
        <v>0</v>
      </c>
      <c r="L4728">
        <v>0</v>
      </c>
      <c r="M4728">
        <v>2159938.2999999998</v>
      </c>
      <c r="N4728">
        <v>2</v>
      </c>
      <c r="O4728" s="1" t="s">
        <v>569</v>
      </c>
      <c r="P4728">
        <v>215993.83</v>
      </c>
      <c r="Q4728">
        <v>64798.14</v>
      </c>
      <c r="R4728">
        <v>1</v>
      </c>
      <c r="S4728" s="1" t="s">
        <v>1151</v>
      </c>
      <c r="T4728" s="1"/>
      <c r="U4728">
        <v>215993.81813</v>
      </c>
      <c r="V4728">
        <v>0</v>
      </c>
      <c r="W4728">
        <v>92734</v>
      </c>
    </row>
    <row r="4729" spans="1:23" x14ac:dyDescent="0.25">
      <c r="A4729" s="1" t="s">
        <v>40</v>
      </c>
      <c r="B4729" s="1" t="s">
        <v>86</v>
      </c>
      <c r="C4729" s="1" t="s">
        <v>213</v>
      </c>
      <c r="D4729">
        <v>6027</v>
      </c>
      <c r="E4729" s="1"/>
      <c r="F4729" s="1" t="s">
        <v>351</v>
      </c>
      <c r="G4729">
        <v>2013</v>
      </c>
      <c r="H4729">
        <v>10925.35</v>
      </c>
      <c r="I4729">
        <v>12</v>
      </c>
      <c r="J4729" s="1" t="s">
        <v>421</v>
      </c>
      <c r="K4729">
        <v>0</v>
      </c>
      <c r="L4729">
        <v>0</v>
      </c>
      <c r="M4729">
        <v>109253.5</v>
      </c>
      <c r="N4729">
        <v>2</v>
      </c>
      <c r="O4729" s="1" t="s">
        <v>569</v>
      </c>
      <c r="P4729">
        <v>10925.35</v>
      </c>
      <c r="Q4729">
        <v>4370.1499999999996</v>
      </c>
      <c r="R4729">
        <v>1</v>
      </c>
      <c r="S4729" s="1" t="s">
        <v>1147</v>
      </c>
      <c r="T4729" s="1"/>
      <c r="U4729">
        <v>10925.357690000001</v>
      </c>
      <c r="V4729">
        <v>0</v>
      </c>
      <c r="W4729">
        <v>60557</v>
      </c>
    </row>
    <row r="4730" spans="1:23" x14ac:dyDescent="0.25">
      <c r="A4730" s="1" t="s">
        <v>40</v>
      </c>
      <c r="B4730" s="1" t="s">
        <v>86</v>
      </c>
      <c r="C4730" s="1" t="s">
        <v>213</v>
      </c>
      <c r="D4730">
        <v>6027</v>
      </c>
      <c r="E4730" s="1"/>
      <c r="F4730" s="1" t="s">
        <v>351</v>
      </c>
      <c r="G4730">
        <v>2013</v>
      </c>
      <c r="H4730">
        <v>72430.570000000007</v>
      </c>
      <c r="I4730">
        <v>12</v>
      </c>
      <c r="J4730" s="1" t="s">
        <v>421</v>
      </c>
      <c r="K4730">
        <v>0</v>
      </c>
      <c r="L4730">
        <v>0</v>
      </c>
      <c r="M4730">
        <v>724305.7</v>
      </c>
      <c r="N4730">
        <v>2</v>
      </c>
      <c r="O4730" s="1" t="s">
        <v>569</v>
      </c>
      <c r="P4730">
        <v>72430.570000000007</v>
      </c>
      <c r="Q4730">
        <v>28972.23</v>
      </c>
      <c r="R4730">
        <v>1</v>
      </c>
      <c r="S4730" s="1" t="s">
        <v>1141</v>
      </c>
      <c r="T4730" s="1"/>
      <c r="U4730">
        <v>72430.568299999999</v>
      </c>
      <c r="V4730">
        <v>0</v>
      </c>
      <c r="W4730">
        <v>60559</v>
      </c>
    </row>
    <row r="4731" spans="1:23" x14ac:dyDescent="0.25">
      <c r="A4731" s="1" t="s">
        <v>40</v>
      </c>
      <c r="B4731" s="1" t="s">
        <v>86</v>
      </c>
      <c r="C4731" s="1" t="s">
        <v>213</v>
      </c>
      <c r="D4731">
        <v>6027</v>
      </c>
      <c r="E4731" s="1"/>
      <c r="F4731" s="1" t="s">
        <v>351</v>
      </c>
      <c r="G4731">
        <v>2013</v>
      </c>
      <c r="H4731">
        <v>3062.4</v>
      </c>
      <c r="I4731">
        <v>12</v>
      </c>
      <c r="J4731" s="1" t="s">
        <v>421</v>
      </c>
      <c r="K4731">
        <v>0</v>
      </c>
      <c r="L4731">
        <v>0</v>
      </c>
      <c r="M4731">
        <v>30624</v>
      </c>
      <c r="N4731">
        <v>2</v>
      </c>
      <c r="O4731" s="1" t="s">
        <v>569</v>
      </c>
      <c r="P4731">
        <v>3062.4</v>
      </c>
      <c r="Q4731">
        <v>1224.98</v>
      </c>
      <c r="R4731">
        <v>1</v>
      </c>
      <c r="S4731" s="1" t="s">
        <v>1149</v>
      </c>
      <c r="T4731" s="1"/>
      <c r="U4731">
        <v>3062.4070400000001</v>
      </c>
      <c r="V4731">
        <v>0</v>
      </c>
      <c r="W4731">
        <v>60560</v>
      </c>
    </row>
    <row r="4732" spans="1:23" x14ac:dyDescent="0.25">
      <c r="A4732" s="1" t="s">
        <v>40</v>
      </c>
      <c r="B4732" s="1" t="s">
        <v>86</v>
      </c>
      <c r="C4732" s="1" t="s">
        <v>213</v>
      </c>
      <c r="D4732">
        <v>6027</v>
      </c>
      <c r="E4732" s="1"/>
      <c r="F4732" s="1" t="s">
        <v>351</v>
      </c>
      <c r="G4732">
        <v>2013</v>
      </c>
      <c r="H4732">
        <v>16531.810000000001</v>
      </c>
      <c r="I4732">
        <v>12</v>
      </c>
      <c r="J4732" s="1" t="s">
        <v>421</v>
      </c>
      <c r="K4732">
        <v>0</v>
      </c>
      <c r="L4732">
        <v>0</v>
      </c>
      <c r="M4732">
        <v>165318.1</v>
      </c>
      <c r="N4732">
        <v>2</v>
      </c>
      <c r="O4732" s="1" t="s">
        <v>569</v>
      </c>
      <c r="P4732">
        <v>16531.810000000001</v>
      </c>
      <c r="Q4732">
        <v>6612.73</v>
      </c>
      <c r="R4732">
        <v>1</v>
      </c>
      <c r="S4732" s="1" t="s">
        <v>1143</v>
      </c>
      <c r="T4732" s="1"/>
      <c r="U4732">
        <v>16531.82732</v>
      </c>
      <c r="V4732">
        <v>0</v>
      </c>
      <c r="W4732">
        <v>60562</v>
      </c>
    </row>
    <row r="4733" spans="1:23" x14ac:dyDescent="0.25">
      <c r="A4733" s="1" t="s">
        <v>40</v>
      </c>
      <c r="B4733" s="1" t="s">
        <v>86</v>
      </c>
      <c r="C4733" s="1" t="s">
        <v>213</v>
      </c>
      <c r="D4733">
        <v>6027</v>
      </c>
      <c r="E4733" s="1"/>
      <c r="F4733" s="1" t="s">
        <v>351</v>
      </c>
      <c r="G4733">
        <v>2012</v>
      </c>
      <c r="H4733">
        <v>12455.35</v>
      </c>
      <c r="I4733">
        <v>12</v>
      </c>
      <c r="J4733" s="1" t="s">
        <v>421</v>
      </c>
      <c r="K4733">
        <v>0</v>
      </c>
      <c r="L4733">
        <v>0</v>
      </c>
      <c r="M4733">
        <v>124553.5</v>
      </c>
      <c r="N4733">
        <v>2</v>
      </c>
      <c r="O4733" s="1" t="s">
        <v>569</v>
      </c>
      <c r="P4733">
        <v>12455.35</v>
      </c>
      <c r="Q4733">
        <v>4982.1499999999996</v>
      </c>
      <c r="R4733">
        <v>1</v>
      </c>
      <c r="S4733" s="1" t="s">
        <v>1148</v>
      </c>
      <c r="T4733" s="1"/>
      <c r="U4733">
        <v>12455.34225</v>
      </c>
      <c r="V4733">
        <v>0</v>
      </c>
      <c r="W4733">
        <v>60558</v>
      </c>
    </row>
    <row r="4734" spans="1:23" x14ac:dyDescent="0.25">
      <c r="A4734" s="1" t="s">
        <v>40</v>
      </c>
      <c r="B4734" s="1" t="s">
        <v>86</v>
      </c>
      <c r="C4734" s="1" t="s">
        <v>213</v>
      </c>
      <c r="D4734">
        <v>6027</v>
      </c>
      <c r="E4734" s="1"/>
      <c r="F4734" s="1" t="s">
        <v>351</v>
      </c>
      <c r="G4734">
        <v>2012</v>
      </c>
      <c r="H4734">
        <v>2898.45</v>
      </c>
      <c r="I4734">
        <v>12</v>
      </c>
      <c r="J4734" s="1" t="s">
        <v>421</v>
      </c>
      <c r="K4734">
        <v>0</v>
      </c>
      <c r="L4734">
        <v>0</v>
      </c>
      <c r="M4734">
        <v>28984.5</v>
      </c>
      <c r="N4734">
        <v>2</v>
      </c>
      <c r="O4734" s="1" t="s">
        <v>569</v>
      </c>
      <c r="P4734">
        <v>2898.45</v>
      </c>
      <c r="Q4734">
        <v>1159.4000000000001</v>
      </c>
      <c r="R4734">
        <v>1</v>
      </c>
      <c r="S4734" s="1" t="s">
        <v>1149</v>
      </c>
      <c r="T4734" s="1"/>
      <c r="U4734">
        <v>2898.4483100000002</v>
      </c>
      <c r="V4734">
        <v>0</v>
      </c>
      <c r="W4734">
        <v>60560</v>
      </c>
    </row>
    <row r="4735" spans="1:23" x14ac:dyDescent="0.25">
      <c r="A4735" s="1" t="s">
        <v>40</v>
      </c>
      <c r="B4735" s="1" t="s">
        <v>86</v>
      </c>
      <c r="C4735" s="1" t="s">
        <v>213</v>
      </c>
      <c r="D4735">
        <v>6027</v>
      </c>
      <c r="E4735" s="1"/>
      <c r="F4735" s="1" t="s">
        <v>351</v>
      </c>
      <c r="G4735">
        <v>2012</v>
      </c>
      <c r="H4735">
        <v>4456.7299999999996</v>
      </c>
      <c r="I4735">
        <v>12</v>
      </c>
      <c r="J4735" s="1" t="s">
        <v>421</v>
      </c>
      <c r="K4735">
        <v>0</v>
      </c>
      <c r="L4735">
        <v>0</v>
      </c>
      <c r="M4735">
        <v>44567.3</v>
      </c>
      <c r="N4735">
        <v>2</v>
      </c>
      <c r="O4735" s="1" t="s">
        <v>569</v>
      </c>
      <c r="P4735">
        <v>4456.7299999999996</v>
      </c>
      <c r="Q4735">
        <v>1782.71</v>
      </c>
      <c r="R4735">
        <v>1</v>
      </c>
      <c r="S4735" s="1" t="s">
        <v>1142</v>
      </c>
      <c r="T4735" s="1"/>
      <c r="U4735">
        <v>4456.7388600000004</v>
      </c>
      <c r="V4735">
        <v>0</v>
      </c>
      <c r="W4735">
        <v>60561</v>
      </c>
    </row>
    <row r="4736" spans="1:23" x14ac:dyDescent="0.25">
      <c r="A4736" s="1" t="s">
        <v>40</v>
      </c>
      <c r="B4736" s="1" t="s">
        <v>86</v>
      </c>
      <c r="C4736" s="1" t="s">
        <v>213</v>
      </c>
      <c r="D4736">
        <v>6027</v>
      </c>
      <c r="E4736" s="1"/>
      <c r="F4736" s="1" t="s">
        <v>351</v>
      </c>
      <c r="G4736">
        <v>2012</v>
      </c>
      <c r="H4736">
        <v>303.45999999999998</v>
      </c>
      <c r="I4736">
        <v>12</v>
      </c>
      <c r="J4736" s="1" t="s">
        <v>421</v>
      </c>
      <c r="K4736">
        <v>0</v>
      </c>
      <c r="L4736">
        <v>0</v>
      </c>
      <c r="M4736">
        <v>3034.6</v>
      </c>
      <c r="N4736">
        <v>2</v>
      </c>
      <c r="O4736" s="1" t="s">
        <v>569</v>
      </c>
      <c r="P4736">
        <v>303.45999999999998</v>
      </c>
      <c r="Q4736">
        <v>121.4</v>
      </c>
      <c r="R4736">
        <v>1</v>
      </c>
      <c r="S4736" s="1" t="s">
        <v>1150</v>
      </c>
      <c r="T4736" s="1"/>
      <c r="U4736">
        <v>303.45364999999998</v>
      </c>
      <c r="V4736">
        <v>0</v>
      </c>
      <c r="W4736">
        <v>60563</v>
      </c>
    </row>
    <row r="4737" spans="1:23" x14ac:dyDescent="0.25">
      <c r="A4737" s="1" t="s">
        <v>40</v>
      </c>
      <c r="B4737" s="1" t="s">
        <v>86</v>
      </c>
      <c r="C4737" s="1" t="s">
        <v>213</v>
      </c>
      <c r="D4737">
        <v>6027</v>
      </c>
      <c r="E4737" s="1"/>
      <c r="F4737" s="1" t="s">
        <v>351</v>
      </c>
      <c r="G4737">
        <v>2012</v>
      </c>
      <c r="H4737">
        <v>3733.27</v>
      </c>
      <c r="I4737">
        <v>12</v>
      </c>
      <c r="J4737" s="1" t="s">
        <v>421</v>
      </c>
      <c r="K4737">
        <v>0</v>
      </c>
      <c r="L4737">
        <v>0</v>
      </c>
      <c r="M4737">
        <v>37332.699999999997</v>
      </c>
      <c r="N4737">
        <v>2</v>
      </c>
      <c r="O4737" s="1" t="s">
        <v>569</v>
      </c>
      <c r="P4737">
        <v>3733.27</v>
      </c>
      <c r="Q4737">
        <v>1493.3</v>
      </c>
      <c r="R4737">
        <v>1</v>
      </c>
      <c r="S4737" s="1" t="s">
        <v>1144</v>
      </c>
      <c r="T4737" s="1"/>
      <c r="U4737">
        <v>3733.2665000000002</v>
      </c>
      <c r="V4737">
        <v>0</v>
      </c>
      <c r="W4737">
        <v>71007</v>
      </c>
    </row>
    <row r="4738" spans="1:23" x14ac:dyDescent="0.25">
      <c r="A4738" s="1" t="s">
        <v>40</v>
      </c>
      <c r="B4738" s="1" t="s">
        <v>86</v>
      </c>
      <c r="C4738" s="1" t="s">
        <v>213</v>
      </c>
      <c r="D4738">
        <v>6027</v>
      </c>
      <c r="E4738" s="1"/>
      <c r="F4738" s="1" t="s">
        <v>351</v>
      </c>
      <c r="G4738">
        <v>2012</v>
      </c>
      <c r="H4738">
        <v>55369.11</v>
      </c>
      <c r="I4738">
        <v>4</v>
      </c>
      <c r="J4738" s="1" t="s">
        <v>421</v>
      </c>
      <c r="K4738">
        <v>0</v>
      </c>
      <c r="L4738">
        <v>0</v>
      </c>
      <c r="M4738">
        <v>553691.1</v>
      </c>
      <c r="N4738">
        <v>2</v>
      </c>
      <c r="O4738" s="1" t="s">
        <v>569</v>
      </c>
      <c r="P4738">
        <v>55369.11</v>
      </c>
      <c r="Q4738">
        <v>22147.65</v>
      </c>
      <c r="R4738">
        <v>1</v>
      </c>
      <c r="S4738" s="1" t="s">
        <v>1151</v>
      </c>
      <c r="T4738" s="1"/>
      <c r="U4738">
        <v>55369.11765</v>
      </c>
      <c r="V4738">
        <v>0</v>
      </c>
      <c r="W4738">
        <v>92734</v>
      </c>
    </row>
    <row r="4739" spans="1:23" x14ac:dyDescent="0.25">
      <c r="A4739" s="1" t="s">
        <v>40</v>
      </c>
      <c r="B4739" s="1" t="s">
        <v>86</v>
      </c>
      <c r="C4739" s="1" t="s">
        <v>213</v>
      </c>
      <c r="D4739">
        <v>6027</v>
      </c>
      <c r="E4739" s="1"/>
      <c r="F4739" s="1" t="s">
        <v>351</v>
      </c>
      <c r="G4739">
        <v>2012</v>
      </c>
      <c r="H4739">
        <v>13118.56</v>
      </c>
      <c r="I4739">
        <v>12</v>
      </c>
      <c r="J4739" s="1" t="s">
        <v>421</v>
      </c>
      <c r="K4739">
        <v>0</v>
      </c>
      <c r="L4739">
        <v>0</v>
      </c>
      <c r="M4739">
        <v>131185.60000000001</v>
      </c>
      <c r="N4739">
        <v>2</v>
      </c>
      <c r="O4739" s="1" t="s">
        <v>569</v>
      </c>
      <c r="P4739">
        <v>13118.56</v>
      </c>
      <c r="Q4739">
        <v>5247.42</v>
      </c>
      <c r="R4739">
        <v>1</v>
      </c>
      <c r="S4739" s="1" t="s">
        <v>1147</v>
      </c>
      <c r="T4739" s="1"/>
      <c r="U4739">
        <v>13118.54457</v>
      </c>
      <c r="V4739">
        <v>0</v>
      </c>
      <c r="W4739">
        <v>60557</v>
      </c>
    </row>
    <row r="4740" spans="1:23" x14ac:dyDescent="0.25">
      <c r="A4740" s="1" t="s">
        <v>40</v>
      </c>
      <c r="B4740" s="1" t="s">
        <v>86</v>
      </c>
      <c r="C4740" s="1" t="s">
        <v>213</v>
      </c>
      <c r="D4740">
        <v>6027</v>
      </c>
      <c r="E4740" s="1"/>
      <c r="F4740" s="1" t="s">
        <v>351</v>
      </c>
      <c r="G4740">
        <v>2012</v>
      </c>
      <c r="H4740">
        <v>76600.56</v>
      </c>
      <c r="I4740">
        <v>12</v>
      </c>
      <c r="J4740" s="1" t="s">
        <v>421</v>
      </c>
      <c r="K4740">
        <v>0</v>
      </c>
      <c r="L4740">
        <v>0</v>
      </c>
      <c r="M4740">
        <v>766005.6</v>
      </c>
      <c r="N4740">
        <v>2</v>
      </c>
      <c r="O4740" s="1" t="s">
        <v>569</v>
      </c>
      <c r="P4740">
        <v>76600.56</v>
      </c>
      <c r="Q4740">
        <v>30640.25</v>
      </c>
      <c r="R4740">
        <v>1</v>
      </c>
      <c r="S4740" s="1" t="s">
        <v>1141</v>
      </c>
      <c r="T4740" s="1"/>
      <c r="U4740">
        <v>76600.569539999997</v>
      </c>
      <c r="V4740">
        <v>0</v>
      </c>
      <c r="W4740">
        <v>60559</v>
      </c>
    </row>
    <row r="4741" spans="1:23" x14ac:dyDescent="0.25">
      <c r="A4741" s="1" t="s">
        <v>40</v>
      </c>
      <c r="B4741" s="1" t="s">
        <v>86</v>
      </c>
      <c r="C4741" s="1" t="s">
        <v>213</v>
      </c>
      <c r="D4741">
        <v>6027</v>
      </c>
      <c r="E4741" s="1"/>
      <c r="F4741" s="1" t="s">
        <v>351</v>
      </c>
      <c r="G4741">
        <v>2012</v>
      </c>
      <c r="H4741">
        <v>16625.34</v>
      </c>
      <c r="I4741">
        <v>12</v>
      </c>
      <c r="J4741" s="1" t="s">
        <v>421</v>
      </c>
      <c r="K4741">
        <v>0</v>
      </c>
      <c r="L4741">
        <v>0</v>
      </c>
      <c r="M4741">
        <v>166253.4</v>
      </c>
      <c r="N4741">
        <v>2</v>
      </c>
      <c r="O4741" s="1" t="s">
        <v>569</v>
      </c>
      <c r="P4741">
        <v>16625.34</v>
      </c>
      <c r="Q4741">
        <v>6650.13</v>
      </c>
      <c r="R4741">
        <v>1</v>
      </c>
      <c r="S4741" s="1" t="s">
        <v>1143</v>
      </c>
      <c r="T4741" s="1"/>
      <c r="U4741">
        <v>16625.336899999998</v>
      </c>
      <c r="V4741">
        <v>0</v>
      </c>
      <c r="W4741">
        <v>60562</v>
      </c>
    </row>
    <row r="4742" spans="1:23" x14ac:dyDescent="0.25">
      <c r="A4742" s="1" t="s">
        <v>40</v>
      </c>
      <c r="B4742" s="1" t="s">
        <v>86</v>
      </c>
      <c r="C4742" s="1" t="s">
        <v>213</v>
      </c>
      <c r="D4742">
        <v>6027</v>
      </c>
      <c r="E4742" s="1"/>
      <c r="F4742" s="1" t="s">
        <v>351</v>
      </c>
      <c r="G4742">
        <v>2012</v>
      </c>
      <c r="H4742">
        <v>1194.27</v>
      </c>
      <c r="I4742">
        <v>5</v>
      </c>
      <c r="J4742" s="1" t="s">
        <v>421</v>
      </c>
      <c r="K4742">
        <v>0</v>
      </c>
      <c r="L4742">
        <v>0</v>
      </c>
      <c r="M4742">
        <v>11942.7</v>
      </c>
      <c r="N4742">
        <v>2</v>
      </c>
      <c r="O4742" s="1" t="s">
        <v>569</v>
      </c>
      <c r="P4742">
        <v>1194.27</v>
      </c>
      <c r="Q4742">
        <v>477.71</v>
      </c>
      <c r="R4742">
        <v>1</v>
      </c>
      <c r="S4742" s="1" t="s">
        <v>1145</v>
      </c>
      <c r="T4742" s="1"/>
      <c r="U4742">
        <v>1194.2647099999999</v>
      </c>
      <c r="V4742">
        <v>0</v>
      </c>
      <c r="W4742">
        <v>92703</v>
      </c>
    </row>
    <row r="4743" spans="1:23" x14ac:dyDescent="0.25">
      <c r="A4743" s="1" t="s">
        <v>40</v>
      </c>
      <c r="B4743" s="1" t="s">
        <v>86</v>
      </c>
      <c r="C4743" s="1" t="s">
        <v>213</v>
      </c>
      <c r="D4743">
        <v>6027</v>
      </c>
      <c r="E4743" s="1"/>
      <c r="F4743" s="1" t="s">
        <v>351</v>
      </c>
      <c r="G4743">
        <v>2012</v>
      </c>
      <c r="H4743">
        <v>182614.43</v>
      </c>
      <c r="I4743">
        <v>4</v>
      </c>
      <c r="J4743" s="1" t="s">
        <v>421</v>
      </c>
      <c r="K4743">
        <v>0</v>
      </c>
      <c r="L4743">
        <v>0</v>
      </c>
      <c r="M4743">
        <v>1826144.3</v>
      </c>
      <c r="N4743">
        <v>2</v>
      </c>
      <c r="O4743" s="1" t="s">
        <v>569</v>
      </c>
      <c r="P4743">
        <v>182614.43</v>
      </c>
      <c r="Q4743">
        <v>73045.759999999995</v>
      </c>
      <c r="R4743">
        <v>1</v>
      </c>
      <c r="S4743" s="1" t="s">
        <v>1146</v>
      </c>
      <c r="T4743" s="1"/>
      <c r="U4743">
        <v>182614.41175999999</v>
      </c>
      <c r="V4743">
        <v>0</v>
      </c>
      <c r="W4743">
        <v>92732</v>
      </c>
    </row>
    <row r="4744" spans="1:23" x14ac:dyDescent="0.25">
      <c r="A4744" s="1" t="s">
        <v>40</v>
      </c>
      <c r="B4744" s="1" t="s">
        <v>86</v>
      </c>
      <c r="C4744" s="1" t="s">
        <v>213</v>
      </c>
      <c r="D4744">
        <v>6027</v>
      </c>
      <c r="E4744" s="1"/>
      <c r="F4744" s="1" t="s">
        <v>351</v>
      </c>
      <c r="G4744">
        <v>2011</v>
      </c>
      <c r="H4744">
        <v>10892.88</v>
      </c>
      <c r="I4744">
        <v>12</v>
      </c>
      <c r="J4744" s="1" t="s">
        <v>421</v>
      </c>
      <c r="K4744">
        <v>0</v>
      </c>
      <c r="L4744">
        <v>0</v>
      </c>
      <c r="M4744">
        <v>108928.8</v>
      </c>
      <c r="N4744">
        <v>2</v>
      </c>
      <c r="O4744" s="1" t="s">
        <v>569</v>
      </c>
      <c r="P4744">
        <v>10892.88</v>
      </c>
      <c r="Q4744">
        <v>5108.7700000000004</v>
      </c>
      <c r="R4744">
        <v>1</v>
      </c>
      <c r="S4744" s="1" t="s">
        <v>1147</v>
      </c>
      <c r="T4744" s="1"/>
      <c r="U4744">
        <v>10892.878790000001</v>
      </c>
      <c r="V4744">
        <v>0</v>
      </c>
      <c r="W4744">
        <v>60557</v>
      </c>
    </row>
    <row r="4745" spans="1:23" x14ac:dyDescent="0.25">
      <c r="A4745" s="1" t="s">
        <v>40</v>
      </c>
      <c r="B4745" s="1" t="s">
        <v>86</v>
      </c>
      <c r="C4745" s="1" t="s">
        <v>213</v>
      </c>
      <c r="D4745">
        <v>6027</v>
      </c>
      <c r="E4745" s="1"/>
      <c r="F4745" s="1" t="s">
        <v>351</v>
      </c>
      <c r="G4745">
        <v>2011</v>
      </c>
      <c r="H4745">
        <v>13789.49</v>
      </c>
      <c r="I4745">
        <v>12</v>
      </c>
      <c r="J4745" s="1" t="s">
        <v>421</v>
      </c>
      <c r="K4745">
        <v>0</v>
      </c>
      <c r="L4745">
        <v>0</v>
      </c>
      <c r="M4745">
        <v>137894.9</v>
      </c>
      <c r="N4745">
        <v>2</v>
      </c>
      <c r="O4745" s="1" t="s">
        <v>569</v>
      </c>
      <c r="P4745">
        <v>13789.49</v>
      </c>
      <c r="Q4745">
        <v>6467.28</v>
      </c>
      <c r="R4745">
        <v>1</v>
      </c>
      <c r="S4745" s="1" t="s">
        <v>1148</v>
      </c>
      <c r="T4745" s="1"/>
      <c r="U4745">
        <v>13789.48486</v>
      </c>
      <c r="V4745">
        <v>0</v>
      </c>
      <c r="W4745">
        <v>60558</v>
      </c>
    </row>
    <row r="4746" spans="1:23" x14ac:dyDescent="0.25">
      <c r="A4746" s="1" t="s">
        <v>40</v>
      </c>
      <c r="B4746" s="1" t="s">
        <v>86</v>
      </c>
      <c r="C4746" s="1" t="s">
        <v>213</v>
      </c>
      <c r="D4746">
        <v>6027</v>
      </c>
      <c r="E4746" s="1"/>
      <c r="F4746" s="1" t="s">
        <v>351</v>
      </c>
      <c r="G4746">
        <v>2011</v>
      </c>
      <c r="H4746">
        <v>3477.02</v>
      </c>
      <c r="I4746">
        <v>12</v>
      </c>
      <c r="J4746" s="1" t="s">
        <v>421</v>
      </c>
      <c r="K4746">
        <v>0</v>
      </c>
      <c r="L4746">
        <v>0</v>
      </c>
      <c r="M4746">
        <v>34770.199999999997</v>
      </c>
      <c r="N4746">
        <v>2</v>
      </c>
      <c r="O4746" s="1" t="s">
        <v>569</v>
      </c>
      <c r="P4746">
        <v>3477.02</v>
      </c>
      <c r="Q4746">
        <v>1630.72</v>
      </c>
      <c r="R4746">
        <v>1</v>
      </c>
      <c r="S4746" s="1" t="s">
        <v>1149</v>
      </c>
      <c r="T4746" s="1"/>
      <c r="U4746">
        <v>3477</v>
      </c>
      <c r="V4746">
        <v>0</v>
      </c>
      <c r="W4746">
        <v>60560</v>
      </c>
    </row>
    <row r="4747" spans="1:23" x14ac:dyDescent="0.25">
      <c r="A4747" s="1" t="s">
        <v>40</v>
      </c>
      <c r="B4747" s="1" t="s">
        <v>86</v>
      </c>
      <c r="C4747" s="1" t="s">
        <v>213</v>
      </c>
      <c r="D4747">
        <v>6027</v>
      </c>
      <c r="E4747" s="1"/>
      <c r="F4747" s="1" t="s">
        <v>351</v>
      </c>
      <c r="G4747">
        <v>2011</v>
      </c>
      <c r="H4747">
        <v>474.49</v>
      </c>
      <c r="I4747">
        <v>12</v>
      </c>
      <c r="J4747" s="1" t="s">
        <v>421</v>
      </c>
      <c r="K4747">
        <v>0</v>
      </c>
      <c r="L4747">
        <v>0</v>
      </c>
      <c r="M4747">
        <v>4744.8999999999996</v>
      </c>
      <c r="N4747">
        <v>2</v>
      </c>
      <c r="O4747" s="1" t="s">
        <v>569</v>
      </c>
      <c r="P4747">
        <v>474.49</v>
      </c>
      <c r="Q4747">
        <v>222.54</v>
      </c>
      <c r="R4747">
        <v>1</v>
      </c>
      <c r="S4747" s="1" t="s">
        <v>1150</v>
      </c>
      <c r="T4747" s="1"/>
      <c r="U4747">
        <v>474.48484999999999</v>
      </c>
      <c r="V4747">
        <v>0</v>
      </c>
      <c r="W4747">
        <v>60563</v>
      </c>
    </row>
    <row r="4748" spans="1:23" x14ac:dyDescent="0.25">
      <c r="A4748" s="1" t="s">
        <v>40</v>
      </c>
      <c r="B4748" s="1" t="s">
        <v>86</v>
      </c>
      <c r="C4748" s="1" t="s">
        <v>213</v>
      </c>
      <c r="D4748">
        <v>6027</v>
      </c>
      <c r="E4748" s="1"/>
      <c r="F4748" s="1" t="s">
        <v>351</v>
      </c>
      <c r="G4748">
        <v>2011</v>
      </c>
      <c r="H4748">
        <v>72354.12</v>
      </c>
      <c r="I4748">
        <v>12</v>
      </c>
      <c r="J4748" s="1" t="s">
        <v>421</v>
      </c>
      <c r="K4748">
        <v>0</v>
      </c>
      <c r="L4748">
        <v>0</v>
      </c>
      <c r="M4748">
        <v>723541.2</v>
      </c>
      <c r="N4748">
        <v>2</v>
      </c>
      <c r="O4748" s="1" t="s">
        <v>569</v>
      </c>
      <c r="P4748">
        <v>72354.12</v>
      </c>
      <c r="Q4748">
        <v>33934.07</v>
      </c>
      <c r="R4748">
        <v>1</v>
      </c>
      <c r="S4748" s="1" t="s">
        <v>1141</v>
      </c>
      <c r="T4748" s="1"/>
      <c r="U4748">
        <v>72354.121209999998</v>
      </c>
      <c r="V4748">
        <v>0</v>
      </c>
      <c r="W4748">
        <v>60559</v>
      </c>
    </row>
    <row r="4749" spans="1:23" x14ac:dyDescent="0.25">
      <c r="A4749" s="1" t="s">
        <v>40</v>
      </c>
      <c r="B4749" s="1" t="s">
        <v>86</v>
      </c>
      <c r="C4749" s="1" t="s">
        <v>213</v>
      </c>
      <c r="D4749">
        <v>6027</v>
      </c>
      <c r="E4749" s="1"/>
      <c r="F4749" s="1" t="s">
        <v>351</v>
      </c>
      <c r="G4749">
        <v>2011</v>
      </c>
      <c r="H4749">
        <v>8149.22</v>
      </c>
      <c r="I4749">
        <v>12</v>
      </c>
      <c r="J4749" s="1" t="s">
        <v>421</v>
      </c>
      <c r="K4749">
        <v>0</v>
      </c>
      <c r="L4749">
        <v>0</v>
      </c>
      <c r="M4749">
        <v>81492.2</v>
      </c>
      <c r="N4749">
        <v>2</v>
      </c>
      <c r="O4749" s="1" t="s">
        <v>569</v>
      </c>
      <c r="P4749">
        <v>8149.22</v>
      </c>
      <c r="Q4749">
        <v>3821.97</v>
      </c>
      <c r="R4749">
        <v>1</v>
      </c>
      <c r="S4749" s="1" t="s">
        <v>1142</v>
      </c>
      <c r="T4749" s="1"/>
      <c r="U4749">
        <v>8149.2121200000001</v>
      </c>
      <c r="V4749">
        <v>0</v>
      </c>
      <c r="W4749">
        <v>60561</v>
      </c>
    </row>
    <row r="4750" spans="1:23" x14ac:dyDescent="0.25">
      <c r="A4750" s="1" t="s">
        <v>40</v>
      </c>
      <c r="B4750" s="1" t="s">
        <v>86</v>
      </c>
      <c r="C4750" s="1" t="s">
        <v>213</v>
      </c>
      <c r="D4750">
        <v>6027</v>
      </c>
      <c r="E4750" s="1"/>
      <c r="F4750" s="1" t="s">
        <v>351</v>
      </c>
      <c r="G4750">
        <v>2011</v>
      </c>
      <c r="H4750">
        <v>16673.169999999998</v>
      </c>
      <c r="I4750">
        <v>12</v>
      </c>
      <c r="J4750" s="1" t="s">
        <v>421</v>
      </c>
      <c r="K4750">
        <v>0</v>
      </c>
      <c r="L4750">
        <v>0</v>
      </c>
      <c r="M4750">
        <v>166731.70000000001</v>
      </c>
      <c r="N4750">
        <v>2</v>
      </c>
      <c r="O4750" s="1" t="s">
        <v>569</v>
      </c>
      <c r="P4750">
        <v>16673.169999999998</v>
      </c>
      <c r="Q4750">
        <v>7819.72</v>
      </c>
      <c r="R4750">
        <v>1</v>
      </c>
      <c r="S4750" s="1" t="s">
        <v>1143</v>
      </c>
      <c r="T4750" s="1"/>
      <c r="U4750">
        <v>16673.181830000001</v>
      </c>
      <c r="V4750">
        <v>0</v>
      </c>
      <c r="W4750">
        <v>60562</v>
      </c>
    </row>
    <row r="4751" spans="1:23" x14ac:dyDescent="0.25">
      <c r="A4751" s="1" t="s">
        <v>40</v>
      </c>
      <c r="B4751" s="1" t="s">
        <v>86</v>
      </c>
      <c r="C4751" s="1" t="s">
        <v>213</v>
      </c>
      <c r="D4751">
        <v>6027</v>
      </c>
      <c r="E4751" s="1"/>
      <c r="F4751" s="1" t="s">
        <v>351</v>
      </c>
      <c r="G4751">
        <v>2011</v>
      </c>
      <c r="H4751">
        <v>8599.17</v>
      </c>
      <c r="I4751">
        <v>12</v>
      </c>
      <c r="J4751" s="1" t="s">
        <v>421</v>
      </c>
      <c r="K4751">
        <v>0</v>
      </c>
      <c r="L4751">
        <v>0</v>
      </c>
      <c r="M4751">
        <v>85991.7</v>
      </c>
      <c r="N4751">
        <v>2</v>
      </c>
      <c r="O4751" s="1" t="s">
        <v>569</v>
      </c>
      <c r="P4751">
        <v>8599.17</v>
      </c>
      <c r="Q4751">
        <v>4033.02</v>
      </c>
      <c r="R4751">
        <v>1</v>
      </c>
      <c r="S4751" s="1" t="s">
        <v>1144</v>
      </c>
      <c r="T4751" s="1"/>
      <c r="U4751">
        <v>8599.1818299999995</v>
      </c>
      <c r="V4751">
        <v>0</v>
      </c>
      <c r="W4751">
        <v>71007</v>
      </c>
    </row>
    <row r="4752" spans="1:23" x14ac:dyDescent="0.25">
      <c r="A4752" s="1" t="s">
        <v>40</v>
      </c>
      <c r="B4752" s="1" t="s">
        <v>86</v>
      </c>
      <c r="C4752" s="1" t="s">
        <v>213</v>
      </c>
      <c r="D4752">
        <v>6027</v>
      </c>
      <c r="E4752" s="1"/>
      <c r="F4752" s="1" t="s">
        <v>351</v>
      </c>
      <c r="G4752">
        <v>2010</v>
      </c>
      <c r="H4752">
        <v>13834.17</v>
      </c>
      <c r="I4752">
        <v>12</v>
      </c>
      <c r="J4752" s="1" t="s">
        <v>421</v>
      </c>
      <c r="K4752">
        <v>0</v>
      </c>
      <c r="L4752">
        <v>0</v>
      </c>
      <c r="M4752">
        <v>138341.70000000001</v>
      </c>
      <c r="N4752">
        <v>2</v>
      </c>
      <c r="O4752" s="1" t="s">
        <v>569</v>
      </c>
      <c r="P4752">
        <v>13834.17</v>
      </c>
      <c r="Q4752">
        <v>6488.24</v>
      </c>
      <c r="R4752">
        <v>1</v>
      </c>
      <c r="S4752" s="1" t="s">
        <v>1147</v>
      </c>
      <c r="T4752" s="1"/>
      <c r="U4752">
        <v>13834.16488</v>
      </c>
      <c r="V4752">
        <v>0</v>
      </c>
      <c r="W4752">
        <v>60557</v>
      </c>
    </row>
    <row r="4753" spans="1:23" x14ac:dyDescent="0.25">
      <c r="A4753" s="1" t="s">
        <v>40</v>
      </c>
      <c r="B4753" s="1" t="s">
        <v>86</v>
      </c>
      <c r="C4753" s="1" t="s">
        <v>213</v>
      </c>
      <c r="D4753">
        <v>6027</v>
      </c>
      <c r="E4753" s="1"/>
      <c r="F4753" s="1" t="s">
        <v>351</v>
      </c>
      <c r="G4753">
        <v>2010</v>
      </c>
      <c r="H4753">
        <v>2580.46</v>
      </c>
      <c r="I4753">
        <v>12</v>
      </c>
      <c r="J4753" s="1" t="s">
        <v>421</v>
      </c>
      <c r="K4753">
        <v>0</v>
      </c>
      <c r="L4753">
        <v>0</v>
      </c>
      <c r="M4753">
        <v>25804.6</v>
      </c>
      <c r="N4753">
        <v>2</v>
      </c>
      <c r="O4753" s="1" t="s">
        <v>569</v>
      </c>
      <c r="P4753">
        <v>2580.46</v>
      </c>
      <c r="Q4753">
        <v>1210.22</v>
      </c>
      <c r="R4753">
        <v>1</v>
      </c>
      <c r="S4753" s="1" t="s">
        <v>1149</v>
      </c>
      <c r="T4753" s="1"/>
      <c r="U4753">
        <v>2580.4634599999999</v>
      </c>
      <c r="V4753">
        <v>0</v>
      </c>
      <c r="W4753">
        <v>60560</v>
      </c>
    </row>
    <row r="4754" spans="1:23" x14ac:dyDescent="0.25">
      <c r="A4754" s="1" t="s">
        <v>40</v>
      </c>
      <c r="B4754" s="1" t="s">
        <v>86</v>
      </c>
      <c r="C4754" s="1" t="s">
        <v>213</v>
      </c>
      <c r="D4754">
        <v>6027</v>
      </c>
      <c r="E4754" s="1"/>
      <c r="F4754" s="1" t="s">
        <v>351</v>
      </c>
      <c r="G4754">
        <v>2010</v>
      </c>
      <c r="H4754">
        <v>16755.650000000001</v>
      </c>
      <c r="I4754">
        <v>12</v>
      </c>
      <c r="J4754" s="1" t="s">
        <v>421</v>
      </c>
      <c r="K4754">
        <v>0</v>
      </c>
      <c r="L4754">
        <v>0</v>
      </c>
      <c r="M4754">
        <v>167556.5</v>
      </c>
      <c r="N4754">
        <v>2</v>
      </c>
      <c r="O4754" s="1" t="s">
        <v>569</v>
      </c>
      <c r="P4754">
        <v>16755.650000000001</v>
      </c>
      <c r="Q4754">
        <v>7858.41</v>
      </c>
      <c r="R4754">
        <v>1</v>
      </c>
      <c r="S4754" s="1" t="s">
        <v>1143</v>
      </c>
      <c r="T4754" s="1"/>
      <c r="U4754">
        <v>16755.657759999998</v>
      </c>
      <c r="V4754">
        <v>0</v>
      </c>
      <c r="W4754">
        <v>60562</v>
      </c>
    </row>
    <row r="4755" spans="1:23" x14ac:dyDescent="0.25">
      <c r="A4755" s="1" t="s">
        <v>40</v>
      </c>
      <c r="B4755" s="1" t="s">
        <v>86</v>
      </c>
      <c r="C4755" s="1" t="s">
        <v>213</v>
      </c>
      <c r="D4755">
        <v>6027</v>
      </c>
      <c r="E4755" s="1"/>
      <c r="F4755" s="1" t="s">
        <v>351</v>
      </c>
      <c r="G4755">
        <v>2010</v>
      </c>
      <c r="H4755">
        <v>977.79</v>
      </c>
      <c r="I4755">
        <v>12</v>
      </c>
      <c r="J4755" s="1" t="s">
        <v>421</v>
      </c>
      <c r="K4755">
        <v>0</v>
      </c>
      <c r="L4755">
        <v>0</v>
      </c>
      <c r="M4755">
        <v>9777.9</v>
      </c>
      <c r="N4755">
        <v>2</v>
      </c>
      <c r="O4755" s="1" t="s">
        <v>569</v>
      </c>
      <c r="P4755">
        <v>977.79</v>
      </c>
      <c r="Q4755">
        <v>458.56</v>
      </c>
      <c r="R4755">
        <v>1</v>
      </c>
      <c r="S4755" s="1" t="s">
        <v>1150</v>
      </c>
      <c r="T4755" s="1"/>
      <c r="U4755">
        <v>977.79679999999996</v>
      </c>
      <c r="V4755">
        <v>0</v>
      </c>
      <c r="W4755">
        <v>60563</v>
      </c>
    </row>
    <row r="4756" spans="1:23" x14ac:dyDescent="0.25">
      <c r="A4756" s="1" t="s">
        <v>40</v>
      </c>
      <c r="B4756" s="1" t="s">
        <v>86</v>
      </c>
      <c r="C4756" s="1" t="s">
        <v>213</v>
      </c>
      <c r="D4756">
        <v>6027</v>
      </c>
      <c r="E4756" s="1"/>
      <c r="F4756" s="1" t="s">
        <v>351</v>
      </c>
      <c r="G4756">
        <v>2010</v>
      </c>
      <c r="H4756">
        <v>16443</v>
      </c>
      <c r="I4756">
        <v>12</v>
      </c>
      <c r="J4756" s="1" t="s">
        <v>421</v>
      </c>
      <c r="K4756">
        <v>0</v>
      </c>
      <c r="L4756">
        <v>0</v>
      </c>
      <c r="M4756">
        <v>164430</v>
      </c>
      <c r="N4756">
        <v>2</v>
      </c>
      <c r="O4756" s="1" t="s">
        <v>569</v>
      </c>
      <c r="P4756">
        <v>16443</v>
      </c>
      <c r="Q4756">
        <v>7711.77</v>
      </c>
      <c r="R4756">
        <v>1</v>
      </c>
      <c r="S4756" s="1" t="s">
        <v>1148</v>
      </c>
      <c r="T4756" s="1"/>
      <c r="U4756">
        <v>16442.996439999999</v>
      </c>
      <c r="V4756">
        <v>0</v>
      </c>
      <c r="W4756">
        <v>60558</v>
      </c>
    </row>
    <row r="4757" spans="1:23" x14ac:dyDescent="0.25">
      <c r="A4757" s="1" t="s">
        <v>40</v>
      </c>
      <c r="B4757" s="1" t="s">
        <v>86</v>
      </c>
      <c r="C4757" s="1" t="s">
        <v>213</v>
      </c>
      <c r="D4757">
        <v>6027</v>
      </c>
      <c r="E4757" s="1"/>
      <c r="F4757" s="1" t="s">
        <v>351</v>
      </c>
      <c r="G4757">
        <v>2010</v>
      </c>
      <c r="H4757">
        <v>65108.38</v>
      </c>
      <c r="I4757">
        <v>12</v>
      </c>
      <c r="J4757" s="1" t="s">
        <v>421</v>
      </c>
      <c r="K4757">
        <v>0</v>
      </c>
      <c r="L4757">
        <v>0</v>
      </c>
      <c r="M4757">
        <v>651083.80000000005</v>
      </c>
      <c r="N4757">
        <v>2</v>
      </c>
      <c r="O4757" s="1" t="s">
        <v>569</v>
      </c>
      <c r="P4757">
        <v>65108.38</v>
      </c>
      <c r="Q4757">
        <v>30535.83</v>
      </c>
      <c r="R4757">
        <v>1</v>
      </c>
      <c r="S4757" s="1" t="s">
        <v>1141</v>
      </c>
      <c r="T4757" s="1"/>
      <c r="U4757">
        <v>65108.36808</v>
      </c>
      <c r="V4757">
        <v>0</v>
      </c>
      <c r="W4757">
        <v>60559</v>
      </c>
    </row>
    <row r="4758" spans="1:23" x14ac:dyDescent="0.25">
      <c r="A4758" s="1" t="s">
        <v>40</v>
      </c>
      <c r="B4758" s="1" t="s">
        <v>86</v>
      </c>
      <c r="C4758" s="1" t="s">
        <v>213</v>
      </c>
      <c r="D4758">
        <v>6027</v>
      </c>
      <c r="E4758" s="1"/>
      <c r="F4758" s="1" t="s">
        <v>351</v>
      </c>
      <c r="G4758">
        <v>2010</v>
      </c>
      <c r="H4758">
        <v>8381.65</v>
      </c>
      <c r="I4758">
        <v>12</v>
      </c>
      <c r="J4758" s="1" t="s">
        <v>421</v>
      </c>
      <c r="K4758">
        <v>0</v>
      </c>
      <c r="L4758">
        <v>0</v>
      </c>
      <c r="M4758">
        <v>83816.5</v>
      </c>
      <c r="N4758">
        <v>2</v>
      </c>
      <c r="O4758" s="1" t="s">
        <v>569</v>
      </c>
      <c r="P4758">
        <v>8381.65</v>
      </c>
      <c r="Q4758">
        <v>3930.99</v>
      </c>
      <c r="R4758">
        <v>1</v>
      </c>
      <c r="S4758" s="1" t="s">
        <v>1142</v>
      </c>
      <c r="T4758" s="1"/>
      <c r="U4758">
        <v>8381.6372599999995</v>
      </c>
      <c r="V4758">
        <v>0</v>
      </c>
      <c r="W4758">
        <v>60561</v>
      </c>
    </row>
    <row r="4759" spans="1:23" x14ac:dyDescent="0.25">
      <c r="A4759" s="1" t="s">
        <v>40</v>
      </c>
      <c r="B4759" s="1" t="s">
        <v>86</v>
      </c>
      <c r="C4759" s="1" t="s">
        <v>213</v>
      </c>
      <c r="D4759">
        <v>6027</v>
      </c>
      <c r="E4759" s="1"/>
      <c r="F4759" s="1" t="s">
        <v>351</v>
      </c>
      <c r="G4759">
        <v>2010</v>
      </c>
      <c r="H4759">
        <v>6509.14</v>
      </c>
      <c r="I4759">
        <v>12</v>
      </c>
      <c r="J4759" s="1" t="s">
        <v>421</v>
      </c>
      <c r="K4759">
        <v>0</v>
      </c>
      <c r="L4759">
        <v>0</v>
      </c>
      <c r="M4759">
        <v>65091.4</v>
      </c>
      <c r="N4759">
        <v>2</v>
      </c>
      <c r="O4759" s="1" t="s">
        <v>569</v>
      </c>
      <c r="P4759">
        <v>6509.14</v>
      </c>
      <c r="Q4759">
        <v>3052.79</v>
      </c>
      <c r="R4759">
        <v>1</v>
      </c>
      <c r="S4759" s="1" t="s">
        <v>1144</v>
      </c>
      <c r="T4759" s="1"/>
      <c r="U4759">
        <v>6509.1399199999996</v>
      </c>
      <c r="V4759">
        <v>0</v>
      </c>
      <c r="W4759">
        <v>71007</v>
      </c>
    </row>
    <row r="4760" spans="1:23" x14ac:dyDescent="0.25">
      <c r="A4760" s="1" t="s">
        <v>40</v>
      </c>
      <c r="B4760" s="1" t="s">
        <v>86</v>
      </c>
      <c r="C4760" s="1" t="s">
        <v>213</v>
      </c>
      <c r="D4760">
        <v>6027</v>
      </c>
      <c r="E4760" s="1"/>
      <c r="F4760" s="1" t="s">
        <v>351</v>
      </c>
      <c r="G4760">
        <v>2009</v>
      </c>
      <c r="H4760">
        <v>15875.17</v>
      </c>
      <c r="I4760">
        <v>12</v>
      </c>
      <c r="J4760" s="1" t="s">
        <v>421</v>
      </c>
      <c r="K4760">
        <v>0</v>
      </c>
      <c r="L4760">
        <v>0</v>
      </c>
      <c r="M4760">
        <v>158751.70000000001</v>
      </c>
      <c r="N4760">
        <v>2</v>
      </c>
      <c r="O4760" s="1" t="s">
        <v>569</v>
      </c>
      <c r="P4760">
        <v>15875.17</v>
      </c>
      <c r="Q4760">
        <v>7445.46</v>
      </c>
      <c r="R4760">
        <v>1</v>
      </c>
      <c r="S4760" s="1" t="s">
        <v>1147</v>
      </c>
      <c r="T4760" s="1"/>
      <c r="U4760">
        <v>15875.19119</v>
      </c>
      <c r="V4760">
        <v>0</v>
      </c>
      <c r="W4760">
        <v>60557</v>
      </c>
    </row>
    <row r="4761" spans="1:23" x14ac:dyDescent="0.25">
      <c r="A4761" s="1" t="s">
        <v>40</v>
      </c>
      <c r="B4761" s="1" t="s">
        <v>86</v>
      </c>
      <c r="C4761" s="1" t="s">
        <v>213</v>
      </c>
      <c r="D4761">
        <v>6027</v>
      </c>
      <c r="E4761" s="1"/>
      <c r="F4761" s="1" t="s">
        <v>351</v>
      </c>
      <c r="G4761">
        <v>2009</v>
      </c>
      <c r="H4761">
        <v>69579.679999999993</v>
      </c>
      <c r="I4761">
        <v>12</v>
      </c>
      <c r="J4761" s="1" t="s">
        <v>421</v>
      </c>
      <c r="K4761">
        <v>0</v>
      </c>
      <c r="L4761">
        <v>0</v>
      </c>
      <c r="M4761">
        <v>695796.8</v>
      </c>
      <c r="N4761">
        <v>2</v>
      </c>
      <c r="O4761" s="1" t="s">
        <v>569</v>
      </c>
      <c r="P4761">
        <v>69579.679999999993</v>
      </c>
      <c r="Q4761">
        <v>32632.87</v>
      </c>
      <c r="R4761">
        <v>1</v>
      </c>
      <c r="S4761" s="1" t="s">
        <v>1141</v>
      </c>
      <c r="T4761" s="1"/>
      <c r="U4761">
        <v>69579.678310000003</v>
      </c>
      <c r="V4761">
        <v>0</v>
      </c>
      <c r="W4761">
        <v>60559</v>
      </c>
    </row>
    <row r="4762" spans="1:23" x14ac:dyDescent="0.25">
      <c r="A4762" s="1" t="s">
        <v>40</v>
      </c>
      <c r="B4762" s="1" t="s">
        <v>86</v>
      </c>
      <c r="C4762" s="1" t="s">
        <v>213</v>
      </c>
      <c r="D4762">
        <v>6027</v>
      </c>
      <c r="E4762" s="1"/>
      <c r="F4762" s="1" t="s">
        <v>351</v>
      </c>
      <c r="G4762">
        <v>2009</v>
      </c>
      <c r="H4762">
        <v>3117.53</v>
      </c>
      <c r="I4762">
        <v>12</v>
      </c>
      <c r="J4762" s="1" t="s">
        <v>421</v>
      </c>
      <c r="K4762">
        <v>0</v>
      </c>
      <c r="L4762">
        <v>0</v>
      </c>
      <c r="M4762">
        <v>31175.3</v>
      </c>
      <c r="N4762">
        <v>2</v>
      </c>
      <c r="O4762" s="1" t="s">
        <v>569</v>
      </c>
      <c r="P4762">
        <v>3117.53</v>
      </c>
      <c r="Q4762">
        <v>1462.11</v>
      </c>
      <c r="R4762">
        <v>1</v>
      </c>
      <c r="S4762" s="1" t="s">
        <v>1149</v>
      </c>
      <c r="T4762" s="1"/>
      <c r="U4762">
        <v>3117.5128599999998</v>
      </c>
      <c r="V4762">
        <v>0</v>
      </c>
      <c r="W4762">
        <v>60560</v>
      </c>
    </row>
    <row r="4763" spans="1:23" x14ac:dyDescent="0.25">
      <c r="A4763" s="1" t="s">
        <v>40</v>
      </c>
      <c r="B4763" s="1" t="s">
        <v>86</v>
      </c>
      <c r="C4763" s="1" t="s">
        <v>213</v>
      </c>
      <c r="D4763">
        <v>6027</v>
      </c>
      <c r="E4763" s="1"/>
      <c r="F4763" s="1" t="s">
        <v>351</v>
      </c>
      <c r="G4763">
        <v>2009</v>
      </c>
      <c r="H4763">
        <v>16754.82</v>
      </c>
      <c r="I4763">
        <v>12</v>
      </c>
      <c r="J4763" s="1" t="s">
        <v>421</v>
      </c>
      <c r="K4763">
        <v>0</v>
      </c>
      <c r="L4763">
        <v>0</v>
      </c>
      <c r="M4763">
        <v>167548.20000000001</v>
      </c>
      <c r="N4763">
        <v>2</v>
      </c>
      <c r="O4763" s="1" t="s">
        <v>569</v>
      </c>
      <c r="P4763">
        <v>16754.82</v>
      </c>
      <c r="Q4763">
        <v>7858.01</v>
      </c>
      <c r="R4763">
        <v>1</v>
      </c>
      <c r="S4763" s="1" t="s">
        <v>1143</v>
      </c>
      <c r="T4763" s="1"/>
      <c r="U4763">
        <v>16754.830880000001</v>
      </c>
      <c r="V4763">
        <v>0</v>
      </c>
      <c r="W4763">
        <v>60562</v>
      </c>
    </row>
    <row r="4764" spans="1:23" x14ac:dyDescent="0.25">
      <c r="A4764" s="1" t="s">
        <v>40</v>
      </c>
      <c r="B4764" s="1" t="s">
        <v>86</v>
      </c>
      <c r="C4764" s="1" t="s">
        <v>213</v>
      </c>
      <c r="D4764">
        <v>6027</v>
      </c>
      <c r="E4764" s="1"/>
      <c r="F4764" s="1" t="s">
        <v>351</v>
      </c>
      <c r="G4764">
        <v>2009</v>
      </c>
      <c r="H4764">
        <v>15299.1</v>
      </c>
      <c r="I4764">
        <v>12</v>
      </c>
      <c r="J4764" s="1" t="s">
        <v>421</v>
      </c>
      <c r="K4764">
        <v>0</v>
      </c>
      <c r="L4764">
        <v>0</v>
      </c>
      <c r="M4764">
        <v>152991</v>
      </c>
      <c r="N4764">
        <v>2</v>
      </c>
      <c r="O4764" s="1" t="s">
        <v>569</v>
      </c>
      <c r="P4764">
        <v>15299.1</v>
      </c>
      <c r="Q4764">
        <v>7175.28</v>
      </c>
      <c r="R4764">
        <v>1</v>
      </c>
      <c r="S4764" s="1" t="s">
        <v>1148</v>
      </c>
      <c r="T4764" s="1"/>
      <c r="U4764">
        <v>15299.10109</v>
      </c>
      <c r="V4764">
        <v>0</v>
      </c>
      <c r="W4764">
        <v>60558</v>
      </c>
    </row>
    <row r="4765" spans="1:23" x14ac:dyDescent="0.25">
      <c r="A4765" s="1" t="s">
        <v>40</v>
      </c>
      <c r="B4765" s="1" t="s">
        <v>86</v>
      </c>
      <c r="C4765" s="1" t="s">
        <v>213</v>
      </c>
      <c r="D4765">
        <v>6027</v>
      </c>
      <c r="E4765" s="1"/>
      <c r="F4765" s="1" t="s">
        <v>351</v>
      </c>
      <c r="G4765">
        <v>2009</v>
      </c>
      <c r="H4765">
        <v>8352.5400000000009</v>
      </c>
      <c r="I4765">
        <v>12</v>
      </c>
      <c r="J4765" s="1" t="s">
        <v>421</v>
      </c>
      <c r="K4765">
        <v>0</v>
      </c>
      <c r="L4765">
        <v>0</v>
      </c>
      <c r="M4765">
        <v>83525.399999999994</v>
      </c>
      <c r="N4765">
        <v>2</v>
      </c>
      <c r="O4765" s="1" t="s">
        <v>569</v>
      </c>
      <c r="P4765">
        <v>8352.5400000000009</v>
      </c>
      <c r="Q4765">
        <v>3917.34</v>
      </c>
      <c r="R4765">
        <v>1</v>
      </c>
      <c r="S4765" s="1" t="s">
        <v>1142</v>
      </c>
      <c r="T4765" s="1"/>
      <c r="U4765">
        <v>8352.5294099999992</v>
      </c>
      <c r="V4765">
        <v>0</v>
      </c>
      <c r="W4765">
        <v>60561</v>
      </c>
    </row>
    <row r="4766" spans="1:23" x14ac:dyDescent="0.25">
      <c r="A4766" s="1" t="s">
        <v>40</v>
      </c>
      <c r="B4766" s="1" t="s">
        <v>86</v>
      </c>
      <c r="C4766" s="1" t="s">
        <v>213</v>
      </c>
      <c r="D4766">
        <v>6027</v>
      </c>
      <c r="E4766" s="1"/>
      <c r="F4766" s="1" t="s">
        <v>351</v>
      </c>
      <c r="G4766">
        <v>2009</v>
      </c>
      <c r="H4766">
        <v>499.14</v>
      </c>
      <c r="I4766">
        <v>12</v>
      </c>
      <c r="J4766" s="1" t="s">
        <v>421</v>
      </c>
      <c r="K4766">
        <v>0</v>
      </c>
      <c r="L4766">
        <v>0</v>
      </c>
      <c r="M4766">
        <v>4991.3999999999996</v>
      </c>
      <c r="N4766">
        <v>2</v>
      </c>
      <c r="O4766" s="1" t="s">
        <v>569</v>
      </c>
      <c r="P4766">
        <v>499.14</v>
      </c>
      <c r="Q4766">
        <v>234.08</v>
      </c>
      <c r="R4766">
        <v>1</v>
      </c>
      <c r="S4766" s="1" t="s">
        <v>1150</v>
      </c>
      <c r="T4766" s="1"/>
      <c r="U4766">
        <v>499.13785999999999</v>
      </c>
      <c r="V4766">
        <v>0</v>
      </c>
      <c r="W4766">
        <v>60563</v>
      </c>
    </row>
    <row r="4767" spans="1:23" x14ac:dyDescent="0.25">
      <c r="A4767" s="1" t="s">
        <v>40</v>
      </c>
      <c r="B4767" s="1" t="s">
        <v>86</v>
      </c>
      <c r="C4767" s="1" t="s">
        <v>213</v>
      </c>
      <c r="D4767">
        <v>6027</v>
      </c>
      <c r="E4767" s="1"/>
      <c r="F4767" s="1" t="s">
        <v>351</v>
      </c>
      <c r="G4767">
        <v>2009</v>
      </c>
      <c r="H4767">
        <v>2566.7600000000002</v>
      </c>
      <c r="I4767">
        <v>12</v>
      </c>
      <c r="J4767" s="1" t="s">
        <v>421</v>
      </c>
      <c r="K4767">
        <v>0</v>
      </c>
      <c r="L4767">
        <v>0</v>
      </c>
      <c r="M4767">
        <v>25667.599999999999</v>
      </c>
      <c r="N4767">
        <v>2</v>
      </c>
      <c r="O4767" s="1" t="s">
        <v>569</v>
      </c>
      <c r="P4767">
        <v>2566.7600000000002</v>
      </c>
      <c r="Q4767">
        <v>1203.8</v>
      </c>
      <c r="R4767">
        <v>1</v>
      </c>
      <c r="S4767" s="1" t="s">
        <v>1144</v>
      </c>
      <c r="T4767" s="1"/>
      <c r="U4767">
        <v>2566.7426599999999</v>
      </c>
      <c r="V4767">
        <v>0</v>
      </c>
      <c r="W4767">
        <v>71007</v>
      </c>
    </row>
    <row r="4768" spans="1:23" x14ac:dyDescent="0.25">
      <c r="A4768" s="1" t="s">
        <v>40</v>
      </c>
      <c r="B4768" s="1" t="s">
        <v>86</v>
      </c>
      <c r="C4768" s="1" t="s">
        <v>213</v>
      </c>
      <c r="D4768">
        <v>6027</v>
      </c>
      <c r="E4768" s="1"/>
      <c r="F4768" s="1" t="s">
        <v>351</v>
      </c>
      <c r="G4768">
        <v>2008</v>
      </c>
      <c r="H4768">
        <v>14730.54</v>
      </c>
      <c r="I4768">
        <v>12</v>
      </c>
      <c r="J4768" s="1" t="s">
        <v>421</v>
      </c>
      <c r="K4768">
        <v>0</v>
      </c>
      <c r="L4768">
        <v>0</v>
      </c>
      <c r="M4768">
        <v>147305.4</v>
      </c>
      <c r="N4768">
        <v>2</v>
      </c>
      <c r="O4768" s="1" t="s">
        <v>569</v>
      </c>
      <c r="P4768">
        <v>14730.54</v>
      </c>
      <c r="Q4768">
        <v>6908.63</v>
      </c>
      <c r="R4768">
        <v>1</v>
      </c>
      <c r="S4768" s="1" t="s">
        <v>1147</v>
      </c>
      <c r="T4768" s="1"/>
      <c r="U4768">
        <v>14730.52274</v>
      </c>
      <c r="V4768">
        <v>0</v>
      </c>
      <c r="W4768">
        <v>60557</v>
      </c>
    </row>
    <row r="4769" spans="1:23" x14ac:dyDescent="0.25">
      <c r="A4769" s="1" t="s">
        <v>40</v>
      </c>
      <c r="B4769" s="1" t="s">
        <v>86</v>
      </c>
      <c r="C4769" s="1" t="s">
        <v>213</v>
      </c>
      <c r="D4769">
        <v>6027</v>
      </c>
      <c r="E4769" s="1"/>
      <c r="F4769" s="1" t="s">
        <v>351</v>
      </c>
      <c r="G4769">
        <v>2008</v>
      </c>
      <c r="H4769">
        <v>75484.98</v>
      </c>
      <c r="I4769">
        <v>12</v>
      </c>
      <c r="J4769" s="1" t="s">
        <v>421</v>
      </c>
      <c r="K4769">
        <v>0</v>
      </c>
      <c r="L4769">
        <v>0</v>
      </c>
      <c r="M4769">
        <v>754849.8</v>
      </c>
      <c r="N4769">
        <v>2</v>
      </c>
      <c r="O4769" s="1" t="s">
        <v>569</v>
      </c>
      <c r="P4769">
        <v>75484.98</v>
      </c>
      <c r="Q4769">
        <v>35402.47</v>
      </c>
      <c r="R4769">
        <v>1</v>
      </c>
      <c r="S4769" s="1" t="s">
        <v>1141</v>
      </c>
      <c r="T4769" s="1"/>
      <c r="U4769">
        <v>75484.983909999995</v>
      </c>
      <c r="V4769">
        <v>0</v>
      </c>
      <c r="W4769">
        <v>60559</v>
      </c>
    </row>
    <row r="4770" spans="1:23" x14ac:dyDescent="0.25">
      <c r="A4770" s="1" t="s">
        <v>40</v>
      </c>
      <c r="B4770" s="1" t="s">
        <v>86</v>
      </c>
      <c r="C4770" s="1" t="s">
        <v>213</v>
      </c>
      <c r="D4770">
        <v>6027</v>
      </c>
      <c r="E4770" s="1"/>
      <c r="F4770" s="1" t="s">
        <v>351</v>
      </c>
      <c r="G4770">
        <v>2008</v>
      </c>
      <c r="H4770">
        <v>15644.95</v>
      </c>
      <c r="I4770">
        <v>12</v>
      </c>
      <c r="J4770" s="1" t="s">
        <v>421</v>
      </c>
      <c r="K4770">
        <v>0</v>
      </c>
      <c r="L4770">
        <v>0</v>
      </c>
      <c r="M4770">
        <v>156449.5</v>
      </c>
      <c r="N4770">
        <v>2</v>
      </c>
      <c r="O4770" s="1" t="s">
        <v>569</v>
      </c>
      <c r="P4770">
        <v>15644.95</v>
      </c>
      <c r="Q4770">
        <v>7337.48</v>
      </c>
      <c r="R4770">
        <v>1</v>
      </c>
      <c r="S4770" s="1" t="s">
        <v>1143</v>
      </c>
      <c r="T4770" s="1"/>
      <c r="U4770">
        <v>15644.935589999999</v>
      </c>
      <c r="V4770">
        <v>0</v>
      </c>
      <c r="W4770">
        <v>60562</v>
      </c>
    </row>
    <row r="4771" spans="1:23" x14ac:dyDescent="0.25">
      <c r="A4771" s="1" t="s">
        <v>40</v>
      </c>
      <c r="B4771" s="1" t="s">
        <v>86</v>
      </c>
      <c r="C4771" s="1" t="s">
        <v>213</v>
      </c>
      <c r="D4771">
        <v>6027</v>
      </c>
      <c r="E4771" s="1"/>
      <c r="F4771" s="1" t="s">
        <v>351</v>
      </c>
      <c r="G4771">
        <v>2008</v>
      </c>
      <c r="H4771">
        <v>17824.86</v>
      </c>
      <c r="I4771">
        <v>12</v>
      </c>
      <c r="J4771" s="1" t="s">
        <v>421</v>
      </c>
      <c r="K4771">
        <v>0</v>
      </c>
      <c r="L4771">
        <v>0</v>
      </c>
      <c r="M4771">
        <v>178248.6</v>
      </c>
      <c r="N4771">
        <v>2</v>
      </c>
      <c r="O4771" s="1" t="s">
        <v>569</v>
      </c>
      <c r="P4771">
        <v>17824.86</v>
      </c>
      <c r="Q4771">
        <v>8359.86</v>
      </c>
      <c r="R4771">
        <v>1</v>
      </c>
      <c r="S4771" s="1" t="s">
        <v>1148</v>
      </c>
      <c r="T4771" s="1"/>
      <c r="U4771">
        <v>17824.872159999999</v>
      </c>
      <c r="V4771">
        <v>0</v>
      </c>
      <c r="W4771">
        <v>60558</v>
      </c>
    </row>
    <row r="4772" spans="1:23" x14ac:dyDescent="0.25">
      <c r="A4772" s="1" t="s">
        <v>40</v>
      </c>
      <c r="B4772" s="1" t="s">
        <v>86</v>
      </c>
      <c r="C4772" s="1" t="s">
        <v>213</v>
      </c>
      <c r="D4772">
        <v>6027</v>
      </c>
      <c r="E4772" s="1"/>
      <c r="F4772" s="1" t="s">
        <v>351</v>
      </c>
      <c r="G4772">
        <v>2008</v>
      </c>
      <c r="H4772">
        <v>2803.49</v>
      </c>
      <c r="I4772">
        <v>12</v>
      </c>
      <c r="J4772" s="1" t="s">
        <v>421</v>
      </c>
      <c r="K4772">
        <v>0</v>
      </c>
      <c r="L4772">
        <v>0</v>
      </c>
      <c r="M4772">
        <v>28034.9</v>
      </c>
      <c r="N4772">
        <v>2</v>
      </c>
      <c r="O4772" s="1" t="s">
        <v>569</v>
      </c>
      <c r="P4772">
        <v>2803.49</v>
      </c>
      <c r="Q4772">
        <v>1314.81</v>
      </c>
      <c r="R4772">
        <v>1</v>
      </c>
      <c r="S4772" s="1" t="s">
        <v>1149</v>
      </c>
      <c r="T4772" s="1"/>
      <c r="U4772">
        <v>2803.4782100000002</v>
      </c>
      <c r="V4772">
        <v>0</v>
      </c>
      <c r="W4772">
        <v>60560</v>
      </c>
    </row>
    <row r="4773" spans="1:23" x14ac:dyDescent="0.25">
      <c r="A4773" s="1" t="s">
        <v>40</v>
      </c>
      <c r="B4773" s="1" t="s">
        <v>86</v>
      </c>
      <c r="C4773" s="1" t="s">
        <v>213</v>
      </c>
      <c r="D4773">
        <v>6027</v>
      </c>
      <c r="E4773" s="1"/>
      <c r="F4773" s="1" t="s">
        <v>351</v>
      </c>
      <c r="G4773">
        <v>2008</v>
      </c>
      <c r="H4773">
        <v>13593.9</v>
      </c>
      <c r="I4773">
        <v>12</v>
      </c>
      <c r="J4773" s="1" t="s">
        <v>421</v>
      </c>
      <c r="K4773">
        <v>0</v>
      </c>
      <c r="L4773">
        <v>0</v>
      </c>
      <c r="M4773">
        <v>135939</v>
      </c>
      <c r="N4773">
        <v>2</v>
      </c>
      <c r="O4773" s="1" t="s">
        <v>569</v>
      </c>
      <c r="P4773">
        <v>13593.9</v>
      </c>
      <c r="Q4773">
        <v>6375.53</v>
      </c>
      <c r="R4773">
        <v>1</v>
      </c>
      <c r="S4773" s="1" t="s">
        <v>1142</v>
      </c>
      <c r="T4773" s="1"/>
      <c r="U4773">
        <v>13593.89393</v>
      </c>
      <c r="V4773">
        <v>0</v>
      </c>
      <c r="W4773">
        <v>60561</v>
      </c>
    </row>
    <row r="4774" spans="1:23" x14ac:dyDescent="0.25">
      <c r="A4774" s="1" t="s">
        <v>40</v>
      </c>
      <c r="B4774" s="1" t="s">
        <v>86</v>
      </c>
      <c r="C4774" s="1" t="s">
        <v>213</v>
      </c>
      <c r="D4774">
        <v>6027</v>
      </c>
      <c r="E4774" s="1"/>
      <c r="F4774" s="1" t="s">
        <v>351</v>
      </c>
      <c r="G4774">
        <v>2008</v>
      </c>
      <c r="H4774">
        <v>218.18</v>
      </c>
      <c r="I4774">
        <v>12</v>
      </c>
      <c r="J4774" s="1" t="s">
        <v>421</v>
      </c>
      <c r="K4774">
        <v>0</v>
      </c>
      <c r="L4774">
        <v>0</v>
      </c>
      <c r="M4774">
        <v>2181.8000000000002</v>
      </c>
      <c r="N4774">
        <v>2</v>
      </c>
      <c r="O4774" s="1" t="s">
        <v>569</v>
      </c>
      <c r="P4774">
        <v>218.18</v>
      </c>
      <c r="Q4774">
        <v>102.31</v>
      </c>
      <c r="R4774">
        <v>1</v>
      </c>
      <c r="S4774" s="1" t="s">
        <v>1150</v>
      </c>
      <c r="T4774" s="1"/>
      <c r="U4774">
        <v>218.18655000000001</v>
      </c>
      <c r="V4774">
        <v>0</v>
      </c>
      <c r="W4774">
        <v>60563</v>
      </c>
    </row>
    <row r="4775" spans="1:23" x14ac:dyDescent="0.25">
      <c r="A4775" s="1" t="s">
        <v>40</v>
      </c>
      <c r="B4775" s="1" t="s">
        <v>86</v>
      </c>
      <c r="C4775" s="1" t="s">
        <v>213</v>
      </c>
      <c r="D4775">
        <v>6027</v>
      </c>
      <c r="E4775" s="1"/>
      <c r="F4775" s="1" t="s">
        <v>351</v>
      </c>
      <c r="G4775">
        <v>2008</v>
      </c>
      <c r="H4775">
        <v>10909.37</v>
      </c>
      <c r="I4775">
        <v>12</v>
      </c>
      <c r="J4775" s="1" t="s">
        <v>421</v>
      </c>
      <c r="K4775">
        <v>0</v>
      </c>
      <c r="L4775">
        <v>0</v>
      </c>
      <c r="M4775">
        <v>109093.7</v>
      </c>
      <c r="N4775">
        <v>2</v>
      </c>
      <c r="O4775" s="1" t="s">
        <v>569</v>
      </c>
      <c r="P4775">
        <v>10909.37</v>
      </c>
      <c r="Q4775">
        <v>5116.4799999999996</v>
      </c>
      <c r="R4775">
        <v>1</v>
      </c>
      <c r="S4775" s="1" t="s">
        <v>1144</v>
      </c>
      <c r="T4775" s="1"/>
      <c r="U4775">
        <v>10909.359850000001</v>
      </c>
      <c r="V4775">
        <v>0</v>
      </c>
      <c r="W4775">
        <v>71007</v>
      </c>
    </row>
    <row r="4776" spans="1:23" x14ac:dyDescent="0.25">
      <c r="A4776" s="1" t="s">
        <v>40</v>
      </c>
      <c r="B4776" s="1" t="s">
        <v>86</v>
      </c>
      <c r="C4776" s="1" t="s">
        <v>213</v>
      </c>
      <c r="D4776">
        <v>5468</v>
      </c>
      <c r="E4776" s="1"/>
      <c r="F4776" s="1" t="s">
        <v>213</v>
      </c>
      <c r="G4776">
        <v>2015</v>
      </c>
      <c r="H4776">
        <v>176987.23</v>
      </c>
      <c r="I4776">
        <v>5</v>
      </c>
      <c r="J4776" s="1"/>
      <c r="K4776">
        <v>0</v>
      </c>
      <c r="L4776">
        <v>12237</v>
      </c>
      <c r="M4776">
        <v>14.463167</v>
      </c>
      <c r="N4776">
        <v>2</v>
      </c>
      <c r="O4776" s="1" t="s">
        <v>569</v>
      </c>
      <c r="P4776">
        <v>176987.23</v>
      </c>
      <c r="Q4776">
        <v>70794.899999999994</v>
      </c>
      <c r="R4776">
        <v>1</v>
      </c>
      <c r="S4776" s="1" t="s">
        <v>1152</v>
      </c>
      <c r="T4776" s="1" t="s">
        <v>1351</v>
      </c>
      <c r="U4776">
        <v>176987.23</v>
      </c>
      <c r="V4776">
        <v>0</v>
      </c>
      <c r="W4776">
        <v>57824</v>
      </c>
    </row>
    <row r="4777" spans="1:23" x14ac:dyDescent="0.25">
      <c r="A4777" s="1" t="s">
        <v>40</v>
      </c>
      <c r="B4777" s="1" t="s">
        <v>86</v>
      </c>
      <c r="C4777" s="1" t="s">
        <v>213</v>
      </c>
      <c r="D4777">
        <v>5468</v>
      </c>
      <c r="E4777" s="1"/>
      <c r="F4777" s="1" t="s">
        <v>213</v>
      </c>
      <c r="G4777">
        <v>2015</v>
      </c>
      <c r="H4777">
        <v>0</v>
      </c>
      <c r="I4777">
        <v>5</v>
      </c>
      <c r="J4777" s="1"/>
      <c r="K4777">
        <v>0</v>
      </c>
      <c r="L4777">
        <v>12237</v>
      </c>
      <c r="M4777">
        <v>0</v>
      </c>
      <c r="N4777">
        <v>2</v>
      </c>
      <c r="O4777" s="1" t="s">
        <v>569</v>
      </c>
      <c r="P4777">
        <v>0</v>
      </c>
      <c r="Q4777">
        <v>0</v>
      </c>
      <c r="R4777">
        <v>1</v>
      </c>
      <c r="S4777" s="1" t="s">
        <v>1153</v>
      </c>
      <c r="T4777" s="1" t="s">
        <v>1352</v>
      </c>
      <c r="U4777">
        <v>0</v>
      </c>
      <c r="V4777">
        <v>0</v>
      </c>
      <c r="W4777">
        <v>57820</v>
      </c>
    </row>
    <row r="4778" spans="1:23" x14ac:dyDescent="0.25">
      <c r="A4778" s="1" t="s">
        <v>40</v>
      </c>
      <c r="B4778" s="1" t="s">
        <v>86</v>
      </c>
      <c r="C4778" s="1" t="s">
        <v>213</v>
      </c>
      <c r="D4778">
        <v>5468</v>
      </c>
      <c r="E4778" s="1"/>
      <c r="F4778" s="1" t="s">
        <v>213</v>
      </c>
      <c r="G4778">
        <v>2015</v>
      </c>
      <c r="H4778">
        <v>35.75</v>
      </c>
      <c r="I4778">
        <v>5</v>
      </c>
      <c r="J4778" s="1" t="s">
        <v>421</v>
      </c>
      <c r="K4778">
        <v>0</v>
      </c>
      <c r="L4778">
        <v>12237</v>
      </c>
      <c r="M4778">
        <v>2.921E-3</v>
      </c>
      <c r="N4778">
        <v>2</v>
      </c>
      <c r="O4778" s="1" t="s">
        <v>569</v>
      </c>
      <c r="P4778">
        <v>35.75</v>
      </c>
      <c r="Q4778">
        <v>10.72</v>
      </c>
      <c r="R4778">
        <v>1</v>
      </c>
      <c r="S4778" s="1" t="s">
        <v>1154</v>
      </c>
      <c r="T4778" s="1"/>
      <c r="U4778">
        <v>35.742849999999997</v>
      </c>
      <c r="V4778">
        <v>0</v>
      </c>
      <c r="W4778">
        <v>92978</v>
      </c>
    </row>
    <row r="4779" spans="1:23" x14ac:dyDescent="0.25">
      <c r="A4779" s="1" t="s">
        <v>40</v>
      </c>
      <c r="B4779" s="1" t="s">
        <v>86</v>
      </c>
      <c r="C4779" s="1" t="s">
        <v>213</v>
      </c>
      <c r="D4779">
        <v>5468</v>
      </c>
      <c r="E4779" s="1"/>
      <c r="F4779" s="1" t="s">
        <v>213</v>
      </c>
      <c r="G4779">
        <v>2014</v>
      </c>
      <c r="H4779">
        <v>443081.13</v>
      </c>
      <c r="I4779">
        <v>12</v>
      </c>
      <c r="J4779" s="1"/>
      <c r="K4779">
        <v>0</v>
      </c>
      <c r="L4779">
        <v>12237</v>
      </c>
      <c r="M4779">
        <v>36.208016999999998</v>
      </c>
      <c r="N4779">
        <v>2</v>
      </c>
      <c r="O4779" s="1" t="s">
        <v>569</v>
      </c>
      <c r="P4779">
        <v>443081.13</v>
      </c>
      <c r="Q4779">
        <v>177232.46</v>
      </c>
      <c r="R4779">
        <v>1</v>
      </c>
      <c r="S4779" s="1" t="s">
        <v>1152</v>
      </c>
      <c r="T4779" s="1" t="s">
        <v>1351</v>
      </c>
      <c r="U4779">
        <v>443081.13</v>
      </c>
      <c r="V4779">
        <v>0</v>
      </c>
      <c r="W4779">
        <v>57824</v>
      </c>
    </row>
    <row r="4780" spans="1:23" x14ac:dyDescent="0.25">
      <c r="A4780" s="1" t="s">
        <v>40</v>
      </c>
      <c r="B4780" s="1" t="s">
        <v>86</v>
      </c>
      <c r="C4780" s="1" t="s">
        <v>213</v>
      </c>
      <c r="D4780">
        <v>5468</v>
      </c>
      <c r="E4780" s="1"/>
      <c r="F4780" s="1" t="s">
        <v>213</v>
      </c>
      <c r="G4780">
        <v>2014</v>
      </c>
      <c r="H4780">
        <v>0</v>
      </c>
      <c r="I4780">
        <v>12</v>
      </c>
      <c r="J4780" s="1"/>
      <c r="K4780">
        <v>0</v>
      </c>
      <c r="L4780">
        <v>12237</v>
      </c>
      <c r="M4780">
        <v>0</v>
      </c>
      <c r="N4780">
        <v>2</v>
      </c>
      <c r="O4780" s="1" t="s">
        <v>569</v>
      </c>
      <c r="P4780">
        <v>0</v>
      </c>
      <c r="Q4780">
        <v>0</v>
      </c>
      <c r="R4780">
        <v>1</v>
      </c>
      <c r="S4780" s="1" t="s">
        <v>1153</v>
      </c>
      <c r="T4780" s="1" t="s">
        <v>1352</v>
      </c>
      <c r="U4780">
        <v>0</v>
      </c>
      <c r="V4780">
        <v>0</v>
      </c>
      <c r="W4780">
        <v>57820</v>
      </c>
    </row>
    <row r="4781" spans="1:23" x14ac:dyDescent="0.25">
      <c r="A4781" s="1" t="s">
        <v>40</v>
      </c>
      <c r="B4781" s="1" t="s">
        <v>86</v>
      </c>
      <c r="C4781" s="1" t="s">
        <v>213</v>
      </c>
      <c r="D4781">
        <v>5468</v>
      </c>
      <c r="E4781" s="1"/>
      <c r="F4781" s="1" t="s">
        <v>213</v>
      </c>
      <c r="G4781">
        <v>2014</v>
      </c>
      <c r="H4781">
        <v>422.65</v>
      </c>
      <c r="I4781">
        <v>12</v>
      </c>
      <c r="J4781" s="1" t="s">
        <v>421</v>
      </c>
      <c r="K4781">
        <v>0</v>
      </c>
      <c r="L4781">
        <v>12237</v>
      </c>
      <c r="M4781">
        <v>3.4537999999999999E-2</v>
      </c>
      <c r="N4781">
        <v>2</v>
      </c>
      <c r="O4781" s="1" t="s">
        <v>569</v>
      </c>
      <c r="P4781">
        <v>422.65</v>
      </c>
      <c r="Q4781">
        <v>126.81</v>
      </c>
      <c r="R4781">
        <v>1</v>
      </c>
      <c r="S4781" s="1" t="s">
        <v>1154</v>
      </c>
      <c r="T4781" s="1"/>
      <c r="U4781">
        <v>422.64424000000002</v>
      </c>
      <c r="V4781">
        <v>0</v>
      </c>
      <c r="W4781">
        <v>92978</v>
      </c>
    </row>
    <row r="4782" spans="1:23" x14ac:dyDescent="0.25">
      <c r="A4782" s="1" t="s">
        <v>40</v>
      </c>
      <c r="B4782" s="1" t="s">
        <v>86</v>
      </c>
      <c r="C4782" s="1" t="s">
        <v>213</v>
      </c>
      <c r="D4782">
        <v>5468</v>
      </c>
      <c r="E4782" s="1"/>
      <c r="F4782" s="1" t="s">
        <v>213</v>
      </c>
      <c r="G4782">
        <v>2013</v>
      </c>
      <c r="H4782">
        <v>393599</v>
      </c>
      <c r="I4782">
        <v>12</v>
      </c>
      <c r="J4782" s="1"/>
      <c r="K4782">
        <v>0</v>
      </c>
      <c r="L4782">
        <v>12237</v>
      </c>
      <c r="M4782">
        <v>32.164400999999998</v>
      </c>
      <c r="N4782">
        <v>2</v>
      </c>
      <c r="O4782" s="1" t="s">
        <v>569</v>
      </c>
      <c r="P4782">
        <v>393599</v>
      </c>
      <c r="Q4782">
        <v>157439.59</v>
      </c>
      <c r="R4782">
        <v>1</v>
      </c>
      <c r="S4782" s="1" t="s">
        <v>1152</v>
      </c>
      <c r="T4782" s="1" t="s">
        <v>1351</v>
      </c>
      <c r="U4782">
        <v>393599</v>
      </c>
      <c r="V4782">
        <v>0</v>
      </c>
      <c r="W4782">
        <v>57824</v>
      </c>
    </row>
    <row r="4783" spans="1:23" x14ac:dyDescent="0.25">
      <c r="A4783" s="1" t="s">
        <v>40</v>
      </c>
      <c r="B4783" s="1" t="s">
        <v>86</v>
      </c>
      <c r="C4783" s="1" t="s">
        <v>213</v>
      </c>
      <c r="D4783">
        <v>5468</v>
      </c>
      <c r="E4783" s="1"/>
      <c r="F4783" s="1" t="s">
        <v>213</v>
      </c>
      <c r="G4783">
        <v>2013</v>
      </c>
      <c r="H4783">
        <v>350696.5</v>
      </c>
      <c r="I4783">
        <v>12</v>
      </c>
      <c r="J4783" s="1"/>
      <c r="K4783">
        <v>0</v>
      </c>
      <c r="L4783">
        <v>12237</v>
      </c>
      <c r="M4783">
        <v>28.658463999999999</v>
      </c>
      <c r="N4783">
        <v>2</v>
      </c>
      <c r="O4783" s="1" t="s">
        <v>569</v>
      </c>
      <c r="P4783">
        <v>350696.5</v>
      </c>
      <c r="Q4783">
        <v>140278.6</v>
      </c>
      <c r="R4783">
        <v>1</v>
      </c>
      <c r="S4783" s="1" t="s">
        <v>1153</v>
      </c>
      <c r="T4783" s="1" t="s">
        <v>1352</v>
      </c>
      <c r="U4783">
        <v>350696.5</v>
      </c>
      <c r="V4783">
        <v>0</v>
      </c>
      <c r="W4783">
        <v>57820</v>
      </c>
    </row>
    <row r="4784" spans="1:23" x14ac:dyDescent="0.25">
      <c r="A4784" s="1" t="s">
        <v>40</v>
      </c>
      <c r="B4784" s="1" t="s">
        <v>86</v>
      </c>
      <c r="C4784" s="1" t="s">
        <v>213</v>
      </c>
      <c r="D4784">
        <v>5468</v>
      </c>
      <c r="E4784" s="1"/>
      <c r="F4784" s="1" t="s">
        <v>213</v>
      </c>
      <c r="G4784">
        <v>2013</v>
      </c>
      <c r="H4784">
        <v>209.9</v>
      </c>
      <c r="I4784">
        <v>11</v>
      </c>
      <c r="J4784" s="1" t="s">
        <v>421</v>
      </c>
      <c r="K4784">
        <v>0</v>
      </c>
      <c r="L4784">
        <v>12237</v>
      </c>
      <c r="M4784">
        <v>1.7152000000000001E-2</v>
      </c>
      <c r="N4784">
        <v>2</v>
      </c>
      <c r="O4784" s="1" t="s">
        <v>569</v>
      </c>
      <c r="P4784">
        <v>209.9</v>
      </c>
      <c r="Q4784">
        <v>62.97</v>
      </c>
      <c r="R4784">
        <v>1</v>
      </c>
      <c r="S4784" s="1" t="s">
        <v>1154</v>
      </c>
      <c r="T4784" s="1"/>
      <c r="U4784">
        <v>209.90701999999999</v>
      </c>
      <c r="V4784">
        <v>0</v>
      </c>
      <c r="W4784">
        <v>92978</v>
      </c>
    </row>
    <row r="4785" spans="1:23" x14ac:dyDescent="0.25">
      <c r="A4785" s="1" t="s">
        <v>40</v>
      </c>
      <c r="B4785" s="1" t="s">
        <v>86</v>
      </c>
      <c r="C4785" s="1" t="s">
        <v>213</v>
      </c>
      <c r="D4785">
        <v>5468</v>
      </c>
      <c r="E4785" s="1"/>
      <c r="F4785" s="1" t="s">
        <v>213</v>
      </c>
      <c r="G4785">
        <v>2012</v>
      </c>
      <c r="H4785">
        <v>396174.05</v>
      </c>
      <c r="I4785">
        <v>12</v>
      </c>
      <c r="J4785" s="1"/>
      <c r="K4785">
        <v>0</v>
      </c>
      <c r="L4785">
        <v>12237</v>
      </c>
      <c r="M4785">
        <v>32.374831</v>
      </c>
      <c r="N4785">
        <v>2</v>
      </c>
      <c r="O4785" s="1" t="s">
        <v>569</v>
      </c>
      <c r="P4785">
        <v>396174.05</v>
      </c>
      <c r="Q4785">
        <v>158469.62</v>
      </c>
      <c r="R4785">
        <v>1</v>
      </c>
      <c r="S4785" s="1" t="s">
        <v>1153</v>
      </c>
      <c r="T4785" s="1" t="s">
        <v>1352</v>
      </c>
      <c r="U4785">
        <v>396174.05</v>
      </c>
      <c r="V4785">
        <v>0</v>
      </c>
      <c r="W4785">
        <v>57820</v>
      </c>
    </row>
    <row r="4786" spans="1:23" x14ac:dyDescent="0.25">
      <c r="A4786" s="1" t="s">
        <v>40</v>
      </c>
      <c r="B4786" s="1" t="s">
        <v>86</v>
      </c>
      <c r="C4786" s="1" t="s">
        <v>213</v>
      </c>
      <c r="D4786">
        <v>5468</v>
      </c>
      <c r="E4786" s="1"/>
      <c r="F4786" s="1" t="s">
        <v>213</v>
      </c>
      <c r="G4786">
        <v>2012</v>
      </c>
      <c r="H4786">
        <v>196184.72</v>
      </c>
      <c r="I4786">
        <v>12</v>
      </c>
      <c r="J4786" s="1"/>
      <c r="K4786">
        <v>0</v>
      </c>
      <c r="L4786">
        <v>12237</v>
      </c>
      <c r="M4786">
        <v>16.031960999999999</v>
      </c>
      <c r="N4786">
        <v>2</v>
      </c>
      <c r="O4786" s="1" t="s">
        <v>569</v>
      </c>
      <c r="P4786">
        <v>196184.72</v>
      </c>
      <c r="Q4786">
        <v>78473.899999999994</v>
      </c>
      <c r="R4786">
        <v>1</v>
      </c>
      <c r="S4786" s="1" t="s">
        <v>1152</v>
      </c>
      <c r="T4786" s="1" t="s">
        <v>1351</v>
      </c>
      <c r="U4786">
        <v>196184.71799999999</v>
      </c>
      <c r="V4786">
        <v>0</v>
      </c>
      <c r="W4786">
        <v>57824</v>
      </c>
    </row>
    <row r="4787" spans="1:23" x14ac:dyDescent="0.25">
      <c r="A4787" s="1" t="s">
        <v>40</v>
      </c>
      <c r="B4787" s="1" t="s">
        <v>86</v>
      </c>
      <c r="C4787" s="1" t="s">
        <v>213</v>
      </c>
      <c r="D4787">
        <v>5468</v>
      </c>
      <c r="E4787" s="1"/>
      <c r="F4787" s="1" t="s">
        <v>213</v>
      </c>
      <c r="G4787">
        <v>2012</v>
      </c>
      <c r="H4787">
        <v>27.71</v>
      </c>
      <c r="I4787">
        <v>4</v>
      </c>
      <c r="J4787" s="1" t="s">
        <v>421</v>
      </c>
      <c r="K4787">
        <v>0</v>
      </c>
      <c r="L4787">
        <v>12237</v>
      </c>
      <c r="M4787">
        <v>2.264E-3</v>
      </c>
      <c r="N4787">
        <v>2</v>
      </c>
      <c r="O4787" s="1" t="s">
        <v>569</v>
      </c>
      <c r="P4787">
        <v>27.71</v>
      </c>
      <c r="Q4787">
        <v>11.09</v>
      </c>
      <c r="R4787">
        <v>1</v>
      </c>
      <c r="S4787" s="1" t="s">
        <v>1154</v>
      </c>
      <c r="T4787" s="1"/>
      <c r="U4787">
        <v>27.70589</v>
      </c>
      <c r="V4787">
        <v>0</v>
      </c>
      <c r="W4787">
        <v>92978</v>
      </c>
    </row>
    <row r="4788" spans="1:23" x14ac:dyDescent="0.25">
      <c r="A4788" s="1" t="s">
        <v>40</v>
      </c>
      <c r="B4788" s="1" t="s">
        <v>86</v>
      </c>
      <c r="C4788" s="1" t="s">
        <v>213</v>
      </c>
      <c r="D4788">
        <v>5468</v>
      </c>
      <c r="E4788" s="1"/>
      <c r="F4788" s="1" t="s">
        <v>213</v>
      </c>
      <c r="G4788">
        <v>2011</v>
      </c>
      <c r="H4788">
        <v>192165.4</v>
      </c>
      <c r="I4788">
        <v>12</v>
      </c>
      <c r="J4788" s="1"/>
      <c r="K4788">
        <v>0</v>
      </c>
      <c r="L4788">
        <v>12237</v>
      </c>
      <c r="M4788">
        <v>15.703507999999999</v>
      </c>
      <c r="N4788">
        <v>2</v>
      </c>
      <c r="O4788" s="1" t="s">
        <v>569</v>
      </c>
      <c r="P4788">
        <v>192165.4</v>
      </c>
      <c r="Q4788">
        <v>90125.57</v>
      </c>
      <c r="R4788">
        <v>1</v>
      </c>
      <c r="S4788" s="1" t="s">
        <v>1153</v>
      </c>
      <c r="T4788" s="1" t="s">
        <v>1352</v>
      </c>
      <c r="U4788">
        <v>192165.4</v>
      </c>
      <c r="V4788">
        <v>0</v>
      </c>
      <c r="W4788">
        <v>57820</v>
      </c>
    </row>
    <row r="4789" spans="1:23" x14ac:dyDescent="0.25">
      <c r="A4789" s="1" t="s">
        <v>40</v>
      </c>
      <c r="B4789" s="1" t="s">
        <v>86</v>
      </c>
      <c r="C4789" s="1" t="s">
        <v>213</v>
      </c>
      <c r="D4789">
        <v>5468</v>
      </c>
      <c r="E4789" s="1"/>
      <c r="F4789" s="1" t="s">
        <v>213</v>
      </c>
      <c r="G4789">
        <v>2011</v>
      </c>
      <c r="H4789">
        <v>190385.94</v>
      </c>
      <c r="I4789">
        <v>12</v>
      </c>
      <c r="J4789" s="1"/>
      <c r="K4789">
        <v>0</v>
      </c>
      <c r="L4789">
        <v>12237</v>
      </c>
      <c r="M4789">
        <v>15.558093</v>
      </c>
      <c r="N4789">
        <v>2</v>
      </c>
      <c r="O4789" s="1" t="s">
        <v>569</v>
      </c>
      <c r="P4789">
        <v>190385.94</v>
      </c>
      <c r="Q4789">
        <v>89291.02</v>
      </c>
      <c r="R4789">
        <v>1</v>
      </c>
      <c r="S4789" s="1" t="s">
        <v>1152</v>
      </c>
      <c r="T4789" s="1" t="s">
        <v>1351</v>
      </c>
      <c r="U4789">
        <v>190385.94</v>
      </c>
      <c r="V4789">
        <v>0</v>
      </c>
      <c r="W4789">
        <v>57824</v>
      </c>
    </row>
    <row r="4790" spans="1:23" x14ac:dyDescent="0.25">
      <c r="A4790" s="1" t="s">
        <v>40</v>
      </c>
      <c r="B4790" s="1" t="s">
        <v>86</v>
      </c>
      <c r="C4790" s="1" t="s">
        <v>213</v>
      </c>
      <c r="D4790">
        <v>5468</v>
      </c>
      <c r="E4790" s="1"/>
      <c r="F4790" s="1" t="s">
        <v>213</v>
      </c>
      <c r="G4790">
        <v>2010</v>
      </c>
      <c r="H4790">
        <v>199257.1</v>
      </c>
      <c r="I4790">
        <v>12</v>
      </c>
      <c r="J4790" s="1"/>
      <c r="K4790">
        <v>0</v>
      </c>
      <c r="L4790">
        <v>12237</v>
      </c>
      <c r="M4790">
        <v>16.283031999999999</v>
      </c>
      <c r="N4790">
        <v>2</v>
      </c>
      <c r="O4790" s="1" t="s">
        <v>569</v>
      </c>
      <c r="P4790">
        <v>199257.1</v>
      </c>
      <c r="Q4790">
        <v>93451.58</v>
      </c>
      <c r="R4790">
        <v>1</v>
      </c>
      <c r="S4790" s="1" t="s">
        <v>1153</v>
      </c>
      <c r="T4790" s="1" t="s">
        <v>1352</v>
      </c>
      <c r="U4790">
        <v>199257.1</v>
      </c>
      <c r="V4790">
        <v>0</v>
      </c>
      <c r="W4790">
        <v>57820</v>
      </c>
    </row>
    <row r="4791" spans="1:23" x14ac:dyDescent="0.25">
      <c r="A4791" s="1" t="s">
        <v>40</v>
      </c>
      <c r="B4791" s="1" t="s">
        <v>86</v>
      </c>
      <c r="C4791" s="1" t="s">
        <v>213</v>
      </c>
      <c r="D4791">
        <v>5468</v>
      </c>
      <c r="E4791" s="1"/>
      <c r="F4791" s="1" t="s">
        <v>213</v>
      </c>
      <c r="G4791">
        <v>2010</v>
      </c>
      <c r="H4791">
        <v>187328.23</v>
      </c>
      <c r="I4791">
        <v>12</v>
      </c>
      <c r="J4791" s="1"/>
      <c r="K4791">
        <v>0</v>
      </c>
      <c r="L4791">
        <v>12237</v>
      </c>
      <c r="M4791">
        <v>15.30822</v>
      </c>
      <c r="N4791">
        <v>2</v>
      </c>
      <c r="O4791" s="1" t="s">
        <v>569</v>
      </c>
      <c r="P4791">
        <v>187328.23</v>
      </c>
      <c r="Q4791">
        <v>87856.95</v>
      </c>
      <c r="R4791">
        <v>1</v>
      </c>
      <c r="S4791" s="1" t="s">
        <v>1152</v>
      </c>
      <c r="T4791" s="1" t="s">
        <v>1351</v>
      </c>
      <c r="U4791">
        <v>187328.23</v>
      </c>
      <c r="V4791">
        <v>0</v>
      </c>
      <c r="W4791">
        <v>57824</v>
      </c>
    </row>
    <row r="4792" spans="1:23" x14ac:dyDescent="0.25">
      <c r="A4792" s="1" t="s">
        <v>40</v>
      </c>
      <c r="B4792" s="1" t="s">
        <v>86</v>
      </c>
      <c r="C4792" s="1" t="s">
        <v>213</v>
      </c>
      <c r="D4792">
        <v>5468</v>
      </c>
      <c r="E4792" s="1"/>
      <c r="F4792" s="1" t="s">
        <v>213</v>
      </c>
      <c r="G4792">
        <v>2009</v>
      </c>
      <c r="H4792">
        <v>199762.5</v>
      </c>
      <c r="I4792">
        <v>12</v>
      </c>
      <c r="J4792" s="1"/>
      <c r="K4792">
        <v>0</v>
      </c>
      <c r="L4792">
        <v>12237</v>
      </c>
      <c r="M4792">
        <v>16.324332999999999</v>
      </c>
      <c r="N4792">
        <v>2</v>
      </c>
      <c r="O4792" s="1" t="s">
        <v>569</v>
      </c>
      <c r="P4792">
        <v>199762.5</v>
      </c>
      <c r="Q4792">
        <v>93688.6</v>
      </c>
      <c r="R4792">
        <v>1</v>
      </c>
      <c r="S4792" s="1" t="s">
        <v>1153</v>
      </c>
      <c r="T4792" s="1" t="s">
        <v>1352</v>
      </c>
      <c r="U4792">
        <v>199762.5</v>
      </c>
      <c r="V4792">
        <v>0</v>
      </c>
      <c r="W4792">
        <v>57820</v>
      </c>
    </row>
    <row r="4793" spans="1:23" x14ac:dyDescent="0.25">
      <c r="A4793" s="1" t="s">
        <v>40</v>
      </c>
      <c r="B4793" s="1" t="s">
        <v>86</v>
      </c>
      <c r="C4793" s="1" t="s">
        <v>213</v>
      </c>
      <c r="D4793">
        <v>5468</v>
      </c>
      <c r="E4793" s="1"/>
      <c r="F4793" s="1" t="s">
        <v>213</v>
      </c>
      <c r="G4793">
        <v>2009</v>
      </c>
      <c r="H4793">
        <v>183184.93</v>
      </c>
      <c r="I4793">
        <v>12</v>
      </c>
      <c r="J4793" s="1"/>
      <c r="K4793">
        <v>0</v>
      </c>
      <c r="L4793">
        <v>12237</v>
      </c>
      <c r="M4793">
        <v>14.969635</v>
      </c>
      <c r="N4793">
        <v>2</v>
      </c>
      <c r="O4793" s="1" t="s">
        <v>569</v>
      </c>
      <c r="P4793">
        <v>183184.93</v>
      </c>
      <c r="Q4793">
        <v>85913.73</v>
      </c>
      <c r="R4793">
        <v>1</v>
      </c>
      <c r="S4793" s="1" t="s">
        <v>1152</v>
      </c>
      <c r="T4793" s="1" t="s">
        <v>1351</v>
      </c>
      <c r="U4793">
        <v>183184.93</v>
      </c>
      <c r="V4793">
        <v>0</v>
      </c>
      <c r="W4793">
        <v>57824</v>
      </c>
    </row>
    <row r="4794" spans="1:23" x14ac:dyDescent="0.25">
      <c r="A4794" s="1" t="s">
        <v>40</v>
      </c>
      <c r="B4794" s="1" t="s">
        <v>86</v>
      </c>
      <c r="C4794" s="1" t="s">
        <v>213</v>
      </c>
      <c r="D4794">
        <v>5468</v>
      </c>
      <c r="E4794" s="1"/>
      <c r="F4794" s="1" t="s">
        <v>213</v>
      </c>
      <c r="G4794">
        <v>2008</v>
      </c>
      <c r="H4794">
        <v>129162.33</v>
      </c>
      <c r="I4794">
        <v>12</v>
      </c>
      <c r="J4794" s="1"/>
      <c r="K4794">
        <v>0</v>
      </c>
      <c r="L4794">
        <v>12237</v>
      </c>
      <c r="M4794">
        <v>10.554978</v>
      </c>
      <c r="N4794">
        <v>2</v>
      </c>
      <c r="O4794" s="1" t="s">
        <v>569</v>
      </c>
      <c r="P4794">
        <v>129162.33</v>
      </c>
      <c r="Q4794">
        <v>60577.120000000003</v>
      </c>
      <c r="R4794">
        <v>1</v>
      </c>
      <c r="S4794" s="1" t="s">
        <v>1152</v>
      </c>
      <c r="T4794" s="1" t="s">
        <v>1351</v>
      </c>
      <c r="U4794">
        <v>129162.33</v>
      </c>
      <c r="V4794">
        <v>0</v>
      </c>
      <c r="W4794">
        <v>57824</v>
      </c>
    </row>
    <row r="4795" spans="1:23" x14ac:dyDescent="0.25">
      <c r="A4795" s="1" t="s">
        <v>40</v>
      </c>
      <c r="B4795" s="1" t="s">
        <v>86</v>
      </c>
      <c r="C4795" s="1" t="s">
        <v>213</v>
      </c>
      <c r="D4795">
        <v>5468</v>
      </c>
      <c r="E4795" s="1"/>
      <c r="F4795" s="1" t="s">
        <v>213</v>
      </c>
      <c r="G4795">
        <v>2008</v>
      </c>
      <c r="H4795">
        <v>65904</v>
      </c>
      <c r="I4795">
        <v>5</v>
      </c>
      <c r="J4795" s="1" t="s">
        <v>455</v>
      </c>
      <c r="K4795">
        <v>0</v>
      </c>
      <c r="L4795">
        <v>12237</v>
      </c>
      <c r="M4795">
        <v>5.3855890000000004</v>
      </c>
      <c r="N4795">
        <v>2</v>
      </c>
      <c r="O4795" s="1" t="s">
        <v>569</v>
      </c>
      <c r="P4795">
        <v>65904</v>
      </c>
      <c r="Q4795">
        <v>30908.97</v>
      </c>
      <c r="R4795">
        <v>0</v>
      </c>
      <c r="S4795" s="1" t="s">
        <v>1152</v>
      </c>
      <c r="T4795" s="1"/>
      <c r="U4795">
        <v>65904</v>
      </c>
      <c r="V4795">
        <v>0</v>
      </c>
      <c r="W4795">
        <v>57825</v>
      </c>
    </row>
    <row r="4796" spans="1:23" x14ac:dyDescent="0.25">
      <c r="A4796" s="1" t="s">
        <v>40</v>
      </c>
      <c r="B4796" s="1" t="s">
        <v>86</v>
      </c>
      <c r="C4796" s="1" t="s">
        <v>213</v>
      </c>
      <c r="D4796">
        <v>5468</v>
      </c>
      <c r="E4796" s="1"/>
      <c r="F4796" s="1" t="s">
        <v>213</v>
      </c>
      <c r="G4796">
        <v>2008</v>
      </c>
      <c r="H4796">
        <v>118440.35</v>
      </c>
      <c r="I4796">
        <v>12</v>
      </c>
      <c r="J4796" s="1"/>
      <c r="K4796">
        <v>0</v>
      </c>
      <c r="L4796">
        <v>12237</v>
      </c>
      <c r="M4796">
        <v>9.6787919999999996</v>
      </c>
      <c r="N4796">
        <v>2</v>
      </c>
      <c r="O4796" s="1" t="s">
        <v>569</v>
      </c>
      <c r="P4796">
        <v>118440.35</v>
      </c>
      <c r="Q4796">
        <v>55548.53</v>
      </c>
      <c r="R4796">
        <v>1</v>
      </c>
      <c r="S4796" s="1" t="s">
        <v>1153</v>
      </c>
      <c r="T4796" s="1" t="s">
        <v>1352</v>
      </c>
      <c r="U4796">
        <v>118440.35</v>
      </c>
      <c r="V4796">
        <v>0</v>
      </c>
      <c r="W4796">
        <v>57820</v>
      </c>
    </row>
    <row r="4797" spans="1:23" x14ac:dyDescent="0.25">
      <c r="A4797" s="1" t="s">
        <v>40</v>
      </c>
      <c r="B4797" s="1" t="s">
        <v>86</v>
      </c>
      <c r="C4797" s="1" t="s">
        <v>213</v>
      </c>
      <c r="D4797">
        <v>5468</v>
      </c>
      <c r="E4797" s="1"/>
      <c r="F4797" s="1" t="s">
        <v>213</v>
      </c>
      <c r="G4797">
        <v>2008</v>
      </c>
      <c r="H4797">
        <v>51420</v>
      </c>
      <c r="I4797">
        <v>5</v>
      </c>
      <c r="J4797" s="1" t="s">
        <v>455</v>
      </c>
      <c r="K4797">
        <v>0</v>
      </c>
      <c r="L4797">
        <v>12237</v>
      </c>
      <c r="M4797">
        <v>4.201975</v>
      </c>
      <c r="N4797">
        <v>2</v>
      </c>
      <c r="O4797" s="1" t="s">
        <v>569</v>
      </c>
      <c r="P4797">
        <v>51420</v>
      </c>
      <c r="Q4797">
        <v>24115.98</v>
      </c>
      <c r="R4797">
        <v>0</v>
      </c>
      <c r="S4797" s="1" t="s">
        <v>1155</v>
      </c>
      <c r="T4797" s="1"/>
      <c r="U4797">
        <v>51420</v>
      </c>
      <c r="V4797">
        <v>0</v>
      </c>
      <c r="W4797">
        <v>57823</v>
      </c>
    </row>
    <row r="4798" spans="1:23" x14ac:dyDescent="0.25">
      <c r="A4798" s="1" t="s">
        <v>40</v>
      </c>
      <c r="B4798" s="1" t="s">
        <v>87</v>
      </c>
      <c r="C4798" s="1" t="s">
        <v>214</v>
      </c>
      <c r="D4798">
        <v>5954</v>
      </c>
      <c r="E4798" s="1"/>
      <c r="F4798" s="1" t="s">
        <v>352</v>
      </c>
      <c r="G4798">
        <v>2015</v>
      </c>
      <c r="H4798">
        <v>7829.26</v>
      </c>
      <c r="I4798">
        <v>5</v>
      </c>
      <c r="J4798" s="1" t="s">
        <v>426</v>
      </c>
      <c r="K4798">
        <v>0</v>
      </c>
      <c r="L4798">
        <v>475</v>
      </c>
      <c r="M4798">
        <v>16.479182999999999</v>
      </c>
      <c r="N4798">
        <v>2</v>
      </c>
      <c r="O4798" s="1" t="s">
        <v>569</v>
      </c>
      <c r="P4798">
        <v>7829.26</v>
      </c>
      <c r="Q4798">
        <v>3131.7</v>
      </c>
      <c r="R4798">
        <v>0</v>
      </c>
      <c r="S4798" s="1" t="s">
        <v>1156</v>
      </c>
      <c r="T4798" s="1"/>
      <c r="U4798">
        <v>7829.2518</v>
      </c>
      <c r="V4798">
        <v>0</v>
      </c>
      <c r="W4798">
        <v>59980</v>
      </c>
    </row>
    <row r="4799" spans="1:23" x14ac:dyDescent="0.25">
      <c r="A4799" s="1" t="s">
        <v>40</v>
      </c>
      <c r="B4799" s="1" t="s">
        <v>87</v>
      </c>
      <c r="C4799" s="1" t="s">
        <v>214</v>
      </c>
      <c r="D4799">
        <v>5954</v>
      </c>
      <c r="E4799" s="1"/>
      <c r="F4799" s="1" t="s">
        <v>352</v>
      </c>
      <c r="G4799">
        <v>2014</v>
      </c>
      <c r="H4799">
        <v>17287.990000000002</v>
      </c>
      <c r="I4799">
        <v>12</v>
      </c>
      <c r="J4799" s="1" t="s">
        <v>426</v>
      </c>
      <c r="K4799">
        <v>0</v>
      </c>
      <c r="L4799">
        <v>475</v>
      </c>
      <c r="M4799">
        <v>36.388106999999998</v>
      </c>
      <c r="N4799">
        <v>2</v>
      </c>
      <c r="O4799" s="1" t="s">
        <v>569</v>
      </c>
      <c r="P4799">
        <v>17287.990000000002</v>
      </c>
      <c r="Q4799">
        <v>6915.19</v>
      </c>
      <c r="R4799">
        <v>0</v>
      </c>
      <c r="S4799" s="1" t="s">
        <v>1156</v>
      </c>
      <c r="T4799" s="1"/>
      <c r="U4799">
        <v>17287.991999999998</v>
      </c>
      <c r="V4799">
        <v>0</v>
      </c>
      <c r="W4799">
        <v>59980</v>
      </c>
    </row>
    <row r="4800" spans="1:23" x14ac:dyDescent="0.25">
      <c r="A4800" s="1" t="s">
        <v>40</v>
      </c>
      <c r="B4800" s="1" t="s">
        <v>87</v>
      </c>
      <c r="C4800" s="1" t="s">
        <v>214</v>
      </c>
      <c r="D4800">
        <v>5954</v>
      </c>
      <c r="E4800" s="1"/>
      <c r="F4800" s="1" t="s">
        <v>352</v>
      </c>
      <c r="G4800">
        <v>2013</v>
      </c>
      <c r="H4800">
        <v>19443.61</v>
      </c>
      <c r="I4800">
        <v>12</v>
      </c>
      <c r="J4800" s="1" t="s">
        <v>426</v>
      </c>
      <c r="K4800">
        <v>0</v>
      </c>
      <c r="L4800">
        <v>475</v>
      </c>
      <c r="M4800">
        <v>40.925299000000003</v>
      </c>
      <c r="N4800">
        <v>2</v>
      </c>
      <c r="O4800" s="1" t="s">
        <v>569</v>
      </c>
      <c r="P4800">
        <v>19443.61</v>
      </c>
      <c r="Q4800">
        <v>7777.44</v>
      </c>
      <c r="R4800">
        <v>0</v>
      </c>
      <c r="S4800" s="1" t="s">
        <v>1156</v>
      </c>
      <c r="T4800" s="1"/>
      <c r="U4800">
        <v>19443.599999999999</v>
      </c>
      <c r="V4800">
        <v>0</v>
      </c>
      <c r="W4800">
        <v>59980</v>
      </c>
    </row>
    <row r="4801" spans="1:23" x14ac:dyDescent="0.25">
      <c r="A4801" s="1" t="s">
        <v>40</v>
      </c>
      <c r="B4801" s="1" t="s">
        <v>87</v>
      </c>
      <c r="C4801" s="1" t="s">
        <v>214</v>
      </c>
      <c r="D4801">
        <v>5954</v>
      </c>
      <c r="E4801" s="1"/>
      <c r="F4801" s="1" t="s">
        <v>352</v>
      </c>
      <c r="G4801">
        <v>2012</v>
      </c>
      <c r="H4801">
        <v>20352.98</v>
      </c>
      <c r="I4801">
        <v>12</v>
      </c>
      <c r="J4801" s="1" t="s">
        <v>426</v>
      </c>
      <c r="K4801">
        <v>0</v>
      </c>
      <c r="L4801">
        <v>475</v>
      </c>
      <c r="M4801">
        <v>42.839359999999999</v>
      </c>
      <c r="N4801">
        <v>2</v>
      </c>
      <c r="O4801" s="1" t="s">
        <v>569</v>
      </c>
      <c r="P4801">
        <v>20352.98</v>
      </c>
      <c r="Q4801">
        <v>8141.17</v>
      </c>
      <c r="R4801">
        <v>0</v>
      </c>
      <c r="S4801" s="1" t="s">
        <v>1156</v>
      </c>
      <c r="T4801" s="1"/>
      <c r="U4801">
        <v>20352.969000000001</v>
      </c>
      <c r="V4801">
        <v>0</v>
      </c>
      <c r="W4801">
        <v>59980</v>
      </c>
    </row>
    <row r="4802" spans="1:23" x14ac:dyDescent="0.25">
      <c r="A4802" s="1" t="s">
        <v>40</v>
      </c>
      <c r="B4802" s="1" t="s">
        <v>87</v>
      </c>
      <c r="C4802" s="1" t="s">
        <v>214</v>
      </c>
      <c r="D4802">
        <v>5954</v>
      </c>
      <c r="E4802" s="1"/>
      <c r="F4802" s="1" t="s">
        <v>352</v>
      </c>
      <c r="G4802">
        <v>2011</v>
      </c>
      <c r="H4802">
        <v>22220.61</v>
      </c>
      <c r="I4802">
        <v>12</v>
      </c>
      <c r="J4802" s="1" t="s">
        <v>426</v>
      </c>
      <c r="K4802">
        <v>0</v>
      </c>
      <c r="L4802">
        <v>475</v>
      </c>
      <c r="M4802">
        <v>46.770384999999997</v>
      </c>
      <c r="N4802">
        <v>2</v>
      </c>
      <c r="O4802" s="1" t="s">
        <v>569</v>
      </c>
      <c r="P4802">
        <v>22220.61</v>
      </c>
      <c r="Q4802">
        <v>10421.469999999999</v>
      </c>
      <c r="R4802">
        <v>0</v>
      </c>
      <c r="S4802" s="1" t="s">
        <v>1156</v>
      </c>
      <c r="T4802" s="1"/>
      <c r="U4802">
        <v>22220.609639999999</v>
      </c>
      <c r="V4802">
        <v>0</v>
      </c>
      <c r="W4802">
        <v>59980</v>
      </c>
    </row>
    <row r="4803" spans="1:23" x14ac:dyDescent="0.25">
      <c r="A4803" s="1" t="s">
        <v>40</v>
      </c>
      <c r="B4803" s="1" t="s">
        <v>87</v>
      </c>
      <c r="C4803" s="1" t="s">
        <v>214</v>
      </c>
      <c r="D4803">
        <v>5954</v>
      </c>
      <c r="E4803" s="1"/>
      <c r="F4803" s="1" t="s">
        <v>352</v>
      </c>
      <c r="G4803">
        <v>2010</v>
      </c>
      <c r="H4803">
        <v>21769.21</v>
      </c>
      <c r="I4803">
        <v>11</v>
      </c>
      <c r="J4803" s="1" t="s">
        <v>426</v>
      </c>
      <c r="K4803">
        <v>0</v>
      </c>
      <c r="L4803">
        <v>475</v>
      </c>
      <c r="M4803">
        <v>45.820269000000003</v>
      </c>
      <c r="N4803">
        <v>2</v>
      </c>
      <c r="O4803" s="1" t="s">
        <v>569</v>
      </c>
      <c r="P4803">
        <v>21769.21</v>
      </c>
      <c r="Q4803">
        <v>10209.75</v>
      </c>
      <c r="R4803">
        <v>0</v>
      </c>
      <c r="S4803" s="1" t="s">
        <v>1156</v>
      </c>
      <c r="T4803" s="1"/>
      <c r="U4803">
        <v>21769.212439999999</v>
      </c>
      <c r="V4803">
        <v>0</v>
      </c>
      <c r="W4803">
        <v>59980</v>
      </c>
    </row>
    <row r="4804" spans="1:23" x14ac:dyDescent="0.25">
      <c r="A4804" s="1" t="s">
        <v>40</v>
      </c>
      <c r="B4804" s="1" t="s">
        <v>87</v>
      </c>
      <c r="C4804" s="1" t="s">
        <v>214</v>
      </c>
      <c r="D4804">
        <v>5954</v>
      </c>
      <c r="E4804" s="1"/>
      <c r="F4804" s="1" t="s">
        <v>352</v>
      </c>
      <c r="G4804">
        <v>2009</v>
      </c>
      <c r="H4804">
        <v>22978.68</v>
      </c>
      <c r="I4804">
        <v>11</v>
      </c>
      <c r="J4804" s="1" t="s">
        <v>426</v>
      </c>
      <c r="K4804">
        <v>0</v>
      </c>
      <c r="L4804">
        <v>475</v>
      </c>
      <c r="M4804">
        <v>48.365985999999999</v>
      </c>
      <c r="N4804">
        <v>2</v>
      </c>
      <c r="O4804" s="1" t="s">
        <v>569</v>
      </c>
      <c r="P4804">
        <v>22978.68</v>
      </c>
      <c r="Q4804">
        <v>10777.01</v>
      </c>
      <c r="R4804">
        <v>0</v>
      </c>
      <c r="S4804" s="1" t="s">
        <v>1156</v>
      </c>
      <c r="T4804" s="1"/>
      <c r="U4804">
        <v>22978.677489999998</v>
      </c>
      <c r="V4804">
        <v>0</v>
      </c>
      <c r="W4804">
        <v>59980</v>
      </c>
    </row>
    <row r="4805" spans="1:23" x14ac:dyDescent="0.25">
      <c r="A4805" s="1" t="s">
        <v>40</v>
      </c>
      <c r="B4805" s="1" t="s">
        <v>87</v>
      </c>
      <c r="C4805" s="1" t="s">
        <v>214</v>
      </c>
      <c r="D4805">
        <v>5954</v>
      </c>
      <c r="E4805" s="1"/>
      <c r="F4805" s="1" t="s">
        <v>352</v>
      </c>
      <c r="G4805">
        <v>2008</v>
      </c>
      <c r="H4805">
        <v>20158.45</v>
      </c>
      <c r="I4805">
        <v>12</v>
      </c>
      <c r="J4805" s="1" t="s">
        <v>426</v>
      </c>
      <c r="K4805">
        <v>0</v>
      </c>
      <c r="L4805">
        <v>475</v>
      </c>
      <c r="M4805">
        <v>42.429909000000002</v>
      </c>
      <c r="N4805">
        <v>2</v>
      </c>
      <c r="O4805" s="1" t="s">
        <v>569</v>
      </c>
      <c r="P4805">
        <v>20158.45</v>
      </c>
      <c r="Q4805">
        <v>9454.31</v>
      </c>
      <c r="R4805">
        <v>0</v>
      </c>
      <c r="S4805" s="1" t="s">
        <v>1156</v>
      </c>
      <c r="T4805" s="1"/>
      <c r="U4805">
        <v>20158.464899999999</v>
      </c>
      <c r="V4805">
        <v>0</v>
      </c>
      <c r="W4805">
        <v>59980</v>
      </c>
    </row>
    <row r="4806" spans="1:23" x14ac:dyDescent="0.25">
      <c r="A4806" s="1" t="s">
        <v>40</v>
      </c>
      <c r="B4806" s="1" t="s">
        <v>88</v>
      </c>
      <c r="C4806" s="1" t="s">
        <v>215</v>
      </c>
      <c r="D4806">
        <v>5429</v>
      </c>
      <c r="E4806" s="1"/>
      <c r="F4806" s="1" t="s">
        <v>215</v>
      </c>
      <c r="G4806">
        <v>2015</v>
      </c>
      <c r="H4806">
        <v>12979.53</v>
      </c>
      <c r="I4806">
        <v>5</v>
      </c>
      <c r="J4806" s="1" t="s">
        <v>472</v>
      </c>
      <c r="K4806">
        <v>0</v>
      </c>
      <c r="L4806">
        <v>1747</v>
      </c>
      <c r="M4806">
        <v>7.4291850000000004</v>
      </c>
      <c r="N4806">
        <v>2</v>
      </c>
      <c r="O4806" s="1" t="s">
        <v>569</v>
      </c>
      <c r="P4806">
        <v>12979.53</v>
      </c>
      <c r="Q4806">
        <v>5191.8100000000004</v>
      </c>
      <c r="R4806">
        <v>0</v>
      </c>
      <c r="S4806" s="1" t="s">
        <v>1157</v>
      </c>
      <c r="T4806" s="1" t="s">
        <v>1353</v>
      </c>
      <c r="U4806">
        <v>12979.53</v>
      </c>
      <c r="V4806">
        <v>0</v>
      </c>
      <c r="W4806">
        <v>57408</v>
      </c>
    </row>
    <row r="4807" spans="1:23" x14ac:dyDescent="0.25">
      <c r="A4807" s="1" t="s">
        <v>40</v>
      </c>
      <c r="B4807" s="1" t="s">
        <v>88</v>
      </c>
      <c r="C4807" s="1" t="s">
        <v>215</v>
      </c>
      <c r="D4807">
        <v>5429</v>
      </c>
      <c r="E4807" s="1"/>
      <c r="F4807" s="1" t="s">
        <v>215</v>
      </c>
      <c r="G4807">
        <v>2014</v>
      </c>
      <c r="H4807">
        <v>41464.589999999997</v>
      </c>
      <c r="I4807">
        <v>12</v>
      </c>
      <c r="J4807" s="1" t="s">
        <v>472</v>
      </c>
      <c r="K4807">
        <v>0</v>
      </c>
      <c r="L4807">
        <v>1747</v>
      </c>
      <c r="M4807">
        <v>23.733381000000001</v>
      </c>
      <c r="N4807">
        <v>2</v>
      </c>
      <c r="O4807" s="1" t="s">
        <v>569</v>
      </c>
      <c r="P4807">
        <v>41464.589999999997</v>
      </c>
      <c r="Q4807">
        <v>16585.830000000002</v>
      </c>
      <c r="R4807">
        <v>0</v>
      </c>
      <c r="S4807" s="1" t="s">
        <v>1157</v>
      </c>
      <c r="T4807" s="1" t="s">
        <v>1353</v>
      </c>
      <c r="U4807">
        <v>41464.58</v>
      </c>
      <c r="V4807">
        <v>0</v>
      </c>
      <c r="W4807">
        <v>57408</v>
      </c>
    </row>
    <row r="4808" spans="1:23" x14ac:dyDescent="0.25">
      <c r="A4808" s="1" t="s">
        <v>40</v>
      </c>
      <c r="B4808" s="1" t="s">
        <v>88</v>
      </c>
      <c r="C4808" s="1" t="s">
        <v>215</v>
      </c>
      <c r="D4808">
        <v>5429</v>
      </c>
      <c r="E4808" s="1"/>
      <c r="F4808" s="1" t="s">
        <v>215</v>
      </c>
      <c r="G4808">
        <v>2013</v>
      </c>
      <c r="H4808">
        <v>41870.959999999999</v>
      </c>
      <c r="I4808">
        <v>12</v>
      </c>
      <c r="J4808" s="1" t="s">
        <v>472</v>
      </c>
      <c r="K4808">
        <v>0</v>
      </c>
      <c r="L4808">
        <v>1747</v>
      </c>
      <c r="M4808">
        <v>23.965976999999999</v>
      </c>
      <c r="N4808">
        <v>2</v>
      </c>
      <c r="O4808" s="1" t="s">
        <v>569</v>
      </c>
      <c r="P4808">
        <v>41870.959999999999</v>
      </c>
      <c r="Q4808">
        <v>16748.400000000001</v>
      </c>
      <c r="R4808">
        <v>0</v>
      </c>
      <c r="S4808" s="1" t="s">
        <v>1157</v>
      </c>
      <c r="T4808" s="1" t="s">
        <v>1353</v>
      </c>
      <c r="U4808">
        <v>41870.983</v>
      </c>
      <c r="V4808">
        <v>0</v>
      </c>
      <c r="W4808">
        <v>57408</v>
      </c>
    </row>
    <row r="4809" spans="1:23" x14ac:dyDescent="0.25">
      <c r="A4809" s="1" t="s">
        <v>40</v>
      </c>
      <c r="B4809" s="1" t="s">
        <v>88</v>
      </c>
      <c r="C4809" s="1" t="s">
        <v>215</v>
      </c>
      <c r="D4809">
        <v>5429</v>
      </c>
      <c r="E4809" s="1"/>
      <c r="F4809" s="1" t="s">
        <v>215</v>
      </c>
      <c r="G4809">
        <v>2012</v>
      </c>
      <c r="H4809">
        <v>36637.75</v>
      </c>
      <c r="I4809">
        <v>12</v>
      </c>
      <c r="J4809" s="1" t="s">
        <v>472</v>
      </c>
      <c r="K4809">
        <v>0</v>
      </c>
      <c r="L4809">
        <v>1747</v>
      </c>
      <c r="M4809">
        <v>20.970607999999999</v>
      </c>
      <c r="N4809">
        <v>2</v>
      </c>
      <c r="O4809" s="1" t="s">
        <v>569</v>
      </c>
      <c r="P4809">
        <v>36637.75</v>
      </c>
      <c r="Q4809">
        <v>14655.1</v>
      </c>
      <c r="R4809">
        <v>0</v>
      </c>
      <c r="S4809" s="1" t="s">
        <v>1157</v>
      </c>
      <c r="T4809" s="1" t="s">
        <v>1353</v>
      </c>
      <c r="U4809">
        <v>36637.769999999997</v>
      </c>
      <c r="V4809">
        <v>0</v>
      </c>
      <c r="W4809">
        <v>57408</v>
      </c>
    </row>
    <row r="4810" spans="1:23" x14ac:dyDescent="0.25">
      <c r="A4810" s="1" t="s">
        <v>40</v>
      </c>
      <c r="B4810" s="1" t="s">
        <v>88</v>
      </c>
      <c r="C4810" s="1" t="s">
        <v>215</v>
      </c>
      <c r="D4810">
        <v>5429</v>
      </c>
      <c r="E4810" s="1"/>
      <c r="F4810" s="1" t="s">
        <v>215</v>
      </c>
      <c r="G4810">
        <v>2011</v>
      </c>
      <c r="H4810">
        <v>36968.199999999997</v>
      </c>
      <c r="I4810">
        <v>12</v>
      </c>
      <c r="J4810" s="1" t="s">
        <v>472</v>
      </c>
      <c r="K4810">
        <v>0</v>
      </c>
      <c r="L4810">
        <v>1747</v>
      </c>
      <c r="M4810">
        <v>21.159749999999999</v>
      </c>
      <c r="N4810">
        <v>2</v>
      </c>
      <c r="O4810" s="1" t="s">
        <v>569</v>
      </c>
      <c r="P4810">
        <v>36968.199999999997</v>
      </c>
      <c r="Q4810">
        <v>17338.09</v>
      </c>
      <c r="R4810">
        <v>0</v>
      </c>
      <c r="S4810" s="1" t="s">
        <v>1157</v>
      </c>
      <c r="T4810" s="1" t="s">
        <v>1353</v>
      </c>
      <c r="U4810">
        <v>36968.205999999998</v>
      </c>
      <c r="V4810">
        <v>0</v>
      </c>
      <c r="W4810">
        <v>57408</v>
      </c>
    </row>
    <row r="4811" spans="1:23" x14ac:dyDescent="0.25">
      <c r="A4811" s="1" t="s">
        <v>40</v>
      </c>
      <c r="B4811" s="1" t="s">
        <v>88</v>
      </c>
      <c r="C4811" s="1" t="s">
        <v>215</v>
      </c>
      <c r="D4811">
        <v>5429</v>
      </c>
      <c r="E4811" s="1"/>
      <c r="F4811" s="1" t="s">
        <v>215</v>
      </c>
      <c r="G4811">
        <v>2010</v>
      </c>
      <c r="H4811">
        <v>40114.75</v>
      </c>
      <c r="I4811">
        <v>12</v>
      </c>
      <c r="J4811" s="1" t="s">
        <v>472</v>
      </c>
      <c r="K4811">
        <v>0</v>
      </c>
      <c r="L4811">
        <v>1747</v>
      </c>
      <c r="M4811">
        <v>22.960763</v>
      </c>
      <c r="N4811">
        <v>2</v>
      </c>
      <c r="O4811" s="1" t="s">
        <v>569</v>
      </c>
      <c r="P4811">
        <v>40114.75</v>
      </c>
      <c r="Q4811">
        <v>18813.810000000001</v>
      </c>
      <c r="R4811">
        <v>0</v>
      </c>
      <c r="S4811" s="1" t="s">
        <v>1157</v>
      </c>
      <c r="T4811" s="1" t="s">
        <v>1353</v>
      </c>
      <c r="U4811">
        <v>40114.745999999999</v>
      </c>
      <c r="V4811">
        <v>0</v>
      </c>
      <c r="W4811">
        <v>57408</v>
      </c>
    </row>
    <row r="4812" spans="1:23" x14ac:dyDescent="0.25">
      <c r="A4812" s="1" t="s">
        <v>40</v>
      </c>
      <c r="B4812" s="1" t="s">
        <v>88</v>
      </c>
      <c r="C4812" s="1" t="s">
        <v>215</v>
      </c>
      <c r="D4812">
        <v>5429</v>
      </c>
      <c r="E4812" s="1"/>
      <c r="F4812" s="1" t="s">
        <v>215</v>
      </c>
      <c r="G4812">
        <v>2009</v>
      </c>
      <c r="H4812">
        <v>38960.339999999997</v>
      </c>
      <c r="I4812">
        <v>12</v>
      </c>
      <c r="J4812" s="1" t="s">
        <v>472</v>
      </c>
      <c r="K4812">
        <v>0</v>
      </c>
      <c r="L4812">
        <v>1747</v>
      </c>
      <c r="M4812">
        <v>22.300004999999999</v>
      </c>
      <c r="N4812">
        <v>2</v>
      </c>
      <c r="O4812" s="1" t="s">
        <v>569</v>
      </c>
      <c r="P4812">
        <v>38960.339999999997</v>
      </c>
      <c r="Q4812">
        <v>18272.39</v>
      </c>
      <c r="R4812">
        <v>0</v>
      </c>
      <c r="S4812" s="1" t="s">
        <v>1157</v>
      </c>
      <c r="T4812" s="1" t="s">
        <v>1353</v>
      </c>
      <c r="U4812">
        <v>38960.343000000001</v>
      </c>
      <c r="V4812">
        <v>0</v>
      </c>
      <c r="W4812">
        <v>57408</v>
      </c>
    </row>
    <row r="4813" spans="1:23" x14ac:dyDescent="0.25">
      <c r="A4813" s="1" t="s">
        <v>40</v>
      </c>
      <c r="B4813" s="1" t="s">
        <v>88</v>
      </c>
      <c r="C4813" s="1" t="s">
        <v>215</v>
      </c>
      <c r="D4813">
        <v>5429</v>
      </c>
      <c r="E4813" s="1"/>
      <c r="F4813" s="1" t="s">
        <v>215</v>
      </c>
      <c r="G4813">
        <v>2008</v>
      </c>
      <c r="H4813">
        <v>36758.17</v>
      </c>
      <c r="I4813">
        <v>12</v>
      </c>
      <c r="J4813" s="1" t="s">
        <v>472</v>
      </c>
      <c r="K4813">
        <v>0</v>
      </c>
      <c r="L4813">
        <v>1747</v>
      </c>
      <c r="M4813">
        <v>21.039534</v>
      </c>
      <c r="N4813">
        <v>2</v>
      </c>
      <c r="O4813" s="1" t="s">
        <v>569</v>
      </c>
      <c r="P4813">
        <v>36758.17</v>
      </c>
      <c r="Q4813">
        <v>17239.580000000002</v>
      </c>
      <c r="R4813">
        <v>0</v>
      </c>
      <c r="S4813" s="1" t="s">
        <v>1157</v>
      </c>
      <c r="T4813" s="1" t="s">
        <v>1353</v>
      </c>
      <c r="U4813">
        <v>36758.165000000001</v>
      </c>
      <c r="V4813">
        <v>0</v>
      </c>
      <c r="W4813">
        <v>57408</v>
      </c>
    </row>
    <row r="4814" spans="1:23" x14ac:dyDescent="0.25">
      <c r="A4814" s="1" t="s">
        <v>40</v>
      </c>
      <c r="B4814" s="1" t="s">
        <v>88</v>
      </c>
      <c r="C4814" s="1" t="s">
        <v>215</v>
      </c>
      <c r="D4814">
        <v>5431</v>
      </c>
      <c r="E4814" s="1"/>
      <c r="F4814" s="1" t="s">
        <v>391</v>
      </c>
      <c r="G4814">
        <v>2014</v>
      </c>
      <c r="H4814">
        <v>17341.77</v>
      </c>
      <c r="I4814">
        <v>4</v>
      </c>
      <c r="J4814" s="1" t="s">
        <v>555</v>
      </c>
      <c r="K4814">
        <v>0</v>
      </c>
      <c r="L4814">
        <v>640</v>
      </c>
      <c r="M4814">
        <v>27.092282000000001</v>
      </c>
      <c r="N4814">
        <v>2</v>
      </c>
      <c r="O4814" s="1" t="s">
        <v>569</v>
      </c>
      <c r="P4814">
        <v>17341.77</v>
      </c>
      <c r="Q4814">
        <v>6936.72</v>
      </c>
      <c r="R4814">
        <v>0</v>
      </c>
      <c r="S4814" s="1" t="s">
        <v>1158</v>
      </c>
      <c r="T4814" s="1"/>
      <c r="U4814">
        <v>17341.78314</v>
      </c>
      <c r="V4814">
        <v>0</v>
      </c>
      <c r="W4814">
        <v>57417</v>
      </c>
    </row>
    <row r="4815" spans="1:23" x14ac:dyDescent="0.25">
      <c r="A4815" s="1" t="s">
        <v>40</v>
      </c>
      <c r="B4815" s="1" t="s">
        <v>88</v>
      </c>
      <c r="C4815" s="1" t="s">
        <v>215</v>
      </c>
      <c r="D4815">
        <v>5431</v>
      </c>
      <c r="E4815" s="1"/>
      <c r="F4815" s="1" t="s">
        <v>391</v>
      </c>
      <c r="G4815">
        <v>2013</v>
      </c>
      <c r="H4815">
        <v>25701.05</v>
      </c>
      <c r="I4815">
        <v>8</v>
      </c>
      <c r="J4815" s="1" t="s">
        <v>555</v>
      </c>
      <c r="K4815">
        <v>0</v>
      </c>
      <c r="L4815">
        <v>640</v>
      </c>
      <c r="M4815">
        <v>40.151615999999997</v>
      </c>
      <c r="N4815">
        <v>2</v>
      </c>
      <c r="O4815" s="1" t="s">
        <v>569</v>
      </c>
      <c r="P4815">
        <v>25701.05</v>
      </c>
      <c r="Q4815">
        <v>10280.44</v>
      </c>
      <c r="R4815">
        <v>0</v>
      </c>
      <c r="S4815" s="1" t="s">
        <v>1158</v>
      </c>
      <c r="T4815" s="1"/>
      <c r="U4815">
        <v>25701.063040000001</v>
      </c>
      <c r="V4815">
        <v>0</v>
      </c>
      <c r="W4815">
        <v>57417</v>
      </c>
    </row>
    <row r="4816" spans="1:23" x14ac:dyDescent="0.25">
      <c r="A4816" s="1" t="s">
        <v>40</v>
      </c>
      <c r="B4816" s="1" t="s">
        <v>88</v>
      </c>
      <c r="C4816" s="1" t="s">
        <v>215</v>
      </c>
      <c r="D4816">
        <v>5431</v>
      </c>
      <c r="E4816" s="1"/>
      <c r="F4816" s="1" t="s">
        <v>391</v>
      </c>
      <c r="G4816">
        <v>2012</v>
      </c>
      <c r="H4816">
        <v>22783.279999999999</v>
      </c>
      <c r="I4816">
        <v>9</v>
      </c>
      <c r="J4816" s="1" t="s">
        <v>555</v>
      </c>
      <c r="K4816">
        <v>0</v>
      </c>
      <c r="L4816">
        <v>640</v>
      </c>
      <c r="M4816">
        <v>35.593313000000002</v>
      </c>
      <c r="N4816">
        <v>2</v>
      </c>
      <c r="O4816" s="1" t="s">
        <v>569</v>
      </c>
      <c r="P4816">
        <v>22783.279999999999</v>
      </c>
      <c r="Q4816">
        <v>9113.33</v>
      </c>
      <c r="R4816">
        <v>0</v>
      </c>
      <c r="S4816" s="1" t="s">
        <v>1158</v>
      </c>
      <c r="T4816" s="1"/>
      <c r="U4816">
        <v>22783.282889999999</v>
      </c>
      <c r="V4816">
        <v>0</v>
      </c>
      <c r="W4816">
        <v>57417</v>
      </c>
    </row>
    <row r="4817" spans="1:23" x14ac:dyDescent="0.25">
      <c r="A4817" s="1" t="s">
        <v>40</v>
      </c>
      <c r="B4817" s="1" t="s">
        <v>88</v>
      </c>
      <c r="C4817" s="1" t="s">
        <v>215</v>
      </c>
      <c r="D4817">
        <v>5431</v>
      </c>
      <c r="E4817" s="1"/>
      <c r="F4817" s="1" t="s">
        <v>391</v>
      </c>
      <c r="G4817">
        <v>2011</v>
      </c>
      <c r="H4817">
        <v>20490.990000000002</v>
      </c>
      <c r="I4817">
        <v>12</v>
      </c>
      <c r="J4817" s="1" t="s">
        <v>555</v>
      </c>
      <c r="K4817">
        <v>0</v>
      </c>
      <c r="L4817">
        <v>640</v>
      </c>
      <c r="M4817">
        <v>32.012169</v>
      </c>
      <c r="N4817">
        <v>2</v>
      </c>
      <c r="O4817" s="1" t="s">
        <v>569</v>
      </c>
      <c r="P4817">
        <v>20490.990000000002</v>
      </c>
      <c r="Q4817">
        <v>9610.2900000000009</v>
      </c>
      <c r="R4817">
        <v>0</v>
      </c>
      <c r="S4817" s="1" t="s">
        <v>1158</v>
      </c>
      <c r="T4817" s="1"/>
      <c r="U4817">
        <v>20491</v>
      </c>
      <c r="V4817">
        <v>0</v>
      </c>
      <c r="W4817">
        <v>57417</v>
      </c>
    </row>
    <row r="4818" spans="1:23" x14ac:dyDescent="0.25">
      <c r="A4818" s="1" t="s">
        <v>40</v>
      </c>
      <c r="B4818" s="1" t="s">
        <v>88</v>
      </c>
      <c r="C4818" s="1" t="s">
        <v>215</v>
      </c>
      <c r="D4818">
        <v>5431</v>
      </c>
      <c r="E4818" s="1"/>
      <c r="F4818" s="1" t="s">
        <v>391</v>
      </c>
      <c r="G4818">
        <v>2010</v>
      </c>
      <c r="H4818">
        <v>21909.87</v>
      </c>
      <c r="I4818">
        <v>12</v>
      </c>
      <c r="J4818" s="1" t="s">
        <v>555</v>
      </c>
      <c r="K4818">
        <v>0</v>
      </c>
      <c r="L4818">
        <v>640</v>
      </c>
      <c r="M4818">
        <v>34.228822999999998</v>
      </c>
      <c r="N4818">
        <v>2</v>
      </c>
      <c r="O4818" s="1" t="s">
        <v>569</v>
      </c>
      <c r="P4818">
        <v>21909.87</v>
      </c>
      <c r="Q4818">
        <v>10275.74</v>
      </c>
      <c r="R4818">
        <v>0</v>
      </c>
      <c r="S4818" s="1" t="s">
        <v>1158</v>
      </c>
      <c r="T4818" s="1"/>
      <c r="U4818">
        <v>21909.87097</v>
      </c>
      <c r="V4818">
        <v>0</v>
      </c>
      <c r="W4818">
        <v>57417</v>
      </c>
    </row>
    <row r="4819" spans="1:23" x14ac:dyDescent="0.25">
      <c r="A4819" s="1" t="s">
        <v>40</v>
      </c>
      <c r="B4819" s="1" t="s">
        <v>88</v>
      </c>
      <c r="C4819" s="1" t="s">
        <v>215</v>
      </c>
      <c r="D4819">
        <v>5431</v>
      </c>
      <c r="E4819" s="1"/>
      <c r="F4819" s="1" t="s">
        <v>391</v>
      </c>
      <c r="G4819">
        <v>2009</v>
      </c>
      <c r="H4819">
        <v>20821.099999999999</v>
      </c>
      <c r="I4819">
        <v>10</v>
      </c>
      <c r="J4819" s="1" t="s">
        <v>555</v>
      </c>
      <c r="K4819">
        <v>0</v>
      </c>
      <c r="L4819">
        <v>640</v>
      </c>
      <c r="M4819">
        <v>32.527886000000002</v>
      </c>
      <c r="N4819">
        <v>2</v>
      </c>
      <c r="O4819" s="1" t="s">
        <v>569</v>
      </c>
      <c r="P4819">
        <v>20821.099999999999</v>
      </c>
      <c r="Q4819">
        <v>9765.09</v>
      </c>
      <c r="R4819">
        <v>0</v>
      </c>
      <c r="S4819" s="1" t="s">
        <v>1158</v>
      </c>
      <c r="T4819" s="1"/>
      <c r="U4819">
        <v>20821.098590000001</v>
      </c>
      <c r="V4819">
        <v>0</v>
      </c>
      <c r="W4819">
        <v>57417</v>
      </c>
    </row>
    <row r="4820" spans="1:23" x14ac:dyDescent="0.25">
      <c r="A4820" s="1" t="s">
        <v>40</v>
      </c>
      <c r="B4820" s="1" t="s">
        <v>88</v>
      </c>
      <c r="C4820" s="1" t="s">
        <v>215</v>
      </c>
      <c r="D4820">
        <v>5431</v>
      </c>
      <c r="E4820" s="1"/>
      <c r="F4820" s="1" t="s">
        <v>391</v>
      </c>
      <c r="G4820">
        <v>2008</v>
      </c>
      <c r="H4820">
        <v>19678.98</v>
      </c>
      <c r="I4820">
        <v>10</v>
      </c>
      <c r="J4820" s="1" t="s">
        <v>555</v>
      </c>
      <c r="K4820">
        <v>0</v>
      </c>
      <c r="L4820">
        <v>640</v>
      </c>
      <c r="M4820">
        <v>30.743601999999999</v>
      </c>
      <c r="N4820">
        <v>2</v>
      </c>
      <c r="O4820" s="1" t="s">
        <v>569</v>
      </c>
      <c r="P4820">
        <v>19678.98</v>
      </c>
      <c r="Q4820">
        <v>9229.42</v>
      </c>
      <c r="R4820">
        <v>0</v>
      </c>
      <c r="S4820" s="1" t="s">
        <v>1158</v>
      </c>
      <c r="T4820" s="1"/>
      <c r="U4820">
        <v>19678.970389999999</v>
      </c>
      <c r="V4820">
        <v>0</v>
      </c>
      <c r="W4820">
        <v>57417</v>
      </c>
    </row>
    <row r="4821" spans="1:23" x14ac:dyDescent="0.25">
      <c r="A4821" s="1" t="s">
        <v>40</v>
      </c>
      <c r="B4821" s="1" t="s">
        <v>97</v>
      </c>
      <c r="C4821" s="1" t="s">
        <v>242</v>
      </c>
      <c r="D4821">
        <v>13512</v>
      </c>
      <c r="E4821" s="1" t="s">
        <v>243</v>
      </c>
      <c r="F4821" s="1" t="s">
        <v>392</v>
      </c>
      <c r="G4821">
        <v>2014</v>
      </c>
      <c r="H4821">
        <v>2256.81</v>
      </c>
      <c r="I4821">
        <v>4</v>
      </c>
      <c r="J4821" s="1" t="s">
        <v>556</v>
      </c>
      <c r="K4821">
        <v>0</v>
      </c>
      <c r="L4821">
        <v>1</v>
      </c>
      <c r="M4821">
        <v>2051.645454</v>
      </c>
      <c r="N4821">
        <v>2</v>
      </c>
      <c r="O4821" s="1" t="s">
        <v>569</v>
      </c>
      <c r="P4821">
        <v>2256.81</v>
      </c>
      <c r="Q4821">
        <v>677.06</v>
      </c>
      <c r="R4821">
        <v>0</v>
      </c>
      <c r="S4821" s="1" t="s">
        <v>1159</v>
      </c>
      <c r="T4821" s="1" t="s">
        <v>1354</v>
      </c>
      <c r="U4821">
        <v>2256.8041400000002</v>
      </c>
      <c r="V4821">
        <v>0</v>
      </c>
      <c r="W4821">
        <v>90398</v>
      </c>
    </row>
    <row r="4822" spans="1:23" x14ac:dyDescent="0.25">
      <c r="A4822" s="1" t="s">
        <v>40</v>
      </c>
      <c r="B4822" s="1" t="s">
        <v>97</v>
      </c>
      <c r="C4822" s="1" t="s">
        <v>242</v>
      </c>
      <c r="D4822">
        <v>13512</v>
      </c>
      <c r="E4822" s="1" t="s">
        <v>243</v>
      </c>
      <c r="F4822" s="1" t="s">
        <v>392</v>
      </c>
      <c r="G4822">
        <v>2013</v>
      </c>
      <c r="H4822">
        <v>2515.34</v>
      </c>
      <c r="I4822">
        <v>5</v>
      </c>
      <c r="J4822" s="1" t="s">
        <v>556</v>
      </c>
      <c r="K4822">
        <v>0</v>
      </c>
      <c r="L4822">
        <v>1</v>
      </c>
      <c r="M4822">
        <v>2286.6727270000001</v>
      </c>
      <c r="N4822">
        <v>2</v>
      </c>
      <c r="O4822" s="1" t="s">
        <v>569</v>
      </c>
      <c r="P4822">
        <v>2515.34</v>
      </c>
      <c r="Q4822">
        <v>754.62</v>
      </c>
      <c r="R4822">
        <v>0</v>
      </c>
      <c r="S4822" s="1" t="s">
        <v>1159</v>
      </c>
      <c r="T4822" s="1" t="s">
        <v>1354</v>
      </c>
      <c r="U4822">
        <v>2515.3387299999999</v>
      </c>
      <c r="V4822">
        <v>0</v>
      </c>
      <c r="W4822">
        <v>90398</v>
      </c>
    </row>
    <row r="4823" spans="1:23" x14ac:dyDescent="0.25">
      <c r="A4823" s="1" t="s">
        <v>40</v>
      </c>
      <c r="B4823" s="1" t="s">
        <v>97</v>
      </c>
      <c r="C4823" s="1" t="s">
        <v>242</v>
      </c>
      <c r="D4823">
        <v>13512</v>
      </c>
      <c r="E4823" s="1" t="s">
        <v>243</v>
      </c>
      <c r="F4823" s="1" t="s">
        <v>392</v>
      </c>
      <c r="G4823">
        <v>2012</v>
      </c>
      <c r="H4823">
        <v>2619.65</v>
      </c>
      <c r="I4823">
        <v>2</v>
      </c>
      <c r="J4823" s="1" t="s">
        <v>556</v>
      </c>
      <c r="K4823">
        <v>0</v>
      </c>
      <c r="L4823">
        <v>1</v>
      </c>
      <c r="M4823">
        <v>2381.5</v>
      </c>
      <c r="N4823">
        <v>2</v>
      </c>
      <c r="O4823" s="1" t="s">
        <v>569</v>
      </c>
      <c r="P4823">
        <v>2619.65</v>
      </c>
      <c r="Q4823">
        <v>1047.8499999999999</v>
      </c>
      <c r="R4823">
        <v>0</v>
      </c>
      <c r="S4823" s="1" t="s">
        <v>1159</v>
      </c>
      <c r="T4823" s="1" t="s">
        <v>1354</v>
      </c>
      <c r="U4823">
        <v>2619.63553</v>
      </c>
      <c r="V4823">
        <v>0</v>
      </c>
      <c r="W4823">
        <v>90398</v>
      </c>
    </row>
    <row r="4824" spans="1:23" x14ac:dyDescent="0.25">
      <c r="A4824" s="1" t="s">
        <v>40</v>
      </c>
      <c r="B4824" s="1" t="s">
        <v>97</v>
      </c>
      <c r="C4824" s="1" t="s">
        <v>242</v>
      </c>
      <c r="D4824">
        <v>13512</v>
      </c>
      <c r="E4824" s="1" t="s">
        <v>243</v>
      </c>
      <c r="F4824" s="1" t="s">
        <v>392</v>
      </c>
      <c r="G4824">
        <v>2011</v>
      </c>
      <c r="H4824">
        <v>2872.78</v>
      </c>
      <c r="I4824">
        <v>1</v>
      </c>
      <c r="J4824" s="1" t="s">
        <v>556</v>
      </c>
      <c r="K4824">
        <v>0</v>
      </c>
      <c r="L4824">
        <v>1</v>
      </c>
      <c r="M4824">
        <v>2611.6181809999998</v>
      </c>
      <c r="N4824">
        <v>2</v>
      </c>
      <c r="O4824" s="1" t="s">
        <v>569</v>
      </c>
      <c r="P4824">
        <v>2872.78</v>
      </c>
      <c r="Q4824">
        <v>1347.34</v>
      </c>
      <c r="R4824">
        <v>0</v>
      </c>
      <c r="S4824" s="1" t="s">
        <v>1159</v>
      </c>
      <c r="T4824" s="1" t="s">
        <v>1354</v>
      </c>
      <c r="U4824">
        <v>2872.7587600000002</v>
      </c>
      <c r="V4824">
        <v>0</v>
      </c>
      <c r="W4824">
        <v>90398</v>
      </c>
    </row>
    <row r="4825" spans="1:23" x14ac:dyDescent="0.25">
      <c r="A4825" s="1" t="s">
        <v>40</v>
      </c>
      <c r="B4825" s="1" t="s">
        <v>97</v>
      </c>
      <c r="C4825" s="1" t="s">
        <v>242</v>
      </c>
      <c r="D4825">
        <v>13512</v>
      </c>
      <c r="E4825" s="1" t="s">
        <v>243</v>
      </c>
      <c r="F4825" s="1" t="s">
        <v>392</v>
      </c>
      <c r="G4825">
        <v>2010</v>
      </c>
      <c r="H4825">
        <v>2810.63</v>
      </c>
      <c r="I4825">
        <v>1</v>
      </c>
      <c r="J4825" s="1" t="s">
        <v>556</v>
      </c>
      <c r="K4825">
        <v>0</v>
      </c>
      <c r="L4825">
        <v>1</v>
      </c>
      <c r="M4825">
        <v>2555.1181809999998</v>
      </c>
      <c r="N4825">
        <v>2</v>
      </c>
      <c r="O4825" s="1" t="s">
        <v>569</v>
      </c>
      <c r="P4825">
        <v>2810.63</v>
      </c>
      <c r="Q4825">
        <v>1318.2</v>
      </c>
      <c r="R4825">
        <v>0</v>
      </c>
      <c r="S4825" s="1" t="s">
        <v>1159</v>
      </c>
      <c r="T4825" s="1" t="s">
        <v>1354</v>
      </c>
      <c r="U4825">
        <v>2810.6495</v>
      </c>
      <c r="V4825">
        <v>0</v>
      </c>
      <c r="W4825">
        <v>90398</v>
      </c>
    </row>
    <row r="4826" spans="1:23" x14ac:dyDescent="0.25">
      <c r="A4826" s="1" t="s">
        <v>40</v>
      </c>
      <c r="B4826" s="1" t="s">
        <v>97</v>
      </c>
      <c r="C4826" s="1" t="s">
        <v>242</v>
      </c>
      <c r="D4826">
        <v>13512</v>
      </c>
      <c r="E4826" s="1" t="s">
        <v>243</v>
      </c>
      <c r="F4826" s="1" t="s">
        <v>392</v>
      </c>
      <c r="G4826">
        <v>2009</v>
      </c>
      <c r="H4826">
        <v>2709.45</v>
      </c>
      <c r="I4826">
        <v>1</v>
      </c>
      <c r="J4826" s="1" t="s">
        <v>556</v>
      </c>
      <c r="K4826">
        <v>0</v>
      </c>
      <c r="L4826">
        <v>1</v>
      </c>
      <c r="M4826">
        <v>2463.1363630000001</v>
      </c>
      <c r="N4826">
        <v>2</v>
      </c>
      <c r="O4826" s="1" t="s">
        <v>569</v>
      </c>
      <c r="P4826">
        <v>2709.45</v>
      </c>
      <c r="Q4826">
        <v>1270.76</v>
      </c>
      <c r="R4826">
        <v>0</v>
      </c>
      <c r="S4826" s="1" t="s">
        <v>1159</v>
      </c>
      <c r="T4826" s="1" t="s">
        <v>1354</v>
      </c>
      <c r="U4826">
        <v>2709.4533299999998</v>
      </c>
      <c r="V4826">
        <v>0</v>
      </c>
      <c r="W4826">
        <v>90398</v>
      </c>
    </row>
    <row r="4827" spans="1:23" x14ac:dyDescent="0.25">
      <c r="A4827" s="1" t="s">
        <v>40</v>
      </c>
      <c r="B4827" s="1" t="s">
        <v>97</v>
      </c>
      <c r="C4827" s="1" t="s">
        <v>242</v>
      </c>
      <c r="D4827">
        <v>13512</v>
      </c>
      <c r="E4827" s="1" t="s">
        <v>243</v>
      </c>
      <c r="F4827" s="1" t="s">
        <v>392</v>
      </c>
      <c r="G4827">
        <v>2008</v>
      </c>
      <c r="H4827">
        <v>2207.4499999999998</v>
      </c>
      <c r="I4827">
        <v>1</v>
      </c>
      <c r="J4827" s="1" t="s">
        <v>556</v>
      </c>
      <c r="K4827">
        <v>0</v>
      </c>
      <c r="L4827">
        <v>1</v>
      </c>
      <c r="M4827">
        <v>2006.772727</v>
      </c>
      <c r="N4827">
        <v>2</v>
      </c>
      <c r="O4827" s="1" t="s">
        <v>569</v>
      </c>
      <c r="P4827">
        <v>2207.4499999999998</v>
      </c>
      <c r="Q4827">
        <v>1035.31</v>
      </c>
      <c r="R4827">
        <v>0</v>
      </c>
      <c r="S4827" s="1" t="s">
        <v>1159</v>
      </c>
      <c r="T4827" s="1" t="s">
        <v>1354</v>
      </c>
      <c r="U4827">
        <v>2207.44841</v>
      </c>
      <c r="V4827">
        <v>0</v>
      </c>
      <c r="W4827">
        <v>90398</v>
      </c>
    </row>
    <row r="4828" spans="1:23" x14ac:dyDescent="0.25">
      <c r="A4828" s="1" t="s">
        <v>40</v>
      </c>
      <c r="B4828" s="1" t="s">
        <v>89</v>
      </c>
      <c r="C4828" s="1" t="s">
        <v>216</v>
      </c>
      <c r="D4828">
        <v>5265</v>
      </c>
      <c r="E4828" s="1"/>
      <c r="F4828" s="1" t="s">
        <v>216</v>
      </c>
      <c r="G4828">
        <v>2015</v>
      </c>
      <c r="H4828">
        <v>6225.38</v>
      </c>
      <c r="I4828">
        <v>5</v>
      </c>
      <c r="J4828" s="1" t="s">
        <v>404</v>
      </c>
      <c r="K4828">
        <v>0</v>
      </c>
      <c r="L4828">
        <v>585</v>
      </c>
      <c r="M4828">
        <v>10.639856</v>
      </c>
      <c r="N4828">
        <v>2</v>
      </c>
      <c r="O4828" s="1" t="s">
        <v>569</v>
      </c>
      <c r="P4828">
        <v>6225.38</v>
      </c>
      <c r="Q4828">
        <v>2490.16</v>
      </c>
      <c r="R4828">
        <v>0</v>
      </c>
      <c r="S4828" s="1" t="s">
        <v>1160</v>
      </c>
      <c r="T4828" s="1" t="s">
        <v>1355</v>
      </c>
      <c r="U4828">
        <v>6225.3760000000002</v>
      </c>
      <c r="V4828">
        <v>0</v>
      </c>
      <c r="W4828">
        <v>56773</v>
      </c>
    </row>
    <row r="4829" spans="1:23" x14ac:dyDescent="0.25">
      <c r="A4829" s="1" t="s">
        <v>40</v>
      </c>
      <c r="B4829" s="1" t="s">
        <v>89</v>
      </c>
      <c r="C4829" s="1" t="s">
        <v>216</v>
      </c>
      <c r="D4829">
        <v>5265</v>
      </c>
      <c r="E4829" s="1"/>
      <c r="F4829" s="1" t="s">
        <v>216</v>
      </c>
      <c r="G4829">
        <v>2014</v>
      </c>
      <c r="H4829">
        <v>22484.39</v>
      </c>
      <c r="I4829">
        <v>12</v>
      </c>
      <c r="J4829" s="1" t="s">
        <v>404</v>
      </c>
      <c r="K4829">
        <v>0</v>
      </c>
      <c r="L4829">
        <v>585</v>
      </c>
      <c r="M4829">
        <v>38.428285000000002</v>
      </c>
      <c r="N4829">
        <v>2</v>
      </c>
      <c r="O4829" s="1" t="s">
        <v>569</v>
      </c>
      <c r="P4829">
        <v>22484.39</v>
      </c>
      <c r="Q4829">
        <v>8993.75</v>
      </c>
      <c r="R4829">
        <v>0</v>
      </c>
      <c r="S4829" s="1" t="s">
        <v>1160</v>
      </c>
      <c r="T4829" s="1" t="s">
        <v>1355</v>
      </c>
      <c r="U4829">
        <v>22484.366000000002</v>
      </c>
      <c r="V4829">
        <v>0</v>
      </c>
      <c r="W4829">
        <v>56773</v>
      </c>
    </row>
    <row r="4830" spans="1:23" x14ac:dyDescent="0.25">
      <c r="A4830" s="1" t="s">
        <v>40</v>
      </c>
      <c r="B4830" s="1" t="s">
        <v>89</v>
      </c>
      <c r="C4830" s="1" t="s">
        <v>216</v>
      </c>
      <c r="D4830">
        <v>5265</v>
      </c>
      <c r="E4830" s="1"/>
      <c r="F4830" s="1" t="s">
        <v>216</v>
      </c>
      <c r="G4830">
        <v>2013</v>
      </c>
      <c r="H4830">
        <v>26036.720000000001</v>
      </c>
      <c r="I4830">
        <v>12</v>
      </c>
      <c r="J4830" s="1" t="s">
        <v>404</v>
      </c>
      <c r="K4830">
        <v>0</v>
      </c>
      <c r="L4830">
        <v>585</v>
      </c>
      <c r="M4830">
        <v>44.499606</v>
      </c>
      <c r="N4830">
        <v>2</v>
      </c>
      <c r="O4830" s="1" t="s">
        <v>569</v>
      </c>
      <c r="P4830">
        <v>26036.720000000001</v>
      </c>
      <c r="Q4830">
        <v>10414.709999999999</v>
      </c>
      <c r="R4830">
        <v>0</v>
      </c>
      <c r="S4830" s="1" t="s">
        <v>1160</v>
      </c>
      <c r="T4830" s="1" t="s">
        <v>1355</v>
      </c>
      <c r="U4830">
        <v>26036.718000000001</v>
      </c>
      <c r="V4830">
        <v>0</v>
      </c>
      <c r="W4830">
        <v>56773</v>
      </c>
    </row>
    <row r="4831" spans="1:23" x14ac:dyDescent="0.25">
      <c r="A4831" s="1" t="s">
        <v>40</v>
      </c>
      <c r="B4831" s="1" t="s">
        <v>89</v>
      </c>
      <c r="C4831" s="1" t="s">
        <v>216</v>
      </c>
      <c r="D4831">
        <v>5265</v>
      </c>
      <c r="E4831" s="1"/>
      <c r="F4831" s="1" t="s">
        <v>216</v>
      </c>
      <c r="G4831">
        <v>2012</v>
      </c>
      <c r="H4831">
        <v>17399.89</v>
      </c>
      <c r="I4831">
        <v>12</v>
      </c>
      <c r="J4831" s="1" t="s">
        <v>404</v>
      </c>
      <c r="K4831">
        <v>0</v>
      </c>
      <c r="L4831">
        <v>585</v>
      </c>
      <c r="M4831">
        <v>29.738318</v>
      </c>
      <c r="N4831">
        <v>2</v>
      </c>
      <c r="O4831" s="1" t="s">
        <v>569</v>
      </c>
      <c r="P4831">
        <v>17399.89</v>
      </c>
      <c r="Q4831">
        <v>6959.96</v>
      </c>
      <c r="R4831">
        <v>0</v>
      </c>
      <c r="S4831" s="1" t="s">
        <v>1160</v>
      </c>
      <c r="T4831" s="1" t="s">
        <v>1355</v>
      </c>
      <c r="U4831">
        <v>17399.89</v>
      </c>
      <c r="V4831">
        <v>0</v>
      </c>
      <c r="W4831">
        <v>56773</v>
      </c>
    </row>
    <row r="4832" spans="1:23" x14ac:dyDescent="0.25">
      <c r="A4832" s="1" t="s">
        <v>40</v>
      </c>
      <c r="B4832" s="1" t="s">
        <v>89</v>
      </c>
      <c r="C4832" s="1" t="s">
        <v>216</v>
      </c>
      <c r="D4832">
        <v>5265</v>
      </c>
      <c r="E4832" s="1"/>
      <c r="F4832" s="1" t="s">
        <v>216</v>
      </c>
      <c r="G4832">
        <v>2011</v>
      </c>
      <c r="H4832">
        <v>17670.7</v>
      </c>
      <c r="I4832">
        <v>12</v>
      </c>
      <c r="J4832" s="1" t="s">
        <v>404</v>
      </c>
      <c r="K4832">
        <v>0</v>
      </c>
      <c r="L4832">
        <v>585</v>
      </c>
      <c r="M4832">
        <v>30.201162</v>
      </c>
      <c r="N4832">
        <v>2</v>
      </c>
      <c r="O4832" s="1" t="s">
        <v>569</v>
      </c>
      <c r="P4832">
        <v>17670.7</v>
      </c>
      <c r="Q4832">
        <v>8287.57</v>
      </c>
      <c r="R4832">
        <v>0</v>
      </c>
      <c r="S4832" s="1" t="s">
        <v>1160</v>
      </c>
      <c r="T4832" s="1" t="s">
        <v>1355</v>
      </c>
      <c r="U4832">
        <v>17670.696</v>
      </c>
      <c r="V4832">
        <v>0</v>
      </c>
      <c r="W4832">
        <v>56773</v>
      </c>
    </row>
    <row r="4833" spans="1:23" x14ac:dyDescent="0.25">
      <c r="A4833" s="1" t="s">
        <v>40</v>
      </c>
      <c r="B4833" s="1" t="s">
        <v>89</v>
      </c>
      <c r="C4833" s="1" t="s">
        <v>216</v>
      </c>
      <c r="D4833">
        <v>5265</v>
      </c>
      <c r="E4833" s="1"/>
      <c r="F4833" s="1" t="s">
        <v>216</v>
      </c>
      <c r="G4833">
        <v>2010</v>
      </c>
      <c r="H4833">
        <v>16425.52</v>
      </c>
      <c r="I4833">
        <v>12</v>
      </c>
      <c r="J4833" s="1" t="s">
        <v>404</v>
      </c>
      <c r="K4833">
        <v>0</v>
      </c>
      <c r="L4833">
        <v>585</v>
      </c>
      <c r="M4833">
        <v>28.073013</v>
      </c>
      <c r="N4833">
        <v>2</v>
      </c>
      <c r="O4833" s="1" t="s">
        <v>569</v>
      </c>
      <c r="P4833">
        <v>16425.52</v>
      </c>
      <c r="Q4833">
        <v>7703.57</v>
      </c>
      <c r="R4833">
        <v>0</v>
      </c>
      <c r="S4833" s="1" t="s">
        <v>1160</v>
      </c>
      <c r="T4833" s="1" t="s">
        <v>1355</v>
      </c>
      <c r="U4833">
        <v>16425.526000000002</v>
      </c>
      <c r="V4833">
        <v>0</v>
      </c>
      <c r="W4833">
        <v>56773</v>
      </c>
    </row>
    <row r="4834" spans="1:23" x14ac:dyDescent="0.25">
      <c r="A4834" s="1" t="s">
        <v>40</v>
      </c>
      <c r="B4834" s="1" t="s">
        <v>89</v>
      </c>
      <c r="C4834" s="1" t="s">
        <v>216</v>
      </c>
      <c r="D4834">
        <v>5265</v>
      </c>
      <c r="E4834" s="1"/>
      <c r="F4834" s="1" t="s">
        <v>216</v>
      </c>
      <c r="G4834">
        <v>2009</v>
      </c>
      <c r="H4834">
        <v>18915.11</v>
      </c>
      <c r="I4834">
        <v>12</v>
      </c>
      <c r="J4834" s="1" t="s">
        <v>404</v>
      </c>
      <c r="K4834">
        <v>0</v>
      </c>
      <c r="L4834">
        <v>585</v>
      </c>
      <c r="M4834">
        <v>32.327995000000001</v>
      </c>
      <c r="N4834">
        <v>2</v>
      </c>
      <c r="O4834" s="1" t="s">
        <v>569</v>
      </c>
      <c r="P4834">
        <v>18915.11</v>
      </c>
      <c r="Q4834">
        <v>8871.2099999999991</v>
      </c>
      <c r="R4834">
        <v>0</v>
      </c>
      <c r="S4834" s="1" t="s">
        <v>1160</v>
      </c>
      <c r="T4834" s="1" t="s">
        <v>1355</v>
      </c>
      <c r="U4834">
        <v>18915.133999999998</v>
      </c>
      <c r="V4834">
        <v>0</v>
      </c>
      <c r="W4834">
        <v>56773</v>
      </c>
    </row>
    <row r="4835" spans="1:23" x14ac:dyDescent="0.25">
      <c r="A4835" s="1" t="s">
        <v>40</v>
      </c>
      <c r="B4835" s="1" t="s">
        <v>89</v>
      </c>
      <c r="C4835" s="1" t="s">
        <v>216</v>
      </c>
      <c r="D4835">
        <v>5265</v>
      </c>
      <c r="E4835" s="1"/>
      <c r="F4835" s="1" t="s">
        <v>216</v>
      </c>
      <c r="G4835">
        <v>2008</v>
      </c>
      <c r="H4835">
        <v>20908.25</v>
      </c>
      <c r="I4835">
        <v>12</v>
      </c>
      <c r="J4835" s="1" t="s">
        <v>404</v>
      </c>
      <c r="K4835">
        <v>0</v>
      </c>
      <c r="L4835">
        <v>585</v>
      </c>
      <c r="M4835">
        <v>35.734489000000004</v>
      </c>
      <c r="N4835">
        <v>2</v>
      </c>
      <c r="O4835" s="1" t="s">
        <v>569</v>
      </c>
      <c r="P4835">
        <v>20908.25</v>
      </c>
      <c r="Q4835">
        <v>9805.98</v>
      </c>
      <c r="R4835">
        <v>0</v>
      </c>
      <c r="S4835" s="1" t="s">
        <v>1160</v>
      </c>
      <c r="T4835" s="1" t="s">
        <v>1355</v>
      </c>
      <c r="U4835">
        <v>20908.25</v>
      </c>
      <c r="V4835">
        <v>0</v>
      </c>
      <c r="W4835">
        <v>56773</v>
      </c>
    </row>
    <row r="4836" spans="1:23" x14ac:dyDescent="0.25">
      <c r="A4836" s="1" t="s">
        <v>40</v>
      </c>
      <c r="B4836" s="1" t="s">
        <v>90</v>
      </c>
      <c r="C4836" s="1" t="s">
        <v>217</v>
      </c>
      <c r="D4836">
        <v>5266</v>
      </c>
      <c r="E4836" s="1"/>
      <c r="F4836" s="1" t="s">
        <v>217</v>
      </c>
      <c r="G4836">
        <v>2015</v>
      </c>
      <c r="H4836">
        <v>14700.75</v>
      </c>
      <c r="I4836">
        <v>5</v>
      </c>
      <c r="J4836" s="1" t="s">
        <v>404</v>
      </c>
      <c r="K4836">
        <v>0</v>
      </c>
      <c r="L4836">
        <v>585</v>
      </c>
      <c r="M4836">
        <v>25.125191999999998</v>
      </c>
      <c r="N4836">
        <v>2</v>
      </c>
      <c r="O4836" s="1" t="s">
        <v>569</v>
      </c>
      <c r="P4836">
        <v>14700.75</v>
      </c>
      <c r="Q4836">
        <v>5880.31</v>
      </c>
      <c r="R4836">
        <v>0</v>
      </c>
      <c r="S4836" s="1" t="s">
        <v>1161</v>
      </c>
      <c r="T4836" s="1"/>
      <c r="U4836">
        <v>14700.748</v>
      </c>
      <c r="V4836">
        <v>0</v>
      </c>
      <c r="W4836">
        <v>56782</v>
      </c>
    </row>
    <row r="4837" spans="1:23" x14ac:dyDescent="0.25">
      <c r="A4837" s="1" t="s">
        <v>40</v>
      </c>
      <c r="B4837" s="1" t="s">
        <v>90</v>
      </c>
      <c r="C4837" s="1" t="s">
        <v>217</v>
      </c>
      <c r="D4837">
        <v>5266</v>
      </c>
      <c r="E4837" s="1"/>
      <c r="F4837" s="1" t="s">
        <v>217</v>
      </c>
      <c r="G4837">
        <v>2014</v>
      </c>
      <c r="H4837">
        <v>31512.98</v>
      </c>
      <c r="I4837">
        <v>12</v>
      </c>
      <c r="J4837" s="1" t="s">
        <v>404</v>
      </c>
      <c r="K4837">
        <v>0</v>
      </c>
      <c r="L4837">
        <v>585</v>
      </c>
      <c r="M4837">
        <v>53.859135000000002</v>
      </c>
      <c r="N4837">
        <v>2</v>
      </c>
      <c r="O4837" s="1" t="s">
        <v>569</v>
      </c>
      <c r="P4837">
        <v>31512.98</v>
      </c>
      <c r="Q4837">
        <v>12605.19</v>
      </c>
      <c r="R4837">
        <v>0</v>
      </c>
      <c r="S4837" s="1" t="s">
        <v>1161</v>
      </c>
      <c r="T4837" s="1"/>
      <c r="U4837">
        <v>31512.959999999999</v>
      </c>
      <c r="V4837">
        <v>0</v>
      </c>
      <c r="W4837">
        <v>56782</v>
      </c>
    </row>
    <row r="4838" spans="1:23" x14ac:dyDescent="0.25">
      <c r="A4838" s="1" t="s">
        <v>40</v>
      </c>
      <c r="B4838" s="1" t="s">
        <v>90</v>
      </c>
      <c r="C4838" s="1" t="s">
        <v>217</v>
      </c>
      <c r="D4838">
        <v>5266</v>
      </c>
      <c r="E4838" s="1"/>
      <c r="F4838" s="1" t="s">
        <v>217</v>
      </c>
      <c r="G4838">
        <v>2013</v>
      </c>
      <c r="H4838">
        <v>20457.46</v>
      </c>
      <c r="I4838">
        <v>12</v>
      </c>
      <c r="J4838" s="1" t="s">
        <v>404</v>
      </c>
      <c r="K4838">
        <v>0</v>
      </c>
      <c r="L4838">
        <v>585</v>
      </c>
      <c r="M4838">
        <v>34.964039999999997</v>
      </c>
      <c r="N4838">
        <v>2</v>
      </c>
      <c r="O4838" s="1" t="s">
        <v>569</v>
      </c>
      <c r="P4838">
        <v>20457.46</v>
      </c>
      <c r="Q4838">
        <v>8183</v>
      </c>
      <c r="R4838">
        <v>0</v>
      </c>
      <c r="S4838" s="1" t="s">
        <v>1161</v>
      </c>
      <c r="T4838" s="1"/>
      <c r="U4838">
        <v>20457.472000000002</v>
      </c>
      <c r="V4838">
        <v>0</v>
      </c>
      <c r="W4838">
        <v>56782</v>
      </c>
    </row>
    <row r="4839" spans="1:23" x14ac:dyDescent="0.25">
      <c r="A4839" s="1" t="s">
        <v>40</v>
      </c>
      <c r="B4839" s="1" t="s">
        <v>90</v>
      </c>
      <c r="C4839" s="1" t="s">
        <v>217</v>
      </c>
      <c r="D4839">
        <v>5266</v>
      </c>
      <c r="E4839" s="1"/>
      <c r="F4839" s="1" t="s">
        <v>217</v>
      </c>
      <c r="G4839">
        <v>2012</v>
      </c>
      <c r="H4839">
        <v>19443.72</v>
      </c>
      <c r="I4839">
        <v>12</v>
      </c>
      <c r="J4839" s="1" t="s">
        <v>404</v>
      </c>
      <c r="K4839">
        <v>0</v>
      </c>
      <c r="L4839">
        <v>585</v>
      </c>
      <c r="M4839">
        <v>33.231447000000003</v>
      </c>
      <c r="N4839">
        <v>2</v>
      </c>
      <c r="O4839" s="1" t="s">
        <v>569</v>
      </c>
      <c r="P4839">
        <v>19443.72</v>
      </c>
      <c r="Q4839">
        <v>7777.51</v>
      </c>
      <c r="R4839">
        <v>0</v>
      </c>
      <c r="S4839" s="1" t="s">
        <v>1161</v>
      </c>
      <c r="T4839" s="1"/>
      <c r="U4839">
        <v>19443.723999999998</v>
      </c>
      <c r="V4839">
        <v>0</v>
      </c>
      <c r="W4839">
        <v>56782</v>
      </c>
    </row>
    <row r="4840" spans="1:23" x14ac:dyDescent="0.25">
      <c r="A4840" s="1" t="s">
        <v>40</v>
      </c>
      <c r="B4840" s="1" t="s">
        <v>90</v>
      </c>
      <c r="C4840" s="1" t="s">
        <v>217</v>
      </c>
      <c r="D4840">
        <v>5266</v>
      </c>
      <c r="E4840" s="1"/>
      <c r="F4840" s="1" t="s">
        <v>217</v>
      </c>
      <c r="G4840">
        <v>2011</v>
      </c>
      <c r="H4840">
        <v>22449.96</v>
      </c>
      <c r="I4840">
        <v>12</v>
      </c>
      <c r="J4840" s="1" t="s">
        <v>404</v>
      </c>
      <c r="K4840">
        <v>0</v>
      </c>
      <c r="L4840">
        <v>585</v>
      </c>
      <c r="M4840">
        <v>38.369441000000002</v>
      </c>
      <c r="N4840">
        <v>2</v>
      </c>
      <c r="O4840" s="1" t="s">
        <v>569</v>
      </c>
      <c r="P4840">
        <v>22449.96</v>
      </c>
      <c r="Q4840">
        <v>10529.03</v>
      </c>
      <c r="R4840">
        <v>0</v>
      </c>
      <c r="S4840" s="1" t="s">
        <v>1161</v>
      </c>
      <c r="T4840" s="1"/>
      <c r="U4840">
        <v>22449.948</v>
      </c>
      <c r="V4840">
        <v>0</v>
      </c>
      <c r="W4840">
        <v>56782</v>
      </c>
    </row>
    <row r="4841" spans="1:23" x14ac:dyDescent="0.25">
      <c r="A4841" s="1" t="s">
        <v>40</v>
      </c>
      <c r="B4841" s="1" t="s">
        <v>90</v>
      </c>
      <c r="C4841" s="1" t="s">
        <v>217</v>
      </c>
      <c r="D4841">
        <v>5266</v>
      </c>
      <c r="E4841" s="1"/>
      <c r="F4841" s="1" t="s">
        <v>217</v>
      </c>
      <c r="G4841">
        <v>2010</v>
      </c>
      <c r="H4841">
        <v>21537.14</v>
      </c>
      <c r="I4841">
        <v>12</v>
      </c>
      <c r="J4841" s="1" t="s">
        <v>404</v>
      </c>
      <c r="K4841">
        <v>0</v>
      </c>
      <c r="L4841">
        <v>585</v>
      </c>
      <c r="M4841">
        <v>36.809331</v>
      </c>
      <c r="N4841">
        <v>2</v>
      </c>
      <c r="O4841" s="1" t="s">
        <v>569</v>
      </c>
      <c r="P4841">
        <v>21537.14</v>
      </c>
      <c r="Q4841">
        <v>10100.92</v>
      </c>
      <c r="R4841">
        <v>0</v>
      </c>
      <c r="S4841" s="1" t="s">
        <v>1161</v>
      </c>
      <c r="T4841" s="1"/>
      <c r="U4841">
        <v>21537.132000000001</v>
      </c>
      <c r="V4841">
        <v>0</v>
      </c>
      <c r="W4841">
        <v>56782</v>
      </c>
    </row>
    <row r="4842" spans="1:23" x14ac:dyDescent="0.25">
      <c r="A4842" s="1" t="s">
        <v>40</v>
      </c>
      <c r="B4842" s="1" t="s">
        <v>90</v>
      </c>
      <c r="C4842" s="1" t="s">
        <v>217</v>
      </c>
      <c r="D4842">
        <v>5266</v>
      </c>
      <c r="E4842" s="1"/>
      <c r="F4842" s="1" t="s">
        <v>217</v>
      </c>
      <c r="G4842">
        <v>2009</v>
      </c>
      <c r="H4842">
        <v>20886.330000000002</v>
      </c>
      <c r="I4842">
        <v>12</v>
      </c>
      <c r="J4842" s="1" t="s">
        <v>404</v>
      </c>
      <c r="K4842">
        <v>0</v>
      </c>
      <c r="L4842">
        <v>585</v>
      </c>
      <c r="M4842">
        <v>35.697026000000001</v>
      </c>
      <c r="N4842">
        <v>2</v>
      </c>
      <c r="O4842" s="1" t="s">
        <v>569</v>
      </c>
      <c r="P4842">
        <v>20886.330000000002</v>
      </c>
      <c r="Q4842">
        <v>9795.7099999999991</v>
      </c>
      <c r="R4842">
        <v>0</v>
      </c>
      <c r="S4842" s="1" t="s">
        <v>1161</v>
      </c>
      <c r="T4842" s="1"/>
      <c r="U4842">
        <v>20886.328000000001</v>
      </c>
      <c r="V4842">
        <v>0</v>
      </c>
      <c r="W4842">
        <v>56782</v>
      </c>
    </row>
    <row r="4843" spans="1:23" x14ac:dyDescent="0.25">
      <c r="A4843" s="1" t="s">
        <v>40</v>
      </c>
      <c r="B4843" s="1" t="s">
        <v>90</v>
      </c>
      <c r="C4843" s="1" t="s">
        <v>217</v>
      </c>
      <c r="D4843">
        <v>5266</v>
      </c>
      <c r="E4843" s="1"/>
      <c r="F4843" s="1" t="s">
        <v>217</v>
      </c>
      <c r="G4843">
        <v>2008</v>
      </c>
      <c r="H4843">
        <v>25047.74</v>
      </c>
      <c r="I4843">
        <v>12</v>
      </c>
      <c r="J4843" s="1" t="s">
        <v>404</v>
      </c>
      <c r="K4843">
        <v>0</v>
      </c>
      <c r="L4843">
        <v>585</v>
      </c>
      <c r="M4843">
        <v>42.809331</v>
      </c>
      <c r="N4843">
        <v>2</v>
      </c>
      <c r="O4843" s="1" t="s">
        <v>569</v>
      </c>
      <c r="P4843">
        <v>25047.74</v>
      </c>
      <c r="Q4843">
        <v>11747.4</v>
      </c>
      <c r="R4843">
        <v>0</v>
      </c>
      <c r="S4843" s="1" t="s">
        <v>1161</v>
      </c>
      <c r="T4843" s="1"/>
      <c r="U4843">
        <v>25047.756000000001</v>
      </c>
      <c r="V4843">
        <v>0</v>
      </c>
      <c r="W4843">
        <v>56782</v>
      </c>
    </row>
    <row r="4844" spans="1:23" x14ac:dyDescent="0.25">
      <c r="A4844" s="1" t="s">
        <v>40</v>
      </c>
      <c r="B4844" s="1"/>
      <c r="C4844" s="1" t="s">
        <v>218</v>
      </c>
      <c r="D4844">
        <v>11035</v>
      </c>
      <c r="E4844" s="1"/>
      <c r="F4844" s="1" t="s">
        <v>353</v>
      </c>
      <c r="G4844">
        <v>2015</v>
      </c>
      <c r="H4844">
        <v>1034.1400000000001</v>
      </c>
      <c r="I4844">
        <v>5</v>
      </c>
      <c r="J4844" s="1" t="s">
        <v>459</v>
      </c>
      <c r="K4844">
        <v>0</v>
      </c>
      <c r="L4844">
        <v>225</v>
      </c>
      <c r="M4844">
        <v>4.5941349999999996</v>
      </c>
      <c r="N4844">
        <v>2</v>
      </c>
      <c r="O4844" s="1" t="s">
        <v>569</v>
      </c>
      <c r="P4844">
        <v>1034.1400000000001</v>
      </c>
      <c r="Q4844">
        <v>310.25</v>
      </c>
      <c r="R4844">
        <v>0</v>
      </c>
      <c r="S4844" s="1" t="s">
        <v>1162</v>
      </c>
      <c r="T4844" s="1" t="s">
        <v>1351</v>
      </c>
      <c r="U4844">
        <v>1034.146</v>
      </c>
      <c r="V4844">
        <v>0</v>
      </c>
      <c r="W4844">
        <v>79962</v>
      </c>
    </row>
    <row r="4845" spans="1:23" x14ac:dyDescent="0.25">
      <c r="A4845" s="1" t="s">
        <v>40</v>
      </c>
      <c r="B4845" s="1"/>
      <c r="C4845" s="1" t="s">
        <v>218</v>
      </c>
      <c r="D4845">
        <v>11035</v>
      </c>
      <c r="E4845" s="1"/>
      <c r="F4845" s="1" t="s">
        <v>353</v>
      </c>
      <c r="G4845">
        <v>2014</v>
      </c>
      <c r="H4845">
        <v>3395.44</v>
      </c>
      <c r="I4845">
        <v>12</v>
      </c>
      <c r="J4845" s="1" t="s">
        <v>459</v>
      </c>
      <c r="K4845">
        <v>0</v>
      </c>
      <c r="L4845">
        <v>225</v>
      </c>
      <c r="M4845">
        <v>15.08414</v>
      </c>
      <c r="N4845">
        <v>2</v>
      </c>
      <c r="O4845" s="1" t="s">
        <v>569</v>
      </c>
      <c r="P4845">
        <v>3395.44</v>
      </c>
      <c r="Q4845">
        <v>1018.64</v>
      </c>
      <c r="R4845">
        <v>0</v>
      </c>
      <c r="S4845" s="1" t="s">
        <v>1162</v>
      </c>
      <c r="T4845" s="1" t="s">
        <v>1351</v>
      </c>
      <c r="U4845">
        <v>3395.4379199999998</v>
      </c>
      <c r="V4845">
        <v>0</v>
      </c>
      <c r="W4845">
        <v>79962</v>
      </c>
    </row>
    <row r="4846" spans="1:23" x14ac:dyDescent="0.25">
      <c r="A4846" s="1" t="s">
        <v>40</v>
      </c>
      <c r="B4846" s="1"/>
      <c r="C4846" s="1" t="s">
        <v>218</v>
      </c>
      <c r="D4846">
        <v>11035</v>
      </c>
      <c r="E4846" s="1"/>
      <c r="F4846" s="1" t="s">
        <v>353</v>
      </c>
      <c r="G4846">
        <v>2013</v>
      </c>
      <c r="H4846">
        <v>3306</v>
      </c>
      <c r="I4846">
        <v>12</v>
      </c>
      <c r="J4846" s="1" t="s">
        <v>459</v>
      </c>
      <c r="K4846">
        <v>0</v>
      </c>
      <c r="L4846">
        <v>225</v>
      </c>
      <c r="M4846">
        <v>14.686805</v>
      </c>
      <c r="N4846">
        <v>2</v>
      </c>
      <c r="O4846" s="1" t="s">
        <v>569</v>
      </c>
      <c r="P4846">
        <v>3306</v>
      </c>
      <c r="Q4846">
        <v>991.81</v>
      </c>
      <c r="R4846">
        <v>0</v>
      </c>
      <c r="S4846" s="1" t="s">
        <v>1162</v>
      </c>
      <c r="T4846" s="1" t="s">
        <v>1351</v>
      </c>
      <c r="U4846">
        <v>3305.9933000000001</v>
      </c>
      <c r="V4846">
        <v>0</v>
      </c>
      <c r="W4846">
        <v>79962</v>
      </c>
    </row>
    <row r="4847" spans="1:23" x14ac:dyDescent="0.25">
      <c r="A4847" s="1" t="s">
        <v>40</v>
      </c>
      <c r="B4847" s="1"/>
      <c r="C4847" s="1" t="s">
        <v>218</v>
      </c>
      <c r="D4847">
        <v>11035</v>
      </c>
      <c r="E4847" s="1"/>
      <c r="F4847" s="1" t="s">
        <v>353</v>
      </c>
      <c r="G4847">
        <v>2012</v>
      </c>
      <c r="H4847">
        <v>3597.62</v>
      </c>
      <c r="I4847">
        <v>13</v>
      </c>
      <c r="J4847" s="1" t="s">
        <v>459</v>
      </c>
      <c r="K4847">
        <v>0</v>
      </c>
      <c r="L4847">
        <v>225</v>
      </c>
      <c r="M4847">
        <v>15.982317999999999</v>
      </c>
      <c r="N4847">
        <v>2</v>
      </c>
      <c r="O4847" s="1" t="s">
        <v>569</v>
      </c>
      <c r="P4847">
        <v>3597.62</v>
      </c>
      <c r="Q4847">
        <v>1439.05</v>
      </c>
      <c r="R4847">
        <v>0</v>
      </c>
      <c r="S4847" s="1" t="s">
        <v>1162</v>
      </c>
      <c r="T4847" s="1" t="s">
        <v>1351</v>
      </c>
      <c r="U4847">
        <v>3597.6420499999999</v>
      </c>
      <c r="V4847">
        <v>0</v>
      </c>
      <c r="W4847">
        <v>79962</v>
      </c>
    </row>
    <row r="4848" spans="1:23" x14ac:dyDescent="0.25">
      <c r="A4848" s="1" t="s">
        <v>40</v>
      </c>
      <c r="B4848" s="1"/>
      <c r="C4848" s="1" t="s">
        <v>218</v>
      </c>
      <c r="D4848">
        <v>11035</v>
      </c>
      <c r="E4848" s="1"/>
      <c r="F4848" s="1" t="s">
        <v>353</v>
      </c>
      <c r="G4848">
        <v>2011</v>
      </c>
      <c r="H4848">
        <v>8019.74</v>
      </c>
      <c r="I4848">
        <v>6</v>
      </c>
      <c r="J4848" s="1" t="s">
        <v>459</v>
      </c>
      <c r="K4848">
        <v>0</v>
      </c>
      <c r="L4848">
        <v>225</v>
      </c>
      <c r="M4848">
        <v>35.627454</v>
      </c>
      <c r="N4848">
        <v>2</v>
      </c>
      <c r="O4848" s="1" t="s">
        <v>569</v>
      </c>
      <c r="P4848">
        <v>8019.74</v>
      </c>
      <c r="Q4848">
        <v>3761.25</v>
      </c>
      <c r="R4848">
        <v>0</v>
      </c>
      <c r="S4848" s="1" t="s">
        <v>1162</v>
      </c>
      <c r="T4848" s="1" t="s">
        <v>1351</v>
      </c>
      <c r="U4848">
        <v>8019.7320799999998</v>
      </c>
      <c r="V4848">
        <v>0</v>
      </c>
      <c r="W4848">
        <v>79962</v>
      </c>
    </row>
    <row r="4849" spans="1:23" x14ac:dyDescent="0.25">
      <c r="A4849" s="1" t="s">
        <v>40</v>
      </c>
      <c r="B4849" s="1"/>
      <c r="C4849" s="1" t="s">
        <v>218</v>
      </c>
      <c r="D4849">
        <v>11035</v>
      </c>
      <c r="E4849" s="1"/>
      <c r="F4849" s="1" t="s">
        <v>353</v>
      </c>
      <c r="G4849">
        <v>2010</v>
      </c>
      <c r="H4849">
        <v>10618.7</v>
      </c>
      <c r="I4849">
        <v>4</v>
      </c>
      <c r="J4849" s="1" t="s">
        <v>459</v>
      </c>
      <c r="K4849">
        <v>0</v>
      </c>
      <c r="L4849">
        <v>225</v>
      </c>
      <c r="M4849">
        <v>47.173256000000002</v>
      </c>
      <c r="N4849">
        <v>2</v>
      </c>
      <c r="O4849" s="1" t="s">
        <v>569</v>
      </c>
      <c r="P4849">
        <v>10618.7</v>
      </c>
      <c r="Q4849">
        <v>4980.18</v>
      </c>
      <c r="R4849">
        <v>0</v>
      </c>
      <c r="S4849" s="1" t="s">
        <v>1162</v>
      </c>
      <c r="T4849" s="1" t="s">
        <v>1351</v>
      </c>
      <c r="U4849">
        <v>10618.70421</v>
      </c>
      <c r="V4849">
        <v>0</v>
      </c>
      <c r="W4849">
        <v>79962</v>
      </c>
    </row>
    <row r="4850" spans="1:23" x14ac:dyDescent="0.25">
      <c r="A4850" s="1" t="s">
        <v>40</v>
      </c>
      <c r="B4850" s="1"/>
      <c r="C4850" s="1" t="s">
        <v>218</v>
      </c>
      <c r="D4850">
        <v>11035</v>
      </c>
      <c r="E4850" s="1"/>
      <c r="F4850" s="1" t="s">
        <v>353</v>
      </c>
      <c r="G4850">
        <v>2009</v>
      </c>
      <c r="H4850">
        <v>11087.89</v>
      </c>
      <c r="I4850">
        <v>2</v>
      </c>
      <c r="J4850" s="1" t="s">
        <v>459</v>
      </c>
      <c r="K4850">
        <v>0</v>
      </c>
      <c r="L4850">
        <v>225</v>
      </c>
      <c r="M4850">
        <v>49.257618000000001</v>
      </c>
      <c r="N4850">
        <v>2</v>
      </c>
      <c r="O4850" s="1" t="s">
        <v>569</v>
      </c>
      <c r="P4850">
        <v>11087.89</v>
      </c>
      <c r="Q4850">
        <v>5200.25</v>
      </c>
      <c r="R4850">
        <v>0</v>
      </c>
      <c r="S4850" s="1" t="s">
        <v>1162</v>
      </c>
      <c r="T4850" s="1" t="s">
        <v>1351</v>
      </c>
      <c r="U4850">
        <v>11087.901089999999</v>
      </c>
      <c r="V4850">
        <v>0</v>
      </c>
      <c r="W4850">
        <v>79962</v>
      </c>
    </row>
    <row r="4851" spans="1:23" x14ac:dyDescent="0.25">
      <c r="A4851" s="1" t="s">
        <v>40</v>
      </c>
      <c r="B4851" s="1"/>
      <c r="C4851" s="1" t="s">
        <v>218</v>
      </c>
      <c r="D4851">
        <v>11035</v>
      </c>
      <c r="E4851" s="1"/>
      <c r="F4851" s="1" t="s">
        <v>353</v>
      </c>
      <c r="G4851">
        <v>2008</v>
      </c>
      <c r="H4851">
        <v>9861.27</v>
      </c>
      <c r="I4851">
        <v>3</v>
      </c>
      <c r="J4851" s="1" t="s">
        <v>459</v>
      </c>
      <c r="K4851">
        <v>0</v>
      </c>
      <c r="L4851">
        <v>225</v>
      </c>
      <c r="M4851">
        <v>43.808396000000002</v>
      </c>
      <c r="N4851">
        <v>2</v>
      </c>
      <c r="O4851" s="1" t="s">
        <v>569</v>
      </c>
      <c r="P4851">
        <v>9861.27</v>
      </c>
      <c r="Q4851">
        <v>4624.91</v>
      </c>
      <c r="R4851">
        <v>0</v>
      </c>
      <c r="S4851" s="1" t="s">
        <v>1162</v>
      </c>
      <c r="T4851" s="1" t="s">
        <v>1351</v>
      </c>
      <c r="U4851">
        <v>9861.2520700000005</v>
      </c>
      <c r="V4851">
        <v>0</v>
      </c>
      <c r="W4851">
        <v>79962</v>
      </c>
    </row>
    <row r="4852" spans="1:23" x14ac:dyDescent="0.25">
      <c r="A4852" s="1" t="s">
        <v>40</v>
      </c>
      <c r="B4852" s="1" t="s">
        <v>91</v>
      </c>
      <c r="C4852" s="1" t="s">
        <v>219</v>
      </c>
      <c r="D4852">
        <v>13666</v>
      </c>
      <c r="E4852" s="1" t="s">
        <v>243</v>
      </c>
      <c r="F4852" s="1" t="s">
        <v>354</v>
      </c>
      <c r="G4852">
        <v>2015</v>
      </c>
      <c r="H4852">
        <v>12895.43</v>
      </c>
      <c r="I4852">
        <v>5</v>
      </c>
      <c r="J4852" s="1"/>
      <c r="K4852">
        <v>0</v>
      </c>
      <c r="L4852">
        <v>1155</v>
      </c>
      <c r="M4852">
        <v>11.163907</v>
      </c>
      <c r="N4852">
        <v>2</v>
      </c>
      <c r="O4852" s="1" t="s">
        <v>569</v>
      </c>
      <c r="P4852">
        <v>12895.43</v>
      </c>
      <c r="Q4852">
        <v>3868.63</v>
      </c>
      <c r="R4852">
        <v>0</v>
      </c>
      <c r="S4852" s="1" t="s">
        <v>1163</v>
      </c>
      <c r="T4852" s="1"/>
      <c r="U4852">
        <v>12895.428</v>
      </c>
      <c r="V4852">
        <v>0</v>
      </c>
      <c r="W4852">
        <v>96149</v>
      </c>
    </row>
    <row r="4853" spans="1:23" x14ac:dyDescent="0.25">
      <c r="A4853" s="1" t="s">
        <v>40</v>
      </c>
      <c r="B4853" s="1" t="s">
        <v>91</v>
      </c>
      <c r="C4853" s="1" t="s">
        <v>219</v>
      </c>
      <c r="D4853">
        <v>13666</v>
      </c>
      <c r="E4853" s="1" t="s">
        <v>243</v>
      </c>
      <c r="F4853" s="1" t="s">
        <v>354</v>
      </c>
      <c r="G4853">
        <v>2015</v>
      </c>
      <c r="H4853">
        <v>191.51</v>
      </c>
      <c r="I4853">
        <v>5</v>
      </c>
      <c r="J4853" s="1"/>
      <c r="K4853">
        <v>0</v>
      </c>
      <c r="L4853">
        <v>1155</v>
      </c>
      <c r="M4853">
        <v>0.165795</v>
      </c>
      <c r="N4853">
        <v>2</v>
      </c>
      <c r="O4853" s="1" t="s">
        <v>569</v>
      </c>
      <c r="P4853">
        <v>191.51</v>
      </c>
      <c r="Q4853">
        <v>57.46</v>
      </c>
      <c r="R4853">
        <v>0</v>
      </c>
      <c r="S4853" s="1" t="s">
        <v>1164</v>
      </c>
      <c r="T4853" s="1" t="s">
        <v>1356</v>
      </c>
      <c r="U4853">
        <v>191.51400000000001</v>
      </c>
      <c r="V4853">
        <v>0</v>
      </c>
      <c r="W4853">
        <v>96150</v>
      </c>
    </row>
    <row r="4854" spans="1:23" x14ac:dyDescent="0.25">
      <c r="A4854" s="1" t="s">
        <v>40</v>
      </c>
      <c r="B4854" s="1" t="s">
        <v>91</v>
      </c>
      <c r="C4854" s="1" t="s">
        <v>219</v>
      </c>
      <c r="D4854">
        <v>13666</v>
      </c>
      <c r="E4854" s="1" t="s">
        <v>243</v>
      </c>
      <c r="F4854" s="1" t="s">
        <v>354</v>
      </c>
      <c r="G4854">
        <v>2014</v>
      </c>
      <c r="H4854">
        <v>284.04000000000002</v>
      </c>
      <c r="I4854">
        <v>1</v>
      </c>
      <c r="J4854" s="1" t="s">
        <v>557</v>
      </c>
      <c r="K4854">
        <v>0</v>
      </c>
      <c r="L4854">
        <v>1155</v>
      </c>
      <c r="M4854">
        <v>0.24590000000000001</v>
      </c>
      <c r="N4854">
        <v>2</v>
      </c>
      <c r="O4854" s="1" t="s">
        <v>569</v>
      </c>
      <c r="P4854">
        <v>284.04000000000002</v>
      </c>
      <c r="Q4854">
        <v>85.21</v>
      </c>
      <c r="R4854">
        <v>0</v>
      </c>
      <c r="S4854" s="1" t="s">
        <v>1164</v>
      </c>
      <c r="T4854" s="1" t="s">
        <v>1356</v>
      </c>
      <c r="U4854">
        <v>284.03669000000002</v>
      </c>
      <c r="V4854">
        <v>0</v>
      </c>
      <c r="W4854">
        <v>91259</v>
      </c>
    </row>
    <row r="4855" spans="1:23" x14ac:dyDescent="0.25">
      <c r="A4855" s="1" t="s">
        <v>40</v>
      </c>
      <c r="B4855" s="1" t="s">
        <v>91</v>
      </c>
      <c r="C4855" s="1" t="s">
        <v>219</v>
      </c>
      <c r="D4855">
        <v>13666</v>
      </c>
      <c r="E4855" s="1" t="s">
        <v>243</v>
      </c>
      <c r="F4855" s="1" t="s">
        <v>354</v>
      </c>
      <c r="G4855">
        <v>2014</v>
      </c>
      <c r="H4855">
        <v>12797.45</v>
      </c>
      <c r="I4855">
        <v>2</v>
      </c>
      <c r="J4855" s="1" t="s">
        <v>558</v>
      </c>
      <c r="K4855">
        <v>0</v>
      </c>
      <c r="L4855">
        <v>1155</v>
      </c>
      <c r="M4855">
        <v>11.079084</v>
      </c>
      <c r="N4855">
        <v>2</v>
      </c>
      <c r="O4855" s="1" t="s">
        <v>569</v>
      </c>
      <c r="P4855">
        <v>12797.45</v>
      </c>
      <c r="Q4855">
        <v>3839.24</v>
      </c>
      <c r="R4855">
        <v>0</v>
      </c>
      <c r="S4855" s="1" t="s">
        <v>1165</v>
      </c>
      <c r="T4855" s="1" t="s">
        <v>1357</v>
      </c>
      <c r="U4855">
        <v>12797.44954</v>
      </c>
      <c r="V4855">
        <v>0</v>
      </c>
      <c r="W4855">
        <v>91264</v>
      </c>
    </row>
    <row r="4856" spans="1:23" x14ac:dyDescent="0.25">
      <c r="A4856" s="1" t="s">
        <v>40</v>
      </c>
      <c r="B4856" s="1" t="s">
        <v>91</v>
      </c>
      <c r="C4856" s="1" t="s">
        <v>219</v>
      </c>
      <c r="D4856">
        <v>13666</v>
      </c>
      <c r="E4856" s="1" t="s">
        <v>243</v>
      </c>
      <c r="F4856" s="1" t="s">
        <v>354</v>
      </c>
      <c r="G4856">
        <v>2014</v>
      </c>
      <c r="H4856">
        <v>14479.16</v>
      </c>
      <c r="I4856">
        <v>9</v>
      </c>
      <c r="J4856" s="1"/>
      <c r="K4856">
        <v>0</v>
      </c>
      <c r="L4856">
        <v>1155</v>
      </c>
      <c r="M4856">
        <v>12.534983</v>
      </c>
      <c r="N4856">
        <v>2</v>
      </c>
      <c r="O4856" s="1" t="s">
        <v>569</v>
      </c>
      <c r="P4856">
        <v>14479.16</v>
      </c>
      <c r="Q4856">
        <v>4343.74</v>
      </c>
      <c r="R4856">
        <v>0</v>
      </c>
      <c r="S4856" s="1" t="s">
        <v>1163</v>
      </c>
      <c r="T4856" s="1"/>
      <c r="U4856">
        <v>14479.152</v>
      </c>
      <c r="V4856">
        <v>0</v>
      </c>
      <c r="W4856">
        <v>96149</v>
      </c>
    </row>
    <row r="4857" spans="1:23" x14ac:dyDescent="0.25">
      <c r="A4857" s="1" t="s">
        <v>40</v>
      </c>
      <c r="B4857" s="1" t="s">
        <v>91</v>
      </c>
      <c r="C4857" s="1" t="s">
        <v>219</v>
      </c>
      <c r="D4857">
        <v>13666</v>
      </c>
      <c r="E4857" s="1" t="s">
        <v>243</v>
      </c>
      <c r="F4857" s="1" t="s">
        <v>354</v>
      </c>
      <c r="G4857">
        <v>2014</v>
      </c>
      <c r="H4857">
        <v>240</v>
      </c>
      <c r="I4857">
        <v>2</v>
      </c>
      <c r="J4857" s="1" t="s">
        <v>559</v>
      </c>
      <c r="K4857">
        <v>0</v>
      </c>
      <c r="L4857">
        <v>1155</v>
      </c>
      <c r="M4857">
        <v>0.20777399999999999</v>
      </c>
      <c r="N4857">
        <v>2</v>
      </c>
      <c r="O4857" s="1" t="s">
        <v>569</v>
      </c>
      <c r="P4857">
        <v>240</v>
      </c>
      <c r="Q4857">
        <v>72</v>
      </c>
      <c r="R4857">
        <v>0</v>
      </c>
      <c r="S4857" s="1" t="s">
        <v>1163</v>
      </c>
      <c r="T4857" s="1"/>
      <c r="U4857">
        <v>240</v>
      </c>
      <c r="V4857">
        <v>0</v>
      </c>
      <c r="W4857">
        <v>96084</v>
      </c>
    </row>
    <row r="4858" spans="1:23" x14ac:dyDescent="0.25">
      <c r="A4858" s="1" t="s">
        <v>40</v>
      </c>
      <c r="B4858" s="1" t="s">
        <v>91</v>
      </c>
      <c r="C4858" s="1" t="s">
        <v>219</v>
      </c>
      <c r="D4858">
        <v>13666</v>
      </c>
      <c r="E4858" s="1" t="s">
        <v>243</v>
      </c>
      <c r="F4858" s="1" t="s">
        <v>354</v>
      </c>
      <c r="G4858">
        <v>2014</v>
      </c>
      <c r="H4858">
        <v>394.14</v>
      </c>
      <c r="I4858">
        <v>9</v>
      </c>
      <c r="J4858" s="1"/>
      <c r="K4858">
        <v>0</v>
      </c>
      <c r="L4858">
        <v>1155</v>
      </c>
      <c r="M4858">
        <v>0.34121699999999999</v>
      </c>
      <c r="N4858">
        <v>2</v>
      </c>
      <c r="O4858" s="1" t="s">
        <v>569</v>
      </c>
      <c r="P4858">
        <v>394.14</v>
      </c>
      <c r="Q4858">
        <v>118.24</v>
      </c>
      <c r="R4858">
        <v>0</v>
      </c>
      <c r="S4858" s="1" t="s">
        <v>1164</v>
      </c>
      <c r="T4858" s="1" t="s">
        <v>1356</v>
      </c>
      <c r="U4858">
        <v>394.14598000000001</v>
      </c>
      <c r="V4858">
        <v>0</v>
      </c>
      <c r="W4858">
        <v>96150</v>
      </c>
    </row>
    <row r="4859" spans="1:23" x14ac:dyDescent="0.25">
      <c r="A4859" s="1" t="s">
        <v>40</v>
      </c>
      <c r="B4859" s="1" t="s">
        <v>91</v>
      </c>
      <c r="C4859" s="1" t="s">
        <v>219</v>
      </c>
      <c r="D4859">
        <v>13666</v>
      </c>
      <c r="E4859" s="1" t="s">
        <v>243</v>
      </c>
      <c r="F4859" s="1" t="s">
        <v>354</v>
      </c>
      <c r="G4859">
        <v>2013</v>
      </c>
      <c r="H4859">
        <v>30642.25</v>
      </c>
      <c r="I4859">
        <v>6</v>
      </c>
      <c r="J4859" s="1" t="s">
        <v>558</v>
      </c>
      <c r="K4859">
        <v>0</v>
      </c>
      <c r="L4859">
        <v>1155</v>
      </c>
      <c r="M4859">
        <v>26.527788999999999</v>
      </c>
      <c r="N4859">
        <v>2</v>
      </c>
      <c r="O4859" s="1" t="s">
        <v>569</v>
      </c>
      <c r="P4859">
        <v>30642.25</v>
      </c>
      <c r="Q4859">
        <v>9192.67</v>
      </c>
      <c r="R4859">
        <v>0</v>
      </c>
      <c r="S4859" s="1" t="s">
        <v>1165</v>
      </c>
      <c r="T4859" s="1" t="s">
        <v>1357</v>
      </c>
      <c r="U4859">
        <v>30642.231319999999</v>
      </c>
      <c r="V4859">
        <v>0</v>
      </c>
      <c r="W4859">
        <v>91264</v>
      </c>
    </row>
    <row r="4860" spans="1:23" x14ac:dyDescent="0.25">
      <c r="A4860" s="1" t="s">
        <v>40</v>
      </c>
      <c r="B4860" s="1" t="s">
        <v>91</v>
      </c>
      <c r="C4860" s="1" t="s">
        <v>219</v>
      </c>
      <c r="D4860">
        <v>13666</v>
      </c>
      <c r="E4860" s="1" t="s">
        <v>243</v>
      </c>
      <c r="F4860" s="1" t="s">
        <v>354</v>
      </c>
      <c r="G4860">
        <v>2013</v>
      </c>
      <c r="H4860">
        <v>233.9</v>
      </c>
      <c r="I4860">
        <v>4</v>
      </c>
      <c r="J4860" s="1" t="s">
        <v>557</v>
      </c>
      <c r="K4860">
        <v>0</v>
      </c>
      <c r="L4860">
        <v>1155</v>
      </c>
      <c r="M4860">
        <v>0.20249300000000001</v>
      </c>
      <c r="N4860">
        <v>2</v>
      </c>
      <c r="O4860" s="1" t="s">
        <v>569</v>
      </c>
      <c r="P4860">
        <v>233.9</v>
      </c>
      <c r="Q4860">
        <v>70.180000000000007</v>
      </c>
      <c r="R4860">
        <v>0</v>
      </c>
      <c r="S4860" s="1" t="s">
        <v>1164</v>
      </c>
      <c r="T4860" s="1" t="s">
        <v>1356</v>
      </c>
      <c r="U4860">
        <v>233.89434</v>
      </c>
      <c r="V4860">
        <v>0</v>
      </c>
      <c r="W4860">
        <v>91259</v>
      </c>
    </row>
    <row r="4861" spans="1:23" x14ac:dyDescent="0.25">
      <c r="A4861" s="1" t="s">
        <v>40</v>
      </c>
      <c r="B4861" s="1" t="s">
        <v>91</v>
      </c>
      <c r="C4861" s="1" t="s">
        <v>219</v>
      </c>
      <c r="D4861">
        <v>13666</v>
      </c>
      <c r="E4861" s="1" t="s">
        <v>243</v>
      </c>
      <c r="F4861" s="1" t="s">
        <v>354</v>
      </c>
      <c r="G4861">
        <v>2012</v>
      </c>
      <c r="H4861">
        <v>1130.07</v>
      </c>
      <c r="I4861">
        <v>1</v>
      </c>
      <c r="J4861" s="1" t="s">
        <v>557</v>
      </c>
      <c r="K4861">
        <v>0</v>
      </c>
      <c r="L4861">
        <v>1155</v>
      </c>
      <c r="M4861">
        <v>0.97833000000000003</v>
      </c>
      <c r="N4861">
        <v>2</v>
      </c>
      <c r="O4861" s="1" t="s">
        <v>569</v>
      </c>
      <c r="P4861">
        <v>1130.07</v>
      </c>
      <c r="Q4861">
        <v>452</v>
      </c>
      <c r="R4861">
        <v>0</v>
      </c>
      <c r="S4861" s="1" t="s">
        <v>1164</v>
      </c>
      <c r="T4861" s="1" t="s">
        <v>1356</v>
      </c>
      <c r="U4861">
        <v>1130.0497399999999</v>
      </c>
      <c r="V4861">
        <v>0</v>
      </c>
      <c r="W4861">
        <v>91259</v>
      </c>
    </row>
    <row r="4862" spans="1:23" x14ac:dyDescent="0.25">
      <c r="A4862" s="1" t="s">
        <v>40</v>
      </c>
      <c r="B4862" s="1" t="s">
        <v>91</v>
      </c>
      <c r="C4862" s="1" t="s">
        <v>219</v>
      </c>
      <c r="D4862">
        <v>13666</v>
      </c>
      <c r="E4862" s="1" t="s">
        <v>243</v>
      </c>
      <c r="F4862" s="1" t="s">
        <v>354</v>
      </c>
      <c r="G4862">
        <v>2012</v>
      </c>
      <c r="H4862">
        <v>33156.160000000003</v>
      </c>
      <c r="I4862">
        <v>1</v>
      </c>
      <c r="J4862" s="1" t="s">
        <v>558</v>
      </c>
      <c r="K4862">
        <v>0</v>
      </c>
      <c r="L4862">
        <v>1155</v>
      </c>
      <c r="M4862">
        <v>28.704146000000001</v>
      </c>
      <c r="N4862">
        <v>2</v>
      </c>
      <c r="O4862" s="1" t="s">
        <v>569</v>
      </c>
      <c r="P4862">
        <v>33156.160000000003</v>
      </c>
      <c r="Q4862">
        <v>13262.43</v>
      </c>
      <c r="R4862">
        <v>0</v>
      </c>
      <c r="S4862" s="1" t="s">
        <v>1165</v>
      </c>
      <c r="T4862" s="1" t="s">
        <v>1357</v>
      </c>
      <c r="U4862">
        <v>33156.157749999998</v>
      </c>
      <c r="V4862">
        <v>0</v>
      </c>
      <c r="W4862">
        <v>91264</v>
      </c>
    </row>
    <row r="4863" spans="1:23" x14ac:dyDescent="0.25">
      <c r="A4863" s="1" t="s">
        <v>40</v>
      </c>
      <c r="B4863" s="1" t="s">
        <v>91</v>
      </c>
      <c r="C4863" s="1" t="s">
        <v>219</v>
      </c>
      <c r="D4863">
        <v>13666</v>
      </c>
      <c r="E4863" s="1" t="s">
        <v>243</v>
      </c>
      <c r="F4863" s="1" t="s">
        <v>354</v>
      </c>
      <c r="G4863">
        <v>2011</v>
      </c>
      <c r="H4863">
        <v>407.49</v>
      </c>
      <c r="I4863">
        <v>1</v>
      </c>
      <c r="J4863" s="1" t="s">
        <v>557</v>
      </c>
      <c r="K4863">
        <v>0</v>
      </c>
      <c r="L4863">
        <v>1155</v>
      </c>
      <c r="M4863">
        <v>0.35277399999999998</v>
      </c>
      <c r="N4863">
        <v>2</v>
      </c>
      <c r="O4863" s="1" t="s">
        <v>569</v>
      </c>
      <c r="P4863">
        <v>407.49</v>
      </c>
      <c r="Q4863">
        <v>191.13</v>
      </c>
      <c r="R4863">
        <v>0</v>
      </c>
      <c r="S4863" s="1" t="s">
        <v>1164</v>
      </c>
      <c r="T4863" s="1" t="s">
        <v>1356</v>
      </c>
      <c r="U4863">
        <v>407.49797999999998</v>
      </c>
      <c r="V4863">
        <v>0</v>
      </c>
      <c r="W4863">
        <v>91259</v>
      </c>
    </row>
    <row r="4864" spans="1:23" x14ac:dyDescent="0.25">
      <c r="A4864" s="1" t="s">
        <v>40</v>
      </c>
      <c r="B4864" s="1" t="s">
        <v>91</v>
      </c>
      <c r="C4864" s="1" t="s">
        <v>219</v>
      </c>
      <c r="D4864">
        <v>13666</v>
      </c>
      <c r="E4864" s="1" t="s">
        <v>243</v>
      </c>
      <c r="F4864" s="1" t="s">
        <v>354</v>
      </c>
      <c r="G4864">
        <v>2011</v>
      </c>
      <c r="H4864">
        <v>30739.7</v>
      </c>
      <c r="I4864">
        <v>1</v>
      </c>
      <c r="J4864" s="1" t="s">
        <v>558</v>
      </c>
      <c r="K4864">
        <v>0</v>
      </c>
      <c r="L4864">
        <v>1155</v>
      </c>
      <c r="M4864">
        <v>26.612154</v>
      </c>
      <c r="N4864">
        <v>2</v>
      </c>
      <c r="O4864" s="1" t="s">
        <v>569</v>
      </c>
      <c r="P4864">
        <v>30739.7</v>
      </c>
      <c r="Q4864">
        <v>14416.91</v>
      </c>
      <c r="R4864">
        <v>0</v>
      </c>
      <c r="S4864" s="1" t="s">
        <v>1165</v>
      </c>
      <c r="T4864" s="1" t="s">
        <v>1357</v>
      </c>
      <c r="U4864">
        <v>30739.70923</v>
      </c>
      <c r="V4864">
        <v>0</v>
      </c>
      <c r="W4864">
        <v>91264</v>
      </c>
    </row>
    <row r="4865" spans="1:23" x14ac:dyDescent="0.25">
      <c r="A4865" s="1" t="s">
        <v>40</v>
      </c>
      <c r="B4865" s="1" t="s">
        <v>91</v>
      </c>
      <c r="C4865" s="1" t="s">
        <v>219</v>
      </c>
      <c r="D4865">
        <v>13666</v>
      </c>
      <c r="E4865" s="1" t="s">
        <v>243</v>
      </c>
      <c r="F4865" s="1" t="s">
        <v>354</v>
      </c>
      <c r="G4865">
        <v>2010</v>
      </c>
      <c r="H4865">
        <v>44.52</v>
      </c>
      <c r="I4865">
        <v>1</v>
      </c>
      <c r="J4865" s="1" t="s">
        <v>557</v>
      </c>
      <c r="K4865">
        <v>0</v>
      </c>
      <c r="L4865">
        <v>1155</v>
      </c>
      <c r="M4865">
        <v>3.8542E-2</v>
      </c>
      <c r="N4865">
        <v>2</v>
      </c>
      <c r="O4865" s="1" t="s">
        <v>569</v>
      </c>
      <c r="P4865">
        <v>44.52</v>
      </c>
      <c r="Q4865">
        <v>20.88</v>
      </c>
      <c r="R4865">
        <v>0</v>
      </c>
      <c r="S4865" s="1" t="s">
        <v>1164</v>
      </c>
      <c r="T4865" s="1" t="s">
        <v>1356</v>
      </c>
      <c r="U4865">
        <v>44.521279999999997</v>
      </c>
      <c r="V4865">
        <v>0</v>
      </c>
      <c r="W4865">
        <v>91259</v>
      </c>
    </row>
    <row r="4866" spans="1:23" x14ac:dyDescent="0.25">
      <c r="A4866" s="1" t="s">
        <v>40</v>
      </c>
      <c r="B4866" s="1" t="s">
        <v>91</v>
      </c>
      <c r="C4866" s="1" t="s">
        <v>219</v>
      </c>
      <c r="D4866">
        <v>13666</v>
      </c>
      <c r="E4866" s="1" t="s">
        <v>243</v>
      </c>
      <c r="F4866" s="1" t="s">
        <v>354</v>
      </c>
      <c r="G4866">
        <v>2010</v>
      </c>
      <c r="H4866">
        <v>19106.310000000001</v>
      </c>
      <c r="I4866">
        <v>1</v>
      </c>
      <c r="J4866" s="1" t="s">
        <v>558</v>
      </c>
      <c r="K4866">
        <v>0</v>
      </c>
      <c r="L4866">
        <v>1155</v>
      </c>
      <c r="M4866">
        <v>16.540827</v>
      </c>
      <c r="N4866">
        <v>2</v>
      </c>
      <c r="O4866" s="1" t="s">
        <v>569</v>
      </c>
      <c r="P4866">
        <v>19106.310000000001</v>
      </c>
      <c r="Q4866">
        <v>8960.86</v>
      </c>
      <c r="R4866">
        <v>0</v>
      </c>
      <c r="S4866" s="1" t="s">
        <v>1165</v>
      </c>
      <c r="T4866" s="1" t="s">
        <v>1357</v>
      </c>
      <c r="U4866">
        <v>19106.315139999999</v>
      </c>
      <c r="V4866">
        <v>0</v>
      </c>
      <c r="W4866">
        <v>91264</v>
      </c>
    </row>
    <row r="4867" spans="1:23" x14ac:dyDescent="0.25">
      <c r="A4867" s="1" t="s">
        <v>40</v>
      </c>
      <c r="B4867" s="1" t="s">
        <v>91</v>
      </c>
      <c r="C4867" s="1" t="s">
        <v>219</v>
      </c>
      <c r="D4867">
        <v>13666</v>
      </c>
      <c r="E4867" s="1" t="s">
        <v>243</v>
      </c>
      <c r="F4867" s="1" t="s">
        <v>354</v>
      </c>
      <c r="G4867">
        <v>2009</v>
      </c>
      <c r="H4867">
        <v>14461.45</v>
      </c>
      <c r="I4867">
        <v>1</v>
      </c>
      <c r="J4867" s="1" t="s">
        <v>558</v>
      </c>
      <c r="K4867">
        <v>0</v>
      </c>
      <c r="L4867">
        <v>1155</v>
      </c>
      <c r="M4867">
        <v>12.519651</v>
      </c>
      <c r="N4867">
        <v>2</v>
      </c>
      <c r="O4867" s="1" t="s">
        <v>569</v>
      </c>
      <c r="P4867">
        <v>14461.45</v>
      </c>
      <c r="Q4867">
        <v>6782.39</v>
      </c>
      <c r="R4867">
        <v>0</v>
      </c>
      <c r="S4867" s="1" t="s">
        <v>1165</v>
      </c>
      <c r="T4867" s="1" t="s">
        <v>1357</v>
      </c>
      <c r="U4867">
        <v>14461.43015</v>
      </c>
      <c r="V4867">
        <v>0</v>
      </c>
      <c r="W4867">
        <v>91264</v>
      </c>
    </row>
    <row r="4868" spans="1:23" x14ac:dyDescent="0.25">
      <c r="A4868" s="1" t="s">
        <v>40</v>
      </c>
      <c r="B4868" s="1" t="s">
        <v>91</v>
      </c>
      <c r="C4868" s="1" t="s">
        <v>219</v>
      </c>
      <c r="D4868">
        <v>13666</v>
      </c>
      <c r="E4868" s="1" t="s">
        <v>243</v>
      </c>
      <c r="F4868" s="1" t="s">
        <v>354</v>
      </c>
      <c r="G4868">
        <v>2008</v>
      </c>
      <c r="H4868">
        <v>14450.74</v>
      </c>
      <c r="I4868">
        <v>1</v>
      </c>
      <c r="J4868" s="1" t="s">
        <v>558</v>
      </c>
      <c r="K4868">
        <v>0</v>
      </c>
      <c r="L4868">
        <v>1155</v>
      </c>
      <c r="M4868">
        <v>12.51038</v>
      </c>
      <c r="N4868">
        <v>2</v>
      </c>
      <c r="O4868" s="1" t="s">
        <v>569</v>
      </c>
      <c r="P4868">
        <v>14450.74</v>
      </c>
      <c r="Q4868">
        <v>6777.37</v>
      </c>
      <c r="R4868">
        <v>0</v>
      </c>
      <c r="S4868" s="1" t="s">
        <v>1165</v>
      </c>
      <c r="T4868" s="1" t="s">
        <v>1357</v>
      </c>
      <c r="U4868">
        <v>14450.723249999999</v>
      </c>
      <c r="V4868">
        <v>0</v>
      </c>
      <c r="W4868">
        <v>91264</v>
      </c>
    </row>
    <row r="4869" spans="1:23" x14ac:dyDescent="0.25">
      <c r="A4869" s="1" t="s">
        <v>40</v>
      </c>
      <c r="B4869" s="1" t="s">
        <v>92</v>
      </c>
      <c r="C4869" s="1" t="s">
        <v>220</v>
      </c>
      <c r="D4869">
        <v>13868</v>
      </c>
      <c r="E4869" s="1" t="s">
        <v>243</v>
      </c>
      <c r="F4869" s="1" t="s">
        <v>355</v>
      </c>
      <c r="G4869">
        <v>2015</v>
      </c>
      <c r="H4869">
        <v>4811.7</v>
      </c>
      <c r="I4869">
        <v>5</v>
      </c>
      <c r="J4869" s="1" t="s">
        <v>460</v>
      </c>
      <c r="K4869">
        <v>0</v>
      </c>
      <c r="L4869">
        <v>867</v>
      </c>
      <c r="M4869">
        <v>5.5491859999999997</v>
      </c>
      <c r="N4869">
        <v>2</v>
      </c>
      <c r="O4869" s="1" t="s">
        <v>569</v>
      </c>
      <c r="P4869">
        <v>4811.7</v>
      </c>
      <c r="Q4869">
        <v>1443.52</v>
      </c>
      <c r="R4869">
        <v>0</v>
      </c>
      <c r="S4869" s="1" t="s">
        <v>1166</v>
      </c>
      <c r="T4869" s="1" t="s">
        <v>1358</v>
      </c>
      <c r="U4869">
        <v>4811.6980000000003</v>
      </c>
      <c r="V4869">
        <v>0</v>
      </c>
      <c r="W4869">
        <v>92216</v>
      </c>
    </row>
    <row r="4870" spans="1:23" x14ac:dyDescent="0.25">
      <c r="A4870" s="1" t="s">
        <v>40</v>
      </c>
      <c r="B4870" s="1" t="s">
        <v>92</v>
      </c>
      <c r="C4870" s="1" t="s">
        <v>220</v>
      </c>
      <c r="D4870">
        <v>13868</v>
      </c>
      <c r="E4870" s="1" t="s">
        <v>243</v>
      </c>
      <c r="F4870" s="1" t="s">
        <v>355</v>
      </c>
      <c r="G4870">
        <v>2014</v>
      </c>
      <c r="H4870">
        <v>12100.11</v>
      </c>
      <c r="I4870">
        <v>11</v>
      </c>
      <c r="J4870" s="1" t="s">
        <v>460</v>
      </c>
      <c r="K4870">
        <v>0</v>
      </c>
      <c r="L4870">
        <v>867</v>
      </c>
      <c r="M4870">
        <v>13.954688000000001</v>
      </c>
      <c r="N4870">
        <v>2</v>
      </c>
      <c r="O4870" s="1" t="s">
        <v>569</v>
      </c>
      <c r="P4870">
        <v>12100.11</v>
      </c>
      <c r="Q4870">
        <v>3630.03</v>
      </c>
      <c r="R4870">
        <v>0</v>
      </c>
      <c r="S4870" s="1" t="s">
        <v>1166</v>
      </c>
      <c r="T4870" s="1" t="s">
        <v>1358</v>
      </c>
      <c r="U4870">
        <v>12100.096820000001</v>
      </c>
      <c r="V4870">
        <v>0</v>
      </c>
      <c r="W4870">
        <v>92216</v>
      </c>
    </row>
    <row r="4871" spans="1:23" x14ac:dyDescent="0.25">
      <c r="A4871" s="1" t="s">
        <v>40</v>
      </c>
      <c r="B4871" s="1" t="s">
        <v>92</v>
      </c>
      <c r="C4871" s="1" t="s">
        <v>220</v>
      </c>
      <c r="D4871">
        <v>13868</v>
      </c>
      <c r="E4871" s="1" t="s">
        <v>243</v>
      </c>
      <c r="F4871" s="1" t="s">
        <v>355</v>
      </c>
      <c r="G4871">
        <v>2013</v>
      </c>
      <c r="H4871">
        <v>15117.19</v>
      </c>
      <c r="I4871">
        <v>5</v>
      </c>
      <c r="J4871" s="1" t="s">
        <v>460</v>
      </c>
      <c r="K4871">
        <v>0</v>
      </c>
      <c r="L4871">
        <v>867</v>
      </c>
      <c r="M4871">
        <v>17.434194000000002</v>
      </c>
      <c r="N4871">
        <v>2</v>
      </c>
      <c r="O4871" s="1" t="s">
        <v>569</v>
      </c>
      <c r="P4871">
        <v>15117.19</v>
      </c>
      <c r="Q4871">
        <v>4535.17</v>
      </c>
      <c r="R4871">
        <v>0</v>
      </c>
      <c r="S4871" s="1" t="s">
        <v>1166</v>
      </c>
      <c r="T4871" s="1" t="s">
        <v>1358</v>
      </c>
      <c r="U4871">
        <v>15117.191199999999</v>
      </c>
      <c r="V4871">
        <v>0</v>
      </c>
      <c r="W4871">
        <v>92216</v>
      </c>
    </row>
    <row r="4872" spans="1:23" x14ac:dyDescent="0.25">
      <c r="A4872" s="1" t="s">
        <v>40</v>
      </c>
      <c r="B4872" s="1" t="s">
        <v>92</v>
      </c>
      <c r="C4872" s="1" t="s">
        <v>220</v>
      </c>
      <c r="D4872">
        <v>13868</v>
      </c>
      <c r="E4872" s="1" t="s">
        <v>243</v>
      </c>
      <c r="F4872" s="1" t="s">
        <v>355</v>
      </c>
      <c r="G4872">
        <v>2012</v>
      </c>
      <c r="H4872">
        <v>15700.17</v>
      </c>
      <c r="I4872">
        <v>2</v>
      </c>
      <c r="J4872" s="1" t="s">
        <v>460</v>
      </c>
      <c r="K4872">
        <v>0</v>
      </c>
      <c r="L4872">
        <v>867</v>
      </c>
      <c r="M4872">
        <v>18.106527</v>
      </c>
      <c r="N4872">
        <v>2</v>
      </c>
      <c r="O4872" s="1" t="s">
        <v>569</v>
      </c>
      <c r="P4872">
        <v>15700.17</v>
      </c>
      <c r="Q4872">
        <v>6280.05</v>
      </c>
      <c r="R4872">
        <v>0</v>
      </c>
      <c r="S4872" s="1" t="s">
        <v>1166</v>
      </c>
      <c r="T4872" s="1" t="s">
        <v>1358</v>
      </c>
      <c r="U4872">
        <v>15700.152</v>
      </c>
      <c r="V4872">
        <v>0</v>
      </c>
      <c r="W4872">
        <v>92216</v>
      </c>
    </row>
    <row r="4873" spans="1:23" x14ac:dyDescent="0.25">
      <c r="A4873" s="1" t="s">
        <v>40</v>
      </c>
      <c r="B4873" s="1" t="s">
        <v>92</v>
      </c>
      <c r="C4873" s="1" t="s">
        <v>220</v>
      </c>
      <c r="D4873">
        <v>13868</v>
      </c>
      <c r="E4873" s="1" t="s">
        <v>243</v>
      </c>
      <c r="F4873" s="1" t="s">
        <v>355</v>
      </c>
      <c r="G4873">
        <v>2011</v>
      </c>
      <c r="H4873">
        <v>17426.73</v>
      </c>
      <c r="I4873">
        <v>1</v>
      </c>
      <c r="J4873" s="1" t="s">
        <v>460</v>
      </c>
      <c r="K4873">
        <v>0</v>
      </c>
      <c r="L4873">
        <v>867</v>
      </c>
      <c r="M4873">
        <v>20.097715999999998</v>
      </c>
      <c r="N4873">
        <v>2</v>
      </c>
      <c r="O4873" s="1" t="s">
        <v>569</v>
      </c>
      <c r="P4873">
        <v>17426.73</v>
      </c>
      <c r="Q4873">
        <v>8173.18</v>
      </c>
      <c r="R4873">
        <v>0</v>
      </c>
      <c r="S4873" s="1" t="s">
        <v>1166</v>
      </c>
      <c r="T4873" s="1" t="s">
        <v>1358</v>
      </c>
      <c r="U4873">
        <v>17426.76713</v>
      </c>
      <c r="V4873">
        <v>0</v>
      </c>
      <c r="W4873">
        <v>92216</v>
      </c>
    </row>
    <row r="4874" spans="1:23" x14ac:dyDescent="0.25">
      <c r="A4874" s="1" t="s">
        <v>40</v>
      </c>
      <c r="B4874" s="1" t="s">
        <v>92</v>
      </c>
      <c r="C4874" s="1" t="s">
        <v>220</v>
      </c>
      <c r="D4874">
        <v>13868</v>
      </c>
      <c r="E4874" s="1" t="s">
        <v>243</v>
      </c>
      <c r="F4874" s="1" t="s">
        <v>355</v>
      </c>
      <c r="G4874">
        <v>2010</v>
      </c>
      <c r="H4874">
        <v>15334.16</v>
      </c>
      <c r="I4874">
        <v>1</v>
      </c>
      <c r="J4874" s="1" t="s">
        <v>460</v>
      </c>
      <c r="K4874">
        <v>0</v>
      </c>
      <c r="L4874">
        <v>867</v>
      </c>
      <c r="M4874">
        <v>17.684418999999998</v>
      </c>
      <c r="N4874">
        <v>2</v>
      </c>
      <c r="O4874" s="1" t="s">
        <v>569</v>
      </c>
      <c r="P4874">
        <v>15334.16</v>
      </c>
      <c r="Q4874">
        <v>7191.73</v>
      </c>
      <c r="R4874">
        <v>0</v>
      </c>
      <c r="S4874" s="1" t="s">
        <v>1166</v>
      </c>
      <c r="T4874" s="1" t="s">
        <v>1358</v>
      </c>
      <c r="U4874">
        <v>15334.196739999999</v>
      </c>
      <c r="V4874">
        <v>0</v>
      </c>
      <c r="W4874">
        <v>92216</v>
      </c>
    </row>
    <row r="4875" spans="1:23" x14ac:dyDescent="0.25">
      <c r="A4875" s="1" t="s">
        <v>40</v>
      </c>
      <c r="B4875" s="1" t="s">
        <v>92</v>
      </c>
      <c r="C4875" s="1" t="s">
        <v>220</v>
      </c>
      <c r="D4875">
        <v>13868</v>
      </c>
      <c r="E4875" s="1" t="s">
        <v>243</v>
      </c>
      <c r="F4875" s="1" t="s">
        <v>355</v>
      </c>
      <c r="G4875">
        <v>2009</v>
      </c>
      <c r="H4875">
        <v>13571.67</v>
      </c>
      <c r="I4875">
        <v>1</v>
      </c>
      <c r="J4875" s="1" t="s">
        <v>460</v>
      </c>
      <c r="K4875">
        <v>0</v>
      </c>
      <c r="L4875">
        <v>867</v>
      </c>
      <c r="M4875">
        <v>15.651793</v>
      </c>
      <c r="N4875">
        <v>2</v>
      </c>
      <c r="O4875" s="1" t="s">
        <v>569</v>
      </c>
      <c r="P4875">
        <v>13571.67</v>
      </c>
      <c r="Q4875">
        <v>6365.09</v>
      </c>
      <c r="R4875">
        <v>0</v>
      </c>
      <c r="S4875" s="1" t="s">
        <v>1166</v>
      </c>
      <c r="T4875" s="1" t="s">
        <v>1358</v>
      </c>
      <c r="U4875">
        <v>13571.657590000001</v>
      </c>
      <c r="V4875">
        <v>0</v>
      </c>
      <c r="W4875">
        <v>92216</v>
      </c>
    </row>
    <row r="4876" spans="1:23" x14ac:dyDescent="0.25">
      <c r="A4876" s="1" t="s">
        <v>40</v>
      </c>
      <c r="B4876" s="1" t="s">
        <v>92</v>
      </c>
      <c r="C4876" s="1" t="s">
        <v>220</v>
      </c>
      <c r="D4876">
        <v>13868</v>
      </c>
      <c r="E4876" s="1" t="s">
        <v>243</v>
      </c>
      <c r="F4876" s="1" t="s">
        <v>355</v>
      </c>
      <c r="G4876">
        <v>2008</v>
      </c>
      <c r="H4876">
        <v>12756.34</v>
      </c>
      <c r="I4876">
        <v>1</v>
      </c>
      <c r="J4876" s="1" t="s">
        <v>460</v>
      </c>
      <c r="K4876">
        <v>0</v>
      </c>
      <c r="L4876">
        <v>867</v>
      </c>
      <c r="M4876">
        <v>14.711498000000001</v>
      </c>
      <c r="N4876">
        <v>2</v>
      </c>
      <c r="O4876" s="1" t="s">
        <v>569</v>
      </c>
      <c r="P4876">
        <v>12756.34</v>
      </c>
      <c r="Q4876">
        <v>5982.68</v>
      </c>
      <c r="R4876">
        <v>0</v>
      </c>
      <c r="S4876" s="1" t="s">
        <v>1166</v>
      </c>
      <c r="T4876" s="1" t="s">
        <v>1358</v>
      </c>
      <c r="U4876">
        <v>12756.353569999999</v>
      </c>
      <c r="V4876">
        <v>0</v>
      </c>
      <c r="W4876">
        <v>92216</v>
      </c>
    </row>
    <row r="4877" spans="1:23" x14ac:dyDescent="0.25">
      <c r="A4877" s="1" t="s">
        <v>40</v>
      </c>
      <c r="B4877" s="1"/>
      <c r="C4877" s="1" t="s">
        <v>228</v>
      </c>
      <c r="D4877">
        <v>13988</v>
      </c>
      <c r="E4877" s="1" t="s">
        <v>243</v>
      </c>
      <c r="F4877" s="1" t="s">
        <v>228</v>
      </c>
      <c r="G4877">
        <v>2014</v>
      </c>
      <c r="H4877">
        <v>5495.49</v>
      </c>
      <c r="I4877">
        <v>2</v>
      </c>
      <c r="J4877" s="1" t="s">
        <v>502</v>
      </c>
      <c r="K4877">
        <v>0</v>
      </c>
      <c r="L4877">
        <v>0</v>
      </c>
      <c r="M4877">
        <v>54954.9</v>
      </c>
      <c r="N4877">
        <v>2</v>
      </c>
      <c r="O4877" s="1" t="s">
        <v>569</v>
      </c>
      <c r="P4877">
        <v>5495.49</v>
      </c>
      <c r="Q4877">
        <v>1648.63</v>
      </c>
      <c r="R4877">
        <v>0</v>
      </c>
      <c r="S4877" s="1" t="s">
        <v>1167</v>
      </c>
      <c r="T4877" s="1" t="s">
        <v>1359</v>
      </c>
      <c r="U4877">
        <v>5495.4843000000001</v>
      </c>
      <c r="V4877">
        <v>0</v>
      </c>
      <c r="W4877">
        <v>92749</v>
      </c>
    </row>
    <row r="4878" spans="1:23" x14ac:dyDescent="0.25">
      <c r="A4878" s="1" t="s">
        <v>40</v>
      </c>
      <c r="B4878" s="1"/>
      <c r="C4878" s="1" t="s">
        <v>228</v>
      </c>
      <c r="D4878">
        <v>13988</v>
      </c>
      <c r="E4878" s="1" t="s">
        <v>243</v>
      </c>
      <c r="F4878" s="1" t="s">
        <v>228</v>
      </c>
      <c r="G4878">
        <v>2013</v>
      </c>
      <c r="H4878">
        <v>6322.03</v>
      </c>
      <c r="I4878">
        <v>3</v>
      </c>
      <c r="J4878" s="1" t="s">
        <v>502</v>
      </c>
      <c r="K4878">
        <v>0</v>
      </c>
      <c r="L4878">
        <v>0</v>
      </c>
      <c r="M4878">
        <v>63220.3</v>
      </c>
      <c r="N4878">
        <v>2</v>
      </c>
      <c r="O4878" s="1" t="s">
        <v>569</v>
      </c>
      <c r="P4878">
        <v>6322.03</v>
      </c>
      <c r="Q4878">
        <v>1896.62</v>
      </c>
      <c r="R4878">
        <v>0</v>
      </c>
      <c r="S4878" s="1" t="s">
        <v>1167</v>
      </c>
      <c r="T4878" s="1" t="s">
        <v>1359</v>
      </c>
      <c r="U4878">
        <v>6322.0458600000002</v>
      </c>
      <c r="V4878">
        <v>0</v>
      </c>
      <c r="W4878">
        <v>92749</v>
      </c>
    </row>
    <row r="4879" spans="1:23" x14ac:dyDescent="0.25">
      <c r="A4879" s="1" t="s">
        <v>40</v>
      </c>
      <c r="B4879" s="1"/>
      <c r="C4879" s="1" t="s">
        <v>228</v>
      </c>
      <c r="D4879">
        <v>13988</v>
      </c>
      <c r="E4879" s="1" t="s">
        <v>243</v>
      </c>
      <c r="F4879" s="1" t="s">
        <v>228</v>
      </c>
      <c r="G4879">
        <v>2012</v>
      </c>
      <c r="H4879">
        <v>5988.97</v>
      </c>
      <c r="I4879">
        <v>1</v>
      </c>
      <c r="J4879" s="1" t="s">
        <v>502</v>
      </c>
      <c r="K4879">
        <v>0</v>
      </c>
      <c r="L4879">
        <v>0</v>
      </c>
      <c r="M4879">
        <v>59889.7</v>
      </c>
      <c r="N4879">
        <v>2</v>
      </c>
      <c r="O4879" s="1" t="s">
        <v>569</v>
      </c>
      <c r="P4879">
        <v>5988.97</v>
      </c>
      <c r="Q4879">
        <v>2395.59</v>
      </c>
      <c r="R4879">
        <v>0</v>
      </c>
      <c r="S4879" s="1" t="s">
        <v>1167</v>
      </c>
      <c r="T4879" s="1" t="s">
        <v>1359</v>
      </c>
      <c r="U4879">
        <v>5988.9813899999999</v>
      </c>
      <c r="V4879">
        <v>0</v>
      </c>
      <c r="W4879">
        <v>92749</v>
      </c>
    </row>
    <row r="4880" spans="1:23" x14ac:dyDescent="0.25">
      <c r="A4880" s="1" t="s">
        <v>40</v>
      </c>
      <c r="B4880" s="1"/>
      <c r="C4880" s="1" t="s">
        <v>228</v>
      </c>
      <c r="D4880">
        <v>13988</v>
      </c>
      <c r="E4880" s="1" t="s">
        <v>243</v>
      </c>
      <c r="F4880" s="1" t="s">
        <v>228</v>
      </c>
      <c r="G4880">
        <v>2011</v>
      </c>
      <c r="H4880">
        <v>5941.84</v>
      </c>
      <c r="I4880">
        <v>0</v>
      </c>
      <c r="J4880" s="1" t="s">
        <v>502</v>
      </c>
      <c r="K4880">
        <v>0</v>
      </c>
      <c r="L4880">
        <v>0</v>
      </c>
      <c r="M4880">
        <v>59418.400000000001</v>
      </c>
      <c r="N4880">
        <v>2</v>
      </c>
      <c r="O4880" s="1" t="s">
        <v>569</v>
      </c>
      <c r="P4880">
        <v>5941.84</v>
      </c>
      <c r="Q4880">
        <v>2786.74</v>
      </c>
      <c r="R4880">
        <v>0</v>
      </c>
      <c r="S4880" s="1" t="s">
        <v>1167</v>
      </c>
      <c r="T4880" s="1" t="s">
        <v>1359</v>
      </c>
      <c r="U4880">
        <v>5941.8604299999997</v>
      </c>
      <c r="V4880">
        <v>0</v>
      </c>
      <c r="W4880">
        <v>92749</v>
      </c>
    </row>
    <row r="4881" spans="1:23" x14ac:dyDescent="0.25">
      <c r="A4881" s="1" t="s">
        <v>40</v>
      </c>
      <c r="B4881" s="1"/>
      <c r="C4881" s="1" t="s">
        <v>228</v>
      </c>
      <c r="D4881">
        <v>13988</v>
      </c>
      <c r="E4881" s="1" t="s">
        <v>243</v>
      </c>
      <c r="F4881" s="1" t="s">
        <v>228</v>
      </c>
      <c r="G4881">
        <v>2010</v>
      </c>
      <c r="H4881">
        <v>5974.6</v>
      </c>
      <c r="I4881">
        <v>1</v>
      </c>
      <c r="J4881" s="1" t="s">
        <v>502</v>
      </c>
      <c r="K4881">
        <v>0</v>
      </c>
      <c r="L4881">
        <v>0</v>
      </c>
      <c r="M4881">
        <v>59746</v>
      </c>
      <c r="N4881">
        <v>2</v>
      </c>
      <c r="O4881" s="1" t="s">
        <v>569</v>
      </c>
      <c r="P4881">
        <v>5974.6</v>
      </c>
      <c r="Q4881">
        <v>2802.08</v>
      </c>
      <c r="R4881">
        <v>0</v>
      </c>
      <c r="S4881" s="1" t="s">
        <v>1167</v>
      </c>
      <c r="T4881" s="1" t="s">
        <v>1359</v>
      </c>
      <c r="U4881">
        <v>5974.5892400000002</v>
      </c>
      <c r="V4881">
        <v>0</v>
      </c>
      <c r="W4881">
        <v>92749</v>
      </c>
    </row>
    <row r="4882" spans="1:23" x14ac:dyDescent="0.25">
      <c r="A4882" s="1" t="s">
        <v>40</v>
      </c>
      <c r="B4882" s="1"/>
      <c r="C4882" s="1" t="s">
        <v>228</v>
      </c>
      <c r="D4882">
        <v>13988</v>
      </c>
      <c r="E4882" s="1" t="s">
        <v>243</v>
      </c>
      <c r="F4882" s="1" t="s">
        <v>228</v>
      </c>
      <c r="G4882">
        <v>2009</v>
      </c>
      <c r="H4882">
        <v>5986.79</v>
      </c>
      <c r="I4882">
        <v>0</v>
      </c>
      <c r="J4882" s="1" t="s">
        <v>502</v>
      </c>
      <c r="K4882">
        <v>0</v>
      </c>
      <c r="L4882">
        <v>0</v>
      </c>
      <c r="M4882">
        <v>59867.9</v>
      </c>
      <c r="N4882">
        <v>2</v>
      </c>
      <c r="O4882" s="1" t="s">
        <v>569</v>
      </c>
      <c r="P4882">
        <v>5986.79</v>
      </c>
      <c r="Q4882">
        <v>2807.8</v>
      </c>
      <c r="R4882">
        <v>0</v>
      </c>
      <c r="S4882" s="1" t="s">
        <v>1167</v>
      </c>
      <c r="T4882" s="1" t="s">
        <v>1359</v>
      </c>
      <c r="U4882">
        <v>5986.77027</v>
      </c>
      <c r="V4882">
        <v>0</v>
      </c>
      <c r="W4882">
        <v>92749</v>
      </c>
    </row>
    <row r="4883" spans="1:23" x14ac:dyDescent="0.25">
      <c r="A4883" s="1" t="s">
        <v>40</v>
      </c>
      <c r="B4883" s="1"/>
      <c r="C4883" s="1" t="s">
        <v>228</v>
      </c>
      <c r="D4883">
        <v>13988</v>
      </c>
      <c r="E4883" s="1" t="s">
        <v>243</v>
      </c>
      <c r="F4883" s="1" t="s">
        <v>228</v>
      </c>
      <c r="G4883">
        <v>2008</v>
      </c>
      <c r="H4883">
        <v>3641.28</v>
      </c>
      <c r="I4883">
        <v>1</v>
      </c>
      <c r="J4883" s="1" t="s">
        <v>502</v>
      </c>
      <c r="K4883">
        <v>0</v>
      </c>
      <c r="L4883">
        <v>0</v>
      </c>
      <c r="M4883">
        <v>36412.800000000003</v>
      </c>
      <c r="N4883">
        <v>2</v>
      </c>
      <c r="O4883" s="1" t="s">
        <v>569</v>
      </c>
      <c r="P4883">
        <v>3641.28</v>
      </c>
      <c r="Q4883">
        <v>1707.76</v>
      </c>
      <c r="R4883">
        <v>0</v>
      </c>
      <c r="S4883" s="1" t="s">
        <v>1167</v>
      </c>
      <c r="T4883" s="1" t="s">
        <v>1359</v>
      </c>
      <c r="U4883">
        <v>3641.2684899999999</v>
      </c>
      <c r="V4883">
        <v>0</v>
      </c>
      <c r="W4883">
        <v>92749</v>
      </c>
    </row>
    <row r="4884" spans="1:23" x14ac:dyDescent="0.25">
      <c r="A4884" s="1" t="s">
        <v>40</v>
      </c>
      <c r="B4884" s="1" t="s">
        <v>93</v>
      </c>
      <c r="C4884" s="1" t="s">
        <v>221</v>
      </c>
      <c r="D4884">
        <v>6370</v>
      </c>
      <c r="E4884" s="1"/>
      <c r="F4884" s="1" t="s">
        <v>356</v>
      </c>
      <c r="G4884">
        <v>2015</v>
      </c>
      <c r="H4884">
        <v>1177.96</v>
      </c>
      <c r="I4884">
        <v>5</v>
      </c>
      <c r="J4884" s="1" t="s">
        <v>426</v>
      </c>
      <c r="K4884">
        <v>0</v>
      </c>
      <c r="L4884">
        <v>99</v>
      </c>
      <c r="M4884">
        <v>11.886578999999999</v>
      </c>
      <c r="N4884">
        <v>2</v>
      </c>
      <c r="O4884" s="1" t="s">
        <v>569</v>
      </c>
      <c r="P4884">
        <v>1177.96</v>
      </c>
      <c r="Q4884">
        <v>471.18</v>
      </c>
      <c r="R4884">
        <v>0</v>
      </c>
      <c r="S4884" s="1" t="s">
        <v>1168</v>
      </c>
      <c r="T4884" s="1"/>
      <c r="U4884">
        <v>1177.963</v>
      </c>
      <c r="V4884">
        <v>0</v>
      </c>
      <c r="W4884">
        <v>62721</v>
      </c>
    </row>
    <row r="4885" spans="1:23" x14ac:dyDescent="0.25">
      <c r="A4885" s="1" t="s">
        <v>40</v>
      </c>
      <c r="B4885" s="1" t="s">
        <v>93</v>
      </c>
      <c r="C4885" s="1" t="s">
        <v>221</v>
      </c>
      <c r="D4885">
        <v>6370</v>
      </c>
      <c r="E4885" s="1"/>
      <c r="F4885" s="1" t="s">
        <v>356</v>
      </c>
      <c r="G4885">
        <v>2014</v>
      </c>
      <c r="H4885">
        <v>3067.89</v>
      </c>
      <c r="I4885">
        <v>12</v>
      </c>
      <c r="J4885" s="1" t="s">
        <v>426</v>
      </c>
      <c r="K4885">
        <v>0</v>
      </c>
      <c r="L4885">
        <v>99</v>
      </c>
      <c r="M4885">
        <v>30.957516999999999</v>
      </c>
      <c r="N4885">
        <v>2</v>
      </c>
      <c r="O4885" s="1" t="s">
        <v>569</v>
      </c>
      <c r="P4885">
        <v>3067.89</v>
      </c>
      <c r="Q4885">
        <v>1227.1600000000001</v>
      </c>
      <c r="R4885">
        <v>0</v>
      </c>
      <c r="S4885" s="1" t="s">
        <v>1168</v>
      </c>
      <c r="T4885" s="1"/>
      <c r="U4885">
        <v>3067.9070999999999</v>
      </c>
      <c r="V4885">
        <v>0</v>
      </c>
      <c r="W4885">
        <v>62721</v>
      </c>
    </row>
    <row r="4886" spans="1:23" x14ac:dyDescent="0.25">
      <c r="A4886" s="1" t="s">
        <v>40</v>
      </c>
      <c r="B4886" s="1" t="s">
        <v>93</v>
      </c>
      <c r="C4886" s="1" t="s">
        <v>221</v>
      </c>
      <c r="D4886">
        <v>6370</v>
      </c>
      <c r="E4886" s="1"/>
      <c r="F4886" s="1" t="s">
        <v>356</v>
      </c>
      <c r="G4886">
        <v>2013</v>
      </c>
      <c r="H4886">
        <v>3265.91</v>
      </c>
      <c r="I4886">
        <v>12</v>
      </c>
      <c r="J4886" s="1" t="s">
        <v>426</v>
      </c>
      <c r="K4886">
        <v>0</v>
      </c>
      <c r="L4886">
        <v>99</v>
      </c>
      <c r="M4886">
        <v>32.955700999999998</v>
      </c>
      <c r="N4886">
        <v>2</v>
      </c>
      <c r="O4886" s="1" t="s">
        <v>569</v>
      </c>
      <c r="P4886">
        <v>3265.91</v>
      </c>
      <c r="Q4886">
        <v>1306.3599999999999</v>
      </c>
      <c r="R4886">
        <v>0</v>
      </c>
      <c r="S4886" s="1" t="s">
        <v>1168</v>
      </c>
      <c r="T4886" s="1"/>
      <c r="U4886">
        <v>3265.9088999999999</v>
      </c>
      <c r="V4886">
        <v>0</v>
      </c>
      <c r="W4886">
        <v>62721</v>
      </c>
    </row>
    <row r="4887" spans="1:23" x14ac:dyDescent="0.25">
      <c r="A4887" s="1" t="s">
        <v>40</v>
      </c>
      <c r="B4887" s="1" t="s">
        <v>93</v>
      </c>
      <c r="C4887" s="1" t="s">
        <v>221</v>
      </c>
      <c r="D4887">
        <v>6370</v>
      </c>
      <c r="E4887" s="1"/>
      <c r="F4887" s="1" t="s">
        <v>356</v>
      </c>
      <c r="G4887">
        <v>2012</v>
      </c>
      <c r="H4887">
        <v>3061.15</v>
      </c>
      <c r="I4887">
        <v>12</v>
      </c>
      <c r="J4887" s="1" t="s">
        <v>426</v>
      </c>
      <c r="K4887">
        <v>0</v>
      </c>
      <c r="L4887">
        <v>99</v>
      </c>
      <c r="M4887">
        <v>30.889505</v>
      </c>
      <c r="N4887">
        <v>2</v>
      </c>
      <c r="O4887" s="1" t="s">
        <v>569</v>
      </c>
      <c r="P4887">
        <v>3061.15</v>
      </c>
      <c r="Q4887">
        <v>1224.46</v>
      </c>
      <c r="R4887">
        <v>0</v>
      </c>
      <c r="S4887" s="1" t="s">
        <v>1168</v>
      </c>
      <c r="T4887" s="1"/>
      <c r="U4887">
        <v>3061.136</v>
      </c>
      <c r="V4887">
        <v>0</v>
      </c>
      <c r="W4887">
        <v>62721</v>
      </c>
    </row>
    <row r="4888" spans="1:23" x14ac:dyDescent="0.25">
      <c r="A4888" s="1" t="s">
        <v>40</v>
      </c>
      <c r="B4888" s="1" t="s">
        <v>93</v>
      </c>
      <c r="C4888" s="1" t="s">
        <v>221</v>
      </c>
      <c r="D4888">
        <v>6370</v>
      </c>
      <c r="E4888" s="1"/>
      <c r="F4888" s="1" t="s">
        <v>356</v>
      </c>
      <c r="G4888">
        <v>2011</v>
      </c>
      <c r="H4888">
        <v>2818.18</v>
      </c>
      <c r="I4888">
        <v>6</v>
      </c>
      <c r="J4888" s="1" t="s">
        <v>426</v>
      </c>
      <c r="K4888">
        <v>0</v>
      </c>
      <c r="L4888">
        <v>99</v>
      </c>
      <c r="M4888">
        <v>28.437739000000001</v>
      </c>
      <c r="N4888">
        <v>2</v>
      </c>
      <c r="O4888" s="1" t="s">
        <v>569</v>
      </c>
      <c r="P4888">
        <v>2818.18</v>
      </c>
      <c r="Q4888">
        <v>1321.72</v>
      </c>
      <c r="R4888">
        <v>0</v>
      </c>
      <c r="S4888" s="1" t="s">
        <v>1168</v>
      </c>
      <c r="T4888" s="1"/>
      <c r="U4888">
        <v>2818.1700099999998</v>
      </c>
      <c r="V4888">
        <v>0</v>
      </c>
      <c r="W4888">
        <v>62721</v>
      </c>
    </row>
    <row r="4889" spans="1:23" x14ac:dyDescent="0.25">
      <c r="A4889" s="1" t="s">
        <v>40</v>
      </c>
      <c r="B4889" s="1" t="s">
        <v>93</v>
      </c>
      <c r="C4889" s="1" t="s">
        <v>221</v>
      </c>
      <c r="D4889">
        <v>6370</v>
      </c>
      <c r="E4889" s="1"/>
      <c r="F4889" s="1" t="s">
        <v>356</v>
      </c>
      <c r="G4889">
        <v>2010</v>
      </c>
      <c r="H4889">
        <v>2987.34</v>
      </c>
      <c r="I4889">
        <v>6</v>
      </c>
      <c r="J4889" s="1" t="s">
        <v>426</v>
      </c>
      <c r="K4889">
        <v>0</v>
      </c>
      <c r="L4889">
        <v>99</v>
      </c>
      <c r="M4889">
        <v>30.144701999999999</v>
      </c>
      <c r="N4889">
        <v>2</v>
      </c>
      <c r="O4889" s="1" t="s">
        <v>569</v>
      </c>
      <c r="P4889">
        <v>2987.34</v>
      </c>
      <c r="Q4889">
        <v>1401.06</v>
      </c>
      <c r="R4889">
        <v>0</v>
      </c>
      <c r="S4889" s="1" t="s">
        <v>1168</v>
      </c>
      <c r="T4889" s="1"/>
      <c r="U4889">
        <v>2987.3402299999998</v>
      </c>
      <c r="V4889">
        <v>0</v>
      </c>
      <c r="W4889">
        <v>62721</v>
      </c>
    </row>
    <row r="4890" spans="1:23" x14ac:dyDescent="0.25">
      <c r="A4890" s="1" t="s">
        <v>40</v>
      </c>
      <c r="B4890" s="1" t="s">
        <v>93</v>
      </c>
      <c r="C4890" s="1" t="s">
        <v>221</v>
      </c>
      <c r="D4890">
        <v>6370</v>
      </c>
      <c r="E4890" s="1"/>
      <c r="F4890" s="1" t="s">
        <v>356</v>
      </c>
      <c r="G4890">
        <v>2009</v>
      </c>
      <c r="H4890">
        <v>3128.17</v>
      </c>
      <c r="I4890">
        <v>6</v>
      </c>
      <c r="J4890" s="1" t="s">
        <v>426</v>
      </c>
      <c r="K4890">
        <v>0</v>
      </c>
      <c r="L4890">
        <v>99</v>
      </c>
      <c r="M4890">
        <v>31.565791999999998</v>
      </c>
      <c r="N4890">
        <v>2</v>
      </c>
      <c r="O4890" s="1" t="s">
        <v>569</v>
      </c>
      <c r="P4890">
        <v>3128.17</v>
      </c>
      <c r="Q4890">
        <v>1467.11</v>
      </c>
      <c r="R4890">
        <v>0</v>
      </c>
      <c r="S4890" s="1" t="s">
        <v>1168</v>
      </c>
      <c r="T4890" s="1"/>
      <c r="U4890">
        <v>3128.1953100000001</v>
      </c>
      <c r="V4890">
        <v>0</v>
      </c>
      <c r="W4890">
        <v>62721</v>
      </c>
    </row>
    <row r="4891" spans="1:23" x14ac:dyDescent="0.25">
      <c r="A4891" s="1" t="s">
        <v>40</v>
      </c>
      <c r="B4891" s="1" t="s">
        <v>93</v>
      </c>
      <c r="C4891" s="1" t="s">
        <v>221</v>
      </c>
      <c r="D4891">
        <v>6370</v>
      </c>
      <c r="E4891" s="1"/>
      <c r="F4891" s="1" t="s">
        <v>356</v>
      </c>
      <c r="G4891">
        <v>2008</v>
      </c>
      <c r="H4891">
        <v>3588.84</v>
      </c>
      <c r="I4891">
        <v>5</v>
      </c>
      <c r="J4891" s="1" t="s">
        <v>426</v>
      </c>
      <c r="K4891">
        <v>0</v>
      </c>
      <c r="L4891">
        <v>99</v>
      </c>
      <c r="M4891">
        <v>36.214328000000002</v>
      </c>
      <c r="N4891">
        <v>2</v>
      </c>
      <c r="O4891" s="1" t="s">
        <v>569</v>
      </c>
      <c r="P4891">
        <v>3588.84</v>
      </c>
      <c r="Q4891">
        <v>1683.17</v>
      </c>
      <c r="R4891">
        <v>0</v>
      </c>
      <c r="S4891" s="1" t="s">
        <v>1168</v>
      </c>
      <c r="T4891" s="1"/>
      <c r="U4891">
        <v>3588.8294599999999</v>
      </c>
      <c r="V4891">
        <v>0</v>
      </c>
      <c r="W4891">
        <v>62721</v>
      </c>
    </row>
    <row r="4892" spans="1:23" x14ac:dyDescent="0.25">
      <c r="A4892" s="1" t="s">
        <v>40</v>
      </c>
      <c r="B4892" s="1" t="s">
        <v>47</v>
      </c>
      <c r="C4892" s="1" t="s">
        <v>222</v>
      </c>
      <c r="D4892">
        <v>5953</v>
      </c>
      <c r="E4892" s="1"/>
      <c r="F4892" s="1" t="s">
        <v>357</v>
      </c>
      <c r="G4892">
        <v>2015</v>
      </c>
      <c r="H4892">
        <v>2105.69</v>
      </c>
      <c r="I4892">
        <v>5</v>
      </c>
      <c r="J4892" s="1" t="s">
        <v>552</v>
      </c>
      <c r="K4892">
        <v>0</v>
      </c>
      <c r="L4892">
        <v>272</v>
      </c>
      <c r="M4892">
        <v>7.7386619999999997</v>
      </c>
      <c r="N4892">
        <v>2</v>
      </c>
      <c r="O4892" s="1" t="s">
        <v>569</v>
      </c>
      <c r="P4892">
        <v>2105.69</v>
      </c>
      <c r="Q4892">
        <v>842.28</v>
      </c>
      <c r="R4892">
        <v>0</v>
      </c>
      <c r="S4892" s="1" t="s">
        <v>1169</v>
      </c>
      <c r="T4892" s="1"/>
      <c r="U4892">
        <v>2105.6959999999999</v>
      </c>
      <c r="V4892">
        <v>0</v>
      </c>
      <c r="W4892">
        <v>59977</v>
      </c>
    </row>
    <row r="4893" spans="1:23" x14ac:dyDescent="0.25">
      <c r="A4893" s="1" t="s">
        <v>40</v>
      </c>
      <c r="B4893" s="1" t="s">
        <v>47</v>
      </c>
      <c r="C4893" s="1" t="s">
        <v>222</v>
      </c>
      <c r="D4893">
        <v>5953</v>
      </c>
      <c r="E4893" s="1"/>
      <c r="F4893" s="1" t="s">
        <v>357</v>
      </c>
      <c r="G4893">
        <v>2014</v>
      </c>
      <c r="H4893">
        <v>5866.99</v>
      </c>
      <c r="I4893">
        <v>12</v>
      </c>
      <c r="J4893" s="1" t="s">
        <v>552</v>
      </c>
      <c r="K4893">
        <v>0</v>
      </c>
      <c r="L4893">
        <v>272</v>
      </c>
      <c r="M4893">
        <v>21.561889000000001</v>
      </c>
      <c r="N4893">
        <v>2</v>
      </c>
      <c r="O4893" s="1" t="s">
        <v>569</v>
      </c>
      <c r="P4893">
        <v>5866.99</v>
      </c>
      <c r="Q4893">
        <v>2346.81</v>
      </c>
      <c r="R4893">
        <v>0</v>
      </c>
      <c r="S4893" s="1" t="s">
        <v>1169</v>
      </c>
      <c r="T4893" s="1"/>
      <c r="U4893">
        <v>5867.0039999999999</v>
      </c>
      <c r="V4893">
        <v>0</v>
      </c>
      <c r="W4893">
        <v>59977</v>
      </c>
    </row>
    <row r="4894" spans="1:23" x14ac:dyDescent="0.25">
      <c r="A4894" s="1" t="s">
        <v>40</v>
      </c>
      <c r="B4894" s="1" t="s">
        <v>47</v>
      </c>
      <c r="C4894" s="1" t="s">
        <v>222</v>
      </c>
      <c r="D4894">
        <v>5953</v>
      </c>
      <c r="E4894" s="1"/>
      <c r="F4894" s="1" t="s">
        <v>357</v>
      </c>
      <c r="G4894">
        <v>2013</v>
      </c>
      <c r="H4894">
        <v>5324.99</v>
      </c>
      <c r="I4894">
        <v>12</v>
      </c>
      <c r="J4894" s="1" t="s">
        <v>552</v>
      </c>
      <c r="K4894">
        <v>0</v>
      </c>
      <c r="L4894">
        <v>272</v>
      </c>
      <c r="M4894">
        <v>19.569973999999998</v>
      </c>
      <c r="N4894">
        <v>2</v>
      </c>
      <c r="O4894" s="1" t="s">
        <v>569</v>
      </c>
      <c r="P4894">
        <v>5324.99</v>
      </c>
      <c r="Q4894">
        <v>2130.02</v>
      </c>
      <c r="R4894">
        <v>0</v>
      </c>
      <c r="S4894" s="1" t="s">
        <v>1169</v>
      </c>
      <c r="T4894" s="1"/>
      <c r="U4894">
        <v>5324.9920000000002</v>
      </c>
      <c r="V4894">
        <v>0</v>
      </c>
      <c r="W4894">
        <v>59977</v>
      </c>
    </row>
    <row r="4895" spans="1:23" x14ac:dyDescent="0.25">
      <c r="A4895" s="1" t="s">
        <v>40</v>
      </c>
      <c r="B4895" s="1" t="s">
        <v>47</v>
      </c>
      <c r="C4895" s="1" t="s">
        <v>222</v>
      </c>
      <c r="D4895">
        <v>5953</v>
      </c>
      <c r="E4895" s="1"/>
      <c r="F4895" s="1" t="s">
        <v>357</v>
      </c>
      <c r="G4895">
        <v>2012</v>
      </c>
      <c r="H4895">
        <v>5225.03</v>
      </c>
      <c r="I4895">
        <v>15</v>
      </c>
      <c r="J4895" s="1" t="s">
        <v>552</v>
      </c>
      <c r="K4895">
        <v>0</v>
      </c>
      <c r="L4895">
        <v>272</v>
      </c>
      <c r="M4895">
        <v>19.202608999999999</v>
      </c>
      <c r="N4895">
        <v>2</v>
      </c>
      <c r="O4895" s="1" t="s">
        <v>569</v>
      </c>
      <c r="P4895">
        <v>5225.03</v>
      </c>
      <c r="Q4895">
        <v>2090.02</v>
      </c>
      <c r="R4895">
        <v>0</v>
      </c>
      <c r="S4895" s="1" t="s">
        <v>1169</v>
      </c>
      <c r="T4895" s="1"/>
      <c r="U4895">
        <v>5225.0484999999999</v>
      </c>
      <c r="V4895">
        <v>0</v>
      </c>
      <c r="W4895">
        <v>59977</v>
      </c>
    </row>
    <row r="4896" spans="1:23" x14ac:dyDescent="0.25">
      <c r="A4896" s="1" t="s">
        <v>40</v>
      </c>
      <c r="B4896" s="1" t="s">
        <v>47</v>
      </c>
      <c r="C4896" s="1" t="s">
        <v>222</v>
      </c>
      <c r="D4896">
        <v>5953</v>
      </c>
      <c r="E4896" s="1"/>
      <c r="F4896" s="1" t="s">
        <v>357</v>
      </c>
      <c r="G4896">
        <v>2011</v>
      </c>
      <c r="H4896">
        <v>6101.06</v>
      </c>
      <c r="I4896">
        <v>9</v>
      </c>
      <c r="J4896" s="1" t="s">
        <v>552</v>
      </c>
      <c r="K4896">
        <v>0</v>
      </c>
      <c r="L4896">
        <v>272</v>
      </c>
      <c r="M4896">
        <v>22.422124</v>
      </c>
      <c r="N4896">
        <v>2</v>
      </c>
      <c r="O4896" s="1" t="s">
        <v>569</v>
      </c>
      <c r="P4896">
        <v>6101.06</v>
      </c>
      <c r="Q4896">
        <v>2861.41</v>
      </c>
      <c r="R4896">
        <v>0</v>
      </c>
      <c r="S4896" s="1" t="s">
        <v>1169</v>
      </c>
      <c r="T4896" s="1"/>
      <c r="U4896">
        <v>6101.0653899999998</v>
      </c>
      <c r="V4896">
        <v>0</v>
      </c>
      <c r="W4896">
        <v>59977</v>
      </c>
    </row>
    <row r="4897" spans="1:23" x14ac:dyDescent="0.25">
      <c r="A4897" s="1" t="s">
        <v>40</v>
      </c>
      <c r="B4897" s="1" t="s">
        <v>47</v>
      </c>
      <c r="C4897" s="1" t="s">
        <v>222</v>
      </c>
      <c r="D4897">
        <v>5953</v>
      </c>
      <c r="E4897" s="1"/>
      <c r="F4897" s="1" t="s">
        <v>357</v>
      </c>
      <c r="G4897">
        <v>2010</v>
      </c>
      <c r="H4897">
        <v>6083.71</v>
      </c>
      <c r="I4897">
        <v>4</v>
      </c>
      <c r="J4897" s="1" t="s">
        <v>552</v>
      </c>
      <c r="K4897">
        <v>0</v>
      </c>
      <c r="L4897">
        <v>272</v>
      </c>
      <c r="M4897">
        <v>22.358360000000001</v>
      </c>
      <c r="N4897">
        <v>2</v>
      </c>
      <c r="O4897" s="1" t="s">
        <v>569</v>
      </c>
      <c r="P4897">
        <v>6083.71</v>
      </c>
      <c r="Q4897">
        <v>2853.26</v>
      </c>
      <c r="R4897">
        <v>0</v>
      </c>
      <c r="S4897" s="1" t="s">
        <v>1169</v>
      </c>
      <c r="T4897" s="1"/>
      <c r="U4897">
        <v>6083.7143800000003</v>
      </c>
      <c r="V4897">
        <v>0</v>
      </c>
      <c r="W4897">
        <v>59977</v>
      </c>
    </row>
    <row r="4898" spans="1:23" x14ac:dyDescent="0.25">
      <c r="A4898" s="1" t="s">
        <v>40</v>
      </c>
      <c r="B4898" s="1" t="s">
        <v>47</v>
      </c>
      <c r="C4898" s="1" t="s">
        <v>222</v>
      </c>
      <c r="D4898">
        <v>5953</v>
      </c>
      <c r="E4898" s="1"/>
      <c r="F4898" s="1" t="s">
        <v>357</v>
      </c>
      <c r="G4898">
        <v>2009</v>
      </c>
      <c r="H4898">
        <v>5864.61</v>
      </c>
      <c r="I4898">
        <v>1</v>
      </c>
      <c r="J4898" s="1" t="s">
        <v>552</v>
      </c>
      <c r="K4898">
        <v>0</v>
      </c>
      <c r="L4898">
        <v>272</v>
      </c>
      <c r="M4898">
        <v>21.553142000000001</v>
      </c>
      <c r="N4898">
        <v>2</v>
      </c>
      <c r="O4898" s="1" t="s">
        <v>569</v>
      </c>
      <c r="P4898">
        <v>5864.61</v>
      </c>
      <c r="Q4898">
        <v>2750.52</v>
      </c>
      <c r="R4898">
        <v>0</v>
      </c>
      <c r="S4898" s="1" t="s">
        <v>1169</v>
      </c>
      <c r="T4898" s="1"/>
      <c r="U4898">
        <v>5864.6577100000004</v>
      </c>
      <c r="V4898">
        <v>0</v>
      </c>
      <c r="W4898">
        <v>59977</v>
      </c>
    </row>
    <row r="4899" spans="1:23" x14ac:dyDescent="0.25">
      <c r="A4899" s="1" t="s">
        <v>40</v>
      </c>
      <c r="B4899" s="1" t="s">
        <v>47</v>
      </c>
      <c r="C4899" s="1" t="s">
        <v>222</v>
      </c>
      <c r="D4899">
        <v>5953</v>
      </c>
      <c r="E4899" s="1"/>
      <c r="F4899" s="1" t="s">
        <v>357</v>
      </c>
      <c r="G4899">
        <v>2008</v>
      </c>
      <c r="H4899">
        <v>5936.11</v>
      </c>
      <c r="I4899">
        <v>3</v>
      </c>
      <c r="J4899" s="1" t="s">
        <v>552</v>
      </c>
      <c r="K4899">
        <v>0</v>
      </c>
      <c r="L4899">
        <v>272</v>
      </c>
      <c r="M4899">
        <v>21.815912999999998</v>
      </c>
      <c r="N4899">
        <v>2</v>
      </c>
      <c r="O4899" s="1" t="s">
        <v>569</v>
      </c>
      <c r="P4899">
        <v>5936.11</v>
      </c>
      <c r="Q4899">
        <v>2784.04</v>
      </c>
      <c r="R4899">
        <v>0</v>
      </c>
      <c r="S4899" s="1" t="s">
        <v>1169</v>
      </c>
      <c r="T4899" s="1"/>
      <c r="U4899">
        <v>5936.1000100000001</v>
      </c>
      <c r="V4899">
        <v>0</v>
      </c>
      <c r="W4899">
        <v>59977</v>
      </c>
    </row>
    <row r="4900" spans="1:23" x14ac:dyDescent="0.25">
      <c r="A4900" s="1" t="s">
        <v>40</v>
      </c>
      <c r="B4900" s="1"/>
      <c r="C4900" s="1" t="s">
        <v>223</v>
      </c>
      <c r="D4900">
        <v>13534</v>
      </c>
      <c r="E4900" s="1" t="s">
        <v>243</v>
      </c>
      <c r="F4900" s="1" t="s">
        <v>223</v>
      </c>
      <c r="G4900">
        <v>2015</v>
      </c>
      <c r="H4900">
        <v>11282.66</v>
      </c>
      <c r="I4900">
        <v>4</v>
      </c>
      <c r="J4900" s="1" t="s">
        <v>421</v>
      </c>
      <c r="K4900">
        <v>0</v>
      </c>
      <c r="L4900">
        <v>2088</v>
      </c>
      <c r="M4900">
        <v>5.403314</v>
      </c>
      <c r="N4900">
        <v>2</v>
      </c>
      <c r="O4900" s="1" t="s">
        <v>569</v>
      </c>
      <c r="P4900">
        <v>11282.66</v>
      </c>
      <c r="Q4900">
        <v>3384.8</v>
      </c>
      <c r="R4900">
        <v>0</v>
      </c>
      <c r="S4900" s="1" t="s">
        <v>1170</v>
      </c>
      <c r="T4900" s="1"/>
      <c r="U4900">
        <v>11282.657139999999</v>
      </c>
      <c r="V4900">
        <v>0</v>
      </c>
      <c r="W4900">
        <v>90569</v>
      </c>
    </row>
    <row r="4901" spans="1:23" x14ac:dyDescent="0.25">
      <c r="A4901" s="1" t="s">
        <v>40</v>
      </c>
      <c r="B4901" s="1"/>
      <c r="C4901" s="1" t="s">
        <v>223</v>
      </c>
      <c r="D4901">
        <v>13534</v>
      </c>
      <c r="E4901" s="1" t="s">
        <v>243</v>
      </c>
      <c r="F4901" s="1" t="s">
        <v>223</v>
      </c>
      <c r="G4901">
        <v>2014</v>
      </c>
      <c r="H4901">
        <v>49937.05</v>
      </c>
      <c r="I4901">
        <v>11</v>
      </c>
      <c r="J4901" s="1" t="s">
        <v>421</v>
      </c>
      <c r="K4901">
        <v>0</v>
      </c>
      <c r="L4901">
        <v>2088</v>
      </c>
      <c r="M4901">
        <v>23.915065999999999</v>
      </c>
      <c r="N4901">
        <v>2</v>
      </c>
      <c r="O4901" s="1" t="s">
        <v>569</v>
      </c>
      <c r="P4901">
        <v>49937.05</v>
      </c>
      <c r="Q4901">
        <v>14981.11</v>
      </c>
      <c r="R4901">
        <v>0</v>
      </c>
      <c r="S4901" s="1" t="s">
        <v>1170</v>
      </c>
      <c r="T4901" s="1"/>
      <c r="U4901">
        <v>49937.038500000002</v>
      </c>
      <c r="V4901">
        <v>0</v>
      </c>
      <c r="W4901">
        <v>90569</v>
      </c>
    </row>
    <row r="4902" spans="1:23" x14ac:dyDescent="0.25">
      <c r="A4902" s="1" t="s">
        <v>40</v>
      </c>
      <c r="B4902" s="1"/>
      <c r="C4902" s="1" t="s">
        <v>223</v>
      </c>
      <c r="D4902">
        <v>13534</v>
      </c>
      <c r="E4902" s="1" t="s">
        <v>243</v>
      </c>
      <c r="F4902" s="1" t="s">
        <v>223</v>
      </c>
      <c r="G4902">
        <v>2013</v>
      </c>
      <c r="H4902">
        <v>45887.09</v>
      </c>
      <c r="I4902">
        <v>6</v>
      </c>
      <c r="J4902" s="1" t="s">
        <v>421</v>
      </c>
      <c r="K4902">
        <v>0</v>
      </c>
      <c r="L4902">
        <v>2088</v>
      </c>
      <c r="M4902">
        <v>21.975522999999999</v>
      </c>
      <c r="N4902">
        <v>2</v>
      </c>
      <c r="O4902" s="1" t="s">
        <v>569</v>
      </c>
      <c r="P4902">
        <v>45887.09</v>
      </c>
      <c r="Q4902">
        <v>13766.13</v>
      </c>
      <c r="R4902">
        <v>0</v>
      </c>
      <c r="S4902" s="1" t="s">
        <v>1170</v>
      </c>
      <c r="T4902" s="1"/>
      <c r="U4902">
        <v>45887.085599999999</v>
      </c>
      <c r="V4902">
        <v>0</v>
      </c>
      <c r="W4902">
        <v>90569</v>
      </c>
    </row>
    <row r="4903" spans="1:23" x14ac:dyDescent="0.25">
      <c r="A4903" s="1" t="s">
        <v>40</v>
      </c>
      <c r="B4903" s="1"/>
      <c r="C4903" s="1" t="s">
        <v>223</v>
      </c>
      <c r="D4903">
        <v>13534</v>
      </c>
      <c r="E4903" s="1" t="s">
        <v>243</v>
      </c>
      <c r="F4903" s="1" t="s">
        <v>223</v>
      </c>
      <c r="G4903">
        <v>2012</v>
      </c>
      <c r="H4903">
        <v>42056.86</v>
      </c>
      <c r="I4903">
        <v>8</v>
      </c>
      <c r="J4903" s="1" t="s">
        <v>421</v>
      </c>
      <c r="K4903">
        <v>0</v>
      </c>
      <c r="L4903">
        <v>2088</v>
      </c>
      <c r="M4903">
        <v>20.141209</v>
      </c>
      <c r="N4903">
        <v>2</v>
      </c>
      <c r="O4903" s="1" t="s">
        <v>569</v>
      </c>
      <c r="P4903">
        <v>42056.86</v>
      </c>
      <c r="Q4903">
        <v>16822.73</v>
      </c>
      <c r="R4903">
        <v>0</v>
      </c>
      <c r="S4903" s="1" t="s">
        <v>1170</v>
      </c>
      <c r="T4903" s="1"/>
      <c r="U4903">
        <v>42056.86391</v>
      </c>
      <c r="V4903">
        <v>0</v>
      </c>
      <c r="W4903">
        <v>90569</v>
      </c>
    </row>
    <row r="4904" spans="1:23" x14ac:dyDescent="0.25">
      <c r="A4904" s="1" t="s">
        <v>40</v>
      </c>
      <c r="B4904" s="1"/>
      <c r="C4904" s="1" t="s">
        <v>223</v>
      </c>
      <c r="D4904">
        <v>13534</v>
      </c>
      <c r="E4904" s="1" t="s">
        <v>243</v>
      </c>
      <c r="F4904" s="1" t="s">
        <v>223</v>
      </c>
      <c r="G4904">
        <v>2011</v>
      </c>
      <c r="H4904">
        <v>41902.07</v>
      </c>
      <c r="I4904">
        <v>2</v>
      </c>
      <c r="J4904" s="1" t="s">
        <v>421</v>
      </c>
      <c r="K4904">
        <v>0</v>
      </c>
      <c r="L4904">
        <v>2088</v>
      </c>
      <c r="M4904">
        <v>20.067080000000001</v>
      </c>
      <c r="N4904">
        <v>2</v>
      </c>
      <c r="O4904" s="1" t="s">
        <v>569</v>
      </c>
      <c r="P4904">
        <v>41902.07</v>
      </c>
      <c r="Q4904">
        <v>19652.060000000001</v>
      </c>
      <c r="R4904">
        <v>0</v>
      </c>
      <c r="S4904" s="1" t="s">
        <v>1170</v>
      </c>
      <c r="T4904" s="1"/>
      <c r="U4904">
        <v>41902.082110000003</v>
      </c>
      <c r="V4904">
        <v>0</v>
      </c>
      <c r="W4904">
        <v>90569</v>
      </c>
    </row>
    <row r="4905" spans="1:23" x14ac:dyDescent="0.25">
      <c r="A4905" s="1" t="s">
        <v>40</v>
      </c>
      <c r="B4905" s="1"/>
      <c r="C4905" s="1" t="s">
        <v>223</v>
      </c>
      <c r="D4905">
        <v>13534</v>
      </c>
      <c r="E4905" s="1" t="s">
        <v>243</v>
      </c>
      <c r="F4905" s="1" t="s">
        <v>223</v>
      </c>
      <c r="G4905">
        <v>2010</v>
      </c>
      <c r="H4905">
        <v>42230.76</v>
      </c>
      <c r="I4905">
        <v>3</v>
      </c>
      <c r="J4905" s="1" t="s">
        <v>421</v>
      </c>
      <c r="K4905">
        <v>0</v>
      </c>
      <c r="L4905">
        <v>2088</v>
      </c>
      <c r="M4905">
        <v>20.224491</v>
      </c>
      <c r="N4905">
        <v>2</v>
      </c>
      <c r="O4905" s="1" t="s">
        <v>569</v>
      </c>
      <c r="P4905">
        <v>42230.76</v>
      </c>
      <c r="Q4905">
        <v>19806.240000000002</v>
      </c>
      <c r="R4905">
        <v>0</v>
      </c>
      <c r="S4905" s="1" t="s">
        <v>1170</v>
      </c>
      <c r="T4905" s="1"/>
      <c r="U4905">
        <v>42230.782050000002</v>
      </c>
      <c r="V4905">
        <v>0</v>
      </c>
      <c r="W4905">
        <v>90569</v>
      </c>
    </row>
    <row r="4906" spans="1:23" x14ac:dyDescent="0.25">
      <c r="A4906" s="1" t="s">
        <v>40</v>
      </c>
      <c r="B4906" s="1"/>
      <c r="C4906" s="1" t="s">
        <v>223</v>
      </c>
      <c r="D4906">
        <v>13534</v>
      </c>
      <c r="E4906" s="1" t="s">
        <v>243</v>
      </c>
      <c r="F4906" s="1" t="s">
        <v>223</v>
      </c>
      <c r="G4906">
        <v>2009</v>
      </c>
      <c r="H4906">
        <v>26340.48</v>
      </c>
      <c r="I4906">
        <v>1</v>
      </c>
      <c r="J4906" s="1" t="s">
        <v>421</v>
      </c>
      <c r="K4906">
        <v>0</v>
      </c>
      <c r="L4906">
        <v>2088</v>
      </c>
      <c r="M4906">
        <v>12.614568</v>
      </c>
      <c r="N4906">
        <v>2</v>
      </c>
      <c r="O4906" s="1" t="s">
        <v>569</v>
      </c>
      <c r="P4906">
        <v>26340.48</v>
      </c>
      <c r="Q4906">
        <v>12353.7</v>
      </c>
      <c r="R4906">
        <v>0</v>
      </c>
      <c r="S4906" s="1" t="s">
        <v>1170</v>
      </c>
      <c r="T4906" s="1"/>
      <c r="U4906">
        <v>26340.490669999999</v>
      </c>
      <c r="V4906">
        <v>0</v>
      </c>
      <c r="W4906">
        <v>90569</v>
      </c>
    </row>
    <row r="4907" spans="1:23" x14ac:dyDescent="0.25">
      <c r="A4907" s="1" t="s">
        <v>40</v>
      </c>
      <c r="B4907" s="1" t="s">
        <v>94</v>
      </c>
      <c r="C4907" s="1" t="s">
        <v>224</v>
      </c>
      <c r="D4907">
        <v>5465</v>
      </c>
      <c r="E4907" s="1"/>
      <c r="F4907" s="1" t="s">
        <v>224</v>
      </c>
      <c r="G4907">
        <v>2015</v>
      </c>
      <c r="H4907">
        <v>6286.13</v>
      </c>
      <c r="I4907">
        <v>4</v>
      </c>
      <c r="J4907" s="1" t="s">
        <v>421</v>
      </c>
      <c r="K4907">
        <v>0</v>
      </c>
      <c r="L4907">
        <v>1384</v>
      </c>
      <c r="M4907">
        <v>4.5416730000000003</v>
      </c>
      <c r="N4907">
        <v>2</v>
      </c>
      <c r="O4907" s="1" t="s">
        <v>569</v>
      </c>
      <c r="P4907">
        <v>6286.13</v>
      </c>
      <c r="Q4907">
        <v>2514.4499999999998</v>
      </c>
      <c r="R4907">
        <v>1</v>
      </c>
      <c r="S4907" s="1" t="s">
        <v>1171</v>
      </c>
      <c r="T4907" s="1"/>
      <c r="U4907">
        <v>6286.1250099999997</v>
      </c>
      <c r="V4907">
        <v>0</v>
      </c>
      <c r="W4907">
        <v>57770</v>
      </c>
    </row>
    <row r="4908" spans="1:23" x14ac:dyDescent="0.25">
      <c r="A4908" s="1" t="s">
        <v>40</v>
      </c>
      <c r="B4908" s="1" t="s">
        <v>94</v>
      </c>
      <c r="C4908" s="1" t="s">
        <v>224</v>
      </c>
      <c r="D4908">
        <v>5465</v>
      </c>
      <c r="E4908" s="1"/>
      <c r="F4908" s="1" t="s">
        <v>224</v>
      </c>
      <c r="G4908">
        <v>2015</v>
      </c>
      <c r="H4908">
        <v>25666</v>
      </c>
      <c r="I4908">
        <v>5</v>
      </c>
      <c r="J4908" s="1"/>
      <c r="K4908">
        <v>0</v>
      </c>
      <c r="L4908">
        <v>1384</v>
      </c>
      <c r="M4908">
        <v>18.543457</v>
      </c>
      <c r="N4908">
        <v>2</v>
      </c>
      <c r="O4908" s="1" t="s">
        <v>569</v>
      </c>
      <c r="P4908">
        <v>25666</v>
      </c>
      <c r="Q4908">
        <v>10266.41</v>
      </c>
      <c r="R4908">
        <v>0</v>
      </c>
      <c r="S4908" s="1" t="s">
        <v>1172</v>
      </c>
      <c r="T4908" s="1" t="s">
        <v>1360</v>
      </c>
      <c r="U4908">
        <v>25666.000499999998</v>
      </c>
      <c r="V4908">
        <v>0</v>
      </c>
      <c r="W4908">
        <v>58297</v>
      </c>
    </row>
    <row r="4909" spans="1:23" x14ac:dyDescent="0.25">
      <c r="A4909" s="1" t="s">
        <v>40</v>
      </c>
      <c r="B4909" s="1" t="s">
        <v>94</v>
      </c>
      <c r="C4909" s="1" t="s">
        <v>224</v>
      </c>
      <c r="D4909">
        <v>5465</v>
      </c>
      <c r="E4909" s="1"/>
      <c r="F4909" s="1" t="s">
        <v>224</v>
      </c>
      <c r="G4909">
        <v>2015</v>
      </c>
      <c r="H4909">
        <v>619.03</v>
      </c>
      <c r="I4909">
        <v>5</v>
      </c>
      <c r="J4909" s="1" t="s">
        <v>421</v>
      </c>
      <c r="K4909">
        <v>0</v>
      </c>
      <c r="L4909">
        <v>1384</v>
      </c>
      <c r="M4909">
        <v>0.447243</v>
      </c>
      <c r="N4909">
        <v>2</v>
      </c>
      <c r="O4909" s="1" t="s">
        <v>569</v>
      </c>
      <c r="P4909">
        <v>619.03</v>
      </c>
      <c r="Q4909">
        <v>185.7</v>
      </c>
      <c r="R4909">
        <v>1</v>
      </c>
      <c r="S4909" s="1" t="s">
        <v>1173</v>
      </c>
      <c r="T4909" s="1"/>
      <c r="U4909">
        <v>619.03125</v>
      </c>
      <c r="V4909">
        <v>0</v>
      </c>
      <c r="W4909">
        <v>90264</v>
      </c>
    </row>
    <row r="4910" spans="1:23" x14ac:dyDescent="0.25">
      <c r="A4910" s="1" t="s">
        <v>40</v>
      </c>
      <c r="B4910" s="1" t="s">
        <v>94</v>
      </c>
      <c r="C4910" s="1" t="s">
        <v>224</v>
      </c>
      <c r="D4910">
        <v>5465</v>
      </c>
      <c r="E4910" s="1"/>
      <c r="F4910" s="1" t="s">
        <v>224</v>
      </c>
      <c r="G4910">
        <v>2015</v>
      </c>
      <c r="H4910">
        <v>210.22</v>
      </c>
      <c r="I4910">
        <v>5</v>
      </c>
      <c r="J4910" s="1" t="s">
        <v>421</v>
      </c>
      <c r="K4910">
        <v>0</v>
      </c>
      <c r="L4910">
        <v>1384</v>
      </c>
      <c r="M4910">
        <v>0.15188199999999999</v>
      </c>
      <c r="N4910">
        <v>2</v>
      </c>
      <c r="O4910" s="1" t="s">
        <v>569</v>
      </c>
      <c r="P4910">
        <v>210.22</v>
      </c>
      <c r="Q4910">
        <v>63.07</v>
      </c>
      <c r="R4910">
        <v>1</v>
      </c>
      <c r="S4910" s="1" t="s">
        <v>1174</v>
      </c>
      <c r="T4910" s="1"/>
      <c r="U4910">
        <v>210.21875</v>
      </c>
      <c r="V4910">
        <v>0</v>
      </c>
      <c r="W4910">
        <v>90266</v>
      </c>
    </row>
    <row r="4911" spans="1:23" x14ac:dyDescent="0.25">
      <c r="A4911" s="1" t="s">
        <v>40</v>
      </c>
      <c r="B4911" s="1" t="s">
        <v>94</v>
      </c>
      <c r="C4911" s="1" t="s">
        <v>224</v>
      </c>
      <c r="D4911">
        <v>5465</v>
      </c>
      <c r="E4911" s="1"/>
      <c r="F4911" s="1" t="s">
        <v>224</v>
      </c>
      <c r="G4911">
        <v>2015</v>
      </c>
      <c r="H4911">
        <v>33.06</v>
      </c>
      <c r="I4911">
        <v>5</v>
      </c>
      <c r="J4911" s="1" t="s">
        <v>421</v>
      </c>
      <c r="K4911">
        <v>0</v>
      </c>
      <c r="L4911">
        <v>1384</v>
      </c>
      <c r="M4911">
        <v>2.3885E-2</v>
      </c>
      <c r="N4911">
        <v>2</v>
      </c>
      <c r="O4911" s="1" t="s">
        <v>569</v>
      </c>
      <c r="P4911">
        <v>33.06</v>
      </c>
      <c r="Q4911">
        <v>9.91</v>
      </c>
      <c r="R4911">
        <v>1</v>
      </c>
      <c r="S4911" s="1" t="s">
        <v>1175</v>
      </c>
      <c r="T4911" s="1"/>
      <c r="U4911">
        <v>33.0625</v>
      </c>
      <c r="V4911">
        <v>0</v>
      </c>
      <c r="W4911">
        <v>90265</v>
      </c>
    </row>
    <row r="4912" spans="1:23" x14ac:dyDescent="0.25">
      <c r="A4912" s="1" t="s">
        <v>40</v>
      </c>
      <c r="B4912" s="1" t="s">
        <v>94</v>
      </c>
      <c r="C4912" s="1" t="s">
        <v>224</v>
      </c>
      <c r="D4912">
        <v>5465</v>
      </c>
      <c r="E4912" s="1"/>
      <c r="F4912" s="1" t="s">
        <v>224</v>
      </c>
      <c r="G4912">
        <v>2015</v>
      </c>
      <c r="H4912">
        <v>2466.16</v>
      </c>
      <c r="I4912">
        <v>5</v>
      </c>
      <c r="J4912" s="1" t="s">
        <v>421</v>
      </c>
      <c r="K4912">
        <v>0</v>
      </c>
      <c r="L4912">
        <v>1384</v>
      </c>
      <c r="M4912">
        <v>1.7817780000000001</v>
      </c>
      <c r="N4912">
        <v>2</v>
      </c>
      <c r="O4912" s="1" t="s">
        <v>569</v>
      </c>
      <c r="P4912">
        <v>2466.16</v>
      </c>
      <c r="Q4912">
        <v>739.85</v>
      </c>
      <c r="R4912">
        <v>1</v>
      </c>
      <c r="S4912" s="1" t="s">
        <v>1176</v>
      </c>
      <c r="T4912" s="1"/>
      <c r="U4912">
        <v>2466.15625</v>
      </c>
      <c r="V4912">
        <v>0</v>
      </c>
      <c r="W4912">
        <v>90267</v>
      </c>
    </row>
    <row r="4913" spans="1:23" x14ac:dyDescent="0.25">
      <c r="A4913" s="1" t="s">
        <v>40</v>
      </c>
      <c r="B4913" s="1" t="s">
        <v>94</v>
      </c>
      <c r="C4913" s="1" t="s">
        <v>224</v>
      </c>
      <c r="D4913">
        <v>5465</v>
      </c>
      <c r="E4913" s="1"/>
      <c r="F4913" s="1" t="s">
        <v>224</v>
      </c>
      <c r="G4913">
        <v>2015</v>
      </c>
      <c r="H4913">
        <v>4871.3999999999996</v>
      </c>
      <c r="I4913">
        <v>5</v>
      </c>
      <c r="J4913" s="1" t="s">
        <v>421</v>
      </c>
      <c r="K4913">
        <v>0</v>
      </c>
      <c r="L4913">
        <v>1384</v>
      </c>
      <c r="M4913">
        <v>3.5195430000000001</v>
      </c>
      <c r="N4913">
        <v>2</v>
      </c>
      <c r="O4913" s="1" t="s">
        <v>569</v>
      </c>
      <c r="P4913">
        <v>4871.3999999999996</v>
      </c>
      <c r="Q4913">
        <v>1461.42</v>
      </c>
      <c r="R4913">
        <v>1</v>
      </c>
      <c r="S4913" s="1" t="s">
        <v>1177</v>
      </c>
      <c r="T4913" s="1"/>
      <c r="U4913">
        <v>4871.4062599999997</v>
      </c>
      <c r="V4913">
        <v>0</v>
      </c>
      <c r="W4913">
        <v>90268</v>
      </c>
    </row>
    <row r="4914" spans="1:23" x14ac:dyDescent="0.25">
      <c r="A4914" s="1" t="s">
        <v>40</v>
      </c>
      <c r="B4914" s="1" t="s">
        <v>94</v>
      </c>
      <c r="C4914" s="1" t="s">
        <v>224</v>
      </c>
      <c r="D4914">
        <v>5465</v>
      </c>
      <c r="E4914" s="1"/>
      <c r="F4914" s="1" t="s">
        <v>224</v>
      </c>
      <c r="G4914">
        <v>2014</v>
      </c>
      <c r="H4914">
        <v>525.76</v>
      </c>
      <c r="I4914">
        <v>12</v>
      </c>
      <c r="J4914" s="1" t="s">
        <v>421</v>
      </c>
      <c r="K4914">
        <v>0</v>
      </c>
      <c r="L4914">
        <v>1384</v>
      </c>
      <c r="M4914">
        <v>0.37985600000000003</v>
      </c>
      <c r="N4914">
        <v>2</v>
      </c>
      <c r="O4914" s="1" t="s">
        <v>569</v>
      </c>
      <c r="P4914">
        <v>525.76</v>
      </c>
      <c r="Q4914">
        <v>157.72</v>
      </c>
      <c r="R4914">
        <v>1</v>
      </c>
      <c r="S4914" s="1" t="s">
        <v>1174</v>
      </c>
      <c r="T4914" s="1"/>
      <c r="U4914">
        <v>525.74899000000005</v>
      </c>
      <c r="V4914">
        <v>0</v>
      </c>
      <c r="W4914">
        <v>90266</v>
      </c>
    </row>
    <row r="4915" spans="1:23" x14ac:dyDescent="0.25">
      <c r="A4915" s="1" t="s">
        <v>40</v>
      </c>
      <c r="B4915" s="1" t="s">
        <v>94</v>
      </c>
      <c r="C4915" s="1" t="s">
        <v>224</v>
      </c>
      <c r="D4915">
        <v>5465</v>
      </c>
      <c r="E4915" s="1"/>
      <c r="F4915" s="1" t="s">
        <v>224</v>
      </c>
      <c r="G4915">
        <v>2014</v>
      </c>
      <c r="H4915">
        <v>14385.42</v>
      </c>
      <c r="I4915">
        <v>12</v>
      </c>
      <c r="J4915" s="1" t="s">
        <v>421</v>
      </c>
      <c r="K4915">
        <v>0</v>
      </c>
      <c r="L4915">
        <v>1384</v>
      </c>
      <c r="M4915">
        <v>10.393338</v>
      </c>
      <c r="N4915">
        <v>2</v>
      </c>
      <c r="O4915" s="1" t="s">
        <v>569</v>
      </c>
      <c r="P4915">
        <v>14385.42</v>
      </c>
      <c r="Q4915">
        <v>4315.63</v>
      </c>
      <c r="R4915">
        <v>1</v>
      </c>
      <c r="S4915" s="1" t="s">
        <v>1177</v>
      </c>
      <c r="T4915" s="1"/>
      <c r="U4915">
        <v>14385.4002</v>
      </c>
      <c r="V4915">
        <v>0</v>
      </c>
      <c r="W4915">
        <v>90268</v>
      </c>
    </row>
    <row r="4916" spans="1:23" x14ac:dyDescent="0.25">
      <c r="A4916" s="1" t="s">
        <v>40</v>
      </c>
      <c r="B4916" s="1" t="s">
        <v>94</v>
      </c>
      <c r="C4916" s="1" t="s">
        <v>224</v>
      </c>
      <c r="D4916">
        <v>5465</v>
      </c>
      <c r="E4916" s="1"/>
      <c r="F4916" s="1" t="s">
        <v>224</v>
      </c>
      <c r="G4916">
        <v>2014</v>
      </c>
      <c r="H4916">
        <v>18252.68</v>
      </c>
      <c r="I4916">
        <v>12</v>
      </c>
      <c r="J4916" s="1" t="s">
        <v>421</v>
      </c>
      <c r="K4916">
        <v>0</v>
      </c>
      <c r="L4916">
        <v>1384</v>
      </c>
      <c r="M4916">
        <v>13.187398999999999</v>
      </c>
      <c r="N4916">
        <v>2</v>
      </c>
      <c r="O4916" s="1" t="s">
        <v>569</v>
      </c>
      <c r="P4916">
        <v>18252.68</v>
      </c>
      <c r="Q4916">
        <v>7301.1</v>
      </c>
      <c r="R4916">
        <v>1</v>
      </c>
      <c r="S4916" s="1" t="s">
        <v>1171</v>
      </c>
      <c r="T4916" s="1"/>
      <c r="U4916">
        <v>18252.68144</v>
      </c>
      <c r="V4916">
        <v>0</v>
      </c>
      <c r="W4916">
        <v>57770</v>
      </c>
    </row>
    <row r="4917" spans="1:23" x14ac:dyDescent="0.25">
      <c r="A4917" s="1" t="s">
        <v>40</v>
      </c>
      <c r="B4917" s="1" t="s">
        <v>94</v>
      </c>
      <c r="C4917" s="1" t="s">
        <v>224</v>
      </c>
      <c r="D4917">
        <v>5465</v>
      </c>
      <c r="E4917" s="1"/>
      <c r="F4917" s="1" t="s">
        <v>224</v>
      </c>
      <c r="G4917">
        <v>2014</v>
      </c>
      <c r="H4917">
        <v>66805.87</v>
      </c>
      <c r="I4917">
        <v>12</v>
      </c>
      <c r="J4917" s="1"/>
      <c r="K4917">
        <v>0</v>
      </c>
      <c r="L4917">
        <v>1384</v>
      </c>
      <c r="M4917">
        <v>48.266649000000001</v>
      </c>
      <c r="N4917">
        <v>2</v>
      </c>
      <c r="O4917" s="1" t="s">
        <v>569</v>
      </c>
      <c r="P4917">
        <v>66805.87</v>
      </c>
      <c r="Q4917">
        <v>26722.32</v>
      </c>
      <c r="R4917">
        <v>0</v>
      </c>
      <c r="S4917" s="1" t="s">
        <v>1172</v>
      </c>
      <c r="T4917" s="1" t="s">
        <v>1360</v>
      </c>
      <c r="U4917">
        <v>66805.861619999996</v>
      </c>
      <c r="V4917">
        <v>0</v>
      </c>
      <c r="W4917">
        <v>58297</v>
      </c>
    </row>
    <row r="4918" spans="1:23" x14ac:dyDescent="0.25">
      <c r="A4918" s="1" t="s">
        <v>40</v>
      </c>
      <c r="B4918" s="1" t="s">
        <v>94</v>
      </c>
      <c r="C4918" s="1" t="s">
        <v>224</v>
      </c>
      <c r="D4918">
        <v>5465</v>
      </c>
      <c r="E4918" s="1"/>
      <c r="F4918" s="1" t="s">
        <v>224</v>
      </c>
      <c r="G4918">
        <v>2014</v>
      </c>
      <c r="H4918">
        <v>1854.14</v>
      </c>
      <c r="I4918">
        <v>12</v>
      </c>
      <c r="J4918" s="1" t="s">
        <v>421</v>
      </c>
      <c r="K4918">
        <v>0</v>
      </c>
      <c r="L4918">
        <v>1384</v>
      </c>
      <c r="M4918">
        <v>1.339599</v>
      </c>
      <c r="N4918">
        <v>2</v>
      </c>
      <c r="O4918" s="1" t="s">
        <v>569</v>
      </c>
      <c r="P4918">
        <v>1854.14</v>
      </c>
      <c r="Q4918">
        <v>556.23</v>
      </c>
      <c r="R4918">
        <v>1</v>
      </c>
      <c r="S4918" s="1" t="s">
        <v>1173</v>
      </c>
      <c r="T4918" s="1"/>
      <c r="U4918">
        <v>1854.13004</v>
      </c>
      <c r="V4918">
        <v>0</v>
      </c>
      <c r="W4918">
        <v>90264</v>
      </c>
    </row>
    <row r="4919" spans="1:23" x14ac:dyDescent="0.25">
      <c r="A4919" s="1" t="s">
        <v>40</v>
      </c>
      <c r="B4919" s="1" t="s">
        <v>94</v>
      </c>
      <c r="C4919" s="1" t="s">
        <v>224</v>
      </c>
      <c r="D4919">
        <v>5465</v>
      </c>
      <c r="E4919" s="1"/>
      <c r="F4919" s="1" t="s">
        <v>224</v>
      </c>
      <c r="G4919">
        <v>2014</v>
      </c>
      <c r="H4919">
        <v>2.94</v>
      </c>
      <c r="I4919">
        <v>12</v>
      </c>
      <c r="J4919" s="1" t="s">
        <v>421</v>
      </c>
      <c r="K4919">
        <v>0</v>
      </c>
      <c r="L4919">
        <v>1384</v>
      </c>
      <c r="M4919">
        <v>2.124E-3</v>
      </c>
      <c r="N4919">
        <v>2</v>
      </c>
      <c r="O4919" s="1" t="s">
        <v>569</v>
      </c>
      <c r="P4919">
        <v>2.94</v>
      </c>
      <c r="Q4919">
        <v>0.88</v>
      </c>
      <c r="R4919">
        <v>1</v>
      </c>
      <c r="S4919" s="1" t="s">
        <v>1175</v>
      </c>
      <c r="T4919" s="1"/>
      <c r="U4919">
        <v>2.9375</v>
      </c>
      <c r="V4919">
        <v>0</v>
      </c>
      <c r="W4919">
        <v>90265</v>
      </c>
    </row>
    <row r="4920" spans="1:23" x14ac:dyDescent="0.25">
      <c r="A4920" s="1" t="s">
        <v>40</v>
      </c>
      <c r="B4920" s="1" t="s">
        <v>94</v>
      </c>
      <c r="C4920" s="1" t="s">
        <v>224</v>
      </c>
      <c r="D4920">
        <v>5465</v>
      </c>
      <c r="E4920" s="1"/>
      <c r="F4920" s="1" t="s">
        <v>224</v>
      </c>
      <c r="G4920">
        <v>2014</v>
      </c>
      <c r="H4920">
        <v>6797.22</v>
      </c>
      <c r="I4920">
        <v>12</v>
      </c>
      <c r="J4920" s="1" t="s">
        <v>421</v>
      </c>
      <c r="K4920">
        <v>0</v>
      </c>
      <c r="L4920">
        <v>1384</v>
      </c>
      <c r="M4920">
        <v>4.9109309999999997</v>
      </c>
      <c r="N4920">
        <v>2</v>
      </c>
      <c r="O4920" s="1" t="s">
        <v>569</v>
      </c>
      <c r="P4920">
        <v>6797.22</v>
      </c>
      <c r="Q4920">
        <v>2039.17</v>
      </c>
      <c r="R4920">
        <v>1</v>
      </c>
      <c r="S4920" s="1" t="s">
        <v>1176</v>
      </c>
      <c r="T4920" s="1"/>
      <c r="U4920">
        <v>6797.2308400000002</v>
      </c>
      <c r="V4920">
        <v>0</v>
      </c>
      <c r="W4920">
        <v>90267</v>
      </c>
    </row>
    <row r="4921" spans="1:23" x14ac:dyDescent="0.25">
      <c r="A4921" s="1" t="s">
        <v>40</v>
      </c>
      <c r="B4921" s="1" t="s">
        <v>94</v>
      </c>
      <c r="C4921" s="1" t="s">
        <v>224</v>
      </c>
      <c r="D4921">
        <v>5465</v>
      </c>
      <c r="E4921" s="1"/>
      <c r="F4921" s="1" t="s">
        <v>224</v>
      </c>
      <c r="G4921">
        <v>2013</v>
      </c>
      <c r="H4921">
        <v>704.08</v>
      </c>
      <c r="I4921">
        <v>12</v>
      </c>
      <c r="J4921" s="1" t="s">
        <v>421</v>
      </c>
      <c r="K4921">
        <v>0</v>
      </c>
      <c r="L4921">
        <v>1384</v>
      </c>
      <c r="M4921">
        <v>0.508691</v>
      </c>
      <c r="N4921">
        <v>2</v>
      </c>
      <c r="O4921" s="1" t="s">
        <v>569</v>
      </c>
      <c r="P4921">
        <v>704.08</v>
      </c>
      <c r="Q4921">
        <v>211.21</v>
      </c>
      <c r="R4921">
        <v>1</v>
      </c>
      <c r="S4921" s="1" t="s">
        <v>1175</v>
      </c>
      <c r="T4921" s="1"/>
      <c r="U4921">
        <v>704.08825000000002</v>
      </c>
      <c r="V4921">
        <v>0</v>
      </c>
      <c r="W4921">
        <v>90265</v>
      </c>
    </row>
    <row r="4922" spans="1:23" x14ac:dyDescent="0.25">
      <c r="A4922" s="1" t="s">
        <v>40</v>
      </c>
      <c r="B4922" s="1" t="s">
        <v>94</v>
      </c>
      <c r="C4922" s="1" t="s">
        <v>224</v>
      </c>
      <c r="D4922">
        <v>5465</v>
      </c>
      <c r="E4922" s="1"/>
      <c r="F4922" s="1" t="s">
        <v>224</v>
      </c>
      <c r="G4922">
        <v>2013</v>
      </c>
      <c r="H4922">
        <v>554</v>
      </c>
      <c r="I4922">
        <v>12</v>
      </c>
      <c r="J4922" s="1" t="s">
        <v>421</v>
      </c>
      <c r="K4922">
        <v>0</v>
      </c>
      <c r="L4922">
        <v>1384</v>
      </c>
      <c r="M4922">
        <v>0.40026</v>
      </c>
      <c r="N4922">
        <v>2</v>
      </c>
      <c r="O4922" s="1" t="s">
        <v>569</v>
      </c>
      <c r="P4922">
        <v>554</v>
      </c>
      <c r="Q4922">
        <v>166.19</v>
      </c>
      <c r="R4922">
        <v>1</v>
      </c>
      <c r="S4922" s="1" t="s">
        <v>1174</v>
      </c>
      <c r="T4922" s="1"/>
      <c r="U4922">
        <v>554.00284999999997</v>
      </c>
      <c r="V4922">
        <v>0</v>
      </c>
      <c r="W4922">
        <v>90266</v>
      </c>
    </row>
    <row r="4923" spans="1:23" x14ac:dyDescent="0.25">
      <c r="A4923" s="1" t="s">
        <v>40</v>
      </c>
      <c r="B4923" s="1" t="s">
        <v>94</v>
      </c>
      <c r="C4923" s="1" t="s">
        <v>224</v>
      </c>
      <c r="D4923">
        <v>5465</v>
      </c>
      <c r="E4923" s="1"/>
      <c r="F4923" s="1" t="s">
        <v>224</v>
      </c>
      <c r="G4923">
        <v>2013</v>
      </c>
      <c r="H4923">
        <v>15090.88</v>
      </c>
      <c r="I4923">
        <v>12</v>
      </c>
      <c r="J4923" s="1" t="s">
        <v>421</v>
      </c>
      <c r="K4923">
        <v>0</v>
      </c>
      <c r="L4923">
        <v>1384</v>
      </c>
      <c r="M4923">
        <v>10.903027</v>
      </c>
      <c r="N4923">
        <v>2</v>
      </c>
      <c r="O4923" s="1" t="s">
        <v>569</v>
      </c>
      <c r="P4923">
        <v>15090.88</v>
      </c>
      <c r="Q4923">
        <v>4527.26</v>
      </c>
      <c r="R4923">
        <v>1</v>
      </c>
      <c r="S4923" s="1" t="s">
        <v>1177</v>
      </c>
      <c r="T4923" s="1"/>
      <c r="U4923">
        <v>15090.87002</v>
      </c>
      <c r="V4923">
        <v>0</v>
      </c>
      <c r="W4923">
        <v>90268</v>
      </c>
    </row>
    <row r="4924" spans="1:23" x14ac:dyDescent="0.25">
      <c r="A4924" s="1" t="s">
        <v>40</v>
      </c>
      <c r="B4924" s="1" t="s">
        <v>94</v>
      </c>
      <c r="C4924" s="1" t="s">
        <v>224</v>
      </c>
      <c r="D4924">
        <v>5465</v>
      </c>
      <c r="E4924" s="1"/>
      <c r="F4924" s="1" t="s">
        <v>224</v>
      </c>
      <c r="G4924">
        <v>2013</v>
      </c>
      <c r="H4924">
        <v>19865.080000000002</v>
      </c>
      <c r="I4924">
        <v>11</v>
      </c>
      <c r="J4924" s="1" t="s">
        <v>421</v>
      </c>
      <c r="K4924">
        <v>0</v>
      </c>
      <c r="L4924">
        <v>1384</v>
      </c>
      <c r="M4924">
        <v>14.352344</v>
      </c>
      <c r="N4924">
        <v>2</v>
      </c>
      <c r="O4924" s="1" t="s">
        <v>569</v>
      </c>
      <c r="P4924">
        <v>19865.080000000002</v>
      </c>
      <c r="Q4924">
        <v>7946.03</v>
      </c>
      <c r="R4924">
        <v>1</v>
      </c>
      <c r="S4924" s="1" t="s">
        <v>1171</v>
      </c>
      <c r="T4924" s="1"/>
      <c r="U4924">
        <v>19865.0759</v>
      </c>
      <c r="V4924">
        <v>0</v>
      </c>
      <c r="W4924">
        <v>57770</v>
      </c>
    </row>
    <row r="4925" spans="1:23" x14ac:dyDescent="0.25">
      <c r="A4925" s="1" t="s">
        <v>40</v>
      </c>
      <c r="B4925" s="1" t="s">
        <v>94</v>
      </c>
      <c r="C4925" s="1" t="s">
        <v>224</v>
      </c>
      <c r="D4925">
        <v>5465</v>
      </c>
      <c r="E4925" s="1"/>
      <c r="F4925" s="1" t="s">
        <v>224</v>
      </c>
      <c r="G4925">
        <v>2013</v>
      </c>
      <c r="H4925">
        <v>69264.039999999994</v>
      </c>
      <c r="I4925">
        <v>12</v>
      </c>
      <c r="J4925" s="1"/>
      <c r="K4925">
        <v>0</v>
      </c>
      <c r="L4925">
        <v>1384</v>
      </c>
      <c r="M4925">
        <v>50.042655000000003</v>
      </c>
      <c r="N4925">
        <v>2</v>
      </c>
      <c r="O4925" s="1" t="s">
        <v>569</v>
      </c>
      <c r="P4925">
        <v>69264.039999999994</v>
      </c>
      <c r="Q4925">
        <v>27705.61</v>
      </c>
      <c r="R4925">
        <v>0</v>
      </c>
      <c r="S4925" s="1" t="s">
        <v>1172</v>
      </c>
      <c r="T4925" s="1" t="s">
        <v>1360</v>
      </c>
      <c r="U4925">
        <v>69264.049859999999</v>
      </c>
      <c r="V4925">
        <v>0</v>
      </c>
      <c r="W4925">
        <v>58297</v>
      </c>
    </row>
    <row r="4926" spans="1:23" x14ac:dyDescent="0.25">
      <c r="A4926" s="1" t="s">
        <v>40</v>
      </c>
      <c r="B4926" s="1" t="s">
        <v>94</v>
      </c>
      <c r="C4926" s="1" t="s">
        <v>224</v>
      </c>
      <c r="D4926">
        <v>5465</v>
      </c>
      <c r="E4926" s="1"/>
      <c r="F4926" s="1" t="s">
        <v>224</v>
      </c>
      <c r="G4926">
        <v>2013</v>
      </c>
      <c r="H4926">
        <v>1529.54</v>
      </c>
      <c r="I4926">
        <v>12</v>
      </c>
      <c r="J4926" s="1" t="s">
        <v>421</v>
      </c>
      <c r="K4926">
        <v>0</v>
      </c>
      <c r="L4926">
        <v>1384</v>
      </c>
      <c r="M4926">
        <v>1.1050789999999999</v>
      </c>
      <c r="N4926">
        <v>2</v>
      </c>
      <c r="O4926" s="1" t="s">
        <v>569</v>
      </c>
      <c r="P4926">
        <v>1529.54</v>
      </c>
      <c r="Q4926">
        <v>458.86</v>
      </c>
      <c r="R4926">
        <v>1</v>
      </c>
      <c r="S4926" s="1" t="s">
        <v>1173</v>
      </c>
      <c r="T4926" s="1"/>
      <c r="U4926">
        <v>1529.5445999999999</v>
      </c>
      <c r="V4926">
        <v>0</v>
      </c>
      <c r="W4926">
        <v>90264</v>
      </c>
    </row>
    <row r="4927" spans="1:23" x14ac:dyDescent="0.25">
      <c r="A4927" s="1" t="s">
        <v>40</v>
      </c>
      <c r="B4927" s="1" t="s">
        <v>94</v>
      </c>
      <c r="C4927" s="1" t="s">
        <v>224</v>
      </c>
      <c r="D4927">
        <v>5465</v>
      </c>
      <c r="E4927" s="1"/>
      <c r="F4927" s="1" t="s">
        <v>224</v>
      </c>
      <c r="G4927">
        <v>2013</v>
      </c>
      <c r="H4927">
        <v>6769.71</v>
      </c>
      <c r="I4927">
        <v>12</v>
      </c>
      <c r="J4927" s="1" t="s">
        <v>421</v>
      </c>
      <c r="K4927">
        <v>0</v>
      </c>
      <c r="L4927">
        <v>1384</v>
      </c>
      <c r="M4927">
        <v>4.8910549999999997</v>
      </c>
      <c r="N4927">
        <v>2</v>
      </c>
      <c r="O4927" s="1" t="s">
        <v>569</v>
      </c>
      <c r="P4927">
        <v>6769.71</v>
      </c>
      <c r="Q4927">
        <v>2030.92</v>
      </c>
      <c r="R4927">
        <v>1</v>
      </c>
      <c r="S4927" s="1" t="s">
        <v>1176</v>
      </c>
      <c r="T4927" s="1"/>
      <c r="U4927">
        <v>6769.7011400000001</v>
      </c>
      <c r="V4927">
        <v>0</v>
      </c>
      <c r="W4927">
        <v>90267</v>
      </c>
    </row>
    <row r="4928" spans="1:23" x14ac:dyDescent="0.25">
      <c r="A4928" s="1" t="s">
        <v>40</v>
      </c>
      <c r="B4928" s="1" t="s">
        <v>94</v>
      </c>
      <c r="C4928" s="1" t="s">
        <v>224</v>
      </c>
      <c r="D4928">
        <v>5465</v>
      </c>
      <c r="E4928" s="1"/>
      <c r="F4928" s="1" t="s">
        <v>224</v>
      </c>
      <c r="G4928">
        <v>2012</v>
      </c>
      <c r="H4928">
        <v>358.28</v>
      </c>
      <c r="I4928">
        <v>13</v>
      </c>
      <c r="J4928" s="1" t="s">
        <v>421</v>
      </c>
      <c r="K4928">
        <v>0</v>
      </c>
      <c r="L4928">
        <v>1384</v>
      </c>
      <c r="M4928">
        <v>0.25885399999999997</v>
      </c>
      <c r="N4928">
        <v>2</v>
      </c>
      <c r="O4928" s="1" t="s">
        <v>569</v>
      </c>
      <c r="P4928">
        <v>358.28</v>
      </c>
      <c r="Q4928">
        <v>143.30000000000001</v>
      </c>
      <c r="R4928">
        <v>1</v>
      </c>
      <c r="S4928" s="1" t="s">
        <v>1175</v>
      </c>
      <c r="T4928" s="1"/>
      <c r="U4928">
        <v>358.27541000000002</v>
      </c>
      <c r="V4928">
        <v>0</v>
      </c>
      <c r="W4928">
        <v>90265</v>
      </c>
    </row>
    <row r="4929" spans="1:23" x14ac:dyDescent="0.25">
      <c r="A4929" s="1" t="s">
        <v>40</v>
      </c>
      <c r="B4929" s="1" t="s">
        <v>94</v>
      </c>
      <c r="C4929" s="1" t="s">
        <v>224</v>
      </c>
      <c r="D4929">
        <v>5465</v>
      </c>
      <c r="E4929" s="1"/>
      <c r="F4929" s="1" t="s">
        <v>224</v>
      </c>
      <c r="G4929">
        <v>2012</v>
      </c>
      <c r="H4929">
        <v>14615.74</v>
      </c>
      <c r="I4929">
        <v>13</v>
      </c>
      <c r="J4929" s="1" t="s">
        <v>421</v>
      </c>
      <c r="K4929">
        <v>0</v>
      </c>
      <c r="L4929">
        <v>1384</v>
      </c>
      <c r="M4929">
        <v>10.559742</v>
      </c>
      <c r="N4929">
        <v>2</v>
      </c>
      <c r="O4929" s="1" t="s">
        <v>569</v>
      </c>
      <c r="P4929">
        <v>14615.74</v>
      </c>
      <c r="Q4929">
        <v>5846.3</v>
      </c>
      <c r="R4929">
        <v>1</v>
      </c>
      <c r="S4929" s="1" t="s">
        <v>1177</v>
      </c>
      <c r="T4929" s="1"/>
      <c r="U4929">
        <v>14615.74777</v>
      </c>
      <c r="V4929">
        <v>0</v>
      </c>
      <c r="W4929">
        <v>90268</v>
      </c>
    </row>
    <row r="4930" spans="1:23" x14ac:dyDescent="0.25">
      <c r="A4930" s="1" t="s">
        <v>40</v>
      </c>
      <c r="B4930" s="1" t="s">
        <v>94</v>
      </c>
      <c r="C4930" s="1" t="s">
        <v>224</v>
      </c>
      <c r="D4930">
        <v>5465</v>
      </c>
      <c r="E4930" s="1"/>
      <c r="F4930" s="1" t="s">
        <v>224</v>
      </c>
      <c r="G4930">
        <v>2012</v>
      </c>
      <c r="H4930">
        <v>18681.21</v>
      </c>
      <c r="I4930">
        <v>12</v>
      </c>
      <c r="J4930" s="1" t="s">
        <v>421</v>
      </c>
      <c r="K4930">
        <v>0</v>
      </c>
      <c r="L4930">
        <v>1384</v>
      </c>
      <c r="M4930">
        <v>13.497007999999999</v>
      </c>
      <c r="N4930">
        <v>2</v>
      </c>
      <c r="O4930" s="1" t="s">
        <v>569</v>
      </c>
      <c r="P4930">
        <v>18681.21</v>
      </c>
      <c r="Q4930">
        <v>7472.5</v>
      </c>
      <c r="R4930">
        <v>1</v>
      </c>
      <c r="S4930" s="1" t="s">
        <v>1171</v>
      </c>
      <c r="T4930" s="1"/>
      <c r="U4930">
        <v>18681.208559999999</v>
      </c>
      <c r="V4930">
        <v>0</v>
      </c>
      <c r="W4930">
        <v>57770</v>
      </c>
    </row>
    <row r="4931" spans="1:23" x14ac:dyDescent="0.25">
      <c r="A4931" s="1" t="s">
        <v>40</v>
      </c>
      <c r="B4931" s="1" t="s">
        <v>94</v>
      </c>
      <c r="C4931" s="1" t="s">
        <v>224</v>
      </c>
      <c r="D4931">
        <v>5465</v>
      </c>
      <c r="E4931" s="1"/>
      <c r="F4931" s="1" t="s">
        <v>224</v>
      </c>
      <c r="G4931">
        <v>2012</v>
      </c>
      <c r="H4931">
        <v>67477.34</v>
      </c>
      <c r="I4931">
        <v>12</v>
      </c>
      <c r="J4931" s="1"/>
      <c r="K4931">
        <v>0</v>
      </c>
      <c r="L4931">
        <v>1384</v>
      </c>
      <c r="M4931">
        <v>48.751779999999997</v>
      </c>
      <c r="N4931">
        <v>2</v>
      </c>
      <c r="O4931" s="1" t="s">
        <v>569</v>
      </c>
      <c r="P4931">
        <v>67477.34</v>
      </c>
      <c r="Q4931">
        <v>26990.94</v>
      </c>
      <c r="R4931">
        <v>0</v>
      </c>
      <c r="S4931" s="1" t="s">
        <v>1172</v>
      </c>
      <c r="T4931" s="1" t="s">
        <v>1360</v>
      </c>
      <c r="U4931">
        <v>67477.339760000003</v>
      </c>
      <c r="V4931">
        <v>0</v>
      </c>
      <c r="W4931">
        <v>58297</v>
      </c>
    </row>
    <row r="4932" spans="1:23" x14ac:dyDescent="0.25">
      <c r="A4932" s="1" t="s">
        <v>40</v>
      </c>
      <c r="B4932" s="1" t="s">
        <v>94</v>
      </c>
      <c r="C4932" s="1" t="s">
        <v>224</v>
      </c>
      <c r="D4932">
        <v>5465</v>
      </c>
      <c r="E4932" s="1"/>
      <c r="F4932" s="1" t="s">
        <v>224</v>
      </c>
      <c r="G4932">
        <v>2012</v>
      </c>
      <c r="H4932">
        <v>1632.84</v>
      </c>
      <c r="I4932">
        <v>13</v>
      </c>
      <c r="J4932" s="1" t="s">
        <v>421</v>
      </c>
      <c r="K4932">
        <v>0</v>
      </c>
      <c r="L4932">
        <v>1384</v>
      </c>
      <c r="M4932">
        <v>1.1797120000000001</v>
      </c>
      <c r="N4932">
        <v>2</v>
      </c>
      <c r="O4932" s="1" t="s">
        <v>569</v>
      </c>
      <c r="P4932">
        <v>1632.84</v>
      </c>
      <c r="Q4932">
        <v>653.13</v>
      </c>
      <c r="R4932">
        <v>1</v>
      </c>
      <c r="S4932" s="1" t="s">
        <v>1173</v>
      </c>
      <c r="T4932" s="1"/>
      <c r="U4932">
        <v>1632.8395700000001</v>
      </c>
      <c r="V4932">
        <v>0</v>
      </c>
      <c r="W4932">
        <v>90264</v>
      </c>
    </row>
    <row r="4933" spans="1:23" x14ac:dyDescent="0.25">
      <c r="A4933" s="1" t="s">
        <v>40</v>
      </c>
      <c r="B4933" s="1" t="s">
        <v>94</v>
      </c>
      <c r="C4933" s="1" t="s">
        <v>224</v>
      </c>
      <c r="D4933">
        <v>5465</v>
      </c>
      <c r="E4933" s="1"/>
      <c r="F4933" s="1" t="s">
        <v>224</v>
      </c>
      <c r="G4933">
        <v>2012</v>
      </c>
      <c r="H4933">
        <v>645.61</v>
      </c>
      <c r="I4933">
        <v>12</v>
      </c>
      <c r="J4933" s="1" t="s">
        <v>421</v>
      </c>
      <c r="K4933">
        <v>0</v>
      </c>
      <c r="L4933">
        <v>1384</v>
      </c>
      <c r="M4933">
        <v>0.466447</v>
      </c>
      <c r="N4933">
        <v>2</v>
      </c>
      <c r="O4933" s="1" t="s">
        <v>569</v>
      </c>
      <c r="P4933">
        <v>645.61</v>
      </c>
      <c r="Q4933">
        <v>258.27</v>
      </c>
      <c r="R4933">
        <v>1</v>
      </c>
      <c r="S4933" s="1" t="s">
        <v>1174</v>
      </c>
      <c r="T4933" s="1"/>
      <c r="U4933">
        <v>645.60518000000002</v>
      </c>
      <c r="V4933">
        <v>0</v>
      </c>
      <c r="W4933">
        <v>90266</v>
      </c>
    </row>
    <row r="4934" spans="1:23" x14ac:dyDescent="0.25">
      <c r="A4934" s="1" t="s">
        <v>40</v>
      </c>
      <c r="B4934" s="1" t="s">
        <v>94</v>
      </c>
      <c r="C4934" s="1" t="s">
        <v>224</v>
      </c>
      <c r="D4934">
        <v>5465</v>
      </c>
      <c r="E4934" s="1"/>
      <c r="F4934" s="1" t="s">
        <v>224</v>
      </c>
      <c r="G4934">
        <v>2012</v>
      </c>
      <c r="H4934">
        <v>6870.48</v>
      </c>
      <c r="I4934">
        <v>13</v>
      </c>
      <c r="J4934" s="1" t="s">
        <v>421</v>
      </c>
      <c r="K4934">
        <v>0</v>
      </c>
      <c r="L4934">
        <v>1384</v>
      </c>
      <c r="M4934">
        <v>4.9638600000000004</v>
      </c>
      <c r="N4934">
        <v>2</v>
      </c>
      <c r="O4934" s="1" t="s">
        <v>569</v>
      </c>
      <c r="P4934">
        <v>6870.48</v>
      </c>
      <c r="Q4934">
        <v>2748.18</v>
      </c>
      <c r="R4934">
        <v>1</v>
      </c>
      <c r="S4934" s="1" t="s">
        <v>1176</v>
      </c>
      <c r="T4934" s="1"/>
      <c r="U4934">
        <v>6870.4572099999996</v>
      </c>
      <c r="V4934">
        <v>0</v>
      </c>
      <c r="W4934">
        <v>90267</v>
      </c>
    </row>
    <row r="4935" spans="1:23" x14ac:dyDescent="0.25">
      <c r="A4935" s="1" t="s">
        <v>40</v>
      </c>
      <c r="B4935" s="1" t="s">
        <v>94</v>
      </c>
      <c r="C4935" s="1" t="s">
        <v>224</v>
      </c>
      <c r="D4935">
        <v>5465</v>
      </c>
      <c r="E4935" s="1"/>
      <c r="F4935" s="1" t="s">
        <v>224</v>
      </c>
      <c r="G4935">
        <v>2011</v>
      </c>
      <c r="H4935">
        <v>127.64</v>
      </c>
      <c r="I4935">
        <v>3</v>
      </c>
      <c r="J4935" s="1" t="s">
        <v>421</v>
      </c>
      <c r="K4935">
        <v>0</v>
      </c>
      <c r="L4935">
        <v>1384</v>
      </c>
      <c r="M4935">
        <v>9.2217999999999994E-2</v>
      </c>
      <c r="N4935">
        <v>2</v>
      </c>
      <c r="O4935" s="1" t="s">
        <v>569</v>
      </c>
      <c r="P4935">
        <v>127.64</v>
      </c>
      <c r="Q4935">
        <v>59.87</v>
      </c>
      <c r="R4935">
        <v>1</v>
      </c>
      <c r="S4935" s="1" t="s">
        <v>1175</v>
      </c>
      <c r="T4935" s="1"/>
      <c r="U4935">
        <v>127.63637</v>
      </c>
      <c r="V4935">
        <v>0</v>
      </c>
      <c r="W4935">
        <v>90265</v>
      </c>
    </row>
    <row r="4936" spans="1:23" x14ac:dyDescent="0.25">
      <c r="A4936" s="1" t="s">
        <v>40</v>
      </c>
      <c r="B4936" s="1" t="s">
        <v>94</v>
      </c>
      <c r="C4936" s="1" t="s">
        <v>224</v>
      </c>
      <c r="D4936">
        <v>5465</v>
      </c>
      <c r="E4936" s="1"/>
      <c r="F4936" s="1" t="s">
        <v>224</v>
      </c>
      <c r="G4936">
        <v>2011</v>
      </c>
      <c r="H4936">
        <v>1468.45</v>
      </c>
      <c r="I4936">
        <v>3</v>
      </c>
      <c r="J4936" s="1" t="s">
        <v>421</v>
      </c>
      <c r="K4936">
        <v>0</v>
      </c>
      <c r="L4936">
        <v>1384</v>
      </c>
      <c r="M4936">
        <v>1.0609420000000001</v>
      </c>
      <c r="N4936">
        <v>2</v>
      </c>
      <c r="O4936" s="1" t="s">
        <v>569</v>
      </c>
      <c r="P4936">
        <v>1468.45</v>
      </c>
      <c r="Q4936">
        <v>688.71</v>
      </c>
      <c r="R4936">
        <v>1</v>
      </c>
      <c r="S4936" s="1" t="s">
        <v>1176</v>
      </c>
      <c r="T4936" s="1"/>
      <c r="U4936">
        <v>1468.45454</v>
      </c>
      <c r="V4936">
        <v>0</v>
      </c>
      <c r="W4936">
        <v>90267</v>
      </c>
    </row>
    <row r="4937" spans="1:23" x14ac:dyDescent="0.25">
      <c r="A4937" s="1" t="s">
        <v>40</v>
      </c>
      <c r="B4937" s="1" t="s">
        <v>94</v>
      </c>
      <c r="C4937" s="1" t="s">
        <v>224</v>
      </c>
      <c r="D4937">
        <v>5465</v>
      </c>
      <c r="E4937" s="1"/>
      <c r="F4937" s="1" t="s">
        <v>224</v>
      </c>
      <c r="G4937">
        <v>2011</v>
      </c>
      <c r="H4937">
        <v>3329.57</v>
      </c>
      <c r="I4937">
        <v>3</v>
      </c>
      <c r="J4937" s="1" t="s">
        <v>421</v>
      </c>
      <c r="K4937">
        <v>0</v>
      </c>
      <c r="L4937">
        <v>1384</v>
      </c>
      <c r="M4937">
        <v>2.4055840000000002</v>
      </c>
      <c r="N4937">
        <v>2</v>
      </c>
      <c r="O4937" s="1" t="s">
        <v>569</v>
      </c>
      <c r="P4937">
        <v>3329.57</v>
      </c>
      <c r="Q4937">
        <v>1561.58</v>
      </c>
      <c r="R4937">
        <v>1</v>
      </c>
      <c r="S4937" s="1" t="s">
        <v>1177</v>
      </c>
      <c r="T4937" s="1"/>
      <c r="U4937">
        <v>3329.5757600000002</v>
      </c>
      <c r="V4937">
        <v>0</v>
      </c>
      <c r="W4937">
        <v>90268</v>
      </c>
    </row>
    <row r="4938" spans="1:23" x14ac:dyDescent="0.25">
      <c r="A4938" s="1" t="s">
        <v>40</v>
      </c>
      <c r="B4938" s="1" t="s">
        <v>94</v>
      </c>
      <c r="C4938" s="1" t="s">
        <v>224</v>
      </c>
      <c r="D4938">
        <v>5465</v>
      </c>
      <c r="E4938" s="1"/>
      <c r="F4938" s="1" t="s">
        <v>224</v>
      </c>
      <c r="G4938">
        <v>2011</v>
      </c>
      <c r="H4938">
        <v>16463.2</v>
      </c>
      <c r="I4938">
        <v>12</v>
      </c>
      <c r="J4938" s="1" t="s">
        <v>421</v>
      </c>
      <c r="K4938">
        <v>0</v>
      </c>
      <c r="L4938">
        <v>1384</v>
      </c>
      <c r="M4938">
        <v>11.894515999999999</v>
      </c>
      <c r="N4938">
        <v>2</v>
      </c>
      <c r="O4938" s="1" t="s">
        <v>569</v>
      </c>
      <c r="P4938">
        <v>16463.2</v>
      </c>
      <c r="Q4938">
        <v>7721.24</v>
      </c>
      <c r="R4938">
        <v>1</v>
      </c>
      <c r="S4938" s="1" t="s">
        <v>1171</v>
      </c>
      <c r="T4938" s="1"/>
      <c r="U4938">
        <v>16463.181820000002</v>
      </c>
      <c r="V4938">
        <v>0</v>
      </c>
      <c r="W4938">
        <v>57770</v>
      </c>
    </row>
    <row r="4939" spans="1:23" x14ac:dyDescent="0.25">
      <c r="A4939" s="1" t="s">
        <v>40</v>
      </c>
      <c r="B4939" s="1" t="s">
        <v>94</v>
      </c>
      <c r="C4939" s="1" t="s">
        <v>224</v>
      </c>
      <c r="D4939">
        <v>5465</v>
      </c>
      <c r="E4939" s="1"/>
      <c r="F4939" s="1" t="s">
        <v>224</v>
      </c>
      <c r="G4939">
        <v>2011</v>
      </c>
      <c r="H4939">
        <v>62448.95</v>
      </c>
      <c r="I4939">
        <v>12</v>
      </c>
      <c r="J4939" s="1"/>
      <c r="K4939">
        <v>0</v>
      </c>
      <c r="L4939">
        <v>1384</v>
      </c>
      <c r="M4939">
        <v>45.118813000000003</v>
      </c>
      <c r="N4939">
        <v>2</v>
      </c>
      <c r="O4939" s="1" t="s">
        <v>569</v>
      </c>
      <c r="P4939">
        <v>62448.95</v>
      </c>
      <c r="Q4939">
        <v>29288.54</v>
      </c>
      <c r="R4939">
        <v>0</v>
      </c>
      <c r="S4939" s="1" t="s">
        <v>1172</v>
      </c>
      <c r="T4939" s="1" t="s">
        <v>1360</v>
      </c>
      <c r="U4939">
        <v>62448.974139999998</v>
      </c>
      <c r="V4939">
        <v>0</v>
      </c>
      <c r="W4939">
        <v>58297</v>
      </c>
    </row>
    <row r="4940" spans="1:23" x14ac:dyDescent="0.25">
      <c r="A4940" s="1" t="s">
        <v>40</v>
      </c>
      <c r="B4940" s="1" t="s">
        <v>94</v>
      </c>
      <c r="C4940" s="1" t="s">
        <v>224</v>
      </c>
      <c r="D4940">
        <v>5465</v>
      </c>
      <c r="E4940" s="1"/>
      <c r="F4940" s="1" t="s">
        <v>224</v>
      </c>
      <c r="G4940">
        <v>2011</v>
      </c>
      <c r="H4940">
        <v>392.45</v>
      </c>
      <c r="I4940">
        <v>3</v>
      </c>
      <c r="J4940" s="1" t="s">
        <v>421</v>
      </c>
      <c r="K4940">
        <v>0</v>
      </c>
      <c r="L4940">
        <v>1384</v>
      </c>
      <c r="M4940">
        <v>0.28354099999999999</v>
      </c>
      <c r="N4940">
        <v>2</v>
      </c>
      <c r="O4940" s="1" t="s">
        <v>569</v>
      </c>
      <c r="P4940">
        <v>392.45</v>
      </c>
      <c r="Q4940">
        <v>184.07</v>
      </c>
      <c r="R4940">
        <v>1</v>
      </c>
      <c r="S4940" s="1" t="s">
        <v>1173</v>
      </c>
      <c r="T4940" s="1"/>
      <c r="U4940">
        <v>392.45454000000001</v>
      </c>
      <c r="V4940">
        <v>0</v>
      </c>
      <c r="W4940">
        <v>90264</v>
      </c>
    </row>
    <row r="4941" spans="1:23" x14ac:dyDescent="0.25">
      <c r="A4941" s="1" t="s">
        <v>40</v>
      </c>
      <c r="B4941" s="1" t="s">
        <v>94</v>
      </c>
      <c r="C4941" s="1" t="s">
        <v>224</v>
      </c>
      <c r="D4941">
        <v>5465</v>
      </c>
      <c r="E4941" s="1"/>
      <c r="F4941" s="1" t="s">
        <v>224</v>
      </c>
      <c r="G4941">
        <v>2011</v>
      </c>
      <c r="H4941">
        <v>176.43</v>
      </c>
      <c r="I4941">
        <v>3</v>
      </c>
      <c r="J4941" s="1" t="s">
        <v>421</v>
      </c>
      <c r="K4941">
        <v>0</v>
      </c>
      <c r="L4941">
        <v>1384</v>
      </c>
      <c r="M4941">
        <v>0.127469</v>
      </c>
      <c r="N4941">
        <v>2</v>
      </c>
      <c r="O4941" s="1" t="s">
        <v>569</v>
      </c>
      <c r="P4941">
        <v>176.43</v>
      </c>
      <c r="Q4941">
        <v>82.74</v>
      </c>
      <c r="R4941">
        <v>1</v>
      </c>
      <c r="S4941" s="1" t="s">
        <v>1174</v>
      </c>
      <c r="T4941" s="1"/>
      <c r="U4941">
        <v>176.42424</v>
      </c>
      <c r="V4941">
        <v>0</v>
      </c>
      <c r="W4941">
        <v>90266</v>
      </c>
    </row>
    <row r="4942" spans="1:23" x14ac:dyDescent="0.25">
      <c r="A4942" s="1" t="s">
        <v>40</v>
      </c>
      <c r="B4942" s="1" t="s">
        <v>94</v>
      </c>
      <c r="C4942" s="1" t="s">
        <v>224</v>
      </c>
      <c r="D4942">
        <v>5465</v>
      </c>
      <c r="E4942" s="1"/>
      <c r="F4942" s="1" t="s">
        <v>224</v>
      </c>
      <c r="G4942">
        <v>2010</v>
      </c>
      <c r="H4942">
        <v>18553.490000000002</v>
      </c>
      <c r="I4942">
        <v>11</v>
      </c>
      <c r="J4942" s="1" t="s">
        <v>421</v>
      </c>
      <c r="K4942">
        <v>0</v>
      </c>
      <c r="L4942">
        <v>1384</v>
      </c>
      <c r="M4942">
        <v>13.404731999999999</v>
      </c>
      <c r="N4942">
        <v>2</v>
      </c>
      <c r="O4942" s="1" t="s">
        <v>569</v>
      </c>
      <c r="P4942">
        <v>18553.490000000002</v>
      </c>
      <c r="Q4942">
        <v>8701.58</v>
      </c>
      <c r="R4942">
        <v>1</v>
      </c>
      <c r="S4942" s="1" t="s">
        <v>1171</v>
      </c>
      <c r="T4942" s="1"/>
      <c r="U4942">
        <v>18553.491979999999</v>
      </c>
      <c r="V4942">
        <v>0</v>
      </c>
      <c r="W4942">
        <v>57770</v>
      </c>
    </row>
    <row r="4943" spans="1:23" x14ac:dyDescent="0.25">
      <c r="A4943" s="1" t="s">
        <v>40</v>
      </c>
      <c r="B4943" s="1" t="s">
        <v>94</v>
      </c>
      <c r="C4943" s="1" t="s">
        <v>224</v>
      </c>
      <c r="D4943">
        <v>5465</v>
      </c>
      <c r="E4943" s="1"/>
      <c r="F4943" s="1" t="s">
        <v>224</v>
      </c>
      <c r="G4943">
        <v>2010</v>
      </c>
      <c r="H4943">
        <v>70345.039999999994</v>
      </c>
      <c r="I4943">
        <v>12</v>
      </c>
      <c r="J4943" s="1"/>
      <c r="K4943">
        <v>0</v>
      </c>
      <c r="L4943">
        <v>1384</v>
      </c>
      <c r="M4943">
        <v>50.823667999999998</v>
      </c>
      <c r="N4943">
        <v>2</v>
      </c>
      <c r="O4943" s="1" t="s">
        <v>569</v>
      </c>
      <c r="P4943">
        <v>70345.039999999994</v>
      </c>
      <c r="Q4943">
        <v>32991.86</v>
      </c>
      <c r="R4943">
        <v>0</v>
      </c>
      <c r="S4943" s="1" t="s">
        <v>1172</v>
      </c>
      <c r="T4943" s="1" t="s">
        <v>1360</v>
      </c>
      <c r="U4943">
        <v>70345.050289999999</v>
      </c>
      <c r="V4943">
        <v>0</v>
      </c>
      <c r="W4943">
        <v>58297</v>
      </c>
    </row>
    <row r="4944" spans="1:23" x14ac:dyDescent="0.25">
      <c r="A4944" s="1" t="s">
        <v>40</v>
      </c>
      <c r="B4944" s="1" t="s">
        <v>94</v>
      </c>
      <c r="C4944" s="1" t="s">
        <v>224</v>
      </c>
      <c r="D4944">
        <v>5465</v>
      </c>
      <c r="E4944" s="1"/>
      <c r="F4944" s="1" t="s">
        <v>224</v>
      </c>
      <c r="G4944">
        <v>2009</v>
      </c>
      <c r="H4944">
        <v>13629.53</v>
      </c>
      <c r="I4944">
        <v>12</v>
      </c>
      <c r="J4944" s="1" t="s">
        <v>421</v>
      </c>
      <c r="K4944">
        <v>0</v>
      </c>
      <c r="L4944">
        <v>1384</v>
      </c>
      <c r="M4944">
        <v>9.8472139999999992</v>
      </c>
      <c r="N4944">
        <v>2</v>
      </c>
      <c r="O4944" s="1" t="s">
        <v>569</v>
      </c>
      <c r="P4944">
        <v>13629.53</v>
      </c>
      <c r="Q4944">
        <v>6392.24</v>
      </c>
      <c r="R4944">
        <v>1</v>
      </c>
      <c r="S4944" s="1" t="s">
        <v>1171</v>
      </c>
      <c r="T4944" s="1"/>
      <c r="U4944">
        <v>13629.516540000001</v>
      </c>
      <c r="V4944">
        <v>0</v>
      </c>
      <c r="W4944">
        <v>57770</v>
      </c>
    </row>
    <row r="4945" spans="1:23" x14ac:dyDescent="0.25">
      <c r="A4945" s="1" t="s">
        <v>40</v>
      </c>
      <c r="B4945" s="1" t="s">
        <v>94</v>
      </c>
      <c r="C4945" s="1" t="s">
        <v>224</v>
      </c>
      <c r="D4945">
        <v>5465</v>
      </c>
      <c r="E4945" s="1"/>
      <c r="F4945" s="1" t="s">
        <v>224</v>
      </c>
      <c r="G4945">
        <v>2009</v>
      </c>
      <c r="H4945">
        <v>63207.28</v>
      </c>
      <c r="I4945">
        <v>12</v>
      </c>
      <c r="J4945" s="1"/>
      <c r="K4945">
        <v>0</v>
      </c>
      <c r="L4945">
        <v>1384</v>
      </c>
      <c r="M4945">
        <v>45.666699999999999</v>
      </c>
      <c r="N4945">
        <v>2</v>
      </c>
      <c r="O4945" s="1" t="s">
        <v>569</v>
      </c>
      <c r="P4945">
        <v>63207.28</v>
      </c>
      <c r="Q4945">
        <v>29644.22</v>
      </c>
      <c r="R4945">
        <v>0</v>
      </c>
      <c r="S4945" s="1" t="s">
        <v>1172</v>
      </c>
      <c r="T4945" s="1" t="s">
        <v>1360</v>
      </c>
      <c r="U4945">
        <v>63207.29206</v>
      </c>
      <c r="V4945">
        <v>0</v>
      </c>
      <c r="W4945">
        <v>58297</v>
      </c>
    </row>
    <row r="4946" spans="1:23" x14ac:dyDescent="0.25">
      <c r="A4946" s="1" t="s">
        <v>40</v>
      </c>
      <c r="B4946" s="1" t="s">
        <v>94</v>
      </c>
      <c r="C4946" s="1" t="s">
        <v>224</v>
      </c>
      <c r="D4946">
        <v>5465</v>
      </c>
      <c r="E4946" s="1"/>
      <c r="F4946" s="1" t="s">
        <v>224</v>
      </c>
      <c r="G4946">
        <v>2008</v>
      </c>
      <c r="H4946">
        <v>11289</v>
      </c>
      <c r="I4946">
        <v>12</v>
      </c>
      <c r="J4946" s="1" t="s">
        <v>421</v>
      </c>
      <c r="K4946">
        <v>0</v>
      </c>
      <c r="L4946">
        <v>1384</v>
      </c>
      <c r="M4946">
        <v>8.1562020000000004</v>
      </c>
      <c r="N4946">
        <v>2</v>
      </c>
      <c r="O4946" s="1" t="s">
        <v>569</v>
      </c>
      <c r="P4946">
        <v>11289</v>
      </c>
      <c r="Q4946">
        <v>5294.52</v>
      </c>
      <c r="R4946">
        <v>1</v>
      </c>
      <c r="S4946" s="1" t="s">
        <v>1171</v>
      </c>
      <c r="T4946" s="1"/>
      <c r="U4946">
        <v>11288.991470000001</v>
      </c>
      <c r="V4946">
        <v>0</v>
      </c>
      <c r="W4946">
        <v>57770</v>
      </c>
    </row>
    <row r="4947" spans="1:23" x14ac:dyDescent="0.25">
      <c r="A4947" s="1" t="s">
        <v>40</v>
      </c>
      <c r="B4947" s="1" t="s">
        <v>94</v>
      </c>
      <c r="C4947" s="1" t="s">
        <v>224</v>
      </c>
      <c r="D4947">
        <v>5465</v>
      </c>
      <c r="E4947" s="1"/>
      <c r="F4947" s="1" t="s">
        <v>224</v>
      </c>
      <c r="G4947">
        <v>2008</v>
      </c>
      <c r="H4947">
        <v>67291.899999999994</v>
      </c>
      <c r="I4947">
        <v>12</v>
      </c>
      <c r="J4947" s="1"/>
      <c r="K4947">
        <v>0</v>
      </c>
      <c r="L4947">
        <v>1384</v>
      </c>
      <c r="M4947">
        <v>48.617801999999998</v>
      </c>
      <c r="N4947">
        <v>2</v>
      </c>
      <c r="O4947" s="1" t="s">
        <v>569</v>
      </c>
      <c r="P4947">
        <v>67291.899999999994</v>
      </c>
      <c r="Q4947">
        <v>31559.9</v>
      </c>
      <c r="R4947">
        <v>0</v>
      </c>
      <c r="S4947" s="1" t="s">
        <v>1172</v>
      </c>
      <c r="T4947" s="1" t="s">
        <v>1360</v>
      </c>
      <c r="U4947">
        <v>67291.899269999994</v>
      </c>
      <c r="V4947">
        <v>0</v>
      </c>
      <c r="W4947">
        <v>58297</v>
      </c>
    </row>
    <row r="4948" spans="1:23" x14ac:dyDescent="0.25">
      <c r="A4948" s="1" t="s">
        <v>40</v>
      </c>
      <c r="B4948" s="1" t="s">
        <v>94</v>
      </c>
      <c r="C4948" s="1" t="s">
        <v>224</v>
      </c>
      <c r="D4948">
        <v>5539</v>
      </c>
      <c r="E4948" s="1"/>
      <c r="F4948" s="1" t="s">
        <v>370</v>
      </c>
      <c r="G4948">
        <v>2015</v>
      </c>
      <c r="H4948">
        <v>16871.78</v>
      </c>
      <c r="I4948">
        <v>5</v>
      </c>
      <c r="J4948" s="1" t="s">
        <v>421</v>
      </c>
      <c r="K4948">
        <v>0</v>
      </c>
      <c r="L4948">
        <v>1480</v>
      </c>
      <c r="M4948">
        <v>11.399081000000001</v>
      </c>
      <c r="N4948">
        <v>2</v>
      </c>
      <c r="O4948" s="1" t="s">
        <v>569</v>
      </c>
      <c r="P4948">
        <v>16871.78</v>
      </c>
      <c r="Q4948">
        <v>6748.71</v>
      </c>
      <c r="R4948">
        <v>0</v>
      </c>
      <c r="S4948" s="1" t="s">
        <v>1178</v>
      </c>
      <c r="T4948" s="1"/>
      <c r="U4948">
        <v>16871.78125</v>
      </c>
      <c r="V4948">
        <v>0</v>
      </c>
      <c r="W4948">
        <v>58286</v>
      </c>
    </row>
    <row r="4949" spans="1:23" x14ac:dyDescent="0.25">
      <c r="A4949" s="1" t="s">
        <v>40</v>
      </c>
      <c r="B4949" s="1" t="s">
        <v>94</v>
      </c>
      <c r="C4949" s="1" t="s">
        <v>224</v>
      </c>
      <c r="D4949">
        <v>5539</v>
      </c>
      <c r="E4949" s="1"/>
      <c r="F4949" s="1" t="s">
        <v>370</v>
      </c>
      <c r="G4949">
        <v>2015</v>
      </c>
      <c r="H4949">
        <v>3852.4</v>
      </c>
      <c r="I4949">
        <v>5</v>
      </c>
      <c r="J4949" s="1" t="s">
        <v>421</v>
      </c>
      <c r="K4949">
        <v>0</v>
      </c>
      <c r="L4949">
        <v>1480</v>
      </c>
      <c r="M4949">
        <v>2.6027969999999998</v>
      </c>
      <c r="N4949">
        <v>2</v>
      </c>
      <c r="O4949" s="1" t="s">
        <v>569</v>
      </c>
      <c r="P4949">
        <v>3852.4</v>
      </c>
      <c r="Q4949">
        <v>1540.96</v>
      </c>
      <c r="R4949">
        <v>0</v>
      </c>
      <c r="S4949" s="1" t="s">
        <v>1179</v>
      </c>
      <c r="T4949" s="1"/>
      <c r="U4949">
        <v>3852.40625</v>
      </c>
      <c r="V4949">
        <v>0</v>
      </c>
      <c r="W4949">
        <v>58287</v>
      </c>
    </row>
    <row r="4950" spans="1:23" x14ac:dyDescent="0.25">
      <c r="A4950" s="1" t="s">
        <v>40</v>
      </c>
      <c r="B4950" s="1" t="s">
        <v>94</v>
      </c>
      <c r="C4950" s="1" t="s">
        <v>224</v>
      </c>
      <c r="D4950">
        <v>5539</v>
      </c>
      <c r="E4950" s="1"/>
      <c r="F4950" s="1" t="s">
        <v>370</v>
      </c>
      <c r="G4950">
        <v>2014</v>
      </c>
      <c r="H4950">
        <v>32842.160000000003</v>
      </c>
      <c r="I4950">
        <v>12</v>
      </c>
      <c r="J4950" s="1" t="s">
        <v>421</v>
      </c>
      <c r="K4950">
        <v>0</v>
      </c>
      <c r="L4950">
        <v>1480</v>
      </c>
      <c r="M4950">
        <v>22.189149</v>
      </c>
      <c r="N4950">
        <v>2</v>
      </c>
      <c r="O4950" s="1" t="s">
        <v>569</v>
      </c>
      <c r="P4950">
        <v>32842.160000000003</v>
      </c>
      <c r="Q4950">
        <v>13136.87</v>
      </c>
      <c r="R4950">
        <v>0</v>
      </c>
      <c r="S4950" s="1" t="s">
        <v>1178</v>
      </c>
      <c r="T4950" s="1"/>
      <c r="U4950">
        <v>32842.154240000003</v>
      </c>
      <c r="V4950">
        <v>0</v>
      </c>
      <c r="W4950">
        <v>58286</v>
      </c>
    </row>
    <row r="4951" spans="1:23" x14ac:dyDescent="0.25">
      <c r="A4951" s="1" t="s">
        <v>40</v>
      </c>
      <c r="B4951" s="1" t="s">
        <v>94</v>
      </c>
      <c r="C4951" s="1" t="s">
        <v>224</v>
      </c>
      <c r="D4951">
        <v>5539</v>
      </c>
      <c r="E4951" s="1"/>
      <c r="F4951" s="1" t="s">
        <v>370</v>
      </c>
      <c r="G4951">
        <v>2014</v>
      </c>
      <c r="H4951">
        <v>10758.14</v>
      </c>
      <c r="I4951">
        <v>12</v>
      </c>
      <c r="J4951" s="1" t="s">
        <v>421</v>
      </c>
      <c r="K4951">
        <v>0</v>
      </c>
      <c r="L4951">
        <v>1480</v>
      </c>
      <c r="M4951">
        <v>7.2685219999999999</v>
      </c>
      <c r="N4951">
        <v>2</v>
      </c>
      <c r="O4951" s="1" t="s">
        <v>569</v>
      </c>
      <c r="P4951">
        <v>10758.14</v>
      </c>
      <c r="Q4951">
        <v>4303.2700000000004</v>
      </c>
      <c r="R4951">
        <v>0</v>
      </c>
      <c r="S4951" s="1" t="s">
        <v>1179</v>
      </c>
      <c r="T4951" s="1"/>
      <c r="U4951">
        <v>10758.14214</v>
      </c>
      <c r="V4951">
        <v>0</v>
      </c>
      <c r="W4951">
        <v>58287</v>
      </c>
    </row>
    <row r="4952" spans="1:23" x14ac:dyDescent="0.25">
      <c r="A4952" s="1" t="s">
        <v>40</v>
      </c>
      <c r="B4952" s="1" t="s">
        <v>94</v>
      </c>
      <c r="C4952" s="1" t="s">
        <v>224</v>
      </c>
      <c r="D4952">
        <v>5539</v>
      </c>
      <c r="E4952" s="1"/>
      <c r="F4952" s="1" t="s">
        <v>370</v>
      </c>
      <c r="G4952">
        <v>2013</v>
      </c>
      <c r="H4952">
        <v>36990.54</v>
      </c>
      <c r="I4952">
        <v>12</v>
      </c>
      <c r="J4952" s="1" t="s">
        <v>421</v>
      </c>
      <c r="K4952">
        <v>0</v>
      </c>
      <c r="L4952">
        <v>1480</v>
      </c>
      <c r="M4952">
        <v>24.991918999999999</v>
      </c>
      <c r="N4952">
        <v>2</v>
      </c>
      <c r="O4952" s="1" t="s">
        <v>569</v>
      </c>
      <c r="P4952">
        <v>36990.54</v>
      </c>
      <c r="Q4952">
        <v>14796.22</v>
      </c>
      <c r="R4952">
        <v>0</v>
      </c>
      <c r="S4952" s="1" t="s">
        <v>1178</v>
      </c>
      <c r="T4952" s="1"/>
      <c r="U4952">
        <v>36990.535109999997</v>
      </c>
      <c r="V4952">
        <v>0</v>
      </c>
      <c r="W4952">
        <v>58286</v>
      </c>
    </row>
    <row r="4953" spans="1:23" x14ac:dyDescent="0.25">
      <c r="A4953" s="1" t="s">
        <v>40</v>
      </c>
      <c r="B4953" s="1" t="s">
        <v>94</v>
      </c>
      <c r="C4953" s="1" t="s">
        <v>224</v>
      </c>
      <c r="D4953">
        <v>5539</v>
      </c>
      <c r="E4953" s="1"/>
      <c r="F4953" s="1" t="s">
        <v>370</v>
      </c>
      <c r="G4953">
        <v>2013</v>
      </c>
      <c r="H4953">
        <v>6976.49</v>
      </c>
      <c r="I4953">
        <v>12</v>
      </c>
      <c r="J4953" s="1" t="s">
        <v>421</v>
      </c>
      <c r="K4953">
        <v>0</v>
      </c>
      <c r="L4953">
        <v>1480</v>
      </c>
      <c r="M4953">
        <v>4.7135259999999999</v>
      </c>
      <c r="N4953">
        <v>2</v>
      </c>
      <c r="O4953" s="1" t="s">
        <v>569</v>
      </c>
      <c r="P4953">
        <v>6976.49</v>
      </c>
      <c r="Q4953">
        <v>2790.59</v>
      </c>
      <c r="R4953">
        <v>0</v>
      </c>
      <c r="S4953" s="1" t="s">
        <v>1179</v>
      </c>
      <c r="T4953" s="1"/>
      <c r="U4953">
        <v>6976.4810299999999</v>
      </c>
      <c r="V4953">
        <v>0</v>
      </c>
      <c r="W4953">
        <v>58287</v>
      </c>
    </row>
    <row r="4954" spans="1:23" x14ac:dyDescent="0.25">
      <c r="A4954" s="1" t="s">
        <v>40</v>
      </c>
      <c r="B4954" s="1" t="s">
        <v>94</v>
      </c>
      <c r="C4954" s="1" t="s">
        <v>224</v>
      </c>
      <c r="D4954">
        <v>5539</v>
      </c>
      <c r="E4954" s="1"/>
      <c r="F4954" s="1" t="s">
        <v>370</v>
      </c>
      <c r="G4954">
        <v>2012</v>
      </c>
      <c r="H4954">
        <v>11917.73</v>
      </c>
      <c r="I4954">
        <v>12</v>
      </c>
      <c r="J4954" s="1" t="s">
        <v>421</v>
      </c>
      <c r="K4954">
        <v>0</v>
      </c>
      <c r="L4954">
        <v>1480</v>
      </c>
      <c r="M4954">
        <v>8.0519759999999998</v>
      </c>
      <c r="N4954">
        <v>2</v>
      </c>
      <c r="O4954" s="1" t="s">
        <v>569</v>
      </c>
      <c r="P4954">
        <v>11917.73</v>
      </c>
      <c r="Q4954">
        <v>4767.07</v>
      </c>
      <c r="R4954">
        <v>0</v>
      </c>
      <c r="S4954" s="1" t="s">
        <v>1179</v>
      </c>
      <c r="T4954" s="1"/>
      <c r="U4954">
        <v>11917.728160000001</v>
      </c>
      <c r="V4954">
        <v>0</v>
      </c>
      <c r="W4954">
        <v>58287</v>
      </c>
    </row>
    <row r="4955" spans="1:23" x14ac:dyDescent="0.25">
      <c r="A4955" s="1" t="s">
        <v>40</v>
      </c>
      <c r="B4955" s="1" t="s">
        <v>94</v>
      </c>
      <c r="C4955" s="1" t="s">
        <v>224</v>
      </c>
      <c r="D4955">
        <v>5539</v>
      </c>
      <c r="E4955" s="1"/>
      <c r="F4955" s="1" t="s">
        <v>370</v>
      </c>
      <c r="G4955">
        <v>2012</v>
      </c>
      <c r="H4955">
        <v>34503.19</v>
      </c>
      <c r="I4955">
        <v>11</v>
      </c>
      <c r="J4955" s="1" t="s">
        <v>421</v>
      </c>
      <c r="K4955">
        <v>0</v>
      </c>
      <c r="L4955">
        <v>1480</v>
      </c>
      <c r="M4955">
        <v>23.311391</v>
      </c>
      <c r="N4955">
        <v>2</v>
      </c>
      <c r="O4955" s="1" t="s">
        <v>569</v>
      </c>
      <c r="P4955">
        <v>34503.19</v>
      </c>
      <c r="Q4955">
        <v>13801.29</v>
      </c>
      <c r="R4955">
        <v>0</v>
      </c>
      <c r="S4955" s="1" t="s">
        <v>1178</v>
      </c>
      <c r="T4955" s="1"/>
      <c r="U4955">
        <v>34503.196080000002</v>
      </c>
      <c r="V4955">
        <v>0</v>
      </c>
      <c r="W4955">
        <v>58286</v>
      </c>
    </row>
    <row r="4956" spans="1:23" x14ac:dyDescent="0.25">
      <c r="A4956" s="1" t="s">
        <v>40</v>
      </c>
      <c r="B4956" s="1" t="s">
        <v>94</v>
      </c>
      <c r="C4956" s="1" t="s">
        <v>224</v>
      </c>
      <c r="D4956">
        <v>5539</v>
      </c>
      <c r="E4956" s="1"/>
      <c r="F4956" s="1" t="s">
        <v>370</v>
      </c>
      <c r="G4956">
        <v>2011</v>
      </c>
      <c r="H4956">
        <v>29935.55</v>
      </c>
      <c r="I4956">
        <v>12</v>
      </c>
      <c r="J4956" s="1" t="s">
        <v>421</v>
      </c>
      <c r="K4956">
        <v>0</v>
      </c>
      <c r="L4956">
        <v>1480</v>
      </c>
      <c r="M4956">
        <v>20.225356000000001</v>
      </c>
      <c r="N4956">
        <v>2</v>
      </c>
      <c r="O4956" s="1" t="s">
        <v>569</v>
      </c>
      <c r="P4956">
        <v>29935.55</v>
      </c>
      <c r="Q4956">
        <v>14039.78</v>
      </c>
      <c r="R4956">
        <v>0</v>
      </c>
      <c r="S4956" s="1" t="s">
        <v>1179</v>
      </c>
      <c r="T4956" s="1"/>
      <c r="U4956">
        <v>29935.545460000001</v>
      </c>
      <c r="V4956">
        <v>0</v>
      </c>
      <c r="W4956">
        <v>58287</v>
      </c>
    </row>
    <row r="4957" spans="1:23" x14ac:dyDescent="0.25">
      <c r="A4957" s="1" t="s">
        <v>40</v>
      </c>
      <c r="B4957" s="1" t="s">
        <v>94</v>
      </c>
      <c r="C4957" s="1" t="s">
        <v>224</v>
      </c>
      <c r="D4957">
        <v>5539</v>
      </c>
      <c r="E4957" s="1"/>
      <c r="F4957" s="1" t="s">
        <v>370</v>
      </c>
      <c r="G4957">
        <v>2011</v>
      </c>
      <c r="H4957">
        <v>34942.959999999999</v>
      </c>
      <c r="I4957">
        <v>12</v>
      </c>
      <c r="J4957" s="1" t="s">
        <v>421</v>
      </c>
      <c r="K4957">
        <v>0</v>
      </c>
      <c r="L4957">
        <v>1480</v>
      </c>
      <c r="M4957">
        <v>23.608512000000001</v>
      </c>
      <c r="N4957">
        <v>2</v>
      </c>
      <c r="O4957" s="1" t="s">
        <v>569</v>
      </c>
      <c r="P4957">
        <v>34942.959999999999</v>
      </c>
      <c r="Q4957">
        <v>16388.25</v>
      </c>
      <c r="R4957">
        <v>0</v>
      </c>
      <c r="S4957" s="1" t="s">
        <v>1178</v>
      </c>
      <c r="T4957" s="1"/>
      <c r="U4957">
        <v>34942.939400000003</v>
      </c>
      <c r="V4957">
        <v>0</v>
      </c>
      <c r="W4957">
        <v>58286</v>
      </c>
    </row>
    <row r="4958" spans="1:23" x14ac:dyDescent="0.25">
      <c r="A4958" s="1" t="s">
        <v>40</v>
      </c>
      <c r="B4958" s="1" t="s">
        <v>94</v>
      </c>
      <c r="C4958" s="1" t="s">
        <v>224</v>
      </c>
      <c r="D4958">
        <v>5539</v>
      </c>
      <c r="E4958" s="1"/>
      <c r="F4958" s="1" t="s">
        <v>370</v>
      </c>
      <c r="G4958">
        <v>2010</v>
      </c>
      <c r="H4958">
        <v>19145.95</v>
      </c>
      <c r="I4958">
        <v>12</v>
      </c>
      <c r="J4958" s="1" t="s">
        <v>421</v>
      </c>
      <c r="K4958">
        <v>0</v>
      </c>
      <c r="L4958">
        <v>1480</v>
      </c>
      <c r="M4958">
        <v>12.935578</v>
      </c>
      <c r="N4958">
        <v>2</v>
      </c>
      <c r="O4958" s="1" t="s">
        <v>569</v>
      </c>
      <c r="P4958">
        <v>19145.95</v>
      </c>
      <c r="Q4958">
        <v>8979.42</v>
      </c>
      <c r="R4958">
        <v>0</v>
      </c>
      <c r="S4958" s="1" t="s">
        <v>1179</v>
      </c>
      <c r="T4958" s="1"/>
      <c r="U4958">
        <v>19145.932250000002</v>
      </c>
      <c r="V4958">
        <v>0</v>
      </c>
      <c r="W4958">
        <v>58287</v>
      </c>
    </row>
    <row r="4959" spans="1:23" x14ac:dyDescent="0.25">
      <c r="A4959" s="1" t="s">
        <v>40</v>
      </c>
      <c r="B4959" s="1" t="s">
        <v>94</v>
      </c>
      <c r="C4959" s="1" t="s">
        <v>224</v>
      </c>
      <c r="D4959">
        <v>5539</v>
      </c>
      <c r="E4959" s="1"/>
      <c r="F4959" s="1" t="s">
        <v>370</v>
      </c>
      <c r="G4959">
        <v>2010</v>
      </c>
      <c r="H4959">
        <v>38249.71</v>
      </c>
      <c r="I4959">
        <v>12</v>
      </c>
      <c r="J4959" s="1" t="s">
        <v>421</v>
      </c>
      <c r="K4959">
        <v>0</v>
      </c>
      <c r="L4959">
        <v>1480</v>
      </c>
      <c r="M4959">
        <v>25.842652000000001</v>
      </c>
      <c r="N4959">
        <v>2</v>
      </c>
      <c r="O4959" s="1" t="s">
        <v>569</v>
      </c>
      <c r="P4959">
        <v>38249.71</v>
      </c>
      <c r="Q4959">
        <v>17939.099999999999</v>
      </c>
      <c r="R4959">
        <v>0</v>
      </c>
      <c r="S4959" s="1" t="s">
        <v>1178</v>
      </c>
      <c r="T4959" s="1"/>
      <c r="U4959">
        <v>38249.71746</v>
      </c>
      <c r="V4959">
        <v>0</v>
      </c>
      <c r="W4959">
        <v>58286</v>
      </c>
    </row>
    <row r="4960" spans="1:23" x14ac:dyDescent="0.25">
      <c r="A4960" s="1" t="s">
        <v>40</v>
      </c>
      <c r="B4960" s="1" t="s">
        <v>94</v>
      </c>
      <c r="C4960" s="1" t="s">
        <v>224</v>
      </c>
      <c r="D4960">
        <v>5539</v>
      </c>
      <c r="E4960" s="1"/>
      <c r="F4960" s="1" t="s">
        <v>370</v>
      </c>
      <c r="G4960">
        <v>2009</v>
      </c>
      <c r="H4960">
        <v>35035.47</v>
      </c>
      <c r="I4960">
        <v>12</v>
      </c>
      <c r="J4960" s="1" t="s">
        <v>421</v>
      </c>
      <c r="K4960">
        <v>0</v>
      </c>
      <c r="L4960">
        <v>1480</v>
      </c>
      <c r="M4960">
        <v>23.671015000000001</v>
      </c>
      <c r="N4960">
        <v>2</v>
      </c>
      <c r="O4960" s="1" t="s">
        <v>569</v>
      </c>
      <c r="P4960">
        <v>35035.47</v>
      </c>
      <c r="Q4960">
        <v>16431.62</v>
      </c>
      <c r="R4960">
        <v>0</v>
      </c>
      <c r="S4960" s="1" t="s">
        <v>1178</v>
      </c>
      <c r="T4960" s="1"/>
      <c r="U4960">
        <v>35035.457730000002</v>
      </c>
      <c r="V4960">
        <v>0</v>
      </c>
      <c r="W4960">
        <v>58286</v>
      </c>
    </row>
    <row r="4961" spans="1:23" x14ac:dyDescent="0.25">
      <c r="A4961" s="1" t="s">
        <v>40</v>
      </c>
      <c r="B4961" s="1" t="s">
        <v>94</v>
      </c>
      <c r="C4961" s="1" t="s">
        <v>224</v>
      </c>
      <c r="D4961">
        <v>5539</v>
      </c>
      <c r="E4961" s="1"/>
      <c r="F4961" s="1" t="s">
        <v>370</v>
      </c>
      <c r="G4961">
        <v>2009</v>
      </c>
      <c r="H4961">
        <v>27410.58</v>
      </c>
      <c r="I4961">
        <v>12</v>
      </c>
      <c r="J4961" s="1" t="s">
        <v>421</v>
      </c>
      <c r="K4961">
        <v>0</v>
      </c>
      <c r="L4961">
        <v>1480</v>
      </c>
      <c r="M4961">
        <v>18.519410000000001</v>
      </c>
      <c r="N4961">
        <v>2</v>
      </c>
      <c r="O4961" s="1" t="s">
        <v>569</v>
      </c>
      <c r="P4961">
        <v>27410.58</v>
      </c>
      <c r="Q4961">
        <v>12855.56</v>
      </c>
      <c r="R4961">
        <v>0</v>
      </c>
      <c r="S4961" s="1" t="s">
        <v>1179</v>
      </c>
      <c r="T4961" s="1"/>
      <c r="U4961">
        <v>27410.577209999999</v>
      </c>
      <c r="V4961">
        <v>0</v>
      </c>
      <c r="W4961">
        <v>58287</v>
      </c>
    </row>
    <row r="4962" spans="1:23" x14ac:dyDescent="0.25">
      <c r="A4962" s="1" t="s">
        <v>40</v>
      </c>
      <c r="B4962" s="1" t="s">
        <v>94</v>
      </c>
      <c r="C4962" s="1" t="s">
        <v>224</v>
      </c>
      <c r="D4962">
        <v>5539</v>
      </c>
      <c r="E4962" s="1"/>
      <c r="F4962" s="1" t="s">
        <v>370</v>
      </c>
      <c r="G4962">
        <v>2008</v>
      </c>
      <c r="H4962">
        <v>13338.28</v>
      </c>
      <c r="I4962">
        <v>12</v>
      </c>
      <c r="J4962" s="1" t="s">
        <v>421</v>
      </c>
      <c r="K4962">
        <v>0</v>
      </c>
      <c r="L4962">
        <v>1480</v>
      </c>
      <c r="M4962">
        <v>9.0117419999999999</v>
      </c>
      <c r="N4962">
        <v>2</v>
      </c>
      <c r="O4962" s="1" t="s">
        <v>569</v>
      </c>
      <c r="P4962">
        <v>13338.28</v>
      </c>
      <c r="Q4962">
        <v>6255.66</v>
      </c>
      <c r="R4962">
        <v>0</v>
      </c>
      <c r="S4962" s="1" t="s">
        <v>1179</v>
      </c>
      <c r="T4962" s="1"/>
      <c r="U4962">
        <v>13338.278399999999</v>
      </c>
      <c r="V4962">
        <v>0</v>
      </c>
      <c r="W4962">
        <v>58287</v>
      </c>
    </row>
    <row r="4963" spans="1:23" x14ac:dyDescent="0.25">
      <c r="A4963" s="1" t="s">
        <v>40</v>
      </c>
      <c r="B4963" s="1" t="s">
        <v>94</v>
      </c>
      <c r="C4963" s="1" t="s">
        <v>224</v>
      </c>
      <c r="D4963">
        <v>5539</v>
      </c>
      <c r="E4963" s="1"/>
      <c r="F4963" s="1" t="s">
        <v>370</v>
      </c>
      <c r="G4963">
        <v>2008</v>
      </c>
      <c r="H4963">
        <v>34261.980000000003</v>
      </c>
      <c r="I4963">
        <v>12</v>
      </c>
      <c r="J4963" s="1" t="s">
        <v>421</v>
      </c>
      <c r="K4963">
        <v>0</v>
      </c>
      <c r="L4963">
        <v>1480</v>
      </c>
      <c r="M4963">
        <v>23.148422</v>
      </c>
      <c r="N4963">
        <v>2</v>
      </c>
      <c r="O4963" s="1" t="s">
        <v>569</v>
      </c>
      <c r="P4963">
        <v>34261.980000000003</v>
      </c>
      <c r="Q4963">
        <v>16068.85</v>
      </c>
      <c r="R4963">
        <v>0</v>
      </c>
      <c r="S4963" s="1" t="s">
        <v>1178</v>
      </c>
      <c r="T4963" s="1"/>
      <c r="U4963">
        <v>34261.976329999998</v>
      </c>
      <c r="V4963">
        <v>0</v>
      </c>
      <c r="W4963">
        <v>58286</v>
      </c>
    </row>
    <row r="4964" spans="1:23" x14ac:dyDescent="0.25">
      <c r="A4964" s="1" t="s">
        <v>40</v>
      </c>
      <c r="B4964" s="1"/>
      <c r="C4964" s="1" t="s">
        <v>225</v>
      </c>
      <c r="D4964">
        <v>13825</v>
      </c>
      <c r="E4964" s="1"/>
      <c r="F4964" s="1" t="s">
        <v>358</v>
      </c>
      <c r="G4964">
        <v>2015</v>
      </c>
      <c r="H4964">
        <v>26852.39</v>
      </c>
      <c r="I4964">
        <v>5</v>
      </c>
      <c r="J4964" s="1" t="s">
        <v>462</v>
      </c>
      <c r="K4964">
        <v>0</v>
      </c>
      <c r="L4964">
        <v>739</v>
      </c>
      <c r="M4964">
        <v>36.331200000000003</v>
      </c>
      <c r="N4964">
        <v>2</v>
      </c>
      <c r="O4964" s="1" t="s">
        <v>569</v>
      </c>
      <c r="P4964">
        <v>26852.39</v>
      </c>
      <c r="Q4964">
        <v>8055.72</v>
      </c>
      <c r="R4964">
        <v>0</v>
      </c>
      <c r="S4964" s="1" t="s">
        <v>1180</v>
      </c>
      <c r="T4964" s="1" t="s">
        <v>1361</v>
      </c>
      <c r="U4964">
        <v>26852.384999999998</v>
      </c>
      <c r="V4964">
        <v>0</v>
      </c>
      <c r="W4964">
        <v>91847</v>
      </c>
    </row>
    <row r="4965" spans="1:23" x14ac:dyDescent="0.25">
      <c r="A4965" s="1" t="s">
        <v>40</v>
      </c>
      <c r="B4965" s="1"/>
      <c r="C4965" s="1" t="s">
        <v>225</v>
      </c>
      <c r="D4965">
        <v>13825</v>
      </c>
      <c r="E4965" s="1"/>
      <c r="F4965" s="1" t="s">
        <v>358</v>
      </c>
      <c r="G4965">
        <v>2015</v>
      </c>
      <c r="H4965">
        <v>11276.33</v>
      </c>
      <c r="I4965">
        <v>5</v>
      </c>
      <c r="J4965" s="1" t="s">
        <v>462</v>
      </c>
      <c r="K4965">
        <v>0</v>
      </c>
      <c r="L4965">
        <v>739</v>
      </c>
      <c r="M4965">
        <v>15.256838999999999</v>
      </c>
      <c r="N4965">
        <v>2</v>
      </c>
      <c r="O4965" s="1" t="s">
        <v>569</v>
      </c>
      <c r="P4965">
        <v>11276.33</v>
      </c>
      <c r="Q4965">
        <v>3382.9</v>
      </c>
      <c r="R4965">
        <v>0</v>
      </c>
      <c r="S4965" s="1" t="s">
        <v>1181</v>
      </c>
      <c r="T4965" s="1" t="s">
        <v>1362</v>
      </c>
      <c r="U4965">
        <v>11276.331</v>
      </c>
      <c r="V4965">
        <v>0</v>
      </c>
      <c r="W4965">
        <v>94053</v>
      </c>
    </row>
    <row r="4966" spans="1:23" x14ac:dyDescent="0.25">
      <c r="A4966" s="1" t="s">
        <v>40</v>
      </c>
      <c r="B4966" s="1"/>
      <c r="C4966" s="1" t="s">
        <v>225</v>
      </c>
      <c r="D4966">
        <v>13825</v>
      </c>
      <c r="E4966" s="1"/>
      <c r="F4966" s="1" t="s">
        <v>358</v>
      </c>
      <c r="G4966">
        <v>2014</v>
      </c>
      <c r="H4966">
        <v>68828.320000000007</v>
      </c>
      <c r="I4966">
        <v>12</v>
      </c>
      <c r="J4966" s="1" t="s">
        <v>462</v>
      </c>
      <c r="K4966">
        <v>0</v>
      </c>
      <c r="L4966">
        <v>739</v>
      </c>
      <c r="M4966">
        <v>93.124502000000007</v>
      </c>
      <c r="N4966">
        <v>2</v>
      </c>
      <c r="O4966" s="1" t="s">
        <v>569</v>
      </c>
      <c r="P4966">
        <v>68828.320000000007</v>
      </c>
      <c r="Q4966">
        <v>20648.47</v>
      </c>
      <c r="R4966">
        <v>0</v>
      </c>
      <c r="S4966" s="1" t="s">
        <v>1180</v>
      </c>
      <c r="T4966" s="1" t="s">
        <v>1361</v>
      </c>
      <c r="U4966">
        <v>68828.293999999994</v>
      </c>
      <c r="V4966">
        <v>0</v>
      </c>
      <c r="W4966">
        <v>91847</v>
      </c>
    </row>
    <row r="4967" spans="1:23" x14ac:dyDescent="0.25">
      <c r="A4967" s="1" t="s">
        <v>40</v>
      </c>
      <c r="B4967" s="1"/>
      <c r="C4967" s="1" t="s">
        <v>225</v>
      </c>
      <c r="D4967">
        <v>13825</v>
      </c>
      <c r="E4967" s="1"/>
      <c r="F4967" s="1" t="s">
        <v>358</v>
      </c>
      <c r="G4967">
        <v>2014</v>
      </c>
      <c r="H4967">
        <v>28768.23</v>
      </c>
      <c r="I4967">
        <v>12</v>
      </c>
      <c r="J4967" s="1" t="s">
        <v>462</v>
      </c>
      <c r="K4967">
        <v>0</v>
      </c>
      <c r="L4967">
        <v>739</v>
      </c>
      <c r="M4967">
        <v>38.923324999999998</v>
      </c>
      <c r="N4967">
        <v>2</v>
      </c>
      <c r="O4967" s="1" t="s">
        <v>569</v>
      </c>
      <c r="P4967">
        <v>28768.23</v>
      </c>
      <c r="Q4967">
        <v>8630.48</v>
      </c>
      <c r="R4967">
        <v>0</v>
      </c>
      <c r="S4967" s="1" t="s">
        <v>1181</v>
      </c>
      <c r="T4967" s="1" t="s">
        <v>1362</v>
      </c>
      <c r="U4967">
        <v>28768.231</v>
      </c>
      <c r="V4967">
        <v>0</v>
      </c>
      <c r="W4967">
        <v>94053</v>
      </c>
    </row>
    <row r="4968" spans="1:23" x14ac:dyDescent="0.25">
      <c r="A4968" s="1" t="s">
        <v>40</v>
      </c>
      <c r="B4968" s="1"/>
      <c r="C4968" s="1" t="s">
        <v>225</v>
      </c>
      <c r="D4968">
        <v>13825</v>
      </c>
      <c r="E4968" s="1"/>
      <c r="F4968" s="1" t="s">
        <v>358</v>
      </c>
      <c r="G4968">
        <v>2013</v>
      </c>
      <c r="H4968">
        <v>72954.58</v>
      </c>
      <c r="I4968">
        <v>8</v>
      </c>
      <c r="J4968" s="1" t="s">
        <v>462</v>
      </c>
      <c r="K4968">
        <v>0</v>
      </c>
      <c r="L4968">
        <v>739</v>
      </c>
      <c r="M4968">
        <v>98.707318999999998</v>
      </c>
      <c r="N4968">
        <v>2</v>
      </c>
      <c r="O4968" s="1" t="s">
        <v>569</v>
      </c>
      <c r="P4968">
        <v>72954.58</v>
      </c>
      <c r="Q4968">
        <v>21886.38</v>
      </c>
      <c r="R4968">
        <v>0</v>
      </c>
      <c r="S4968" s="1" t="s">
        <v>1180</v>
      </c>
      <c r="T4968" s="1" t="s">
        <v>1361</v>
      </c>
      <c r="U4968">
        <v>72954.59143</v>
      </c>
      <c r="V4968">
        <v>0</v>
      </c>
      <c r="W4968">
        <v>91847</v>
      </c>
    </row>
    <row r="4969" spans="1:23" x14ac:dyDescent="0.25">
      <c r="A4969" s="1" t="s">
        <v>40</v>
      </c>
      <c r="B4969" s="1"/>
      <c r="C4969" s="1" t="s">
        <v>225</v>
      </c>
      <c r="D4969">
        <v>13825</v>
      </c>
      <c r="E4969" s="1"/>
      <c r="F4969" s="1" t="s">
        <v>358</v>
      </c>
      <c r="G4969">
        <v>2013</v>
      </c>
      <c r="H4969">
        <v>26799.919999999998</v>
      </c>
      <c r="I4969">
        <v>9</v>
      </c>
      <c r="J4969" s="1" t="s">
        <v>462</v>
      </c>
      <c r="K4969">
        <v>0</v>
      </c>
      <c r="L4969">
        <v>739</v>
      </c>
      <c r="M4969">
        <v>36.260207999999999</v>
      </c>
      <c r="N4969">
        <v>2</v>
      </c>
      <c r="O4969" s="1" t="s">
        <v>569</v>
      </c>
      <c r="P4969">
        <v>26799.919999999998</v>
      </c>
      <c r="Q4969">
        <v>8039.96</v>
      </c>
      <c r="R4969">
        <v>0</v>
      </c>
      <c r="S4969" s="1" t="s">
        <v>1181</v>
      </c>
      <c r="T4969" s="1" t="s">
        <v>1362</v>
      </c>
      <c r="U4969">
        <v>26799.924620000002</v>
      </c>
      <c r="V4969">
        <v>0</v>
      </c>
      <c r="W4969">
        <v>94053</v>
      </c>
    </row>
    <row r="4970" spans="1:23" x14ac:dyDescent="0.25">
      <c r="A4970" s="1" t="s">
        <v>40</v>
      </c>
      <c r="B4970" s="1"/>
      <c r="C4970" s="1" t="s">
        <v>225</v>
      </c>
      <c r="D4970">
        <v>13825</v>
      </c>
      <c r="E4970" s="1"/>
      <c r="F4970" s="1" t="s">
        <v>358</v>
      </c>
      <c r="G4970">
        <v>2012</v>
      </c>
      <c r="H4970">
        <v>62409.3</v>
      </c>
      <c r="I4970">
        <v>2</v>
      </c>
      <c r="J4970" s="1" t="s">
        <v>462</v>
      </c>
      <c r="K4970">
        <v>0</v>
      </c>
      <c r="L4970">
        <v>739</v>
      </c>
      <c r="M4970">
        <v>84.439588000000001</v>
      </c>
      <c r="N4970">
        <v>2</v>
      </c>
      <c r="O4970" s="1" t="s">
        <v>569</v>
      </c>
      <c r="P4970">
        <v>62409.3</v>
      </c>
      <c r="Q4970">
        <v>24963.73</v>
      </c>
      <c r="R4970">
        <v>0</v>
      </c>
      <c r="S4970" s="1" t="s">
        <v>1180</v>
      </c>
      <c r="T4970" s="1" t="s">
        <v>1361</v>
      </c>
      <c r="U4970">
        <v>62409.305</v>
      </c>
      <c r="V4970">
        <v>0</v>
      </c>
      <c r="W4970">
        <v>91847</v>
      </c>
    </row>
    <row r="4971" spans="1:23" x14ac:dyDescent="0.25">
      <c r="A4971" s="1" t="s">
        <v>40</v>
      </c>
      <c r="B4971" s="1"/>
      <c r="C4971" s="1" t="s">
        <v>225</v>
      </c>
      <c r="D4971">
        <v>13825</v>
      </c>
      <c r="E4971" s="1"/>
      <c r="F4971" s="1" t="s">
        <v>358</v>
      </c>
      <c r="G4971">
        <v>2012</v>
      </c>
      <c r="H4971">
        <v>27479.83</v>
      </c>
      <c r="I4971">
        <v>1</v>
      </c>
      <c r="J4971" s="1" t="s">
        <v>462</v>
      </c>
      <c r="K4971">
        <v>0</v>
      </c>
      <c r="L4971">
        <v>739</v>
      </c>
      <c r="M4971">
        <v>37.180123999999999</v>
      </c>
      <c r="N4971">
        <v>2</v>
      </c>
      <c r="O4971" s="1" t="s">
        <v>569</v>
      </c>
      <c r="P4971">
        <v>27479.83</v>
      </c>
      <c r="Q4971">
        <v>10991.95</v>
      </c>
      <c r="R4971">
        <v>0</v>
      </c>
      <c r="S4971" s="1" t="s">
        <v>1181</v>
      </c>
      <c r="T4971" s="1" t="s">
        <v>1362</v>
      </c>
      <c r="U4971">
        <v>27479.844130000001</v>
      </c>
      <c r="V4971">
        <v>0</v>
      </c>
      <c r="W4971">
        <v>94053</v>
      </c>
    </row>
    <row r="4972" spans="1:23" x14ac:dyDescent="0.25">
      <c r="A4972" s="1" t="s">
        <v>40</v>
      </c>
      <c r="B4972" s="1"/>
      <c r="C4972" s="1" t="s">
        <v>225</v>
      </c>
      <c r="D4972">
        <v>13825</v>
      </c>
      <c r="E4972" s="1"/>
      <c r="F4972" s="1" t="s">
        <v>358</v>
      </c>
      <c r="G4972">
        <v>2011</v>
      </c>
      <c r="H4972">
        <v>62308.24</v>
      </c>
      <c r="I4972">
        <v>0</v>
      </c>
      <c r="J4972" s="1" t="s">
        <v>462</v>
      </c>
      <c r="K4972">
        <v>0</v>
      </c>
      <c r="L4972">
        <v>739</v>
      </c>
      <c r="M4972">
        <v>84.302853999999996</v>
      </c>
      <c r="N4972">
        <v>2</v>
      </c>
      <c r="O4972" s="1" t="s">
        <v>569</v>
      </c>
      <c r="P4972">
        <v>62308.24</v>
      </c>
      <c r="Q4972">
        <v>29222.61</v>
      </c>
      <c r="R4972">
        <v>0</v>
      </c>
      <c r="S4972" s="1" t="s">
        <v>1180</v>
      </c>
      <c r="T4972" s="1" t="s">
        <v>1361</v>
      </c>
      <c r="U4972">
        <v>62308.263720000003</v>
      </c>
      <c r="V4972">
        <v>0</v>
      </c>
      <c r="W4972">
        <v>91847</v>
      </c>
    </row>
    <row r="4973" spans="1:23" x14ac:dyDescent="0.25">
      <c r="A4973" s="1" t="s">
        <v>40</v>
      </c>
      <c r="B4973" s="1"/>
      <c r="C4973" s="1" t="s">
        <v>225</v>
      </c>
      <c r="D4973">
        <v>13825</v>
      </c>
      <c r="E4973" s="1"/>
      <c r="F4973" s="1" t="s">
        <v>358</v>
      </c>
      <c r="G4973">
        <v>2011</v>
      </c>
      <c r="H4973">
        <v>27137.15</v>
      </c>
      <c r="I4973">
        <v>0</v>
      </c>
      <c r="J4973" s="1" t="s">
        <v>462</v>
      </c>
      <c r="K4973">
        <v>0</v>
      </c>
      <c r="L4973">
        <v>739</v>
      </c>
      <c r="M4973">
        <v>36.716479</v>
      </c>
      <c r="N4973">
        <v>2</v>
      </c>
      <c r="O4973" s="1" t="s">
        <v>569</v>
      </c>
      <c r="P4973">
        <v>27137.15</v>
      </c>
      <c r="Q4973">
        <v>12727.31</v>
      </c>
      <c r="R4973">
        <v>0</v>
      </c>
      <c r="S4973" s="1" t="s">
        <v>1181</v>
      </c>
      <c r="T4973" s="1" t="s">
        <v>1362</v>
      </c>
      <c r="U4973">
        <v>27137.12399</v>
      </c>
      <c r="V4973">
        <v>0</v>
      </c>
      <c r="W4973">
        <v>94053</v>
      </c>
    </row>
    <row r="4974" spans="1:23" x14ac:dyDescent="0.25">
      <c r="A4974" s="1" t="s">
        <v>40</v>
      </c>
      <c r="B4974" s="1"/>
      <c r="C4974" s="1" t="s">
        <v>225</v>
      </c>
      <c r="D4974">
        <v>13825</v>
      </c>
      <c r="E4974" s="1"/>
      <c r="F4974" s="1" t="s">
        <v>358</v>
      </c>
      <c r="G4974">
        <v>2010</v>
      </c>
      <c r="H4974">
        <v>65743.3</v>
      </c>
      <c r="I4974">
        <v>1</v>
      </c>
      <c r="J4974" s="1" t="s">
        <v>462</v>
      </c>
      <c r="K4974">
        <v>0</v>
      </c>
      <c r="L4974">
        <v>739</v>
      </c>
      <c r="M4974">
        <v>88.950479999999999</v>
      </c>
      <c r="N4974">
        <v>2</v>
      </c>
      <c r="O4974" s="1" t="s">
        <v>569</v>
      </c>
      <c r="P4974">
        <v>65743.3</v>
      </c>
      <c r="Q4974">
        <v>30833.58</v>
      </c>
      <c r="R4974">
        <v>0</v>
      </c>
      <c r="S4974" s="1" t="s">
        <v>1180</v>
      </c>
      <c r="T4974" s="1" t="s">
        <v>1361</v>
      </c>
      <c r="U4974">
        <v>65743.293950000007</v>
      </c>
      <c r="V4974">
        <v>0</v>
      </c>
      <c r="W4974">
        <v>91847</v>
      </c>
    </row>
    <row r="4975" spans="1:23" x14ac:dyDescent="0.25">
      <c r="A4975" s="1" t="s">
        <v>40</v>
      </c>
      <c r="B4975" s="1"/>
      <c r="C4975" s="1" t="s">
        <v>225</v>
      </c>
      <c r="D4975">
        <v>13825</v>
      </c>
      <c r="E4975" s="1"/>
      <c r="F4975" s="1" t="s">
        <v>358</v>
      </c>
      <c r="G4975">
        <v>2010</v>
      </c>
      <c r="H4975">
        <v>23279.59</v>
      </c>
      <c r="I4975">
        <v>1</v>
      </c>
      <c r="J4975" s="1" t="s">
        <v>462</v>
      </c>
      <c r="K4975">
        <v>0</v>
      </c>
      <c r="L4975">
        <v>739</v>
      </c>
      <c r="M4975">
        <v>31.497212000000001</v>
      </c>
      <c r="N4975">
        <v>2</v>
      </c>
      <c r="O4975" s="1" t="s">
        <v>569</v>
      </c>
      <c r="P4975">
        <v>23279.59</v>
      </c>
      <c r="Q4975">
        <v>10918.11</v>
      </c>
      <c r="R4975">
        <v>0</v>
      </c>
      <c r="S4975" s="1" t="s">
        <v>1181</v>
      </c>
      <c r="T4975" s="1" t="s">
        <v>1362</v>
      </c>
      <c r="U4975">
        <v>23279.597590000001</v>
      </c>
      <c r="V4975">
        <v>0</v>
      </c>
      <c r="W4975">
        <v>94053</v>
      </c>
    </row>
    <row r="4976" spans="1:23" x14ac:dyDescent="0.25">
      <c r="A4976" s="1" t="s">
        <v>40</v>
      </c>
      <c r="B4976" s="1"/>
      <c r="C4976" s="1" t="s">
        <v>225</v>
      </c>
      <c r="D4976">
        <v>13825</v>
      </c>
      <c r="E4976" s="1"/>
      <c r="F4976" s="1" t="s">
        <v>358</v>
      </c>
      <c r="G4976">
        <v>2009</v>
      </c>
      <c r="H4976">
        <v>56229.919999999998</v>
      </c>
      <c r="I4976">
        <v>4</v>
      </c>
      <c r="J4976" s="1" t="s">
        <v>462</v>
      </c>
      <c r="K4976">
        <v>0</v>
      </c>
      <c r="L4976">
        <v>739</v>
      </c>
      <c r="M4976">
        <v>76.078906000000003</v>
      </c>
      <c r="N4976">
        <v>2</v>
      </c>
      <c r="O4976" s="1" t="s">
        <v>569</v>
      </c>
      <c r="P4976">
        <v>56229.919999999998</v>
      </c>
      <c r="Q4976">
        <v>26371.83</v>
      </c>
      <c r="R4976">
        <v>0</v>
      </c>
      <c r="S4976" s="1" t="s">
        <v>1180</v>
      </c>
      <c r="T4976" s="1" t="s">
        <v>1361</v>
      </c>
      <c r="U4976">
        <v>56229.926449999999</v>
      </c>
      <c r="V4976">
        <v>0</v>
      </c>
      <c r="W4976">
        <v>91847</v>
      </c>
    </row>
    <row r="4977" spans="1:23" x14ac:dyDescent="0.25">
      <c r="A4977" s="1" t="s">
        <v>40</v>
      </c>
      <c r="B4977" s="1"/>
      <c r="C4977" s="1" t="s">
        <v>225</v>
      </c>
      <c r="D4977">
        <v>13825</v>
      </c>
      <c r="E4977" s="1"/>
      <c r="F4977" s="1" t="s">
        <v>358</v>
      </c>
      <c r="G4977">
        <v>2009</v>
      </c>
      <c r="H4977">
        <v>20774.400000000001</v>
      </c>
      <c r="I4977">
        <v>1</v>
      </c>
      <c r="J4977" s="1" t="s">
        <v>462</v>
      </c>
      <c r="K4977">
        <v>0</v>
      </c>
      <c r="L4977">
        <v>739</v>
      </c>
      <c r="M4977">
        <v>28.107697999999999</v>
      </c>
      <c r="N4977">
        <v>2</v>
      </c>
      <c r="O4977" s="1" t="s">
        <v>569</v>
      </c>
      <c r="P4977">
        <v>20774.400000000001</v>
      </c>
      <c r="Q4977">
        <v>9743.2099999999991</v>
      </c>
      <c r="R4977">
        <v>0</v>
      </c>
      <c r="S4977" s="1" t="s">
        <v>1181</v>
      </c>
      <c r="T4977" s="1" t="s">
        <v>1362</v>
      </c>
      <c r="U4977">
        <v>20774.404589999998</v>
      </c>
      <c r="V4977">
        <v>0</v>
      </c>
      <c r="W4977">
        <v>94053</v>
      </c>
    </row>
    <row r="4978" spans="1:23" x14ac:dyDescent="0.25">
      <c r="A4978" s="1" t="s">
        <v>40</v>
      </c>
      <c r="B4978" s="1"/>
      <c r="C4978" s="1" t="s">
        <v>225</v>
      </c>
      <c r="D4978">
        <v>13825</v>
      </c>
      <c r="E4978" s="1"/>
      <c r="F4978" s="1" t="s">
        <v>358</v>
      </c>
      <c r="G4978">
        <v>2008</v>
      </c>
      <c r="H4978">
        <v>56253.599999999999</v>
      </c>
      <c r="I4978">
        <v>0</v>
      </c>
      <c r="J4978" s="1" t="s">
        <v>462</v>
      </c>
      <c r="K4978">
        <v>0</v>
      </c>
      <c r="L4978">
        <v>739</v>
      </c>
      <c r="M4978">
        <v>76.110945000000001</v>
      </c>
      <c r="N4978">
        <v>2</v>
      </c>
      <c r="O4978" s="1" t="s">
        <v>569</v>
      </c>
      <c r="P4978">
        <v>56253.599999999999</v>
      </c>
      <c r="Q4978">
        <v>26382.95</v>
      </c>
      <c r="R4978">
        <v>0</v>
      </c>
      <c r="S4978" s="1" t="s">
        <v>1180</v>
      </c>
      <c r="T4978" s="1" t="s">
        <v>1361</v>
      </c>
      <c r="U4978">
        <v>56253.619019999998</v>
      </c>
      <c r="V4978">
        <v>0</v>
      </c>
      <c r="W4978">
        <v>91847</v>
      </c>
    </row>
    <row r="4979" spans="1:23" x14ac:dyDescent="0.25">
      <c r="A4979" s="1" t="s">
        <v>40</v>
      </c>
      <c r="B4979" s="1"/>
      <c r="C4979" s="1" t="s">
        <v>225</v>
      </c>
      <c r="D4979">
        <v>13825</v>
      </c>
      <c r="E4979" s="1"/>
      <c r="F4979" s="1" t="s">
        <v>358</v>
      </c>
      <c r="G4979">
        <v>2008</v>
      </c>
      <c r="H4979">
        <v>20824.439999999999</v>
      </c>
      <c r="I4979">
        <v>0</v>
      </c>
      <c r="J4979" s="1" t="s">
        <v>462</v>
      </c>
      <c r="K4979">
        <v>0</v>
      </c>
      <c r="L4979">
        <v>739</v>
      </c>
      <c r="M4979">
        <v>28.175401999999998</v>
      </c>
      <c r="N4979">
        <v>2</v>
      </c>
      <c r="O4979" s="1" t="s">
        <v>569</v>
      </c>
      <c r="P4979">
        <v>20824.439999999999</v>
      </c>
      <c r="Q4979">
        <v>9766.67</v>
      </c>
      <c r="R4979">
        <v>0</v>
      </c>
      <c r="S4979" s="1" t="s">
        <v>1181</v>
      </c>
      <c r="T4979" s="1" t="s">
        <v>1362</v>
      </c>
      <c r="U4979">
        <v>20824.448710000001</v>
      </c>
      <c r="V4979">
        <v>0</v>
      </c>
      <c r="W4979">
        <v>94053</v>
      </c>
    </row>
  </sheetData>
  <sheetProtection password="CF7A" sheet="1" objects="1" scenarios="1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workbookViewId="0">
      <selection activeCell="F22" sqref="F22"/>
    </sheetView>
  </sheetViews>
  <sheetFormatPr defaultRowHeight="15" x14ac:dyDescent="0.25"/>
  <cols>
    <col min="1" max="1" width="27.28515625" bestFit="1" customWidth="1"/>
    <col min="2" max="2" width="15.42578125" bestFit="1" customWidth="1"/>
    <col min="3" max="3" width="11" bestFit="1" customWidth="1"/>
    <col min="4" max="4" width="11.28515625" bestFit="1" customWidth="1"/>
    <col min="5" max="5" width="10.140625" bestFit="1" customWidth="1"/>
    <col min="6" max="8" width="11.28515625" bestFit="1" customWidth="1"/>
    <col min="9" max="9" width="10.140625" bestFit="1" customWidth="1"/>
    <col min="10" max="10" width="11.28515625" bestFit="1" customWidth="1"/>
    <col min="11" max="11" width="10.140625" bestFit="1" customWidth="1"/>
    <col min="12" max="14" width="11.28515625" bestFit="1" customWidth="1"/>
    <col min="15" max="15" width="10.140625" bestFit="1" customWidth="1"/>
    <col min="16" max="16" width="11.28515625" bestFit="1" customWidth="1"/>
    <col min="17" max="17" width="10.140625" bestFit="1" customWidth="1"/>
    <col min="18" max="18" width="11.28515625" bestFit="1" customWidth="1"/>
    <col min="19" max="19" width="12.28515625" bestFit="1" customWidth="1"/>
    <col min="20" max="20" width="9" bestFit="1" customWidth="1"/>
    <col min="21" max="21" width="10.140625" bestFit="1" customWidth="1"/>
    <col min="22" max="22" width="11.28515625" bestFit="1" customWidth="1"/>
    <col min="23" max="23" width="9" bestFit="1" customWidth="1"/>
    <col min="24" max="24" width="10.140625" bestFit="1" customWidth="1"/>
    <col min="25" max="25" width="11.28515625" bestFit="1" customWidth="1"/>
    <col min="26" max="26" width="12.28515625" bestFit="1" customWidth="1"/>
    <col min="27" max="27" width="9" bestFit="1" customWidth="1"/>
    <col min="28" max="29" width="10.140625" bestFit="1" customWidth="1"/>
    <col min="30" max="30" width="11.28515625" bestFit="1" customWidth="1"/>
    <col min="31" max="31" width="9" bestFit="1" customWidth="1"/>
    <col min="32" max="33" width="10.140625" bestFit="1" customWidth="1"/>
    <col min="34" max="34" width="11.28515625" bestFit="1" customWidth="1"/>
  </cols>
  <sheetData>
    <row r="1" spans="1:26" x14ac:dyDescent="0.25">
      <c r="A1" s="192" t="s">
        <v>1366</v>
      </c>
      <c r="B1" s="192" t="s">
        <v>1365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26" x14ac:dyDescent="0.25">
      <c r="A2" s="192"/>
      <c r="B2" s="192">
        <v>2008</v>
      </c>
      <c r="C2" s="192"/>
      <c r="D2" s="194" t="s">
        <v>1407</v>
      </c>
      <c r="E2" s="192">
        <v>2009</v>
      </c>
      <c r="F2" s="192"/>
      <c r="G2" s="194" t="s">
        <v>1408</v>
      </c>
      <c r="H2" s="192">
        <v>2010</v>
      </c>
      <c r="I2" s="192"/>
      <c r="J2" s="194" t="s">
        <v>1409</v>
      </c>
      <c r="K2" s="192">
        <v>2011</v>
      </c>
      <c r="L2" s="192"/>
      <c r="M2" s="194" t="s">
        <v>1410</v>
      </c>
      <c r="N2" s="192">
        <v>2012</v>
      </c>
      <c r="O2" s="192"/>
      <c r="P2" s="194" t="s">
        <v>1411</v>
      </c>
      <c r="Q2" s="192">
        <v>2013</v>
      </c>
      <c r="R2" s="192"/>
      <c r="S2" s="194" t="s">
        <v>1412</v>
      </c>
      <c r="T2" s="192">
        <v>2014</v>
      </c>
      <c r="U2" s="192"/>
      <c r="V2" s="194" t="s">
        <v>1403</v>
      </c>
      <c r="W2" s="192">
        <v>2015</v>
      </c>
      <c r="X2" s="192"/>
      <c r="Y2" s="194" t="s">
        <v>1445</v>
      </c>
      <c r="Z2" s="192" t="s">
        <v>1364</v>
      </c>
    </row>
    <row r="3" spans="1:26" x14ac:dyDescent="0.25">
      <c r="A3" s="191" t="s">
        <v>1363</v>
      </c>
      <c r="B3" s="191" t="s">
        <v>569</v>
      </c>
      <c r="C3" s="191" t="s">
        <v>560</v>
      </c>
      <c r="D3" s="195"/>
      <c r="E3" s="191" t="s">
        <v>569</v>
      </c>
      <c r="F3" s="191" t="s">
        <v>560</v>
      </c>
      <c r="G3" s="195"/>
      <c r="H3" s="191" t="s">
        <v>569</v>
      </c>
      <c r="I3" s="191" t="s">
        <v>560</v>
      </c>
      <c r="J3" s="195"/>
      <c r="K3" s="191" t="s">
        <v>569</v>
      </c>
      <c r="L3" s="191" t="s">
        <v>560</v>
      </c>
      <c r="M3" s="195"/>
      <c r="N3" s="191" t="s">
        <v>569</v>
      </c>
      <c r="O3" s="191" t="s">
        <v>560</v>
      </c>
      <c r="P3" s="195"/>
      <c r="Q3" s="191" t="s">
        <v>569</v>
      </c>
      <c r="R3" s="191" t="s">
        <v>560</v>
      </c>
      <c r="S3" s="195"/>
      <c r="T3" s="191" t="s">
        <v>569</v>
      </c>
      <c r="U3" s="191" t="s">
        <v>560</v>
      </c>
      <c r="V3" s="195"/>
      <c r="W3" s="191" t="s">
        <v>569</v>
      </c>
      <c r="X3" s="191" t="s">
        <v>560</v>
      </c>
      <c r="Y3" s="195"/>
      <c r="Z3" s="191"/>
    </row>
    <row r="4" spans="1:26" x14ac:dyDescent="0.25">
      <c r="A4" s="187" t="s">
        <v>40</v>
      </c>
      <c r="B4" s="188">
        <v>208660.23</v>
      </c>
      <c r="C4" s="188">
        <v>2695.7</v>
      </c>
      <c r="D4" s="195">
        <v>211355.93000000002</v>
      </c>
      <c r="E4" s="188">
        <v>191537.47</v>
      </c>
      <c r="F4" s="188">
        <v>2068.7800000000002</v>
      </c>
      <c r="G4" s="195">
        <v>193606.25</v>
      </c>
      <c r="H4" s="188">
        <v>195709.88</v>
      </c>
      <c r="I4" s="188">
        <v>2147.71</v>
      </c>
      <c r="J4" s="195">
        <v>197857.59</v>
      </c>
      <c r="K4" s="188">
        <v>198535.16</v>
      </c>
      <c r="L4" s="188">
        <v>2824.37</v>
      </c>
      <c r="M4" s="195">
        <v>201359.53</v>
      </c>
      <c r="N4" s="188">
        <v>200641.45</v>
      </c>
      <c r="O4" s="188">
        <v>2592.1299999999997</v>
      </c>
      <c r="P4" s="195">
        <v>203233.58000000002</v>
      </c>
      <c r="Q4" s="188">
        <v>439646.73</v>
      </c>
      <c r="R4" s="188">
        <v>2344.6600000000003</v>
      </c>
      <c r="S4" s="195">
        <v>441991.38999999996</v>
      </c>
      <c r="T4" s="188">
        <v>483611.78</v>
      </c>
      <c r="U4" s="188">
        <v>2606.3200000000002</v>
      </c>
      <c r="V4" s="195">
        <v>486218.10000000003</v>
      </c>
      <c r="W4" s="188">
        <v>426468.01</v>
      </c>
      <c r="X4" s="188">
        <v>1984</v>
      </c>
      <c r="Y4" s="195">
        <v>428452.01</v>
      </c>
      <c r="Z4" s="188">
        <v>2364074.38</v>
      </c>
    </row>
    <row r="5" spans="1:26" x14ac:dyDescent="0.25">
      <c r="A5" s="109" t="s">
        <v>213</v>
      </c>
      <c r="B5" s="107">
        <v>208660.23</v>
      </c>
      <c r="C5" s="107">
        <v>2695.7</v>
      </c>
      <c r="D5" s="196">
        <v>211355.93000000002</v>
      </c>
      <c r="E5" s="107">
        <v>191537.47</v>
      </c>
      <c r="F5" s="107">
        <v>2068.7800000000002</v>
      </c>
      <c r="G5" s="196">
        <v>193606.25</v>
      </c>
      <c r="H5" s="107">
        <v>195709.88</v>
      </c>
      <c r="I5" s="107">
        <v>2147.71</v>
      </c>
      <c r="J5" s="196">
        <v>197857.59</v>
      </c>
      <c r="K5" s="107">
        <v>198535.16</v>
      </c>
      <c r="L5" s="107">
        <v>2824.37</v>
      </c>
      <c r="M5" s="196">
        <v>201359.53</v>
      </c>
      <c r="N5" s="107">
        <v>200641.45</v>
      </c>
      <c r="O5" s="107">
        <v>2592.1299999999997</v>
      </c>
      <c r="P5" s="196">
        <v>203233.58000000002</v>
      </c>
      <c r="Q5" s="107">
        <v>439646.73</v>
      </c>
      <c r="R5" s="107">
        <v>2344.6600000000003</v>
      </c>
      <c r="S5" s="196">
        <v>441991.38999999996</v>
      </c>
      <c r="T5" s="107">
        <v>483611.78</v>
      </c>
      <c r="U5" s="107">
        <v>2606.3200000000002</v>
      </c>
      <c r="V5" s="196">
        <v>486218.10000000003</v>
      </c>
      <c r="W5" s="107">
        <v>426468.01</v>
      </c>
      <c r="X5" s="107">
        <v>1984</v>
      </c>
      <c r="Y5" s="196">
        <v>428452.01</v>
      </c>
      <c r="Z5" s="107">
        <v>2364074.38</v>
      </c>
    </row>
    <row r="6" spans="1:26" x14ac:dyDescent="0.25">
      <c r="A6" s="189" t="s">
        <v>1364</v>
      </c>
      <c r="B6" s="190">
        <v>208660.23</v>
      </c>
      <c r="C6" s="190">
        <v>2695.7</v>
      </c>
      <c r="D6" s="190">
        <v>211355.93000000002</v>
      </c>
      <c r="E6" s="190">
        <v>191537.47</v>
      </c>
      <c r="F6" s="190">
        <v>2068.7800000000002</v>
      </c>
      <c r="G6" s="190">
        <v>193606.25</v>
      </c>
      <c r="H6" s="190">
        <v>195709.88</v>
      </c>
      <c r="I6" s="190">
        <v>2147.71</v>
      </c>
      <c r="J6" s="190">
        <v>197857.59</v>
      </c>
      <c r="K6" s="190">
        <v>198535.16</v>
      </c>
      <c r="L6" s="190">
        <v>2824.37</v>
      </c>
      <c r="M6" s="190">
        <v>201359.53</v>
      </c>
      <c r="N6" s="190">
        <v>200641.45</v>
      </c>
      <c r="O6" s="190">
        <v>2592.1299999999997</v>
      </c>
      <c r="P6" s="190">
        <v>203233.58000000002</v>
      </c>
      <c r="Q6" s="190">
        <v>439646.73</v>
      </c>
      <c r="R6" s="190">
        <v>2344.6600000000003</v>
      </c>
      <c r="S6" s="190">
        <v>441991.38999999996</v>
      </c>
      <c r="T6" s="190">
        <v>483611.78</v>
      </c>
      <c r="U6" s="190">
        <v>2606.3200000000002</v>
      </c>
      <c r="V6" s="190">
        <v>486218.10000000003</v>
      </c>
      <c r="W6" s="190">
        <v>426468.01</v>
      </c>
      <c r="X6" s="190">
        <v>1984</v>
      </c>
      <c r="Y6" s="190">
        <v>428452.01</v>
      </c>
      <c r="Z6" s="190">
        <v>2364074.38</v>
      </c>
    </row>
    <row r="9" spans="1:26" x14ac:dyDescent="0.25">
      <c r="A9" s="192" t="s">
        <v>1366</v>
      </c>
      <c r="B9" s="192" t="s">
        <v>1365</v>
      </c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</row>
    <row r="10" spans="1:26" x14ac:dyDescent="0.25">
      <c r="A10" s="192"/>
      <c r="B10" s="192">
        <v>2008</v>
      </c>
      <c r="C10" s="192"/>
      <c r="D10" s="194" t="s">
        <v>1407</v>
      </c>
      <c r="E10" s="192">
        <v>2009</v>
      </c>
      <c r="F10" s="194" t="s">
        <v>1408</v>
      </c>
      <c r="G10" s="192">
        <v>2010</v>
      </c>
      <c r="H10" s="194" t="s">
        <v>1409</v>
      </c>
      <c r="I10" s="192">
        <v>2011</v>
      </c>
      <c r="J10" s="194" t="s">
        <v>1410</v>
      </c>
      <c r="K10" s="192">
        <v>2012</v>
      </c>
      <c r="L10" s="194" t="s">
        <v>1411</v>
      </c>
      <c r="M10" s="192">
        <v>2013</v>
      </c>
      <c r="N10" s="194" t="s">
        <v>1412</v>
      </c>
      <c r="O10" s="192">
        <v>2014</v>
      </c>
      <c r="P10" s="194" t="s">
        <v>1403</v>
      </c>
      <c r="Q10" s="192">
        <v>2015</v>
      </c>
      <c r="R10" s="194" t="s">
        <v>1445</v>
      </c>
      <c r="S10" s="192" t="s">
        <v>1364</v>
      </c>
    </row>
    <row r="11" spans="1:26" x14ac:dyDescent="0.25">
      <c r="A11" s="191" t="s">
        <v>1363</v>
      </c>
      <c r="B11" s="191" t="s">
        <v>562</v>
      </c>
      <c r="C11" s="191" t="s">
        <v>565</v>
      </c>
      <c r="D11" s="195"/>
      <c r="E11" s="191" t="s">
        <v>562</v>
      </c>
      <c r="F11" s="195"/>
      <c r="G11" s="191" t="s">
        <v>562</v>
      </c>
      <c r="H11" s="195"/>
      <c r="I11" s="191" t="s">
        <v>562</v>
      </c>
      <c r="J11" s="195"/>
      <c r="K11" s="191" t="s">
        <v>562</v>
      </c>
      <c r="L11" s="195"/>
      <c r="M11" s="191" t="s">
        <v>562</v>
      </c>
      <c r="N11" s="195"/>
      <c r="O11" s="191" t="s">
        <v>562</v>
      </c>
      <c r="P11" s="195"/>
      <c r="Q11" s="191" t="s">
        <v>562</v>
      </c>
      <c r="R11" s="195"/>
      <c r="S11" s="191"/>
    </row>
    <row r="12" spans="1:26" x14ac:dyDescent="0.25">
      <c r="A12" s="187" t="s">
        <v>40</v>
      </c>
      <c r="B12" s="188">
        <v>122760</v>
      </c>
      <c r="C12" s="188">
        <v>134990</v>
      </c>
      <c r="D12" s="195">
        <v>257750</v>
      </c>
      <c r="E12" s="188">
        <v>263390</v>
      </c>
      <c r="F12" s="195">
        <v>263390</v>
      </c>
      <c r="G12" s="188">
        <v>338650</v>
      </c>
      <c r="H12" s="195">
        <v>338650</v>
      </c>
      <c r="I12" s="188">
        <v>288140</v>
      </c>
      <c r="J12" s="195">
        <v>288140</v>
      </c>
      <c r="K12" s="188">
        <v>302980</v>
      </c>
      <c r="L12" s="195">
        <v>302980</v>
      </c>
      <c r="M12" s="188">
        <v>332970</v>
      </c>
      <c r="N12" s="195">
        <v>332970</v>
      </c>
      <c r="O12" s="188">
        <v>205950</v>
      </c>
      <c r="P12" s="195">
        <v>205950</v>
      </c>
      <c r="Q12" s="188">
        <v>232030</v>
      </c>
      <c r="R12" s="195">
        <v>232030</v>
      </c>
      <c r="S12" s="188">
        <v>2221860</v>
      </c>
    </row>
    <row r="13" spans="1:26" x14ac:dyDescent="0.25">
      <c r="A13" s="109" t="s">
        <v>213</v>
      </c>
      <c r="B13" s="107">
        <v>122760</v>
      </c>
      <c r="C13" s="107">
        <v>134990</v>
      </c>
      <c r="D13" s="196">
        <v>257750</v>
      </c>
      <c r="E13" s="107">
        <v>263390</v>
      </c>
      <c r="F13" s="196">
        <v>263390</v>
      </c>
      <c r="G13" s="107">
        <v>338650</v>
      </c>
      <c r="H13" s="196">
        <v>338650</v>
      </c>
      <c r="I13" s="107">
        <v>288140</v>
      </c>
      <c r="J13" s="196">
        <v>288140</v>
      </c>
      <c r="K13" s="107">
        <v>302980</v>
      </c>
      <c r="L13" s="196">
        <v>302980</v>
      </c>
      <c r="M13" s="107">
        <v>332970</v>
      </c>
      <c r="N13" s="196">
        <v>332970</v>
      </c>
      <c r="O13" s="107">
        <v>205950</v>
      </c>
      <c r="P13" s="196">
        <v>205950</v>
      </c>
      <c r="Q13" s="107">
        <v>232030</v>
      </c>
      <c r="R13" s="196">
        <v>232030</v>
      </c>
      <c r="S13" s="107">
        <v>2221860</v>
      </c>
    </row>
    <row r="14" spans="1:26" x14ac:dyDescent="0.25">
      <c r="A14" s="189" t="s">
        <v>1364</v>
      </c>
      <c r="B14" s="190">
        <v>122760</v>
      </c>
      <c r="C14" s="190">
        <v>134990</v>
      </c>
      <c r="D14" s="190">
        <v>257750</v>
      </c>
      <c r="E14" s="190">
        <v>263390</v>
      </c>
      <c r="F14" s="190">
        <v>263390</v>
      </c>
      <c r="G14" s="190">
        <v>338650</v>
      </c>
      <c r="H14" s="190">
        <v>338650</v>
      </c>
      <c r="I14" s="190">
        <v>288140</v>
      </c>
      <c r="J14" s="190">
        <v>288140</v>
      </c>
      <c r="K14" s="190">
        <v>302980</v>
      </c>
      <c r="L14" s="190">
        <v>302980</v>
      </c>
      <c r="M14" s="190">
        <v>332970</v>
      </c>
      <c r="N14" s="190">
        <v>332970</v>
      </c>
      <c r="O14" s="190">
        <v>205950</v>
      </c>
      <c r="P14" s="190">
        <v>205950</v>
      </c>
      <c r="Q14" s="190">
        <v>232030</v>
      </c>
      <c r="R14" s="190">
        <v>232030</v>
      </c>
      <c r="S14" s="190">
        <v>2221860</v>
      </c>
    </row>
    <row r="16" spans="1:26" x14ac:dyDescent="0.25">
      <c r="A16" s="192" t="s">
        <v>1414</v>
      </c>
      <c r="B16" s="192" t="s">
        <v>1365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</row>
    <row r="17" spans="1:19" x14ac:dyDescent="0.25">
      <c r="A17" s="192"/>
      <c r="B17" s="192">
        <v>2008</v>
      </c>
      <c r="C17" s="192"/>
      <c r="D17" s="194" t="s">
        <v>1407</v>
      </c>
      <c r="E17" s="192">
        <v>2009</v>
      </c>
      <c r="F17" s="194" t="s">
        <v>1408</v>
      </c>
      <c r="G17" s="192">
        <v>2010</v>
      </c>
      <c r="H17" s="194" t="s">
        <v>1409</v>
      </c>
      <c r="I17" s="192">
        <v>2011</v>
      </c>
      <c r="J17" s="194" t="s">
        <v>1410</v>
      </c>
      <c r="K17" s="192">
        <v>2012</v>
      </c>
      <c r="L17" s="194" t="s">
        <v>1411</v>
      </c>
      <c r="M17" s="192">
        <v>2013</v>
      </c>
      <c r="N17" s="194" t="s">
        <v>1412</v>
      </c>
      <c r="O17" s="192">
        <v>2014</v>
      </c>
      <c r="P17" s="194" t="s">
        <v>1403</v>
      </c>
      <c r="Q17" s="192">
        <v>2015</v>
      </c>
      <c r="R17" s="194" t="s">
        <v>1445</v>
      </c>
      <c r="S17" s="192" t="s">
        <v>1364</v>
      </c>
    </row>
    <row r="18" spans="1:19" x14ac:dyDescent="0.25">
      <c r="A18" s="191" t="s">
        <v>1363</v>
      </c>
      <c r="B18" s="191" t="s">
        <v>562</v>
      </c>
      <c r="C18" s="191" t="s">
        <v>565</v>
      </c>
      <c r="D18" s="195"/>
      <c r="E18" s="191" t="s">
        <v>562</v>
      </c>
      <c r="F18" s="195"/>
      <c r="G18" s="191" t="s">
        <v>562</v>
      </c>
      <c r="H18" s="195"/>
      <c r="I18" s="191" t="s">
        <v>562</v>
      </c>
      <c r="J18" s="195"/>
      <c r="K18" s="191" t="s">
        <v>562</v>
      </c>
      <c r="L18" s="195"/>
      <c r="M18" s="191" t="s">
        <v>562</v>
      </c>
      <c r="N18" s="195"/>
      <c r="O18" s="191" t="s">
        <v>562</v>
      </c>
      <c r="P18" s="195"/>
      <c r="Q18" s="191" t="s">
        <v>562</v>
      </c>
      <c r="R18" s="195"/>
      <c r="S18" s="191"/>
    </row>
    <row r="19" spans="1:19" x14ac:dyDescent="0.25">
      <c r="A19" s="187" t="s">
        <v>40</v>
      </c>
      <c r="B19" s="188">
        <v>133902.63</v>
      </c>
      <c r="C19" s="188">
        <v>167995.1</v>
      </c>
      <c r="D19" s="195">
        <v>301897.73</v>
      </c>
      <c r="E19" s="188">
        <v>281820.25</v>
      </c>
      <c r="F19" s="195">
        <v>281820.25</v>
      </c>
      <c r="G19" s="188">
        <v>309620.09999999998</v>
      </c>
      <c r="H19" s="195">
        <v>309620.09999999998</v>
      </c>
      <c r="I19" s="188">
        <v>315405.76</v>
      </c>
      <c r="J19" s="195">
        <v>315405.76</v>
      </c>
      <c r="K19" s="188">
        <v>318429.57</v>
      </c>
      <c r="L19" s="195">
        <v>318429.57</v>
      </c>
      <c r="M19" s="188">
        <v>359760.67</v>
      </c>
      <c r="N19" s="195">
        <v>359760.67</v>
      </c>
      <c r="O19" s="188">
        <v>247667.78</v>
      </c>
      <c r="P19" s="195">
        <v>247667.78</v>
      </c>
      <c r="Q19" s="188">
        <v>268387</v>
      </c>
      <c r="R19" s="195">
        <v>268387</v>
      </c>
      <c r="S19" s="188">
        <v>2402988.86</v>
      </c>
    </row>
    <row r="20" spans="1:19" x14ac:dyDescent="0.25">
      <c r="A20" s="109" t="s">
        <v>213</v>
      </c>
      <c r="B20" s="107">
        <v>133902.63</v>
      </c>
      <c r="C20" s="107">
        <v>167995.1</v>
      </c>
      <c r="D20" s="196">
        <v>301897.73</v>
      </c>
      <c r="E20" s="107">
        <v>281820.25</v>
      </c>
      <c r="F20" s="196">
        <v>281820.25</v>
      </c>
      <c r="G20" s="107">
        <v>309620.09999999998</v>
      </c>
      <c r="H20" s="196">
        <v>309620.09999999998</v>
      </c>
      <c r="I20" s="107">
        <v>315405.76</v>
      </c>
      <c r="J20" s="196">
        <v>315405.76</v>
      </c>
      <c r="K20" s="107">
        <v>318429.57</v>
      </c>
      <c r="L20" s="196">
        <v>318429.57</v>
      </c>
      <c r="M20" s="107">
        <v>359760.67</v>
      </c>
      <c r="N20" s="196">
        <v>359760.67</v>
      </c>
      <c r="O20" s="107">
        <v>247667.78</v>
      </c>
      <c r="P20" s="196">
        <v>247667.78</v>
      </c>
      <c r="Q20" s="107">
        <v>268387</v>
      </c>
      <c r="R20" s="196">
        <v>268387</v>
      </c>
      <c r="S20" s="107">
        <v>2402988.86</v>
      </c>
    </row>
    <row r="21" spans="1:19" x14ac:dyDescent="0.25">
      <c r="A21" s="189" t="s">
        <v>1364</v>
      </c>
      <c r="B21" s="190">
        <v>133902.63</v>
      </c>
      <c r="C21" s="190">
        <v>167995.1</v>
      </c>
      <c r="D21" s="190">
        <v>301897.73</v>
      </c>
      <c r="E21" s="190">
        <v>281820.25</v>
      </c>
      <c r="F21" s="190">
        <v>281820.25</v>
      </c>
      <c r="G21" s="190">
        <v>309620.09999999998</v>
      </c>
      <c r="H21" s="190">
        <v>309620.09999999998</v>
      </c>
      <c r="I21" s="190">
        <v>315405.76</v>
      </c>
      <c r="J21" s="190">
        <v>315405.76</v>
      </c>
      <c r="K21" s="190">
        <v>318429.57</v>
      </c>
      <c r="L21" s="190">
        <v>318429.57</v>
      </c>
      <c r="M21" s="190">
        <v>359760.67</v>
      </c>
      <c r="N21" s="190">
        <v>359760.67</v>
      </c>
      <c r="O21" s="190">
        <v>247667.78</v>
      </c>
      <c r="P21" s="190">
        <v>247667.78</v>
      </c>
      <c r="Q21" s="190">
        <v>268387</v>
      </c>
      <c r="R21" s="190">
        <v>268387</v>
      </c>
      <c r="S21" s="190">
        <v>2402988.86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activeCell="A2" sqref="A2"/>
    </sheetView>
  </sheetViews>
  <sheetFormatPr defaultRowHeight="15" x14ac:dyDescent="0.25"/>
  <cols>
    <col min="1" max="1" width="35" style="233" bestFit="1" customWidth="1"/>
    <col min="2" max="2" width="40.28515625" style="233" bestFit="1" customWidth="1"/>
    <col min="3" max="3" width="35.140625" style="233" bestFit="1" customWidth="1"/>
    <col min="4" max="6" width="9.140625" style="233"/>
    <col min="7" max="7" width="11" style="233" customWidth="1"/>
    <col min="8" max="9" width="11" style="233" bestFit="1" customWidth="1"/>
    <col min="10" max="16384" width="9.140625" style="233"/>
  </cols>
  <sheetData>
    <row r="1" spans="1:9" x14ac:dyDescent="0.25">
      <c r="D1" s="230"/>
      <c r="F1" s="299" t="s">
        <v>1536</v>
      </c>
      <c r="G1" s="299"/>
      <c r="H1" s="299"/>
      <c r="I1" s="299"/>
    </row>
    <row r="2" spans="1:9" ht="18.75" x14ac:dyDescent="0.3">
      <c r="A2" s="231" t="s">
        <v>1537</v>
      </c>
      <c r="D2" s="232"/>
      <c r="F2" s="299"/>
      <c r="G2" s="299"/>
      <c r="H2" s="299"/>
      <c r="I2" s="299"/>
    </row>
    <row r="3" spans="1:9" x14ac:dyDescent="0.25">
      <c r="D3" s="232"/>
      <c r="F3" s="227"/>
      <c r="G3" s="228"/>
      <c r="H3" s="229">
        <v>2014</v>
      </c>
      <c r="I3" s="229">
        <v>2015</v>
      </c>
    </row>
    <row r="4" spans="1:9" ht="15.75" x14ac:dyDescent="0.25">
      <c r="A4" s="242" t="s">
        <v>1534</v>
      </c>
      <c r="B4" s="243" t="s">
        <v>1521</v>
      </c>
      <c r="C4" s="243" t="s">
        <v>1431</v>
      </c>
      <c r="D4" s="232"/>
      <c r="F4" s="300" t="s">
        <v>1534</v>
      </c>
      <c r="G4" s="301"/>
      <c r="H4" s="234">
        <v>6351513.4699999997</v>
      </c>
      <c r="I4" s="234">
        <v>6182406.5099999998</v>
      </c>
    </row>
    <row r="5" spans="1:9" x14ac:dyDescent="0.25">
      <c r="A5" s="244" t="s">
        <v>99</v>
      </c>
      <c r="B5" s="244" t="s">
        <v>98</v>
      </c>
      <c r="C5" s="244" t="s">
        <v>107</v>
      </c>
      <c r="D5" s="232"/>
      <c r="F5" s="300" t="s">
        <v>1521</v>
      </c>
      <c r="G5" s="301"/>
      <c r="H5" s="234">
        <v>5978444.4000000004</v>
      </c>
      <c r="I5" s="234">
        <v>5903276</v>
      </c>
    </row>
    <row r="6" spans="1:9" x14ac:dyDescent="0.25">
      <c r="A6" s="244" t="s">
        <v>110</v>
      </c>
      <c r="B6" s="244" t="s">
        <v>106</v>
      </c>
      <c r="C6" s="244" t="s">
        <v>141</v>
      </c>
      <c r="D6" s="232"/>
      <c r="F6" s="300" t="s">
        <v>1431</v>
      </c>
      <c r="G6" s="301"/>
      <c r="H6" s="234">
        <v>1037554.19</v>
      </c>
      <c r="I6" s="234">
        <v>1226679</v>
      </c>
    </row>
    <row r="7" spans="1:9" x14ac:dyDescent="0.25">
      <c r="A7" s="244" t="s">
        <v>120</v>
      </c>
      <c r="B7" s="244" t="s">
        <v>256</v>
      </c>
      <c r="C7" s="244" t="s">
        <v>258</v>
      </c>
      <c r="D7" s="232"/>
      <c r="F7" s="302" t="s">
        <v>1415</v>
      </c>
      <c r="G7" s="303"/>
      <c r="H7" s="237">
        <v>4572890.6500000004</v>
      </c>
      <c r="I7" s="237">
        <v>4249531</v>
      </c>
    </row>
    <row r="8" spans="1:9" x14ac:dyDescent="0.25">
      <c r="A8" s="244" t="s">
        <v>271</v>
      </c>
      <c r="B8" s="244" t="s">
        <v>113</v>
      </c>
      <c r="C8" s="244" t="s">
        <v>174</v>
      </c>
      <c r="D8" s="232"/>
      <c r="F8" s="300" t="s">
        <v>1428</v>
      </c>
      <c r="G8" s="301"/>
      <c r="H8" s="235">
        <v>17940402.710000001</v>
      </c>
      <c r="I8" s="235">
        <v>17561892.509999998</v>
      </c>
    </row>
    <row r="9" spans="1:9" x14ac:dyDescent="0.25">
      <c r="A9" s="244" t="s">
        <v>136</v>
      </c>
      <c r="B9" s="244" t="s">
        <v>116</v>
      </c>
      <c r="C9" s="244" t="s">
        <v>336</v>
      </c>
      <c r="D9" s="232"/>
    </row>
    <row r="10" spans="1:9" x14ac:dyDescent="0.25">
      <c r="A10" s="244" t="s">
        <v>140</v>
      </c>
      <c r="B10" s="244" t="s">
        <v>119</v>
      </c>
      <c r="C10" s="99"/>
      <c r="D10" s="232"/>
      <c r="F10" s="299" t="s">
        <v>1535</v>
      </c>
      <c r="G10" s="299"/>
      <c r="H10" s="299"/>
      <c r="I10" s="299"/>
    </row>
    <row r="11" spans="1:9" x14ac:dyDescent="0.25">
      <c r="A11" s="244" t="s">
        <v>144</v>
      </c>
      <c r="B11" s="244" t="s">
        <v>122</v>
      </c>
      <c r="C11" s="245"/>
      <c r="D11" s="232"/>
      <c r="F11" s="299"/>
      <c r="G11" s="299"/>
      <c r="H11" s="299"/>
      <c r="I11" s="299"/>
    </row>
    <row r="12" spans="1:9" x14ac:dyDescent="0.25">
      <c r="A12" s="244" t="s">
        <v>153</v>
      </c>
      <c r="B12" s="244" t="s">
        <v>123</v>
      </c>
      <c r="C12" s="245"/>
      <c r="D12" s="232"/>
      <c r="F12" s="227"/>
      <c r="G12" s="228"/>
      <c r="H12" s="229">
        <v>2014</v>
      </c>
      <c r="I12" s="229">
        <v>2015</v>
      </c>
    </row>
    <row r="13" spans="1:9" x14ac:dyDescent="0.25">
      <c r="A13" s="244" t="s">
        <v>157</v>
      </c>
      <c r="B13" s="244" t="s">
        <v>266</v>
      </c>
      <c r="C13" s="245"/>
      <c r="D13" s="232"/>
      <c r="F13" s="300" t="s">
        <v>1534</v>
      </c>
      <c r="G13" s="301"/>
      <c r="H13" s="234">
        <v>7518430.0099999998</v>
      </c>
      <c r="I13" s="234">
        <v>7100366.1399999997</v>
      </c>
    </row>
    <row r="14" spans="1:9" x14ac:dyDescent="0.25">
      <c r="A14" s="244" t="s">
        <v>158</v>
      </c>
      <c r="B14" s="244" t="s">
        <v>269</v>
      </c>
      <c r="C14" s="245"/>
      <c r="D14" s="232"/>
      <c r="F14" s="300" t="s">
        <v>1521</v>
      </c>
      <c r="G14" s="301"/>
      <c r="H14" s="234">
        <v>7135102.9500000002</v>
      </c>
      <c r="I14" s="234">
        <v>6832121</v>
      </c>
    </row>
    <row r="15" spans="1:9" x14ac:dyDescent="0.25">
      <c r="A15" s="244" t="s">
        <v>1397</v>
      </c>
      <c r="B15" s="244" t="s">
        <v>130</v>
      </c>
      <c r="C15" s="245"/>
      <c r="D15" s="232"/>
      <c r="F15" s="300" t="s">
        <v>1431</v>
      </c>
      <c r="G15" s="301"/>
      <c r="H15" s="234">
        <v>1251696.54</v>
      </c>
      <c r="I15" s="234">
        <v>1438716</v>
      </c>
    </row>
    <row r="16" spans="1:9" x14ac:dyDescent="0.25">
      <c r="A16" s="244" t="s">
        <v>162</v>
      </c>
      <c r="B16" s="244" t="s">
        <v>132</v>
      </c>
      <c r="C16" s="245"/>
      <c r="D16" s="232"/>
      <c r="F16" s="302" t="s">
        <v>1415</v>
      </c>
      <c r="G16" s="303"/>
      <c r="H16" s="237">
        <v>5453938.6699999999</v>
      </c>
      <c r="I16" s="237">
        <v>4913936</v>
      </c>
    </row>
    <row r="17" spans="1:9" x14ac:dyDescent="0.25">
      <c r="A17" s="244" t="s">
        <v>163</v>
      </c>
      <c r="B17" s="244" t="s">
        <v>139</v>
      </c>
      <c r="C17" s="245"/>
      <c r="D17" s="232"/>
      <c r="F17" s="300" t="s">
        <v>1428</v>
      </c>
      <c r="G17" s="301"/>
      <c r="H17" s="235">
        <v>21359168.170000002</v>
      </c>
      <c r="I17" s="235">
        <v>20285139.140000001</v>
      </c>
    </row>
    <row r="18" spans="1:9" x14ac:dyDescent="0.25">
      <c r="A18" s="244" t="s">
        <v>171</v>
      </c>
      <c r="B18" s="244" t="s">
        <v>147</v>
      </c>
      <c r="C18" s="245"/>
      <c r="D18" s="236"/>
    </row>
    <row r="19" spans="1:9" x14ac:dyDescent="0.25">
      <c r="A19" s="244" t="s">
        <v>175</v>
      </c>
      <c r="B19" s="244" t="s">
        <v>152</v>
      </c>
      <c r="C19" s="245"/>
      <c r="D19" s="236"/>
    </row>
    <row r="20" spans="1:9" x14ac:dyDescent="0.25">
      <c r="A20" s="244" t="s">
        <v>177</v>
      </c>
      <c r="B20" s="244" t="s">
        <v>133</v>
      </c>
      <c r="C20" s="245"/>
      <c r="D20" s="236"/>
    </row>
    <row r="21" spans="1:9" x14ac:dyDescent="0.25">
      <c r="A21" s="244" t="s">
        <v>180</v>
      </c>
      <c r="B21" s="244" t="s">
        <v>154</v>
      </c>
      <c r="C21" s="245"/>
      <c r="D21" s="236"/>
    </row>
    <row r="22" spans="1:9" x14ac:dyDescent="0.25">
      <c r="A22" s="244" t="s">
        <v>181</v>
      </c>
      <c r="B22" s="244" t="s">
        <v>156</v>
      </c>
      <c r="C22" s="245"/>
      <c r="D22" s="236"/>
    </row>
    <row r="23" spans="1:9" x14ac:dyDescent="0.25">
      <c r="A23" s="244" t="s">
        <v>182</v>
      </c>
      <c r="B23" s="244" t="s">
        <v>160</v>
      </c>
      <c r="C23" s="245"/>
      <c r="D23" s="236"/>
    </row>
    <row r="24" spans="1:9" x14ac:dyDescent="0.25">
      <c r="A24" s="244" t="s">
        <v>183</v>
      </c>
      <c r="B24" s="244" t="s">
        <v>169</v>
      </c>
      <c r="C24" s="245"/>
      <c r="D24" s="236"/>
    </row>
    <row r="25" spans="1:9" x14ac:dyDescent="0.25">
      <c r="A25" s="244" t="s">
        <v>190</v>
      </c>
      <c r="B25" s="244" t="s">
        <v>172</v>
      </c>
      <c r="C25" s="245"/>
      <c r="D25" s="236"/>
    </row>
    <row r="26" spans="1:9" x14ac:dyDescent="0.25">
      <c r="A26" s="244" t="s">
        <v>1482</v>
      </c>
      <c r="B26" s="244" t="s">
        <v>1399</v>
      </c>
      <c r="C26" s="245"/>
      <c r="D26" s="236"/>
    </row>
    <row r="27" spans="1:9" x14ac:dyDescent="0.25">
      <c r="A27" s="244" t="s">
        <v>320</v>
      </c>
      <c r="B27" s="244" t="s">
        <v>200</v>
      </c>
      <c r="C27" s="245"/>
      <c r="D27" s="236"/>
    </row>
    <row r="28" spans="1:9" x14ac:dyDescent="0.25">
      <c r="A28" s="244" t="s">
        <v>1400</v>
      </c>
      <c r="B28" s="244" t="s">
        <v>1402</v>
      </c>
      <c r="C28" s="245"/>
      <c r="D28" s="236"/>
    </row>
    <row r="29" spans="1:9" x14ac:dyDescent="0.25">
      <c r="A29" s="244" t="s">
        <v>1398</v>
      </c>
      <c r="B29" s="246"/>
      <c r="C29" s="245"/>
      <c r="D29" s="236"/>
    </row>
    <row r="30" spans="1:9" x14ac:dyDescent="0.25">
      <c r="A30" s="244" t="s">
        <v>194</v>
      </c>
      <c r="B30" s="245"/>
      <c r="C30" s="245"/>
      <c r="D30" s="236"/>
    </row>
    <row r="31" spans="1:9" x14ac:dyDescent="0.25">
      <c r="A31" s="244" t="s">
        <v>197</v>
      </c>
      <c r="B31" s="245"/>
      <c r="C31" s="245"/>
      <c r="D31" s="236"/>
    </row>
    <row r="32" spans="1:9" x14ac:dyDescent="0.25">
      <c r="A32" s="244" t="s">
        <v>338</v>
      </c>
      <c r="B32" s="245"/>
      <c r="C32" s="245"/>
    </row>
    <row r="33" spans="1:3" x14ac:dyDescent="0.25">
      <c r="A33" s="244" t="s">
        <v>1401</v>
      </c>
      <c r="B33" s="245"/>
      <c r="C33" s="245"/>
    </row>
    <row r="34" spans="1:3" x14ac:dyDescent="0.25">
      <c r="A34" s="244" t="s">
        <v>209</v>
      </c>
      <c r="B34" s="245"/>
      <c r="C34" s="245"/>
    </row>
  </sheetData>
  <mergeCells count="12">
    <mergeCell ref="F16:G16"/>
    <mergeCell ref="F17:G17"/>
    <mergeCell ref="F8:G8"/>
    <mergeCell ref="F10:I11"/>
    <mergeCell ref="F13:G13"/>
    <mergeCell ref="F14:G14"/>
    <mergeCell ref="F15:G15"/>
    <mergeCell ref="F1:I2"/>
    <mergeCell ref="F4:G4"/>
    <mergeCell ref="F6:G6"/>
    <mergeCell ref="F5:G5"/>
    <mergeCell ref="F7:G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99"/>
  <sheetViews>
    <sheetView topLeftCell="B3" zoomScale="80" zoomScaleNormal="80" workbookViewId="0">
      <selection activeCell="C5003" sqref="C5003"/>
    </sheetView>
  </sheetViews>
  <sheetFormatPr defaultColWidth="8.85546875" defaultRowHeight="15" x14ac:dyDescent="0.25"/>
  <cols>
    <col min="1" max="1" width="29.28515625" bestFit="1" customWidth="1"/>
    <col min="2" max="2" width="16.28515625" bestFit="1" customWidth="1"/>
    <col min="3" max="3" width="44.85546875" bestFit="1" customWidth="1"/>
    <col min="4" max="4" width="16.28515625" bestFit="1" customWidth="1"/>
    <col min="5" max="5" width="13" bestFit="1" customWidth="1"/>
    <col min="6" max="6" width="46.140625" customWidth="1"/>
    <col min="7" max="7" width="48" bestFit="1" customWidth="1"/>
    <col min="8" max="8" width="15" bestFit="1" customWidth="1"/>
    <col min="9" max="9" width="14.7109375" customWidth="1"/>
    <col min="10" max="10" width="14.85546875" customWidth="1"/>
    <col min="11" max="11" width="14.7109375" bestFit="1" customWidth="1"/>
    <col min="12" max="12" width="8" customWidth="1"/>
    <col min="13" max="13" width="12" customWidth="1"/>
    <col min="14" max="14" width="13.7109375" customWidth="1"/>
    <col min="15" max="15" width="21.42578125" customWidth="1"/>
    <col min="16" max="16" width="21.42578125" bestFit="1" customWidth="1"/>
    <col min="17" max="17" width="12" customWidth="1"/>
    <col min="18" max="18" width="21.42578125" style="93" bestFit="1" customWidth="1"/>
    <col min="19" max="19" width="31.42578125" bestFit="1" customWidth="1"/>
    <col min="20" max="20" width="28.28515625" bestFit="1" customWidth="1"/>
    <col min="21" max="21" width="32.85546875" bestFit="1" customWidth="1"/>
    <col min="22" max="22" width="21.140625" bestFit="1" customWidth="1"/>
    <col min="23" max="23" width="15.85546875" bestFit="1" customWidth="1"/>
    <col min="25" max="25" width="15.85546875" bestFit="1" customWidth="1"/>
  </cols>
  <sheetData>
    <row r="1" spans="1:25" x14ac:dyDescent="0.25">
      <c r="H1" s="3"/>
      <c r="K1" s="4"/>
      <c r="N1" s="4"/>
      <c r="P1" s="3"/>
      <c r="R1"/>
    </row>
    <row r="2" spans="1:25" x14ac:dyDescent="0.25">
      <c r="R2"/>
    </row>
    <row r="3" spans="1:25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1394</v>
      </c>
      <c r="H3" t="s">
        <v>1395</v>
      </c>
      <c r="I3" t="s">
        <v>6</v>
      </c>
      <c r="J3" t="s">
        <v>7</v>
      </c>
      <c r="K3" t="s">
        <v>8</v>
      </c>
      <c r="L3" t="s">
        <v>9</v>
      </c>
      <c r="M3" t="s">
        <v>10</v>
      </c>
      <c r="N3" t="s">
        <v>11</v>
      </c>
      <c r="O3" t="s">
        <v>12</v>
      </c>
      <c r="P3" t="s">
        <v>13</v>
      </c>
      <c r="Q3" t="s">
        <v>14</v>
      </c>
      <c r="R3" t="s">
        <v>15</v>
      </c>
      <c r="S3" t="s">
        <v>16</v>
      </c>
      <c r="T3" t="s">
        <v>17</v>
      </c>
      <c r="U3" t="s">
        <v>18</v>
      </c>
      <c r="V3" t="s">
        <v>19</v>
      </c>
      <c r="W3" t="s">
        <v>20</v>
      </c>
      <c r="X3" t="s">
        <v>21</v>
      </c>
      <c r="Y3" t="s">
        <v>22</v>
      </c>
    </row>
    <row r="4" spans="1:25" ht="15" hidden="1" customHeight="1" x14ac:dyDescent="0.25">
      <c r="A4" s="1" t="s">
        <v>24</v>
      </c>
      <c r="B4" s="1" t="s">
        <v>43</v>
      </c>
      <c r="C4" s="1" t="s">
        <v>98</v>
      </c>
      <c r="D4">
        <v>5484</v>
      </c>
      <c r="E4" s="1"/>
      <c r="F4" s="1" t="s">
        <v>246</v>
      </c>
      <c r="G4" s="1" t="s">
        <v>98</v>
      </c>
      <c r="H4" s="1" t="s">
        <v>1405</v>
      </c>
      <c r="I4">
        <v>2015</v>
      </c>
      <c r="J4" s="93">
        <v>883</v>
      </c>
      <c r="K4">
        <v>5</v>
      </c>
      <c r="L4" s="1"/>
      <c r="M4">
        <v>0</v>
      </c>
      <c r="N4">
        <v>5672</v>
      </c>
      <c r="O4">
        <v>7.3216000000000003E-2</v>
      </c>
      <c r="P4">
        <v>3</v>
      </c>
      <c r="Q4" s="1" t="s">
        <v>560</v>
      </c>
      <c r="R4" s="93">
        <v>415.29</v>
      </c>
      <c r="S4">
        <v>332.23</v>
      </c>
      <c r="T4">
        <v>0</v>
      </c>
      <c r="U4" s="1" t="s">
        <v>571</v>
      </c>
      <c r="V4" s="1"/>
      <c r="W4">
        <v>415.29300000000001</v>
      </c>
      <c r="X4">
        <v>0</v>
      </c>
      <c r="Y4">
        <v>57963</v>
      </c>
    </row>
    <row r="5" spans="1:25" ht="15" hidden="1" customHeight="1" x14ac:dyDescent="0.25">
      <c r="A5" s="1" t="s">
        <v>24</v>
      </c>
      <c r="B5" s="1" t="s">
        <v>43</v>
      </c>
      <c r="C5" s="1" t="s">
        <v>98</v>
      </c>
      <c r="D5">
        <v>5484</v>
      </c>
      <c r="E5" s="1"/>
      <c r="F5" s="1" t="s">
        <v>246</v>
      </c>
      <c r="G5" s="1" t="s">
        <v>98</v>
      </c>
      <c r="H5" s="1" t="s">
        <v>1405</v>
      </c>
      <c r="I5">
        <v>2015</v>
      </c>
      <c r="J5" s="93">
        <v>0</v>
      </c>
      <c r="K5">
        <v>5</v>
      </c>
      <c r="L5" s="1" t="s">
        <v>393</v>
      </c>
      <c r="M5">
        <v>0</v>
      </c>
      <c r="N5">
        <v>5672</v>
      </c>
      <c r="O5">
        <v>0</v>
      </c>
      <c r="P5">
        <v>3</v>
      </c>
      <c r="Q5" s="1" t="s">
        <v>560</v>
      </c>
      <c r="R5" s="93">
        <v>0</v>
      </c>
      <c r="S5">
        <v>0</v>
      </c>
      <c r="T5">
        <v>0</v>
      </c>
      <c r="U5" s="1" t="s">
        <v>572</v>
      </c>
      <c r="V5" s="1"/>
      <c r="W5">
        <v>0</v>
      </c>
      <c r="X5">
        <v>0</v>
      </c>
      <c r="Y5">
        <v>57970</v>
      </c>
    </row>
    <row r="6" spans="1:25" ht="15" hidden="1" customHeight="1" x14ac:dyDescent="0.25">
      <c r="A6" s="1" t="s">
        <v>24</v>
      </c>
      <c r="B6" s="1" t="s">
        <v>43</v>
      </c>
      <c r="C6" s="1" t="s">
        <v>98</v>
      </c>
      <c r="D6">
        <v>5484</v>
      </c>
      <c r="E6" s="1"/>
      <c r="F6" s="1" t="s">
        <v>246</v>
      </c>
      <c r="G6" s="1" t="s">
        <v>98</v>
      </c>
      <c r="H6" s="1" t="s">
        <v>1405</v>
      </c>
      <c r="I6">
        <v>2013</v>
      </c>
      <c r="J6" s="93">
        <v>620.69000000000005</v>
      </c>
      <c r="K6">
        <v>12</v>
      </c>
      <c r="L6" s="1"/>
      <c r="M6">
        <v>0</v>
      </c>
      <c r="N6">
        <v>5672</v>
      </c>
      <c r="O6">
        <v>0.109428</v>
      </c>
      <c r="P6">
        <v>3</v>
      </c>
      <c r="Q6" s="1" t="s">
        <v>560</v>
      </c>
      <c r="R6" s="93">
        <v>620.69000000000005</v>
      </c>
      <c r="S6">
        <v>496.55</v>
      </c>
      <c r="T6">
        <v>0</v>
      </c>
      <c r="U6" s="1" t="s">
        <v>571</v>
      </c>
      <c r="V6" s="1"/>
      <c r="W6">
        <v>620.67899999999997</v>
      </c>
      <c r="X6">
        <v>0</v>
      </c>
      <c r="Y6">
        <v>57963</v>
      </c>
    </row>
    <row r="7" spans="1:25" ht="15" hidden="1" customHeight="1" x14ac:dyDescent="0.25">
      <c r="A7" s="1" t="s">
        <v>24</v>
      </c>
      <c r="B7" s="1" t="s">
        <v>43</v>
      </c>
      <c r="C7" s="1" t="s">
        <v>98</v>
      </c>
      <c r="D7">
        <v>5484</v>
      </c>
      <c r="E7" s="1"/>
      <c r="F7" s="1" t="s">
        <v>246</v>
      </c>
      <c r="G7" s="1" t="s">
        <v>98</v>
      </c>
      <c r="H7" s="1" t="s">
        <v>1405</v>
      </c>
      <c r="I7">
        <v>2013</v>
      </c>
      <c r="J7" s="93">
        <v>609.82000000000005</v>
      </c>
      <c r="K7">
        <v>12</v>
      </c>
      <c r="L7" s="1" t="s">
        <v>393</v>
      </c>
      <c r="M7">
        <v>0</v>
      </c>
      <c r="N7">
        <v>5672</v>
      </c>
      <c r="O7">
        <v>0.107512</v>
      </c>
      <c r="P7">
        <v>3</v>
      </c>
      <c r="Q7" s="1" t="s">
        <v>560</v>
      </c>
      <c r="R7" s="93">
        <v>609.82000000000005</v>
      </c>
      <c r="S7">
        <v>487.85</v>
      </c>
      <c r="T7">
        <v>0</v>
      </c>
      <c r="U7" s="1" t="s">
        <v>572</v>
      </c>
      <c r="V7" s="1"/>
      <c r="W7">
        <v>609.82000000000005</v>
      </c>
      <c r="X7">
        <v>0</v>
      </c>
      <c r="Y7">
        <v>57970</v>
      </c>
    </row>
    <row r="8" spans="1:25" ht="15" hidden="1" customHeight="1" x14ac:dyDescent="0.25">
      <c r="A8" s="1" t="s">
        <v>24</v>
      </c>
      <c r="B8" s="1" t="s">
        <v>43</v>
      </c>
      <c r="C8" s="1" t="s">
        <v>98</v>
      </c>
      <c r="D8">
        <v>5484</v>
      </c>
      <c r="E8" s="1"/>
      <c r="F8" s="1" t="s">
        <v>246</v>
      </c>
      <c r="G8" s="1" t="s">
        <v>98</v>
      </c>
      <c r="H8" s="1" t="s">
        <v>1405</v>
      </c>
      <c r="I8">
        <v>2012</v>
      </c>
      <c r="J8" s="93">
        <v>964.57</v>
      </c>
      <c r="K8">
        <v>12</v>
      </c>
      <c r="L8" s="1"/>
      <c r="M8">
        <v>0</v>
      </c>
      <c r="N8">
        <v>5672</v>
      </c>
      <c r="O8">
        <v>0.17005500000000001</v>
      </c>
      <c r="P8">
        <v>3</v>
      </c>
      <c r="Q8" s="1" t="s">
        <v>560</v>
      </c>
      <c r="R8" s="93">
        <v>964.57</v>
      </c>
      <c r="S8">
        <v>771.65</v>
      </c>
      <c r="T8">
        <v>0</v>
      </c>
      <c r="U8" s="1" t="s">
        <v>571</v>
      </c>
      <c r="V8" s="1"/>
      <c r="W8">
        <v>964.56700000000001</v>
      </c>
      <c r="X8">
        <v>0</v>
      </c>
      <c r="Y8">
        <v>57963</v>
      </c>
    </row>
    <row r="9" spans="1:25" ht="15" hidden="1" customHeight="1" x14ac:dyDescent="0.25">
      <c r="A9" s="1" t="s">
        <v>24</v>
      </c>
      <c r="B9" s="1" t="s">
        <v>43</v>
      </c>
      <c r="C9" s="1" t="s">
        <v>98</v>
      </c>
      <c r="D9">
        <v>5484</v>
      </c>
      <c r="E9" s="1"/>
      <c r="F9" s="1" t="s">
        <v>246</v>
      </c>
      <c r="G9" s="1" t="s">
        <v>98</v>
      </c>
      <c r="H9" s="1" t="s">
        <v>1405</v>
      </c>
      <c r="I9">
        <v>2012</v>
      </c>
      <c r="J9" s="93">
        <v>638.91999999999996</v>
      </c>
      <c r="K9">
        <v>12</v>
      </c>
      <c r="L9" s="1" t="s">
        <v>393</v>
      </c>
      <c r="M9">
        <v>0</v>
      </c>
      <c r="N9">
        <v>5672</v>
      </c>
      <c r="O9">
        <v>0.11264200000000001</v>
      </c>
      <c r="P9">
        <v>3</v>
      </c>
      <c r="Q9" s="1" t="s">
        <v>560</v>
      </c>
      <c r="R9" s="93">
        <v>638.91999999999996</v>
      </c>
      <c r="S9">
        <v>511.14</v>
      </c>
      <c r="T9">
        <v>0</v>
      </c>
      <c r="U9" s="1" t="s">
        <v>572</v>
      </c>
      <c r="V9" s="1"/>
      <c r="W9">
        <v>638.91999999999996</v>
      </c>
      <c r="X9">
        <v>0</v>
      </c>
      <c r="Y9">
        <v>57970</v>
      </c>
    </row>
    <row r="10" spans="1:25" ht="15" hidden="1" customHeight="1" x14ac:dyDescent="0.25">
      <c r="A10" s="1" t="s">
        <v>24</v>
      </c>
      <c r="B10" s="1" t="s">
        <v>43</v>
      </c>
      <c r="C10" s="1" t="s">
        <v>98</v>
      </c>
      <c r="D10">
        <v>5484</v>
      </c>
      <c r="E10" s="1"/>
      <c r="F10" s="1" t="s">
        <v>246</v>
      </c>
      <c r="G10" s="1" t="s">
        <v>98</v>
      </c>
      <c r="H10" s="1" t="s">
        <v>1405</v>
      </c>
      <c r="I10">
        <v>2011</v>
      </c>
      <c r="J10" s="93">
        <v>979.87</v>
      </c>
      <c r="K10">
        <v>12</v>
      </c>
      <c r="L10" s="1"/>
      <c r="M10">
        <v>0</v>
      </c>
      <c r="N10">
        <v>5672</v>
      </c>
      <c r="O10">
        <v>0.17275199999999999</v>
      </c>
      <c r="P10">
        <v>3</v>
      </c>
      <c r="Q10" s="1" t="s">
        <v>560</v>
      </c>
      <c r="R10" s="93">
        <v>979.87</v>
      </c>
      <c r="S10">
        <v>783.86</v>
      </c>
      <c r="T10">
        <v>0</v>
      </c>
      <c r="U10" s="1" t="s">
        <v>571</v>
      </c>
      <c r="V10" s="1"/>
      <c r="W10">
        <v>979.84609999999998</v>
      </c>
      <c r="X10">
        <v>0</v>
      </c>
      <c r="Y10">
        <v>57963</v>
      </c>
    </row>
    <row r="11" spans="1:25" ht="15" hidden="1" customHeight="1" x14ac:dyDescent="0.25">
      <c r="A11" s="1" t="s">
        <v>24</v>
      </c>
      <c r="B11" s="1" t="s">
        <v>43</v>
      </c>
      <c r="C11" s="1" t="s">
        <v>98</v>
      </c>
      <c r="D11">
        <v>5484</v>
      </c>
      <c r="E11" s="1"/>
      <c r="F11" s="1" t="s">
        <v>246</v>
      </c>
      <c r="G11" s="1" t="s">
        <v>98</v>
      </c>
      <c r="H11" s="1" t="s">
        <v>1405</v>
      </c>
      <c r="I11">
        <v>2011</v>
      </c>
      <c r="J11" s="93">
        <v>677.13</v>
      </c>
      <c r="K11">
        <v>12</v>
      </c>
      <c r="L11" s="1" t="s">
        <v>393</v>
      </c>
      <c r="M11">
        <v>0</v>
      </c>
      <c r="N11">
        <v>5672</v>
      </c>
      <c r="O11">
        <v>0.119379</v>
      </c>
      <c r="P11">
        <v>3</v>
      </c>
      <c r="Q11" s="1" t="s">
        <v>560</v>
      </c>
      <c r="R11" s="93">
        <v>677.13</v>
      </c>
      <c r="S11">
        <v>541.69000000000005</v>
      </c>
      <c r="T11">
        <v>0</v>
      </c>
      <c r="U11" s="1" t="s">
        <v>572</v>
      </c>
      <c r="V11" s="1"/>
      <c r="W11">
        <v>677.12000999999998</v>
      </c>
      <c r="X11">
        <v>0</v>
      </c>
      <c r="Y11">
        <v>57970</v>
      </c>
    </row>
    <row r="12" spans="1:25" ht="15" hidden="1" customHeight="1" x14ac:dyDescent="0.25">
      <c r="A12" s="1" t="s">
        <v>24</v>
      </c>
      <c r="B12" s="1" t="s">
        <v>43</v>
      </c>
      <c r="C12" s="1" t="s">
        <v>98</v>
      </c>
      <c r="D12">
        <v>5484</v>
      </c>
      <c r="E12" s="1"/>
      <c r="F12" s="1" t="s">
        <v>246</v>
      </c>
      <c r="G12" s="1" t="s">
        <v>98</v>
      </c>
      <c r="H12" s="1" t="s">
        <v>1405</v>
      </c>
      <c r="I12">
        <v>2010</v>
      </c>
      <c r="J12" s="93">
        <v>977.7</v>
      </c>
      <c r="K12">
        <v>12</v>
      </c>
      <c r="L12" s="1"/>
      <c r="M12">
        <v>0</v>
      </c>
      <c r="N12">
        <v>5672</v>
      </c>
      <c r="O12">
        <v>0.17237</v>
      </c>
      <c r="P12">
        <v>3</v>
      </c>
      <c r="Q12" s="1" t="s">
        <v>560</v>
      </c>
      <c r="R12" s="93">
        <v>977.7</v>
      </c>
      <c r="S12">
        <v>782.17</v>
      </c>
      <c r="T12">
        <v>0</v>
      </c>
      <c r="U12" s="1" t="s">
        <v>571</v>
      </c>
      <c r="V12" s="1"/>
      <c r="W12">
        <v>977.70609999999999</v>
      </c>
      <c r="X12">
        <v>0</v>
      </c>
      <c r="Y12">
        <v>57963</v>
      </c>
    </row>
    <row r="13" spans="1:25" ht="15" hidden="1" customHeight="1" x14ac:dyDescent="0.25">
      <c r="A13" s="1" t="s">
        <v>24</v>
      </c>
      <c r="B13" s="1" t="s">
        <v>43</v>
      </c>
      <c r="C13" s="1" t="s">
        <v>98</v>
      </c>
      <c r="D13">
        <v>5484</v>
      </c>
      <c r="E13" s="1"/>
      <c r="F13" s="1" t="s">
        <v>246</v>
      </c>
      <c r="G13" s="1" t="s">
        <v>98</v>
      </c>
      <c r="H13" s="1" t="s">
        <v>1405</v>
      </c>
      <c r="I13">
        <v>2010</v>
      </c>
      <c r="J13" s="93">
        <v>596.76</v>
      </c>
      <c r="K13">
        <v>12</v>
      </c>
      <c r="L13" s="1" t="s">
        <v>393</v>
      </c>
      <c r="M13">
        <v>0</v>
      </c>
      <c r="N13">
        <v>5672</v>
      </c>
      <c r="O13">
        <v>0.105209</v>
      </c>
      <c r="P13">
        <v>3</v>
      </c>
      <c r="Q13" s="1" t="s">
        <v>560</v>
      </c>
      <c r="R13" s="93">
        <v>596.76</v>
      </c>
      <c r="S13">
        <v>477.42</v>
      </c>
      <c r="T13">
        <v>0</v>
      </c>
      <c r="U13" s="1" t="s">
        <v>572</v>
      </c>
      <c r="V13" s="1"/>
      <c r="W13">
        <v>596.76</v>
      </c>
      <c r="X13">
        <v>0</v>
      </c>
      <c r="Y13">
        <v>57970</v>
      </c>
    </row>
    <row r="14" spans="1:25" ht="15" hidden="1" customHeight="1" x14ac:dyDescent="0.25">
      <c r="A14" s="1" t="s">
        <v>24</v>
      </c>
      <c r="B14" s="1" t="s">
        <v>43</v>
      </c>
      <c r="C14" s="1" t="s">
        <v>98</v>
      </c>
      <c r="D14">
        <v>5484</v>
      </c>
      <c r="E14" s="1"/>
      <c r="F14" s="1" t="s">
        <v>246</v>
      </c>
      <c r="G14" s="1" t="s">
        <v>98</v>
      </c>
      <c r="H14" s="1" t="s">
        <v>1405</v>
      </c>
      <c r="I14">
        <v>2009</v>
      </c>
      <c r="J14" s="93">
        <v>965.48</v>
      </c>
      <c r="K14">
        <v>12</v>
      </c>
      <c r="L14" s="1"/>
      <c r="M14">
        <v>0</v>
      </c>
      <c r="N14">
        <v>5672</v>
      </c>
      <c r="O14">
        <v>0.17021500000000001</v>
      </c>
      <c r="P14">
        <v>3</v>
      </c>
      <c r="Q14" s="1" t="s">
        <v>560</v>
      </c>
      <c r="R14" s="93">
        <v>965.48</v>
      </c>
      <c r="S14">
        <v>772.36</v>
      </c>
      <c r="T14">
        <v>0</v>
      </c>
      <c r="U14" s="1" t="s">
        <v>571</v>
      </c>
      <c r="V14" s="1"/>
      <c r="W14">
        <v>965.47500000000002</v>
      </c>
      <c r="X14">
        <v>0</v>
      </c>
      <c r="Y14">
        <v>57963</v>
      </c>
    </row>
    <row r="15" spans="1:25" ht="15" hidden="1" customHeight="1" x14ac:dyDescent="0.25">
      <c r="A15" s="1" t="s">
        <v>24</v>
      </c>
      <c r="B15" s="1" t="s">
        <v>43</v>
      </c>
      <c r="C15" s="1" t="s">
        <v>98</v>
      </c>
      <c r="D15">
        <v>5484</v>
      </c>
      <c r="E15" s="1"/>
      <c r="F15" s="1" t="s">
        <v>246</v>
      </c>
      <c r="G15" s="1" t="s">
        <v>98</v>
      </c>
      <c r="H15" s="1" t="s">
        <v>1405</v>
      </c>
      <c r="I15">
        <v>2009</v>
      </c>
      <c r="J15" s="93">
        <v>673.93</v>
      </c>
      <c r="K15">
        <v>12</v>
      </c>
      <c r="L15" s="1" t="s">
        <v>393</v>
      </c>
      <c r="M15">
        <v>0</v>
      </c>
      <c r="N15">
        <v>5672</v>
      </c>
      <c r="O15">
        <v>0.118814</v>
      </c>
      <c r="P15">
        <v>3</v>
      </c>
      <c r="Q15" s="1" t="s">
        <v>560</v>
      </c>
      <c r="R15" s="93">
        <v>673.93</v>
      </c>
      <c r="S15">
        <v>539.14</v>
      </c>
      <c r="T15">
        <v>0</v>
      </c>
      <c r="U15" s="1" t="s">
        <v>572</v>
      </c>
      <c r="V15" s="1"/>
      <c r="W15">
        <v>673.93</v>
      </c>
      <c r="X15">
        <v>0</v>
      </c>
      <c r="Y15">
        <v>57970</v>
      </c>
    </row>
    <row r="16" spans="1:25" ht="15" hidden="1" customHeight="1" x14ac:dyDescent="0.25">
      <c r="A16" s="1" t="s">
        <v>24</v>
      </c>
      <c r="B16" s="1" t="s">
        <v>43</v>
      </c>
      <c r="C16" s="1" t="s">
        <v>98</v>
      </c>
      <c r="D16">
        <v>5484</v>
      </c>
      <c r="E16" s="1"/>
      <c r="F16" s="1" t="s">
        <v>246</v>
      </c>
      <c r="G16" s="1" t="s">
        <v>98</v>
      </c>
      <c r="H16" s="1" t="s">
        <v>1405</v>
      </c>
      <c r="I16">
        <v>2008</v>
      </c>
      <c r="J16" s="93">
        <v>1135.1400000000001</v>
      </c>
      <c r="K16">
        <v>12</v>
      </c>
      <c r="L16" s="1"/>
      <c r="M16">
        <v>0</v>
      </c>
      <c r="N16">
        <v>5672</v>
      </c>
      <c r="O16">
        <v>0.200126</v>
      </c>
      <c r="P16">
        <v>3</v>
      </c>
      <c r="Q16" s="1" t="s">
        <v>560</v>
      </c>
      <c r="R16" s="93">
        <v>1135.1400000000001</v>
      </c>
      <c r="S16">
        <v>908.1</v>
      </c>
      <c r="T16">
        <v>0</v>
      </c>
      <c r="U16" s="1" t="s">
        <v>571</v>
      </c>
      <c r="V16" s="1"/>
      <c r="W16">
        <v>1135.1379999999999</v>
      </c>
      <c r="X16">
        <v>0</v>
      </c>
      <c r="Y16">
        <v>57963</v>
      </c>
    </row>
    <row r="17" spans="1:25" ht="15" hidden="1" customHeight="1" x14ac:dyDescent="0.25">
      <c r="A17" s="1" t="s">
        <v>24</v>
      </c>
      <c r="B17" s="1" t="s">
        <v>43</v>
      </c>
      <c r="C17" s="1" t="s">
        <v>98</v>
      </c>
      <c r="D17">
        <v>5484</v>
      </c>
      <c r="E17" s="1"/>
      <c r="F17" s="1" t="s">
        <v>246</v>
      </c>
      <c r="G17" s="1" t="s">
        <v>98</v>
      </c>
      <c r="H17" s="1" t="s">
        <v>1405</v>
      </c>
      <c r="I17">
        <v>2008</v>
      </c>
      <c r="J17" s="93">
        <v>642.53</v>
      </c>
      <c r="K17">
        <v>12</v>
      </c>
      <c r="L17" s="1" t="s">
        <v>393</v>
      </c>
      <c r="M17">
        <v>0</v>
      </c>
      <c r="N17">
        <v>5672</v>
      </c>
      <c r="O17">
        <v>0.113279</v>
      </c>
      <c r="P17">
        <v>3</v>
      </c>
      <c r="Q17" s="1" t="s">
        <v>560</v>
      </c>
      <c r="R17" s="93">
        <v>642.53</v>
      </c>
      <c r="S17">
        <v>514.02</v>
      </c>
      <c r="T17">
        <v>0</v>
      </c>
      <c r="U17" s="1" t="s">
        <v>572</v>
      </c>
      <c r="V17" s="1"/>
      <c r="W17">
        <v>642.53</v>
      </c>
      <c r="X17">
        <v>0</v>
      </c>
      <c r="Y17">
        <v>57970</v>
      </c>
    </row>
    <row r="18" spans="1:25" ht="15" hidden="1" customHeight="1" x14ac:dyDescent="0.25">
      <c r="A18" s="1" t="s">
        <v>24</v>
      </c>
      <c r="B18" s="1"/>
      <c r="C18" s="1" t="s">
        <v>99</v>
      </c>
      <c r="D18">
        <v>13925</v>
      </c>
      <c r="E18" s="1" t="s">
        <v>243</v>
      </c>
      <c r="F18" s="1" t="s">
        <v>247</v>
      </c>
      <c r="G18" s="1" t="s">
        <v>99</v>
      </c>
      <c r="H18" s="1" t="s">
        <v>1405</v>
      </c>
      <c r="I18">
        <v>2015</v>
      </c>
      <c r="J18" s="93">
        <v>641</v>
      </c>
      <c r="K18">
        <v>5</v>
      </c>
      <c r="L18" s="1" t="s">
        <v>394</v>
      </c>
      <c r="M18">
        <v>0</v>
      </c>
      <c r="N18">
        <v>2349</v>
      </c>
      <c r="O18">
        <v>9.6309000000000006E-2</v>
      </c>
      <c r="P18">
        <v>3</v>
      </c>
      <c r="Q18" s="1" t="s">
        <v>560</v>
      </c>
      <c r="R18" s="93">
        <v>226.24</v>
      </c>
      <c r="S18">
        <v>180.99</v>
      </c>
      <c r="T18">
        <v>0</v>
      </c>
      <c r="U18" s="1" t="s">
        <v>573</v>
      </c>
      <c r="V18" s="1"/>
      <c r="W18">
        <v>226.244</v>
      </c>
      <c r="X18">
        <v>0</v>
      </c>
      <c r="Y18">
        <v>77030</v>
      </c>
    </row>
    <row r="19" spans="1:25" ht="15" hidden="1" customHeight="1" x14ac:dyDescent="0.25">
      <c r="A19" s="1" t="s">
        <v>24</v>
      </c>
      <c r="B19" s="1"/>
      <c r="C19" s="1" t="s">
        <v>99</v>
      </c>
      <c r="D19">
        <v>13925</v>
      </c>
      <c r="E19" s="1" t="s">
        <v>243</v>
      </c>
      <c r="F19" s="1" t="s">
        <v>247</v>
      </c>
      <c r="G19" s="1" t="s">
        <v>99</v>
      </c>
      <c r="H19" s="1" t="s">
        <v>1405</v>
      </c>
      <c r="I19">
        <v>2013</v>
      </c>
      <c r="J19" s="93">
        <v>546.16999999999996</v>
      </c>
      <c r="K19">
        <v>12</v>
      </c>
      <c r="L19" s="1" t="s">
        <v>394</v>
      </c>
      <c r="M19">
        <v>0</v>
      </c>
      <c r="N19">
        <v>2349</v>
      </c>
      <c r="O19">
        <v>0.23250100000000001</v>
      </c>
      <c r="P19">
        <v>3</v>
      </c>
      <c r="Q19" s="1" t="s">
        <v>560</v>
      </c>
      <c r="R19" s="93">
        <v>546.16999999999996</v>
      </c>
      <c r="S19">
        <v>436.9</v>
      </c>
      <c r="T19">
        <v>0</v>
      </c>
      <c r="U19" s="1" t="s">
        <v>573</v>
      </c>
      <c r="V19" s="1"/>
      <c r="W19">
        <v>546.15200000000004</v>
      </c>
      <c r="X19">
        <v>0</v>
      </c>
      <c r="Y19">
        <v>77030</v>
      </c>
    </row>
    <row r="20" spans="1:25" ht="15" hidden="1" customHeight="1" x14ac:dyDescent="0.25">
      <c r="A20" s="1" t="s">
        <v>24</v>
      </c>
      <c r="B20" s="1"/>
      <c r="C20" s="1" t="s">
        <v>99</v>
      </c>
      <c r="D20">
        <v>13925</v>
      </c>
      <c r="E20" s="1" t="s">
        <v>243</v>
      </c>
      <c r="F20" s="1" t="s">
        <v>247</v>
      </c>
      <c r="G20" s="1" t="s">
        <v>99</v>
      </c>
      <c r="H20" s="1" t="s">
        <v>1405</v>
      </c>
      <c r="I20">
        <v>2012</v>
      </c>
      <c r="J20" s="93">
        <v>477.29</v>
      </c>
      <c r="K20">
        <v>12</v>
      </c>
      <c r="L20" s="1" t="s">
        <v>394</v>
      </c>
      <c r="M20">
        <v>0</v>
      </c>
      <c r="N20">
        <v>2349</v>
      </c>
      <c r="O20">
        <v>0.203179</v>
      </c>
      <c r="P20">
        <v>3</v>
      </c>
      <c r="Q20" s="1" t="s">
        <v>560</v>
      </c>
      <c r="R20" s="93">
        <v>477.29</v>
      </c>
      <c r="S20">
        <v>381.84</v>
      </c>
      <c r="T20">
        <v>0</v>
      </c>
      <c r="U20" s="1" t="s">
        <v>573</v>
      </c>
      <c r="V20" s="1"/>
      <c r="W20">
        <v>477.29500000000002</v>
      </c>
      <c r="X20">
        <v>0</v>
      </c>
      <c r="Y20">
        <v>77030</v>
      </c>
    </row>
    <row r="21" spans="1:25" ht="15" hidden="1" customHeight="1" x14ac:dyDescent="0.25">
      <c r="A21" s="1" t="s">
        <v>24</v>
      </c>
      <c r="B21" s="1"/>
      <c r="C21" s="1" t="s">
        <v>99</v>
      </c>
      <c r="D21">
        <v>13925</v>
      </c>
      <c r="E21" s="1" t="s">
        <v>243</v>
      </c>
      <c r="F21" s="1" t="s">
        <v>247</v>
      </c>
      <c r="G21" s="1" t="s">
        <v>99</v>
      </c>
      <c r="H21" s="1" t="s">
        <v>1405</v>
      </c>
      <c r="I21">
        <v>2011</v>
      </c>
      <c r="J21" s="93">
        <v>369.55</v>
      </c>
      <c r="K21">
        <v>12</v>
      </c>
      <c r="L21" s="1" t="s">
        <v>394</v>
      </c>
      <c r="M21">
        <v>0</v>
      </c>
      <c r="N21">
        <v>2349</v>
      </c>
      <c r="O21">
        <v>0.15731500000000001</v>
      </c>
      <c r="P21">
        <v>3</v>
      </c>
      <c r="Q21" s="1" t="s">
        <v>560</v>
      </c>
      <c r="R21" s="93">
        <v>369.55</v>
      </c>
      <c r="S21">
        <v>295.64999999999998</v>
      </c>
      <c r="T21">
        <v>0</v>
      </c>
      <c r="U21" s="1" t="s">
        <v>573</v>
      </c>
      <c r="V21" s="1"/>
      <c r="W21">
        <v>369.54264000000001</v>
      </c>
      <c r="X21">
        <v>0</v>
      </c>
      <c r="Y21">
        <v>77030</v>
      </c>
    </row>
    <row r="22" spans="1:25" ht="15" hidden="1" customHeight="1" x14ac:dyDescent="0.25">
      <c r="A22" s="1" t="s">
        <v>24</v>
      </c>
      <c r="B22" s="1"/>
      <c r="C22" s="1" t="s">
        <v>99</v>
      </c>
      <c r="D22">
        <v>13925</v>
      </c>
      <c r="E22" s="1" t="s">
        <v>243</v>
      </c>
      <c r="F22" s="1" t="s">
        <v>247</v>
      </c>
      <c r="G22" s="1" t="s">
        <v>99</v>
      </c>
      <c r="H22" s="1" t="s">
        <v>1405</v>
      </c>
      <c r="I22">
        <v>2010</v>
      </c>
      <c r="J22" s="93">
        <v>489.89</v>
      </c>
      <c r="K22">
        <v>12</v>
      </c>
      <c r="L22" s="1" t="s">
        <v>394</v>
      </c>
      <c r="M22">
        <v>0</v>
      </c>
      <c r="N22">
        <v>2349</v>
      </c>
      <c r="O22">
        <v>0.20854300000000001</v>
      </c>
      <c r="P22">
        <v>3</v>
      </c>
      <c r="Q22" s="1" t="s">
        <v>560</v>
      </c>
      <c r="R22" s="93">
        <v>489.89</v>
      </c>
      <c r="S22">
        <v>391.92</v>
      </c>
      <c r="T22">
        <v>0</v>
      </c>
      <c r="U22" s="1" t="s">
        <v>573</v>
      </c>
      <c r="V22" s="1"/>
      <c r="W22">
        <v>489.89836000000003</v>
      </c>
      <c r="X22">
        <v>0</v>
      </c>
      <c r="Y22">
        <v>77030</v>
      </c>
    </row>
    <row r="23" spans="1:25" ht="15" hidden="1" customHeight="1" x14ac:dyDescent="0.25">
      <c r="A23" s="1" t="s">
        <v>24</v>
      </c>
      <c r="B23" s="1"/>
      <c r="C23" s="1" t="s">
        <v>99</v>
      </c>
      <c r="D23">
        <v>13925</v>
      </c>
      <c r="E23" s="1" t="s">
        <v>243</v>
      </c>
      <c r="F23" s="1" t="s">
        <v>247</v>
      </c>
      <c r="G23" s="1" t="s">
        <v>99</v>
      </c>
      <c r="H23" s="1" t="s">
        <v>1405</v>
      </c>
      <c r="I23">
        <v>2009</v>
      </c>
      <c r="J23" s="93">
        <v>603.41</v>
      </c>
      <c r="K23">
        <v>12</v>
      </c>
      <c r="L23" s="1" t="s">
        <v>394</v>
      </c>
      <c r="M23">
        <v>0</v>
      </c>
      <c r="N23">
        <v>2349</v>
      </c>
      <c r="O23">
        <v>0.25686799999999999</v>
      </c>
      <c r="P23">
        <v>3</v>
      </c>
      <c r="Q23" s="1" t="s">
        <v>560</v>
      </c>
      <c r="R23" s="93">
        <v>603.41</v>
      </c>
      <c r="S23">
        <v>482.72</v>
      </c>
      <c r="T23">
        <v>0</v>
      </c>
      <c r="U23" s="1" t="s">
        <v>573</v>
      </c>
      <c r="V23" s="1"/>
      <c r="W23">
        <v>603.40599999999995</v>
      </c>
      <c r="X23">
        <v>0</v>
      </c>
      <c r="Y23">
        <v>77030</v>
      </c>
    </row>
    <row r="24" spans="1:25" ht="15" hidden="1" customHeight="1" x14ac:dyDescent="0.25">
      <c r="A24" s="1" t="s">
        <v>24</v>
      </c>
      <c r="B24" s="1"/>
      <c r="C24" s="1" t="s">
        <v>99</v>
      </c>
      <c r="D24">
        <v>13925</v>
      </c>
      <c r="E24" s="1" t="s">
        <v>243</v>
      </c>
      <c r="F24" s="1" t="s">
        <v>247</v>
      </c>
      <c r="G24" s="1" t="s">
        <v>99</v>
      </c>
      <c r="H24" s="1" t="s">
        <v>1405</v>
      </c>
      <c r="I24">
        <v>2008</v>
      </c>
      <c r="J24" s="93">
        <v>690.34</v>
      </c>
      <c r="K24">
        <v>12</v>
      </c>
      <c r="L24" s="1" t="s">
        <v>394</v>
      </c>
      <c r="M24">
        <v>0</v>
      </c>
      <c r="N24">
        <v>2349</v>
      </c>
      <c r="O24">
        <v>0.29387400000000002</v>
      </c>
      <c r="P24">
        <v>3</v>
      </c>
      <c r="Q24" s="1" t="s">
        <v>560</v>
      </c>
      <c r="R24" s="93">
        <v>690.34</v>
      </c>
      <c r="S24">
        <v>552.29</v>
      </c>
      <c r="T24">
        <v>0</v>
      </c>
      <c r="U24" s="1" t="s">
        <v>573</v>
      </c>
      <c r="V24" s="1"/>
      <c r="W24">
        <v>690.34500000000003</v>
      </c>
      <c r="X24">
        <v>0</v>
      </c>
      <c r="Y24">
        <v>77030</v>
      </c>
    </row>
    <row r="25" spans="1:25" ht="15" hidden="1" customHeight="1" x14ac:dyDescent="0.25">
      <c r="A25" s="1" t="s">
        <v>24</v>
      </c>
      <c r="B25" s="1"/>
      <c r="C25" s="1" t="s">
        <v>99</v>
      </c>
      <c r="D25">
        <v>9524</v>
      </c>
      <c r="E25" s="1"/>
      <c r="F25" s="1" t="s">
        <v>248</v>
      </c>
      <c r="G25" s="1" t="s">
        <v>99</v>
      </c>
      <c r="H25" s="1" t="s">
        <v>1405</v>
      </c>
      <c r="I25">
        <v>2015</v>
      </c>
      <c r="J25" s="93">
        <v>590</v>
      </c>
      <c r="K25">
        <v>5</v>
      </c>
      <c r="L25" s="1" t="s">
        <v>394</v>
      </c>
      <c r="M25">
        <v>0</v>
      </c>
      <c r="N25">
        <v>2899</v>
      </c>
      <c r="O25">
        <v>7.8719999999999998E-2</v>
      </c>
      <c r="P25">
        <v>3</v>
      </c>
      <c r="Q25" s="1" t="s">
        <v>560</v>
      </c>
      <c r="R25" s="93">
        <v>228.22</v>
      </c>
      <c r="S25">
        <v>182.59</v>
      </c>
      <c r="T25">
        <v>0</v>
      </c>
      <c r="U25" s="1" t="s">
        <v>574</v>
      </c>
      <c r="V25" s="1"/>
      <c r="W25">
        <v>228.22300000000001</v>
      </c>
      <c r="X25">
        <v>0</v>
      </c>
      <c r="Y25">
        <v>77029</v>
      </c>
    </row>
    <row r="26" spans="1:25" ht="15" hidden="1" customHeight="1" x14ac:dyDescent="0.25">
      <c r="A26" s="1" t="s">
        <v>24</v>
      </c>
      <c r="B26" s="1"/>
      <c r="C26" s="1" t="s">
        <v>99</v>
      </c>
      <c r="D26">
        <v>9524</v>
      </c>
      <c r="E26" s="1"/>
      <c r="F26" s="1" t="s">
        <v>248</v>
      </c>
      <c r="G26" s="1" t="s">
        <v>99</v>
      </c>
      <c r="H26" s="1" t="s">
        <v>1405</v>
      </c>
      <c r="I26">
        <v>2013</v>
      </c>
      <c r="J26" s="93">
        <v>516.95000000000005</v>
      </c>
      <c r="K26">
        <v>12</v>
      </c>
      <c r="L26" s="1" t="s">
        <v>394</v>
      </c>
      <c r="M26">
        <v>0</v>
      </c>
      <c r="N26">
        <v>2899</v>
      </c>
      <c r="O26">
        <v>0.178313</v>
      </c>
      <c r="P26">
        <v>3</v>
      </c>
      <c r="Q26" s="1" t="s">
        <v>560</v>
      </c>
      <c r="R26" s="93">
        <v>516.95000000000005</v>
      </c>
      <c r="S26">
        <v>413.56</v>
      </c>
      <c r="T26">
        <v>0</v>
      </c>
      <c r="U26" s="1" t="s">
        <v>574</v>
      </c>
      <c r="V26" s="1"/>
      <c r="W26">
        <v>516.94399999999996</v>
      </c>
      <c r="X26">
        <v>0</v>
      </c>
      <c r="Y26">
        <v>77029</v>
      </c>
    </row>
    <row r="27" spans="1:25" ht="15" hidden="1" customHeight="1" x14ac:dyDescent="0.25">
      <c r="A27" s="1" t="s">
        <v>24</v>
      </c>
      <c r="B27" s="1"/>
      <c r="C27" s="1" t="s">
        <v>99</v>
      </c>
      <c r="D27">
        <v>9524</v>
      </c>
      <c r="E27" s="1"/>
      <c r="F27" s="1" t="s">
        <v>248</v>
      </c>
      <c r="G27" s="1" t="s">
        <v>99</v>
      </c>
      <c r="H27" s="1" t="s">
        <v>1405</v>
      </c>
      <c r="I27">
        <v>2012</v>
      </c>
      <c r="J27" s="93">
        <v>522.17999999999995</v>
      </c>
      <c r="K27">
        <v>12</v>
      </c>
      <c r="L27" s="1" t="s">
        <v>394</v>
      </c>
      <c r="M27">
        <v>0</v>
      </c>
      <c r="N27">
        <v>2899</v>
      </c>
      <c r="O27">
        <v>0.180117</v>
      </c>
      <c r="P27">
        <v>3</v>
      </c>
      <c r="Q27" s="1" t="s">
        <v>560</v>
      </c>
      <c r="R27" s="93">
        <v>522.17999999999995</v>
      </c>
      <c r="S27">
        <v>417.75</v>
      </c>
      <c r="T27">
        <v>0</v>
      </c>
      <c r="U27" s="1" t="s">
        <v>574</v>
      </c>
      <c r="V27" s="1"/>
      <c r="W27">
        <v>522.17899999999997</v>
      </c>
      <c r="X27">
        <v>0</v>
      </c>
      <c r="Y27">
        <v>77029</v>
      </c>
    </row>
    <row r="28" spans="1:25" ht="15" hidden="1" customHeight="1" x14ac:dyDescent="0.25">
      <c r="A28" s="1" t="s">
        <v>24</v>
      </c>
      <c r="B28" s="1"/>
      <c r="C28" s="1" t="s">
        <v>99</v>
      </c>
      <c r="D28">
        <v>9524</v>
      </c>
      <c r="E28" s="1"/>
      <c r="F28" s="1" t="s">
        <v>248</v>
      </c>
      <c r="G28" s="1" t="s">
        <v>99</v>
      </c>
      <c r="H28" s="1" t="s">
        <v>1405</v>
      </c>
      <c r="I28">
        <v>2011</v>
      </c>
      <c r="J28" s="93">
        <v>560.95000000000005</v>
      </c>
      <c r="K28">
        <v>12</v>
      </c>
      <c r="L28" s="1" t="s">
        <v>394</v>
      </c>
      <c r="M28">
        <v>0</v>
      </c>
      <c r="N28">
        <v>2899</v>
      </c>
      <c r="O28">
        <v>0.193491</v>
      </c>
      <c r="P28">
        <v>3</v>
      </c>
      <c r="Q28" s="1" t="s">
        <v>560</v>
      </c>
      <c r="R28" s="93">
        <v>560.95000000000005</v>
      </c>
      <c r="S28">
        <v>448.74</v>
      </c>
      <c r="T28">
        <v>0</v>
      </c>
      <c r="U28" s="1" t="s">
        <v>574</v>
      </c>
      <c r="V28" s="1"/>
      <c r="W28">
        <v>560.94600000000003</v>
      </c>
      <c r="X28">
        <v>0</v>
      </c>
      <c r="Y28">
        <v>77029</v>
      </c>
    </row>
    <row r="29" spans="1:25" ht="15" hidden="1" customHeight="1" x14ac:dyDescent="0.25">
      <c r="A29" s="1" t="s">
        <v>24</v>
      </c>
      <c r="B29" s="1"/>
      <c r="C29" s="1" t="s">
        <v>99</v>
      </c>
      <c r="D29">
        <v>9524</v>
      </c>
      <c r="E29" s="1"/>
      <c r="F29" s="1" t="s">
        <v>248</v>
      </c>
      <c r="G29" s="1" t="s">
        <v>99</v>
      </c>
      <c r="H29" s="1" t="s">
        <v>1405</v>
      </c>
      <c r="I29">
        <v>2010</v>
      </c>
      <c r="J29" s="93">
        <v>546.6</v>
      </c>
      <c r="K29">
        <v>12</v>
      </c>
      <c r="L29" s="1" t="s">
        <v>394</v>
      </c>
      <c r="M29">
        <v>0</v>
      </c>
      <c r="N29">
        <v>2899</v>
      </c>
      <c r="O29">
        <v>0.18854099999999999</v>
      </c>
      <c r="P29">
        <v>3</v>
      </c>
      <c r="Q29" s="1" t="s">
        <v>560</v>
      </c>
      <c r="R29" s="93">
        <v>546.6</v>
      </c>
      <c r="S29">
        <v>437.29</v>
      </c>
      <c r="T29">
        <v>0</v>
      </c>
      <c r="U29" s="1" t="s">
        <v>574</v>
      </c>
      <c r="V29" s="1"/>
      <c r="W29">
        <v>546.59799999999996</v>
      </c>
      <c r="X29">
        <v>0</v>
      </c>
      <c r="Y29">
        <v>77029</v>
      </c>
    </row>
    <row r="30" spans="1:25" ht="15" hidden="1" customHeight="1" x14ac:dyDescent="0.25">
      <c r="A30" s="1" t="s">
        <v>24</v>
      </c>
      <c r="B30" s="1"/>
      <c r="C30" s="1" t="s">
        <v>99</v>
      </c>
      <c r="D30">
        <v>9524</v>
      </c>
      <c r="E30" s="1"/>
      <c r="F30" s="1" t="s">
        <v>248</v>
      </c>
      <c r="G30" s="1" t="s">
        <v>99</v>
      </c>
      <c r="H30" s="1" t="s">
        <v>1405</v>
      </c>
      <c r="I30">
        <v>2009</v>
      </c>
      <c r="J30" s="93">
        <v>565.62</v>
      </c>
      <c r="K30">
        <v>12</v>
      </c>
      <c r="L30" s="1" t="s">
        <v>394</v>
      </c>
      <c r="M30">
        <v>0</v>
      </c>
      <c r="N30">
        <v>2899</v>
      </c>
      <c r="O30">
        <v>0.195101</v>
      </c>
      <c r="P30">
        <v>3</v>
      </c>
      <c r="Q30" s="1" t="s">
        <v>560</v>
      </c>
      <c r="R30" s="93">
        <v>565.62</v>
      </c>
      <c r="S30">
        <v>452.49</v>
      </c>
      <c r="T30">
        <v>0</v>
      </c>
      <c r="U30" s="1" t="s">
        <v>574</v>
      </c>
      <c r="V30" s="1"/>
      <c r="W30">
        <v>565.62099999999998</v>
      </c>
      <c r="X30">
        <v>0</v>
      </c>
      <c r="Y30">
        <v>77029</v>
      </c>
    </row>
    <row r="31" spans="1:25" ht="15" hidden="1" customHeight="1" x14ac:dyDescent="0.25">
      <c r="A31" s="1" t="s">
        <v>24</v>
      </c>
      <c r="B31" s="1"/>
      <c r="C31" s="1" t="s">
        <v>99</v>
      </c>
      <c r="D31">
        <v>9524</v>
      </c>
      <c r="E31" s="1"/>
      <c r="F31" s="1" t="s">
        <v>248</v>
      </c>
      <c r="G31" s="1" t="s">
        <v>99</v>
      </c>
      <c r="H31" s="1" t="s">
        <v>1405</v>
      </c>
      <c r="I31">
        <v>2008</v>
      </c>
      <c r="J31" s="93">
        <v>533.9</v>
      </c>
      <c r="K31">
        <v>12</v>
      </c>
      <c r="L31" s="1" t="s">
        <v>394</v>
      </c>
      <c r="M31">
        <v>0</v>
      </c>
      <c r="N31">
        <v>2899</v>
      </c>
      <c r="O31">
        <v>0.18415999999999999</v>
      </c>
      <c r="P31">
        <v>3</v>
      </c>
      <c r="Q31" s="1" t="s">
        <v>560</v>
      </c>
      <c r="R31" s="93">
        <v>533.9</v>
      </c>
      <c r="S31">
        <v>427.11</v>
      </c>
      <c r="T31">
        <v>0</v>
      </c>
      <c r="U31" s="1" t="s">
        <v>574</v>
      </c>
      <c r="V31" s="1"/>
      <c r="W31">
        <v>533.89413999999999</v>
      </c>
      <c r="X31">
        <v>0</v>
      </c>
      <c r="Y31">
        <v>77029</v>
      </c>
    </row>
    <row r="32" spans="1:25" ht="15" hidden="1" customHeight="1" x14ac:dyDescent="0.25">
      <c r="A32" s="1" t="s">
        <v>24</v>
      </c>
      <c r="B32" s="1" t="s">
        <v>43</v>
      </c>
      <c r="C32" s="1" t="s">
        <v>98</v>
      </c>
      <c r="D32">
        <v>5484</v>
      </c>
      <c r="E32" s="1"/>
      <c r="F32" s="1" t="s">
        <v>246</v>
      </c>
      <c r="G32" s="1" t="s">
        <v>98</v>
      </c>
      <c r="H32" s="1" t="s">
        <v>1405</v>
      </c>
      <c r="I32">
        <v>2014</v>
      </c>
      <c r="J32" s="93">
        <v>891.61</v>
      </c>
      <c r="K32">
        <v>12</v>
      </c>
      <c r="L32" s="1"/>
      <c r="M32">
        <v>0</v>
      </c>
      <c r="N32">
        <v>5672</v>
      </c>
      <c r="O32">
        <v>0.157192</v>
      </c>
      <c r="P32">
        <v>3</v>
      </c>
      <c r="Q32" s="1" t="s">
        <v>560</v>
      </c>
      <c r="R32" s="93">
        <v>891.61</v>
      </c>
      <c r="S32">
        <v>713.26</v>
      </c>
      <c r="T32">
        <v>0</v>
      </c>
      <c r="U32" s="1" t="s">
        <v>571</v>
      </c>
      <c r="V32" s="1"/>
      <c r="W32">
        <v>891.6</v>
      </c>
      <c r="X32">
        <v>0</v>
      </c>
      <c r="Y32">
        <v>57963</v>
      </c>
    </row>
    <row r="33" spans="1:25" ht="15" hidden="1" customHeight="1" x14ac:dyDescent="0.25">
      <c r="A33" s="1" t="s">
        <v>24</v>
      </c>
      <c r="B33" s="1" t="s">
        <v>43</v>
      </c>
      <c r="C33" s="1" t="s">
        <v>98</v>
      </c>
      <c r="D33">
        <v>5484</v>
      </c>
      <c r="E33" s="1"/>
      <c r="F33" s="1" t="s">
        <v>246</v>
      </c>
      <c r="G33" s="1" t="s">
        <v>98</v>
      </c>
      <c r="H33" s="1" t="s">
        <v>1405</v>
      </c>
      <c r="I33">
        <v>2014</v>
      </c>
      <c r="J33" s="93">
        <v>212.55</v>
      </c>
      <c r="K33">
        <v>12</v>
      </c>
      <c r="L33" s="1" t="s">
        <v>393</v>
      </c>
      <c r="M33">
        <v>0</v>
      </c>
      <c r="N33">
        <v>5672</v>
      </c>
      <c r="O33">
        <v>3.7471999999999998E-2</v>
      </c>
      <c r="P33">
        <v>3</v>
      </c>
      <c r="Q33" s="1" t="s">
        <v>560</v>
      </c>
      <c r="R33" s="93">
        <v>212.55</v>
      </c>
      <c r="S33">
        <v>170.05</v>
      </c>
      <c r="T33">
        <v>0</v>
      </c>
      <c r="U33" s="1" t="s">
        <v>572</v>
      </c>
      <c r="V33" s="1"/>
      <c r="W33">
        <v>212.55</v>
      </c>
      <c r="X33">
        <v>0</v>
      </c>
      <c r="Y33">
        <v>57970</v>
      </c>
    </row>
    <row r="34" spans="1:25" ht="15" hidden="1" customHeight="1" x14ac:dyDescent="0.25">
      <c r="A34" s="1" t="s">
        <v>24</v>
      </c>
      <c r="B34" s="1" t="s">
        <v>43</v>
      </c>
      <c r="C34" s="1" t="s">
        <v>98</v>
      </c>
      <c r="D34">
        <v>5484</v>
      </c>
      <c r="E34" s="1"/>
      <c r="F34" s="1" t="s">
        <v>246</v>
      </c>
      <c r="G34" s="1" t="s">
        <v>98</v>
      </c>
      <c r="H34" s="1" t="s">
        <v>1405</v>
      </c>
      <c r="I34">
        <v>2014</v>
      </c>
      <c r="J34" s="93">
        <v>220979</v>
      </c>
      <c r="K34">
        <v>12</v>
      </c>
      <c r="L34" s="1"/>
      <c r="M34">
        <v>0</v>
      </c>
      <c r="N34">
        <v>5672</v>
      </c>
      <c r="O34">
        <v>38.958939000000001</v>
      </c>
      <c r="P34">
        <v>1</v>
      </c>
      <c r="Q34" s="1" t="s">
        <v>562</v>
      </c>
      <c r="R34" s="93">
        <v>270573.82</v>
      </c>
      <c r="S34">
        <v>19150159.68</v>
      </c>
      <c r="T34">
        <v>0</v>
      </c>
      <c r="U34" s="1" t="s">
        <v>750</v>
      </c>
      <c r="V34" s="1"/>
      <c r="W34">
        <v>220979.00013999999</v>
      </c>
      <c r="X34">
        <v>0</v>
      </c>
      <c r="Y34">
        <v>57974</v>
      </c>
    </row>
    <row r="35" spans="1:25" ht="15" hidden="1" customHeight="1" x14ac:dyDescent="0.25">
      <c r="A35" s="1" t="s">
        <v>24</v>
      </c>
      <c r="B35" s="1" t="s">
        <v>43</v>
      </c>
      <c r="C35" s="1" t="s">
        <v>98</v>
      </c>
      <c r="D35">
        <v>5484</v>
      </c>
      <c r="E35" s="1"/>
      <c r="F35" s="1" t="s">
        <v>246</v>
      </c>
      <c r="G35" s="1" t="s">
        <v>98</v>
      </c>
      <c r="H35" s="1" t="s">
        <v>1405</v>
      </c>
      <c r="I35">
        <v>2014</v>
      </c>
      <c r="J35" s="93">
        <v>117710.01</v>
      </c>
      <c r="K35">
        <v>12</v>
      </c>
      <c r="L35" s="1" t="s">
        <v>393</v>
      </c>
      <c r="M35">
        <v>0</v>
      </c>
      <c r="N35">
        <v>5672</v>
      </c>
      <c r="O35">
        <v>20.752455999999999</v>
      </c>
      <c r="P35">
        <v>1</v>
      </c>
      <c r="Q35" s="1" t="s">
        <v>562</v>
      </c>
      <c r="R35" s="93">
        <v>143576.94</v>
      </c>
      <c r="S35">
        <v>2391631.89</v>
      </c>
      <c r="T35">
        <v>0</v>
      </c>
      <c r="U35" s="1" t="s">
        <v>752</v>
      </c>
      <c r="V35" s="1"/>
      <c r="W35">
        <v>117710.01</v>
      </c>
      <c r="X35">
        <v>0</v>
      </c>
      <c r="Y35">
        <v>57962</v>
      </c>
    </row>
    <row r="36" spans="1:25" ht="15" hidden="1" customHeight="1" x14ac:dyDescent="0.25">
      <c r="A36" s="1" t="s">
        <v>24</v>
      </c>
      <c r="B36" s="1" t="s">
        <v>43</v>
      </c>
      <c r="C36" s="1" t="s">
        <v>98</v>
      </c>
      <c r="D36">
        <v>5484</v>
      </c>
      <c r="E36" s="1"/>
      <c r="F36" s="1" t="s">
        <v>246</v>
      </c>
      <c r="G36" s="1" t="s">
        <v>98</v>
      </c>
      <c r="H36" s="1" t="s">
        <v>1405</v>
      </c>
      <c r="I36">
        <v>2008</v>
      </c>
      <c r="J36" s="93">
        <v>252443.37</v>
      </c>
      <c r="K36">
        <v>12</v>
      </c>
      <c r="L36" s="1" t="s">
        <v>393</v>
      </c>
      <c r="M36">
        <v>0</v>
      </c>
      <c r="N36">
        <v>5672</v>
      </c>
      <c r="O36">
        <v>44.506155999999997</v>
      </c>
      <c r="P36">
        <v>2</v>
      </c>
      <c r="Q36" s="1" t="s">
        <v>569</v>
      </c>
      <c r="R36" s="93">
        <v>252443.37</v>
      </c>
      <c r="S36">
        <v>118395.95</v>
      </c>
      <c r="T36">
        <v>0</v>
      </c>
      <c r="U36" s="1" t="s">
        <v>935</v>
      </c>
      <c r="V36" s="1" t="s">
        <v>1232</v>
      </c>
      <c r="W36">
        <v>252443.37804000001</v>
      </c>
      <c r="X36">
        <v>0</v>
      </c>
      <c r="Y36">
        <v>57961</v>
      </c>
    </row>
    <row r="37" spans="1:25" ht="15" hidden="1" customHeight="1" x14ac:dyDescent="0.25">
      <c r="A37" s="1" t="s">
        <v>24</v>
      </c>
      <c r="B37" s="1" t="s">
        <v>43</v>
      </c>
      <c r="C37" s="1" t="s">
        <v>98</v>
      </c>
      <c r="D37">
        <v>5484</v>
      </c>
      <c r="E37" s="1"/>
      <c r="F37" s="1" t="s">
        <v>246</v>
      </c>
      <c r="G37" s="1" t="s">
        <v>98</v>
      </c>
      <c r="H37" s="1" t="s">
        <v>1396</v>
      </c>
      <c r="I37">
        <v>2014</v>
      </c>
      <c r="J37" s="93">
        <v>347160.49</v>
      </c>
      <c r="K37">
        <v>12</v>
      </c>
      <c r="L37" s="1"/>
      <c r="M37">
        <v>0</v>
      </c>
      <c r="N37">
        <v>5672</v>
      </c>
      <c r="O37">
        <v>61.204931000000002</v>
      </c>
      <c r="P37">
        <v>1</v>
      </c>
      <c r="Q37" s="1" t="s">
        <v>563</v>
      </c>
      <c r="R37" s="93">
        <v>413994.57</v>
      </c>
      <c r="S37">
        <v>1390979.17</v>
      </c>
      <c r="T37">
        <v>1</v>
      </c>
      <c r="U37" s="1" t="s">
        <v>751</v>
      </c>
      <c r="V37" s="1"/>
      <c r="W37">
        <v>9950.1427800000001</v>
      </c>
      <c r="X37">
        <v>0</v>
      </c>
      <c r="Y37">
        <v>58291</v>
      </c>
    </row>
    <row r="38" spans="1:25" ht="15" hidden="1" customHeight="1" x14ac:dyDescent="0.25">
      <c r="A38" s="1" t="s">
        <v>24</v>
      </c>
      <c r="B38" s="1" t="s">
        <v>43</v>
      </c>
      <c r="C38" s="1" t="s">
        <v>98</v>
      </c>
      <c r="D38">
        <v>5484</v>
      </c>
      <c r="E38" s="1"/>
      <c r="F38" s="1" t="s">
        <v>246</v>
      </c>
      <c r="G38" s="1" t="s">
        <v>98</v>
      </c>
      <c r="H38" s="1" t="s">
        <v>1396</v>
      </c>
      <c r="I38">
        <v>2014</v>
      </c>
      <c r="J38" s="93">
        <v>146115.82999999999</v>
      </c>
      <c r="K38">
        <v>12</v>
      </c>
      <c r="L38" s="1"/>
      <c r="M38">
        <v>0</v>
      </c>
      <c r="N38">
        <v>5672</v>
      </c>
      <c r="O38">
        <v>25.760446000000002</v>
      </c>
      <c r="P38">
        <v>1</v>
      </c>
      <c r="Q38" s="1" t="s">
        <v>563</v>
      </c>
      <c r="R38" s="93">
        <v>181994.9</v>
      </c>
      <c r="S38">
        <v>412984.7</v>
      </c>
      <c r="T38">
        <v>1</v>
      </c>
      <c r="U38" s="1" t="s">
        <v>752</v>
      </c>
      <c r="V38" s="1"/>
      <c r="W38">
        <v>4187.8999999999996</v>
      </c>
      <c r="X38">
        <v>0</v>
      </c>
      <c r="Y38">
        <v>58292</v>
      </c>
    </row>
    <row r="39" spans="1:25" ht="15" hidden="1" customHeight="1" x14ac:dyDescent="0.25">
      <c r="A39" s="1" t="s">
        <v>24</v>
      </c>
      <c r="B39" s="1" t="s">
        <v>43</v>
      </c>
      <c r="C39" s="1" t="s">
        <v>98</v>
      </c>
      <c r="D39">
        <v>5484</v>
      </c>
      <c r="E39" s="1"/>
      <c r="F39" s="1" t="s">
        <v>246</v>
      </c>
      <c r="G39" s="1" t="s">
        <v>98</v>
      </c>
      <c r="H39" s="1" t="s">
        <v>1405</v>
      </c>
      <c r="I39">
        <v>2015</v>
      </c>
      <c r="J39" s="93">
        <v>259544</v>
      </c>
      <c r="K39">
        <v>5</v>
      </c>
      <c r="L39" s="1"/>
      <c r="M39">
        <v>0</v>
      </c>
      <c r="N39">
        <v>5672</v>
      </c>
      <c r="O39">
        <v>27.169830999999999</v>
      </c>
      <c r="P39">
        <v>1</v>
      </c>
      <c r="Q39" s="1" t="s">
        <v>562</v>
      </c>
      <c r="R39" s="93">
        <v>300746</v>
      </c>
      <c r="S39">
        <v>32383831.899999999</v>
      </c>
      <c r="T39">
        <v>0</v>
      </c>
      <c r="U39" s="1" t="s">
        <v>750</v>
      </c>
      <c r="V39" s="1"/>
      <c r="W39">
        <v>154110</v>
      </c>
      <c r="X39">
        <v>0</v>
      </c>
      <c r="Y39">
        <v>57974</v>
      </c>
    </row>
    <row r="40" spans="1:25" ht="15" hidden="1" customHeight="1" x14ac:dyDescent="0.25">
      <c r="A40" s="1" t="s">
        <v>24</v>
      </c>
      <c r="B40" s="1" t="s">
        <v>43</v>
      </c>
      <c r="C40" s="1" t="s">
        <v>98</v>
      </c>
      <c r="D40">
        <v>5484</v>
      </c>
      <c r="E40" s="1"/>
      <c r="F40" s="1" t="s">
        <v>246</v>
      </c>
      <c r="G40" s="1" t="s">
        <v>98</v>
      </c>
      <c r="H40" s="1" t="s">
        <v>1396</v>
      </c>
      <c r="I40">
        <v>2015</v>
      </c>
      <c r="J40" s="93">
        <v>937124.44</v>
      </c>
      <c r="K40">
        <v>5</v>
      </c>
      <c r="L40" s="1"/>
      <c r="M40">
        <v>0</v>
      </c>
      <c r="N40">
        <v>5672</v>
      </c>
      <c r="O40">
        <v>165.216487</v>
      </c>
      <c r="P40">
        <v>1</v>
      </c>
      <c r="Q40" s="1" t="s">
        <v>563</v>
      </c>
      <c r="R40" s="93">
        <v>1058175.3</v>
      </c>
      <c r="S40">
        <v>5610846.3899999997</v>
      </c>
      <c r="T40">
        <v>1</v>
      </c>
      <c r="U40" s="1" t="s">
        <v>751</v>
      </c>
      <c r="V40" s="1"/>
      <c r="W40">
        <v>26859.399000000001</v>
      </c>
      <c r="X40">
        <v>0</v>
      </c>
      <c r="Y40">
        <v>58291</v>
      </c>
    </row>
    <row r="41" spans="1:25" ht="15" hidden="1" customHeight="1" x14ac:dyDescent="0.25">
      <c r="A41" s="1" t="s">
        <v>24</v>
      </c>
      <c r="B41" s="1" t="s">
        <v>43</v>
      </c>
      <c r="C41" s="1" t="s">
        <v>98</v>
      </c>
      <c r="D41">
        <v>5484</v>
      </c>
      <c r="E41" s="1"/>
      <c r="F41" s="1" t="s">
        <v>246</v>
      </c>
      <c r="G41" s="1" t="s">
        <v>98</v>
      </c>
      <c r="H41" s="1" t="s">
        <v>1405</v>
      </c>
      <c r="I41">
        <v>2015</v>
      </c>
      <c r="J41" s="93">
        <v>0</v>
      </c>
      <c r="K41">
        <v>5</v>
      </c>
      <c r="L41" s="1" t="s">
        <v>393</v>
      </c>
      <c r="M41">
        <v>0</v>
      </c>
      <c r="N41">
        <v>5672</v>
      </c>
      <c r="O41">
        <v>0</v>
      </c>
      <c r="P41">
        <v>1</v>
      </c>
      <c r="Q41" s="1" t="s">
        <v>562</v>
      </c>
      <c r="R41" s="93">
        <v>0</v>
      </c>
      <c r="S41">
        <v>0</v>
      </c>
      <c r="T41">
        <v>0</v>
      </c>
      <c r="U41" s="1" t="s">
        <v>752</v>
      </c>
      <c r="V41" s="1"/>
      <c r="W41">
        <v>0</v>
      </c>
      <c r="X41">
        <v>0</v>
      </c>
      <c r="Y41">
        <v>57962</v>
      </c>
    </row>
    <row r="42" spans="1:25" ht="15" hidden="1" customHeight="1" x14ac:dyDescent="0.25">
      <c r="A42" s="1" t="s">
        <v>24</v>
      </c>
      <c r="B42" s="1" t="s">
        <v>43</v>
      </c>
      <c r="C42" s="1" t="s">
        <v>98</v>
      </c>
      <c r="D42">
        <v>5484</v>
      </c>
      <c r="E42" s="1"/>
      <c r="F42" s="1" t="s">
        <v>246</v>
      </c>
      <c r="G42" s="1" t="s">
        <v>98</v>
      </c>
      <c r="H42" s="1" t="s">
        <v>1396</v>
      </c>
      <c r="I42">
        <v>2015</v>
      </c>
      <c r="J42" s="93">
        <v>0</v>
      </c>
      <c r="K42">
        <v>5</v>
      </c>
      <c r="L42" s="1"/>
      <c r="M42">
        <v>0</v>
      </c>
      <c r="N42">
        <v>5672</v>
      </c>
      <c r="O42">
        <v>0</v>
      </c>
      <c r="P42">
        <v>1</v>
      </c>
      <c r="Q42" s="1" t="s">
        <v>563</v>
      </c>
      <c r="R42" s="93">
        <v>0</v>
      </c>
      <c r="S42">
        <v>0</v>
      </c>
      <c r="T42">
        <v>1</v>
      </c>
      <c r="U42" s="1" t="s">
        <v>752</v>
      </c>
      <c r="V42" s="1"/>
      <c r="W42">
        <v>0</v>
      </c>
      <c r="X42">
        <v>0</v>
      </c>
      <c r="Y42">
        <v>58292</v>
      </c>
    </row>
    <row r="43" spans="1:25" ht="15" hidden="1" customHeight="1" x14ac:dyDescent="0.25">
      <c r="A43" s="1" t="s">
        <v>24</v>
      </c>
      <c r="B43" s="1" t="s">
        <v>43</v>
      </c>
      <c r="C43" s="1" t="s">
        <v>98</v>
      </c>
      <c r="D43">
        <v>5484</v>
      </c>
      <c r="E43" s="1"/>
      <c r="F43" s="1" t="s">
        <v>246</v>
      </c>
      <c r="G43" s="1" t="s">
        <v>98</v>
      </c>
      <c r="H43" s="1" t="s">
        <v>1405</v>
      </c>
      <c r="I43">
        <v>2013</v>
      </c>
      <c r="J43" s="93">
        <v>220880</v>
      </c>
      <c r="K43">
        <v>12</v>
      </c>
      <c r="L43" s="1" t="s">
        <v>393</v>
      </c>
      <c r="M43">
        <v>0</v>
      </c>
      <c r="N43">
        <v>5672</v>
      </c>
      <c r="O43">
        <v>38.941485</v>
      </c>
      <c r="P43">
        <v>1</v>
      </c>
      <c r="Q43" s="1" t="s">
        <v>562</v>
      </c>
      <c r="R43" s="93">
        <v>231011.99</v>
      </c>
      <c r="S43">
        <v>42737.22</v>
      </c>
      <c r="T43">
        <v>0</v>
      </c>
      <c r="U43" s="1" t="s">
        <v>752</v>
      </c>
      <c r="V43" s="1"/>
      <c r="W43">
        <v>220880</v>
      </c>
      <c r="X43">
        <v>0</v>
      </c>
      <c r="Y43">
        <v>57962</v>
      </c>
    </row>
    <row r="44" spans="1:25" ht="15" hidden="1" customHeight="1" x14ac:dyDescent="0.25">
      <c r="A44" s="1" t="s">
        <v>24</v>
      </c>
      <c r="B44" s="1" t="s">
        <v>43</v>
      </c>
      <c r="C44" s="1" t="s">
        <v>98</v>
      </c>
      <c r="D44">
        <v>5484</v>
      </c>
      <c r="E44" s="1"/>
      <c r="F44" s="1" t="s">
        <v>246</v>
      </c>
      <c r="G44" s="1" t="s">
        <v>98</v>
      </c>
      <c r="H44" s="1" t="s">
        <v>1405</v>
      </c>
      <c r="I44">
        <v>2013</v>
      </c>
      <c r="J44" s="93">
        <v>242885</v>
      </c>
      <c r="K44">
        <v>12</v>
      </c>
      <c r="L44" s="1"/>
      <c r="M44">
        <v>0</v>
      </c>
      <c r="N44">
        <v>5672</v>
      </c>
      <c r="O44">
        <v>42.821001000000003</v>
      </c>
      <c r="P44">
        <v>1</v>
      </c>
      <c r="Q44" s="1" t="s">
        <v>562</v>
      </c>
      <c r="R44" s="93">
        <v>256615.88</v>
      </c>
      <c r="S44">
        <v>47473.93</v>
      </c>
      <c r="T44">
        <v>0</v>
      </c>
      <c r="U44" s="1" t="s">
        <v>750</v>
      </c>
      <c r="V44" s="1"/>
      <c r="W44">
        <v>242885</v>
      </c>
      <c r="X44">
        <v>0</v>
      </c>
      <c r="Y44">
        <v>57974</v>
      </c>
    </row>
    <row r="45" spans="1:25" ht="15" hidden="1" customHeight="1" x14ac:dyDescent="0.25">
      <c r="A45" s="1" t="s">
        <v>24</v>
      </c>
      <c r="B45" s="1" t="s">
        <v>43</v>
      </c>
      <c r="C45" s="1" t="s">
        <v>98</v>
      </c>
      <c r="D45">
        <v>5484</v>
      </c>
      <c r="E45" s="1"/>
      <c r="F45" s="1" t="s">
        <v>246</v>
      </c>
      <c r="G45" s="1" t="s">
        <v>98</v>
      </c>
      <c r="H45" s="1" t="s">
        <v>1396</v>
      </c>
      <c r="I45">
        <v>2013</v>
      </c>
      <c r="J45" s="93">
        <v>259402.44</v>
      </c>
      <c r="K45">
        <v>12</v>
      </c>
      <c r="L45" s="1"/>
      <c r="M45">
        <v>0</v>
      </c>
      <c r="N45">
        <v>5672</v>
      </c>
      <c r="O45">
        <v>45.733051000000003</v>
      </c>
      <c r="P45">
        <v>1</v>
      </c>
      <c r="Q45" s="1" t="s">
        <v>563</v>
      </c>
      <c r="R45" s="93">
        <v>283541.88</v>
      </c>
      <c r="S45">
        <v>1503.44</v>
      </c>
      <c r="T45">
        <v>1</v>
      </c>
      <c r="U45" s="1" t="s">
        <v>751</v>
      </c>
      <c r="V45" s="1"/>
      <c r="W45">
        <v>7434.8649999999998</v>
      </c>
      <c r="X45">
        <v>0</v>
      </c>
      <c r="Y45">
        <v>58291</v>
      </c>
    </row>
    <row r="46" spans="1:25" ht="15" hidden="1" customHeight="1" x14ac:dyDescent="0.25">
      <c r="A46" s="1" t="s">
        <v>24</v>
      </c>
      <c r="B46" s="1" t="s">
        <v>43</v>
      </c>
      <c r="C46" s="1" t="s">
        <v>98</v>
      </c>
      <c r="D46">
        <v>5484</v>
      </c>
      <c r="E46" s="1"/>
      <c r="F46" s="1" t="s">
        <v>246</v>
      </c>
      <c r="G46" s="1" t="s">
        <v>98</v>
      </c>
      <c r="H46" s="1" t="s">
        <v>1396</v>
      </c>
      <c r="I46">
        <v>2013</v>
      </c>
      <c r="J46" s="93">
        <v>174533.75</v>
      </c>
      <c r="K46">
        <v>12</v>
      </c>
      <c r="L46" s="1"/>
      <c r="M46">
        <v>0</v>
      </c>
      <c r="N46">
        <v>5672</v>
      </c>
      <c r="O46">
        <v>30.770568999999998</v>
      </c>
      <c r="P46">
        <v>1</v>
      </c>
      <c r="Q46" s="1" t="s">
        <v>563</v>
      </c>
      <c r="R46" s="93">
        <v>188240.01</v>
      </c>
      <c r="S46">
        <v>998.12</v>
      </c>
      <c r="T46">
        <v>1</v>
      </c>
      <c r="U46" s="1" t="s">
        <v>752</v>
      </c>
      <c r="V46" s="1"/>
      <c r="W46">
        <v>5002.3999999999996</v>
      </c>
      <c r="X46">
        <v>0</v>
      </c>
      <c r="Y46">
        <v>58292</v>
      </c>
    </row>
    <row r="47" spans="1:25" ht="15" hidden="1" customHeight="1" x14ac:dyDescent="0.25">
      <c r="A47" s="1" t="s">
        <v>24</v>
      </c>
      <c r="B47" s="1" t="s">
        <v>43</v>
      </c>
      <c r="C47" s="1" t="s">
        <v>98</v>
      </c>
      <c r="D47">
        <v>5484</v>
      </c>
      <c r="E47" s="1"/>
      <c r="F47" s="1" t="s">
        <v>246</v>
      </c>
      <c r="G47" s="1" t="s">
        <v>98</v>
      </c>
      <c r="H47" s="1" t="s">
        <v>1405</v>
      </c>
      <c r="I47">
        <v>2012</v>
      </c>
      <c r="J47" s="93">
        <v>219560</v>
      </c>
      <c r="K47">
        <v>12</v>
      </c>
      <c r="L47" s="1" t="s">
        <v>393</v>
      </c>
      <c r="M47">
        <v>0</v>
      </c>
      <c r="N47">
        <v>5672</v>
      </c>
      <c r="O47">
        <v>38.708767000000002</v>
      </c>
      <c r="P47">
        <v>1</v>
      </c>
      <c r="Q47" s="1" t="s">
        <v>562</v>
      </c>
      <c r="R47" s="93">
        <v>230879.31</v>
      </c>
      <c r="S47">
        <v>42712.68</v>
      </c>
      <c r="T47">
        <v>0</v>
      </c>
      <c r="U47" s="1" t="s">
        <v>752</v>
      </c>
      <c r="V47" s="1"/>
      <c r="W47">
        <v>219560</v>
      </c>
      <c r="X47">
        <v>0</v>
      </c>
      <c r="Y47">
        <v>57962</v>
      </c>
    </row>
    <row r="48" spans="1:25" ht="15" hidden="1" customHeight="1" x14ac:dyDescent="0.25">
      <c r="A48" s="1" t="s">
        <v>24</v>
      </c>
      <c r="B48" s="1" t="s">
        <v>43</v>
      </c>
      <c r="C48" s="1" t="s">
        <v>98</v>
      </c>
      <c r="D48">
        <v>5484</v>
      </c>
      <c r="E48" s="1"/>
      <c r="F48" s="1" t="s">
        <v>246</v>
      </c>
      <c r="G48" s="1" t="s">
        <v>98</v>
      </c>
      <c r="H48" s="1" t="s">
        <v>1396</v>
      </c>
      <c r="I48">
        <v>2012</v>
      </c>
      <c r="J48" s="93">
        <v>176477.12</v>
      </c>
      <c r="K48">
        <v>12</v>
      </c>
      <c r="L48" s="1"/>
      <c r="M48">
        <v>0</v>
      </c>
      <c r="N48">
        <v>5672</v>
      </c>
      <c r="O48">
        <v>31.113188999999998</v>
      </c>
      <c r="P48">
        <v>1</v>
      </c>
      <c r="Q48" s="1" t="s">
        <v>563</v>
      </c>
      <c r="R48" s="93">
        <v>187388.96</v>
      </c>
      <c r="S48">
        <v>993.63</v>
      </c>
      <c r="T48">
        <v>1</v>
      </c>
      <c r="U48" s="1" t="s">
        <v>752</v>
      </c>
      <c r="V48" s="1"/>
      <c r="W48">
        <v>5058.1000000000004</v>
      </c>
      <c r="X48">
        <v>0</v>
      </c>
      <c r="Y48">
        <v>58292</v>
      </c>
    </row>
    <row r="49" spans="1:25" ht="15" hidden="1" customHeight="1" x14ac:dyDescent="0.25">
      <c r="A49" s="1" t="s">
        <v>24</v>
      </c>
      <c r="B49" s="1" t="s">
        <v>43</v>
      </c>
      <c r="C49" s="1" t="s">
        <v>98</v>
      </c>
      <c r="D49">
        <v>5484</v>
      </c>
      <c r="E49" s="1"/>
      <c r="F49" s="1" t="s">
        <v>246</v>
      </c>
      <c r="G49" s="1" t="s">
        <v>98</v>
      </c>
      <c r="H49" s="1" t="s">
        <v>1405</v>
      </c>
      <c r="I49">
        <v>2012</v>
      </c>
      <c r="J49" s="93">
        <v>282805</v>
      </c>
      <c r="K49">
        <v>12</v>
      </c>
      <c r="L49" s="1"/>
      <c r="M49">
        <v>0</v>
      </c>
      <c r="N49">
        <v>5672</v>
      </c>
      <c r="O49">
        <v>49.858958000000001</v>
      </c>
      <c r="P49">
        <v>1</v>
      </c>
      <c r="Q49" s="1" t="s">
        <v>562</v>
      </c>
      <c r="R49" s="93">
        <v>300570.59999999998</v>
      </c>
      <c r="S49">
        <v>55605.57</v>
      </c>
      <c r="T49">
        <v>0</v>
      </c>
      <c r="U49" s="1" t="s">
        <v>750</v>
      </c>
      <c r="V49" s="1"/>
      <c r="W49">
        <v>282805</v>
      </c>
      <c r="X49">
        <v>0</v>
      </c>
      <c r="Y49">
        <v>57974</v>
      </c>
    </row>
    <row r="50" spans="1:25" ht="15" hidden="1" customHeight="1" x14ac:dyDescent="0.25">
      <c r="A50" s="1" t="s">
        <v>24</v>
      </c>
      <c r="B50" s="1" t="s">
        <v>43</v>
      </c>
      <c r="C50" s="1" t="s">
        <v>98</v>
      </c>
      <c r="D50">
        <v>5484</v>
      </c>
      <c r="E50" s="1"/>
      <c r="F50" s="1" t="s">
        <v>246</v>
      </c>
      <c r="G50" s="1" t="s">
        <v>98</v>
      </c>
      <c r="H50" s="1" t="s">
        <v>1396</v>
      </c>
      <c r="I50">
        <v>2012</v>
      </c>
      <c r="J50" s="93">
        <v>263391.78000000003</v>
      </c>
      <c r="K50">
        <v>12</v>
      </c>
      <c r="L50" s="1"/>
      <c r="M50">
        <v>0</v>
      </c>
      <c r="N50">
        <v>5672</v>
      </c>
      <c r="O50">
        <v>46.436377999999998</v>
      </c>
      <c r="P50">
        <v>1</v>
      </c>
      <c r="Q50" s="1" t="s">
        <v>563</v>
      </c>
      <c r="R50" s="93">
        <v>274909.71999999997</v>
      </c>
      <c r="S50">
        <v>1457.68</v>
      </c>
      <c r="T50">
        <v>1</v>
      </c>
      <c r="U50" s="1" t="s">
        <v>751</v>
      </c>
      <c r="V50" s="1"/>
      <c r="W50">
        <v>7549.2049999999999</v>
      </c>
      <c r="X50">
        <v>0</v>
      </c>
      <c r="Y50">
        <v>58291</v>
      </c>
    </row>
    <row r="51" spans="1:25" ht="15" hidden="1" customHeight="1" x14ac:dyDescent="0.25">
      <c r="A51" s="1" t="s">
        <v>24</v>
      </c>
      <c r="B51" s="1" t="s">
        <v>43</v>
      </c>
      <c r="C51" s="1" t="s">
        <v>98</v>
      </c>
      <c r="D51">
        <v>5484</v>
      </c>
      <c r="E51" s="1"/>
      <c r="F51" s="1" t="s">
        <v>246</v>
      </c>
      <c r="G51" s="1" t="s">
        <v>98</v>
      </c>
      <c r="H51" s="1" t="s">
        <v>1405</v>
      </c>
      <c r="I51">
        <v>2011</v>
      </c>
      <c r="J51" s="93">
        <v>222130</v>
      </c>
      <c r="K51">
        <v>12</v>
      </c>
      <c r="L51" s="1" t="s">
        <v>393</v>
      </c>
      <c r="M51">
        <v>0</v>
      </c>
      <c r="N51">
        <v>5672</v>
      </c>
      <c r="O51">
        <v>39.161861999999999</v>
      </c>
      <c r="P51">
        <v>1</v>
      </c>
      <c r="Q51" s="1" t="s">
        <v>562</v>
      </c>
      <c r="R51" s="93">
        <v>240825.91</v>
      </c>
      <c r="S51">
        <v>44552.800000000003</v>
      </c>
      <c r="T51">
        <v>0</v>
      </c>
      <c r="U51" s="1" t="s">
        <v>752</v>
      </c>
      <c r="V51" s="1"/>
      <c r="W51">
        <v>222129.99799999999</v>
      </c>
      <c r="X51">
        <v>0</v>
      </c>
      <c r="Y51">
        <v>57962</v>
      </c>
    </row>
    <row r="52" spans="1:25" ht="15" hidden="1" customHeight="1" x14ac:dyDescent="0.25">
      <c r="A52" s="1" t="s">
        <v>24</v>
      </c>
      <c r="B52" s="1" t="s">
        <v>43</v>
      </c>
      <c r="C52" s="1" t="s">
        <v>98</v>
      </c>
      <c r="D52">
        <v>5484</v>
      </c>
      <c r="E52" s="1"/>
      <c r="F52" s="1" t="s">
        <v>246</v>
      </c>
      <c r="G52" s="1" t="s">
        <v>98</v>
      </c>
      <c r="H52" s="1" t="s">
        <v>1396</v>
      </c>
      <c r="I52">
        <v>2011</v>
      </c>
      <c r="J52" s="93">
        <v>180796.48</v>
      </c>
      <c r="K52">
        <v>12</v>
      </c>
      <c r="L52" s="1"/>
      <c r="M52">
        <v>0</v>
      </c>
      <c r="N52">
        <v>5672</v>
      </c>
      <c r="O52">
        <v>31.874697999999999</v>
      </c>
      <c r="P52">
        <v>1</v>
      </c>
      <c r="Q52" s="1" t="s">
        <v>563</v>
      </c>
      <c r="R52" s="93">
        <v>199266.76</v>
      </c>
      <c r="S52">
        <v>1056.5899999999999</v>
      </c>
      <c r="T52">
        <v>1</v>
      </c>
      <c r="U52" s="1" t="s">
        <v>752</v>
      </c>
      <c r="V52" s="1"/>
      <c r="W52">
        <v>5181.8999000000003</v>
      </c>
      <c r="X52">
        <v>0</v>
      </c>
      <c r="Y52">
        <v>58292</v>
      </c>
    </row>
    <row r="53" spans="1:25" ht="15" hidden="1" customHeight="1" x14ac:dyDescent="0.25">
      <c r="A53" s="1" t="s">
        <v>24</v>
      </c>
      <c r="B53" s="1" t="s">
        <v>43</v>
      </c>
      <c r="C53" s="1" t="s">
        <v>98</v>
      </c>
      <c r="D53">
        <v>5484</v>
      </c>
      <c r="E53" s="1"/>
      <c r="F53" s="1" t="s">
        <v>246</v>
      </c>
      <c r="G53" s="1" t="s">
        <v>98</v>
      </c>
      <c r="H53" s="1" t="s">
        <v>1405</v>
      </c>
      <c r="I53">
        <v>2011</v>
      </c>
      <c r="J53" s="93">
        <v>243850</v>
      </c>
      <c r="K53">
        <v>12</v>
      </c>
      <c r="L53" s="1"/>
      <c r="M53">
        <v>0</v>
      </c>
      <c r="N53">
        <v>5672</v>
      </c>
      <c r="O53">
        <v>42.991132</v>
      </c>
      <c r="P53">
        <v>1</v>
      </c>
      <c r="Q53" s="1" t="s">
        <v>562</v>
      </c>
      <c r="R53" s="93">
        <v>268605.53999999998</v>
      </c>
      <c r="S53">
        <v>49692.04</v>
      </c>
      <c r="T53">
        <v>0</v>
      </c>
      <c r="U53" s="1" t="s">
        <v>750</v>
      </c>
      <c r="V53" s="1"/>
      <c r="W53">
        <v>243850.008</v>
      </c>
      <c r="X53">
        <v>0</v>
      </c>
      <c r="Y53">
        <v>57974</v>
      </c>
    </row>
    <row r="54" spans="1:25" ht="15" hidden="1" customHeight="1" x14ac:dyDescent="0.25">
      <c r="A54" s="1" t="s">
        <v>24</v>
      </c>
      <c r="B54" s="1" t="s">
        <v>43</v>
      </c>
      <c r="C54" s="1" t="s">
        <v>98</v>
      </c>
      <c r="D54">
        <v>5484</v>
      </c>
      <c r="E54" s="1"/>
      <c r="F54" s="1" t="s">
        <v>246</v>
      </c>
      <c r="G54" s="1" t="s">
        <v>98</v>
      </c>
      <c r="H54" s="1" t="s">
        <v>1396</v>
      </c>
      <c r="I54">
        <v>2011</v>
      </c>
      <c r="J54" s="93">
        <v>384793.44</v>
      </c>
      <c r="K54">
        <v>12</v>
      </c>
      <c r="L54" s="1"/>
      <c r="M54">
        <v>0</v>
      </c>
      <c r="N54">
        <v>5672</v>
      </c>
      <c r="O54">
        <v>67.839678000000006</v>
      </c>
      <c r="P54">
        <v>1</v>
      </c>
      <c r="Q54" s="1" t="s">
        <v>563</v>
      </c>
      <c r="R54" s="93">
        <v>454030.18</v>
      </c>
      <c r="S54">
        <v>2407.44</v>
      </c>
      <c r="T54">
        <v>1</v>
      </c>
      <c r="U54" s="1" t="s">
        <v>751</v>
      </c>
      <c r="V54" s="1"/>
      <c r="W54">
        <v>11028.76</v>
      </c>
      <c r="X54">
        <v>0</v>
      </c>
      <c r="Y54">
        <v>58291</v>
      </c>
    </row>
    <row r="55" spans="1:25" ht="15" hidden="1" customHeight="1" x14ac:dyDescent="0.25">
      <c r="A55" s="1" t="s">
        <v>24</v>
      </c>
      <c r="B55" s="1" t="s">
        <v>43</v>
      </c>
      <c r="C55" s="1" t="s">
        <v>98</v>
      </c>
      <c r="D55">
        <v>5484</v>
      </c>
      <c r="E55" s="1"/>
      <c r="F55" s="1" t="s">
        <v>246</v>
      </c>
      <c r="G55" s="1" t="s">
        <v>98</v>
      </c>
      <c r="H55" s="1" t="s">
        <v>1405</v>
      </c>
      <c r="I55">
        <v>2010</v>
      </c>
      <c r="J55" s="93">
        <v>305760</v>
      </c>
      <c r="K55">
        <v>12</v>
      </c>
      <c r="L55" s="1" t="s">
        <v>393</v>
      </c>
      <c r="M55">
        <v>0</v>
      </c>
      <c r="N55">
        <v>5672</v>
      </c>
      <c r="O55">
        <v>53.90596</v>
      </c>
      <c r="P55">
        <v>1</v>
      </c>
      <c r="Q55" s="1" t="s">
        <v>562</v>
      </c>
      <c r="R55" s="93">
        <v>278355.18</v>
      </c>
      <c r="S55">
        <v>51495.7</v>
      </c>
      <c r="T55">
        <v>0</v>
      </c>
      <c r="U55" s="1" t="s">
        <v>752</v>
      </c>
      <c r="V55" s="1"/>
      <c r="W55">
        <v>305760</v>
      </c>
      <c r="X55">
        <v>0</v>
      </c>
      <c r="Y55">
        <v>57962</v>
      </c>
    </row>
    <row r="56" spans="1:25" ht="15" hidden="1" customHeight="1" x14ac:dyDescent="0.25">
      <c r="A56" s="1" t="s">
        <v>24</v>
      </c>
      <c r="B56" s="1" t="s">
        <v>43</v>
      </c>
      <c r="C56" s="1" t="s">
        <v>98</v>
      </c>
      <c r="D56">
        <v>5484</v>
      </c>
      <c r="E56" s="1"/>
      <c r="F56" s="1" t="s">
        <v>246</v>
      </c>
      <c r="G56" s="1" t="s">
        <v>98</v>
      </c>
      <c r="H56" s="1" t="s">
        <v>1396</v>
      </c>
      <c r="I56">
        <v>2010</v>
      </c>
      <c r="J56" s="93">
        <v>243532.21</v>
      </c>
      <c r="K56">
        <v>12</v>
      </c>
      <c r="L56" s="1"/>
      <c r="M56">
        <v>0</v>
      </c>
      <c r="N56">
        <v>5672</v>
      </c>
      <c r="O56">
        <v>42.935105</v>
      </c>
      <c r="P56">
        <v>1</v>
      </c>
      <c r="Q56" s="1" t="s">
        <v>563</v>
      </c>
      <c r="R56" s="93">
        <v>220068.5</v>
      </c>
      <c r="S56">
        <v>1166.8900000000001</v>
      </c>
      <c r="T56">
        <v>1</v>
      </c>
      <c r="U56" s="1" t="s">
        <v>752</v>
      </c>
      <c r="V56" s="1"/>
      <c r="W56">
        <v>6980.0006000000003</v>
      </c>
      <c r="X56">
        <v>0</v>
      </c>
      <c r="Y56">
        <v>58292</v>
      </c>
    </row>
    <row r="57" spans="1:25" ht="15" hidden="1" customHeight="1" x14ac:dyDescent="0.25">
      <c r="A57" s="1" t="s">
        <v>24</v>
      </c>
      <c r="B57" s="1" t="s">
        <v>43</v>
      </c>
      <c r="C57" s="1" t="s">
        <v>98</v>
      </c>
      <c r="D57">
        <v>5484</v>
      </c>
      <c r="E57" s="1"/>
      <c r="F57" s="1" t="s">
        <v>246</v>
      </c>
      <c r="G57" s="1" t="s">
        <v>98</v>
      </c>
      <c r="H57" s="1" t="s">
        <v>1405</v>
      </c>
      <c r="I57">
        <v>2010</v>
      </c>
      <c r="J57" s="93">
        <v>258639.99</v>
      </c>
      <c r="K57">
        <v>12</v>
      </c>
      <c r="L57" s="1"/>
      <c r="M57">
        <v>0</v>
      </c>
      <c r="N57">
        <v>5672</v>
      </c>
      <c r="O57">
        <v>45.59863</v>
      </c>
      <c r="P57">
        <v>1</v>
      </c>
      <c r="Q57" s="1" t="s">
        <v>562</v>
      </c>
      <c r="R57" s="93">
        <v>233724.53</v>
      </c>
      <c r="S57">
        <v>43239.05</v>
      </c>
      <c r="T57">
        <v>0</v>
      </c>
      <c r="U57" s="1" t="s">
        <v>750</v>
      </c>
      <c r="V57" s="1"/>
      <c r="W57">
        <v>258639.99</v>
      </c>
      <c r="X57">
        <v>0</v>
      </c>
      <c r="Y57">
        <v>57974</v>
      </c>
    </row>
    <row r="58" spans="1:25" ht="15" hidden="1" customHeight="1" x14ac:dyDescent="0.25">
      <c r="A58" s="1" t="s">
        <v>24</v>
      </c>
      <c r="B58" s="1" t="s">
        <v>43</v>
      </c>
      <c r="C58" s="1" t="s">
        <v>98</v>
      </c>
      <c r="D58">
        <v>5484</v>
      </c>
      <c r="E58" s="1"/>
      <c r="F58" s="1" t="s">
        <v>246</v>
      </c>
      <c r="G58" s="1" t="s">
        <v>98</v>
      </c>
      <c r="H58" s="1" t="s">
        <v>1396</v>
      </c>
      <c r="I58">
        <v>2010</v>
      </c>
      <c r="J58" s="93">
        <v>408333.72</v>
      </c>
      <c r="K58">
        <v>12</v>
      </c>
      <c r="L58" s="1"/>
      <c r="M58">
        <v>0</v>
      </c>
      <c r="N58">
        <v>5672</v>
      </c>
      <c r="O58">
        <v>71.989866000000006</v>
      </c>
      <c r="P58">
        <v>1</v>
      </c>
      <c r="Q58" s="1" t="s">
        <v>563</v>
      </c>
      <c r="R58" s="93">
        <v>411787.28</v>
      </c>
      <c r="S58">
        <v>2183.46</v>
      </c>
      <c r="T58">
        <v>1</v>
      </c>
      <c r="U58" s="1" t="s">
        <v>751</v>
      </c>
      <c r="V58" s="1"/>
      <c r="W58">
        <v>11703.46</v>
      </c>
      <c r="X58">
        <v>0</v>
      </c>
      <c r="Y58">
        <v>58291</v>
      </c>
    </row>
    <row r="59" spans="1:25" ht="15" hidden="1" customHeight="1" x14ac:dyDescent="0.25">
      <c r="A59" s="1" t="s">
        <v>24</v>
      </c>
      <c r="B59" s="1" t="s">
        <v>43</v>
      </c>
      <c r="C59" s="1" t="s">
        <v>98</v>
      </c>
      <c r="D59">
        <v>5484</v>
      </c>
      <c r="E59" s="1"/>
      <c r="F59" s="1" t="s">
        <v>246</v>
      </c>
      <c r="G59" s="1" t="s">
        <v>98</v>
      </c>
      <c r="H59" s="1" t="s">
        <v>1405</v>
      </c>
      <c r="I59">
        <v>2009</v>
      </c>
      <c r="J59" s="93">
        <v>168781.01</v>
      </c>
      <c r="K59">
        <v>12</v>
      </c>
      <c r="L59" s="1" t="s">
        <v>393</v>
      </c>
      <c r="M59">
        <v>0</v>
      </c>
      <c r="N59">
        <v>5672</v>
      </c>
      <c r="O59">
        <v>29.756353000000001</v>
      </c>
      <c r="P59">
        <v>1</v>
      </c>
      <c r="Q59" s="1" t="s">
        <v>562</v>
      </c>
      <c r="R59" s="93">
        <v>179516.26</v>
      </c>
      <c r="S59">
        <v>33210.51</v>
      </c>
      <c r="T59">
        <v>0</v>
      </c>
      <c r="U59" s="1" t="s">
        <v>752</v>
      </c>
      <c r="V59" s="1"/>
      <c r="W59">
        <v>168781.01</v>
      </c>
      <c r="X59">
        <v>0</v>
      </c>
      <c r="Y59">
        <v>57962</v>
      </c>
    </row>
    <row r="60" spans="1:25" ht="15" hidden="1" customHeight="1" x14ac:dyDescent="0.25">
      <c r="A60" s="1" t="s">
        <v>24</v>
      </c>
      <c r="B60" s="1" t="s">
        <v>43</v>
      </c>
      <c r="C60" s="1" t="s">
        <v>98</v>
      </c>
      <c r="D60">
        <v>5484</v>
      </c>
      <c r="E60" s="1"/>
      <c r="F60" s="1" t="s">
        <v>246</v>
      </c>
      <c r="G60" s="1" t="s">
        <v>98</v>
      </c>
      <c r="H60" s="1" t="s">
        <v>1405</v>
      </c>
      <c r="I60">
        <v>2009</v>
      </c>
      <c r="J60" s="93">
        <v>214100</v>
      </c>
      <c r="K60">
        <v>12</v>
      </c>
      <c r="L60" s="1"/>
      <c r="M60">
        <v>0</v>
      </c>
      <c r="N60">
        <v>5672</v>
      </c>
      <c r="O60">
        <v>37.746161000000001</v>
      </c>
      <c r="P60">
        <v>1</v>
      </c>
      <c r="Q60" s="1" t="s">
        <v>562</v>
      </c>
      <c r="R60" s="93">
        <v>228968.55</v>
      </c>
      <c r="S60">
        <v>42359.18</v>
      </c>
      <c r="T60">
        <v>0</v>
      </c>
      <c r="U60" s="1" t="s">
        <v>750</v>
      </c>
      <c r="V60" s="1"/>
      <c r="W60">
        <v>214100</v>
      </c>
      <c r="X60">
        <v>0</v>
      </c>
      <c r="Y60">
        <v>57974</v>
      </c>
    </row>
    <row r="61" spans="1:25" ht="15" hidden="1" customHeight="1" x14ac:dyDescent="0.25">
      <c r="A61" s="1" t="s">
        <v>24</v>
      </c>
      <c r="B61" s="1" t="s">
        <v>43</v>
      </c>
      <c r="C61" s="1" t="s">
        <v>98</v>
      </c>
      <c r="D61">
        <v>5484</v>
      </c>
      <c r="E61" s="1"/>
      <c r="F61" s="1" t="s">
        <v>246</v>
      </c>
      <c r="G61" s="1" t="s">
        <v>98</v>
      </c>
      <c r="H61" s="1" t="s">
        <v>1396</v>
      </c>
      <c r="I61">
        <v>2009</v>
      </c>
      <c r="J61" s="93">
        <v>386833.46</v>
      </c>
      <c r="K61">
        <v>12</v>
      </c>
      <c r="L61" s="1"/>
      <c r="M61">
        <v>0</v>
      </c>
      <c r="N61">
        <v>5672</v>
      </c>
      <c r="O61">
        <v>68.199337</v>
      </c>
      <c r="P61">
        <v>1</v>
      </c>
      <c r="Q61" s="1" t="s">
        <v>563</v>
      </c>
      <c r="R61" s="93">
        <v>497315.52</v>
      </c>
      <c r="S61">
        <v>2636.96</v>
      </c>
      <c r="T61">
        <v>1</v>
      </c>
      <c r="U61" s="1" t="s">
        <v>751</v>
      </c>
      <c r="V61" s="1"/>
      <c r="W61">
        <v>11087.23</v>
      </c>
      <c r="X61">
        <v>0</v>
      </c>
      <c r="Y61">
        <v>58291</v>
      </c>
    </row>
    <row r="62" spans="1:25" ht="15" hidden="1" customHeight="1" x14ac:dyDescent="0.25">
      <c r="A62" s="1" t="s">
        <v>24</v>
      </c>
      <c r="B62" s="1" t="s">
        <v>43</v>
      </c>
      <c r="C62" s="1" t="s">
        <v>98</v>
      </c>
      <c r="D62">
        <v>5484</v>
      </c>
      <c r="E62" s="1"/>
      <c r="F62" s="1" t="s">
        <v>246</v>
      </c>
      <c r="G62" s="1" t="s">
        <v>98</v>
      </c>
      <c r="H62" s="1" t="s">
        <v>1396</v>
      </c>
      <c r="I62">
        <v>2009</v>
      </c>
      <c r="J62" s="93">
        <v>135017.10999999999</v>
      </c>
      <c r="K62">
        <v>12</v>
      </c>
      <c r="L62" s="1"/>
      <c r="M62">
        <v>0</v>
      </c>
      <c r="N62">
        <v>5672</v>
      </c>
      <c r="O62">
        <v>23.803725</v>
      </c>
      <c r="P62">
        <v>1</v>
      </c>
      <c r="Q62" s="1" t="s">
        <v>563</v>
      </c>
      <c r="R62" s="93">
        <v>150076.88</v>
      </c>
      <c r="S62">
        <v>795.77</v>
      </c>
      <c r="T62">
        <v>1</v>
      </c>
      <c r="U62" s="1" t="s">
        <v>752</v>
      </c>
      <c r="V62" s="1"/>
      <c r="W62">
        <v>3869.7935000000002</v>
      </c>
      <c r="X62">
        <v>0</v>
      </c>
      <c r="Y62">
        <v>58292</v>
      </c>
    </row>
    <row r="63" spans="1:25" ht="15" hidden="1" customHeight="1" x14ac:dyDescent="0.25">
      <c r="A63" s="1" t="s">
        <v>24</v>
      </c>
      <c r="B63" s="1" t="s">
        <v>43</v>
      </c>
      <c r="C63" s="1" t="s">
        <v>98</v>
      </c>
      <c r="D63">
        <v>5484</v>
      </c>
      <c r="E63" s="1"/>
      <c r="F63" s="1" t="s">
        <v>246</v>
      </c>
      <c r="G63" s="1" t="s">
        <v>98</v>
      </c>
      <c r="H63" s="1" t="s">
        <v>1405</v>
      </c>
      <c r="I63">
        <v>2008</v>
      </c>
      <c r="J63" s="93">
        <v>260588.98</v>
      </c>
      <c r="K63">
        <v>12</v>
      </c>
      <c r="L63" s="1" t="s">
        <v>393</v>
      </c>
      <c r="M63">
        <v>0</v>
      </c>
      <c r="N63">
        <v>5672</v>
      </c>
      <c r="O63">
        <v>45.942239999999998</v>
      </c>
      <c r="P63">
        <v>1</v>
      </c>
      <c r="Q63" s="1" t="s">
        <v>562</v>
      </c>
      <c r="R63" s="93">
        <v>329778.32</v>
      </c>
      <c r="S63">
        <v>61008.98</v>
      </c>
      <c r="T63">
        <v>0</v>
      </c>
      <c r="U63" s="1" t="s">
        <v>752</v>
      </c>
      <c r="V63" s="1"/>
      <c r="W63">
        <v>260588.98</v>
      </c>
      <c r="X63">
        <v>0</v>
      </c>
      <c r="Y63">
        <v>57962</v>
      </c>
    </row>
    <row r="64" spans="1:25" ht="15" hidden="1" customHeight="1" x14ac:dyDescent="0.25">
      <c r="A64" s="1" t="s">
        <v>24</v>
      </c>
      <c r="B64" s="1" t="s">
        <v>43</v>
      </c>
      <c r="C64" s="1" t="s">
        <v>98</v>
      </c>
      <c r="D64">
        <v>5484</v>
      </c>
      <c r="E64" s="1"/>
      <c r="F64" s="1" t="s">
        <v>246</v>
      </c>
      <c r="G64" s="1" t="s">
        <v>98</v>
      </c>
      <c r="H64" s="1" t="s">
        <v>1396</v>
      </c>
      <c r="I64">
        <v>2008</v>
      </c>
      <c r="J64" s="93">
        <v>194525.95</v>
      </c>
      <c r="K64">
        <v>12</v>
      </c>
      <c r="L64" s="1"/>
      <c r="M64">
        <v>0</v>
      </c>
      <c r="N64">
        <v>5672</v>
      </c>
      <c r="O64">
        <v>34.295225000000002</v>
      </c>
      <c r="P64">
        <v>1</v>
      </c>
      <c r="Q64" s="1" t="s">
        <v>563</v>
      </c>
      <c r="R64" s="93">
        <v>251424.26</v>
      </c>
      <c r="S64">
        <v>1333.14</v>
      </c>
      <c r="T64">
        <v>1</v>
      </c>
      <c r="U64" s="1" t="s">
        <v>752</v>
      </c>
      <c r="V64" s="1"/>
      <c r="W64">
        <v>5575.4062000000004</v>
      </c>
      <c r="X64">
        <v>0</v>
      </c>
      <c r="Y64">
        <v>58292</v>
      </c>
    </row>
    <row r="65" spans="1:25" ht="15" hidden="1" customHeight="1" x14ac:dyDescent="0.25">
      <c r="A65" s="1" t="s">
        <v>24</v>
      </c>
      <c r="B65" s="1" t="s">
        <v>43</v>
      </c>
      <c r="C65" s="1" t="s">
        <v>98</v>
      </c>
      <c r="D65">
        <v>5484</v>
      </c>
      <c r="E65" s="1"/>
      <c r="F65" s="1" t="s">
        <v>246</v>
      </c>
      <c r="G65" s="1" t="s">
        <v>98</v>
      </c>
      <c r="H65" s="1" t="s">
        <v>1405</v>
      </c>
      <c r="I65">
        <v>2008</v>
      </c>
      <c r="J65" s="93">
        <v>206630</v>
      </c>
      <c r="K65">
        <v>12</v>
      </c>
      <c r="L65" s="1"/>
      <c r="M65">
        <v>0</v>
      </c>
      <c r="N65">
        <v>5672</v>
      </c>
      <c r="O65">
        <v>36.429188000000003</v>
      </c>
      <c r="P65">
        <v>1</v>
      </c>
      <c r="Q65" s="1" t="s">
        <v>562</v>
      </c>
      <c r="R65" s="93">
        <v>239554.09</v>
      </c>
      <c r="S65">
        <v>44317.5</v>
      </c>
      <c r="T65">
        <v>0</v>
      </c>
      <c r="U65" s="1" t="s">
        <v>750</v>
      </c>
      <c r="V65" s="1"/>
      <c r="W65">
        <v>206630.003</v>
      </c>
      <c r="X65">
        <v>0</v>
      </c>
      <c r="Y65">
        <v>57974</v>
      </c>
    </row>
    <row r="66" spans="1:25" ht="15" hidden="1" customHeight="1" x14ac:dyDescent="0.25">
      <c r="A66" s="1" t="s">
        <v>24</v>
      </c>
      <c r="B66" s="1" t="s">
        <v>43</v>
      </c>
      <c r="C66" s="1" t="s">
        <v>98</v>
      </c>
      <c r="D66">
        <v>5484</v>
      </c>
      <c r="E66" s="1"/>
      <c r="F66" s="1" t="s">
        <v>246</v>
      </c>
      <c r="G66" s="1" t="s">
        <v>98</v>
      </c>
      <c r="H66" s="1" t="s">
        <v>1396</v>
      </c>
      <c r="I66">
        <v>2008</v>
      </c>
      <c r="J66" s="93">
        <v>366067.26</v>
      </c>
      <c r="K66">
        <v>12</v>
      </c>
      <c r="L66" s="1"/>
      <c r="M66">
        <v>0</v>
      </c>
      <c r="N66">
        <v>5672</v>
      </c>
      <c r="O66">
        <v>64.538223000000002</v>
      </c>
      <c r="P66">
        <v>1</v>
      </c>
      <c r="Q66" s="1" t="s">
        <v>563</v>
      </c>
      <c r="R66" s="93">
        <v>452440.08</v>
      </c>
      <c r="S66">
        <v>2399.0100000000002</v>
      </c>
      <c r="T66">
        <v>1</v>
      </c>
      <c r="U66" s="1" t="s">
        <v>751</v>
      </c>
      <c r="V66" s="1"/>
      <c r="W66">
        <v>10492.0399</v>
      </c>
      <c r="X66">
        <v>0</v>
      </c>
      <c r="Y66">
        <v>58291</v>
      </c>
    </row>
    <row r="67" spans="1:25" ht="15" hidden="1" customHeight="1" x14ac:dyDescent="0.25">
      <c r="A67" s="1" t="s">
        <v>24</v>
      </c>
      <c r="B67" s="1"/>
      <c r="C67" s="1" t="s">
        <v>99</v>
      </c>
      <c r="D67">
        <v>9524</v>
      </c>
      <c r="E67" s="1"/>
      <c r="F67" s="1" t="s">
        <v>248</v>
      </c>
      <c r="G67" s="1" t="s">
        <v>99</v>
      </c>
      <c r="H67" s="1" t="s">
        <v>1405</v>
      </c>
      <c r="I67">
        <v>2015</v>
      </c>
      <c r="J67" s="93">
        <v>158410</v>
      </c>
      <c r="K67">
        <v>5</v>
      </c>
      <c r="L67" s="1"/>
      <c r="M67">
        <v>0</v>
      </c>
      <c r="N67">
        <v>2899</v>
      </c>
      <c r="O67">
        <v>32.992997000000003</v>
      </c>
      <c r="P67">
        <v>1</v>
      </c>
      <c r="Q67" s="1" t="s">
        <v>562</v>
      </c>
      <c r="R67" s="93">
        <v>184641</v>
      </c>
      <c r="S67">
        <v>6975.24</v>
      </c>
      <c r="T67">
        <v>0</v>
      </c>
      <c r="U67" s="1" t="s">
        <v>753</v>
      </c>
      <c r="V67" s="1"/>
      <c r="W67">
        <v>95650</v>
      </c>
      <c r="X67">
        <v>0</v>
      </c>
      <c r="Y67">
        <v>74459</v>
      </c>
    </row>
    <row r="68" spans="1:25" ht="15" hidden="1" customHeight="1" x14ac:dyDescent="0.25">
      <c r="A68" s="1" t="s">
        <v>24</v>
      </c>
      <c r="B68" s="1"/>
      <c r="C68" s="1" t="s">
        <v>99</v>
      </c>
      <c r="D68">
        <v>9524</v>
      </c>
      <c r="E68" s="1"/>
      <c r="F68" s="1" t="s">
        <v>248</v>
      </c>
      <c r="G68" s="1" t="s">
        <v>99</v>
      </c>
      <c r="H68" s="1" t="s">
        <v>1396</v>
      </c>
      <c r="I68">
        <v>2015</v>
      </c>
      <c r="J68" s="93">
        <v>107066.93</v>
      </c>
      <c r="K68">
        <v>5</v>
      </c>
      <c r="L68" s="1"/>
      <c r="M68">
        <v>0</v>
      </c>
      <c r="N68">
        <v>2899</v>
      </c>
      <c r="O68">
        <v>36.931092</v>
      </c>
      <c r="P68">
        <v>1</v>
      </c>
      <c r="Q68" s="1" t="s">
        <v>563</v>
      </c>
      <c r="R68" s="93">
        <v>122411.03</v>
      </c>
      <c r="S68">
        <v>224.54</v>
      </c>
      <c r="T68">
        <v>1</v>
      </c>
      <c r="U68" s="1"/>
      <c r="V68" s="1"/>
      <c r="W68">
        <v>3068.7</v>
      </c>
      <c r="X68">
        <v>74459</v>
      </c>
      <c r="Y68">
        <v>74460</v>
      </c>
    </row>
    <row r="69" spans="1:25" ht="15" hidden="1" customHeight="1" x14ac:dyDescent="0.25">
      <c r="A69" s="1" t="s">
        <v>24</v>
      </c>
      <c r="B69" s="1"/>
      <c r="C69" s="1" t="s">
        <v>99</v>
      </c>
      <c r="D69">
        <v>9524</v>
      </c>
      <c r="E69" s="1"/>
      <c r="F69" s="1" t="s">
        <v>248</v>
      </c>
      <c r="G69" s="1" t="s">
        <v>99</v>
      </c>
      <c r="H69" s="1" t="s">
        <v>1405</v>
      </c>
      <c r="I69">
        <v>2013</v>
      </c>
      <c r="J69" s="93">
        <v>129490</v>
      </c>
      <c r="K69">
        <v>12</v>
      </c>
      <c r="L69" s="1"/>
      <c r="M69">
        <v>0</v>
      </c>
      <c r="N69">
        <v>2899</v>
      </c>
      <c r="O69">
        <v>44.665585</v>
      </c>
      <c r="P69">
        <v>1</v>
      </c>
      <c r="Q69" s="1" t="s">
        <v>562</v>
      </c>
      <c r="R69" s="93">
        <v>135453.51</v>
      </c>
      <c r="S69">
        <v>8669.02</v>
      </c>
      <c r="T69">
        <v>0</v>
      </c>
      <c r="U69" s="1" t="s">
        <v>753</v>
      </c>
      <c r="V69" s="1"/>
      <c r="W69">
        <v>129490</v>
      </c>
      <c r="X69">
        <v>0</v>
      </c>
      <c r="Y69">
        <v>74459</v>
      </c>
    </row>
    <row r="70" spans="1:25" ht="15" hidden="1" customHeight="1" x14ac:dyDescent="0.25">
      <c r="A70" s="1" t="s">
        <v>24</v>
      </c>
      <c r="B70" s="1"/>
      <c r="C70" s="1" t="s">
        <v>99</v>
      </c>
      <c r="D70">
        <v>9524</v>
      </c>
      <c r="E70" s="1"/>
      <c r="F70" s="1" t="s">
        <v>248</v>
      </c>
      <c r="G70" s="1" t="s">
        <v>99</v>
      </c>
      <c r="H70" s="1" t="s">
        <v>1396</v>
      </c>
      <c r="I70">
        <v>2013</v>
      </c>
      <c r="J70" s="93">
        <v>145533.16</v>
      </c>
      <c r="K70">
        <v>12</v>
      </c>
      <c r="L70" s="1"/>
      <c r="M70">
        <v>0</v>
      </c>
      <c r="N70">
        <v>2899</v>
      </c>
      <c r="O70">
        <v>50.199427</v>
      </c>
      <c r="P70">
        <v>1</v>
      </c>
      <c r="Q70" s="1" t="s">
        <v>563</v>
      </c>
      <c r="R70" s="93">
        <v>152875.74</v>
      </c>
      <c r="S70">
        <v>280.45</v>
      </c>
      <c r="T70">
        <v>1</v>
      </c>
      <c r="U70" s="1"/>
      <c r="V70" s="1"/>
      <c r="W70">
        <v>4171.2</v>
      </c>
      <c r="X70">
        <v>74459</v>
      </c>
      <c r="Y70">
        <v>74460</v>
      </c>
    </row>
    <row r="71" spans="1:25" ht="15" hidden="1" customHeight="1" x14ac:dyDescent="0.25">
      <c r="A71" s="1" t="s">
        <v>24</v>
      </c>
      <c r="B71" s="1"/>
      <c r="C71" s="1" t="s">
        <v>99</v>
      </c>
      <c r="D71">
        <v>9524</v>
      </c>
      <c r="E71" s="1"/>
      <c r="F71" s="1" t="s">
        <v>248</v>
      </c>
      <c r="G71" s="1" t="s">
        <v>99</v>
      </c>
      <c r="H71" s="1" t="s">
        <v>1405</v>
      </c>
      <c r="I71">
        <v>2012</v>
      </c>
      <c r="J71" s="93">
        <v>116476.31</v>
      </c>
      <c r="K71">
        <v>12</v>
      </c>
      <c r="L71" s="1"/>
      <c r="M71">
        <v>0</v>
      </c>
      <c r="N71">
        <v>2899</v>
      </c>
      <c r="O71">
        <v>40.176712999999999</v>
      </c>
      <c r="P71">
        <v>1</v>
      </c>
      <c r="Q71" s="1" t="s">
        <v>562</v>
      </c>
      <c r="R71" s="93">
        <v>121841.34</v>
      </c>
      <c r="S71">
        <v>22540.65</v>
      </c>
      <c r="T71">
        <v>0</v>
      </c>
      <c r="U71" s="1" t="s">
        <v>753</v>
      </c>
      <c r="V71" s="1"/>
      <c r="W71">
        <v>116476.31</v>
      </c>
      <c r="X71">
        <v>0</v>
      </c>
      <c r="Y71">
        <v>74459</v>
      </c>
    </row>
    <row r="72" spans="1:25" ht="15" hidden="1" customHeight="1" x14ac:dyDescent="0.25">
      <c r="A72" s="1" t="s">
        <v>24</v>
      </c>
      <c r="B72" s="1"/>
      <c r="C72" s="1" t="s">
        <v>99</v>
      </c>
      <c r="D72">
        <v>9524</v>
      </c>
      <c r="E72" s="1"/>
      <c r="F72" s="1" t="s">
        <v>248</v>
      </c>
      <c r="G72" s="1" t="s">
        <v>99</v>
      </c>
      <c r="H72" s="1" t="s">
        <v>1396</v>
      </c>
      <c r="I72">
        <v>2012</v>
      </c>
      <c r="J72" s="93">
        <v>109589.48</v>
      </c>
      <c r="K72">
        <v>12</v>
      </c>
      <c r="L72" s="1"/>
      <c r="M72">
        <v>0</v>
      </c>
      <c r="N72">
        <v>2899</v>
      </c>
      <c r="O72">
        <v>37.801206999999998</v>
      </c>
      <c r="P72">
        <v>1</v>
      </c>
      <c r="Q72" s="1" t="s">
        <v>563</v>
      </c>
      <c r="R72" s="93">
        <v>113831.69</v>
      </c>
      <c r="S72">
        <v>603.57000000000005</v>
      </c>
      <c r="T72">
        <v>1</v>
      </c>
      <c r="U72" s="1"/>
      <c r="V72" s="1"/>
      <c r="W72">
        <v>3141</v>
      </c>
      <c r="X72">
        <v>74459</v>
      </c>
      <c r="Y72">
        <v>74460</v>
      </c>
    </row>
    <row r="73" spans="1:25" ht="15" hidden="1" customHeight="1" x14ac:dyDescent="0.25">
      <c r="A73" s="1" t="s">
        <v>24</v>
      </c>
      <c r="B73" s="1"/>
      <c r="C73" s="1" t="s">
        <v>99</v>
      </c>
      <c r="D73">
        <v>9524</v>
      </c>
      <c r="E73" s="1"/>
      <c r="F73" s="1" t="s">
        <v>248</v>
      </c>
      <c r="G73" s="1" t="s">
        <v>99</v>
      </c>
      <c r="H73" s="1" t="s">
        <v>1405</v>
      </c>
      <c r="I73">
        <v>2011</v>
      </c>
      <c r="J73" s="93">
        <v>121383.7</v>
      </c>
      <c r="K73">
        <v>12</v>
      </c>
      <c r="L73" s="1"/>
      <c r="M73">
        <v>0</v>
      </c>
      <c r="N73">
        <v>2899</v>
      </c>
      <c r="O73">
        <v>41.869441999999999</v>
      </c>
      <c r="P73">
        <v>1</v>
      </c>
      <c r="Q73" s="1" t="s">
        <v>562</v>
      </c>
      <c r="R73" s="93">
        <v>130873.11</v>
      </c>
      <c r="S73">
        <v>24211.53</v>
      </c>
      <c r="T73">
        <v>0</v>
      </c>
      <c r="U73" s="1" t="s">
        <v>753</v>
      </c>
      <c r="V73" s="1"/>
      <c r="W73">
        <v>121383.7</v>
      </c>
      <c r="X73">
        <v>0</v>
      </c>
      <c r="Y73">
        <v>74459</v>
      </c>
    </row>
    <row r="74" spans="1:25" ht="15" hidden="1" customHeight="1" x14ac:dyDescent="0.25">
      <c r="A74" s="1" t="s">
        <v>24</v>
      </c>
      <c r="B74" s="1"/>
      <c r="C74" s="1" t="s">
        <v>99</v>
      </c>
      <c r="D74">
        <v>9524</v>
      </c>
      <c r="E74" s="1"/>
      <c r="F74" s="1" t="s">
        <v>248</v>
      </c>
      <c r="G74" s="1" t="s">
        <v>99</v>
      </c>
      <c r="H74" s="1" t="s">
        <v>1396</v>
      </c>
      <c r="I74">
        <v>2011</v>
      </c>
      <c r="J74" s="93">
        <v>109812.78</v>
      </c>
      <c r="K74">
        <v>12</v>
      </c>
      <c r="L74" s="1"/>
      <c r="M74">
        <v>0</v>
      </c>
      <c r="N74">
        <v>2899</v>
      </c>
      <c r="O74">
        <v>37.878231</v>
      </c>
      <c r="P74">
        <v>1</v>
      </c>
      <c r="Q74" s="1" t="s">
        <v>563</v>
      </c>
      <c r="R74" s="93">
        <v>118496.77</v>
      </c>
      <c r="S74">
        <v>628.30999999999995</v>
      </c>
      <c r="T74">
        <v>1</v>
      </c>
      <c r="U74" s="1"/>
      <c r="V74" s="1"/>
      <c r="W74">
        <v>3147.4</v>
      </c>
      <c r="X74">
        <v>74459</v>
      </c>
      <c r="Y74">
        <v>74460</v>
      </c>
    </row>
    <row r="75" spans="1:25" ht="15" hidden="1" customHeight="1" x14ac:dyDescent="0.25">
      <c r="A75" s="1" t="s">
        <v>24</v>
      </c>
      <c r="B75" s="1"/>
      <c r="C75" s="1" t="s">
        <v>99</v>
      </c>
      <c r="D75">
        <v>9524</v>
      </c>
      <c r="E75" s="1"/>
      <c r="F75" s="1" t="s">
        <v>248</v>
      </c>
      <c r="G75" s="1" t="s">
        <v>99</v>
      </c>
      <c r="H75" s="1" t="s">
        <v>1405</v>
      </c>
      <c r="I75">
        <v>2010</v>
      </c>
      <c r="J75" s="93">
        <v>164070.01</v>
      </c>
      <c r="K75">
        <v>12</v>
      </c>
      <c r="L75" s="1"/>
      <c r="M75">
        <v>0</v>
      </c>
      <c r="N75">
        <v>2899</v>
      </c>
      <c r="O75">
        <v>56.593428000000003</v>
      </c>
      <c r="P75">
        <v>1</v>
      </c>
      <c r="Q75" s="1" t="s">
        <v>562</v>
      </c>
      <c r="R75" s="93">
        <v>149302.91</v>
      </c>
      <c r="S75">
        <v>27621.02</v>
      </c>
      <c r="T75">
        <v>0</v>
      </c>
      <c r="U75" s="1" t="s">
        <v>753</v>
      </c>
      <c r="V75" s="1"/>
      <c r="W75">
        <v>164070.00099999999</v>
      </c>
      <c r="X75">
        <v>0</v>
      </c>
      <c r="Y75">
        <v>74459</v>
      </c>
    </row>
    <row r="76" spans="1:25" ht="15" hidden="1" customHeight="1" x14ac:dyDescent="0.25">
      <c r="A76" s="1" t="s">
        <v>24</v>
      </c>
      <c r="B76" s="1"/>
      <c r="C76" s="1" t="s">
        <v>99</v>
      </c>
      <c r="D76">
        <v>9524</v>
      </c>
      <c r="E76" s="1"/>
      <c r="F76" s="1" t="s">
        <v>248</v>
      </c>
      <c r="G76" s="1" t="s">
        <v>99</v>
      </c>
      <c r="H76" s="1" t="s">
        <v>1396</v>
      </c>
      <c r="I76">
        <v>2010</v>
      </c>
      <c r="J76" s="93">
        <v>177010.94</v>
      </c>
      <c r="K76">
        <v>12</v>
      </c>
      <c r="L76" s="1"/>
      <c r="M76">
        <v>0</v>
      </c>
      <c r="N76">
        <v>2899</v>
      </c>
      <c r="O76">
        <v>61.057203000000001</v>
      </c>
      <c r="P76">
        <v>1</v>
      </c>
      <c r="Q76" s="1" t="s">
        <v>563</v>
      </c>
      <c r="R76" s="93">
        <v>161760.95999999999</v>
      </c>
      <c r="S76">
        <v>857.71</v>
      </c>
      <c r="T76">
        <v>1</v>
      </c>
      <c r="U76" s="1"/>
      <c r="V76" s="1"/>
      <c r="W76">
        <v>5073.3999999999996</v>
      </c>
      <c r="X76">
        <v>74459</v>
      </c>
      <c r="Y76">
        <v>74460</v>
      </c>
    </row>
    <row r="77" spans="1:25" ht="15" hidden="1" customHeight="1" x14ac:dyDescent="0.25">
      <c r="A77" s="1" t="s">
        <v>24</v>
      </c>
      <c r="B77" s="1"/>
      <c r="C77" s="1" t="s">
        <v>99</v>
      </c>
      <c r="D77">
        <v>9524</v>
      </c>
      <c r="E77" s="1"/>
      <c r="F77" s="1" t="s">
        <v>248</v>
      </c>
      <c r="G77" s="1" t="s">
        <v>99</v>
      </c>
      <c r="H77" s="1" t="s">
        <v>1405</v>
      </c>
      <c r="I77">
        <v>2009</v>
      </c>
      <c r="J77" s="93">
        <v>140340</v>
      </c>
      <c r="K77">
        <v>12</v>
      </c>
      <c r="L77" s="1"/>
      <c r="M77">
        <v>0</v>
      </c>
      <c r="N77">
        <v>2899</v>
      </c>
      <c r="O77">
        <v>48.408126000000003</v>
      </c>
      <c r="P77">
        <v>1</v>
      </c>
      <c r="Q77" s="1" t="s">
        <v>562</v>
      </c>
      <c r="R77" s="93">
        <v>148953.85999999999</v>
      </c>
      <c r="S77">
        <v>27556.46</v>
      </c>
      <c r="T77">
        <v>0</v>
      </c>
      <c r="U77" s="1" t="s">
        <v>753</v>
      </c>
      <c r="V77" s="1"/>
      <c r="W77">
        <v>140340</v>
      </c>
      <c r="X77">
        <v>0</v>
      </c>
      <c r="Y77">
        <v>74459</v>
      </c>
    </row>
    <row r="78" spans="1:25" ht="15" hidden="1" customHeight="1" x14ac:dyDescent="0.25">
      <c r="A78" s="1" t="s">
        <v>24</v>
      </c>
      <c r="B78" s="1"/>
      <c r="C78" s="1" t="s">
        <v>99</v>
      </c>
      <c r="D78">
        <v>9524</v>
      </c>
      <c r="E78" s="1"/>
      <c r="F78" s="1" t="s">
        <v>248</v>
      </c>
      <c r="G78" s="1" t="s">
        <v>99</v>
      </c>
      <c r="H78" s="1" t="s">
        <v>1396</v>
      </c>
      <c r="I78">
        <v>2009</v>
      </c>
      <c r="J78" s="93">
        <v>196210.9</v>
      </c>
      <c r="K78">
        <v>12</v>
      </c>
      <c r="L78" s="1"/>
      <c r="M78">
        <v>0</v>
      </c>
      <c r="N78">
        <v>2899</v>
      </c>
      <c r="O78">
        <v>67.679935</v>
      </c>
      <c r="P78">
        <v>1</v>
      </c>
      <c r="Q78" s="1" t="s">
        <v>563</v>
      </c>
      <c r="R78" s="93">
        <v>243722.8</v>
      </c>
      <c r="S78">
        <v>1292.32</v>
      </c>
      <c r="T78">
        <v>1</v>
      </c>
      <c r="U78" s="1"/>
      <c r="V78" s="1"/>
      <c r="W78">
        <v>5623.7</v>
      </c>
      <c r="X78">
        <v>74459</v>
      </c>
      <c r="Y78">
        <v>74460</v>
      </c>
    </row>
    <row r="79" spans="1:25" ht="15" hidden="1" customHeight="1" x14ac:dyDescent="0.25">
      <c r="A79" s="1" t="s">
        <v>24</v>
      </c>
      <c r="B79" s="1"/>
      <c r="C79" s="1" t="s">
        <v>99</v>
      </c>
      <c r="D79">
        <v>9524</v>
      </c>
      <c r="E79" s="1"/>
      <c r="F79" s="1" t="s">
        <v>248</v>
      </c>
      <c r="G79" s="1" t="s">
        <v>99</v>
      </c>
      <c r="H79" s="1" t="s">
        <v>1405</v>
      </c>
      <c r="I79">
        <v>2008</v>
      </c>
      <c r="J79" s="93">
        <v>126260</v>
      </c>
      <c r="K79">
        <v>12</v>
      </c>
      <c r="L79" s="1"/>
      <c r="M79">
        <v>0</v>
      </c>
      <c r="N79">
        <v>2899</v>
      </c>
      <c r="O79">
        <v>43.551447000000003</v>
      </c>
      <c r="P79">
        <v>1</v>
      </c>
      <c r="Q79" s="1" t="s">
        <v>562</v>
      </c>
      <c r="R79" s="93">
        <v>143880.32000000001</v>
      </c>
      <c r="S79">
        <v>26617.86</v>
      </c>
      <c r="T79">
        <v>0</v>
      </c>
      <c r="U79" s="1" t="s">
        <v>753</v>
      </c>
      <c r="V79" s="1"/>
      <c r="W79">
        <v>126260</v>
      </c>
      <c r="X79">
        <v>0</v>
      </c>
      <c r="Y79">
        <v>74459</v>
      </c>
    </row>
    <row r="80" spans="1:25" ht="15" hidden="1" customHeight="1" x14ac:dyDescent="0.25">
      <c r="A80" s="1" t="s">
        <v>24</v>
      </c>
      <c r="B80" s="1"/>
      <c r="C80" s="1" t="s">
        <v>99</v>
      </c>
      <c r="D80">
        <v>9524</v>
      </c>
      <c r="E80" s="1"/>
      <c r="F80" s="1" t="s">
        <v>248</v>
      </c>
      <c r="G80" s="1" t="s">
        <v>99</v>
      </c>
      <c r="H80" s="1" t="s">
        <v>1396</v>
      </c>
      <c r="I80">
        <v>2008</v>
      </c>
      <c r="J80" s="93">
        <v>143038.53</v>
      </c>
      <c r="K80">
        <v>12</v>
      </c>
      <c r="L80" s="1"/>
      <c r="M80">
        <v>0</v>
      </c>
      <c r="N80">
        <v>2899</v>
      </c>
      <c r="O80">
        <v>49.338943</v>
      </c>
      <c r="P80">
        <v>1</v>
      </c>
      <c r="Q80" s="1" t="s">
        <v>563</v>
      </c>
      <c r="R80" s="93">
        <v>161194.9</v>
      </c>
      <c r="S80">
        <v>854.73</v>
      </c>
      <c r="T80">
        <v>1</v>
      </c>
      <c r="U80" s="1"/>
      <c r="V80" s="1"/>
      <c r="W80">
        <v>4099.7</v>
      </c>
      <c r="X80">
        <v>74459</v>
      </c>
      <c r="Y80">
        <v>74460</v>
      </c>
    </row>
    <row r="81" spans="1:25" ht="15" hidden="1" customHeight="1" x14ac:dyDescent="0.25">
      <c r="A81" s="1" t="s">
        <v>24</v>
      </c>
      <c r="B81" s="1" t="s">
        <v>43</v>
      </c>
      <c r="C81" s="1" t="s">
        <v>98</v>
      </c>
      <c r="D81">
        <v>5484</v>
      </c>
      <c r="E81" s="1"/>
      <c r="F81" s="1" t="s">
        <v>246</v>
      </c>
      <c r="G81" s="1" t="s">
        <v>98</v>
      </c>
      <c r="H81" s="1" t="s">
        <v>1405</v>
      </c>
      <c r="I81">
        <v>2009</v>
      </c>
      <c r="J81" s="93">
        <v>262974.08000000002</v>
      </c>
      <c r="K81">
        <v>12</v>
      </c>
      <c r="L81" s="1" t="s">
        <v>393</v>
      </c>
      <c r="M81">
        <v>0</v>
      </c>
      <c r="N81">
        <v>5672</v>
      </c>
      <c r="O81">
        <v>46.362735999999998</v>
      </c>
      <c r="P81">
        <v>2</v>
      </c>
      <c r="Q81" s="1" t="s">
        <v>569</v>
      </c>
      <c r="R81" s="93">
        <v>262974.08000000002</v>
      </c>
      <c r="S81">
        <v>123334.85</v>
      </c>
      <c r="T81">
        <v>0</v>
      </c>
      <c r="U81" s="1" t="s">
        <v>935</v>
      </c>
      <c r="V81" s="1" t="s">
        <v>1232</v>
      </c>
      <c r="W81">
        <v>262974.05963999999</v>
      </c>
      <c r="X81">
        <v>0</v>
      </c>
      <c r="Y81">
        <v>57961</v>
      </c>
    </row>
    <row r="82" spans="1:25" ht="15" hidden="1" customHeight="1" x14ac:dyDescent="0.25">
      <c r="A82" s="1" t="s">
        <v>24</v>
      </c>
      <c r="B82" s="1" t="s">
        <v>43</v>
      </c>
      <c r="C82" s="1" t="s">
        <v>98</v>
      </c>
      <c r="D82">
        <v>5484</v>
      </c>
      <c r="E82" s="1"/>
      <c r="F82" s="1" t="s">
        <v>246</v>
      </c>
      <c r="G82" s="1" t="s">
        <v>98</v>
      </c>
      <c r="H82" s="1" t="s">
        <v>1405</v>
      </c>
      <c r="I82">
        <v>2010</v>
      </c>
      <c r="J82" s="93">
        <v>228726.5</v>
      </c>
      <c r="K82">
        <v>12</v>
      </c>
      <c r="L82" s="1" t="s">
        <v>393</v>
      </c>
      <c r="M82">
        <v>0</v>
      </c>
      <c r="N82">
        <v>5672</v>
      </c>
      <c r="O82">
        <v>40.324835</v>
      </c>
      <c r="P82">
        <v>2</v>
      </c>
      <c r="Q82" s="1" t="s">
        <v>569</v>
      </c>
      <c r="R82" s="93">
        <v>228726.5</v>
      </c>
      <c r="S82">
        <v>107272.74</v>
      </c>
      <c r="T82">
        <v>0</v>
      </c>
      <c r="U82" s="1" t="s">
        <v>935</v>
      </c>
      <c r="V82" s="1" t="s">
        <v>1232</v>
      </c>
      <c r="W82">
        <v>228726.49609</v>
      </c>
      <c r="X82">
        <v>0</v>
      </c>
      <c r="Y82">
        <v>57961</v>
      </c>
    </row>
    <row r="83" spans="1:25" ht="15" hidden="1" customHeight="1" x14ac:dyDescent="0.25">
      <c r="A83" s="1" t="s">
        <v>24</v>
      </c>
      <c r="B83" s="1" t="s">
        <v>43</v>
      </c>
      <c r="C83" s="1" t="s">
        <v>98</v>
      </c>
      <c r="D83">
        <v>5484</v>
      </c>
      <c r="E83" s="1"/>
      <c r="F83" s="1" t="s">
        <v>246</v>
      </c>
      <c r="G83" s="1" t="s">
        <v>98</v>
      </c>
      <c r="H83" s="1" t="s">
        <v>1405</v>
      </c>
      <c r="I83">
        <v>2011</v>
      </c>
      <c r="J83" s="93">
        <v>191558.04</v>
      </c>
      <c r="K83">
        <v>12</v>
      </c>
      <c r="L83" s="1" t="s">
        <v>393</v>
      </c>
      <c r="M83">
        <v>0</v>
      </c>
      <c r="N83">
        <v>5672</v>
      </c>
      <c r="O83">
        <v>33.771977999999997</v>
      </c>
      <c r="P83">
        <v>2</v>
      </c>
      <c r="Q83" s="1" t="s">
        <v>569</v>
      </c>
      <c r="R83" s="93">
        <v>191558.04</v>
      </c>
      <c r="S83">
        <v>89840.72</v>
      </c>
      <c r="T83">
        <v>0</v>
      </c>
      <c r="U83" s="1" t="s">
        <v>935</v>
      </c>
      <c r="V83" s="1" t="s">
        <v>1232</v>
      </c>
      <c r="W83">
        <v>191558.02997999999</v>
      </c>
      <c r="X83">
        <v>0</v>
      </c>
      <c r="Y83">
        <v>57961</v>
      </c>
    </row>
    <row r="84" spans="1:25" ht="15" hidden="1" customHeight="1" x14ac:dyDescent="0.25">
      <c r="A84" s="1" t="s">
        <v>24</v>
      </c>
      <c r="B84" s="1" t="s">
        <v>43</v>
      </c>
      <c r="C84" s="1" t="s">
        <v>98</v>
      </c>
      <c r="D84">
        <v>5484</v>
      </c>
      <c r="E84" s="1"/>
      <c r="F84" s="1" t="s">
        <v>246</v>
      </c>
      <c r="G84" s="1" t="s">
        <v>98</v>
      </c>
      <c r="H84" s="1" t="s">
        <v>1405</v>
      </c>
      <c r="I84">
        <v>2012</v>
      </c>
      <c r="J84" s="93">
        <v>168797.46</v>
      </c>
      <c r="K84">
        <v>12</v>
      </c>
      <c r="L84" s="1" t="s">
        <v>393</v>
      </c>
      <c r="M84">
        <v>0</v>
      </c>
      <c r="N84">
        <v>5672</v>
      </c>
      <c r="O84">
        <v>29.759253000000001</v>
      </c>
      <c r="P84">
        <v>2</v>
      </c>
      <c r="Q84" s="1" t="s">
        <v>569</v>
      </c>
      <c r="R84" s="93">
        <v>168797.46</v>
      </c>
      <c r="S84">
        <v>67518.98</v>
      </c>
      <c r="T84">
        <v>0</v>
      </c>
      <c r="U84" s="1" t="s">
        <v>935</v>
      </c>
      <c r="V84" s="1" t="s">
        <v>1232</v>
      </c>
      <c r="W84">
        <v>168797.46</v>
      </c>
      <c r="X84">
        <v>0</v>
      </c>
      <c r="Y84">
        <v>57961</v>
      </c>
    </row>
    <row r="85" spans="1:25" ht="15" hidden="1" customHeight="1" x14ac:dyDescent="0.25">
      <c r="A85" s="1" t="s">
        <v>24</v>
      </c>
      <c r="B85" s="1" t="s">
        <v>43</v>
      </c>
      <c r="C85" s="1" t="s">
        <v>98</v>
      </c>
      <c r="D85">
        <v>5484</v>
      </c>
      <c r="E85" s="1"/>
      <c r="F85" s="1" t="s">
        <v>246</v>
      </c>
      <c r="G85" s="1" t="s">
        <v>98</v>
      </c>
      <c r="H85" s="1" t="s">
        <v>1405</v>
      </c>
      <c r="I85">
        <v>2013</v>
      </c>
      <c r="J85" s="93">
        <v>161509.57</v>
      </c>
      <c r="K85">
        <v>12</v>
      </c>
      <c r="L85" s="1" t="s">
        <v>393</v>
      </c>
      <c r="M85">
        <v>0</v>
      </c>
      <c r="N85">
        <v>5672</v>
      </c>
      <c r="O85">
        <v>28.474385999999999</v>
      </c>
      <c r="P85">
        <v>2</v>
      </c>
      <c r="Q85" s="1" t="s">
        <v>569</v>
      </c>
      <c r="R85" s="93">
        <v>161509.57</v>
      </c>
      <c r="S85">
        <v>64603.83</v>
      </c>
      <c r="T85">
        <v>0</v>
      </c>
      <c r="U85" s="1" t="s">
        <v>935</v>
      </c>
      <c r="V85" s="1" t="s">
        <v>1232</v>
      </c>
      <c r="W85">
        <v>161509.57</v>
      </c>
      <c r="X85">
        <v>0</v>
      </c>
      <c r="Y85">
        <v>57961</v>
      </c>
    </row>
    <row r="86" spans="1:25" ht="15" hidden="1" customHeight="1" x14ac:dyDescent="0.25">
      <c r="A86" s="1" t="s">
        <v>24</v>
      </c>
      <c r="B86" s="1" t="s">
        <v>43</v>
      </c>
      <c r="C86" s="1" t="s">
        <v>98</v>
      </c>
      <c r="D86">
        <v>5484</v>
      </c>
      <c r="E86" s="1"/>
      <c r="F86" s="1" t="s">
        <v>246</v>
      </c>
      <c r="G86" s="1" t="s">
        <v>98</v>
      </c>
      <c r="H86" s="1" t="s">
        <v>1405</v>
      </c>
      <c r="I86">
        <v>2014</v>
      </c>
      <c r="J86" s="93">
        <v>161625.57</v>
      </c>
      <c r="K86">
        <v>12</v>
      </c>
      <c r="L86" s="1" t="s">
        <v>393</v>
      </c>
      <c r="M86">
        <v>0</v>
      </c>
      <c r="N86">
        <v>5672</v>
      </c>
      <c r="O86">
        <v>28.494837</v>
      </c>
      <c r="P86">
        <v>2</v>
      </c>
      <c r="Q86" s="1" t="s">
        <v>569</v>
      </c>
      <c r="R86" s="93">
        <v>161625.57</v>
      </c>
      <c r="S86">
        <v>64650.22</v>
      </c>
      <c r="T86">
        <v>0</v>
      </c>
      <c r="U86" s="1" t="s">
        <v>935</v>
      </c>
      <c r="V86" s="1" t="s">
        <v>1232</v>
      </c>
      <c r="W86">
        <v>161625.568</v>
      </c>
      <c r="X86">
        <v>0</v>
      </c>
      <c r="Y86">
        <v>57961</v>
      </c>
    </row>
    <row r="87" spans="1:25" ht="15" hidden="1" customHeight="1" x14ac:dyDescent="0.25">
      <c r="A87" s="1" t="s">
        <v>24</v>
      </c>
      <c r="B87" s="1" t="s">
        <v>43</v>
      </c>
      <c r="C87" s="1" t="s">
        <v>98</v>
      </c>
      <c r="D87">
        <v>5484</v>
      </c>
      <c r="E87" s="1"/>
      <c r="F87" s="1" t="s">
        <v>246</v>
      </c>
      <c r="G87" s="1" t="s">
        <v>98</v>
      </c>
      <c r="H87" s="1" t="s">
        <v>1405</v>
      </c>
      <c r="I87">
        <v>2015</v>
      </c>
      <c r="J87" s="93">
        <v>142770</v>
      </c>
      <c r="K87">
        <v>5</v>
      </c>
      <c r="L87" s="1" t="s">
        <v>393</v>
      </c>
      <c r="M87">
        <v>0</v>
      </c>
      <c r="N87">
        <v>5672</v>
      </c>
      <c r="O87">
        <v>11.087897999999999</v>
      </c>
      <c r="P87">
        <v>2</v>
      </c>
      <c r="Q87" s="1" t="s">
        <v>569</v>
      </c>
      <c r="R87" s="93">
        <v>62891.67</v>
      </c>
      <c r="S87">
        <v>25156.65</v>
      </c>
      <c r="T87">
        <v>0</v>
      </c>
      <c r="U87" s="1" t="s">
        <v>935</v>
      </c>
      <c r="V87" s="1" t="s">
        <v>1232</v>
      </c>
      <c r="W87">
        <v>62891.66</v>
      </c>
      <c r="X87">
        <v>0</v>
      </c>
      <c r="Y87">
        <v>57961</v>
      </c>
    </row>
    <row r="88" spans="1:25" ht="15" hidden="1" customHeight="1" x14ac:dyDescent="0.25">
      <c r="A88" s="1" t="s">
        <v>24</v>
      </c>
      <c r="B88" s="1"/>
      <c r="C88" s="1" t="s">
        <v>99</v>
      </c>
      <c r="D88">
        <v>13925</v>
      </c>
      <c r="E88" s="1" t="s">
        <v>243</v>
      </c>
      <c r="F88" s="1" t="s">
        <v>247</v>
      </c>
      <c r="G88" s="1" t="s">
        <v>99</v>
      </c>
      <c r="H88" s="1" t="s">
        <v>1405</v>
      </c>
      <c r="I88">
        <v>2008</v>
      </c>
      <c r="J88" s="93">
        <v>44328.94</v>
      </c>
      <c r="K88">
        <v>12</v>
      </c>
      <c r="L88" s="1" t="s">
        <v>394</v>
      </c>
      <c r="M88">
        <v>0</v>
      </c>
      <c r="N88">
        <v>2349</v>
      </c>
      <c r="O88">
        <v>18.870605000000001</v>
      </c>
      <c r="P88">
        <v>2</v>
      </c>
      <c r="Q88" s="1" t="s">
        <v>569</v>
      </c>
      <c r="R88" s="93">
        <v>44328.94</v>
      </c>
      <c r="S88">
        <v>20790.259999999998</v>
      </c>
      <c r="T88">
        <v>0</v>
      </c>
      <c r="U88" s="1" t="s">
        <v>936</v>
      </c>
      <c r="V88" s="1" t="s">
        <v>1233</v>
      </c>
      <c r="W88">
        <v>44328.94</v>
      </c>
      <c r="X88">
        <v>0</v>
      </c>
      <c r="Y88">
        <v>76856</v>
      </c>
    </row>
    <row r="89" spans="1:25" ht="15" hidden="1" customHeight="1" x14ac:dyDescent="0.25">
      <c r="A89" s="1" t="s">
        <v>24</v>
      </c>
      <c r="B89" s="1"/>
      <c r="C89" s="1" t="s">
        <v>99</v>
      </c>
      <c r="D89">
        <v>9524</v>
      </c>
      <c r="E89" s="1"/>
      <c r="F89" s="1" t="s">
        <v>248</v>
      </c>
      <c r="G89" s="1" t="s">
        <v>99</v>
      </c>
      <c r="H89" s="1" t="s">
        <v>1405</v>
      </c>
      <c r="I89">
        <v>2008</v>
      </c>
      <c r="J89" s="93">
        <v>414339.3</v>
      </c>
      <c r="K89">
        <v>12</v>
      </c>
      <c r="L89" s="1" t="s">
        <v>394</v>
      </c>
      <c r="M89">
        <v>0</v>
      </c>
      <c r="N89">
        <v>2899</v>
      </c>
      <c r="O89">
        <v>142.91997499999999</v>
      </c>
      <c r="P89">
        <v>2</v>
      </c>
      <c r="Q89" s="1" t="s">
        <v>569</v>
      </c>
      <c r="R89" s="93">
        <v>414339.3</v>
      </c>
      <c r="S89">
        <v>194325.13</v>
      </c>
      <c r="T89">
        <v>0</v>
      </c>
      <c r="U89" s="1" t="s">
        <v>939</v>
      </c>
      <c r="V89" s="1"/>
      <c r="W89">
        <v>414339.3</v>
      </c>
      <c r="X89">
        <v>0</v>
      </c>
      <c r="Y89">
        <v>76870</v>
      </c>
    </row>
    <row r="90" spans="1:25" ht="15" hidden="1" customHeight="1" x14ac:dyDescent="0.25">
      <c r="A90" s="1" t="s">
        <v>24</v>
      </c>
      <c r="B90" s="1"/>
      <c r="C90" s="1" t="s">
        <v>99</v>
      </c>
      <c r="D90">
        <v>13925</v>
      </c>
      <c r="E90" s="1" t="s">
        <v>243</v>
      </c>
      <c r="F90" s="1" t="s">
        <v>247</v>
      </c>
      <c r="G90" s="1" t="s">
        <v>99</v>
      </c>
      <c r="H90" s="1" t="s">
        <v>1405</v>
      </c>
      <c r="I90">
        <v>2009</v>
      </c>
      <c r="J90" s="93">
        <v>77353.48</v>
      </c>
      <c r="K90">
        <v>12</v>
      </c>
      <c r="L90" s="1" t="s">
        <v>394</v>
      </c>
      <c r="M90">
        <v>0</v>
      </c>
      <c r="N90">
        <v>2349</v>
      </c>
      <c r="O90">
        <v>32.928984999999997</v>
      </c>
      <c r="P90">
        <v>2</v>
      </c>
      <c r="Q90" s="1" t="s">
        <v>569</v>
      </c>
      <c r="R90" s="93">
        <v>77353.48</v>
      </c>
      <c r="S90">
        <v>36278.78</v>
      </c>
      <c r="T90">
        <v>0</v>
      </c>
      <c r="U90" s="1" t="s">
        <v>936</v>
      </c>
      <c r="V90" s="1" t="s">
        <v>1233</v>
      </c>
      <c r="W90">
        <v>77353.48</v>
      </c>
      <c r="X90">
        <v>0</v>
      </c>
      <c r="Y90">
        <v>76856</v>
      </c>
    </row>
    <row r="91" spans="1:25" ht="15" hidden="1" customHeight="1" x14ac:dyDescent="0.25">
      <c r="A91" s="1" t="s">
        <v>24</v>
      </c>
      <c r="B91" s="1"/>
      <c r="C91" s="1" t="s">
        <v>99</v>
      </c>
      <c r="D91">
        <v>9524</v>
      </c>
      <c r="E91" s="1"/>
      <c r="F91" s="1" t="s">
        <v>248</v>
      </c>
      <c r="G91" s="1" t="s">
        <v>99</v>
      </c>
      <c r="H91" s="1" t="s">
        <v>1405</v>
      </c>
      <c r="I91">
        <v>2009</v>
      </c>
      <c r="J91" s="93">
        <v>354205.72</v>
      </c>
      <c r="K91">
        <v>12</v>
      </c>
      <c r="L91" s="1" t="s">
        <v>394</v>
      </c>
      <c r="M91">
        <v>0</v>
      </c>
      <c r="N91">
        <v>2899</v>
      </c>
      <c r="O91">
        <v>122.17782</v>
      </c>
      <c r="P91">
        <v>2</v>
      </c>
      <c r="Q91" s="1" t="s">
        <v>569</v>
      </c>
      <c r="R91" s="93">
        <v>354205.72</v>
      </c>
      <c r="S91">
        <v>166122.48000000001</v>
      </c>
      <c r="T91">
        <v>0</v>
      </c>
      <c r="U91" s="1" t="s">
        <v>939</v>
      </c>
      <c r="V91" s="1"/>
      <c r="W91">
        <v>354205.72</v>
      </c>
      <c r="X91">
        <v>0</v>
      </c>
      <c r="Y91">
        <v>76870</v>
      </c>
    </row>
    <row r="92" spans="1:25" ht="15" hidden="1" customHeight="1" x14ac:dyDescent="0.25">
      <c r="A92" s="1" t="s">
        <v>24</v>
      </c>
      <c r="B92" s="1"/>
      <c r="C92" s="1" t="s">
        <v>99</v>
      </c>
      <c r="D92">
        <v>13925</v>
      </c>
      <c r="E92" s="1" t="s">
        <v>243</v>
      </c>
      <c r="F92" s="1" t="s">
        <v>247</v>
      </c>
      <c r="G92" s="1" t="s">
        <v>99</v>
      </c>
      <c r="H92" s="1" t="s">
        <v>1405</v>
      </c>
      <c r="I92">
        <v>2010</v>
      </c>
      <c r="J92" s="93">
        <v>94349.84</v>
      </c>
      <c r="K92">
        <v>12</v>
      </c>
      <c r="L92" s="1" t="s">
        <v>394</v>
      </c>
      <c r="M92">
        <v>0</v>
      </c>
      <c r="N92">
        <v>2349</v>
      </c>
      <c r="O92">
        <v>40.164250000000003</v>
      </c>
      <c r="P92">
        <v>2</v>
      </c>
      <c r="Q92" s="1" t="s">
        <v>569</v>
      </c>
      <c r="R92" s="93">
        <v>94349.84</v>
      </c>
      <c r="S92">
        <v>44250.07</v>
      </c>
      <c r="T92">
        <v>0</v>
      </c>
      <c r="U92" s="1" t="s">
        <v>936</v>
      </c>
      <c r="V92" s="1" t="s">
        <v>1233</v>
      </c>
      <c r="W92">
        <v>94349.84</v>
      </c>
      <c r="X92">
        <v>0</v>
      </c>
      <c r="Y92">
        <v>76856</v>
      </c>
    </row>
    <row r="93" spans="1:25" ht="15" hidden="1" customHeight="1" x14ac:dyDescent="0.25">
      <c r="A93" s="1" t="s">
        <v>24</v>
      </c>
      <c r="B93" s="1"/>
      <c r="C93" s="1" t="s">
        <v>99</v>
      </c>
      <c r="D93">
        <v>9524</v>
      </c>
      <c r="E93" s="1"/>
      <c r="F93" s="1" t="s">
        <v>248</v>
      </c>
      <c r="G93" s="1" t="s">
        <v>99</v>
      </c>
      <c r="H93" s="1" t="s">
        <v>1405</v>
      </c>
      <c r="I93">
        <v>2010</v>
      </c>
      <c r="J93" s="93">
        <v>363640.61</v>
      </c>
      <c r="K93">
        <v>12</v>
      </c>
      <c r="L93" s="1" t="s">
        <v>394</v>
      </c>
      <c r="M93">
        <v>0</v>
      </c>
      <c r="N93">
        <v>2899</v>
      </c>
      <c r="O93">
        <v>125.432241</v>
      </c>
      <c r="P93">
        <v>2</v>
      </c>
      <c r="Q93" s="1" t="s">
        <v>569</v>
      </c>
      <c r="R93" s="93">
        <v>363640.61</v>
      </c>
      <c r="S93">
        <v>170547.45</v>
      </c>
      <c r="T93">
        <v>0</v>
      </c>
      <c r="U93" s="1" t="s">
        <v>939</v>
      </c>
      <c r="V93" s="1"/>
      <c r="W93">
        <v>363640.61</v>
      </c>
      <c r="X93">
        <v>0</v>
      </c>
      <c r="Y93">
        <v>76870</v>
      </c>
    </row>
    <row r="94" spans="1:25" ht="15" hidden="1" customHeight="1" x14ac:dyDescent="0.25">
      <c r="A94" s="1" t="s">
        <v>24</v>
      </c>
      <c r="B94" s="1"/>
      <c r="C94" s="1" t="s">
        <v>99</v>
      </c>
      <c r="D94">
        <v>13925</v>
      </c>
      <c r="E94" s="1" t="s">
        <v>243</v>
      </c>
      <c r="F94" s="1" t="s">
        <v>247</v>
      </c>
      <c r="G94" s="1" t="s">
        <v>99</v>
      </c>
      <c r="H94" s="1" t="s">
        <v>1405</v>
      </c>
      <c r="I94">
        <v>2011</v>
      </c>
      <c r="J94" s="93">
        <v>38499.24</v>
      </c>
      <c r="K94">
        <v>12</v>
      </c>
      <c r="L94" s="1" t="s">
        <v>394</v>
      </c>
      <c r="M94">
        <v>0</v>
      </c>
      <c r="N94">
        <v>2349</v>
      </c>
      <c r="O94">
        <v>16.388930999999999</v>
      </c>
      <c r="P94">
        <v>2</v>
      </c>
      <c r="Q94" s="1" t="s">
        <v>569</v>
      </c>
      <c r="R94" s="93">
        <v>38499.24</v>
      </c>
      <c r="S94">
        <v>18056.14</v>
      </c>
      <c r="T94">
        <v>0</v>
      </c>
      <c r="U94" s="1" t="s">
        <v>936</v>
      </c>
      <c r="V94" s="1" t="s">
        <v>1233</v>
      </c>
      <c r="W94">
        <v>38499.24</v>
      </c>
      <c r="X94">
        <v>0</v>
      </c>
      <c r="Y94">
        <v>76856</v>
      </c>
    </row>
    <row r="95" spans="1:25" ht="15" hidden="1" customHeight="1" x14ac:dyDescent="0.25">
      <c r="A95" s="1" t="s">
        <v>24</v>
      </c>
      <c r="B95" s="1"/>
      <c r="C95" s="1" t="s">
        <v>99</v>
      </c>
      <c r="D95">
        <v>9524</v>
      </c>
      <c r="E95" s="1"/>
      <c r="F95" s="1" t="s">
        <v>248</v>
      </c>
      <c r="G95" s="1" t="s">
        <v>99</v>
      </c>
      <c r="H95" s="1" t="s">
        <v>1405</v>
      </c>
      <c r="I95">
        <v>2011</v>
      </c>
      <c r="J95" s="93">
        <v>333483.59999999998</v>
      </c>
      <c r="K95">
        <v>12</v>
      </c>
      <c r="L95" s="1" t="s">
        <v>394</v>
      </c>
      <c r="M95">
        <v>0</v>
      </c>
      <c r="N95">
        <v>2899</v>
      </c>
      <c r="O95">
        <v>115.03004300000001</v>
      </c>
      <c r="P95">
        <v>2</v>
      </c>
      <c r="Q95" s="1" t="s">
        <v>569</v>
      </c>
      <c r="R95" s="93">
        <v>333483.59999999998</v>
      </c>
      <c r="S95">
        <v>156403.81</v>
      </c>
      <c r="T95">
        <v>0</v>
      </c>
      <c r="U95" s="1" t="s">
        <v>939</v>
      </c>
      <c r="V95" s="1"/>
      <c r="W95">
        <v>333483.59999999998</v>
      </c>
      <c r="X95">
        <v>0</v>
      </c>
      <c r="Y95">
        <v>76870</v>
      </c>
    </row>
    <row r="96" spans="1:25" ht="15" hidden="1" customHeight="1" x14ac:dyDescent="0.25">
      <c r="A96" s="1" t="s">
        <v>24</v>
      </c>
      <c r="B96" s="1"/>
      <c r="C96" s="1" t="s">
        <v>99</v>
      </c>
      <c r="D96">
        <v>13925</v>
      </c>
      <c r="E96" s="1" t="s">
        <v>243</v>
      </c>
      <c r="F96" s="1" t="s">
        <v>247</v>
      </c>
      <c r="G96" s="1" t="s">
        <v>99</v>
      </c>
      <c r="H96" s="1" t="s">
        <v>1405</v>
      </c>
      <c r="I96">
        <v>2012</v>
      </c>
      <c r="J96" s="93">
        <v>139838.37</v>
      </c>
      <c r="K96">
        <v>12</v>
      </c>
      <c r="L96" s="1" t="s">
        <v>394</v>
      </c>
      <c r="M96">
        <v>0</v>
      </c>
      <c r="N96">
        <v>2349</v>
      </c>
      <c r="O96">
        <v>59.528486999999998</v>
      </c>
      <c r="P96">
        <v>2</v>
      </c>
      <c r="Q96" s="1" t="s">
        <v>569</v>
      </c>
      <c r="R96" s="93">
        <v>139838.37</v>
      </c>
      <c r="S96">
        <v>55935.34</v>
      </c>
      <c r="T96">
        <v>0</v>
      </c>
      <c r="U96" s="1" t="s">
        <v>936</v>
      </c>
      <c r="V96" s="1" t="s">
        <v>1233</v>
      </c>
      <c r="W96">
        <v>139838.37100000001</v>
      </c>
      <c r="X96">
        <v>0</v>
      </c>
      <c r="Y96">
        <v>76856</v>
      </c>
    </row>
    <row r="97" spans="1:25" ht="15" hidden="1" customHeight="1" x14ac:dyDescent="0.25">
      <c r="A97" s="1" t="s">
        <v>24</v>
      </c>
      <c r="B97" s="1"/>
      <c r="C97" s="1" t="s">
        <v>99</v>
      </c>
      <c r="D97">
        <v>9524</v>
      </c>
      <c r="E97" s="1"/>
      <c r="F97" s="1" t="s">
        <v>248</v>
      </c>
      <c r="G97" s="1" t="s">
        <v>99</v>
      </c>
      <c r="H97" s="1" t="s">
        <v>1405</v>
      </c>
      <c r="I97">
        <v>2012</v>
      </c>
      <c r="J97" s="93">
        <v>193933.44</v>
      </c>
      <c r="K97">
        <v>12</v>
      </c>
      <c r="L97" s="1" t="s">
        <v>394</v>
      </c>
      <c r="M97">
        <v>0</v>
      </c>
      <c r="N97">
        <v>2899</v>
      </c>
      <c r="O97">
        <v>66.894360000000006</v>
      </c>
      <c r="P97">
        <v>2</v>
      </c>
      <c r="Q97" s="1" t="s">
        <v>569</v>
      </c>
      <c r="R97" s="93">
        <v>193933.44</v>
      </c>
      <c r="S97">
        <v>77573.37</v>
      </c>
      <c r="T97">
        <v>0</v>
      </c>
      <c r="U97" s="1" t="s">
        <v>939</v>
      </c>
      <c r="V97" s="1"/>
      <c r="W97">
        <v>193933.43272000001</v>
      </c>
      <c r="X97">
        <v>0</v>
      </c>
      <c r="Y97">
        <v>76870</v>
      </c>
    </row>
    <row r="98" spans="1:25" ht="15" hidden="1" customHeight="1" x14ac:dyDescent="0.25">
      <c r="A98" s="1" t="s">
        <v>24</v>
      </c>
      <c r="B98" s="1"/>
      <c r="C98" s="1" t="s">
        <v>99</v>
      </c>
      <c r="D98">
        <v>9524</v>
      </c>
      <c r="E98" s="1"/>
      <c r="F98" s="1" t="s">
        <v>248</v>
      </c>
      <c r="G98" s="1" t="s">
        <v>99</v>
      </c>
      <c r="H98" s="1" t="s">
        <v>1405</v>
      </c>
      <c r="I98">
        <v>2012</v>
      </c>
      <c r="J98" s="93">
        <v>22660.31</v>
      </c>
      <c r="K98">
        <v>7</v>
      </c>
      <c r="L98" s="1" t="s">
        <v>506</v>
      </c>
      <c r="M98">
        <v>0</v>
      </c>
      <c r="N98">
        <v>2899</v>
      </c>
      <c r="O98">
        <v>7.816325</v>
      </c>
      <c r="P98">
        <v>2</v>
      </c>
      <c r="Q98" s="1" t="s">
        <v>569</v>
      </c>
      <c r="R98" s="93">
        <v>22660.31</v>
      </c>
      <c r="S98">
        <v>9064.1299999999992</v>
      </c>
      <c r="T98">
        <v>0</v>
      </c>
      <c r="U98" s="1" t="s">
        <v>937</v>
      </c>
      <c r="V98" s="1"/>
      <c r="W98">
        <v>22660.316279999999</v>
      </c>
      <c r="X98">
        <v>0</v>
      </c>
      <c r="Y98">
        <v>92402</v>
      </c>
    </row>
    <row r="99" spans="1:25" ht="15" hidden="1" customHeight="1" x14ac:dyDescent="0.25">
      <c r="A99" s="1" t="s">
        <v>24</v>
      </c>
      <c r="B99" s="1"/>
      <c r="C99" s="1" t="s">
        <v>99</v>
      </c>
      <c r="D99">
        <v>13925</v>
      </c>
      <c r="E99" s="1" t="s">
        <v>243</v>
      </c>
      <c r="F99" s="1" t="s">
        <v>247</v>
      </c>
      <c r="G99" s="1" t="s">
        <v>99</v>
      </c>
      <c r="H99" s="1" t="s">
        <v>1405</v>
      </c>
      <c r="I99">
        <v>2013</v>
      </c>
      <c r="J99" s="93">
        <v>124177.7</v>
      </c>
      <c r="K99">
        <v>12</v>
      </c>
      <c r="L99" s="1" t="s">
        <v>394</v>
      </c>
      <c r="M99">
        <v>0</v>
      </c>
      <c r="N99">
        <v>2349</v>
      </c>
      <c r="O99">
        <v>52.861818999999997</v>
      </c>
      <c r="P99">
        <v>2</v>
      </c>
      <c r="Q99" s="1" t="s">
        <v>569</v>
      </c>
      <c r="R99" s="93">
        <v>124177.7</v>
      </c>
      <c r="S99">
        <v>37253.31</v>
      </c>
      <c r="T99">
        <v>0</v>
      </c>
      <c r="U99" s="1" t="s">
        <v>936</v>
      </c>
      <c r="V99" s="1" t="s">
        <v>1233</v>
      </c>
      <c r="W99">
        <v>124177.7</v>
      </c>
      <c r="X99">
        <v>0</v>
      </c>
      <c r="Y99">
        <v>76856</v>
      </c>
    </row>
    <row r="100" spans="1:25" ht="15" hidden="1" customHeight="1" x14ac:dyDescent="0.25">
      <c r="A100" s="1" t="s">
        <v>24</v>
      </c>
      <c r="B100" s="1"/>
      <c r="C100" s="1" t="s">
        <v>99</v>
      </c>
      <c r="D100">
        <v>9524</v>
      </c>
      <c r="E100" s="1"/>
      <c r="F100" s="1" t="s">
        <v>248</v>
      </c>
      <c r="G100" s="1" t="s">
        <v>99</v>
      </c>
      <c r="H100" s="1" t="s">
        <v>1405</v>
      </c>
      <c r="I100">
        <v>2013</v>
      </c>
      <c r="J100" s="93">
        <v>163200.82</v>
      </c>
      <c r="K100">
        <v>12</v>
      </c>
      <c r="L100" s="1" t="s">
        <v>394</v>
      </c>
      <c r="M100">
        <v>0</v>
      </c>
      <c r="N100">
        <v>2899</v>
      </c>
      <c r="O100">
        <v>56.293615000000003</v>
      </c>
      <c r="P100">
        <v>2</v>
      </c>
      <c r="Q100" s="1" t="s">
        <v>569</v>
      </c>
      <c r="R100" s="93">
        <v>163200.82</v>
      </c>
      <c r="S100">
        <v>48960.25</v>
      </c>
      <c r="T100">
        <v>0</v>
      </c>
      <c r="U100" s="1" t="s">
        <v>939</v>
      </c>
      <c r="V100" s="1"/>
      <c r="W100">
        <v>163200.82185000001</v>
      </c>
      <c r="X100">
        <v>0</v>
      </c>
      <c r="Y100">
        <v>76870</v>
      </c>
    </row>
    <row r="101" spans="1:25" ht="15" hidden="1" customHeight="1" x14ac:dyDescent="0.25">
      <c r="A101" s="1" t="s">
        <v>24</v>
      </c>
      <c r="B101" s="1"/>
      <c r="C101" s="1" t="s">
        <v>99</v>
      </c>
      <c r="D101">
        <v>9524</v>
      </c>
      <c r="E101" s="1"/>
      <c r="F101" s="1" t="s">
        <v>248</v>
      </c>
      <c r="G101" s="1" t="s">
        <v>99</v>
      </c>
      <c r="H101" s="1" t="s">
        <v>1405</v>
      </c>
      <c r="I101">
        <v>2013</v>
      </c>
      <c r="J101" s="93">
        <v>43208.08</v>
      </c>
      <c r="K101">
        <v>8</v>
      </c>
      <c r="L101" s="1" t="s">
        <v>506</v>
      </c>
      <c r="M101">
        <v>0</v>
      </c>
      <c r="N101">
        <v>2899</v>
      </c>
      <c r="O101">
        <v>14.903962999999999</v>
      </c>
      <c r="P101">
        <v>2</v>
      </c>
      <c r="Q101" s="1" t="s">
        <v>569</v>
      </c>
      <c r="R101" s="93">
        <v>43208.08</v>
      </c>
      <c r="S101">
        <v>12962.42</v>
      </c>
      <c r="T101">
        <v>0</v>
      </c>
      <c r="U101" s="1" t="s">
        <v>937</v>
      </c>
      <c r="V101" s="1"/>
      <c r="W101">
        <v>43208.078150000001</v>
      </c>
      <c r="X101">
        <v>0</v>
      </c>
      <c r="Y101">
        <v>92402</v>
      </c>
    </row>
    <row r="102" spans="1:25" ht="15" hidden="1" customHeight="1" x14ac:dyDescent="0.25">
      <c r="A102" s="1" t="s">
        <v>24</v>
      </c>
      <c r="B102" s="1"/>
      <c r="C102" s="1" t="s">
        <v>99</v>
      </c>
      <c r="D102">
        <v>13925</v>
      </c>
      <c r="E102" s="1" t="s">
        <v>243</v>
      </c>
      <c r="F102" s="1" t="s">
        <v>247</v>
      </c>
      <c r="G102" s="1" t="s">
        <v>99</v>
      </c>
      <c r="H102" s="1" t="s">
        <v>1405</v>
      </c>
      <c r="I102">
        <v>2014</v>
      </c>
      <c r="J102" s="93">
        <v>87968.24</v>
      </c>
      <c r="K102">
        <v>12</v>
      </c>
      <c r="L102" s="1" t="s">
        <v>394</v>
      </c>
      <c r="M102">
        <v>0</v>
      </c>
      <c r="N102">
        <v>2349</v>
      </c>
      <c r="O102">
        <v>37.447634999999998</v>
      </c>
      <c r="P102">
        <v>2</v>
      </c>
      <c r="Q102" s="1" t="s">
        <v>569</v>
      </c>
      <c r="R102" s="93">
        <v>87968.24</v>
      </c>
      <c r="S102">
        <v>26390.47</v>
      </c>
      <c r="T102">
        <v>0</v>
      </c>
      <c r="U102" s="1" t="s">
        <v>936</v>
      </c>
      <c r="V102" s="1" t="s">
        <v>1233</v>
      </c>
      <c r="W102">
        <v>87968.24</v>
      </c>
      <c r="X102">
        <v>0</v>
      </c>
      <c r="Y102">
        <v>76856</v>
      </c>
    </row>
    <row r="103" spans="1:25" ht="15" hidden="1" customHeight="1" x14ac:dyDescent="0.25">
      <c r="A103" s="1" t="s">
        <v>24</v>
      </c>
      <c r="B103" s="1"/>
      <c r="C103" s="1" t="s">
        <v>99</v>
      </c>
      <c r="D103">
        <v>9524</v>
      </c>
      <c r="E103" s="1"/>
      <c r="F103" s="1" t="s">
        <v>248</v>
      </c>
      <c r="G103" s="1" t="s">
        <v>99</v>
      </c>
      <c r="H103" s="1" t="s">
        <v>1396</v>
      </c>
      <c r="I103">
        <v>2014</v>
      </c>
      <c r="J103" s="93">
        <v>39218.33</v>
      </c>
      <c r="K103">
        <v>2</v>
      </c>
      <c r="L103" s="1" t="s">
        <v>506</v>
      </c>
      <c r="M103">
        <v>0</v>
      </c>
      <c r="N103">
        <v>2899</v>
      </c>
      <c r="O103">
        <v>13.527760000000001</v>
      </c>
      <c r="P103">
        <v>2</v>
      </c>
      <c r="Q103" s="1" t="s">
        <v>569</v>
      </c>
      <c r="R103" s="93">
        <v>39218.33</v>
      </c>
      <c r="S103">
        <v>11765.5</v>
      </c>
      <c r="T103">
        <v>1</v>
      </c>
      <c r="U103" s="1" t="s">
        <v>938</v>
      </c>
      <c r="V103" s="1"/>
      <c r="W103">
        <v>39218.330349999997</v>
      </c>
      <c r="X103">
        <v>0</v>
      </c>
      <c r="Y103">
        <v>96538</v>
      </c>
    </row>
    <row r="104" spans="1:25" ht="15" hidden="1" customHeight="1" x14ac:dyDescent="0.25">
      <c r="A104" s="1" t="s">
        <v>24</v>
      </c>
      <c r="B104" s="1"/>
      <c r="C104" s="1" t="s">
        <v>99</v>
      </c>
      <c r="D104">
        <v>9524</v>
      </c>
      <c r="E104" s="1"/>
      <c r="F104" s="1" t="s">
        <v>248</v>
      </c>
      <c r="G104" s="1" t="s">
        <v>99</v>
      </c>
      <c r="H104" s="1" t="s">
        <v>1405</v>
      </c>
      <c r="I104">
        <v>2014</v>
      </c>
      <c r="J104" s="93">
        <v>204726.99</v>
      </c>
      <c r="K104">
        <v>12</v>
      </c>
      <c r="L104" s="1" t="s">
        <v>394</v>
      </c>
      <c r="M104">
        <v>0</v>
      </c>
      <c r="N104">
        <v>2899</v>
      </c>
      <c r="O104">
        <v>70.617429000000001</v>
      </c>
      <c r="P104">
        <v>2</v>
      </c>
      <c r="Q104" s="1" t="s">
        <v>569</v>
      </c>
      <c r="R104" s="93">
        <v>204726.99</v>
      </c>
      <c r="S104">
        <v>61418.09</v>
      </c>
      <c r="T104">
        <v>0</v>
      </c>
      <c r="U104" s="1" t="s">
        <v>939</v>
      </c>
      <c r="V104" s="1"/>
      <c r="W104">
        <v>204726.99176</v>
      </c>
      <c r="X104">
        <v>0</v>
      </c>
      <c r="Y104">
        <v>76870</v>
      </c>
    </row>
    <row r="105" spans="1:25" ht="15" hidden="1" customHeight="1" x14ac:dyDescent="0.25">
      <c r="A105" s="1" t="s">
        <v>24</v>
      </c>
      <c r="B105" s="1"/>
      <c r="C105" s="1" t="s">
        <v>99</v>
      </c>
      <c r="D105">
        <v>9524</v>
      </c>
      <c r="E105" s="1"/>
      <c r="F105" s="1" t="s">
        <v>248</v>
      </c>
      <c r="G105" s="1" t="s">
        <v>99</v>
      </c>
      <c r="H105" s="1" t="s">
        <v>1405</v>
      </c>
      <c r="I105">
        <v>2014</v>
      </c>
      <c r="J105" s="93">
        <v>45629.01</v>
      </c>
      <c r="K105">
        <v>6</v>
      </c>
      <c r="L105" s="1" t="s">
        <v>506</v>
      </c>
      <c r="M105">
        <v>0</v>
      </c>
      <c r="N105">
        <v>2899</v>
      </c>
      <c r="O105">
        <v>15.739025</v>
      </c>
      <c r="P105">
        <v>2</v>
      </c>
      <c r="Q105" s="1" t="s">
        <v>569</v>
      </c>
      <c r="R105" s="93">
        <v>45629.01</v>
      </c>
      <c r="S105">
        <v>13688.71</v>
      </c>
      <c r="T105">
        <v>0</v>
      </c>
      <c r="U105" s="1" t="s">
        <v>937</v>
      </c>
      <c r="V105" s="1"/>
      <c r="W105">
        <v>45629.008240000003</v>
      </c>
      <c r="X105">
        <v>0</v>
      </c>
      <c r="Y105">
        <v>92402</v>
      </c>
    </row>
    <row r="106" spans="1:25" ht="15" hidden="1" customHeight="1" x14ac:dyDescent="0.25">
      <c r="A106" s="1" t="s">
        <v>24</v>
      </c>
      <c r="B106" s="1"/>
      <c r="C106" s="1" t="s">
        <v>99</v>
      </c>
      <c r="D106">
        <v>9524</v>
      </c>
      <c r="E106" s="1"/>
      <c r="F106" s="1" t="s">
        <v>248</v>
      </c>
      <c r="G106" s="1" t="s">
        <v>99</v>
      </c>
      <c r="H106" s="1" t="s">
        <v>1396</v>
      </c>
      <c r="I106">
        <v>2014</v>
      </c>
      <c r="J106" s="93">
        <v>128970.89</v>
      </c>
      <c r="K106">
        <v>12</v>
      </c>
      <c r="L106" s="1"/>
      <c r="M106">
        <v>0</v>
      </c>
      <c r="N106">
        <v>2899</v>
      </c>
      <c r="O106">
        <v>44.486525999999998</v>
      </c>
      <c r="P106">
        <v>1</v>
      </c>
      <c r="Q106" s="1" t="s">
        <v>563</v>
      </c>
      <c r="R106" s="93">
        <v>153385.26999999999</v>
      </c>
      <c r="S106">
        <v>281.36</v>
      </c>
      <c r="T106">
        <v>1</v>
      </c>
      <c r="U106" s="1"/>
      <c r="V106" s="1"/>
      <c r="W106">
        <v>3696.5</v>
      </c>
      <c r="X106">
        <v>74459</v>
      </c>
      <c r="Y106">
        <v>74460</v>
      </c>
    </row>
    <row r="107" spans="1:25" ht="15" hidden="1" customHeight="1" x14ac:dyDescent="0.25">
      <c r="A107" s="1" t="s">
        <v>24</v>
      </c>
      <c r="B107" s="1"/>
      <c r="C107" s="1" t="s">
        <v>99</v>
      </c>
      <c r="D107">
        <v>13925</v>
      </c>
      <c r="E107" s="1" t="s">
        <v>243</v>
      </c>
      <c r="F107" s="1" t="s">
        <v>247</v>
      </c>
      <c r="G107" s="1" t="s">
        <v>99</v>
      </c>
      <c r="H107" s="1" t="s">
        <v>1405</v>
      </c>
      <c r="I107">
        <v>2014</v>
      </c>
      <c r="J107" s="93">
        <v>591.4</v>
      </c>
      <c r="K107">
        <v>12</v>
      </c>
      <c r="L107" s="1" t="s">
        <v>394</v>
      </c>
      <c r="M107">
        <v>0</v>
      </c>
      <c r="N107">
        <v>2349</v>
      </c>
      <c r="O107">
        <v>0.25175500000000001</v>
      </c>
      <c r="P107">
        <v>3</v>
      </c>
      <c r="Q107" s="1" t="s">
        <v>560</v>
      </c>
      <c r="R107" s="93">
        <v>591.4</v>
      </c>
      <c r="S107">
        <v>473.13</v>
      </c>
      <c r="T107">
        <v>0</v>
      </c>
      <c r="U107" s="1" t="s">
        <v>573</v>
      </c>
      <c r="V107" s="1"/>
      <c r="W107">
        <v>591.40499999999997</v>
      </c>
      <c r="X107">
        <v>0</v>
      </c>
      <c r="Y107">
        <v>77030</v>
      </c>
    </row>
    <row r="108" spans="1:25" ht="15" hidden="1" customHeight="1" x14ac:dyDescent="0.25">
      <c r="A108" s="1" t="s">
        <v>24</v>
      </c>
      <c r="B108" s="1"/>
      <c r="C108" s="1" t="s">
        <v>99</v>
      </c>
      <c r="D108">
        <v>9524</v>
      </c>
      <c r="E108" s="1"/>
      <c r="F108" s="1" t="s">
        <v>248</v>
      </c>
      <c r="G108" s="1" t="s">
        <v>99</v>
      </c>
      <c r="H108" s="1" t="s">
        <v>1405</v>
      </c>
      <c r="I108">
        <v>2014</v>
      </c>
      <c r="J108" s="93">
        <v>556.41</v>
      </c>
      <c r="K108">
        <v>12</v>
      </c>
      <c r="L108" s="1" t="s">
        <v>394</v>
      </c>
      <c r="M108">
        <v>0</v>
      </c>
      <c r="N108">
        <v>2899</v>
      </c>
      <c r="O108">
        <v>0.19192500000000001</v>
      </c>
      <c r="P108">
        <v>3</v>
      </c>
      <c r="Q108" s="1" t="s">
        <v>560</v>
      </c>
      <c r="R108" s="93">
        <v>556.41</v>
      </c>
      <c r="S108">
        <v>445.11</v>
      </c>
      <c r="T108">
        <v>0</v>
      </c>
      <c r="U108" s="1" t="s">
        <v>574</v>
      </c>
      <c r="V108" s="1"/>
      <c r="W108">
        <v>556.40800000000002</v>
      </c>
      <c r="X108">
        <v>0</v>
      </c>
      <c r="Y108">
        <v>77029</v>
      </c>
    </row>
    <row r="109" spans="1:25" ht="15" hidden="1" customHeight="1" x14ac:dyDescent="0.25">
      <c r="A109" s="1" t="s">
        <v>24</v>
      </c>
      <c r="B109" s="1"/>
      <c r="C109" s="1" t="s">
        <v>99</v>
      </c>
      <c r="D109">
        <v>9524</v>
      </c>
      <c r="E109" s="1"/>
      <c r="F109" s="1" t="s">
        <v>248</v>
      </c>
      <c r="G109" s="1" t="s">
        <v>99</v>
      </c>
      <c r="H109" s="1" t="s">
        <v>1405</v>
      </c>
      <c r="I109">
        <v>2014</v>
      </c>
      <c r="J109" s="93">
        <v>125350</v>
      </c>
      <c r="K109">
        <v>12</v>
      </c>
      <c r="L109" s="1"/>
      <c r="M109">
        <v>0</v>
      </c>
      <c r="N109">
        <v>2899</v>
      </c>
      <c r="O109">
        <v>39.788209999999999</v>
      </c>
      <c r="P109">
        <v>1</v>
      </c>
      <c r="Q109" s="1" t="s">
        <v>562</v>
      </c>
      <c r="R109" s="93">
        <v>147742.20000000001</v>
      </c>
      <c r="S109">
        <v>8815.5</v>
      </c>
      <c r="T109">
        <v>0</v>
      </c>
      <c r="U109" s="1" t="s">
        <v>753</v>
      </c>
      <c r="V109" s="1"/>
      <c r="W109">
        <v>115350</v>
      </c>
      <c r="X109">
        <v>0</v>
      </c>
      <c r="Y109">
        <v>74459</v>
      </c>
    </row>
    <row r="110" spans="1:25" ht="15" hidden="1" customHeight="1" x14ac:dyDescent="0.25">
      <c r="A110" s="1" t="s">
        <v>24</v>
      </c>
      <c r="B110" s="1"/>
      <c r="C110" s="1" t="s">
        <v>99</v>
      </c>
      <c r="D110">
        <v>13925</v>
      </c>
      <c r="E110" s="1" t="s">
        <v>243</v>
      </c>
      <c r="F110" s="1" t="s">
        <v>247</v>
      </c>
      <c r="G110" s="1" t="s">
        <v>99</v>
      </c>
      <c r="H110" s="1" t="s">
        <v>1405</v>
      </c>
      <c r="I110">
        <v>2015</v>
      </c>
      <c r="J110" s="93">
        <v>93204</v>
      </c>
      <c r="K110">
        <v>5</v>
      </c>
      <c r="L110" s="1" t="s">
        <v>394</v>
      </c>
      <c r="M110">
        <v>0</v>
      </c>
      <c r="N110">
        <v>2349</v>
      </c>
      <c r="O110">
        <v>24.918402</v>
      </c>
      <c r="P110">
        <v>2</v>
      </c>
      <c r="Q110" s="1" t="s">
        <v>569</v>
      </c>
      <c r="R110" s="93">
        <v>58535.82</v>
      </c>
      <c r="S110">
        <v>17560.740000000002</v>
      </c>
      <c r="T110">
        <v>0</v>
      </c>
      <c r="U110" s="1" t="s">
        <v>936</v>
      </c>
      <c r="V110" s="1" t="s">
        <v>1233</v>
      </c>
      <c r="W110">
        <v>58535.82</v>
      </c>
      <c r="X110">
        <v>0</v>
      </c>
      <c r="Y110">
        <v>76856</v>
      </c>
    </row>
    <row r="111" spans="1:25" ht="15" hidden="1" customHeight="1" x14ac:dyDescent="0.25">
      <c r="A111" s="1" t="s">
        <v>24</v>
      </c>
      <c r="B111" s="1"/>
      <c r="C111" s="1" t="s">
        <v>99</v>
      </c>
      <c r="D111">
        <v>9524</v>
      </c>
      <c r="E111" s="1"/>
      <c r="F111" s="1" t="s">
        <v>248</v>
      </c>
      <c r="G111" s="1" t="s">
        <v>99</v>
      </c>
      <c r="H111" s="1" t="s">
        <v>1405</v>
      </c>
      <c r="I111">
        <v>2015</v>
      </c>
      <c r="J111" s="93">
        <v>0</v>
      </c>
      <c r="K111">
        <v>2</v>
      </c>
      <c r="L111" s="1" t="s">
        <v>506</v>
      </c>
      <c r="M111">
        <v>0</v>
      </c>
      <c r="N111">
        <v>2899</v>
      </c>
      <c r="O111">
        <v>1.729295</v>
      </c>
      <c r="P111">
        <v>2</v>
      </c>
      <c r="Q111" s="1" t="s">
        <v>569</v>
      </c>
      <c r="R111" s="93">
        <v>5013.3999999999996</v>
      </c>
      <c r="S111">
        <v>1504.02</v>
      </c>
      <c r="T111">
        <v>0</v>
      </c>
      <c r="U111" s="1" t="s">
        <v>937</v>
      </c>
      <c r="V111" s="1"/>
      <c r="W111">
        <v>5013.39732</v>
      </c>
      <c r="X111">
        <v>0</v>
      </c>
      <c r="Y111">
        <v>92402</v>
      </c>
    </row>
    <row r="112" spans="1:25" ht="15" hidden="1" customHeight="1" x14ac:dyDescent="0.25">
      <c r="A112" s="1" t="s">
        <v>24</v>
      </c>
      <c r="B112" s="1"/>
      <c r="C112" s="1" t="s">
        <v>99</v>
      </c>
      <c r="D112">
        <v>9524</v>
      </c>
      <c r="E112" s="1"/>
      <c r="F112" s="1" t="s">
        <v>248</v>
      </c>
      <c r="G112" s="1" t="s">
        <v>99</v>
      </c>
      <c r="H112" s="1" t="s">
        <v>1396</v>
      </c>
      <c r="I112">
        <v>2015</v>
      </c>
      <c r="J112" s="93">
        <v>0</v>
      </c>
      <c r="K112">
        <v>2</v>
      </c>
      <c r="L112" s="1" t="s">
        <v>506</v>
      </c>
      <c r="M112">
        <v>0</v>
      </c>
      <c r="N112">
        <v>2899</v>
      </c>
      <c r="O112">
        <v>3.9992299999999998</v>
      </c>
      <c r="P112">
        <v>2</v>
      </c>
      <c r="Q112" s="1" t="s">
        <v>569</v>
      </c>
      <c r="R112" s="93">
        <v>11594.17</v>
      </c>
      <c r="S112">
        <v>3478.25</v>
      </c>
      <c r="T112">
        <v>1</v>
      </c>
      <c r="U112" s="1" t="s">
        <v>938</v>
      </c>
      <c r="V112" s="1"/>
      <c r="W112">
        <v>11594.16964</v>
      </c>
      <c r="X112">
        <v>0</v>
      </c>
      <c r="Y112">
        <v>96538</v>
      </c>
    </row>
    <row r="113" spans="1:25" ht="15" hidden="1" customHeight="1" x14ac:dyDescent="0.25">
      <c r="A113" s="1" t="s">
        <v>24</v>
      </c>
      <c r="B113" s="1"/>
      <c r="C113" s="1" t="s">
        <v>99</v>
      </c>
      <c r="D113">
        <v>9524</v>
      </c>
      <c r="E113" s="1"/>
      <c r="F113" s="1" t="s">
        <v>248</v>
      </c>
      <c r="G113" s="1" t="s">
        <v>99</v>
      </c>
      <c r="H113" s="1" t="s">
        <v>1405</v>
      </c>
      <c r="I113">
        <v>2015</v>
      </c>
      <c r="J113" s="93">
        <v>246840</v>
      </c>
      <c r="K113">
        <v>5</v>
      </c>
      <c r="L113" s="1" t="s">
        <v>394</v>
      </c>
      <c r="M113">
        <v>0</v>
      </c>
      <c r="N113">
        <v>2899</v>
      </c>
      <c r="O113">
        <v>32.954813000000001</v>
      </c>
      <c r="P113">
        <v>2</v>
      </c>
      <c r="Q113" s="1" t="s">
        <v>569</v>
      </c>
      <c r="R113" s="93">
        <v>95539.3</v>
      </c>
      <c r="S113">
        <v>28661.79</v>
      </c>
      <c r="T113">
        <v>0</v>
      </c>
      <c r="U113" s="1" t="s">
        <v>939</v>
      </c>
      <c r="V113" s="1"/>
      <c r="W113">
        <v>95539.302679999993</v>
      </c>
      <c r="X113">
        <v>0</v>
      </c>
      <c r="Y113">
        <v>76870</v>
      </c>
    </row>
    <row r="114" spans="1:25" ht="15" hidden="1" customHeight="1" x14ac:dyDescent="0.25">
      <c r="A114" s="1" t="s">
        <v>25</v>
      </c>
      <c r="B114" s="1"/>
      <c r="C114" s="1" t="s">
        <v>100</v>
      </c>
      <c r="D114">
        <v>10227</v>
      </c>
      <c r="E114" s="1"/>
      <c r="F114" s="1" t="s">
        <v>249</v>
      </c>
      <c r="G114" s="1" t="s">
        <v>249</v>
      </c>
      <c r="H114" s="1" t="s">
        <v>1396</v>
      </c>
      <c r="I114">
        <v>2013</v>
      </c>
      <c r="J114" s="93">
        <v>32.01</v>
      </c>
      <c r="K114">
        <v>4</v>
      </c>
      <c r="L114" s="1" t="s">
        <v>395</v>
      </c>
      <c r="M114">
        <v>0</v>
      </c>
      <c r="N114">
        <v>260</v>
      </c>
      <c r="O114">
        <v>0.123068</v>
      </c>
      <c r="P114">
        <v>3</v>
      </c>
      <c r="Q114" s="1" t="s">
        <v>560</v>
      </c>
      <c r="R114" s="93">
        <v>32.01</v>
      </c>
      <c r="S114">
        <v>25.63</v>
      </c>
      <c r="T114">
        <v>0</v>
      </c>
      <c r="U114" s="1" t="s">
        <v>575</v>
      </c>
      <c r="V114" s="1"/>
      <c r="W114">
        <v>32.022880000000001</v>
      </c>
      <c r="X114">
        <v>0</v>
      </c>
      <c r="Y114">
        <v>77470</v>
      </c>
    </row>
    <row r="115" spans="1:25" ht="15" hidden="1" customHeight="1" x14ac:dyDescent="0.25">
      <c r="A115" s="1" t="s">
        <v>25</v>
      </c>
      <c r="B115" s="1"/>
      <c r="C115" s="1" t="s">
        <v>100</v>
      </c>
      <c r="D115">
        <v>10227</v>
      </c>
      <c r="E115" s="1"/>
      <c r="F115" s="1" t="s">
        <v>249</v>
      </c>
      <c r="G115" s="1" t="s">
        <v>249</v>
      </c>
      <c r="H115" s="1" t="s">
        <v>1396</v>
      </c>
      <c r="I115">
        <v>2012</v>
      </c>
      <c r="J115" s="93">
        <v>35.549999999999997</v>
      </c>
      <c r="K115">
        <v>5</v>
      </c>
      <c r="L115" s="1" t="s">
        <v>395</v>
      </c>
      <c r="M115">
        <v>0</v>
      </c>
      <c r="N115">
        <v>260</v>
      </c>
      <c r="O115">
        <v>0.13667799999999999</v>
      </c>
      <c r="P115">
        <v>3</v>
      </c>
      <c r="Q115" s="1" t="s">
        <v>560</v>
      </c>
      <c r="R115" s="93">
        <v>35.549999999999997</v>
      </c>
      <c r="S115">
        <v>28.46</v>
      </c>
      <c r="T115">
        <v>0</v>
      </c>
      <c r="U115" s="1" t="s">
        <v>575</v>
      </c>
      <c r="V115" s="1"/>
      <c r="W115">
        <v>35.555300000000003</v>
      </c>
      <c r="X115">
        <v>0</v>
      </c>
      <c r="Y115">
        <v>77470</v>
      </c>
    </row>
    <row r="116" spans="1:25" ht="15" hidden="1" customHeight="1" x14ac:dyDescent="0.25">
      <c r="A116" s="1" t="s">
        <v>25</v>
      </c>
      <c r="B116" s="1"/>
      <c r="C116" s="1" t="s">
        <v>100</v>
      </c>
      <c r="D116">
        <v>10227</v>
      </c>
      <c r="E116" s="1"/>
      <c r="F116" s="1" t="s">
        <v>249</v>
      </c>
      <c r="G116" s="1" t="s">
        <v>249</v>
      </c>
      <c r="H116" s="1" t="s">
        <v>1396</v>
      </c>
      <c r="I116">
        <v>2011</v>
      </c>
      <c r="J116" s="93">
        <v>143.41</v>
      </c>
      <c r="K116">
        <v>2</v>
      </c>
      <c r="L116" s="1" t="s">
        <v>395</v>
      </c>
      <c r="M116">
        <v>0</v>
      </c>
      <c r="N116">
        <v>260</v>
      </c>
      <c r="O116">
        <v>0.55136399999999997</v>
      </c>
      <c r="P116">
        <v>3</v>
      </c>
      <c r="Q116" s="1" t="s">
        <v>560</v>
      </c>
      <c r="R116" s="93">
        <v>143.41</v>
      </c>
      <c r="S116">
        <v>114.7</v>
      </c>
      <c r="T116">
        <v>0</v>
      </c>
      <c r="U116" s="1" t="s">
        <v>575</v>
      </c>
      <c r="V116" s="1"/>
      <c r="W116">
        <v>143.38570000000001</v>
      </c>
      <c r="X116">
        <v>0</v>
      </c>
      <c r="Y116">
        <v>77470</v>
      </c>
    </row>
    <row r="117" spans="1:25" ht="15" hidden="1" customHeight="1" x14ac:dyDescent="0.25">
      <c r="A117" s="1" t="s">
        <v>25</v>
      </c>
      <c r="B117" s="1"/>
      <c r="C117" s="1" t="s">
        <v>100</v>
      </c>
      <c r="D117">
        <v>10227</v>
      </c>
      <c r="E117" s="1"/>
      <c r="F117" s="1" t="s">
        <v>249</v>
      </c>
      <c r="G117" s="1" t="s">
        <v>249</v>
      </c>
      <c r="H117" s="1" t="s">
        <v>1396</v>
      </c>
      <c r="I117">
        <v>2010</v>
      </c>
      <c r="J117" s="93">
        <v>33.26</v>
      </c>
      <c r="K117">
        <v>2</v>
      </c>
      <c r="L117" s="1" t="s">
        <v>395</v>
      </c>
      <c r="M117">
        <v>0</v>
      </c>
      <c r="N117">
        <v>260</v>
      </c>
      <c r="O117">
        <v>0.12787299999999999</v>
      </c>
      <c r="P117">
        <v>3</v>
      </c>
      <c r="Q117" s="1" t="s">
        <v>560</v>
      </c>
      <c r="R117" s="93">
        <v>33.26</v>
      </c>
      <c r="S117">
        <v>26.62</v>
      </c>
      <c r="T117">
        <v>0</v>
      </c>
      <c r="U117" s="1" t="s">
        <v>575</v>
      </c>
      <c r="V117" s="1"/>
      <c r="W117">
        <v>33.23912</v>
      </c>
      <c r="X117">
        <v>0</v>
      </c>
      <c r="Y117">
        <v>77470</v>
      </c>
    </row>
    <row r="118" spans="1:25" ht="15" hidden="1" customHeight="1" x14ac:dyDescent="0.25">
      <c r="A118" s="1" t="s">
        <v>25</v>
      </c>
      <c r="B118" s="1"/>
      <c r="C118" s="1" t="s">
        <v>100</v>
      </c>
      <c r="D118">
        <v>10227</v>
      </c>
      <c r="E118" s="1"/>
      <c r="F118" s="1" t="s">
        <v>249</v>
      </c>
      <c r="G118" s="1" t="s">
        <v>249</v>
      </c>
      <c r="H118" s="1" t="s">
        <v>1396</v>
      </c>
      <c r="I118">
        <v>2009</v>
      </c>
      <c r="J118" s="93">
        <v>29.62</v>
      </c>
      <c r="K118">
        <v>4</v>
      </c>
      <c r="L118" s="1" t="s">
        <v>395</v>
      </c>
      <c r="M118">
        <v>0</v>
      </c>
      <c r="N118">
        <v>260</v>
      </c>
      <c r="O118">
        <v>0.11387899999999999</v>
      </c>
      <c r="P118">
        <v>3</v>
      </c>
      <c r="Q118" s="1" t="s">
        <v>560</v>
      </c>
      <c r="R118" s="93">
        <v>29.62</v>
      </c>
      <c r="S118">
        <v>23.68</v>
      </c>
      <c r="T118">
        <v>0</v>
      </c>
      <c r="U118" s="1" t="s">
        <v>575</v>
      </c>
      <c r="V118" s="1"/>
      <c r="W118">
        <v>29.61252</v>
      </c>
      <c r="X118">
        <v>0</v>
      </c>
      <c r="Y118">
        <v>77470</v>
      </c>
    </row>
    <row r="119" spans="1:25" ht="15" hidden="1" customHeight="1" x14ac:dyDescent="0.25">
      <c r="A119" s="1" t="s">
        <v>25</v>
      </c>
      <c r="B119" s="1"/>
      <c r="C119" s="1" t="s">
        <v>100</v>
      </c>
      <c r="D119">
        <v>10227</v>
      </c>
      <c r="E119" s="1"/>
      <c r="F119" s="1" t="s">
        <v>249</v>
      </c>
      <c r="G119" s="1" t="s">
        <v>249</v>
      </c>
      <c r="H119" s="1" t="s">
        <v>1396</v>
      </c>
      <c r="I119">
        <v>2008</v>
      </c>
      <c r="J119" s="93">
        <v>44.53</v>
      </c>
      <c r="K119">
        <v>4</v>
      </c>
      <c r="L119" s="1" t="s">
        <v>395</v>
      </c>
      <c r="M119">
        <v>0</v>
      </c>
      <c r="N119">
        <v>260</v>
      </c>
      <c r="O119">
        <v>0.17120299999999999</v>
      </c>
      <c r="P119">
        <v>3</v>
      </c>
      <c r="Q119" s="1" t="s">
        <v>560</v>
      </c>
      <c r="R119" s="93">
        <v>44.53</v>
      </c>
      <c r="S119">
        <v>35.619999999999997</v>
      </c>
      <c r="T119">
        <v>0</v>
      </c>
      <c r="U119" s="1" t="s">
        <v>575</v>
      </c>
      <c r="V119" s="1"/>
      <c r="W119">
        <v>44.516480000000001</v>
      </c>
      <c r="X119">
        <v>0</v>
      </c>
      <c r="Y119">
        <v>77470</v>
      </c>
    </row>
    <row r="120" spans="1:25" ht="15" hidden="1" customHeight="1" x14ac:dyDescent="0.25">
      <c r="A120" s="1" t="s">
        <v>25</v>
      </c>
      <c r="B120" s="1" t="s">
        <v>44</v>
      </c>
      <c r="C120" s="1" t="s">
        <v>101</v>
      </c>
      <c r="D120">
        <v>13906</v>
      </c>
      <c r="E120" s="1" t="s">
        <v>243</v>
      </c>
      <c r="F120" s="1" t="s">
        <v>250</v>
      </c>
      <c r="G120" s="1" t="s">
        <v>250</v>
      </c>
      <c r="H120" s="1" t="s">
        <v>1396</v>
      </c>
      <c r="I120">
        <v>2012</v>
      </c>
      <c r="J120" s="93">
        <v>1.8</v>
      </c>
      <c r="K120">
        <v>2</v>
      </c>
      <c r="L120" s="1" t="s">
        <v>396</v>
      </c>
      <c r="M120">
        <v>0</v>
      </c>
      <c r="N120">
        <v>734</v>
      </c>
      <c r="O120">
        <v>2.4510000000000001E-3</v>
      </c>
      <c r="P120">
        <v>3</v>
      </c>
      <c r="Q120" s="1" t="s">
        <v>560</v>
      </c>
      <c r="R120" s="93">
        <v>1.8</v>
      </c>
      <c r="S120">
        <v>1.45</v>
      </c>
      <c r="T120">
        <v>0</v>
      </c>
      <c r="U120" s="1" t="s">
        <v>576</v>
      </c>
      <c r="V120" s="1"/>
      <c r="W120">
        <v>1.8</v>
      </c>
      <c r="X120">
        <v>0</v>
      </c>
      <c r="Y120">
        <v>92372</v>
      </c>
    </row>
    <row r="121" spans="1:25" ht="15" hidden="1" customHeight="1" x14ac:dyDescent="0.25">
      <c r="A121" s="1" t="s">
        <v>25</v>
      </c>
      <c r="B121" s="1" t="s">
        <v>45</v>
      </c>
      <c r="C121" s="1" t="s">
        <v>102</v>
      </c>
      <c r="D121">
        <v>13363</v>
      </c>
      <c r="E121" s="1" t="s">
        <v>243</v>
      </c>
      <c r="F121" s="1" t="s">
        <v>102</v>
      </c>
      <c r="G121" s="1" t="s">
        <v>102</v>
      </c>
      <c r="H121" s="1" t="s">
        <v>1396</v>
      </c>
      <c r="I121">
        <v>2012</v>
      </c>
      <c r="J121" s="93">
        <v>0</v>
      </c>
      <c r="K121">
        <v>1</v>
      </c>
      <c r="L121" s="1" t="s">
        <v>397</v>
      </c>
      <c r="M121">
        <v>0</v>
      </c>
      <c r="N121">
        <v>87</v>
      </c>
      <c r="O121">
        <v>0</v>
      </c>
      <c r="P121">
        <v>3</v>
      </c>
      <c r="Q121" s="1" t="s">
        <v>560</v>
      </c>
      <c r="R121" s="93">
        <v>0</v>
      </c>
      <c r="S121">
        <v>0</v>
      </c>
      <c r="T121">
        <v>0</v>
      </c>
      <c r="U121" s="1" t="s">
        <v>577</v>
      </c>
      <c r="V121" s="1"/>
      <c r="W121">
        <v>0</v>
      </c>
      <c r="X121">
        <v>0</v>
      </c>
      <c r="Y121">
        <v>89460</v>
      </c>
    </row>
    <row r="122" spans="1:25" ht="15" hidden="1" customHeight="1" x14ac:dyDescent="0.25">
      <c r="A122" s="1" t="s">
        <v>25</v>
      </c>
      <c r="B122" s="1" t="s">
        <v>45</v>
      </c>
      <c r="C122" s="1" t="s">
        <v>102</v>
      </c>
      <c r="D122">
        <v>13363</v>
      </c>
      <c r="E122" s="1" t="s">
        <v>243</v>
      </c>
      <c r="F122" s="1" t="s">
        <v>102</v>
      </c>
      <c r="G122" s="1" t="s">
        <v>102</v>
      </c>
      <c r="H122" s="1" t="s">
        <v>1396</v>
      </c>
      <c r="I122">
        <v>2011</v>
      </c>
      <c r="J122" s="93">
        <v>0</v>
      </c>
      <c r="K122">
        <v>4</v>
      </c>
      <c r="L122" s="1" t="s">
        <v>397</v>
      </c>
      <c r="M122">
        <v>0</v>
      </c>
      <c r="N122">
        <v>87</v>
      </c>
      <c r="O122">
        <v>0</v>
      </c>
      <c r="P122">
        <v>3</v>
      </c>
      <c r="Q122" s="1" t="s">
        <v>560</v>
      </c>
      <c r="R122" s="93">
        <v>0</v>
      </c>
      <c r="S122">
        <v>0</v>
      </c>
      <c r="T122">
        <v>0</v>
      </c>
      <c r="U122" s="1" t="s">
        <v>577</v>
      </c>
      <c r="V122" s="1"/>
      <c r="W122">
        <v>0</v>
      </c>
      <c r="X122">
        <v>0</v>
      </c>
      <c r="Y122">
        <v>89460</v>
      </c>
    </row>
    <row r="123" spans="1:25" ht="15" hidden="1" customHeight="1" x14ac:dyDescent="0.25">
      <c r="A123" s="1" t="s">
        <v>25</v>
      </c>
      <c r="B123" s="1"/>
      <c r="C123" s="1" t="s">
        <v>103</v>
      </c>
      <c r="D123">
        <v>10322</v>
      </c>
      <c r="E123" s="1"/>
      <c r="F123" s="1" t="s">
        <v>251</v>
      </c>
      <c r="G123" s="1" t="s">
        <v>251</v>
      </c>
      <c r="H123" s="1" t="s">
        <v>1396</v>
      </c>
      <c r="I123">
        <v>2013</v>
      </c>
      <c r="J123" s="93">
        <v>20.3</v>
      </c>
      <c r="K123">
        <v>7</v>
      </c>
      <c r="L123" s="1" t="s">
        <v>395</v>
      </c>
      <c r="M123">
        <v>0</v>
      </c>
      <c r="N123">
        <v>98</v>
      </c>
      <c r="O123">
        <v>0.206931</v>
      </c>
      <c r="P123">
        <v>3</v>
      </c>
      <c r="Q123" s="1" t="s">
        <v>560</v>
      </c>
      <c r="R123" s="93">
        <v>20.3</v>
      </c>
      <c r="S123">
        <v>16.25</v>
      </c>
      <c r="T123">
        <v>0</v>
      </c>
      <c r="U123" s="1" t="s">
        <v>578</v>
      </c>
      <c r="V123" s="1"/>
      <c r="W123">
        <v>20.30256</v>
      </c>
      <c r="X123">
        <v>0</v>
      </c>
      <c r="Y123">
        <v>77813</v>
      </c>
    </row>
    <row r="124" spans="1:25" ht="15" hidden="1" customHeight="1" x14ac:dyDescent="0.25">
      <c r="A124" s="1" t="s">
        <v>25</v>
      </c>
      <c r="B124" s="1"/>
      <c r="C124" s="1" t="s">
        <v>103</v>
      </c>
      <c r="D124">
        <v>10322</v>
      </c>
      <c r="E124" s="1"/>
      <c r="F124" s="1" t="s">
        <v>251</v>
      </c>
      <c r="G124" s="1" t="s">
        <v>251</v>
      </c>
      <c r="H124" s="1" t="s">
        <v>1396</v>
      </c>
      <c r="I124">
        <v>2012</v>
      </c>
      <c r="J124" s="93">
        <v>104.68</v>
      </c>
      <c r="K124">
        <v>4</v>
      </c>
      <c r="L124" s="1" t="s">
        <v>395</v>
      </c>
      <c r="M124">
        <v>0</v>
      </c>
      <c r="N124">
        <v>98</v>
      </c>
      <c r="O124">
        <v>1.0670740000000001</v>
      </c>
      <c r="P124">
        <v>3</v>
      </c>
      <c r="Q124" s="1" t="s">
        <v>560</v>
      </c>
      <c r="R124" s="93">
        <v>104.68</v>
      </c>
      <c r="S124">
        <v>83.74</v>
      </c>
      <c r="T124">
        <v>0</v>
      </c>
      <c r="U124" s="1" t="s">
        <v>578</v>
      </c>
      <c r="V124" s="1"/>
      <c r="W124">
        <v>104.69745</v>
      </c>
      <c r="X124">
        <v>0</v>
      </c>
      <c r="Y124">
        <v>77813</v>
      </c>
    </row>
    <row r="125" spans="1:25" ht="15" hidden="1" customHeight="1" x14ac:dyDescent="0.25">
      <c r="A125" s="1" t="s">
        <v>25</v>
      </c>
      <c r="B125" s="1"/>
      <c r="C125" s="1" t="s">
        <v>103</v>
      </c>
      <c r="D125">
        <v>10322</v>
      </c>
      <c r="E125" s="1"/>
      <c r="F125" s="1" t="s">
        <v>251</v>
      </c>
      <c r="G125" s="1" t="s">
        <v>251</v>
      </c>
      <c r="H125" s="1" t="s">
        <v>1396</v>
      </c>
      <c r="I125">
        <v>2011</v>
      </c>
      <c r="J125" s="93">
        <v>136.97999999999999</v>
      </c>
      <c r="K125">
        <v>4</v>
      </c>
      <c r="L125" s="1" t="s">
        <v>395</v>
      </c>
      <c r="M125">
        <v>0</v>
      </c>
      <c r="N125">
        <v>98</v>
      </c>
      <c r="O125">
        <v>1.3963300000000001</v>
      </c>
      <c r="P125">
        <v>3</v>
      </c>
      <c r="Q125" s="1" t="s">
        <v>560</v>
      </c>
      <c r="R125" s="93">
        <v>136.97999999999999</v>
      </c>
      <c r="S125">
        <v>109.56</v>
      </c>
      <c r="T125">
        <v>0</v>
      </c>
      <c r="U125" s="1" t="s">
        <v>578</v>
      </c>
      <c r="V125" s="1"/>
      <c r="W125">
        <v>137.00002000000001</v>
      </c>
      <c r="X125">
        <v>0</v>
      </c>
      <c r="Y125">
        <v>77813</v>
      </c>
    </row>
    <row r="126" spans="1:25" ht="15" hidden="1" customHeight="1" x14ac:dyDescent="0.25">
      <c r="A126" s="1" t="s">
        <v>25</v>
      </c>
      <c r="B126" s="1"/>
      <c r="C126" s="1" t="s">
        <v>103</v>
      </c>
      <c r="D126">
        <v>10322</v>
      </c>
      <c r="E126" s="1"/>
      <c r="F126" s="1" t="s">
        <v>251</v>
      </c>
      <c r="G126" s="1" t="s">
        <v>251</v>
      </c>
      <c r="H126" s="1" t="s">
        <v>1396</v>
      </c>
      <c r="I126">
        <v>2010</v>
      </c>
      <c r="J126" s="93">
        <v>41.76</v>
      </c>
      <c r="K126">
        <v>3</v>
      </c>
      <c r="L126" s="1" t="s">
        <v>395</v>
      </c>
      <c r="M126">
        <v>0</v>
      </c>
      <c r="N126">
        <v>98</v>
      </c>
      <c r="O126">
        <v>0.42568800000000001</v>
      </c>
      <c r="P126">
        <v>3</v>
      </c>
      <c r="Q126" s="1" t="s">
        <v>560</v>
      </c>
      <c r="R126" s="93">
        <v>41.76</v>
      </c>
      <c r="S126">
        <v>33.42</v>
      </c>
      <c r="T126">
        <v>0</v>
      </c>
      <c r="U126" s="1" t="s">
        <v>578</v>
      </c>
      <c r="V126" s="1"/>
      <c r="W126">
        <v>41.76858</v>
      </c>
      <c r="X126">
        <v>0</v>
      </c>
      <c r="Y126">
        <v>77813</v>
      </c>
    </row>
    <row r="127" spans="1:25" ht="15" hidden="1" customHeight="1" x14ac:dyDescent="0.25">
      <c r="A127" s="1" t="s">
        <v>25</v>
      </c>
      <c r="B127" s="1"/>
      <c r="C127" s="1" t="s">
        <v>103</v>
      </c>
      <c r="D127">
        <v>10322</v>
      </c>
      <c r="E127" s="1"/>
      <c r="F127" s="1" t="s">
        <v>251</v>
      </c>
      <c r="G127" s="1" t="s">
        <v>251</v>
      </c>
      <c r="H127" s="1" t="s">
        <v>1396</v>
      </c>
      <c r="I127">
        <v>2009</v>
      </c>
      <c r="J127" s="93">
        <v>9.8699999999999992</v>
      </c>
      <c r="K127">
        <v>3</v>
      </c>
      <c r="L127" s="1" t="s">
        <v>395</v>
      </c>
      <c r="M127">
        <v>0</v>
      </c>
      <c r="N127">
        <v>98</v>
      </c>
      <c r="O127">
        <v>0.10061100000000001</v>
      </c>
      <c r="P127">
        <v>3</v>
      </c>
      <c r="Q127" s="1" t="s">
        <v>560</v>
      </c>
      <c r="R127" s="93">
        <v>9.8699999999999992</v>
      </c>
      <c r="S127">
        <v>7.89</v>
      </c>
      <c r="T127">
        <v>0</v>
      </c>
      <c r="U127" s="1" t="s">
        <v>578</v>
      </c>
      <c r="V127" s="1"/>
      <c r="W127">
        <v>9.8697199999999992</v>
      </c>
      <c r="X127">
        <v>0</v>
      </c>
      <c r="Y127">
        <v>77813</v>
      </c>
    </row>
    <row r="128" spans="1:25" ht="15" hidden="1" customHeight="1" x14ac:dyDescent="0.25">
      <c r="A128" s="1" t="s">
        <v>25</v>
      </c>
      <c r="B128" s="1"/>
      <c r="C128" s="1" t="s">
        <v>103</v>
      </c>
      <c r="D128">
        <v>10322</v>
      </c>
      <c r="E128" s="1"/>
      <c r="F128" s="1" t="s">
        <v>251</v>
      </c>
      <c r="G128" s="1" t="s">
        <v>251</v>
      </c>
      <c r="H128" s="1" t="s">
        <v>1396</v>
      </c>
      <c r="I128">
        <v>2008</v>
      </c>
      <c r="J128" s="93">
        <v>12.82</v>
      </c>
      <c r="K128">
        <v>3</v>
      </c>
      <c r="L128" s="1" t="s">
        <v>395</v>
      </c>
      <c r="M128">
        <v>0</v>
      </c>
      <c r="N128">
        <v>98</v>
      </c>
      <c r="O128">
        <v>0.13068199999999999</v>
      </c>
      <c r="P128">
        <v>3</v>
      </c>
      <c r="Q128" s="1" t="s">
        <v>560</v>
      </c>
      <c r="R128" s="93">
        <v>12.82</v>
      </c>
      <c r="S128">
        <v>10.27</v>
      </c>
      <c r="T128">
        <v>0</v>
      </c>
      <c r="U128" s="1" t="s">
        <v>578</v>
      </c>
      <c r="V128" s="1"/>
      <c r="W128">
        <v>12.820729999999999</v>
      </c>
      <c r="X128">
        <v>0</v>
      </c>
      <c r="Y128">
        <v>77813</v>
      </c>
    </row>
    <row r="129" spans="1:25" ht="15" hidden="1" customHeight="1" x14ac:dyDescent="0.25">
      <c r="A129" s="1" t="s">
        <v>25</v>
      </c>
      <c r="B129" s="1"/>
      <c r="C129" s="1" t="s">
        <v>104</v>
      </c>
      <c r="D129">
        <v>10171</v>
      </c>
      <c r="E129" s="1"/>
      <c r="F129" s="1" t="s">
        <v>252</v>
      </c>
      <c r="G129" s="1" t="s">
        <v>252</v>
      </c>
      <c r="H129" s="1" t="s">
        <v>1405</v>
      </c>
      <c r="I129">
        <v>2015</v>
      </c>
      <c r="J129" s="93">
        <v>2</v>
      </c>
      <c r="K129">
        <v>5</v>
      </c>
      <c r="L129" s="1" t="s">
        <v>398</v>
      </c>
      <c r="M129">
        <v>0</v>
      </c>
      <c r="N129">
        <v>353</v>
      </c>
      <c r="O129">
        <v>4.5310000000000003E-3</v>
      </c>
      <c r="P129">
        <v>3</v>
      </c>
      <c r="Q129" s="1" t="s">
        <v>560</v>
      </c>
      <c r="R129" s="93">
        <v>1.6</v>
      </c>
      <c r="S129">
        <v>1.28</v>
      </c>
      <c r="T129">
        <v>0</v>
      </c>
      <c r="U129" s="1" t="s">
        <v>579</v>
      </c>
      <c r="V129" s="1"/>
      <c r="W129">
        <v>1.6</v>
      </c>
      <c r="X129">
        <v>0</v>
      </c>
      <c r="Y129">
        <v>77186</v>
      </c>
    </row>
    <row r="130" spans="1:25" ht="15" hidden="1" customHeight="1" x14ac:dyDescent="0.25">
      <c r="A130" s="1" t="s">
        <v>25</v>
      </c>
      <c r="B130" s="1"/>
      <c r="C130" s="1" t="s">
        <v>104</v>
      </c>
      <c r="D130">
        <v>10171</v>
      </c>
      <c r="E130" s="1"/>
      <c r="F130" s="1" t="s">
        <v>252</v>
      </c>
      <c r="G130" s="1" t="s">
        <v>252</v>
      </c>
      <c r="H130" s="1" t="s">
        <v>1405</v>
      </c>
      <c r="I130">
        <v>2013</v>
      </c>
      <c r="J130" s="93">
        <v>18.3</v>
      </c>
      <c r="K130">
        <v>12</v>
      </c>
      <c r="L130" s="1" t="s">
        <v>398</v>
      </c>
      <c r="M130">
        <v>0</v>
      </c>
      <c r="N130">
        <v>353</v>
      </c>
      <c r="O130">
        <v>5.1825999999999997E-2</v>
      </c>
      <c r="P130">
        <v>3</v>
      </c>
      <c r="Q130" s="1" t="s">
        <v>560</v>
      </c>
      <c r="R130" s="93">
        <v>18.3</v>
      </c>
      <c r="S130">
        <v>14.64</v>
      </c>
      <c r="T130">
        <v>0</v>
      </c>
      <c r="U130" s="1" t="s">
        <v>579</v>
      </c>
      <c r="V130" s="1"/>
      <c r="W130">
        <v>18.3</v>
      </c>
      <c r="X130">
        <v>0</v>
      </c>
      <c r="Y130">
        <v>77186</v>
      </c>
    </row>
    <row r="131" spans="1:25" ht="15" hidden="1" customHeight="1" x14ac:dyDescent="0.25">
      <c r="A131" s="1" t="s">
        <v>25</v>
      </c>
      <c r="B131" s="1"/>
      <c r="C131" s="1" t="s">
        <v>104</v>
      </c>
      <c r="D131">
        <v>10171</v>
      </c>
      <c r="E131" s="1"/>
      <c r="F131" s="1" t="s">
        <v>252</v>
      </c>
      <c r="G131" s="1" t="s">
        <v>252</v>
      </c>
      <c r="H131" s="1" t="s">
        <v>1405</v>
      </c>
      <c r="I131">
        <v>2012</v>
      </c>
      <c r="J131" s="93">
        <v>310.10000000000002</v>
      </c>
      <c r="K131">
        <v>12</v>
      </c>
      <c r="L131" s="1" t="s">
        <v>398</v>
      </c>
      <c r="M131">
        <v>0</v>
      </c>
      <c r="N131">
        <v>353</v>
      </c>
      <c r="O131">
        <v>0.87822100000000003</v>
      </c>
      <c r="P131">
        <v>3</v>
      </c>
      <c r="Q131" s="1" t="s">
        <v>560</v>
      </c>
      <c r="R131" s="93">
        <v>310.10000000000002</v>
      </c>
      <c r="S131">
        <v>248.08</v>
      </c>
      <c r="T131">
        <v>0</v>
      </c>
      <c r="U131" s="1" t="s">
        <v>579</v>
      </c>
      <c r="V131" s="1"/>
      <c r="W131">
        <v>310.10000000000002</v>
      </c>
      <c r="X131">
        <v>0</v>
      </c>
      <c r="Y131">
        <v>77186</v>
      </c>
    </row>
    <row r="132" spans="1:25" ht="15" hidden="1" customHeight="1" x14ac:dyDescent="0.25">
      <c r="A132" s="1" t="s">
        <v>25</v>
      </c>
      <c r="B132" s="1"/>
      <c r="C132" s="1" t="s">
        <v>104</v>
      </c>
      <c r="D132">
        <v>10171</v>
      </c>
      <c r="E132" s="1"/>
      <c r="F132" s="1" t="s">
        <v>252</v>
      </c>
      <c r="G132" s="1" t="s">
        <v>252</v>
      </c>
      <c r="H132" s="1" t="s">
        <v>1405</v>
      </c>
      <c r="I132">
        <v>2011</v>
      </c>
      <c r="J132" s="93">
        <v>166.98</v>
      </c>
      <c r="K132">
        <v>7</v>
      </c>
      <c r="L132" s="1" t="s">
        <v>398</v>
      </c>
      <c r="M132">
        <v>0</v>
      </c>
      <c r="N132">
        <v>353</v>
      </c>
      <c r="O132">
        <v>0.47289700000000001</v>
      </c>
      <c r="P132">
        <v>3</v>
      </c>
      <c r="Q132" s="1" t="s">
        <v>560</v>
      </c>
      <c r="R132" s="93">
        <v>166.98</v>
      </c>
      <c r="S132">
        <v>133.58000000000001</v>
      </c>
      <c r="T132">
        <v>0</v>
      </c>
      <c r="U132" s="1" t="s">
        <v>579</v>
      </c>
      <c r="V132" s="1"/>
      <c r="W132">
        <v>166.98177000000001</v>
      </c>
      <c r="X132">
        <v>0</v>
      </c>
      <c r="Y132">
        <v>77186</v>
      </c>
    </row>
    <row r="133" spans="1:25" ht="15" hidden="1" customHeight="1" x14ac:dyDescent="0.25">
      <c r="A133" s="1" t="s">
        <v>25</v>
      </c>
      <c r="B133" s="1"/>
      <c r="C133" s="1" t="s">
        <v>104</v>
      </c>
      <c r="D133">
        <v>10171</v>
      </c>
      <c r="E133" s="1"/>
      <c r="F133" s="1" t="s">
        <v>252</v>
      </c>
      <c r="G133" s="1" t="s">
        <v>252</v>
      </c>
      <c r="H133" s="1" t="s">
        <v>1405</v>
      </c>
      <c r="I133">
        <v>2010</v>
      </c>
      <c r="J133" s="93">
        <v>159.57</v>
      </c>
      <c r="K133">
        <v>2</v>
      </c>
      <c r="L133" s="1" t="s">
        <v>398</v>
      </c>
      <c r="M133">
        <v>0</v>
      </c>
      <c r="N133">
        <v>353</v>
      </c>
      <c r="O133">
        <v>0.45191100000000001</v>
      </c>
      <c r="P133">
        <v>3</v>
      </c>
      <c r="Q133" s="1" t="s">
        <v>560</v>
      </c>
      <c r="R133" s="93">
        <v>159.57</v>
      </c>
      <c r="S133">
        <v>127.65</v>
      </c>
      <c r="T133">
        <v>0</v>
      </c>
      <c r="U133" s="1" t="s">
        <v>579</v>
      </c>
      <c r="V133" s="1"/>
      <c r="W133">
        <v>159.56614999999999</v>
      </c>
      <c r="X133">
        <v>0</v>
      </c>
      <c r="Y133">
        <v>77186</v>
      </c>
    </row>
    <row r="134" spans="1:25" ht="15" hidden="1" customHeight="1" x14ac:dyDescent="0.25">
      <c r="A134" s="1" t="s">
        <v>25</v>
      </c>
      <c r="B134" s="1"/>
      <c r="C134" s="1" t="s">
        <v>104</v>
      </c>
      <c r="D134">
        <v>10171</v>
      </c>
      <c r="E134" s="1"/>
      <c r="F134" s="1" t="s">
        <v>252</v>
      </c>
      <c r="G134" s="1" t="s">
        <v>252</v>
      </c>
      <c r="H134" s="1" t="s">
        <v>1405</v>
      </c>
      <c r="I134">
        <v>2009</v>
      </c>
      <c r="J134" s="93">
        <v>73.989999999999995</v>
      </c>
      <c r="K134">
        <v>3</v>
      </c>
      <c r="L134" s="1" t="s">
        <v>398</v>
      </c>
      <c r="M134">
        <v>0</v>
      </c>
      <c r="N134">
        <v>353</v>
      </c>
      <c r="O134">
        <v>0.20954400000000001</v>
      </c>
      <c r="P134">
        <v>3</v>
      </c>
      <c r="Q134" s="1" t="s">
        <v>560</v>
      </c>
      <c r="R134" s="93">
        <v>73.989999999999995</v>
      </c>
      <c r="S134">
        <v>59.22</v>
      </c>
      <c r="T134">
        <v>0</v>
      </c>
      <c r="U134" s="1" t="s">
        <v>579</v>
      </c>
      <c r="V134" s="1"/>
      <c r="W134">
        <v>74.006619999999998</v>
      </c>
      <c r="X134">
        <v>0</v>
      </c>
      <c r="Y134">
        <v>77186</v>
      </c>
    </row>
    <row r="135" spans="1:25" ht="15" hidden="1" customHeight="1" x14ac:dyDescent="0.25">
      <c r="A135" s="1" t="s">
        <v>25</v>
      </c>
      <c r="B135" s="1"/>
      <c r="C135" s="1" t="s">
        <v>104</v>
      </c>
      <c r="D135">
        <v>10171</v>
      </c>
      <c r="E135" s="1"/>
      <c r="F135" s="1" t="s">
        <v>252</v>
      </c>
      <c r="G135" s="1" t="s">
        <v>252</v>
      </c>
      <c r="H135" s="1" t="s">
        <v>1405</v>
      </c>
      <c r="I135">
        <v>2008</v>
      </c>
      <c r="J135" s="93">
        <v>84</v>
      </c>
      <c r="K135">
        <v>4</v>
      </c>
      <c r="L135" s="1" t="s">
        <v>398</v>
      </c>
      <c r="M135">
        <v>0</v>
      </c>
      <c r="N135">
        <v>353</v>
      </c>
      <c r="O135">
        <v>0.23789199999999999</v>
      </c>
      <c r="P135">
        <v>3</v>
      </c>
      <c r="Q135" s="1" t="s">
        <v>560</v>
      </c>
      <c r="R135" s="93">
        <v>84</v>
      </c>
      <c r="S135">
        <v>67.2</v>
      </c>
      <c r="T135">
        <v>0</v>
      </c>
      <c r="U135" s="1" t="s">
        <v>579</v>
      </c>
      <c r="V135" s="1"/>
      <c r="W135">
        <v>83.998260000000002</v>
      </c>
      <c r="X135">
        <v>0</v>
      </c>
      <c r="Y135">
        <v>77186</v>
      </c>
    </row>
    <row r="136" spans="1:25" ht="15" hidden="1" customHeight="1" x14ac:dyDescent="0.25">
      <c r="A136" s="1" t="s">
        <v>25</v>
      </c>
      <c r="B136" s="1"/>
      <c r="C136" s="1" t="s">
        <v>105</v>
      </c>
      <c r="D136">
        <v>10203</v>
      </c>
      <c r="E136" s="1"/>
      <c r="F136" s="1" t="s">
        <v>253</v>
      </c>
      <c r="G136" s="1" t="s">
        <v>253</v>
      </c>
      <c r="H136" s="1" t="s">
        <v>1396</v>
      </c>
      <c r="I136">
        <v>2011</v>
      </c>
      <c r="J136" s="93">
        <v>0</v>
      </c>
      <c r="K136">
        <v>7</v>
      </c>
      <c r="L136" s="1" t="s">
        <v>399</v>
      </c>
      <c r="M136">
        <v>0</v>
      </c>
      <c r="N136">
        <v>178</v>
      </c>
      <c r="O136">
        <v>0</v>
      </c>
      <c r="P136">
        <v>3</v>
      </c>
      <c r="Q136" s="1" t="s">
        <v>560</v>
      </c>
      <c r="R136" s="93">
        <v>0</v>
      </c>
      <c r="S136">
        <v>0</v>
      </c>
      <c r="T136">
        <v>0</v>
      </c>
      <c r="U136" s="1" t="s">
        <v>577</v>
      </c>
      <c r="V136" s="1"/>
      <c r="W136">
        <v>0</v>
      </c>
      <c r="X136">
        <v>0</v>
      </c>
      <c r="Y136">
        <v>77384</v>
      </c>
    </row>
    <row r="137" spans="1:25" ht="15" hidden="1" customHeight="1" x14ac:dyDescent="0.25">
      <c r="A137" s="1" t="s">
        <v>25</v>
      </c>
      <c r="B137" s="1"/>
      <c r="C137" s="1" t="s">
        <v>105</v>
      </c>
      <c r="D137">
        <v>10203</v>
      </c>
      <c r="E137" s="1"/>
      <c r="F137" s="1" t="s">
        <v>253</v>
      </c>
      <c r="G137" s="1" t="s">
        <v>253</v>
      </c>
      <c r="H137" s="1" t="s">
        <v>1396</v>
      </c>
      <c r="I137">
        <v>2010</v>
      </c>
      <c r="J137" s="93">
        <v>1.0900000000000001</v>
      </c>
      <c r="K137">
        <v>11</v>
      </c>
      <c r="L137" s="1" t="s">
        <v>399</v>
      </c>
      <c r="M137">
        <v>0</v>
      </c>
      <c r="N137">
        <v>178</v>
      </c>
      <c r="O137">
        <v>6.1199999999999996E-3</v>
      </c>
      <c r="P137">
        <v>3</v>
      </c>
      <c r="Q137" s="1" t="s">
        <v>560</v>
      </c>
      <c r="R137" s="93">
        <v>1.0900000000000001</v>
      </c>
      <c r="S137">
        <v>0.87</v>
      </c>
      <c r="T137">
        <v>0</v>
      </c>
      <c r="U137" s="1" t="s">
        <v>577</v>
      </c>
      <c r="V137" s="1"/>
      <c r="W137">
        <v>1.08571</v>
      </c>
      <c r="X137">
        <v>0</v>
      </c>
      <c r="Y137">
        <v>77384</v>
      </c>
    </row>
    <row r="138" spans="1:25" ht="15" hidden="1" customHeight="1" x14ac:dyDescent="0.25">
      <c r="A138" s="1" t="s">
        <v>25</v>
      </c>
      <c r="B138" s="1"/>
      <c r="C138" s="1" t="s">
        <v>105</v>
      </c>
      <c r="D138">
        <v>10203</v>
      </c>
      <c r="E138" s="1"/>
      <c r="F138" s="1" t="s">
        <v>253</v>
      </c>
      <c r="G138" s="1" t="s">
        <v>253</v>
      </c>
      <c r="H138" s="1" t="s">
        <v>1396</v>
      </c>
      <c r="I138">
        <v>2009</v>
      </c>
      <c r="J138" s="93">
        <v>88.73</v>
      </c>
      <c r="K138">
        <v>11</v>
      </c>
      <c r="L138" s="1" t="s">
        <v>399</v>
      </c>
      <c r="M138">
        <v>0</v>
      </c>
      <c r="N138">
        <v>178</v>
      </c>
      <c r="O138">
        <v>0.49820300000000001</v>
      </c>
      <c r="P138">
        <v>3</v>
      </c>
      <c r="Q138" s="1" t="s">
        <v>560</v>
      </c>
      <c r="R138" s="93">
        <v>88.73</v>
      </c>
      <c r="S138">
        <v>70.98</v>
      </c>
      <c r="T138">
        <v>0</v>
      </c>
      <c r="U138" s="1" t="s">
        <v>577</v>
      </c>
      <c r="V138" s="1"/>
      <c r="W138">
        <v>88.720730000000003</v>
      </c>
      <c r="X138">
        <v>0</v>
      </c>
      <c r="Y138">
        <v>77384</v>
      </c>
    </row>
    <row r="139" spans="1:25" ht="15" hidden="1" customHeight="1" x14ac:dyDescent="0.25">
      <c r="A139" s="1" t="s">
        <v>25</v>
      </c>
      <c r="B139" s="1"/>
      <c r="C139" s="1" t="s">
        <v>105</v>
      </c>
      <c r="D139">
        <v>10203</v>
      </c>
      <c r="E139" s="1"/>
      <c r="F139" s="1" t="s">
        <v>253</v>
      </c>
      <c r="G139" s="1" t="s">
        <v>253</v>
      </c>
      <c r="H139" s="1" t="s">
        <v>1396</v>
      </c>
      <c r="I139">
        <v>2008</v>
      </c>
      <c r="J139" s="93">
        <v>93.14</v>
      </c>
      <c r="K139">
        <v>9</v>
      </c>
      <c r="L139" s="1" t="s">
        <v>399</v>
      </c>
      <c r="M139">
        <v>0</v>
      </c>
      <c r="N139">
        <v>178</v>
      </c>
      <c r="O139">
        <v>0.52296399999999998</v>
      </c>
      <c r="P139">
        <v>3</v>
      </c>
      <c r="Q139" s="1" t="s">
        <v>560</v>
      </c>
      <c r="R139" s="93">
        <v>93.14</v>
      </c>
      <c r="S139">
        <v>74.510000000000005</v>
      </c>
      <c r="T139">
        <v>0</v>
      </c>
      <c r="U139" s="1" t="s">
        <v>577</v>
      </c>
      <c r="V139" s="1"/>
      <c r="W139">
        <v>93.149600000000007</v>
      </c>
      <c r="X139">
        <v>0</v>
      </c>
      <c r="Y139">
        <v>77384</v>
      </c>
    </row>
    <row r="140" spans="1:25" ht="15" hidden="1" customHeight="1" x14ac:dyDescent="0.25">
      <c r="A140" s="1" t="s">
        <v>25</v>
      </c>
      <c r="B140" s="1"/>
      <c r="C140" s="1" t="s">
        <v>100</v>
      </c>
      <c r="D140">
        <v>10227</v>
      </c>
      <c r="E140" s="1"/>
      <c r="F140" s="1" t="s">
        <v>249</v>
      </c>
      <c r="G140" s="1" t="s">
        <v>249</v>
      </c>
      <c r="H140" s="1" t="s">
        <v>1396</v>
      </c>
      <c r="I140">
        <v>2014</v>
      </c>
      <c r="J140" s="93">
        <v>10.54</v>
      </c>
      <c r="K140">
        <v>3</v>
      </c>
      <c r="L140" s="1" t="s">
        <v>395</v>
      </c>
      <c r="M140">
        <v>0</v>
      </c>
      <c r="N140">
        <v>260</v>
      </c>
      <c r="O140">
        <v>4.0522000000000002E-2</v>
      </c>
      <c r="P140">
        <v>3</v>
      </c>
      <c r="Q140" s="1" t="s">
        <v>560</v>
      </c>
      <c r="R140" s="93">
        <v>10.54</v>
      </c>
      <c r="S140">
        <v>8.42</v>
      </c>
      <c r="T140">
        <v>0</v>
      </c>
      <c r="U140" s="1" t="s">
        <v>575</v>
      </c>
      <c r="V140" s="1"/>
      <c r="W140">
        <v>10.536110000000001</v>
      </c>
      <c r="X140">
        <v>0</v>
      </c>
      <c r="Y140">
        <v>77470</v>
      </c>
    </row>
    <row r="141" spans="1:25" ht="15" hidden="1" customHeight="1" x14ac:dyDescent="0.25">
      <c r="A141" s="1" t="s">
        <v>25</v>
      </c>
      <c r="B141" s="1"/>
      <c r="C141" s="1" t="s">
        <v>100</v>
      </c>
      <c r="D141">
        <v>10227</v>
      </c>
      <c r="E141" s="1"/>
      <c r="F141" s="1" t="s">
        <v>249</v>
      </c>
      <c r="G141" s="1" t="s">
        <v>249</v>
      </c>
      <c r="H141" s="1" t="s">
        <v>1396</v>
      </c>
      <c r="I141">
        <v>2014</v>
      </c>
      <c r="J141" s="93">
        <v>2345.9</v>
      </c>
      <c r="K141">
        <v>3</v>
      </c>
      <c r="L141" s="1" t="s">
        <v>395</v>
      </c>
      <c r="M141">
        <v>0</v>
      </c>
      <c r="N141">
        <v>260</v>
      </c>
      <c r="O141">
        <v>9.0192230000000002</v>
      </c>
      <c r="P141">
        <v>2</v>
      </c>
      <c r="Q141" s="1" t="s">
        <v>569</v>
      </c>
      <c r="R141" s="93">
        <v>2345.9</v>
      </c>
      <c r="S141">
        <v>703.75</v>
      </c>
      <c r="T141">
        <v>0</v>
      </c>
      <c r="U141" s="1" t="s">
        <v>940</v>
      </c>
      <c r="V141" s="1" t="s">
        <v>1234</v>
      </c>
      <c r="W141">
        <v>2345.9117500000002</v>
      </c>
      <c r="X141">
        <v>0</v>
      </c>
      <c r="Y141">
        <v>77469</v>
      </c>
    </row>
    <row r="142" spans="1:25" ht="15" hidden="1" customHeight="1" x14ac:dyDescent="0.25">
      <c r="A142" s="1" t="s">
        <v>25</v>
      </c>
      <c r="B142" s="1"/>
      <c r="C142" s="1" t="s">
        <v>100</v>
      </c>
      <c r="D142">
        <v>10227</v>
      </c>
      <c r="E142" s="1"/>
      <c r="F142" s="1" t="s">
        <v>249</v>
      </c>
      <c r="G142" s="1" t="s">
        <v>249</v>
      </c>
      <c r="H142" s="1" t="s">
        <v>1396</v>
      </c>
      <c r="I142">
        <v>2014</v>
      </c>
      <c r="J142" s="93">
        <v>29516.400000000001</v>
      </c>
      <c r="K142">
        <v>3</v>
      </c>
      <c r="L142" s="1" t="s">
        <v>395</v>
      </c>
      <c r="M142">
        <v>0</v>
      </c>
      <c r="N142">
        <v>260</v>
      </c>
      <c r="O142">
        <v>113.480968</v>
      </c>
      <c r="P142">
        <v>1</v>
      </c>
      <c r="Q142" s="1" t="s">
        <v>564</v>
      </c>
      <c r="R142" s="93">
        <v>36421.730000000003</v>
      </c>
      <c r="S142">
        <v>7702.52</v>
      </c>
      <c r="T142">
        <v>0</v>
      </c>
      <c r="U142" s="1" t="s">
        <v>754</v>
      </c>
      <c r="V142" s="1" t="s">
        <v>1182</v>
      </c>
      <c r="W142">
        <v>2732.9999899999998</v>
      </c>
      <c r="X142">
        <v>0</v>
      </c>
      <c r="Y142">
        <v>77471</v>
      </c>
    </row>
    <row r="143" spans="1:25" ht="15" hidden="1" customHeight="1" x14ac:dyDescent="0.25">
      <c r="A143" s="1" t="s">
        <v>25</v>
      </c>
      <c r="B143" s="1"/>
      <c r="C143" s="1" t="s">
        <v>100</v>
      </c>
      <c r="D143">
        <v>10227</v>
      </c>
      <c r="E143" s="1"/>
      <c r="F143" s="1" t="s">
        <v>249</v>
      </c>
      <c r="G143" s="1" t="s">
        <v>249</v>
      </c>
      <c r="H143" s="1" t="s">
        <v>1396</v>
      </c>
      <c r="I143">
        <v>2013</v>
      </c>
      <c r="J143" s="93">
        <v>50828.77</v>
      </c>
      <c r="K143">
        <v>5</v>
      </c>
      <c r="L143" s="1" t="s">
        <v>395</v>
      </c>
      <c r="M143">
        <v>0</v>
      </c>
      <c r="N143">
        <v>260</v>
      </c>
      <c r="O143">
        <v>195.420107</v>
      </c>
      <c r="P143">
        <v>1</v>
      </c>
      <c r="Q143" s="1" t="s">
        <v>564</v>
      </c>
      <c r="R143" s="93">
        <v>61144.6</v>
      </c>
      <c r="S143">
        <v>12930.93</v>
      </c>
      <c r="T143">
        <v>0</v>
      </c>
      <c r="U143" s="1" t="s">
        <v>754</v>
      </c>
      <c r="V143" s="1" t="s">
        <v>1182</v>
      </c>
      <c r="W143">
        <v>4706.3654999999999</v>
      </c>
      <c r="X143">
        <v>0</v>
      </c>
      <c r="Y143">
        <v>77471</v>
      </c>
    </row>
    <row r="144" spans="1:25" ht="15" hidden="1" customHeight="1" x14ac:dyDescent="0.25">
      <c r="A144" s="1" t="s">
        <v>25</v>
      </c>
      <c r="B144" s="1"/>
      <c r="C144" s="1" t="s">
        <v>100</v>
      </c>
      <c r="D144">
        <v>10227</v>
      </c>
      <c r="E144" s="1"/>
      <c r="F144" s="1" t="s">
        <v>249</v>
      </c>
      <c r="G144" s="1" t="s">
        <v>249</v>
      </c>
      <c r="H144" s="1" t="s">
        <v>1396</v>
      </c>
      <c r="I144">
        <v>2012</v>
      </c>
      <c r="J144" s="93">
        <v>47993.08</v>
      </c>
      <c r="K144">
        <v>2</v>
      </c>
      <c r="L144" s="1" t="s">
        <v>395</v>
      </c>
      <c r="M144">
        <v>0</v>
      </c>
      <c r="N144">
        <v>260</v>
      </c>
      <c r="O144">
        <v>184.51779999999999</v>
      </c>
      <c r="P144">
        <v>1</v>
      </c>
      <c r="Q144" s="1" t="s">
        <v>564</v>
      </c>
      <c r="R144" s="93">
        <v>53153.47</v>
      </c>
      <c r="S144">
        <v>11240.98</v>
      </c>
      <c r="T144">
        <v>0</v>
      </c>
      <c r="U144" s="1" t="s">
        <v>754</v>
      </c>
      <c r="V144" s="1" t="s">
        <v>1182</v>
      </c>
      <c r="W144">
        <v>4443.80375</v>
      </c>
      <c r="X144">
        <v>0</v>
      </c>
      <c r="Y144">
        <v>77471</v>
      </c>
    </row>
    <row r="145" spans="1:25" ht="15" hidden="1" customHeight="1" x14ac:dyDescent="0.25">
      <c r="A145" s="1" t="s">
        <v>25</v>
      </c>
      <c r="B145" s="1"/>
      <c r="C145" s="1" t="s">
        <v>100</v>
      </c>
      <c r="D145">
        <v>10227</v>
      </c>
      <c r="E145" s="1"/>
      <c r="F145" s="1" t="s">
        <v>249</v>
      </c>
      <c r="G145" s="1" t="s">
        <v>249</v>
      </c>
      <c r="H145" s="1" t="s">
        <v>1396</v>
      </c>
      <c r="I145">
        <v>2011</v>
      </c>
      <c r="J145" s="93">
        <v>56080.76</v>
      </c>
      <c r="K145">
        <v>2</v>
      </c>
      <c r="L145" s="1" t="s">
        <v>395</v>
      </c>
      <c r="M145">
        <v>0</v>
      </c>
      <c r="N145">
        <v>260</v>
      </c>
      <c r="O145">
        <v>215.612302</v>
      </c>
      <c r="P145">
        <v>1</v>
      </c>
      <c r="Q145" s="1" t="s">
        <v>564</v>
      </c>
      <c r="R145" s="93">
        <v>65695.839999999997</v>
      </c>
      <c r="S145">
        <v>13893.44</v>
      </c>
      <c r="T145">
        <v>0</v>
      </c>
      <c r="U145" s="1" t="s">
        <v>754</v>
      </c>
      <c r="V145" s="1" t="s">
        <v>1182</v>
      </c>
      <c r="W145">
        <v>5192.6641099999997</v>
      </c>
      <c r="X145">
        <v>0</v>
      </c>
      <c r="Y145">
        <v>77471</v>
      </c>
    </row>
    <row r="146" spans="1:25" ht="15" hidden="1" customHeight="1" x14ac:dyDescent="0.25">
      <c r="A146" s="1" t="s">
        <v>25</v>
      </c>
      <c r="B146" s="1"/>
      <c r="C146" s="1" t="s">
        <v>100</v>
      </c>
      <c r="D146">
        <v>10227</v>
      </c>
      <c r="E146" s="1"/>
      <c r="F146" s="1" t="s">
        <v>249</v>
      </c>
      <c r="G146" s="1" t="s">
        <v>249</v>
      </c>
      <c r="H146" s="1" t="s">
        <v>1396</v>
      </c>
      <c r="I146">
        <v>2010</v>
      </c>
      <c r="J146" s="93">
        <v>60873.49</v>
      </c>
      <c r="K146">
        <v>3</v>
      </c>
      <c r="L146" s="1" t="s">
        <v>395</v>
      </c>
      <c r="M146">
        <v>0</v>
      </c>
      <c r="N146">
        <v>260</v>
      </c>
      <c r="O146">
        <v>234.038792</v>
      </c>
      <c r="P146">
        <v>1</v>
      </c>
      <c r="Q146" s="1" t="s">
        <v>564</v>
      </c>
      <c r="R146" s="93">
        <v>68251.62</v>
      </c>
      <c r="S146">
        <v>14433.96</v>
      </c>
      <c r="T146">
        <v>0</v>
      </c>
      <c r="U146" s="1" t="s">
        <v>754</v>
      </c>
      <c r="V146" s="1" t="s">
        <v>1182</v>
      </c>
      <c r="W146">
        <v>5636.4326099999998</v>
      </c>
      <c r="X146">
        <v>0</v>
      </c>
      <c r="Y146">
        <v>77471</v>
      </c>
    </row>
    <row r="147" spans="1:25" ht="15" hidden="1" customHeight="1" x14ac:dyDescent="0.25">
      <c r="A147" s="1" t="s">
        <v>25</v>
      </c>
      <c r="B147" s="1"/>
      <c r="C147" s="1" t="s">
        <v>100</v>
      </c>
      <c r="D147">
        <v>10227</v>
      </c>
      <c r="E147" s="1"/>
      <c r="F147" s="1" t="s">
        <v>249</v>
      </c>
      <c r="G147" s="1" t="s">
        <v>249</v>
      </c>
      <c r="H147" s="1" t="s">
        <v>1396</v>
      </c>
      <c r="I147">
        <v>2009</v>
      </c>
      <c r="J147" s="93">
        <v>54911.44</v>
      </c>
      <c r="K147">
        <v>4</v>
      </c>
      <c r="L147" s="1" t="s">
        <v>395</v>
      </c>
      <c r="M147">
        <v>0</v>
      </c>
      <c r="N147">
        <v>260</v>
      </c>
      <c r="O147">
        <v>211.116647</v>
      </c>
      <c r="P147">
        <v>1</v>
      </c>
      <c r="Q147" s="1" t="s">
        <v>564</v>
      </c>
      <c r="R147" s="93">
        <v>66555.77</v>
      </c>
      <c r="S147">
        <v>14075.32</v>
      </c>
      <c r="T147">
        <v>0</v>
      </c>
      <c r="U147" s="1" t="s">
        <v>754</v>
      </c>
      <c r="V147" s="1" t="s">
        <v>1182</v>
      </c>
      <c r="W147">
        <v>5084.3933900000002</v>
      </c>
      <c r="X147">
        <v>0</v>
      </c>
      <c r="Y147">
        <v>77471</v>
      </c>
    </row>
    <row r="148" spans="1:25" ht="15" hidden="1" customHeight="1" x14ac:dyDescent="0.25">
      <c r="A148" s="1" t="s">
        <v>25</v>
      </c>
      <c r="B148" s="1"/>
      <c r="C148" s="1" t="s">
        <v>100</v>
      </c>
      <c r="D148">
        <v>10227</v>
      </c>
      <c r="E148" s="1"/>
      <c r="F148" s="1" t="s">
        <v>249</v>
      </c>
      <c r="G148" s="1" t="s">
        <v>249</v>
      </c>
      <c r="H148" s="1" t="s">
        <v>1396</v>
      </c>
      <c r="I148">
        <v>2008</v>
      </c>
      <c r="J148" s="93">
        <v>47155.65</v>
      </c>
      <c r="K148">
        <v>4</v>
      </c>
      <c r="L148" s="1" t="s">
        <v>395</v>
      </c>
      <c r="M148">
        <v>0</v>
      </c>
      <c r="N148">
        <v>260</v>
      </c>
      <c r="O148">
        <v>181.29815400000001</v>
      </c>
      <c r="P148">
        <v>1</v>
      </c>
      <c r="Q148" s="1" t="s">
        <v>564</v>
      </c>
      <c r="R148" s="93">
        <v>54583.7</v>
      </c>
      <c r="S148">
        <v>11543.45</v>
      </c>
      <c r="T148">
        <v>0</v>
      </c>
      <c r="U148" s="1" t="s">
        <v>754</v>
      </c>
      <c r="V148" s="1" t="s">
        <v>1182</v>
      </c>
      <c r="W148">
        <v>4366.2637299999997</v>
      </c>
      <c r="X148">
        <v>0</v>
      </c>
      <c r="Y148">
        <v>77471</v>
      </c>
    </row>
    <row r="149" spans="1:25" ht="15" hidden="1" customHeight="1" x14ac:dyDescent="0.25">
      <c r="A149" s="1" t="s">
        <v>25</v>
      </c>
      <c r="B149" s="1" t="s">
        <v>45</v>
      </c>
      <c r="C149" s="1" t="s">
        <v>102</v>
      </c>
      <c r="D149">
        <v>13363</v>
      </c>
      <c r="E149" s="1" t="s">
        <v>243</v>
      </c>
      <c r="F149" s="1" t="s">
        <v>102</v>
      </c>
      <c r="G149" s="1" t="s">
        <v>102</v>
      </c>
      <c r="H149" s="1" t="s">
        <v>1396</v>
      </c>
      <c r="I149">
        <v>2012</v>
      </c>
      <c r="J149" s="93">
        <v>7.25</v>
      </c>
      <c r="K149">
        <v>2</v>
      </c>
      <c r="L149" s="1" t="s">
        <v>463</v>
      </c>
      <c r="M149">
        <v>0</v>
      </c>
      <c r="N149">
        <v>87</v>
      </c>
      <c r="O149">
        <v>8.3237000000000005E-2</v>
      </c>
      <c r="P149">
        <v>1</v>
      </c>
      <c r="Q149" s="1" t="s">
        <v>564</v>
      </c>
      <c r="R149" s="93">
        <v>7.7</v>
      </c>
      <c r="S149">
        <v>1.63</v>
      </c>
      <c r="T149">
        <v>0</v>
      </c>
      <c r="U149" s="1" t="s">
        <v>577</v>
      </c>
      <c r="V149" s="1"/>
      <c r="W149">
        <v>0.67098000000000002</v>
      </c>
      <c r="X149">
        <v>0</v>
      </c>
      <c r="Y149">
        <v>89461</v>
      </c>
    </row>
    <row r="150" spans="1:25" ht="15" hidden="1" customHeight="1" x14ac:dyDescent="0.25">
      <c r="A150" s="1" t="s">
        <v>25</v>
      </c>
      <c r="B150" s="1" t="s">
        <v>45</v>
      </c>
      <c r="C150" s="1" t="s">
        <v>102</v>
      </c>
      <c r="D150">
        <v>13363</v>
      </c>
      <c r="E150" s="1" t="s">
        <v>243</v>
      </c>
      <c r="F150" s="1" t="s">
        <v>102</v>
      </c>
      <c r="G150" s="1" t="s">
        <v>102</v>
      </c>
      <c r="H150" s="1" t="s">
        <v>1396</v>
      </c>
      <c r="I150">
        <v>2011</v>
      </c>
      <c r="J150" s="93">
        <v>0</v>
      </c>
      <c r="K150">
        <v>4</v>
      </c>
      <c r="L150" s="1" t="s">
        <v>463</v>
      </c>
      <c r="M150">
        <v>0</v>
      </c>
      <c r="N150">
        <v>87</v>
      </c>
      <c r="O150">
        <v>0</v>
      </c>
      <c r="P150">
        <v>1</v>
      </c>
      <c r="Q150" s="1" t="s">
        <v>564</v>
      </c>
      <c r="R150" s="93">
        <v>0</v>
      </c>
      <c r="S150">
        <v>0</v>
      </c>
      <c r="T150">
        <v>0</v>
      </c>
      <c r="U150" s="1" t="s">
        <v>577</v>
      </c>
      <c r="V150" s="1"/>
      <c r="W150">
        <v>0</v>
      </c>
      <c r="X150">
        <v>0</v>
      </c>
      <c r="Y150">
        <v>89461</v>
      </c>
    </row>
    <row r="151" spans="1:25" ht="15" hidden="1" customHeight="1" x14ac:dyDescent="0.25">
      <c r="A151" s="1" t="s">
        <v>25</v>
      </c>
      <c r="B151" s="1"/>
      <c r="C151" s="1" t="s">
        <v>103</v>
      </c>
      <c r="D151">
        <v>10322</v>
      </c>
      <c r="E151" s="1"/>
      <c r="F151" s="1" t="s">
        <v>251</v>
      </c>
      <c r="G151" s="1" t="s">
        <v>251</v>
      </c>
      <c r="H151" s="1" t="s">
        <v>1396</v>
      </c>
      <c r="I151">
        <v>2015</v>
      </c>
      <c r="J151" s="93">
        <v>1165.55</v>
      </c>
      <c r="K151">
        <v>1</v>
      </c>
      <c r="L151" s="1" t="s">
        <v>418</v>
      </c>
      <c r="M151">
        <v>0</v>
      </c>
      <c r="N151">
        <v>98</v>
      </c>
      <c r="O151">
        <v>11.881243</v>
      </c>
      <c r="P151">
        <v>1</v>
      </c>
      <c r="Q151" s="1" t="s">
        <v>564</v>
      </c>
      <c r="R151" s="93">
        <v>1165.55</v>
      </c>
      <c r="S151">
        <v>246.49</v>
      </c>
      <c r="T151">
        <v>0</v>
      </c>
      <c r="U151" s="1" t="s">
        <v>755</v>
      </c>
      <c r="V151" s="1" t="s">
        <v>1183</v>
      </c>
      <c r="W151">
        <v>107.92157</v>
      </c>
      <c r="X151">
        <v>0</v>
      </c>
      <c r="Y151">
        <v>77814</v>
      </c>
    </row>
    <row r="152" spans="1:25" ht="15" hidden="1" customHeight="1" x14ac:dyDescent="0.25">
      <c r="A152" s="1" t="s">
        <v>25</v>
      </c>
      <c r="B152" s="1"/>
      <c r="C152" s="1" t="s">
        <v>103</v>
      </c>
      <c r="D152">
        <v>10322</v>
      </c>
      <c r="E152" s="1"/>
      <c r="F152" s="1" t="s">
        <v>251</v>
      </c>
      <c r="G152" s="1" t="s">
        <v>251</v>
      </c>
      <c r="H152" s="1" t="s">
        <v>1396</v>
      </c>
      <c r="I152">
        <v>2013</v>
      </c>
      <c r="J152" s="93">
        <v>21829.77</v>
      </c>
      <c r="K152">
        <v>9</v>
      </c>
      <c r="L152" s="1" t="s">
        <v>418</v>
      </c>
      <c r="M152">
        <v>0</v>
      </c>
      <c r="N152">
        <v>98</v>
      </c>
      <c r="O152">
        <v>222.525688</v>
      </c>
      <c r="P152">
        <v>1</v>
      </c>
      <c r="Q152" s="1" t="s">
        <v>564</v>
      </c>
      <c r="R152" s="93">
        <v>21829.77</v>
      </c>
      <c r="S152">
        <v>4616.6000000000004</v>
      </c>
      <c r="T152">
        <v>0</v>
      </c>
      <c r="U152" s="1" t="s">
        <v>755</v>
      </c>
      <c r="V152" s="1" t="s">
        <v>1183</v>
      </c>
      <c r="W152">
        <v>2021.2750599999999</v>
      </c>
      <c r="X152">
        <v>0</v>
      </c>
      <c r="Y152">
        <v>77814</v>
      </c>
    </row>
    <row r="153" spans="1:25" ht="15" hidden="1" customHeight="1" x14ac:dyDescent="0.25">
      <c r="A153" s="1" t="s">
        <v>25</v>
      </c>
      <c r="B153" s="1"/>
      <c r="C153" s="1" t="s">
        <v>103</v>
      </c>
      <c r="D153">
        <v>10322</v>
      </c>
      <c r="E153" s="1"/>
      <c r="F153" s="1" t="s">
        <v>251</v>
      </c>
      <c r="G153" s="1" t="s">
        <v>251</v>
      </c>
      <c r="H153" s="1" t="s">
        <v>1396</v>
      </c>
      <c r="I153">
        <v>2012</v>
      </c>
      <c r="J153" s="93">
        <v>18274.759999999998</v>
      </c>
      <c r="K153">
        <v>5</v>
      </c>
      <c r="L153" s="1" t="s">
        <v>418</v>
      </c>
      <c r="M153">
        <v>0</v>
      </c>
      <c r="N153">
        <v>98</v>
      </c>
      <c r="O153">
        <v>186.28705400000001</v>
      </c>
      <c r="P153">
        <v>1</v>
      </c>
      <c r="Q153" s="1" t="s">
        <v>564</v>
      </c>
      <c r="R153" s="93">
        <v>18274.759999999998</v>
      </c>
      <c r="S153">
        <v>3864.79</v>
      </c>
      <c r="T153">
        <v>0</v>
      </c>
      <c r="U153" s="1" t="s">
        <v>755</v>
      </c>
      <c r="V153" s="1" t="s">
        <v>1183</v>
      </c>
      <c r="W153">
        <v>1692.1073100000001</v>
      </c>
      <c r="X153">
        <v>0</v>
      </c>
      <c r="Y153">
        <v>77814</v>
      </c>
    </row>
    <row r="154" spans="1:25" ht="15" hidden="1" customHeight="1" x14ac:dyDescent="0.25">
      <c r="A154" s="1" t="s">
        <v>25</v>
      </c>
      <c r="B154" s="1"/>
      <c r="C154" s="1" t="s">
        <v>103</v>
      </c>
      <c r="D154">
        <v>10322</v>
      </c>
      <c r="E154" s="1"/>
      <c r="F154" s="1" t="s">
        <v>251</v>
      </c>
      <c r="G154" s="1" t="s">
        <v>251</v>
      </c>
      <c r="H154" s="1" t="s">
        <v>1396</v>
      </c>
      <c r="I154">
        <v>2011</v>
      </c>
      <c r="J154" s="93">
        <v>25826.39</v>
      </c>
      <c r="K154">
        <v>4</v>
      </c>
      <c r="L154" s="1" t="s">
        <v>418</v>
      </c>
      <c r="M154">
        <v>0</v>
      </c>
      <c r="N154">
        <v>98</v>
      </c>
      <c r="O154">
        <v>263.26595300000002</v>
      </c>
      <c r="P154">
        <v>1</v>
      </c>
      <c r="Q154" s="1" t="s">
        <v>564</v>
      </c>
      <c r="R154" s="93">
        <v>25826.39</v>
      </c>
      <c r="S154">
        <v>5461.8</v>
      </c>
      <c r="T154">
        <v>0</v>
      </c>
      <c r="U154" s="1" t="s">
        <v>755</v>
      </c>
      <c r="V154" s="1" t="s">
        <v>1183</v>
      </c>
      <c r="W154">
        <v>2391.3333200000002</v>
      </c>
      <c r="X154">
        <v>0</v>
      </c>
      <c r="Y154">
        <v>77814</v>
      </c>
    </row>
    <row r="155" spans="1:25" ht="15" hidden="1" customHeight="1" x14ac:dyDescent="0.25">
      <c r="A155" s="1" t="s">
        <v>25</v>
      </c>
      <c r="B155" s="1"/>
      <c r="C155" s="1" t="s">
        <v>103</v>
      </c>
      <c r="D155">
        <v>10322</v>
      </c>
      <c r="E155" s="1"/>
      <c r="F155" s="1" t="s">
        <v>251</v>
      </c>
      <c r="G155" s="1" t="s">
        <v>251</v>
      </c>
      <c r="H155" s="1" t="s">
        <v>1396</v>
      </c>
      <c r="I155">
        <v>2010</v>
      </c>
      <c r="J155" s="93">
        <v>23583.66</v>
      </c>
      <c r="K155">
        <v>5</v>
      </c>
      <c r="L155" s="1" t="s">
        <v>418</v>
      </c>
      <c r="M155">
        <v>0</v>
      </c>
      <c r="N155">
        <v>98</v>
      </c>
      <c r="O155">
        <v>240.404281</v>
      </c>
      <c r="P155">
        <v>1</v>
      </c>
      <c r="Q155" s="1" t="s">
        <v>564</v>
      </c>
      <c r="R155" s="93">
        <v>23583.66</v>
      </c>
      <c r="S155">
        <v>4987.5200000000004</v>
      </c>
      <c r="T155">
        <v>0</v>
      </c>
      <c r="U155" s="1" t="s">
        <v>755</v>
      </c>
      <c r="V155" s="1" t="s">
        <v>1183</v>
      </c>
      <c r="W155">
        <v>2183.6735600000002</v>
      </c>
      <c r="X155">
        <v>0</v>
      </c>
      <c r="Y155">
        <v>77814</v>
      </c>
    </row>
    <row r="156" spans="1:25" ht="15" hidden="1" customHeight="1" x14ac:dyDescent="0.25">
      <c r="A156" s="1" t="s">
        <v>25</v>
      </c>
      <c r="B156" s="1"/>
      <c r="C156" s="1" t="s">
        <v>103</v>
      </c>
      <c r="D156">
        <v>10322</v>
      </c>
      <c r="E156" s="1"/>
      <c r="F156" s="1" t="s">
        <v>251</v>
      </c>
      <c r="G156" s="1" t="s">
        <v>251</v>
      </c>
      <c r="H156" s="1" t="s">
        <v>1396</v>
      </c>
      <c r="I156">
        <v>2009</v>
      </c>
      <c r="J156" s="93">
        <v>24604.799999999999</v>
      </c>
      <c r="K156">
        <v>3</v>
      </c>
      <c r="L156" s="1" t="s">
        <v>418</v>
      </c>
      <c r="M156">
        <v>0</v>
      </c>
      <c r="N156">
        <v>98</v>
      </c>
      <c r="O156">
        <v>250.813455</v>
      </c>
      <c r="P156">
        <v>1</v>
      </c>
      <c r="Q156" s="1" t="s">
        <v>564</v>
      </c>
      <c r="R156" s="93">
        <v>24604.799999999999</v>
      </c>
      <c r="S156">
        <v>5203.4799999999996</v>
      </c>
      <c r="T156">
        <v>0</v>
      </c>
      <c r="U156" s="1" t="s">
        <v>755</v>
      </c>
      <c r="V156" s="1" t="s">
        <v>1183</v>
      </c>
      <c r="W156">
        <v>2278.2238699999998</v>
      </c>
      <c r="X156">
        <v>0</v>
      </c>
      <c r="Y156">
        <v>77814</v>
      </c>
    </row>
    <row r="157" spans="1:25" ht="15" hidden="1" customHeight="1" x14ac:dyDescent="0.25">
      <c r="A157" s="1" t="s">
        <v>25</v>
      </c>
      <c r="B157" s="1"/>
      <c r="C157" s="1" t="s">
        <v>103</v>
      </c>
      <c r="D157">
        <v>10322</v>
      </c>
      <c r="E157" s="1"/>
      <c r="F157" s="1" t="s">
        <v>251</v>
      </c>
      <c r="G157" s="1" t="s">
        <v>251</v>
      </c>
      <c r="H157" s="1" t="s">
        <v>1396</v>
      </c>
      <c r="I157">
        <v>2008</v>
      </c>
      <c r="J157" s="93">
        <v>21404.97</v>
      </c>
      <c r="K157">
        <v>4</v>
      </c>
      <c r="L157" s="1" t="s">
        <v>418</v>
      </c>
      <c r="M157">
        <v>0</v>
      </c>
      <c r="N157">
        <v>98</v>
      </c>
      <c r="O157">
        <v>218.195412</v>
      </c>
      <c r="P157">
        <v>1</v>
      </c>
      <c r="Q157" s="1" t="s">
        <v>564</v>
      </c>
      <c r="R157" s="93">
        <v>21404.97</v>
      </c>
      <c r="S157">
        <v>4526.76</v>
      </c>
      <c r="T157">
        <v>0</v>
      </c>
      <c r="U157" s="1" t="s">
        <v>755</v>
      </c>
      <c r="V157" s="1" t="s">
        <v>1183</v>
      </c>
      <c r="W157">
        <v>1981.94235</v>
      </c>
      <c r="X157">
        <v>0</v>
      </c>
      <c r="Y157">
        <v>77814</v>
      </c>
    </row>
    <row r="158" spans="1:25" ht="15" hidden="1" customHeight="1" x14ac:dyDescent="0.25">
      <c r="A158" s="1" t="s">
        <v>25</v>
      </c>
      <c r="B158" s="1"/>
      <c r="C158" s="1" t="s">
        <v>105</v>
      </c>
      <c r="D158">
        <v>10203</v>
      </c>
      <c r="E158" s="1"/>
      <c r="F158" s="1" t="s">
        <v>253</v>
      </c>
      <c r="G158" s="1" t="s">
        <v>253</v>
      </c>
      <c r="H158" s="1" t="s">
        <v>1396</v>
      </c>
      <c r="I158">
        <v>2011</v>
      </c>
      <c r="J158" s="93">
        <v>4311.17</v>
      </c>
      <c r="K158">
        <v>7</v>
      </c>
      <c r="L158" s="1" t="s">
        <v>399</v>
      </c>
      <c r="M158">
        <v>0</v>
      </c>
      <c r="N158">
        <v>178</v>
      </c>
      <c r="O158">
        <v>24.206457</v>
      </c>
      <c r="P158">
        <v>1</v>
      </c>
      <c r="Q158" s="1" t="s">
        <v>565</v>
      </c>
      <c r="R158" s="93">
        <v>5440.35</v>
      </c>
      <c r="S158">
        <v>1006.47</v>
      </c>
      <c r="T158">
        <v>0</v>
      </c>
      <c r="U158" s="1" t="s">
        <v>756</v>
      </c>
      <c r="V158" s="1"/>
      <c r="W158">
        <v>4.3111699999999997</v>
      </c>
      <c r="X158">
        <v>0</v>
      </c>
      <c r="Y158">
        <v>77385</v>
      </c>
    </row>
    <row r="159" spans="1:25" ht="15" hidden="1" customHeight="1" x14ac:dyDescent="0.25">
      <c r="A159" s="1" t="s">
        <v>25</v>
      </c>
      <c r="B159" s="1"/>
      <c r="C159" s="1" t="s">
        <v>105</v>
      </c>
      <c r="D159">
        <v>10203</v>
      </c>
      <c r="E159" s="1"/>
      <c r="F159" s="1" t="s">
        <v>253</v>
      </c>
      <c r="G159" s="1" t="s">
        <v>253</v>
      </c>
      <c r="H159" s="1" t="s">
        <v>1396</v>
      </c>
      <c r="I159">
        <v>2010</v>
      </c>
      <c r="J159" s="93">
        <v>17437.16</v>
      </c>
      <c r="K159">
        <v>11</v>
      </c>
      <c r="L159" s="1" t="s">
        <v>399</v>
      </c>
      <c r="M159">
        <v>0</v>
      </c>
      <c r="N159">
        <v>178</v>
      </c>
      <c r="O159">
        <v>97.906569000000005</v>
      </c>
      <c r="P159">
        <v>1</v>
      </c>
      <c r="Q159" s="1" t="s">
        <v>565</v>
      </c>
      <c r="R159" s="93">
        <v>16376.77</v>
      </c>
      <c r="S159">
        <v>3029.68</v>
      </c>
      <c r="T159">
        <v>0</v>
      </c>
      <c r="U159" s="1" t="s">
        <v>756</v>
      </c>
      <c r="V159" s="1"/>
      <c r="W159">
        <v>17.437159999999999</v>
      </c>
      <c r="X159">
        <v>0</v>
      </c>
      <c r="Y159">
        <v>77385</v>
      </c>
    </row>
    <row r="160" spans="1:25" ht="15" hidden="1" customHeight="1" x14ac:dyDescent="0.25">
      <c r="A160" s="1" t="s">
        <v>25</v>
      </c>
      <c r="B160" s="1"/>
      <c r="C160" s="1" t="s">
        <v>105</v>
      </c>
      <c r="D160">
        <v>10203</v>
      </c>
      <c r="E160" s="1"/>
      <c r="F160" s="1" t="s">
        <v>253</v>
      </c>
      <c r="G160" s="1" t="s">
        <v>253</v>
      </c>
      <c r="H160" s="1" t="s">
        <v>1396</v>
      </c>
      <c r="I160">
        <v>2009</v>
      </c>
      <c r="J160" s="93">
        <v>20048.61</v>
      </c>
      <c r="K160">
        <v>11</v>
      </c>
      <c r="L160" s="1" t="s">
        <v>399</v>
      </c>
      <c r="M160">
        <v>0</v>
      </c>
      <c r="N160">
        <v>178</v>
      </c>
      <c r="O160">
        <v>112.569399</v>
      </c>
      <c r="P160">
        <v>1</v>
      </c>
      <c r="Q160" s="1" t="s">
        <v>565</v>
      </c>
      <c r="R160" s="93">
        <v>21192.63</v>
      </c>
      <c r="S160">
        <v>3920.64</v>
      </c>
      <c r="T160">
        <v>0</v>
      </c>
      <c r="U160" s="1" t="s">
        <v>756</v>
      </c>
      <c r="V160" s="1"/>
      <c r="W160">
        <v>20.04861</v>
      </c>
      <c r="X160">
        <v>0</v>
      </c>
      <c r="Y160">
        <v>77385</v>
      </c>
    </row>
    <row r="161" spans="1:25" ht="15" hidden="1" customHeight="1" x14ac:dyDescent="0.25">
      <c r="A161" s="1" t="s">
        <v>25</v>
      </c>
      <c r="B161" s="1"/>
      <c r="C161" s="1" t="s">
        <v>105</v>
      </c>
      <c r="D161">
        <v>10203</v>
      </c>
      <c r="E161" s="1"/>
      <c r="F161" s="1" t="s">
        <v>253</v>
      </c>
      <c r="G161" s="1" t="s">
        <v>253</v>
      </c>
      <c r="H161" s="1" t="s">
        <v>1396</v>
      </c>
      <c r="I161">
        <v>2008</v>
      </c>
      <c r="J161" s="93">
        <v>18532.240000000002</v>
      </c>
      <c r="K161">
        <v>9</v>
      </c>
      <c r="L161" s="1" t="s">
        <v>399</v>
      </c>
      <c r="M161">
        <v>0</v>
      </c>
      <c r="N161">
        <v>178</v>
      </c>
      <c r="O161">
        <v>104.055249</v>
      </c>
      <c r="P161">
        <v>1</v>
      </c>
      <c r="Q161" s="1" t="s">
        <v>565</v>
      </c>
      <c r="R161" s="93">
        <v>21271.77</v>
      </c>
      <c r="S161">
        <v>3935.25</v>
      </c>
      <c r="T161">
        <v>0</v>
      </c>
      <c r="U161" s="1" t="s">
        <v>756</v>
      </c>
      <c r="V161" s="1"/>
      <c r="W161">
        <v>18.532240000000002</v>
      </c>
      <c r="X161">
        <v>0</v>
      </c>
      <c r="Y161">
        <v>77385</v>
      </c>
    </row>
    <row r="162" spans="1:25" ht="15" hidden="1" customHeight="1" x14ac:dyDescent="0.25">
      <c r="A162" s="1" t="s">
        <v>25</v>
      </c>
      <c r="B162" s="1"/>
      <c r="C162" s="1" t="s">
        <v>103</v>
      </c>
      <c r="D162">
        <v>10322</v>
      </c>
      <c r="E162" s="1"/>
      <c r="F162" s="1" t="s">
        <v>251</v>
      </c>
      <c r="G162" s="1" t="s">
        <v>251</v>
      </c>
      <c r="H162" s="1" t="s">
        <v>1396</v>
      </c>
      <c r="I162">
        <v>2014</v>
      </c>
      <c r="J162" s="93">
        <v>18810.32</v>
      </c>
      <c r="K162">
        <v>4</v>
      </c>
      <c r="L162" s="1" t="s">
        <v>418</v>
      </c>
      <c r="M162">
        <v>0</v>
      </c>
      <c r="N162">
        <v>98</v>
      </c>
      <c r="O162">
        <v>191.74638100000001</v>
      </c>
      <c r="P162">
        <v>1</v>
      </c>
      <c r="Q162" s="1" t="s">
        <v>564</v>
      </c>
      <c r="R162" s="93">
        <v>18810.32</v>
      </c>
      <c r="S162">
        <v>3978.04</v>
      </c>
      <c r="T162">
        <v>0</v>
      </c>
      <c r="U162" s="1" t="s">
        <v>755</v>
      </c>
      <c r="V162" s="1" t="s">
        <v>1183</v>
      </c>
      <c r="W162">
        <v>1741.69606</v>
      </c>
      <c r="X162">
        <v>0</v>
      </c>
      <c r="Y162">
        <v>77814</v>
      </c>
    </row>
    <row r="163" spans="1:25" ht="15" hidden="1" customHeight="1" x14ac:dyDescent="0.25">
      <c r="A163" s="1" t="s">
        <v>25</v>
      </c>
      <c r="B163" s="1"/>
      <c r="C163" s="1" t="s">
        <v>103</v>
      </c>
      <c r="D163">
        <v>10322</v>
      </c>
      <c r="E163" s="1"/>
      <c r="F163" s="1" t="s">
        <v>251</v>
      </c>
      <c r="G163" s="1" t="s">
        <v>251</v>
      </c>
      <c r="H163" s="1" t="s">
        <v>1396</v>
      </c>
      <c r="I163">
        <v>2014</v>
      </c>
      <c r="J163" s="93">
        <v>5.74</v>
      </c>
      <c r="K163">
        <v>3</v>
      </c>
      <c r="L163" s="1" t="s">
        <v>395</v>
      </c>
      <c r="M163">
        <v>0</v>
      </c>
      <c r="N163">
        <v>98</v>
      </c>
      <c r="O163">
        <v>5.8511000000000001E-2</v>
      </c>
      <c r="P163">
        <v>3</v>
      </c>
      <c r="Q163" s="1" t="s">
        <v>560</v>
      </c>
      <c r="R163" s="93">
        <v>5.74</v>
      </c>
      <c r="S163">
        <v>4.59</v>
      </c>
      <c r="T163">
        <v>0</v>
      </c>
      <c r="U163" s="1" t="s">
        <v>578</v>
      </c>
      <c r="V163" s="1"/>
      <c r="W163">
        <v>5.7430000000000003</v>
      </c>
      <c r="X163">
        <v>0</v>
      </c>
      <c r="Y163">
        <v>77813</v>
      </c>
    </row>
    <row r="164" spans="1:25" ht="15" hidden="1" customHeight="1" x14ac:dyDescent="0.25">
      <c r="A164" s="1" t="s">
        <v>25</v>
      </c>
      <c r="B164" s="1"/>
      <c r="C164" s="1" t="s">
        <v>103</v>
      </c>
      <c r="D164">
        <v>10322</v>
      </c>
      <c r="E164" s="1"/>
      <c r="F164" s="1" t="s">
        <v>251</v>
      </c>
      <c r="G164" s="1" t="s">
        <v>251</v>
      </c>
      <c r="H164" s="1" t="s">
        <v>1396</v>
      </c>
      <c r="I164">
        <v>2014</v>
      </c>
      <c r="J164" s="93">
        <v>1621.89</v>
      </c>
      <c r="K164">
        <v>2</v>
      </c>
      <c r="L164" s="1" t="s">
        <v>395</v>
      </c>
      <c r="M164">
        <v>0</v>
      </c>
      <c r="N164">
        <v>98</v>
      </c>
      <c r="O164">
        <v>16.533027000000001</v>
      </c>
      <c r="P164">
        <v>2</v>
      </c>
      <c r="Q164" s="1" t="s">
        <v>569</v>
      </c>
      <c r="R164" s="93">
        <v>1621.89</v>
      </c>
      <c r="S164">
        <v>486.56</v>
      </c>
      <c r="T164">
        <v>0</v>
      </c>
      <c r="U164" s="1" t="s">
        <v>943</v>
      </c>
      <c r="V164" s="1" t="s">
        <v>1237</v>
      </c>
      <c r="W164">
        <v>1621.8823600000001</v>
      </c>
      <c r="X164">
        <v>0</v>
      </c>
      <c r="Y164">
        <v>77812</v>
      </c>
    </row>
    <row r="165" spans="1:25" ht="15" hidden="1" customHeight="1" x14ac:dyDescent="0.25">
      <c r="A165" s="1" t="s">
        <v>25</v>
      </c>
      <c r="B165" s="1"/>
      <c r="C165" s="1" t="s">
        <v>100</v>
      </c>
      <c r="D165">
        <v>10227</v>
      </c>
      <c r="E165" s="1"/>
      <c r="F165" s="1" t="s">
        <v>249</v>
      </c>
      <c r="G165" s="1" t="s">
        <v>249</v>
      </c>
      <c r="H165" s="1" t="s">
        <v>1396</v>
      </c>
      <c r="I165">
        <v>2013</v>
      </c>
      <c r="J165" s="93">
        <v>4947.6400000000003</v>
      </c>
      <c r="K165">
        <v>6</v>
      </c>
      <c r="L165" s="1" t="s">
        <v>395</v>
      </c>
      <c r="M165">
        <v>0</v>
      </c>
      <c r="N165">
        <v>260</v>
      </c>
      <c r="O165">
        <v>19.022068000000001</v>
      </c>
      <c r="P165">
        <v>2</v>
      </c>
      <c r="Q165" s="1" t="s">
        <v>569</v>
      </c>
      <c r="R165" s="93">
        <v>4947.6400000000003</v>
      </c>
      <c r="S165">
        <v>1484.28</v>
      </c>
      <c r="T165">
        <v>0</v>
      </c>
      <c r="U165" s="1" t="s">
        <v>940</v>
      </c>
      <c r="V165" s="1" t="s">
        <v>1234</v>
      </c>
      <c r="W165">
        <v>4947.6596799999998</v>
      </c>
      <c r="X165">
        <v>0</v>
      </c>
      <c r="Y165">
        <v>77469</v>
      </c>
    </row>
    <row r="166" spans="1:25" ht="15" hidden="1" customHeight="1" x14ac:dyDescent="0.25">
      <c r="A166" s="1" t="s">
        <v>25</v>
      </c>
      <c r="B166" s="1"/>
      <c r="C166" s="1" t="s">
        <v>100</v>
      </c>
      <c r="D166">
        <v>10227</v>
      </c>
      <c r="E166" s="1"/>
      <c r="F166" s="1" t="s">
        <v>249</v>
      </c>
      <c r="G166" s="1" t="s">
        <v>249</v>
      </c>
      <c r="H166" s="1" t="s">
        <v>1396</v>
      </c>
      <c r="I166">
        <v>2012</v>
      </c>
      <c r="J166" s="93">
        <v>5290.14</v>
      </c>
      <c r="K166">
        <v>5</v>
      </c>
      <c r="L166" s="1" t="s">
        <v>395</v>
      </c>
      <c r="M166">
        <v>0</v>
      </c>
      <c r="N166">
        <v>260</v>
      </c>
      <c r="O166">
        <v>20.338868999999999</v>
      </c>
      <c r="P166">
        <v>2</v>
      </c>
      <c r="Q166" s="1" t="s">
        <v>569</v>
      </c>
      <c r="R166" s="93">
        <v>5290.14</v>
      </c>
      <c r="S166">
        <v>2116.0500000000002</v>
      </c>
      <c r="T166">
        <v>0</v>
      </c>
      <c r="U166" s="1" t="s">
        <v>940</v>
      </c>
      <c r="V166" s="1" t="s">
        <v>1234</v>
      </c>
      <c r="W166">
        <v>5290.1428699999997</v>
      </c>
      <c r="X166">
        <v>0</v>
      </c>
      <c r="Y166">
        <v>77469</v>
      </c>
    </row>
    <row r="167" spans="1:25" ht="15" hidden="1" customHeight="1" x14ac:dyDescent="0.25">
      <c r="A167" s="1" t="s">
        <v>25</v>
      </c>
      <c r="B167" s="1"/>
      <c r="C167" s="1" t="s">
        <v>100</v>
      </c>
      <c r="D167">
        <v>10227</v>
      </c>
      <c r="E167" s="1"/>
      <c r="F167" s="1" t="s">
        <v>249</v>
      </c>
      <c r="G167" s="1" t="s">
        <v>249</v>
      </c>
      <c r="H167" s="1" t="s">
        <v>1396</v>
      </c>
      <c r="I167">
        <v>2011</v>
      </c>
      <c r="J167" s="93">
        <v>4853.62</v>
      </c>
      <c r="K167">
        <v>5</v>
      </c>
      <c r="L167" s="1" t="s">
        <v>395</v>
      </c>
      <c r="M167">
        <v>0</v>
      </c>
      <c r="N167">
        <v>260</v>
      </c>
      <c r="O167">
        <v>18.660592000000001</v>
      </c>
      <c r="P167">
        <v>2</v>
      </c>
      <c r="Q167" s="1" t="s">
        <v>569</v>
      </c>
      <c r="R167" s="93">
        <v>4853.62</v>
      </c>
      <c r="S167">
        <v>2276.33</v>
      </c>
      <c r="T167">
        <v>0</v>
      </c>
      <c r="U167" s="1" t="s">
        <v>940</v>
      </c>
      <c r="V167" s="1" t="s">
        <v>1234</v>
      </c>
      <c r="W167">
        <v>4853.6190399999996</v>
      </c>
      <c r="X167">
        <v>0</v>
      </c>
      <c r="Y167">
        <v>77469</v>
      </c>
    </row>
    <row r="168" spans="1:25" ht="15" hidden="1" customHeight="1" x14ac:dyDescent="0.25">
      <c r="A168" s="1" t="s">
        <v>25</v>
      </c>
      <c r="B168" s="1"/>
      <c r="C168" s="1" t="s">
        <v>100</v>
      </c>
      <c r="D168">
        <v>10227</v>
      </c>
      <c r="E168" s="1"/>
      <c r="F168" s="1" t="s">
        <v>249</v>
      </c>
      <c r="G168" s="1" t="s">
        <v>249</v>
      </c>
      <c r="H168" s="1" t="s">
        <v>1396</v>
      </c>
      <c r="I168">
        <v>2010</v>
      </c>
      <c r="J168" s="93">
        <v>5893.82</v>
      </c>
      <c r="K168">
        <v>3</v>
      </c>
      <c r="L168" s="1" t="s">
        <v>395</v>
      </c>
      <c r="M168">
        <v>0</v>
      </c>
      <c r="N168">
        <v>260</v>
      </c>
      <c r="O168">
        <v>22.659822999999999</v>
      </c>
      <c r="P168">
        <v>2</v>
      </c>
      <c r="Q168" s="1" t="s">
        <v>569</v>
      </c>
      <c r="R168" s="93">
        <v>5893.82</v>
      </c>
      <c r="S168">
        <v>2764.17</v>
      </c>
      <c r="T168">
        <v>0</v>
      </c>
      <c r="U168" s="1" t="s">
        <v>940</v>
      </c>
      <c r="V168" s="1" t="s">
        <v>1234</v>
      </c>
      <c r="W168">
        <v>5893.7943299999997</v>
      </c>
      <c r="X168">
        <v>0</v>
      </c>
      <c r="Y168">
        <v>77469</v>
      </c>
    </row>
    <row r="169" spans="1:25" ht="15" hidden="1" customHeight="1" x14ac:dyDescent="0.25">
      <c r="A169" s="1" t="s">
        <v>25</v>
      </c>
      <c r="B169" s="1"/>
      <c r="C169" s="1" t="s">
        <v>100</v>
      </c>
      <c r="D169">
        <v>10227</v>
      </c>
      <c r="E169" s="1"/>
      <c r="F169" s="1" t="s">
        <v>249</v>
      </c>
      <c r="G169" s="1" t="s">
        <v>249</v>
      </c>
      <c r="H169" s="1" t="s">
        <v>1396</v>
      </c>
      <c r="I169">
        <v>2009</v>
      </c>
      <c r="J169" s="93">
        <v>5598.54</v>
      </c>
      <c r="K169">
        <v>4</v>
      </c>
      <c r="L169" s="1" t="s">
        <v>395</v>
      </c>
      <c r="M169">
        <v>0</v>
      </c>
      <c r="N169">
        <v>260</v>
      </c>
      <c r="O169">
        <v>21.524567000000001</v>
      </c>
      <c r="P169">
        <v>2</v>
      </c>
      <c r="Q169" s="1" t="s">
        <v>569</v>
      </c>
      <c r="R169" s="93">
        <v>5598.54</v>
      </c>
      <c r="S169">
        <v>2625.73</v>
      </c>
      <c r="T169">
        <v>0</v>
      </c>
      <c r="U169" s="1" t="s">
        <v>940</v>
      </c>
      <c r="V169" s="1" t="s">
        <v>1234</v>
      </c>
      <c r="W169">
        <v>5598.5316899999998</v>
      </c>
      <c r="X169">
        <v>0</v>
      </c>
      <c r="Y169">
        <v>77469</v>
      </c>
    </row>
    <row r="170" spans="1:25" ht="15" hidden="1" customHeight="1" x14ac:dyDescent="0.25">
      <c r="A170" s="1" t="s">
        <v>25</v>
      </c>
      <c r="B170" s="1"/>
      <c r="C170" s="1" t="s">
        <v>100</v>
      </c>
      <c r="D170">
        <v>10227</v>
      </c>
      <c r="E170" s="1"/>
      <c r="F170" s="1" t="s">
        <v>249</v>
      </c>
      <c r="G170" s="1" t="s">
        <v>249</v>
      </c>
      <c r="H170" s="1" t="s">
        <v>1396</v>
      </c>
      <c r="I170">
        <v>2008</v>
      </c>
      <c r="J170" s="93">
        <v>4947.09</v>
      </c>
      <c r="K170">
        <v>4</v>
      </c>
      <c r="L170" s="1" t="s">
        <v>395</v>
      </c>
      <c r="M170">
        <v>0</v>
      </c>
      <c r="N170">
        <v>260</v>
      </c>
      <c r="O170">
        <v>19.019953000000001</v>
      </c>
      <c r="P170">
        <v>2</v>
      </c>
      <c r="Q170" s="1" t="s">
        <v>569</v>
      </c>
      <c r="R170" s="93">
        <v>4947.09</v>
      </c>
      <c r="S170">
        <v>2320.19</v>
      </c>
      <c r="T170">
        <v>0</v>
      </c>
      <c r="U170" s="1" t="s">
        <v>940</v>
      </c>
      <c r="V170" s="1" t="s">
        <v>1234</v>
      </c>
      <c r="W170">
        <v>4947.0878899999998</v>
      </c>
      <c r="X170">
        <v>0</v>
      </c>
      <c r="Y170">
        <v>77469</v>
      </c>
    </row>
    <row r="171" spans="1:25" ht="15" hidden="1" customHeight="1" x14ac:dyDescent="0.25">
      <c r="A171" s="1" t="s">
        <v>25</v>
      </c>
      <c r="B171" s="1" t="s">
        <v>44</v>
      </c>
      <c r="C171" s="1" t="s">
        <v>101</v>
      </c>
      <c r="D171">
        <v>13906</v>
      </c>
      <c r="E171" s="1" t="s">
        <v>243</v>
      </c>
      <c r="F171" s="1" t="s">
        <v>250</v>
      </c>
      <c r="G171" s="1" t="s">
        <v>250</v>
      </c>
      <c r="H171" s="1" t="s">
        <v>1396</v>
      </c>
      <c r="I171">
        <v>2013</v>
      </c>
      <c r="J171" s="93">
        <v>0</v>
      </c>
      <c r="K171">
        <v>3</v>
      </c>
      <c r="L171" s="1" t="s">
        <v>507</v>
      </c>
      <c r="M171">
        <v>0</v>
      </c>
      <c r="N171">
        <v>734</v>
      </c>
      <c r="O171">
        <v>0</v>
      </c>
      <c r="P171">
        <v>2</v>
      </c>
      <c r="Q171" s="1" t="s">
        <v>569</v>
      </c>
      <c r="R171" s="93">
        <v>0</v>
      </c>
      <c r="S171">
        <v>0</v>
      </c>
      <c r="T171">
        <v>0</v>
      </c>
      <c r="U171" s="1" t="s">
        <v>941</v>
      </c>
      <c r="V171" s="1" t="s">
        <v>1235</v>
      </c>
      <c r="W171">
        <v>0</v>
      </c>
      <c r="X171">
        <v>0</v>
      </c>
      <c r="Y171">
        <v>92371</v>
      </c>
    </row>
    <row r="172" spans="1:25" ht="15" hidden="1" customHeight="1" x14ac:dyDescent="0.25">
      <c r="A172" s="1" t="s">
        <v>25</v>
      </c>
      <c r="B172" s="1" t="s">
        <v>44</v>
      </c>
      <c r="C172" s="1" t="s">
        <v>101</v>
      </c>
      <c r="D172">
        <v>13906</v>
      </c>
      <c r="E172" s="1" t="s">
        <v>243</v>
      </c>
      <c r="F172" s="1" t="s">
        <v>250</v>
      </c>
      <c r="G172" s="1" t="s">
        <v>250</v>
      </c>
      <c r="H172" s="1" t="s">
        <v>1396</v>
      </c>
      <c r="I172">
        <v>2012</v>
      </c>
      <c r="J172" s="93">
        <v>51</v>
      </c>
      <c r="K172">
        <v>4</v>
      </c>
      <c r="L172" s="1" t="s">
        <v>507</v>
      </c>
      <c r="M172">
        <v>0</v>
      </c>
      <c r="N172">
        <v>734</v>
      </c>
      <c r="O172">
        <v>6.9472000000000006E-2</v>
      </c>
      <c r="P172">
        <v>2</v>
      </c>
      <c r="Q172" s="1" t="s">
        <v>569</v>
      </c>
      <c r="R172" s="93">
        <v>51</v>
      </c>
      <c r="S172">
        <v>20.399999999999999</v>
      </c>
      <c r="T172">
        <v>0</v>
      </c>
      <c r="U172" s="1" t="s">
        <v>941</v>
      </c>
      <c r="V172" s="1" t="s">
        <v>1235</v>
      </c>
      <c r="W172">
        <v>51</v>
      </c>
      <c r="X172">
        <v>0</v>
      </c>
      <c r="Y172">
        <v>92371</v>
      </c>
    </row>
    <row r="173" spans="1:25" ht="15" hidden="1" customHeight="1" x14ac:dyDescent="0.25">
      <c r="A173" s="1" t="s">
        <v>25</v>
      </c>
      <c r="B173" s="1" t="s">
        <v>45</v>
      </c>
      <c r="C173" s="1" t="s">
        <v>102</v>
      </c>
      <c r="D173">
        <v>13363</v>
      </c>
      <c r="E173" s="1" t="s">
        <v>243</v>
      </c>
      <c r="F173" s="1" t="s">
        <v>102</v>
      </c>
      <c r="G173" s="1" t="s">
        <v>102</v>
      </c>
      <c r="H173" s="1" t="s">
        <v>1396</v>
      </c>
      <c r="I173">
        <v>2013</v>
      </c>
      <c r="J173" s="93">
        <v>0</v>
      </c>
      <c r="K173">
        <v>1</v>
      </c>
      <c r="L173" s="1" t="s">
        <v>508</v>
      </c>
      <c r="M173">
        <v>0</v>
      </c>
      <c r="N173">
        <v>87</v>
      </c>
      <c r="O173">
        <v>0</v>
      </c>
      <c r="P173">
        <v>2</v>
      </c>
      <c r="Q173" s="1" t="s">
        <v>569</v>
      </c>
      <c r="R173" s="93">
        <v>0</v>
      </c>
      <c r="S173">
        <v>0</v>
      </c>
      <c r="T173">
        <v>0</v>
      </c>
      <c r="U173" s="1" t="s">
        <v>942</v>
      </c>
      <c r="V173" s="1" t="s">
        <v>1236</v>
      </c>
      <c r="W173">
        <v>0</v>
      </c>
      <c r="X173">
        <v>0</v>
      </c>
      <c r="Y173">
        <v>89459</v>
      </c>
    </row>
    <row r="174" spans="1:25" ht="15" hidden="1" customHeight="1" x14ac:dyDescent="0.25">
      <c r="A174" s="1" t="s">
        <v>25</v>
      </c>
      <c r="B174" s="1" t="s">
        <v>45</v>
      </c>
      <c r="C174" s="1" t="s">
        <v>102</v>
      </c>
      <c r="D174">
        <v>13363</v>
      </c>
      <c r="E174" s="1" t="s">
        <v>243</v>
      </c>
      <c r="F174" s="1" t="s">
        <v>102</v>
      </c>
      <c r="G174" s="1" t="s">
        <v>102</v>
      </c>
      <c r="H174" s="1" t="s">
        <v>1396</v>
      </c>
      <c r="I174">
        <v>2012</v>
      </c>
      <c r="J174" s="93">
        <v>4</v>
      </c>
      <c r="K174">
        <v>3</v>
      </c>
      <c r="L174" s="1" t="s">
        <v>508</v>
      </c>
      <c r="M174">
        <v>0</v>
      </c>
      <c r="N174">
        <v>87</v>
      </c>
      <c r="O174">
        <v>4.5924E-2</v>
      </c>
      <c r="P174">
        <v>2</v>
      </c>
      <c r="Q174" s="1" t="s">
        <v>569</v>
      </c>
      <c r="R174" s="93">
        <v>4</v>
      </c>
      <c r="S174">
        <v>1.6</v>
      </c>
      <c r="T174">
        <v>0</v>
      </c>
      <c r="U174" s="1" t="s">
        <v>942</v>
      </c>
      <c r="V174" s="1" t="s">
        <v>1236</v>
      </c>
      <c r="W174">
        <v>4</v>
      </c>
      <c r="X174">
        <v>0</v>
      </c>
      <c r="Y174">
        <v>89459</v>
      </c>
    </row>
    <row r="175" spans="1:25" ht="15" hidden="1" customHeight="1" x14ac:dyDescent="0.25">
      <c r="A175" s="1" t="s">
        <v>25</v>
      </c>
      <c r="B175" s="1" t="s">
        <v>45</v>
      </c>
      <c r="C175" s="1" t="s">
        <v>102</v>
      </c>
      <c r="D175">
        <v>13363</v>
      </c>
      <c r="E175" s="1" t="s">
        <v>243</v>
      </c>
      <c r="F175" s="1" t="s">
        <v>102</v>
      </c>
      <c r="G175" s="1" t="s">
        <v>102</v>
      </c>
      <c r="H175" s="1" t="s">
        <v>1396</v>
      </c>
      <c r="I175">
        <v>2011</v>
      </c>
      <c r="J175" s="93">
        <v>0</v>
      </c>
      <c r="K175">
        <v>6</v>
      </c>
      <c r="L175" s="1" t="s">
        <v>508</v>
      </c>
      <c r="M175">
        <v>0</v>
      </c>
      <c r="N175">
        <v>87</v>
      </c>
      <c r="O175">
        <v>0</v>
      </c>
      <c r="P175">
        <v>2</v>
      </c>
      <c r="Q175" s="1" t="s">
        <v>569</v>
      </c>
      <c r="R175" s="93">
        <v>0</v>
      </c>
      <c r="S175">
        <v>0</v>
      </c>
      <c r="T175">
        <v>0</v>
      </c>
      <c r="U175" s="1" t="s">
        <v>942</v>
      </c>
      <c r="V175" s="1" t="s">
        <v>1236</v>
      </c>
      <c r="W175">
        <v>0</v>
      </c>
      <c r="X175">
        <v>0</v>
      </c>
      <c r="Y175">
        <v>89459</v>
      </c>
    </row>
    <row r="176" spans="1:25" ht="15" hidden="1" customHeight="1" x14ac:dyDescent="0.25">
      <c r="A176" s="1" t="s">
        <v>25</v>
      </c>
      <c r="B176" s="1"/>
      <c r="C176" s="1" t="s">
        <v>103</v>
      </c>
      <c r="D176">
        <v>10322</v>
      </c>
      <c r="E176" s="1"/>
      <c r="F176" s="1" t="s">
        <v>251</v>
      </c>
      <c r="G176" s="1" t="s">
        <v>251</v>
      </c>
      <c r="H176" s="1" t="s">
        <v>1396</v>
      </c>
      <c r="I176">
        <v>2013</v>
      </c>
      <c r="J176" s="93">
        <v>3915.46</v>
      </c>
      <c r="K176">
        <v>7</v>
      </c>
      <c r="L176" s="1" t="s">
        <v>395</v>
      </c>
      <c r="M176">
        <v>0</v>
      </c>
      <c r="N176">
        <v>98</v>
      </c>
      <c r="O176">
        <v>39.912945000000001</v>
      </c>
      <c r="P176">
        <v>2</v>
      </c>
      <c r="Q176" s="1" t="s">
        <v>569</v>
      </c>
      <c r="R176" s="93">
        <v>3915.46</v>
      </c>
      <c r="S176">
        <v>1174.6199999999999</v>
      </c>
      <c r="T176">
        <v>0</v>
      </c>
      <c r="U176" s="1" t="s">
        <v>943</v>
      </c>
      <c r="V176" s="1" t="s">
        <v>1237</v>
      </c>
      <c r="W176">
        <v>3915.4509699999999</v>
      </c>
      <c r="X176">
        <v>0</v>
      </c>
      <c r="Y176">
        <v>77812</v>
      </c>
    </row>
    <row r="177" spans="1:25" ht="15" hidden="1" customHeight="1" x14ac:dyDescent="0.25">
      <c r="A177" s="1" t="s">
        <v>25</v>
      </c>
      <c r="B177" s="1"/>
      <c r="C177" s="1" t="s">
        <v>103</v>
      </c>
      <c r="D177">
        <v>10322</v>
      </c>
      <c r="E177" s="1"/>
      <c r="F177" s="1" t="s">
        <v>251</v>
      </c>
      <c r="G177" s="1" t="s">
        <v>251</v>
      </c>
      <c r="H177" s="1" t="s">
        <v>1396</v>
      </c>
      <c r="I177">
        <v>2012</v>
      </c>
      <c r="J177" s="93">
        <v>2223.39</v>
      </c>
      <c r="K177">
        <v>3</v>
      </c>
      <c r="L177" s="1" t="s">
        <v>395</v>
      </c>
      <c r="M177">
        <v>0</v>
      </c>
      <c r="N177">
        <v>98</v>
      </c>
      <c r="O177">
        <v>22.664525000000001</v>
      </c>
      <c r="P177">
        <v>2</v>
      </c>
      <c r="Q177" s="1" t="s">
        <v>569</v>
      </c>
      <c r="R177" s="93">
        <v>2223.39</v>
      </c>
      <c r="S177">
        <v>889.37</v>
      </c>
      <c r="T177">
        <v>0</v>
      </c>
      <c r="U177" s="1" t="s">
        <v>943</v>
      </c>
      <c r="V177" s="1" t="s">
        <v>1237</v>
      </c>
      <c r="W177">
        <v>2223.3939300000002</v>
      </c>
      <c r="X177">
        <v>0</v>
      </c>
      <c r="Y177">
        <v>77812</v>
      </c>
    </row>
    <row r="178" spans="1:25" ht="15" hidden="1" customHeight="1" x14ac:dyDescent="0.25">
      <c r="A178" s="1" t="s">
        <v>25</v>
      </c>
      <c r="B178" s="1"/>
      <c r="C178" s="1" t="s">
        <v>103</v>
      </c>
      <c r="D178">
        <v>10322</v>
      </c>
      <c r="E178" s="1"/>
      <c r="F178" s="1" t="s">
        <v>251</v>
      </c>
      <c r="G178" s="1" t="s">
        <v>251</v>
      </c>
      <c r="H178" s="1" t="s">
        <v>1396</v>
      </c>
      <c r="I178">
        <v>2011</v>
      </c>
      <c r="J178" s="93">
        <v>1638.93</v>
      </c>
      <c r="K178">
        <v>4</v>
      </c>
      <c r="L178" s="1" t="s">
        <v>395</v>
      </c>
      <c r="M178">
        <v>0</v>
      </c>
      <c r="N178">
        <v>98</v>
      </c>
      <c r="O178">
        <v>16.706727000000001</v>
      </c>
      <c r="P178">
        <v>2</v>
      </c>
      <c r="Q178" s="1" t="s">
        <v>569</v>
      </c>
      <c r="R178" s="93">
        <v>1638.93</v>
      </c>
      <c r="S178">
        <v>768.67</v>
      </c>
      <c r="T178">
        <v>0</v>
      </c>
      <c r="U178" s="1" t="s">
        <v>943</v>
      </c>
      <c r="V178" s="1" t="s">
        <v>1237</v>
      </c>
      <c r="W178">
        <v>1638.9394199999999</v>
      </c>
      <c r="X178">
        <v>0</v>
      </c>
      <c r="Y178">
        <v>77812</v>
      </c>
    </row>
    <row r="179" spans="1:25" ht="15" hidden="1" customHeight="1" x14ac:dyDescent="0.25">
      <c r="A179" s="1" t="s">
        <v>25</v>
      </c>
      <c r="B179" s="1"/>
      <c r="C179" s="1" t="s">
        <v>103</v>
      </c>
      <c r="D179">
        <v>10322</v>
      </c>
      <c r="E179" s="1"/>
      <c r="F179" s="1" t="s">
        <v>251</v>
      </c>
      <c r="G179" s="1" t="s">
        <v>251</v>
      </c>
      <c r="H179" s="1" t="s">
        <v>1396</v>
      </c>
      <c r="I179">
        <v>2010</v>
      </c>
      <c r="J179" s="93">
        <v>1588.63</v>
      </c>
      <c r="K179">
        <v>3</v>
      </c>
      <c r="L179" s="1" t="s">
        <v>395</v>
      </c>
      <c r="M179">
        <v>0</v>
      </c>
      <c r="N179">
        <v>98</v>
      </c>
      <c r="O179">
        <v>16.193985000000001</v>
      </c>
      <c r="P179">
        <v>2</v>
      </c>
      <c r="Q179" s="1" t="s">
        <v>569</v>
      </c>
      <c r="R179" s="93">
        <v>1588.63</v>
      </c>
      <c r="S179">
        <v>745.07</v>
      </c>
      <c r="T179">
        <v>0</v>
      </c>
      <c r="U179" s="1" t="s">
        <v>943</v>
      </c>
      <c r="V179" s="1" t="s">
        <v>1237</v>
      </c>
      <c r="W179">
        <v>1588.62672</v>
      </c>
      <c r="X179">
        <v>0</v>
      </c>
      <c r="Y179">
        <v>77812</v>
      </c>
    </row>
    <row r="180" spans="1:25" ht="15" hidden="1" customHeight="1" x14ac:dyDescent="0.25">
      <c r="A180" s="1" t="s">
        <v>25</v>
      </c>
      <c r="B180" s="1"/>
      <c r="C180" s="1" t="s">
        <v>103</v>
      </c>
      <c r="D180">
        <v>10322</v>
      </c>
      <c r="E180" s="1"/>
      <c r="F180" s="1" t="s">
        <v>251</v>
      </c>
      <c r="G180" s="1" t="s">
        <v>251</v>
      </c>
      <c r="H180" s="1" t="s">
        <v>1396</v>
      </c>
      <c r="I180">
        <v>2009</v>
      </c>
      <c r="J180" s="93">
        <v>1474.7</v>
      </c>
      <c r="K180">
        <v>3</v>
      </c>
      <c r="L180" s="1" t="s">
        <v>395</v>
      </c>
      <c r="M180">
        <v>0</v>
      </c>
      <c r="N180">
        <v>98</v>
      </c>
      <c r="O180">
        <v>15.032619</v>
      </c>
      <c r="P180">
        <v>2</v>
      </c>
      <c r="Q180" s="1" t="s">
        <v>569</v>
      </c>
      <c r="R180" s="93">
        <v>1474.7</v>
      </c>
      <c r="S180">
        <v>691.66</v>
      </c>
      <c r="T180">
        <v>0</v>
      </c>
      <c r="U180" s="1" t="s">
        <v>943</v>
      </c>
      <c r="V180" s="1" t="s">
        <v>1237</v>
      </c>
      <c r="W180">
        <v>1474.7066199999999</v>
      </c>
      <c r="X180">
        <v>0</v>
      </c>
      <c r="Y180">
        <v>77812</v>
      </c>
    </row>
    <row r="181" spans="1:25" ht="15" hidden="1" customHeight="1" x14ac:dyDescent="0.25">
      <c r="A181" s="1" t="s">
        <v>25</v>
      </c>
      <c r="B181" s="1"/>
      <c r="C181" s="1" t="s">
        <v>103</v>
      </c>
      <c r="D181">
        <v>10322</v>
      </c>
      <c r="E181" s="1"/>
      <c r="F181" s="1" t="s">
        <v>251</v>
      </c>
      <c r="G181" s="1" t="s">
        <v>251</v>
      </c>
      <c r="H181" s="1" t="s">
        <v>1396</v>
      </c>
      <c r="I181">
        <v>2008</v>
      </c>
      <c r="J181" s="93">
        <v>1630.03</v>
      </c>
      <c r="K181">
        <v>4</v>
      </c>
      <c r="L181" s="1" t="s">
        <v>395</v>
      </c>
      <c r="M181">
        <v>0</v>
      </c>
      <c r="N181">
        <v>98</v>
      </c>
      <c r="O181">
        <v>16.616004</v>
      </c>
      <c r="P181">
        <v>2</v>
      </c>
      <c r="Q181" s="1" t="s">
        <v>569</v>
      </c>
      <c r="R181" s="93">
        <v>1630.03</v>
      </c>
      <c r="S181">
        <v>764.5</v>
      </c>
      <c r="T181">
        <v>0</v>
      </c>
      <c r="U181" s="1" t="s">
        <v>943</v>
      </c>
      <c r="V181" s="1" t="s">
        <v>1237</v>
      </c>
      <c r="W181">
        <v>1630.03279</v>
      </c>
      <c r="X181">
        <v>0</v>
      </c>
      <c r="Y181">
        <v>77812</v>
      </c>
    </row>
    <row r="182" spans="1:25" ht="15" hidden="1" customHeight="1" x14ac:dyDescent="0.25">
      <c r="A182" s="1" t="s">
        <v>25</v>
      </c>
      <c r="B182" s="1"/>
      <c r="C182" s="1" t="s">
        <v>230</v>
      </c>
      <c r="D182">
        <v>5948</v>
      </c>
      <c r="E182" s="1"/>
      <c r="F182" s="1" t="s">
        <v>371</v>
      </c>
      <c r="G182" s="1" t="s">
        <v>230</v>
      </c>
      <c r="H182" s="1" t="s">
        <v>1396</v>
      </c>
      <c r="I182">
        <v>2011</v>
      </c>
      <c r="J182" s="93">
        <v>795.98</v>
      </c>
      <c r="K182">
        <v>2</v>
      </c>
      <c r="L182" s="1" t="s">
        <v>509</v>
      </c>
      <c r="M182">
        <v>0</v>
      </c>
      <c r="N182">
        <v>393</v>
      </c>
      <c r="O182">
        <v>2.0248789999999999</v>
      </c>
      <c r="P182">
        <v>2</v>
      </c>
      <c r="Q182" s="1" t="s">
        <v>569</v>
      </c>
      <c r="R182" s="93">
        <v>795.98</v>
      </c>
      <c r="S182">
        <v>373.34</v>
      </c>
      <c r="T182">
        <v>0</v>
      </c>
      <c r="U182" s="1" t="s">
        <v>944</v>
      </c>
      <c r="V182" s="1" t="s">
        <v>1238</v>
      </c>
      <c r="W182">
        <v>796.00001999999995</v>
      </c>
      <c r="X182">
        <v>0</v>
      </c>
      <c r="Y182">
        <v>59962</v>
      </c>
    </row>
    <row r="183" spans="1:25" ht="15" hidden="1" customHeight="1" x14ac:dyDescent="0.25">
      <c r="A183" s="1" t="s">
        <v>25</v>
      </c>
      <c r="B183" s="1"/>
      <c r="C183" s="1" t="s">
        <v>230</v>
      </c>
      <c r="D183">
        <v>5948</v>
      </c>
      <c r="E183" s="1"/>
      <c r="F183" s="1" t="s">
        <v>371</v>
      </c>
      <c r="G183" s="1" t="s">
        <v>230</v>
      </c>
      <c r="H183" s="1" t="s">
        <v>1396</v>
      </c>
      <c r="I183">
        <v>2010</v>
      </c>
      <c r="J183" s="93">
        <v>5288.13</v>
      </c>
      <c r="K183">
        <v>3</v>
      </c>
      <c r="L183" s="1" t="s">
        <v>509</v>
      </c>
      <c r="M183">
        <v>0</v>
      </c>
      <c r="N183">
        <v>393</v>
      </c>
      <c r="O183">
        <v>13.452378</v>
      </c>
      <c r="P183">
        <v>2</v>
      </c>
      <c r="Q183" s="1" t="s">
        <v>569</v>
      </c>
      <c r="R183" s="93">
        <v>5288.13</v>
      </c>
      <c r="S183">
        <v>2480.14</v>
      </c>
      <c r="T183">
        <v>0</v>
      </c>
      <c r="U183" s="1" t="s">
        <v>944</v>
      </c>
      <c r="V183" s="1" t="s">
        <v>1238</v>
      </c>
      <c r="W183">
        <v>5288.125</v>
      </c>
      <c r="X183">
        <v>0</v>
      </c>
      <c r="Y183">
        <v>59962</v>
      </c>
    </row>
    <row r="184" spans="1:25" ht="15" hidden="1" customHeight="1" x14ac:dyDescent="0.25">
      <c r="A184" s="1" t="s">
        <v>25</v>
      </c>
      <c r="B184" s="1"/>
      <c r="C184" s="1" t="s">
        <v>230</v>
      </c>
      <c r="D184">
        <v>5948</v>
      </c>
      <c r="E184" s="1"/>
      <c r="F184" s="1" t="s">
        <v>371</v>
      </c>
      <c r="G184" s="1" t="s">
        <v>230</v>
      </c>
      <c r="H184" s="1" t="s">
        <v>1396</v>
      </c>
      <c r="I184">
        <v>2009</v>
      </c>
      <c r="J184" s="93">
        <v>13106.5</v>
      </c>
      <c r="K184">
        <v>3</v>
      </c>
      <c r="L184" s="1" t="s">
        <v>509</v>
      </c>
      <c r="M184">
        <v>0</v>
      </c>
      <c r="N184">
        <v>393</v>
      </c>
      <c r="O184">
        <v>33.341388000000002</v>
      </c>
      <c r="P184">
        <v>2</v>
      </c>
      <c r="Q184" s="1" t="s">
        <v>569</v>
      </c>
      <c r="R184" s="93">
        <v>13106.5</v>
      </c>
      <c r="S184">
        <v>6146.95</v>
      </c>
      <c r="T184">
        <v>0</v>
      </c>
      <c r="U184" s="1" t="s">
        <v>944</v>
      </c>
      <c r="V184" s="1" t="s">
        <v>1238</v>
      </c>
      <c r="W184">
        <v>13106.483109999999</v>
      </c>
      <c r="X184">
        <v>0</v>
      </c>
      <c r="Y184">
        <v>59962</v>
      </c>
    </row>
    <row r="185" spans="1:25" ht="15" hidden="1" customHeight="1" x14ac:dyDescent="0.25">
      <c r="A185" s="1" t="s">
        <v>25</v>
      </c>
      <c r="B185" s="1"/>
      <c r="C185" s="1" t="s">
        <v>230</v>
      </c>
      <c r="D185">
        <v>5948</v>
      </c>
      <c r="E185" s="1"/>
      <c r="F185" s="1" t="s">
        <v>371</v>
      </c>
      <c r="G185" s="1" t="s">
        <v>230</v>
      </c>
      <c r="H185" s="1" t="s">
        <v>1396</v>
      </c>
      <c r="I185">
        <v>2008</v>
      </c>
      <c r="J185" s="93">
        <v>15115.26</v>
      </c>
      <c r="K185">
        <v>9</v>
      </c>
      <c r="L185" s="1" t="s">
        <v>509</v>
      </c>
      <c r="M185">
        <v>0</v>
      </c>
      <c r="N185">
        <v>393</v>
      </c>
      <c r="O185">
        <v>38.451436999999999</v>
      </c>
      <c r="P185">
        <v>2</v>
      </c>
      <c r="Q185" s="1" t="s">
        <v>569</v>
      </c>
      <c r="R185" s="93">
        <v>15115.26</v>
      </c>
      <c r="S185">
        <v>7089.05</v>
      </c>
      <c r="T185">
        <v>0</v>
      </c>
      <c r="U185" s="1" t="s">
        <v>944</v>
      </c>
      <c r="V185" s="1" t="s">
        <v>1238</v>
      </c>
      <c r="W185">
        <v>15115.2714</v>
      </c>
      <c r="X185">
        <v>0</v>
      </c>
      <c r="Y185">
        <v>59962</v>
      </c>
    </row>
    <row r="186" spans="1:25" ht="15" hidden="1" customHeight="1" x14ac:dyDescent="0.25">
      <c r="A186" s="1" t="s">
        <v>25</v>
      </c>
      <c r="B186" s="1"/>
      <c r="C186" s="1" t="s">
        <v>104</v>
      </c>
      <c r="D186">
        <v>10171</v>
      </c>
      <c r="E186" s="1"/>
      <c r="F186" s="1" t="s">
        <v>252</v>
      </c>
      <c r="G186" s="1" t="s">
        <v>252</v>
      </c>
      <c r="H186" s="1" t="s">
        <v>1405</v>
      </c>
      <c r="I186">
        <v>2015</v>
      </c>
      <c r="J186" s="93">
        <v>10252</v>
      </c>
      <c r="K186">
        <v>5</v>
      </c>
      <c r="L186" s="1" t="s">
        <v>510</v>
      </c>
      <c r="M186">
        <v>0</v>
      </c>
      <c r="N186">
        <v>353</v>
      </c>
      <c r="O186">
        <v>29.035485000000001</v>
      </c>
      <c r="P186">
        <v>2</v>
      </c>
      <c r="Q186" s="1" t="s">
        <v>569</v>
      </c>
      <c r="R186" s="93">
        <v>10252.43</v>
      </c>
      <c r="S186">
        <v>3075.73</v>
      </c>
      <c r="T186">
        <v>0</v>
      </c>
      <c r="U186" s="1" t="s">
        <v>945</v>
      </c>
      <c r="V186" s="1" t="s">
        <v>1239</v>
      </c>
      <c r="W186">
        <v>10252.429</v>
      </c>
      <c r="X186">
        <v>0</v>
      </c>
      <c r="Y186">
        <v>77185</v>
      </c>
    </row>
    <row r="187" spans="1:25" ht="15" hidden="1" customHeight="1" x14ac:dyDescent="0.25">
      <c r="A187" s="1" t="s">
        <v>25</v>
      </c>
      <c r="B187" s="1"/>
      <c r="C187" s="1" t="s">
        <v>104</v>
      </c>
      <c r="D187">
        <v>10171</v>
      </c>
      <c r="E187" s="1"/>
      <c r="F187" s="1" t="s">
        <v>252</v>
      </c>
      <c r="G187" s="1" t="s">
        <v>252</v>
      </c>
      <c r="H187" s="1" t="s">
        <v>1405</v>
      </c>
      <c r="I187">
        <v>2013</v>
      </c>
      <c r="J187" s="93">
        <v>36244.120000000003</v>
      </c>
      <c r="K187">
        <v>12</v>
      </c>
      <c r="L187" s="1" t="s">
        <v>510</v>
      </c>
      <c r="M187">
        <v>0</v>
      </c>
      <c r="N187">
        <v>353</v>
      </c>
      <c r="O187">
        <v>102.645482</v>
      </c>
      <c r="P187">
        <v>2</v>
      </c>
      <c r="Q187" s="1" t="s">
        <v>569</v>
      </c>
      <c r="R187" s="93">
        <v>36244.120000000003</v>
      </c>
      <c r="S187">
        <v>10873.23</v>
      </c>
      <c r="T187">
        <v>0</v>
      </c>
      <c r="U187" s="1" t="s">
        <v>945</v>
      </c>
      <c r="V187" s="1" t="s">
        <v>1239</v>
      </c>
      <c r="W187">
        <v>36244.122300000003</v>
      </c>
      <c r="X187">
        <v>0</v>
      </c>
      <c r="Y187">
        <v>77185</v>
      </c>
    </row>
    <row r="188" spans="1:25" ht="15" hidden="1" customHeight="1" x14ac:dyDescent="0.25">
      <c r="A188" s="1" t="s">
        <v>25</v>
      </c>
      <c r="B188" s="1"/>
      <c r="C188" s="1" t="s">
        <v>104</v>
      </c>
      <c r="D188">
        <v>10171</v>
      </c>
      <c r="E188" s="1"/>
      <c r="F188" s="1" t="s">
        <v>252</v>
      </c>
      <c r="G188" s="1" t="s">
        <v>252</v>
      </c>
      <c r="H188" s="1" t="s">
        <v>1405</v>
      </c>
      <c r="I188">
        <v>2012</v>
      </c>
      <c r="J188" s="93">
        <v>33102.660000000003</v>
      </c>
      <c r="K188">
        <v>10</v>
      </c>
      <c r="L188" s="1" t="s">
        <v>510</v>
      </c>
      <c r="M188">
        <v>0</v>
      </c>
      <c r="N188">
        <v>353</v>
      </c>
      <c r="O188">
        <v>93.748683</v>
      </c>
      <c r="P188">
        <v>2</v>
      </c>
      <c r="Q188" s="1" t="s">
        <v>569</v>
      </c>
      <c r="R188" s="93">
        <v>33102.660000000003</v>
      </c>
      <c r="S188">
        <v>13241.08</v>
      </c>
      <c r="T188">
        <v>0</v>
      </c>
      <c r="U188" s="1" t="s">
        <v>945</v>
      </c>
      <c r="V188" s="1" t="s">
        <v>1239</v>
      </c>
      <c r="W188">
        <v>33102.665289999997</v>
      </c>
      <c r="X188">
        <v>0</v>
      </c>
      <c r="Y188">
        <v>77185</v>
      </c>
    </row>
    <row r="189" spans="1:25" ht="15" hidden="1" customHeight="1" x14ac:dyDescent="0.25">
      <c r="A189" s="1" t="s">
        <v>25</v>
      </c>
      <c r="B189" s="1"/>
      <c r="C189" s="1" t="s">
        <v>104</v>
      </c>
      <c r="D189">
        <v>10171</v>
      </c>
      <c r="E189" s="1"/>
      <c r="F189" s="1" t="s">
        <v>252</v>
      </c>
      <c r="G189" s="1" t="s">
        <v>252</v>
      </c>
      <c r="H189" s="1" t="s">
        <v>1405</v>
      </c>
      <c r="I189">
        <v>2011</v>
      </c>
      <c r="J189" s="93">
        <v>28086.98</v>
      </c>
      <c r="K189">
        <v>1</v>
      </c>
      <c r="L189" s="1" t="s">
        <v>510</v>
      </c>
      <c r="M189">
        <v>0</v>
      </c>
      <c r="N189">
        <v>353</v>
      </c>
      <c r="O189">
        <v>79.543981000000002</v>
      </c>
      <c r="P189">
        <v>2</v>
      </c>
      <c r="Q189" s="1" t="s">
        <v>569</v>
      </c>
      <c r="R189" s="93">
        <v>28086.98</v>
      </c>
      <c r="S189">
        <v>13172.79</v>
      </c>
      <c r="T189">
        <v>0</v>
      </c>
      <c r="U189" s="1" t="s">
        <v>945</v>
      </c>
      <c r="V189" s="1" t="s">
        <v>1239</v>
      </c>
      <c r="W189">
        <v>28087.001120000001</v>
      </c>
      <c r="X189">
        <v>0</v>
      </c>
      <c r="Y189">
        <v>77185</v>
      </c>
    </row>
    <row r="190" spans="1:25" ht="15" hidden="1" customHeight="1" x14ac:dyDescent="0.25">
      <c r="A190" s="1" t="s">
        <v>25</v>
      </c>
      <c r="B190" s="1"/>
      <c r="C190" s="1" t="s">
        <v>104</v>
      </c>
      <c r="D190">
        <v>10171</v>
      </c>
      <c r="E190" s="1"/>
      <c r="F190" s="1" t="s">
        <v>252</v>
      </c>
      <c r="G190" s="1" t="s">
        <v>252</v>
      </c>
      <c r="H190" s="1" t="s">
        <v>1405</v>
      </c>
      <c r="I190">
        <v>2010</v>
      </c>
      <c r="J190" s="93">
        <v>31061.34</v>
      </c>
      <c r="K190">
        <v>3</v>
      </c>
      <c r="L190" s="1" t="s">
        <v>510</v>
      </c>
      <c r="M190">
        <v>0</v>
      </c>
      <c r="N190">
        <v>353</v>
      </c>
      <c r="O190">
        <v>87.967544000000004</v>
      </c>
      <c r="P190">
        <v>2</v>
      </c>
      <c r="Q190" s="1" t="s">
        <v>569</v>
      </c>
      <c r="R190" s="93">
        <v>31061.34</v>
      </c>
      <c r="S190">
        <v>14567.75</v>
      </c>
      <c r="T190">
        <v>0</v>
      </c>
      <c r="U190" s="1" t="s">
        <v>945</v>
      </c>
      <c r="V190" s="1" t="s">
        <v>1239</v>
      </c>
      <c r="W190">
        <v>31061.353360000001</v>
      </c>
      <c r="X190">
        <v>0</v>
      </c>
      <c r="Y190">
        <v>77185</v>
      </c>
    </row>
    <row r="191" spans="1:25" ht="15" hidden="1" customHeight="1" x14ac:dyDescent="0.25">
      <c r="A191" s="1" t="s">
        <v>25</v>
      </c>
      <c r="B191" s="1"/>
      <c r="C191" s="1" t="s">
        <v>104</v>
      </c>
      <c r="D191">
        <v>10171</v>
      </c>
      <c r="E191" s="1"/>
      <c r="F191" s="1" t="s">
        <v>252</v>
      </c>
      <c r="G191" s="1" t="s">
        <v>252</v>
      </c>
      <c r="H191" s="1" t="s">
        <v>1405</v>
      </c>
      <c r="I191">
        <v>2009</v>
      </c>
      <c r="J191" s="93">
        <v>29212.06</v>
      </c>
      <c r="K191">
        <v>3</v>
      </c>
      <c r="L191" s="1" t="s">
        <v>510</v>
      </c>
      <c r="M191">
        <v>0</v>
      </c>
      <c r="N191">
        <v>353</v>
      </c>
      <c r="O191">
        <v>82.730273999999994</v>
      </c>
      <c r="P191">
        <v>2</v>
      </c>
      <c r="Q191" s="1" t="s">
        <v>569</v>
      </c>
      <c r="R191" s="93">
        <v>29212.06</v>
      </c>
      <c r="S191">
        <v>13700.43</v>
      </c>
      <c r="T191">
        <v>0</v>
      </c>
      <c r="U191" s="1" t="s">
        <v>945</v>
      </c>
      <c r="V191" s="1" t="s">
        <v>1239</v>
      </c>
      <c r="W191">
        <v>29212.031230000001</v>
      </c>
      <c r="X191">
        <v>0</v>
      </c>
      <c r="Y191">
        <v>77185</v>
      </c>
    </row>
    <row r="192" spans="1:25" ht="15" hidden="1" customHeight="1" x14ac:dyDescent="0.25">
      <c r="A192" s="1" t="s">
        <v>25</v>
      </c>
      <c r="B192" s="1"/>
      <c r="C192" s="1" t="s">
        <v>104</v>
      </c>
      <c r="D192">
        <v>10171</v>
      </c>
      <c r="E192" s="1"/>
      <c r="F192" s="1" t="s">
        <v>252</v>
      </c>
      <c r="G192" s="1" t="s">
        <v>252</v>
      </c>
      <c r="H192" s="1" t="s">
        <v>1405</v>
      </c>
      <c r="I192">
        <v>2008</v>
      </c>
      <c r="J192" s="93">
        <v>27496.95</v>
      </c>
      <c r="K192">
        <v>4</v>
      </c>
      <c r="L192" s="1" t="s">
        <v>510</v>
      </c>
      <c r="M192">
        <v>0</v>
      </c>
      <c r="N192">
        <v>353</v>
      </c>
      <c r="O192">
        <v>77.872981999999993</v>
      </c>
      <c r="P192">
        <v>2</v>
      </c>
      <c r="Q192" s="1" t="s">
        <v>569</v>
      </c>
      <c r="R192" s="93">
        <v>27496.95</v>
      </c>
      <c r="S192">
        <v>12896.06</v>
      </c>
      <c r="T192">
        <v>0</v>
      </c>
      <c r="U192" s="1" t="s">
        <v>945</v>
      </c>
      <c r="V192" s="1" t="s">
        <v>1239</v>
      </c>
      <c r="W192">
        <v>27496.952809999999</v>
      </c>
      <c r="X192">
        <v>0</v>
      </c>
      <c r="Y192">
        <v>77185</v>
      </c>
    </row>
    <row r="193" spans="1:25" ht="15" hidden="1" customHeight="1" x14ac:dyDescent="0.25">
      <c r="A193" s="1" t="s">
        <v>25</v>
      </c>
      <c r="B193" s="1"/>
      <c r="C193" s="1" t="s">
        <v>105</v>
      </c>
      <c r="D193">
        <v>10203</v>
      </c>
      <c r="E193" s="1"/>
      <c r="F193" s="1" t="s">
        <v>253</v>
      </c>
      <c r="G193" s="1" t="s">
        <v>253</v>
      </c>
      <c r="H193" s="1" t="s">
        <v>1396</v>
      </c>
      <c r="I193">
        <v>2012</v>
      </c>
      <c r="J193" s="93">
        <v>562.30999999999995</v>
      </c>
      <c r="K193">
        <v>1</v>
      </c>
      <c r="L193" s="1" t="s">
        <v>511</v>
      </c>
      <c r="M193">
        <v>0</v>
      </c>
      <c r="N193">
        <v>178</v>
      </c>
      <c r="O193">
        <v>3.1572710000000002</v>
      </c>
      <c r="P193">
        <v>2</v>
      </c>
      <c r="Q193" s="1" t="s">
        <v>569</v>
      </c>
      <c r="R193" s="93">
        <v>562.30999999999995</v>
      </c>
      <c r="S193">
        <v>224.94</v>
      </c>
      <c r="T193">
        <v>0</v>
      </c>
      <c r="U193" s="1" t="s">
        <v>946</v>
      </c>
      <c r="V193" s="1" t="s">
        <v>1240</v>
      </c>
      <c r="W193">
        <v>562.31637999999998</v>
      </c>
      <c r="X193">
        <v>0</v>
      </c>
      <c r="Y193">
        <v>77383</v>
      </c>
    </row>
    <row r="194" spans="1:25" ht="15" hidden="1" customHeight="1" x14ac:dyDescent="0.25">
      <c r="A194" s="1" t="s">
        <v>25</v>
      </c>
      <c r="B194" s="1"/>
      <c r="C194" s="1" t="s">
        <v>105</v>
      </c>
      <c r="D194">
        <v>10203</v>
      </c>
      <c r="E194" s="1"/>
      <c r="F194" s="1" t="s">
        <v>253</v>
      </c>
      <c r="G194" s="1" t="s">
        <v>253</v>
      </c>
      <c r="H194" s="1" t="s">
        <v>1396</v>
      </c>
      <c r="I194">
        <v>2011</v>
      </c>
      <c r="J194" s="93">
        <v>295.95</v>
      </c>
      <c r="K194">
        <v>7</v>
      </c>
      <c r="L194" s="1" t="s">
        <v>511</v>
      </c>
      <c r="M194">
        <v>0</v>
      </c>
      <c r="N194">
        <v>178</v>
      </c>
      <c r="O194">
        <v>1.6617059999999999</v>
      </c>
      <c r="P194">
        <v>2</v>
      </c>
      <c r="Q194" s="1" t="s">
        <v>569</v>
      </c>
      <c r="R194" s="93">
        <v>295.95</v>
      </c>
      <c r="S194">
        <v>138.80000000000001</v>
      </c>
      <c r="T194">
        <v>0</v>
      </c>
      <c r="U194" s="1" t="s">
        <v>946</v>
      </c>
      <c r="V194" s="1" t="s">
        <v>1240</v>
      </c>
      <c r="W194">
        <v>295.95632000000001</v>
      </c>
      <c r="X194">
        <v>0</v>
      </c>
      <c r="Y194">
        <v>77383</v>
      </c>
    </row>
    <row r="195" spans="1:25" ht="15" hidden="1" customHeight="1" x14ac:dyDescent="0.25">
      <c r="A195" s="1" t="s">
        <v>25</v>
      </c>
      <c r="B195" s="1"/>
      <c r="C195" s="1" t="s">
        <v>105</v>
      </c>
      <c r="D195">
        <v>10203</v>
      </c>
      <c r="E195" s="1"/>
      <c r="F195" s="1" t="s">
        <v>253</v>
      </c>
      <c r="G195" s="1" t="s">
        <v>253</v>
      </c>
      <c r="H195" s="1" t="s">
        <v>1396</v>
      </c>
      <c r="I195">
        <v>2010</v>
      </c>
      <c r="J195" s="93">
        <v>646.01</v>
      </c>
      <c r="K195">
        <v>11</v>
      </c>
      <c r="L195" s="1" t="s">
        <v>511</v>
      </c>
      <c r="M195">
        <v>0</v>
      </c>
      <c r="N195">
        <v>178</v>
      </c>
      <c r="O195">
        <v>3.6272310000000001</v>
      </c>
      <c r="P195">
        <v>2</v>
      </c>
      <c r="Q195" s="1" t="s">
        <v>569</v>
      </c>
      <c r="R195" s="93">
        <v>646.01</v>
      </c>
      <c r="S195">
        <v>302.97000000000003</v>
      </c>
      <c r="T195">
        <v>0</v>
      </c>
      <c r="U195" s="1" t="s">
        <v>946</v>
      </c>
      <c r="V195" s="1" t="s">
        <v>1240</v>
      </c>
      <c r="W195">
        <v>646.01297999999997</v>
      </c>
      <c r="X195">
        <v>0</v>
      </c>
      <c r="Y195">
        <v>77383</v>
      </c>
    </row>
    <row r="196" spans="1:25" ht="15" hidden="1" customHeight="1" x14ac:dyDescent="0.25">
      <c r="A196" s="1" t="s">
        <v>25</v>
      </c>
      <c r="B196" s="1"/>
      <c r="C196" s="1" t="s">
        <v>105</v>
      </c>
      <c r="D196">
        <v>10203</v>
      </c>
      <c r="E196" s="1"/>
      <c r="F196" s="1" t="s">
        <v>253</v>
      </c>
      <c r="G196" s="1" t="s">
        <v>253</v>
      </c>
      <c r="H196" s="1" t="s">
        <v>1396</v>
      </c>
      <c r="I196">
        <v>2009</v>
      </c>
      <c r="J196" s="93">
        <v>3205.04</v>
      </c>
      <c r="K196">
        <v>11</v>
      </c>
      <c r="L196" s="1" t="s">
        <v>511</v>
      </c>
      <c r="M196">
        <v>0</v>
      </c>
      <c r="N196">
        <v>178</v>
      </c>
      <c r="O196">
        <v>17.995732</v>
      </c>
      <c r="P196">
        <v>2</v>
      </c>
      <c r="Q196" s="1" t="s">
        <v>569</v>
      </c>
      <c r="R196" s="93">
        <v>3205.04</v>
      </c>
      <c r="S196">
        <v>1503.16</v>
      </c>
      <c r="T196">
        <v>0</v>
      </c>
      <c r="U196" s="1" t="s">
        <v>946</v>
      </c>
      <c r="V196" s="1" t="s">
        <v>1240</v>
      </c>
      <c r="W196">
        <v>3205.0368400000002</v>
      </c>
      <c r="X196">
        <v>0</v>
      </c>
      <c r="Y196">
        <v>77383</v>
      </c>
    </row>
    <row r="197" spans="1:25" ht="15" hidden="1" customHeight="1" x14ac:dyDescent="0.25">
      <c r="A197" s="1" t="s">
        <v>25</v>
      </c>
      <c r="B197" s="1"/>
      <c r="C197" s="1" t="s">
        <v>105</v>
      </c>
      <c r="D197">
        <v>10203</v>
      </c>
      <c r="E197" s="1"/>
      <c r="F197" s="1" t="s">
        <v>253</v>
      </c>
      <c r="G197" s="1" t="s">
        <v>253</v>
      </c>
      <c r="H197" s="1" t="s">
        <v>1396</v>
      </c>
      <c r="I197">
        <v>2008</v>
      </c>
      <c r="J197" s="93">
        <v>3138.37</v>
      </c>
      <c r="K197">
        <v>9</v>
      </c>
      <c r="L197" s="1" t="s">
        <v>511</v>
      </c>
      <c r="M197">
        <v>0</v>
      </c>
      <c r="N197">
        <v>178</v>
      </c>
      <c r="O197">
        <v>17.621392</v>
      </c>
      <c r="P197">
        <v>2</v>
      </c>
      <c r="Q197" s="1" t="s">
        <v>569</v>
      </c>
      <c r="R197" s="93">
        <v>3138.37</v>
      </c>
      <c r="S197">
        <v>1471.89</v>
      </c>
      <c r="T197">
        <v>0</v>
      </c>
      <c r="U197" s="1" t="s">
        <v>946</v>
      </c>
      <c r="V197" s="1" t="s">
        <v>1240</v>
      </c>
      <c r="W197">
        <v>3138.3587400000001</v>
      </c>
      <c r="X197">
        <v>0</v>
      </c>
      <c r="Y197">
        <v>77383</v>
      </c>
    </row>
    <row r="198" spans="1:25" ht="15" hidden="1" customHeight="1" x14ac:dyDescent="0.25">
      <c r="A198" s="1" t="s">
        <v>25</v>
      </c>
      <c r="B198" s="1"/>
      <c r="C198" s="1" t="s">
        <v>231</v>
      </c>
      <c r="D198">
        <v>5947</v>
      </c>
      <c r="E198" s="1"/>
      <c r="F198" s="1" t="s">
        <v>372</v>
      </c>
      <c r="G198" s="1" t="s">
        <v>231</v>
      </c>
      <c r="H198" s="1" t="s">
        <v>1396</v>
      </c>
      <c r="I198">
        <v>2011</v>
      </c>
      <c r="J198" s="93">
        <v>508.98</v>
      </c>
      <c r="K198">
        <v>3</v>
      </c>
      <c r="L198" s="1" t="s">
        <v>479</v>
      </c>
      <c r="M198">
        <v>0</v>
      </c>
      <c r="N198">
        <v>489</v>
      </c>
      <c r="O198">
        <v>1.040646</v>
      </c>
      <c r="P198">
        <v>2</v>
      </c>
      <c r="Q198" s="1" t="s">
        <v>569</v>
      </c>
      <c r="R198" s="93">
        <v>508.98</v>
      </c>
      <c r="S198">
        <v>238.73</v>
      </c>
      <c r="T198">
        <v>0</v>
      </c>
      <c r="U198" s="1" t="s">
        <v>947</v>
      </c>
      <c r="V198" s="1" t="s">
        <v>1241</v>
      </c>
      <c r="W198">
        <v>509</v>
      </c>
      <c r="X198">
        <v>0</v>
      </c>
      <c r="Y198">
        <v>59959</v>
      </c>
    </row>
    <row r="199" spans="1:25" ht="15" hidden="1" customHeight="1" x14ac:dyDescent="0.25">
      <c r="A199" s="1" t="s">
        <v>25</v>
      </c>
      <c r="B199" s="1"/>
      <c r="C199" s="1" t="s">
        <v>231</v>
      </c>
      <c r="D199">
        <v>5947</v>
      </c>
      <c r="E199" s="1"/>
      <c r="F199" s="1" t="s">
        <v>372</v>
      </c>
      <c r="G199" s="1" t="s">
        <v>231</v>
      </c>
      <c r="H199" s="1" t="s">
        <v>1405</v>
      </c>
      <c r="I199">
        <v>2010</v>
      </c>
      <c r="J199" s="93">
        <v>3978.82</v>
      </c>
      <c r="K199">
        <v>3</v>
      </c>
      <c r="L199" s="1" t="s">
        <v>479</v>
      </c>
      <c r="M199">
        <v>0</v>
      </c>
      <c r="N199">
        <v>489</v>
      </c>
      <c r="O199">
        <v>8.1349820000000008</v>
      </c>
      <c r="P199">
        <v>2</v>
      </c>
      <c r="Q199" s="1" t="s">
        <v>569</v>
      </c>
      <c r="R199" s="93">
        <v>3978.82</v>
      </c>
      <c r="S199">
        <v>1866.05</v>
      </c>
      <c r="T199">
        <v>0</v>
      </c>
      <c r="U199" s="1" t="s">
        <v>947</v>
      </c>
      <c r="V199" s="1" t="s">
        <v>1241</v>
      </c>
      <c r="W199">
        <v>3978.83401</v>
      </c>
      <c r="X199">
        <v>0</v>
      </c>
      <c r="Y199">
        <v>59959</v>
      </c>
    </row>
    <row r="200" spans="1:25" ht="15" hidden="1" customHeight="1" x14ac:dyDescent="0.25">
      <c r="A200" s="1" t="s">
        <v>25</v>
      </c>
      <c r="B200" s="1"/>
      <c r="C200" s="1" t="s">
        <v>231</v>
      </c>
      <c r="D200">
        <v>5947</v>
      </c>
      <c r="E200" s="1"/>
      <c r="F200" s="1" t="s">
        <v>372</v>
      </c>
      <c r="G200" s="1" t="s">
        <v>231</v>
      </c>
      <c r="H200" s="1" t="s">
        <v>1405</v>
      </c>
      <c r="I200">
        <v>2009</v>
      </c>
      <c r="J200" s="93">
        <v>16118.98</v>
      </c>
      <c r="K200">
        <v>2</v>
      </c>
      <c r="L200" s="1" t="s">
        <v>479</v>
      </c>
      <c r="M200">
        <v>0</v>
      </c>
      <c r="N200">
        <v>489</v>
      </c>
      <c r="O200">
        <v>32.956409000000001</v>
      </c>
      <c r="P200">
        <v>2</v>
      </c>
      <c r="Q200" s="1" t="s">
        <v>569</v>
      </c>
      <c r="R200" s="93">
        <v>16118.98</v>
      </c>
      <c r="S200">
        <v>7559.79</v>
      </c>
      <c r="T200">
        <v>0</v>
      </c>
      <c r="U200" s="1" t="s">
        <v>947</v>
      </c>
      <c r="V200" s="1" t="s">
        <v>1241</v>
      </c>
      <c r="W200">
        <v>16118.99458</v>
      </c>
      <c r="X200">
        <v>0</v>
      </c>
      <c r="Y200">
        <v>59959</v>
      </c>
    </row>
    <row r="201" spans="1:25" ht="15" hidden="1" customHeight="1" x14ac:dyDescent="0.25">
      <c r="A201" s="1" t="s">
        <v>25</v>
      </c>
      <c r="B201" s="1"/>
      <c r="C201" s="1" t="s">
        <v>231</v>
      </c>
      <c r="D201">
        <v>5947</v>
      </c>
      <c r="E201" s="1"/>
      <c r="F201" s="1" t="s">
        <v>372</v>
      </c>
      <c r="G201" s="1" t="s">
        <v>231</v>
      </c>
      <c r="H201" s="1" t="s">
        <v>1405</v>
      </c>
      <c r="I201">
        <v>2008</v>
      </c>
      <c r="J201" s="93">
        <v>17459.759999999998</v>
      </c>
      <c r="K201">
        <v>3</v>
      </c>
      <c r="L201" s="1" t="s">
        <v>479</v>
      </c>
      <c r="M201">
        <v>0</v>
      </c>
      <c r="N201">
        <v>489</v>
      </c>
      <c r="O201">
        <v>35.69773</v>
      </c>
      <c r="P201">
        <v>2</v>
      </c>
      <c r="Q201" s="1" t="s">
        <v>569</v>
      </c>
      <c r="R201" s="93">
        <v>17459.759999999998</v>
      </c>
      <c r="S201">
        <v>8188.64</v>
      </c>
      <c r="T201">
        <v>0</v>
      </c>
      <c r="U201" s="1" t="s">
        <v>947</v>
      </c>
      <c r="V201" s="1" t="s">
        <v>1241</v>
      </c>
      <c r="W201">
        <v>17459.786810000001</v>
      </c>
      <c r="X201">
        <v>0</v>
      </c>
      <c r="Y201">
        <v>59959</v>
      </c>
    </row>
    <row r="202" spans="1:25" ht="15" hidden="1" customHeight="1" x14ac:dyDescent="0.25">
      <c r="A202" s="1" t="s">
        <v>25</v>
      </c>
      <c r="B202" s="1"/>
      <c r="C202" s="1" t="s">
        <v>104</v>
      </c>
      <c r="D202">
        <v>10171</v>
      </c>
      <c r="E202" s="1"/>
      <c r="F202" s="1" t="s">
        <v>252</v>
      </c>
      <c r="G202" s="1" t="s">
        <v>252</v>
      </c>
      <c r="H202" s="1" t="s">
        <v>1405</v>
      </c>
      <c r="I202">
        <v>2014</v>
      </c>
      <c r="J202" s="93">
        <v>61.8</v>
      </c>
      <c r="K202">
        <v>12</v>
      </c>
      <c r="L202" s="1" t="s">
        <v>398</v>
      </c>
      <c r="M202">
        <v>0</v>
      </c>
      <c r="N202">
        <v>353</v>
      </c>
      <c r="O202">
        <v>0.17502100000000001</v>
      </c>
      <c r="P202">
        <v>3</v>
      </c>
      <c r="Q202" s="1" t="s">
        <v>560</v>
      </c>
      <c r="R202" s="93">
        <v>61.8</v>
      </c>
      <c r="S202">
        <v>49.44</v>
      </c>
      <c r="T202">
        <v>0</v>
      </c>
      <c r="U202" s="1" t="s">
        <v>579</v>
      </c>
      <c r="V202" s="1"/>
      <c r="W202">
        <v>61.8</v>
      </c>
      <c r="X202">
        <v>0</v>
      </c>
      <c r="Y202">
        <v>77186</v>
      </c>
    </row>
    <row r="203" spans="1:25" ht="15" hidden="1" customHeight="1" x14ac:dyDescent="0.25">
      <c r="A203" s="1" t="s">
        <v>25</v>
      </c>
      <c r="B203" s="1"/>
      <c r="C203" s="1" t="s">
        <v>104</v>
      </c>
      <c r="D203">
        <v>10171</v>
      </c>
      <c r="E203" s="1"/>
      <c r="F203" s="1" t="s">
        <v>252</v>
      </c>
      <c r="G203" s="1" t="s">
        <v>252</v>
      </c>
      <c r="H203" s="1" t="s">
        <v>1405</v>
      </c>
      <c r="I203">
        <v>2014</v>
      </c>
      <c r="J203" s="93">
        <v>18664.57</v>
      </c>
      <c r="K203">
        <v>11</v>
      </c>
      <c r="L203" s="1" t="s">
        <v>510</v>
      </c>
      <c r="M203">
        <v>0</v>
      </c>
      <c r="N203">
        <v>353</v>
      </c>
      <c r="O203">
        <v>52.859161</v>
      </c>
      <c r="P203">
        <v>2</v>
      </c>
      <c r="Q203" s="1" t="s">
        <v>569</v>
      </c>
      <c r="R203" s="93">
        <v>18664.57</v>
      </c>
      <c r="S203">
        <v>5599.36</v>
      </c>
      <c r="T203">
        <v>0</v>
      </c>
      <c r="U203" s="1" t="s">
        <v>945</v>
      </c>
      <c r="V203" s="1" t="s">
        <v>1239</v>
      </c>
      <c r="W203">
        <v>18664.554100000001</v>
      </c>
      <c r="X203">
        <v>0</v>
      </c>
      <c r="Y203">
        <v>77185</v>
      </c>
    </row>
    <row r="204" spans="1:25" ht="15" hidden="1" customHeight="1" x14ac:dyDescent="0.25">
      <c r="A204" s="1" t="s">
        <v>26</v>
      </c>
      <c r="B204" s="1" t="s">
        <v>46</v>
      </c>
      <c r="C204" s="1" t="s">
        <v>106</v>
      </c>
      <c r="D204">
        <v>5478</v>
      </c>
      <c r="E204" s="1"/>
      <c r="F204" s="1" t="s">
        <v>254</v>
      </c>
      <c r="G204" s="1" t="s">
        <v>106</v>
      </c>
      <c r="H204" s="1" t="s">
        <v>1405</v>
      </c>
      <c r="I204">
        <v>2015</v>
      </c>
      <c r="J204" s="93">
        <v>0</v>
      </c>
      <c r="K204">
        <v>5</v>
      </c>
      <c r="L204" s="1"/>
      <c r="M204">
        <v>0</v>
      </c>
      <c r="N204">
        <v>0</v>
      </c>
      <c r="O204">
        <v>0</v>
      </c>
      <c r="P204">
        <v>3</v>
      </c>
      <c r="Q204" s="1" t="s">
        <v>560</v>
      </c>
      <c r="R204" s="93">
        <v>0</v>
      </c>
      <c r="S204">
        <v>0</v>
      </c>
      <c r="T204">
        <v>1</v>
      </c>
      <c r="U204" s="1" t="s">
        <v>580</v>
      </c>
      <c r="V204" s="1"/>
      <c r="W204">
        <v>0</v>
      </c>
      <c r="X204">
        <v>0</v>
      </c>
      <c r="Y204">
        <v>58275</v>
      </c>
    </row>
    <row r="205" spans="1:25" ht="15" hidden="1" customHeight="1" x14ac:dyDescent="0.25">
      <c r="A205" s="1" t="s">
        <v>26</v>
      </c>
      <c r="B205" s="1" t="s">
        <v>46</v>
      </c>
      <c r="C205" s="1" t="s">
        <v>106</v>
      </c>
      <c r="D205">
        <v>5478</v>
      </c>
      <c r="E205" s="1"/>
      <c r="F205" s="1" t="s">
        <v>254</v>
      </c>
      <c r="G205" s="1" t="s">
        <v>106</v>
      </c>
      <c r="H205" s="1" t="s">
        <v>1405</v>
      </c>
      <c r="I205">
        <v>2015</v>
      </c>
      <c r="J205" s="93">
        <v>0</v>
      </c>
      <c r="K205">
        <v>5</v>
      </c>
      <c r="L205" s="1"/>
      <c r="M205">
        <v>0</v>
      </c>
      <c r="N205">
        <v>0</v>
      </c>
      <c r="O205">
        <v>898.4</v>
      </c>
      <c r="P205">
        <v>3</v>
      </c>
      <c r="Q205" s="1" t="s">
        <v>560</v>
      </c>
      <c r="R205" s="93">
        <v>89.84</v>
      </c>
      <c r="S205">
        <v>71.87</v>
      </c>
      <c r="T205">
        <v>1</v>
      </c>
      <c r="U205" s="1" t="s">
        <v>581</v>
      </c>
      <c r="V205" s="1"/>
      <c r="W205">
        <v>89.84</v>
      </c>
      <c r="X205">
        <v>0</v>
      </c>
      <c r="Y205">
        <v>58276</v>
      </c>
    </row>
    <row r="206" spans="1:25" ht="15" hidden="1" customHeight="1" x14ac:dyDescent="0.25">
      <c r="A206" s="1" t="s">
        <v>26</v>
      </c>
      <c r="B206" s="1" t="s">
        <v>46</v>
      </c>
      <c r="C206" s="1" t="s">
        <v>106</v>
      </c>
      <c r="D206">
        <v>5478</v>
      </c>
      <c r="E206" s="1"/>
      <c r="F206" s="1" t="s">
        <v>254</v>
      </c>
      <c r="G206" s="1" t="s">
        <v>106</v>
      </c>
      <c r="H206" s="1" t="s">
        <v>1405</v>
      </c>
      <c r="I206">
        <v>2013</v>
      </c>
      <c r="J206" s="93">
        <v>0</v>
      </c>
      <c r="K206">
        <v>12</v>
      </c>
      <c r="L206" s="1"/>
      <c r="M206">
        <v>0</v>
      </c>
      <c r="N206">
        <v>0</v>
      </c>
      <c r="O206">
        <v>0</v>
      </c>
      <c r="P206">
        <v>3</v>
      </c>
      <c r="Q206" s="1" t="s">
        <v>560</v>
      </c>
      <c r="R206" s="93">
        <v>0</v>
      </c>
      <c r="S206">
        <v>0</v>
      </c>
      <c r="T206">
        <v>1</v>
      </c>
      <c r="U206" s="1" t="s">
        <v>580</v>
      </c>
      <c r="V206" s="1"/>
      <c r="W206">
        <v>0</v>
      </c>
      <c r="X206">
        <v>0</v>
      </c>
      <c r="Y206">
        <v>58275</v>
      </c>
    </row>
    <row r="207" spans="1:25" ht="15" hidden="1" customHeight="1" x14ac:dyDescent="0.25">
      <c r="A207" s="1" t="s">
        <v>26</v>
      </c>
      <c r="B207" s="1" t="s">
        <v>46</v>
      </c>
      <c r="C207" s="1" t="s">
        <v>106</v>
      </c>
      <c r="D207">
        <v>5478</v>
      </c>
      <c r="E207" s="1"/>
      <c r="F207" s="1" t="s">
        <v>254</v>
      </c>
      <c r="G207" s="1" t="s">
        <v>106</v>
      </c>
      <c r="H207" s="1" t="s">
        <v>1405</v>
      </c>
      <c r="I207">
        <v>2013</v>
      </c>
      <c r="J207" s="93">
        <v>122.51</v>
      </c>
      <c r="K207">
        <v>12</v>
      </c>
      <c r="L207" s="1"/>
      <c r="M207">
        <v>0</v>
      </c>
      <c r="N207">
        <v>0</v>
      </c>
      <c r="O207">
        <v>1225.0999999999999</v>
      </c>
      <c r="P207">
        <v>3</v>
      </c>
      <c r="Q207" s="1" t="s">
        <v>560</v>
      </c>
      <c r="R207" s="93">
        <v>122.51</v>
      </c>
      <c r="S207">
        <v>98</v>
      </c>
      <c r="T207">
        <v>1</v>
      </c>
      <c r="U207" s="1" t="s">
        <v>581</v>
      </c>
      <c r="V207" s="1"/>
      <c r="W207">
        <v>122.51</v>
      </c>
      <c r="X207">
        <v>0</v>
      </c>
      <c r="Y207">
        <v>58276</v>
      </c>
    </row>
    <row r="208" spans="1:25" ht="15" hidden="1" customHeight="1" x14ac:dyDescent="0.25">
      <c r="A208" s="1" t="s">
        <v>26</v>
      </c>
      <c r="B208" s="1" t="s">
        <v>46</v>
      </c>
      <c r="C208" s="1" t="s">
        <v>106</v>
      </c>
      <c r="D208">
        <v>5478</v>
      </c>
      <c r="E208" s="1"/>
      <c r="F208" s="1" t="s">
        <v>254</v>
      </c>
      <c r="G208" s="1" t="s">
        <v>106</v>
      </c>
      <c r="H208" s="1" t="s">
        <v>1405</v>
      </c>
      <c r="I208">
        <v>2012</v>
      </c>
      <c r="J208" s="93">
        <v>0</v>
      </c>
      <c r="K208">
        <v>12</v>
      </c>
      <c r="L208" s="1"/>
      <c r="M208">
        <v>0</v>
      </c>
      <c r="N208">
        <v>0</v>
      </c>
      <c r="O208">
        <v>0</v>
      </c>
      <c r="P208">
        <v>3</v>
      </c>
      <c r="Q208" s="1" t="s">
        <v>560</v>
      </c>
      <c r="R208" s="93">
        <v>0</v>
      </c>
      <c r="S208">
        <v>0</v>
      </c>
      <c r="T208">
        <v>1</v>
      </c>
      <c r="U208" s="1" t="s">
        <v>580</v>
      </c>
      <c r="V208" s="1"/>
      <c r="W208">
        <v>0</v>
      </c>
      <c r="X208">
        <v>0</v>
      </c>
      <c r="Y208">
        <v>58275</v>
      </c>
    </row>
    <row r="209" spans="1:25" ht="15" hidden="1" customHeight="1" x14ac:dyDescent="0.25">
      <c r="A209" s="1" t="s">
        <v>26</v>
      </c>
      <c r="B209" s="1" t="s">
        <v>46</v>
      </c>
      <c r="C209" s="1" t="s">
        <v>106</v>
      </c>
      <c r="D209">
        <v>5478</v>
      </c>
      <c r="E209" s="1"/>
      <c r="F209" s="1" t="s">
        <v>254</v>
      </c>
      <c r="G209" s="1" t="s">
        <v>106</v>
      </c>
      <c r="H209" s="1" t="s">
        <v>1405</v>
      </c>
      <c r="I209">
        <v>2012</v>
      </c>
      <c r="J209" s="93">
        <v>69.08</v>
      </c>
      <c r="K209">
        <v>12</v>
      </c>
      <c r="L209" s="1"/>
      <c r="M209">
        <v>0</v>
      </c>
      <c r="N209">
        <v>0</v>
      </c>
      <c r="O209">
        <v>690.8</v>
      </c>
      <c r="P209">
        <v>3</v>
      </c>
      <c r="Q209" s="1" t="s">
        <v>560</v>
      </c>
      <c r="R209" s="93">
        <v>69.08</v>
      </c>
      <c r="S209">
        <v>55.27</v>
      </c>
      <c r="T209">
        <v>1</v>
      </c>
      <c r="U209" s="1" t="s">
        <v>581</v>
      </c>
      <c r="V209" s="1"/>
      <c r="W209">
        <v>69.08</v>
      </c>
      <c r="X209">
        <v>0</v>
      </c>
      <c r="Y209">
        <v>58276</v>
      </c>
    </row>
    <row r="210" spans="1:25" ht="15" hidden="1" customHeight="1" x14ac:dyDescent="0.25">
      <c r="A210" s="1" t="s">
        <v>26</v>
      </c>
      <c r="B210" s="1" t="s">
        <v>46</v>
      </c>
      <c r="C210" s="1" t="s">
        <v>106</v>
      </c>
      <c r="D210">
        <v>5478</v>
      </c>
      <c r="E210" s="1"/>
      <c r="F210" s="1" t="s">
        <v>254</v>
      </c>
      <c r="G210" s="1" t="s">
        <v>106</v>
      </c>
      <c r="H210" s="1" t="s">
        <v>1405</v>
      </c>
      <c r="I210">
        <v>2011</v>
      </c>
      <c r="J210" s="93">
        <v>0</v>
      </c>
      <c r="K210">
        <v>12</v>
      </c>
      <c r="L210" s="1"/>
      <c r="M210">
        <v>0</v>
      </c>
      <c r="N210">
        <v>0</v>
      </c>
      <c r="O210">
        <v>0</v>
      </c>
      <c r="P210">
        <v>3</v>
      </c>
      <c r="Q210" s="1" t="s">
        <v>560</v>
      </c>
      <c r="R210" s="93">
        <v>0</v>
      </c>
      <c r="S210">
        <v>0</v>
      </c>
      <c r="T210">
        <v>1</v>
      </c>
      <c r="U210" s="1" t="s">
        <v>580</v>
      </c>
      <c r="V210" s="1"/>
      <c r="W210">
        <v>0</v>
      </c>
      <c r="X210">
        <v>0</v>
      </c>
      <c r="Y210">
        <v>58275</v>
      </c>
    </row>
    <row r="211" spans="1:25" ht="15" hidden="1" customHeight="1" x14ac:dyDescent="0.25">
      <c r="A211" s="1" t="s">
        <v>26</v>
      </c>
      <c r="B211" s="1" t="s">
        <v>46</v>
      </c>
      <c r="C211" s="1" t="s">
        <v>106</v>
      </c>
      <c r="D211">
        <v>5478</v>
      </c>
      <c r="E211" s="1"/>
      <c r="F211" s="1" t="s">
        <v>254</v>
      </c>
      <c r="G211" s="1" t="s">
        <v>106</v>
      </c>
      <c r="H211" s="1" t="s">
        <v>1405</v>
      </c>
      <c r="I211">
        <v>2011</v>
      </c>
      <c r="J211" s="93">
        <v>1.1000000000000001</v>
      </c>
      <c r="K211">
        <v>12</v>
      </c>
      <c r="L211" s="1"/>
      <c r="M211">
        <v>0</v>
      </c>
      <c r="N211">
        <v>0</v>
      </c>
      <c r="O211">
        <v>11</v>
      </c>
      <c r="P211">
        <v>3</v>
      </c>
      <c r="Q211" s="1" t="s">
        <v>560</v>
      </c>
      <c r="R211" s="93">
        <v>1.1000000000000001</v>
      </c>
      <c r="S211">
        <v>0.88</v>
      </c>
      <c r="T211">
        <v>1</v>
      </c>
      <c r="U211" s="1" t="s">
        <v>581</v>
      </c>
      <c r="V211" s="1"/>
      <c r="W211">
        <v>1.1000000000000001</v>
      </c>
      <c r="X211">
        <v>0</v>
      </c>
      <c r="Y211">
        <v>58276</v>
      </c>
    </row>
    <row r="212" spans="1:25" ht="15" hidden="1" customHeight="1" x14ac:dyDescent="0.25">
      <c r="A212" s="1" t="s">
        <v>26</v>
      </c>
      <c r="B212" s="1" t="s">
        <v>46</v>
      </c>
      <c r="C212" s="1" t="s">
        <v>106</v>
      </c>
      <c r="D212">
        <v>5478</v>
      </c>
      <c r="E212" s="1"/>
      <c r="F212" s="1" t="s">
        <v>254</v>
      </c>
      <c r="G212" s="1" t="s">
        <v>106</v>
      </c>
      <c r="H212" s="1" t="s">
        <v>1405</v>
      </c>
      <c r="I212">
        <v>2010</v>
      </c>
      <c r="J212" s="93">
        <v>0</v>
      </c>
      <c r="K212">
        <v>12</v>
      </c>
      <c r="L212" s="1"/>
      <c r="M212">
        <v>0</v>
      </c>
      <c r="N212">
        <v>0</v>
      </c>
      <c r="O212">
        <v>0</v>
      </c>
      <c r="P212">
        <v>3</v>
      </c>
      <c r="Q212" s="1" t="s">
        <v>560</v>
      </c>
      <c r="R212" s="93">
        <v>0</v>
      </c>
      <c r="S212">
        <v>0</v>
      </c>
      <c r="T212">
        <v>1</v>
      </c>
      <c r="U212" s="1" t="s">
        <v>580</v>
      </c>
      <c r="V212" s="1"/>
      <c r="W212">
        <v>0</v>
      </c>
      <c r="X212">
        <v>0</v>
      </c>
      <c r="Y212">
        <v>58275</v>
      </c>
    </row>
    <row r="213" spans="1:25" ht="15" hidden="1" customHeight="1" x14ac:dyDescent="0.25">
      <c r="A213" s="1" t="s">
        <v>26</v>
      </c>
      <c r="B213" s="1" t="s">
        <v>46</v>
      </c>
      <c r="C213" s="1" t="s">
        <v>106</v>
      </c>
      <c r="D213">
        <v>5478</v>
      </c>
      <c r="E213" s="1"/>
      <c r="F213" s="1" t="s">
        <v>254</v>
      </c>
      <c r="G213" s="1" t="s">
        <v>106</v>
      </c>
      <c r="H213" s="1" t="s">
        <v>1405</v>
      </c>
      <c r="I213">
        <v>2010</v>
      </c>
      <c r="J213" s="93">
        <v>5.46</v>
      </c>
      <c r="K213">
        <v>12</v>
      </c>
      <c r="L213" s="1"/>
      <c r="M213">
        <v>0</v>
      </c>
      <c r="N213">
        <v>0</v>
      </c>
      <c r="O213">
        <v>54.6</v>
      </c>
      <c r="P213">
        <v>3</v>
      </c>
      <c r="Q213" s="1" t="s">
        <v>560</v>
      </c>
      <c r="R213" s="93">
        <v>5.46</v>
      </c>
      <c r="S213">
        <v>4.3600000000000003</v>
      </c>
      <c r="T213">
        <v>1</v>
      </c>
      <c r="U213" s="1" t="s">
        <v>581</v>
      </c>
      <c r="V213" s="1"/>
      <c r="W213">
        <v>5.46</v>
      </c>
      <c r="X213">
        <v>0</v>
      </c>
      <c r="Y213">
        <v>58276</v>
      </c>
    </row>
    <row r="214" spans="1:25" ht="15" hidden="1" customHeight="1" x14ac:dyDescent="0.25">
      <c r="A214" s="1" t="s">
        <v>26</v>
      </c>
      <c r="B214" s="1" t="s">
        <v>46</v>
      </c>
      <c r="C214" s="1" t="s">
        <v>106</v>
      </c>
      <c r="D214">
        <v>5478</v>
      </c>
      <c r="E214" s="1"/>
      <c r="F214" s="1" t="s">
        <v>254</v>
      </c>
      <c r="G214" s="1" t="s">
        <v>106</v>
      </c>
      <c r="H214" s="1" t="s">
        <v>1405</v>
      </c>
      <c r="I214">
        <v>2009</v>
      </c>
      <c r="J214" s="93">
        <v>0</v>
      </c>
      <c r="K214">
        <v>12</v>
      </c>
      <c r="L214" s="1"/>
      <c r="M214">
        <v>0</v>
      </c>
      <c r="N214">
        <v>0</v>
      </c>
      <c r="O214">
        <v>0</v>
      </c>
      <c r="P214">
        <v>3</v>
      </c>
      <c r="Q214" s="1" t="s">
        <v>560</v>
      </c>
      <c r="R214" s="93">
        <v>0</v>
      </c>
      <c r="S214">
        <v>0</v>
      </c>
      <c r="T214">
        <v>1</v>
      </c>
      <c r="U214" s="1" t="s">
        <v>580</v>
      </c>
      <c r="V214" s="1"/>
      <c r="W214">
        <v>0</v>
      </c>
      <c r="X214">
        <v>0</v>
      </c>
      <c r="Y214">
        <v>58275</v>
      </c>
    </row>
    <row r="215" spans="1:25" ht="15" hidden="1" customHeight="1" x14ac:dyDescent="0.25">
      <c r="A215" s="1" t="s">
        <v>26</v>
      </c>
      <c r="B215" s="1" t="s">
        <v>46</v>
      </c>
      <c r="C215" s="1" t="s">
        <v>106</v>
      </c>
      <c r="D215">
        <v>5478</v>
      </c>
      <c r="E215" s="1"/>
      <c r="F215" s="1" t="s">
        <v>254</v>
      </c>
      <c r="G215" s="1" t="s">
        <v>106</v>
      </c>
      <c r="H215" s="1" t="s">
        <v>1405</v>
      </c>
      <c r="I215">
        <v>2009</v>
      </c>
      <c r="J215" s="93">
        <v>55.54</v>
      </c>
      <c r="K215">
        <v>12</v>
      </c>
      <c r="L215" s="1"/>
      <c r="M215">
        <v>0</v>
      </c>
      <c r="N215">
        <v>0</v>
      </c>
      <c r="O215">
        <v>555.4</v>
      </c>
      <c r="P215">
        <v>3</v>
      </c>
      <c r="Q215" s="1" t="s">
        <v>560</v>
      </c>
      <c r="R215" s="93">
        <v>55.54</v>
      </c>
      <c r="S215">
        <v>44.43</v>
      </c>
      <c r="T215">
        <v>1</v>
      </c>
      <c r="U215" s="1" t="s">
        <v>581</v>
      </c>
      <c r="V215" s="1"/>
      <c r="W215">
        <v>55.54</v>
      </c>
      <c r="X215">
        <v>0</v>
      </c>
      <c r="Y215">
        <v>58276</v>
      </c>
    </row>
    <row r="216" spans="1:25" ht="15" hidden="1" customHeight="1" x14ac:dyDescent="0.25">
      <c r="A216" s="1" t="s">
        <v>26</v>
      </c>
      <c r="B216" s="1" t="s">
        <v>46</v>
      </c>
      <c r="C216" s="1" t="s">
        <v>106</v>
      </c>
      <c r="D216">
        <v>5478</v>
      </c>
      <c r="E216" s="1"/>
      <c r="F216" s="1" t="s">
        <v>254</v>
      </c>
      <c r="G216" s="1" t="s">
        <v>106</v>
      </c>
      <c r="H216" s="1" t="s">
        <v>1405</v>
      </c>
      <c r="I216">
        <v>2008</v>
      </c>
      <c r="J216" s="93">
        <v>0</v>
      </c>
      <c r="K216">
        <v>12</v>
      </c>
      <c r="L216" s="1"/>
      <c r="M216">
        <v>0</v>
      </c>
      <c r="N216">
        <v>0</v>
      </c>
      <c r="O216">
        <v>0</v>
      </c>
      <c r="P216">
        <v>3</v>
      </c>
      <c r="Q216" s="1" t="s">
        <v>560</v>
      </c>
      <c r="R216" s="93">
        <v>0</v>
      </c>
      <c r="S216">
        <v>0</v>
      </c>
      <c r="T216">
        <v>1</v>
      </c>
      <c r="U216" s="1" t="s">
        <v>580</v>
      </c>
      <c r="V216" s="1"/>
      <c r="W216">
        <v>0</v>
      </c>
      <c r="X216">
        <v>0</v>
      </c>
      <c r="Y216">
        <v>58275</v>
      </c>
    </row>
    <row r="217" spans="1:25" ht="15" hidden="1" customHeight="1" x14ac:dyDescent="0.25">
      <c r="A217" s="1" t="s">
        <v>26</v>
      </c>
      <c r="B217" s="1" t="s">
        <v>46</v>
      </c>
      <c r="C217" s="1" t="s">
        <v>106</v>
      </c>
      <c r="D217">
        <v>5478</v>
      </c>
      <c r="E217" s="1"/>
      <c r="F217" s="1" t="s">
        <v>254</v>
      </c>
      <c r="G217" s="1" t="s">
        <v>106</v>
      </c>
      <c r="H217" s="1" t="s">
        <v>1405</v>
      </c>
      <c r="I217">
        <v>2008</v>
      </c>
      <c r="J217" s="93">
        <v>99.74</v>
      </c>
      <c r="K217">
        <v>12</v>
      </c>
      <c r="L217" s="1"/>
      <c r="M217">
        <v>0</v>
      </c>
      <c r="N217">
        <v>0</v>
      </c>
      <c r="O217">
        <v>997.4</v>
      </c>
      <c r="P217">
        <v>3</v>
      </c>
      <c r="Q217" s="1" t="s">
        <v>560</v>
      </c>
      <c r="R217" s="93">
        <v>99.74</v>
      </c>
      <c r="S217">
        <v>79.81</v>
      </c>
      <c r="T217">
        <v>1</v>
      </c>
      <c r="U217" s="1" t="s">
        <v>581</v>
      </c>
      <c r="V217" s="1"/>
      <c r="W217">
        <v>99.74</v>
      </c>
      <c r="X217">
        <v>0</v>
      </c>
      <c r="Y217">
        <v>58276</v>
      </c>
    </row>
    <row r="218" spans="1:25" ht="15" hidden="1" customHeight="1" x14ac:dyDescent="0.25">
      <c r="A218" s="1" t="s">
        <v>26</v>
      </c>
      <c r="B218" s="1" t="s">
        <v>46</v>
      </c>
      <c r="C218" s="1" t="s">
        <v>106</v>
      </c>
      <c r="D218">
        <v>5477</v>
      </c>
      <c r="E218" s="1"/>
      <c r="F218" s="1" t="s">
        <v>106</v>
      </c>
      <c r="G218" s="1" t="s">
        <v>106</v>
      </c>
      <c r="H218" s="1" t="s">
        <v>1405</v>
      </c>
      <c r="I218">
        <v>2015</v>
      </c>
      <c r="J218" s="93">
        <v>957</v>
      </c>
      <c r="K218">
        <v>5</v>
      </c>
      <c r="L218" s="1" t="s">
        <v>393</v>
      </c>
      <c r="M218">
        <v>0</v>
      </c>
      <c r="N218">
        <v>9829</v>
      </c>
      <c r="O218">
        <v>5.0610000000000002E-2</v>
      </c>
      <c r="P218">
        <v>3</v>
      </c>
      <c r="Q218" s="1" t="s">
        <v>560</v>
      </c>
      <c r="R218" s="93">
        <v>497.46</v>
      </c>
      <c r="S218">
        <v>397.97</v>
      </c>
      <c r="T218">
        <v>0</v>
      </c>
      <c r="U218" s="1" t="s">
        <v>582</v>
      </c>
      <c r="V218" s="1"/>
      <c r="W218">
        <v>497.46</v>
      </c>
      <c r="X218">
        <v>0</v>
      </c>
      <c r="Y218">
        <v>57922</v>
      </c>
    </row>
    <row r="219" spans="1:25" ht="15" hidden="1" customHeight="1" x14ac:dyDescent="0.25">
      <c r="A219" s="1" t="s">
        <v>26</v>
      </c>
      <c r="B219" s="1" t="s">
        <v>46</v>
      </c>
      <c r="C219" s="1" t="s">
        <v>106</v>
      </c>
      <c r="D219">
        <v>5477</v>
      </c>
      <c r="E219" s="1"/>
      <c r="F219" s="1" t="s">
        <v>106</v>
      </c>
      <c r="G219" s="1" t="s">
        <v>106</v>
      </c>
      <c r="H219" s="1" t="s">
        <v>1405</v>
      </c>
      <c r="I219">
        <v>2013</v>
      </c>
      <c r="J219" s="93">
        <v>735.58</v>
      </c>
      <c r="K219">
        <v>12</v>
      </c>
      <c r="L219" s="1" t="s">
        <v>393</v>
      </c>
      <c r="M219">
        <v>0</v>
      </c>
      <c r="N219">
        <v>9829</v>
      </c>
      <c r="O219">
        <v>7.4836E-2</v>
      </c>
      <c r="P219">
        <v>3</v>
      </c>
      <c r="Q219" s="1" t="s">
        <v>560</v>
      </c>
      <c r="R219" s="93">
        <v>735.58</v>
      </c>
      <c r="S219">
        <v>588.47</v>
      </c>
      <c r="T219">
        <v>0</v>
      </c>
      <c r="U219" s="1" t="s">
        <v>582</v>
      </c>
      <c r="V219" s="1"/>
      <c r="W219">
        <v>735.58</v>
      </c>
      <c r="X219">
        <v>0</v>
      </c>
      <c r="Y219">
        <v>57922</v>
      </c>
    </row>
    <row r="220" spans="1:25" ht="15" hidden="1" customHeight="1" x14ac:dyDescent="0.25">
      <c r="A220" s="1" t="s">
        <v>26</v>
      </c>
      <c r="B220" s="1" t="s">
        <v>46</v>
      </c>
      <c r="C220" s="1" t="s">
        <v>106</v>
      </c>
      <c r="D220">
        <v>5477</v>
      </c>
      <c r="E220" s="1"/>
      <c r="F220" s="1" t="s">
        <v>106</v>
      </c>
      <c r="G220" s="1" t="s">
        <v>106</v>
      </c>
      <c r="H220" s="1" t="s">
        <v>1405</v>
      </c>
      <c r="I220">
        <v>2012</v>
      </c>
      <c r="J220" s="93">
        <v>434.42</v>
      </c>
      <c r="K220">
        <v>12</v>
      </c>
      <c r="L220" s="1" t="s">
        <v>393</v>
      </c>
      <c r="M220">
        <v>0</v>
      </c>
      <c r="N220">
        <v>9829</v>
      </c>
      <c r="O220">
        <v>4.4197E-2</v>
      </c>
      <c r="P220">
        <v>3</v>
      </c>
      <c r="Q220" s="1" t="s">
        <v>560</v>
      </c>
      <c r="R220" s="93">
        <v>434.42</v>
      </c>
      <c r="S220">
        <v>347.56</v>
      </c>
      <c r="T220">
        <v>0</v>
      </c>
      <c r="U220" s="1" t="s">
        <v>582</v>
      </c>
      <c r="V220" s="1"/>
      <c r="W220">
        <v>434.42</v>
      </c>
      <c r="X220">
        <v>0</v>
      </c>
      <c r="Y220">
        <v>57922</v>
      </c>
    </row>
    <row r="221" spans="1:25" ht="15" hidden="1" customHeight="1" x14ac:dyDescent="0.25">
      <c r="A221" s="1" t="s">
        <v>26</v>
      </c>
      <c r="B221" s="1" t="s">
        <v>46</v>
      </c>
      <c r="C221" s="1" t="s">
        <v>106</v>
      </c>
      <c r="D221">
        <v>5477</v>
      </c>
      <c r="E221" s="1"/>
      <c r="F221" s="1" t="s">
        <v>106</v>
      </c>
      <c r="G221" s="1" t="s">
        <v>106</v>
      </c>
      <c r="H221" s="1" t="s">
        <v>1405</v>
      </c>
      <c r="I221">
        <v>2011</v>
      </c>
      <c r="J221" s="93">
        <v>336.4</v>
      </c>
      <c r="K221">
        <v>12</v>
      </c>
      <c r="L221" s="1" t="s">
        <v>393</v>
      </c>
      <c r="M221">
        <v>0</v>
      </c>
      <c r="N221">
        <v>9829</v>
      </c>
      <c r="O221">
        <v>3.4223999999999997E-2</v>
      </c>
      <c r="P221">
        <v>3</v>
      </c>
      <c r="Q221" s="1" t="s">
        <v>560</v>
      </c>
      <c r="R221" s="93">
        <v>336.4</v>
      </c>
      <c r="S221">
        <v>269.11</v>
      </c>
      <c r="T221">
        <v>0</v>
      </c>
      <c r="U221" s="1" t="s">
        <v>582</v>
      </c>
      <c r="V221" s="1"/>
      <c r="W221">
        <v>336.4</v>
      </c>
      <c r="X221">
        <v>0</v>
      </c>
      <c r="Y221">
        <v>57922</v>
      </c>
    </row>
    <row r="222" spans="1:25" ht="15" hidden="1" customHeight="1" x14ac:dyDescent="0.25">
      <c r="A222" s="1" t="s">
        <v>26</v>
      </c>
      <c r="B222" s="1" t="s">
        <v>46</v>
      </c>
      <c r="C222" s="1" t="s">
        <v>106</v>
      </c>
      <c r="D222">
        <v>5477</v>
      </c>
      <c r="E222" s="1"/>
      <c r="F222" s="1" t="s">
        <v>106</v>
      </c>
      <c r="G222" s="1" t="s">
        <v>106</v>
      </c>
      <c r="H222" s="1" t="s">
        <v>1405</v>
      </c>
      <c r="I222">
        <v>2010</v>
      </c>
      <c r="J222" s="93">
        <v>501.06</v>
      </c>
      <c r="K222">
        <v>12</v>
      </c>
      <c r="L222" s="1" t="s">
        <v>393</v>
      </c>
      <c r="M222">
        <v>0</v>
      </c>
      <c r="N222">
        <v>9829</v>
      </c>
      <c r="O222">
        <v>5.0977000000000001E-2</v>
      </c>
      <c r="P222">
        <v>3</v>
      </c>
      <c r="Q222" s="1" t="s">
        <v>560</v>
      </c>
      <c r="R222" s="93">
        <v>501.06</v>
      </c>
      <c r="S222">
        <v>400.84</v>
      </c>
      <c r="T222">
        <v>0</v>
      </c>
      <c r="U222" s="1" t="s">
        <v>582</v>
      </c>
      <c r="V222" s="1"/>
      <c r="W222">
        <v>501.06</v>
      </c>
      <c r="X222">
        <v>0</v>
      </c>
      <c r="Y222">
        <v>57922</v>
      </c>
    </row>
    <row r="223" spans="1:25" ht="15" hidden="1" customHeight="1" x14ac:dyDescent="0.25">
      <c r="A223" s="1" t="s">
        <v>26</v>
      </c>
      <c r="B223" s="1" t="s">
        <v>46</v>
      </c>
      <c r="C223" s="1" t="s">
        <v>106</v>
      </c>
      <c r="D223">
        <v>5477</v>
      </c>
      <c r="E223" s="1"/>
      <c r="F223" s="1" t="s">
        <v>106</v>
      </c>
      <c r="G223" s="1" t="s">
        <v>106</v>
      </c>
      <c r="H223" s="1" t="s">
        <v>1405</v>
      </c>
      <c r="I223">
        <v>2009</v>
      </c>
      <c r="J223" s="93">
        <v>635.45000000000005</v>
      </c>
      <c r="K223">
        <v>12</v>
      </c>
      <c r="L223" s="1" t="s">
        <v>393</v>
      </c>
      <c r="M223">
        <v>0</v>
      </c>
      <c r="N223">
        <v>9829</v>
      </c>
      <c r="O223">
        <v>6.4648999999999998E-2</v>
      </c>
      <c r="P223">
        <v>3</v>
      </c>
      <c r="Q223" s="1" t="s">
        <v>560</v>
      </c>
      <c r="R223" s="93">
        <v>635.45000000000005</v>
      </c>
      <c r="S223">
        <v>508.38</v>
      </c>
      <c r="T223">
        <v>0</v>
      </c>
      <c r="U223" s="1" t="s">
        <v>582</v>
      </c>
      <c r="V223" s="1"/>
      <c r="W223">
        <v>635.45000000000005</v>
      </c>
      <c r="X223">
        <v>0</v>
      </c>
      <c r="Y223">
        <v>57922</v>
      </c>
    </row>
    <row r="224" spans="1:25" ht="15" hidden="1" customHeight="1" x14ac:dyDescent="0.25">
      <c r="A224" s="1" t="s">
        <v>26</v>
      </c>
      <c r="B224" s="1" t="s">
        <v>46</v>
      </c>
      <c r="C224" s="1" t="s">
        <v>106</v>
      </c>
      <c r="D224">
        <v>5477</v>
      </c>
      <c r="E224" s="1"/>
      <c r="F224" s="1" t="s">
        <v>106</v>
      </c>
      <c r="G224" s="1" t="s">
        <v>106</v>
      </c>
      <c r="H224" s="1" t="s">
        <v>1405</v>
      </c>
      <c r="I224">
        <v>2008</v>
      </c>
      <c r="J224" s="93">
        <v>960.7</v>
      </c>
      <c r="K224">
        <v>12</v>
      </c>
      <c r="L224" s="1" t="s">
        <v>393</v>
      </c>
      <c r="M224">
        <v>0</v>
      </c>
      <c r="N224">
        <v>9829</v>
      </c>
      <c r="O224">
        <v>9.7739999999999994E-2</v>
      </c>
      <c r="P224">
        <v>3</v>
      </c>
      <c r="Q224" s="1" t="s">
        <v>560</v>
      </c>
      <c r="R224" s="93">
        <v>960.7</v>
      </c>
      <c r="S224">
        <v>768.56</v>
      </c>
      <c r="T224">
        <v>0</v>
      </c>
      <c r="U224" s="1" t="s">
        <v>582</v>
      </c>
      <c r="V224" s="1"/>
      <c r="W224">
        <v>960.7</v>
      </c>
      <c r="X224">
        <v>0</v>
      </c>
      <c r="Y224">
        <v>57922</v>
      </c>
    </row>
    <row r="225" spans="1:25" ht="15" hidden="1" customHeight="1" x14ac:dyDescent="0.25">
      <c r="A225" s="1" t="s">
        <v>26</v>
      </c>
      <c r="B225" s="1"/>
      <c r="C225" s="1" t="s">
        <v>107</v>
      </c>
      <c r="D225">
        <v>10123</v>
      </c>
      <c r="E225" s="1"/>
      <c r="F225" s="1" t="s">
        <v>255</v>
      </c>
      <c r="G225" s="1" t="s">
        <v>107</v>
      </c>
      <c r="H225" s="1" t="s">
        <v>1405</v>
      </c>
      <c r="I225">
        <v>2013</v>
      </c>
      <c r="J225" s="93">
        <v>1926.87</v>
      </c>
      <c r="K225">
        <v>12</v>
      </c>
      <c r="L225" s="1"/>
      <c r="M225">
        <v>0</v>
      </c>
      <c r="N225">
        <v>1413</v>
      </c>
      <c r="O225">
        <v>1.3635759999999999</v>
      </c>
      <c r="P225">
        <v>3</v>
      </c>
      <c r="Q225" s="1" t="s">
        <v>560</v>
      </c>
      <c r="R225" s="93">
        <v>1926.87</v>
      </c>
      <c r="S225">
        <v>1541.49</v>
      </c>
      <c r="T225">
        <v>0</v>
      </c>
      <c r="U225" s="1"/>
      <c r="V225" s="1"/>
      <c r="W225">
        <v>1926.8779999999999</v>
      </c>
      <c r="X225">
        <v>0</v>
      </c>
      <c r="Y225">
        <v>76937</v>
      </c>
    </row>
    <row r="226" spans="1:25" ht="15" hidden="1" customHeight="1" x14ac:dyDescent="0.25">
      <c r="A226" s="1" t="s">
        <v>26</v>
      </c>
      <c r="B226" s="1"/>
      <c r="C226" s="1" t="s">
        <v>107</v>
      </c>
      <c r="D226">
        <v>10124</v>
      </c>
      <c r="E226" s="1"/>
      <c r="F226" s="1" t="s">
        <v>359</v>
      </c>
      <c r="G226" s="1" t="s">
        <v>107</v>
      </c>
      <c r="H226" s="1" t="s">
        <v>1405</v>
      </c>
      <c r="I226">
        <v>2013</v>
      </c>
      <c r="J226" s="93">
        <v>145518.56</v>
      </c>
      <c r="K226">
        <v>12</v>
      </c>
      <c r="L226" s="1" t="s">
        <v>400</v>
      </c>
      <c r="M226">
        <v>0</v>
      </c>
      <c r="N226">
        <v>780</v>
      </c>
      <c r="O226">
        <v>186.538341</v>
      </c>
      <c r="P226">
        <v>1</v>
      </c>
      <c r="Q226" s="1" t="s">
        <v>564</v>
      </c>
      <c r="R226" s="93">
        <v>151569.49</v>
      </c>
      <c r="S226">
        <v>32054.16</v>
      </c>
      <c r="T226">
        <v>0</v>
      </c>
      <c r="U226" s="1" t="s">
        <v>759</v>
      </c>
      <c r="V226" s="1" t="s">
        <v>1184</v>
      </c>
      <c r="W226">
        <v>13473.94</v>
      </c>
      <c r="X226">
        <v>0</v>
      </c>
      <c r="Y226">
        <v>77796</v>
      </c>
    </row>
    <row r="227" spans="1:25" ht="15" hidden="1" customHeight="1" x14ac:dyDescent="0.25">
      <c r="A227" s="1" t="s">
        <v>26</v>
      </c>
      <c r="B227" s="1"/>
      <c r="C227" s="1" t="s">
        <v>107</v>
      </c>
      <c r="D227">
        <v>10123</v>
      </c>
      <c r="E227" s="1"/>
      <c r="F227" s="1" t="s">
        <v>255</v>
      </c>
      <c r="G227" s="1" t="s">
        <v>107</v>
      </c>
      <c r="H227" s="1" t="s">
        <v>1405</v>
      </c>
      <c r="I227">
        <v>2012</v>
      </c>
      <c r="J227" s="93">
        <v>1860.98</v>
      </c>
      <c r="K227">
        <v>12</v>
      </c>
      <c r="L227" s="1"/>
      <c r="M227">
        <v>0</v>
      </c>
      <c r="N227">
        <v>1413</v>
      </c>
      <c r="O227">
        <v>1.316948</v>
      </c>
      <c r="P227">
        <v>3</v>
      </c>
      <c r="Q227" s="1" t="s">
        <v>560</v>
      </c>
      <c r="R227" s="93">
        <v>1860.98</v>
      </c>
      <c r="S227">
        <v>1488.79</v>
      </c>
      <c r="T227">
        <v>0</v>
      </c>
      <c r="U227" s="1"/>
      <c r="V227" s="1"/>
      <c r="W227">
        <v>1860.991</v>
      </c>
      <c r="X227">
        <v>0</v>
      </c>
      <c r="Y227">
        <v>76937</v>
      </c>
    </row>
    <row r="228" spans="1:25" ht="15" hidden="1" customHeight="1" x14ac:dyDescent="0.25">
      <c r="A228" s="1" t="s">
        <v>26</v>
      </c>
      <c r="B228" s="1"/>
      <c r="C228" s="1" t="s">
        <v>107</v>
      </c>
      <c r="D228">
        <v>10123</v>
      </c>
      <c r="E228" s="1"/>
      <c r="F228" s="1" t="s">
        <v>255</v>
      </c>
      <c r="G228" s="1" t="s">
        <v>107</v>
      </c>
      <c r="H228" s="1" t="s">
        <v>1405</v>
      </c>
      <c r="I228">
        <v>2011</v>
      </c>
      <c r="J228" s="93">
        <v>1727.76</v>
      </c>
      <c r="K228">
        <v>12</v>
      </c>
      <c r="L228" s="1"/>
      <c r="M228">
        <v>0</v>
      </c>
      <c r="N228">
        <v>1413</v>
      </c>
      <c r="O228">
        <v>1.2226729999999999</v>
      </c>
      <c r="P228">
        <v>3</v>
      </c>
      <c r="Q228" s="1" t="s">
        <v>560</v>
      </c>
      <c r="R228" s="93">
        <v>1727.76</v>
      </c>
      <c r="S228">
        <v>1382.19</v>
      </c>
      <c r="T228">
        <v>0</v>
      </c>
      <c r="U228" s="1"/>
      <c r="V228" s="1"/>
      <c r="W228">
        <v>1727.742</v>
      </c>
      <c r="X228">
        <v>0</v>
      </c>
      <c r="Y228">
        <v>76937</v>
      </c>
    </row>
    <row r="229" spans="1:25" ht="15" hidden="1" customHeight="1" x14ac:dyDescent="0.25">
      <c r="A229" s="1" t="s">
        <v>26</v>
      </c>
      <c r="B229" s="1"/>
      <c r="C229" s="1" t="s">
        <v>107</v>
      </c>
      <c r="D229">
        <v>10123</v>
      </c>
      <c r="E229" s="1"/>
      <c r="F229" s="1" t="s">
        <v>255</v>
      </c>
      <c r="G229" s="1" t="s">
        <v>107</v>
      </c>
      <c r="H229" s="1" t="s">
        <v>1405</v>
      </c>
      <c r="I229">
        <v>2010</v>
      </c>
      <c r="J229" s="93">
        <v>1555.69</v>
      </c>
      <c r="K229">
        <v>12</v>
      </c>
      <c r="L229" s="1"/>
      <c r="M229">
        <v>0</v>
      </c>
      <c r="N229">
        <v>1413</v>
      </c>
      <c r="O229">
        <v>1.100905</v>
      </c>
      <c r="P229">
        <v>3</v>
      </c>
      <c r="Q229" s="1" t="s">
        <v>560</v>
      </c>
      <c r="R229" s="93">
        <v>1555.69</v>
      </c>
      <c r="S229">
        <v>1244.55</v>
      </c>
      <c r="T229">
        <v>0</v>
      </c>
      <c r="U229" s="1"/>
      <c r="V229" s="1"/>
      <c r="W229">
        <v>1555.6949999999999</v>
      </c>
      <c r="X229">
        <v>0</v>
      </c>
      <c r="Y229">
        <v>76937</v>
      </c>
    </row>
    <row r="230" spans="1:25" ht="15" hidden="1" customHeight="1" x14ac:dyDescent="0.25">
      <c r="A230" s="1" t="s">
        <v>26</v>
      </c>
      <c r="B230" s="1"/>
      <c r="C230" s="1" t="s">
        <v>107</v>
      </c>
      <c r="D230">
        <v>10123</v>
      </c>
      <c r="E230" s="1"/>
      <c r="F230" s="1" t="s">
        <v>255</v>
      </c>
      <c r="G230" s="1" t="s">
        <v>107</v>
      </c>
      <c r="H230" s="1" t="s">
        <v>1405</v>
      </c>
      <c r="I230">
        <v>2009</v>
      </c>
      <c r="J230" s="93">
        <v>1509.57</v>
      </c>
      <c r="K230">
        <v>12</v>
      </c>
      <c r="L230" s="1"/>
      <c r="M230">
        <v>0</v>
      </c>
      <c r="N230">
        <v>1413</v>
      </c>
      <c r="O230">
        <v>1.068268</v>
      </c>
      <c r="P230">
        <v>3</v>
      </c>
      <c r="Q230" s="1" t="s">
        <v>560</v>
      </c>
      <c r="R230" s="93">
        <v>1509.57</v>
      </c>
      <c r="S230">
        <v>1207.67</v>
      </c>
      <c r="T230">
        <v>0</v>
      </c>
      <c r="U230" s="1"/>
      <c r="V230" s="1"/>
      <c r="W230">
        <v>1509.58</v>
      </c>
      <c r="X230">
        <v>0</v>
      </c>
      <c r="Y230">
        <v>76937</v>
      </c>
    </row>
    <row r="231" spans="1:25" ht="15" hidden="1" customHeight="1" x14ac:dyDescent="0.25">
      <c r="A231" s="1" t="s">
        <v>26</v>
      </c>
      <c r="B231" s="1"/>
      <c r="C231" s="1" t="s">
        <v>107</v>
      </c>
      <c r="D231">
        <v>10123</v>
      </c>
      <c r="E231" s="1"/>
      <c r="F231" s="1" t="s">
        <v>255</v>
      </c>
      <c r="G231" s="1" t="s">
        <v>107</v>
      </c>
      <c r="H231" s="1" t="s">
        <v>1405</v>
      </c>
      <c r="I231">
        <v>2008</v>
      </c>
      <c r="J231" s="93">
        <v>1157.79</v>
      </c>
      <c r="K231">
        <v>12</v>
      </c>
      <c r="L231" s="1"/>
      <c r="M231">
        <v>0</v>
      </c>
      <c r="N231">
        <v>1413</v>
      </c>
      <c r="O231">
        <v>0.819326</v>
      </c>
      <c r="P231">
        <v>3</v>
      </c>
      <c r="Q231" s="1" t="s">
        <v>560</v>
      </c>
      <c r="R231" s="93">
        <v>1157.79</v>
      </c>
      <c r="S231">
        <v>926.22</v>
      </c>
      <c r="T231">
        <v>0</v>
      </c>
      <c r="U231" s="1"/>
      <c r="V231" s="1"/>
      <c r="W231">
        <v>1157.7850000000001</v>
      </c>
      <c r="X231">
        <v>0</v>
      </c>
      <c r="Y231">
        <v>76937</v>
      </c>
    </row>
    <row r="232" spans="1:25" ht="15" hidden="1" customHeight="1" x14ac:dyDescent="0.25">
      <c r="A232" s="1" t="s">
        <v>26</v>
      </c>
      <c r="B232" s="1"/>
      <c r="C232" s="1" t="s">
        <v>107</v>
      </c>
      <c r="D232">
        <v>10123</v>
      </c>
      <c r="E232" s="1"/>
      <c r="F232" s="1" t="s">
        <v>255</v>
      </c>
      <c r="G232" s="1" t="s">
        <v>107</v>
      </c>
      <c r="H232" s="1" t="s">
        <v>1405</v>
      </c>
      <c r="I232">
        <v>2008</v>
      </c>
      <c r="J232" s="93">
        <v>131.61000000000001</v>
      </c>
      <c r="K232">
        <v>1</v>
      </c>
      <c r="L232" s="1" t="s">
        <v>400</v>
      </c>
      <c r="M232">
        <v>0</v>
      </c>
      <c r="N232">
        <v>1413</v>
      </c>
      <c r="O232">
        <v>9.3134999999999996E-2</v>
      </c>
      <c r="P232">
        <v>3</v>
      </c>
      <c r="Q232" s="1" t="s">
        <v>560</v>
      </c>
      <c r="R232" s="93">
        <v>131.61000000000001</v>
      </c>
      <c r="S232">
        <v>105.29</v>
      </c>
      <c r="T232">
        <v>0</v>
      </c>
      <c r="U232" s="1" t="s">
        <v>583</v>
      </c>
      <c r="V232" s="1"/>
      <c r="W232">
        <v>131.6129</v>
      </c>
      <c r="X232">
        <v>0</v>
      </c>
      <c r="Y232">
        <v>77799</v>
      </c>
    </row>
    <row r="233" spans="1:25" ht="15" hidden="1" customHeight="1" x14ac:dyDescent="0.25">
      <c r="A233" s="1" t="s">
        <v>26</v>
      </c>
      <c r="B233" s="1" t="s">
        <v>47</v>
      </c>
      <c r="C233" s="1" t="s">
        <v>108</v>
      </c>
      <c r="D233">
        <v>6070</v>
      </c>
      <c r="E233" s="1"/>
      <c r="F233" s="1" t="s">
        <v>108</v>
      </c>
      <c r="G233" s="1" t="s">
        <v>108</v>
      </c>
      <c r="H233" s="1" t="s">
        <v>1405</v>
      </c>
      <c r="I233">
        <v>2015</v>
      </c>
      <c r="J233" s="93">
        <v>105</v>
      </c>
      <c r="K233">
        <v>5</v>
      </c>
      <c r="L233" s="1" t="s">
        <v>401</v>
      </c>
      <c r="M233">
        <v>0</v>
      </c>
      <c r="N233">
        <v>800</v>
      </c>
      <c r="O233">
        <v>4.7606000000000002E-2</v>
      </c>
      <c r="P233">
        <v>3</v>
      </c>
      <c r="Q233" s="1" t="s">
        <v>560</v>
      </c>
      <c r="R233" s="93">
        <v>38.090000000000003</v>
      </c>
      <c r="S233">
        <v>30.48</v>
      </c>
      <c r="T233">
        <v>0</v>
      </c>
      <c r="U233" s="1" t="s">
        <v>584</v>
      </c>
      <c r="V233" s="1"/>
      <c r="W233">
        <v>38.092570000000002</v>
      </c>
      <c r="X233">
        <v>0</v>
      </c>
      <c r="Y233">
        <v>60881</v>
      </c>
    </row>
    <row r="234" spans="1:25" ht="15" hidden="1" customHeight="1" x14ac:dyDescent="0.25">
      <c r="A234" s="1" t="s">
        <v>26</v>
      </c>
      <c r="B234" s="1" t="s">
        <v>47</v>
      </c>
      <c r="C234" s="1" t="s">
        <v>108</v>
      </c>
      <c r="D234">
        <v>6070</v>
      </c>
      <c r="E234" s="1"/>
      <c r="F234" s="1" t="s">
        <v>108</v>
      </c>
      <c r="G234" s="1" t="s">
        <v>108</v>
      </c>
      <c r="H234" s="1" t="s">
        <v>1405</v>
      </c>
      <c r="I234">
        <v>2013</v>
      </c>
      <c r="J234" s="93">
        <v>111.97</v>
      </c>
      <c r="K234">
        <v>12</v>
      </c>
      <c r="L234" s="1" t="s">
        <v>401</v>
      </c>
      <c r="M234">
        <v>0</v>
      </c>
      <c r="N234">
        <v>800</v>
      </c>
      <c r="O234">
        <v>0.13994500000000001</v>
      </c>
      <c r="P234">
        <v>3</v>
      </c>
      <c r="Q234" s="1" t="s">
        <v>560</v>
      </c>
      <c r="R234" s="93">
        <v>111.97</v>
      </c>
      <c r="S234">
        <v>89.58</v>
      </c>
      <c r="T234">
        <v>0</v>
      </c>
      <c r="U234" s="1" t="s">
        <v>584</v>
      </c>
      <c r="V234" s="1"/>
      <c r="W234">
        <v>111.96766</v>
      </c>
      <c r="X234">
        <v>0</v>
      </c>
      <c r="Y234">
        <v>60881</v>
      </c>
    </row>
    <row r="235" spans="1:25" ht="15" hidden="1" customHeight="1" x14ac:dyDescent="0.25">
      <c r="A235" s="1" t="s">
        <v>26</v>
      </c>
      <c r="B235" s="1" t="s">
        <v>47</v>
      </c>
      <c r="C235" s="1" t="s">
        <v>108</v>
      </c>
      <c r="D235">
        <v>6070</v>
      </c>
      <c r="E235" s="1"/>
      <c r="F235" s="1" t="s">
        <v>108</v>
      </c>
      <c r="G235" s="1" t="s">
        <v>108</v>
      </c>
      <c r="H235" s="1" t="s">
        <v>1405</v>
      </c>
      <c r="I235">
        <v>2012</v>
      </c>
      <c r="J235" s="93">
        <v>130.54</v>
      </c>
      <c r="K235">
        <v>12</v>
      </c>
      <c r="L235" s="1" t="s">
        <v>401</v>
      </c>
      <c r="M235">
        <v>0</v>
      </c>
      <c r="N235">
        <v>800</v>
      </c>
      <c r="O235">
        <v>0.16315399999999999</v>
      </c>
      <c r="P235">
        <v>3</v>
      </c>
      <c r="Q235" s="1" t="s">
        <v>560</v>
      </c>
      <c r="R235" s="93">
        <v>130.54</v>
      </c>
      <c r="S235">
        <v>104.43</v>
      </c>
      <c r="T235">
        <v>0</v>
      </c>
      <c r="U235" s="1" t="s">
        <v>584</v>
      </c>
      <c r="V235" s="1"/>
      <c r="W235">
        <v>130.54799</v>
      </c>
      <c r="X235">
        <v>0</v>
      </c>
      <c r="Y235">
        <v>60881</v>
      </c>
    </row>
    <row r="236" spans="1:25" ht="15" hidden="1" customHeight="1" x14ac:dyDescent="0.25">
      <c r="A236" s="1" t="s">
        <v>26</v>
      </c>
      <c r="B236" s="1" t="s">
        <v>47</v>
      </c>
      <c r="C236" s="1" t="s">
        <v>108</v>
      </c>
      <c r="D236">
        <v>6070</v>
      </c>
      <c r="E236" s="1"/>
      <c r="F236" s="1" t="s">
        <v>108</v>
      </c>
      <c r="G236" s="1" t="s">
        <v>108</v>
      </c>
      <c r="H236" s="1" t="s">
        <v>1405</v>
      </c>
      <c r="I236">
        <v>2011</v>
      </c>
      <c r="J236" s="93">
        <v>130.24</v>
      </c>
      <c r="K236">
        <v>12</v>
      </c>
      <c r="L236" s="1" t="s">
        <v>401</v>
      </c>
      <c r="M236">
        <v>0</v>
      </c>
      <c r="N236">
        <v>800</v>
      </c>
      <c r="O236">
        <v>0.16277900000000001</v>
      </c>
      <c r="P236">
        <v>3</v>
      </c>
      <c r="Q236" s="1" t="s">
        <v>560</v>
      </c>
      <c r="R236" s="93">
        <v>130.24</v>
      </c>
      <c r="S236">
        <v>104.19</v>
      </c>
      <c r="T236">
        <v>0</v>
      </c>
      <c r="U236" s="1" t="s">
        <v>584</v>
      </c>
      <c r="V236" s="1"/>
      <c r="W236">
        <v>130.23769999999999</v>
      </c>
      <c r="X236">
        <v>0</v>
      </c>
      <c r="Y236">
        <v>60881</v>
      </c>
    </row>
    <row r="237" spans="1:25" ht="15" hidden="1" customHeight="1" x14ac:dyDescent="0.25">
      <c r="A237" s="1" t="s">
        <v>26</v>
      </c>
      <c r="B237" s="1" t="s">
        <v>47</v>
      </c>
      <c r="C237" s="1" t="s">
        <v>108</v>
      </c>
      <c r="D237">
        <v>6070</v>
      </c>
      <c r="E237" s="1"/>
      <c r="F237" s="1" t="s">
        <v>108</v>
      </c>
      <c r="G237" s="1" t="s">
        <v>108</v>
      </c>
      <c r="H237" s="1" t="s">
        <v>1405</v>
      </c>
      <c r="I237">
        <v>2010</v>
      </c>
      <c r="J237" s="93">
        <v>137.47999999999999</v>
      </c>
      <c r="K237">
        <v>12</v>
      </c>
      <c r="L237" s="1" t="s">
        <v>401</v>
      </c>
      <c r="M237">
        <v>0</v>
      </c>
      <c r="N237">
        <v>800</v>
      </c>
      <c r="O237">
        <v>0.17182800000000001</v>
      </c>
      <c r="P237">
        <v>3</v>
      </c>
      <c r="Q237" s="1" t="s">
        <v>560</v>
      </c>
      <c r="R237" s="93">
        <v>137.47999999999999</v>
      </c>
      <c r="S237">
        <v>109.97</v>
      </c>
      <c r="T237">
        <v>0</v>
      </c>
      <c r="U237" s="1" t="s">
        <v>584</v>
      </c>
      <c r="V237" s="1"/>
      <c r="W237">
        <v>137.47457</v>
      </c>
      <c r="X237">
        <v>0</v>
      </c>
      <c r="Y237">
        <v>60881</v>
      </c>
    </row>
    <row r="238" spans="1:25" ht="15" hidden="1" customHeight="1" x14ac:dyDescent="0.25">
      <c r="A238" s="1" t="s">
        <v>26</v>
      </c>
      <c r="B238" s="1" t="s">
        <v>47</v>
      </c>
      <c r="C238" s="1" t="s">
        <v>108</v>
      </c>
      <c r="D238">
        <v>6070</v>
      </c>
      <c r="E238" s="1"/>
      <c r="F238" s="1" t="s">
        <v>108</v>
      </c>
      <c r="G238" s="1" t="s">
        <v>108</v>
      </c>
      <c r="H238" s="1" t="s">
        <v>1405</v>
      </c>
      <c r="I238">
        <v>2009</v>
      </c>
      <c r="J238" s="93">
        <v>147.16</v>
      </c>
      <c r="K238">
        <v>12</v>
      </c>
      <c r="L238" s="1" t="s">
        <v>401</v>
      </c>
      <c r="M238">
        <v>0</v>
      </c>
      <c r="N238">
        <v>800</v>
      </c>
      <c r="O238">
        <v>0.18392700000000001</v>
      </c>
      <c r="P238">
        <v>3</v>
      </c>
      <c r="Q238" s="1" t="s">
        <v>560</v>
      </c>
      <c r="R238" s="93">
        <v>147.16</v>
      </c>
      <c r="S238">
        <v>117.72</v>
      </c>
      <c r="T238">
        <v>0</v>
      </c>
      <c r="U238" s="1" t="s">
        <v>584</v>
      </c>
      <c r="V238" s="1"/>
      <c r="W238">
        <v>147.14938000000001</v>
      </c>
      <c r="X238">
        <v>0</v>
      </c>
      <c r="Y238">
        <v>60881</v>
      </c>
    </row>
    <row r="239" spans="1:25" ht="15" hidden="1" customHeight="1" x14ac:dyDescent="0.25">
      <c r="A239" s="1" t="s">
        <v>26</v>
      </c>
      <c r="B239" s="1" t="s">
        <v>47</v>
      </c>
      <c r="C239" s="1" t="s">
        <v>108</v>
      </c>
      <c r="D239">
        <v>6070</v>
      </c>
      <c r="E239" s="1"/>
      <c r="F239" s="1" t="s">
        <v>108</v>
      </c>
      <c r="G239" s="1" t="s">
        <v>108</v>
      </c>
      <c r="H239" s="1" t="s">
        <v>1405</v>
      </c>
      <c r="I239">
        <v>2008</v>
      </c>
      <c r="J239" s="93">
        <v>210.62</v>
      </c>
      <c r="K239">
        <v>11</v>
      </c>
      <c r="L239" s="1" t="s">
        <v>401</v>
      </c>
      <c r="M239">
        <v>0</v>
      </c>
      <c r="N239">
        <v>800</v>
      </c>
      <c r="O239">
        <v>0.26324199999999998</v>
      </c>
      <c r="P239">
        <v>3</v>
      </c>
      <c r="Q239" s="1" t="s">
        <v>560</v>
      </c>
      <c r="R239" s="93">
        <v>210.62</v>
      </c>
      <c r="S239">
        <v>168.5</v>
      </c>
      <c r="T239">
        <v>0</v>
      </c>
      <c r="U239" s="1" t="s">
        <v>584</v>
      </c>
      <c r="V239" s="1"/>
      <c r="W239">
        <v>210.61574999999999</v>
      </c>
      <c r="X239">
        <v>0</v>
      </c>
      <c r="Y239">
        <v>60881</v>
      </c>
    </row>
    <row r="240" spans="1:25" ht="15" hidden="1" customHeight="1" x14ac:dyDescent="0.25">
      <c r="A240" s="1" t="s">
        <v>26</v>
      </c>
      <c r="B240" s="1" t="s">
        <v>46</v>
      </c>
      <c r="C240" s="1" t="s">
        <v>106</v>
      </c>
      <c r="D240">
        <v>5478</v>
      </c>
      <c r="E240" s="1"/>
      <c r="F240" s="1" t="s">
        <v>254</v>
      </c>
      <c r="G240" s="1" t="s">
        <v>106</v>
      </c>
      <c r="H240" s="1" t="s">
        <v>1405</v>
      </c>
      <c r="I240">
        <v>2014</v>
      </c>
      <c r="J240" s="93">
        <v>0</v>
      </c>
      <c r="K240">
        <v>12</v>
      </c>
      <c r="L240" s="1"/>
      <c r="M240">
        <v>0</v>
      </c>
      <c r="N240">
        <v>0</v>
      </c>
      <c r="O240">
        <v>0</v>
      </c>
      <c r="P240">
        <v>3</v>
      </c>
      <c r="Q240" s="1" t="s">
        <v>560</v>
      </c>
      <c r="R240" s="93">
        <v>0</v>
      </c>
      <c r="S240">
        <v>0</v>
      </c>
      <c r="T240">
        <v>1</v>
      </c>
      <c r="U240" s="1" t="s">
        <v>580</v>
      </c>
      <c r="V240" s="1"/>
      <c r="W240">
        <v>0</v>
      </c>
      <c r="X240">
        <v>0</v>
      </c>
      <c r="Y240">
        <v>58275</v>
      </c>
    </row>
    <row r="241" spans="1:25" ht="15" hidden="1" customHeight="1" x14ac:dyDescent="0.25">
      <c r="A241" s="1" t="s">
        <v>26</v>
      </c>
      <c r="B241" s="1" t="s">
        <v>46</v>
      </c>
      <c r="C241" s="1" t="s">
        <v>106</v>
      </c>
      <c r="D241">
        <v>5478</v>
      </c>
      <c r="E241" s="1"/>
      <c r="F241" s="1" t="s">
        <v>254</v>
      </c>
      <c r="G241" s="1" t="s">
        <v>106</v>
      </c>
      <c r="H241" s="1" t="s">
        <v>1405</v>
      </c>
      <c r="I241">
        <v>2014</v>
      </c>
      <c r="J241" s="93">
        <v>141.85</v>
      </c>
      <c r="K241">
        <v>12</v>
      </c>
      <c r="L241" s="1"/>
      <c r="M241">
        <v>0</v>
      </c>
      <c r="N241">
        <v>0</v>
      </c>
      <c r="O241">
        <v>1418.5</v>
      </c>
      <c r="P241">
        <v>3</v>
      </c>
      <c r="Q241" s="1" t="s">
        <v>560</v>
      </c>
      <c r="R241" s="93">
        <v>141.85</v>
      </c>
      <c r="S241">
        <v>113.46</v>
      </c>
      <c r="T241">
        <v>1</v>
      </c>
      <c r="U241" s="1" t="s">
        <v>581</v>
      </c>
      <c r="V241" s="1"/>
      <c r="W241">
        <v>141.85</v>
      </c>
      <c r="X241">
        <v>0</v>
      </c>
      <c r="Y241">
        <v>58276</v>
      </c>
    </row>
    <row r="242" spans="1:25" ht="15" hidden="1" customHeight="1" x14ac:dyDescent="0.25">
      <c r="A242" s="1" t="s">
        <v>26</v>
      </c>
      <c r="B242" s="1" t="s">
        <v>46</v>
      </c>
      <c r="C242" s="1" t="s">
        <v>106</v>
      </c>
      <c r="D242">
        <v>5477</v>
      </c>
      <c r="E242" s="1"/>
      <c r="F242" s="1" t="s">
        <v>106</v>
      </c>
      <c r="G242" s="1" t="s">
        <v>106</v>
      </c>
      <c r="H242" s="1" t="s">
        <v>1405</v>
      </c>
      <c r="I242">
        <v>2014</v>
      </c>
      <c r="J242" s="93">
        <v>1031.78</v>
      </c>
      <c r="K242">
        <v>12</v>
      </c>
      <c r="L242" s="1" t="s">
        <v>393</v>
      </c>
      <c r="M242">
        <v>0</v>
      </c>
      <c r="N242">
        <v>9829</v>
      </c>
      <c r="O242">
        <v>0.10497099999999999</v>
      </c>
      <c r="P242">
        <v>3</v>
      </c>
      <c r="Q242" s="1" t="s">
        <v>560</v>
      </c>
      <c r="R242" s="93">
        <v>1031.78</v>
      </c>
      <c r="S242">
        <v>825.42</v>
      </c>
      <c r="T242">
        <v>0</v>
      </c>
      <c r="U242" s="1" t="s">
        <v>582</v>
      </c>
      <c r="V242" s="1"/>
      <c r="W242">
        <v>1031.78</v>
      </c>
      <c r="X242">
        <v>0</v>
      </c>
      <c r="Y242">
        <v>57922</v>
      </c>
    </row>
    <row r="243" spans="1:25" ht="15" hidden="1" customHeight="1" x14ac:dyDescent="0.25">
      <c r="A243" s="1" t="s">
        <v>26</v>
      </c>
      <c r="B243" s="1" t="s">
        <v>46</v>
      </c>
      <c r="C243" s="1" t="s">
        <v>106</v>
      </c>
      <c r="D243">
        <v>5477</v>
      </c>
      <c r="E243" s="1"/>
      <c r="F243" s="1" t="s">
        <v>106</v>
      </c>
      <c r="G243" s="1" t="s">
        <v>106</v>
      </c>
      <c r="H243" s="1" t="s">
        <v>1405</v>
      </c>
      <c r="I243">
        <v>2014</v>
      </c>
      <c r="J243" s="93">
        <v>611620</v>
      </c>
      <c r="K243">
        <v>12</v>
      </c>
      <c r="L243" s="1" t="s">
        <v>393</v>
      </c>
      <c r="M243">
        <v>0</v>
      </c>
      <c r="N243">
        <v>9829</v>
      </c>
      <c r="O243">
        <v>62.225431999999998</v>
      </c>
      <c r="P243">
        <v>1</v>
      </c>
      <c r="Q243" s="1" t="s">
        <v>562</v>
      </c>
      <c r="R243" s="93">
        <v>743319.27</v>
      </c>
      <c r="S243">
        <v>51271821.479999997</v>
      </c>
      <c r="T243">
        <v>0</v>
      </c>
      <c r="U243" s="1" t="s">
        <v>757</v>
      </c>
      <c r="V243" s="1"/>
      <c r="W243">
        <v>611620</v>
      </c>
      <c r="X243">
        <v>0</v>
      </c>
      <c r="Y243">
        <v>57921</v>
      </c>
    </row>
    <row r="244" spans="1:25" ht="15" hidden="1" customHeight="1" x14ac:dyDescent="0.25">
      <c r="A244" s="1" t="s">
        <v>26</v>
      </c>
      <c r="B244" s="1" t="s">
        <v>46</v>
      </c>
      <c r="C244" s="1" t="s">
        <v>106</v>
      </c>
      <c r="D244">
        <v>5477</v>
      </c>
      <c r="E244" s="1"/>
      <c r="F244" s="1" t="s">
        <v>106</v>
      </c>
      <c r="G244" s="1" t="s">
        <v>106</v>
      </c>
      <c r="H244" s="1" t="s">
        <v>1405</v>
      </c>
      <c r="I244">
        <v>2008</v>
      </c>
      <c r="J244" s="93">
        <v>301881.03999999998</v>
      </c>
      <c r="K244">
        <v>12</v>
      </c>
      <c r="L244" s="1" t="s">
        <v>393</v>
      </c>
      <c r="M244">
        <v>0</v>
      </c>
      <c r="N244">
        <v>9829</v>
      </c>
      <c r="O244">
        <v>30.712987999999999</v>
      </c>
      <c r="P244">
        <v>2</v>
      </c>
      <c r="Q244" s="1" t="s">
        <v>569</v>
      </c>
      <c r="R244" s="93">
        <v>301881.03999999998</v>
      </c>
      <c r="S244">
        <v>141582.22</v>
      </c>
      <c r="T244">
        <v>0</v>
      </c>
      <c r="U244" s="1" t="s">
        <v>948</v>
      </c>
      <c r="V244" s="1" t="s">
        <v>1242</v>
      </c>
      <c r="W244">
        <v>301881.05482999998</v>
      </c>
      <c r="X244">
        <v>0</v>
      </c>
      <c r="Y244">
        <v>57920</v>
      </c>
    </row>
    <row r="245" spans="1:25" ht="15" hidden="1" customHeight="1" x14ac:dyDescent="0.25">
      <c r="A245" s="1" t="s">
        <v>26</v>
      </c>
      <c r="B245" s="1" t="s">
        <v>46</v>
      </c>
      <c r="C245" s="1" t="s">
        <v>106</v>
      </c>
      <c r="D245">
        <v>5477</v>
      </c>
      <c r="E245" s="1"/>
      <c r="F245" s="1" t="s">
        <v>106</v>
      </c>
      <c r="G245" s="1" t="s">
        <v>106</v>
      </c>
      <c r="H245" s="1" t="s">
        <v>1396</v>
      </c>
      <c r="I245">
        <v>2014</v>
      </c>
      <c r="J245" s="93">
        <v>908172.75</v>
      </c>
      <c r="K245">
        <v>12</v>
      </c>
      <c r="L245" s="1" t="s">
        <v>393</v>
      </c>
      <c r="M245">
        <v>0</v>
      </c>
      <c r="N245">
        <v>9829</v>
      </c>
      <c r="O245">
        <v>92.396327999999997</v>
      </c>
      <c r="P245">
        <v>1</v>
      </c>
      <c r="Q245" s="1" t="s">
        <v>563</v>
      </c>
      <c r="R245" s="93">
        <v>1104684.19</v>
      </c>
      <c r="S245">
        <v>1651210.03</v>
      </c>
      <c r="T245">
        <v>1</v>
      </c>
      <c r="U245" s="1" t="s">
        <v>757</v>
      </c>
      <c r="V245" s="1"/>
      <c r="W245">
        <v>26029.599999999999</v>
      </c>
      <c r="X245">
        <v>0</v>
      </c>
      <c r="Y245">
        <v>58277</v>
      </c>
    </row>
    <row r="246" spans="1:25" ht="15" hidden="1" customHeight="1" x14ac:dyDescent="0.25">
      <c r="A246" s="1" t="s">
        <v>26</v>
      </c>
      <c r="B246" s="1"/>
      <c r="C246" s="1" t="s">
        <v>232</v>
      </c>
      <c r="D246">
        <v>14276</v>
      </c>
      <c r="E246" s="1" t="s">
        <v>245</v>
      </c>
      <c r="F246" s="1" t="s">
        <v>373</v>
      </c>
      <c r="G246" s="1" t="s">
        <v>232</v>
      </c>
      <c r="H246" s="1" t="s">
        <v>1405</v>
      </c>
      <c r="I246">
        <v>2014</v>
      </c>
      <c r="J246" s="93">
        <v>5946.78</v>
      </c>
      <c r="K246">
        <v>3</v>
      </c>
      <c r="L246" s="1" t="s">
        <v>512</v>
      </c>
      <c r="M246">
        <v>0</v>
      </c>
      <c r="N246">
        <v>315</v>
      </c>
      <c r="O246">
        <v>18.872675000000001</v>
      </c>
      <c r="P246">
        <v>2</v>
      </c>
      <c r="Q246" s="1" t="s">
        <v>569</v>
      </c>
      <c r="R246" s="93">
        <v>5946.78</v>
      </c>
      <c r="S246">
        <v>1784.03</v>
      </c>
      <c r="T246">
        <v>0</v>
      </c>
      <c r="U246" s="1" t="s">
        <v>949</v>
      </c>
      <c r="V246" s="1" t="s">
        <v>1243</v>
      </c>
      <c r="W246">
        <v>5946.7746500000003</v>
      </c>
      <c r="X246">
        <v>0</v>
      </c>
      <c r="Y246">
        <v>94519</v>
      </c>
    </row>
    <row r="247" spans="1:25" ht="15" hidden="1" customHeight="1" x14ac:dyDescent="0.25">
      <c r="A247" s="1" t="s">
        <v>26</v>
      </c>
      <c r="B247" s="1"/>
      <c r="C247" s="1" t="s">
        <v>107</v>
      </c>
      <c r="D247">
        <v>10123</v>
      </c>
      <c r="E247" s="1"/>
      <c r="F247" s="1" t="s">
        <v>255</v>
      </c>
      <c r="G247" s="1" t="s">
        <v>107</v>
      </c>
      <c r="H247" s="1" t="s">
        <v>1405</v>
      </c>
      <c r="I247">
        <v>2013</v>
      </c>
      <c r="J247" s="93">
        <v>141946.78</v>
      </c>
      <c r="K247">
        <v>12</v>
      </c>
      <c r="L247" s="1" t="s">
        <v>465</v>
      </c>
      <c r="M247">
        <v>0</v>
      </c>
      <c r="N247">
        <v>1413</v>
      </c>
      <c r="O247">
        <v>100.450626</v>
      </c>
      <c r="P247">
        <v>1</v>
      </c>
      <c r="Q247" s="1" t="s">
        <v>564</v>
      </c>
      <c r="R247" s="93">
        <v>147718.46</v>
      </c>
      <c r="S247">
        <v>31239.73</v>
      </c>
      <c r="T247">
        <v>0</v>
      </c>
      <c r="U247" s="1" t="s">
        <v>761</v>
      </c>
      <c r="V247" s="1" t="s">
        <v>1185</v>
      </c>
      <c r="W247">
        <v>13143.22</v>
      </c>
      <c r="X247">
        <v>0</v>
      </c>
      <c r="Y247">
        <v>77798</v>
      </c>
    </row>
    <row r="248" spans="1:25" ht="15" hidden="1" customHeight="1" x14ac:dyDescent="0.25">
      <c r="A248" s="1" t="s">
        <v>26</v>
      </c>
      <c r="B248" s="1"/>
      <c r="C248" s="1" t="s">
        <v>107</v>
      </c>
      <c r="D248">
        <v>10124</v>
      </c>
      <c r="E248" s="1"/>
      <c r="F248" s="1" t="s">
        <v>359</v>
      </c>
      <c r="G248" s="1" t="s">
        <v>107</v>
      </c>
      <c r="H248" s="1" t="s">
        <v>1405</v>
      </c>
      <c r="I248">
        <v>2013</v>
      </c>
      <c r="J248" s="93">
        <v>46034.720000000001</v>
      </c>
      <c r="K248">
        <v>12</v>
      </c>
      <c r="L248" s="1"/>
      <c r="M248">
        <v>0</v>
      </c>
      <c r="N248">
        <v>780</v>
      </c>
      <c r="O248">
        <v>59.011305999999998</v>
      </c>
      <c r="P248">
        <v>2</v>
      </c>
      <c r="Q248" s="1" t="s">
        <v>569</v>
      </c>
      <c r="R248" s="93">
        <v>46034.720000000001</v>
      </c>
      <c r="S248">
        <v>13810.42</v>
      </c>
      <c r="T248">
        <v>0</v>
      </c>
      <c r="U248" s="1"/>
      <c r="V248" s="1"/>
      <c r="W248">
        <v>46034.724000000002</v>
      </c>
      <c r="X248">
        <v>0</v>
      </c>
      <c r="Y248">
        <v>76939</v>
      </c>
    </row>
    <row r="249" spans="1:25" ht="15" hidden="1" customHeight="1" x14ac:dyDescent="0.25">
      <c r="A249" s="1" t="s">
        <v>26</v>
      </c>
      <c r="B249" s="1"/>
      <c r="C249" s="1" t="s">
        <v>107</v>
      </c>
      <c r="D249">
        <v>10123</v>
      </c>
      <c r="E249" s="1"/>
      <c r="F249" s="1" t="s">
        <v>255</v>
      </c>
      <c r="G249" s="1" t="s">
        <v>107</v>
      </c>
      <c r="H249" s="1" t="s">
        <v>1405</v>
      </c>
      <c r="I249">
        <v>2013</v>
      </c>
      <c r="J249" s="93">
        <v>36854.44</v>
      </c>
      <c r="K249">
        <v>12</v>
      </c>
      <c r="L249" s="1"/>
      <c r="M249">
        <v>0</v>
      </c>
      <c r="N249">
        <v>1413</v>
      </c>
      <c r="O249">
        <v>26.080559999999998</v>
      </c>
      <c r="P249">
        <v>2</v>
      </c>
      <c r="Q249" s="1" t="s">
        <v>569</v>
      </c>
      <c r="R249" s="93">
        <v>36854.44</v>
      </c>
      <c r="S249">
        <v>11056.33</v>
      </c>
      <c r="T249">
        <v>0</v>
      </c>
      <c r="U249" s="1" t="s">
        <v>951</v>
      </c>
      <c r="V249" s="1" t="s">
        <v>1244</v>
      </c>
      <c r="W249">
        <v>36854.442000000003</v>
      </c>
      <c r="X249">
        <v>0</v>
      </c>
      <c r="Y249">
        <v>76936</v>
      </c>
    </row>
    <row r="250" spans="1:25" ht="15" hidden="1" customHeight="1" x14ac:dyDescent="0.25">
      <c r="A250" s="1" t="s">
        <v>26</v>
      </c>
      <c r="B250" s="1"/>
      <c r="C250" s="1" t="s">
        <v>107</v>
      </c>
      <c r="D250">
        <v>10123</v>
      </c>
      <c r="E250" s="1"/>
      <c r="F250" s="1" t="s">
        <v>255</v>
      </c>
      <c r="G250" s="1" t="s">
        <v>107</v>
      </c>
      <c r="H250" s="1" t="s">
        <v>1405</v>
      </c>
      <c r="I250">
        <v>2014</v>
      </c>
      <c r="J250" s="93">
        <v>1565.98</v>
      </c>
      <c r="K250">
        <v>12</v>
      </c>
      <c r="L250" s="1"/>
      <c r="M250">
        <v>0</v>
      </c>
      <c r="N250">
        <v>1413</v>
      </c>
      <c r="O250">
        <v>1.108187</v>
      </c>
      <c r="P250">
        <v>3</v>
      </c>
      <c r="Q250" s="1" t="s">
        <v>560</v>
      </c>
      <c r="R250" s="93">
        <v>1565.98</v>
      </c>
      <c r="S250">
        <v>1252.79</v>
      </c>
      <c r="T250">
        <v>0</v>
      </c>
      <c r="U250" s="1"/>
      <c r="V250" s="1"/>
      <c r="W250">
        <v>1565.9749999999999</v>
      </c>
      <c r="X250">
        <v>0</v>
      </c>
      <c r="Y250">
        <v>76937</v>
      </c>
    </row>
    <row r="251" spans="1:25" ht="15" hidden="1" customHeight="1" x14ac:dyDescent="0.25">
      <c r="A251" s="1" t="s">
        <v>26</v>
      </c>
      <c r="B251" s="1"/>
      <c r="C251" s="1" t="s">
        <v>107</v>
      </c>
      <c r="D251">
        <v>10124</v>
      </c>
      <c r="E251" s="1"/>
      <c r="F251" s="1" t="s">
        <v>359</v>
      </c>
      <c r="G251" s="1" t="s">
        <v>107</v>
      </c>
      <c r="H251" s="1" t="s">
        <v>1405</v>
      </c>
      <c r="I251">
        <v>2014</v>
      </c>
      <c r="J251" s="93">
        <v>51336</v>
      </c>
      <c r="K251">
        <v>10</v>
      </c>
      <c r="L251" s="1" t="s">
        <v>442</v>
      </c>
      <c r="M251">
        <v>0</v>
      </c>
      <c r="N251">
        <v>780</v>
      </c>
      <c r="O251">
        <v>65.806946999999994</v>
      </c>
      <c r="P251">
        <v>1</v>
      </c>
      <c r="Q251" s="1" t="s">
        <v>562</v>
      </c>
      <c r="R251" s="93">
        <v>64274.91</v>
      </c>
      <c r="S251">
        <v>4113.58</v>
      </c>
      <c r="T251">
        <v>0</v>
      </c>
      <c r="U251" s="1" t="s">
        <v>758</v>
      </c>
      <c r="V251" s="1"/>
      <c r="W251">
        <v>51336</v>
      </c>
      <c r="X251">
        <v>0</v>
      </c>
      <c r="Y251">
        <v>96143</v>
      </c>
    </row>
    <row r="252" spans="1:25" ht="15" hidden="1" customHeight="1" x14ac:dyDescent="0.25">
      <c r="A252" s="1" t="s">
        <v>26</v>
      </c>
      <c r="B252" s="1"/>
      <c r="C252" s="1" t="s">
        <v>107</v>
      </c>
      <c r="D252">
        <v>10123</v>
      </c>
      <c r="E252" s="1"/>
      <c r="F252" s="1" t="s">
        <v>255</v>
      </c>
      <c r="G252" s="1" t="s">
        <v>107</v>
      </c>
      <c r="H252" s="1" t="s">
        <v>1405</v>
      </c>
      <c r="I252">
        <v>2014</v>
      </c>
      <c r="J252" s="93">
        <v>19234</v>
      </c>
      <c r="K252">
        <v>8</v>
      </c>
      <c r="L252" s="1" t="s">
        <v>464</v>
      </c>
      <c r="M252">
        <v>0</v>
      </c>
      <c r="N252">
        <v>1413</v>
      </c>
      <c r="O252">
        <v>13.611209000000001</v>
      </c>
      <c r="P252">
        <v>1</v>
      </c>
      <c r="Q252" s="1" t="s">
        <v>562</v>
      </c>
      <c r="R252" s="93">
        <v>22513.29</v>
      </c>
      <c r="S252">
        <v>1440.86</v>
      </c>
      <c r="T252">
        <v>0</v>
      </c>
      <c r="U252" s="1" t="s">
        <v>760</v>
      </c>
      <c r="V252" s="1"/>
      <c r="W252">
        <v>19234</v>
      </c>
      <c r="X252">
        <v>0</v>
      </c>
      <c r="Y252">
        <v>96273</v>
      </c>
    </row>
    <row r="253" spans="1:25" ht="15" hidden="1" customHeight="1" x14ac:dyDescent="0.25">
      <c r="A253" s="1" t="s">
        <v>26</v>
      </c>
      <c r="B253" s="1"/>
      <c r="C253" s="1" t="s">
        <v>107</v>
      </c>
      <c r="D253">
        <v>10124</v>
      </c>
      <c r="E253" s="1"/>
      <c r="F253" s="1" t="s">
        <v>359</v>
      </c>
      <c r="G253" s="1" t="s">
        <v>107</v>
      </c>
      <c r="H253" s="1" t="s">
        <v>1405</v>
      </c>
      <c r="I253">
        <v>2014</v>
      </c>
      <c r="J253" s="93">
        <v>38993.75</v>
      </c>
      <c r="K253">
        <v>12</v>
      </c>
      <c r="L253" s="1"/>
      <c r="M253">
        <v>0</v>
      </c>
      <c r="N253">
        <v>780</v>
      </c>
      <c r="O253">
        <v>49.985577999999997</v>
      </c>
      <c r="P253">
        <v>2</v>
      </c>
      <c r="Q253" s="1" t="s">
        <v>569</v>
      </c>
      <c r="R253" s="93">
        <v>38993.75</v>
      </c>
      <c r="S253">
        <v>11698.15</v>
      </c>
      <c r="T253">
        <v>0</v>
      </c>
      <c r="U253" s="1"/>
      <c r="V253" s="1"/>
      <c r="W253">
        <v>38993.771999999997</v>
      </c>
      <c r="X253">
        <v>0</v>
      </c>
      <c r="Y253">
        <v>76939</v>
      </c>
    </row>
    <row r="254" spans="1:25" ht="15" hidden="1" customHeight="1" x14ac:dyDescent="0.25">
      <c r="A254" s="1" t="s">
        <v>26</v>
      </c>
      <c r="B254" s="1" t="s">
        <v>46</v>
      </c>
      <c r="C254" s="1" t="s">
        <v>106</v>
      </c>
      <c r="D254">
        <v>5477</v>
      </c>
      <c r="E254" s="1"/>
      <c r="F254" s="1" t="s">
        <v>106</v>
      </c>
      <c r="G254" s="1" t="s">
        <v>106</v>
      </c>
      <c r="H254" s="1" t="s">
        <v>1405</v>
      </c>
      <c r="I254">
        <v>2015</v>
      </c>
      <c r="J254" s="93">
        <v>602020</v>
      </c>
      <c r="K254">
        <v>5</v>
      </c>
      <c r="L254" s="1" t="s">
        <v>393</v>
      </c>
      <c r="M254">
        <v>0</v>
      </c>
      <c r="N254">
        <v>9829</v>
      </c>
      <c r="O254">
        <v>39.213152000000001</v>
      </c>
      <c r="P254">
        <v>1</v>
      </c>
      <c r="Q254" s="1" t="s">
        <v>562</v>
      </c>
      <c r="R254" s="93">
        <v>701533</v>
      </c>
      <c r="S254">
        <v>80862933.900000006</v>
      </c>
      <c r="T254">
        <v>0</v>
      </c>
      <c r="U254" s="1" t="s">
        <v>757</v>
      </c>
      <c r="V254" s="1"/>
      <c r="W254">
        <v>385430</v>
      </c>
      <c r="X254">
        <v>0</v>
      </c>
      <c r="Y254">
        <v>57921</v>
      </c>
    </row>
    <row r="255" spans="1:25" ht="15" hidden="1" customHeight="1" x14ac:dyDescent="0.25">
      <c r="A255" s="1" t="s">
        <v>26</v>
      </c>
      <c r="B255" s="1" t="s">
        <v>46</v>
      </c>
      <c r="C255" s="1" t="s">
        <v>106</v>
      </c>
      <c r="D255">
        <v>5477</v>
      </c>
      <c r="E255" s="1"/>
      <c r="F255" s="1" t="s">
        <v>106</v>
      </c>
      <c r="G255" s="1" t="s">
        <v>106</v>
      </c>
      <c r="H255" s="1" t="s">
        <v>1396</v>
      </c>
      <c r="I255">
        <v>2015</v>
      </c>
      <c r="J255" s="93">
        <v>484001.05</v>
      </c>
      <c r="K255">
        <v>5</v>
      </c>
      <c r="L255" s="1" t="s">
        <v>393</v>
      </c>
      <c r="M255">
        <v>0</v>
      </c>
      <c r="N255">
        <v>9829</v>
      </c>
      <c r="O255">
        <v>49.241644000000001</v>
      </c>
      <c r="P255">
        <v>1</v>
      </c>
      <c r="Q255" s="1" t="s">
        <v>563</v>
      </c>
      <c r="R255" s="93">
        <v>543744.22</v>
      </c>
      <c r="S255">
        <v>2883137.87</v>
      </c>
      <c r="T255">
        <v>1</v>
      </c>
      <c r="U255" s="1" t="s">
        <v>757</v>
      </c>
      <c r="V255" s="1"/>
      <c r="W255">
        <v>13872.2</v>
      </c>
      <c r="X255">
        <v>0</v>
      </c>
      <c r="Y255">
        <v>58277</v>
      </c>
    </row>
    <row r="256" spans="1:25" ht="15" hidden="1" customHeight="1" x14ac:dyDescent="0.25">
      <c r="A256" s="1" t="s">
        <v>26</v>
      </c>
      <c r="B256" s="1" t="s">
        <v>46</v>
      </c>
      <c r="C256" s="1" t="s">
        <v>106</v>
      </c>
      <c r="D256">
        <v>5477</v>
      </c>
      <c r="E256" s="1"/>
      <c r="F256" s="1" t="s">
        <v>106</v>
      </c>
      <c r="G256" s="1" t="s">
        <v>106</v>
      </c>
      <c r="H256" s="1" t="s">
        <v>1405</v>
      </c>
      <c r="I256">
        <v>2013</v>
      </c>
      <c r="J256" s="93">
        <v>645550</v>
      </c>
      <c r="K256">
        <v>12</v>
      </c>
      <c r="L256" s="1" t="s">
        <v>393</v>
      </c>
      <c r="M256">
        <v>0</v>
      </c>
      <c r="N256">
        <v>9829</v>
      </c>
      <c r="O256">
        <v>65.677426999999994</v>
      </c>
      <c r="P256">
        <v>1</v>
      </c>
      <c r="Q256" s="1" t="s">
        <v>562</v>
      </c>
      <c r="R256" s="93">
        <v>683857.16</v>
      </c>
      <c r="S256">
        <v>126513.58</v>
      </c>
      <c r="T256">
        <v>0</v>
      </c>
      <c r="U256" s="1" t="s">
        <v>757</v>
      </c>
      <c r="V256" s="1"/>
      <c r="W256">
        <v>645550</v>
      </c>
      <c r="X256">
        <v>0</v>
      </c>
      <c r="Y256">
        <v>57921</v>
      </c>
    </row>
    <row r="257" spans="1:25" ht="15" hidden="1" customHeight="1" x14ac:dyDescent="0.25">
      <c r="A257" s="1" t="s">
        <v>26</v>
      </c>
      <c r="B257" s="1" t="s">
        <v>46</v>
      </c>
      <c r="C257" s="1" t="s">
        <v>106</v>
      </c>
      <c r="D257">
        <v>5477</v>
      </c>
      <c r="E257" s="1"/>
      <c r="F257" s="1" t="s">
        <v>106</v>
      </c>
      <c r="G257" s="1" t="s">
        <v>106</v>
      </c>
      <c r="H257" s="1" t="s">
        <v>1396</v>
      </c>
      <c r="I257">
        <v>2013</v>
      </c>
      <c r="J257" s="93">
        <v>1068963.31</v>
      </c>
      <c r="K257">
        <v>12</v>
      </c>
      <c r="L257" s="1" t="s">
        <v>393</v>
      </c>
      <c r="M257">
        <v>0</v>
      </c>
      <c r="N257">
        <v>9829</v>
      </c>
      <c r="O257">
        <v>108.754953</v>
      </c>
      <c r="P257">
        <v>1</v>
      </c>
      <c r="Q257" s="1" t="s">
        <v>563</v>
      </c>
      <c r="R257" s="93">
        <v>1306171.23</v>
      </c>
      <c r="S257">
        <v>6925.82</v>
      </c>
      <c r="T257">
        <v>1</v>
      </c>
      <c r="U257" s="1" t="s">
        <v>757</v>
      </c>
      <c r="V257" s="1"/>
      <c r="W257">
        <v>30638.1</v>
      </c>
      <c r="X257">
        <v>0</v>
      </c>
      <c r="Y257">
        <v>58277</v>
      </c>
    </row>
    <row r="258" spans="1:25" ht="15" hidden="1" customHeight="1" x14ac:dyDescent="0.25">
      <c r="A258" s="1" t="s">
        <v>26</v>
      </c>
      <c r="B258" s="1" t="s">
        <v>46</v>
      </c>
      <c r="C258" s="1" t="s">
        <v>106</v>
      </c>
      <c r="D258">
        <v>5477</v>
      </c>
      <c r="E258" s="1"/>
      <c r="F258" s="1" t="s">
        <v>106</v>
      </c>
      <c r="G258" s="1" t="s">
        <v>106</v>
      </c>
      <c r="H258" s="1" t="s">
        <v>1405</v>
      </c>
      <c r="I258">
        <v>2012</v>
      </c>
      <c r="J258" s="93">
        <v>603580</v>
      </c>
      <c r="K258">
        <v>12</v>
      </c>
      <c r="L258" s="1" t="s">
        <v>393</v>
      </c>
      <c r="M258">
        <v>0</v>
      </c>
      <c r="N258">
        <v>9829</v>
      </c>
      <c r="O258">
        <v>61.407452999999997</v>
      </c>
      <c r="P258">
        <v>1</v>
      </c>
      <c r="Q258" s="1" t="s">
        <v>562</v>
      </c>
      <c r="R258" s="93">
        <v>632152.22</v>
      </c>
      <c r="S258">
        <v>116948.18</v>
      </c>
      <c r="T258">
        <v>0</v>
      </c>
      <c r="U258" s="1" t="s">
        <v>757</v>
      </c>
      <c r="V258" s="1"/>
      <c r="W258">
        <v>603580</v>
      </c>
      <c r="X258">
        <v>0</v>
      </c>
      <c r="Y258">
        <v>57921</v>
      </c>
    </row>
    <row r="259" spans="1:25" ht="15" hidden="1" customHeight="1" x14ac:dyDescent="0.25">
      <c r="A259" s="1" t="s">
        <v>26</v>
      </c>
      <c r="B259" s="1" t="s">
        <v>46</v>
      </c>
      <c r="C259" s="1" t="s">
        <v>106</v>
      </c>
      <c r="D259">
        <v>5477</v>
      </c>
      <c r="E259" s="1"/>
      <c r="F259" s="1" t="s">
        <v>106</v>
      </c>
      <c r="G259" s="1" t="s">
        <v>106</v>
      </c>
      <c r="H259" s="1" t="s">
        <v>1396</v>
      </c>
      <c r="I259">
        <v>2012</v>
      </c>
      <c r="J259" s="93">
        <v>876482.16</v>
      </c>
      <c r="K259">
        <v>12</v>
      </c>
      <c r="L259" s="1" t="s">
        <v>393</v>
      </c>
      <c r="M259">
        <v>0</v>
      </c>
      <c r="N259">
        <v>9829</v>
      </c>
      <c r="O259">
        <v>89.172167999999999</v>
      </c>
      <c r="P259">
        <v>1</v>
      </c>
      <c r="Q259" s="1" t="s">
        <v>563</v>
      </c>
      <c r="R259" s="93">
        <v>940549.93</v>
      </c>
      <c r="S259">
        <v>4987.1499999999996</v>
      </c>
      <c r="T259">
        <v>1</v>
      </c>
      <c r="U259" s="1" t="s">
        <v>757</v>
      </c>
      <c r="V259" s="1"/>
      <c r="W259">
        <v>25121.3</v>
      </c>
      <c r="X259">
        <v>0</v>
      </c>
      <c r="Y259">
        <v>58277</v>
      </c>
    </row>
    <row r="260" spans="1:25" ht="15" hidden="1" customHeight="1" x14ac:dyDescent="0.25">
      <c r="A260" s="1" t="s">
        <v>26</v>
      </c>
      <c r="B260" s="1" t="s">
        <v>46</v>
      </c>
      <c r="C260" s="1" t="s">
        <v>106</v>
      </c>
      <c r="D260">
        <v>5477</v>
      </c>
      <c r="E260" s="1"/>
      <c r="F260" s="1" t="s">
        <v>106</v>
      </c>
      <c r="G260" s="1" t="s">
        <v>106</v>
      </c>
      <c r="H260" s="1" t="s">
        <v>1405</v>
      </c>
      <c r="I260">
        <v>2011</v>
      </c>
      <c r="J260" s="93">
        <v>505700</v>
      </c>
      <c r="K260">
        <v>12</v>
      </c>
      <c r="L260" s="1" t="s">
        <v>393</v>
      </c>
      <c r="M260">
        <v>0</v>
      </c>
      <c r="N260">
        <v>9829</v>
      </c>
      <c r="O260">
        <v>51.449266999999999</v>
      </c>
      <c r="P260">
        <v>1</v>
      </c>
      <c r="Q260" s="1" t="s">
        <v>562</v>
      </c>
      <c r="R260" s="93">
        <v>553953.25</v>
      </c>
      <c r="S260">
        <v>102481.36</v>
      </c>
      <c r="T260">
        <v>0</v>
      </c>
      <c r="U260" s="1" t="s">
        <v>757</v>
      </c>
      <c r="V260" s="1"/>
      <c r="W260">
        <v>505700</v>
      </c>
      <c r="X260">
        <v>0</v>
      </c>
      <c r="Y260">
        <v>57921</v>
      </c>
    </row>
    <row r="261" spans="1:25" ht="15" hidden="1" customHeight="1" x14ac:dyDescent="0.25">
      <c r="A261" s="1" t="s">
        <v>26</v>
      </c>
      <c r="B261" s="1" t="s">
        <v>46</v>
      </c>
      <c r="C261" s="1" t="s">
        <v>106</v>
      </c>
      <c r="D261">
        <v>5477</v>
      </c>
      <c r="E261" s="1"/>
      <c r="F261" s="1" t="s">
        <v>106</v>
      </c>
      <c r="G261" s="1" t="s">
        <v>106</v>
      </c>
      <c r="H261" s="1" t="s">
        <v>1396</v>
      </c>
      <c r="I261">
        <v>2011</v>
      </c>
      <c r="J261" s="93">
        <v>532759.82999999996</v>
      </c>
      <c r="K261">
        <v>12</v>
      </c>
      <c r="L261" s="1" t="s">
        <v>393</v>
      </c>
      <c r="M261">
        <v>0</v>
      </c>
      <c r="N261">
        <v>9829</v>
      </c>
      <c r="O261">
        <v>54.202300000000001</v>
      </c>
      <c r="P261">
        <v>1</v>
      </c>
      <c r="Q261" s="1" t="s">
        <v>563</v>
      </c>
      <c r="R261" s="93">
        <v>585145.23</v>
      </c>
      <c r="S261">
        <v>3102.65</v>
      </c>
      <c r="T261">
        <v>1</v>
      </c>
      <c r="U261" s="1" t="s">
        <v>757</v>
      </c>
      <c r="V261" s="1"/>
      <c r="W261">
        <v>15269.7</v>
      </c>
      <c r="X261">
        <v>0</v>
      </c>
      <c r="Y261">
        <v>58277</v>
      </c>
    </row>
    <row r="262" spans="1:25" ht="15" hidden="1" customHeight="1" x14ac:dyDescent="0.25">
      <c r="A262" s="1" t="s">
        <v>26</v>
      </c>
      <c r="B262" s="1" t="s">
        <v>46</v>
      </c>
      <c r="C262" s="1" t="s">
        <v>106</v>
      </c>
      <c r="D262">
        <v>5477</v>
      </c>
      <c r="E262" s="1"/>
      <c r="F262" s="1" t="s">
        <v>106</v>
      </c>
      <c r="G262" s="1" t="s">
        <v>106</v>
      </c>
      <c r="H262" s="1" t="s">
        <v>1405</v>
      </c>
      <c r="I262">
        <v>2010</v>
      </c>
      <c r="J262" s="93">
        <v>697655.01</v>
      </c>
      <c r="K262">
        <v>12</v>
      </c>
      <c r="L262" s="1" t="s">
        <v>393</v>
      </c>
      <c r="M262">
        <v>0</v>
      </c>
      <c r="N262">
        <v>9829</v>
      </c>
      <c r="O262">
        <v>70.978522999999996</v>
      </c>
      <c r="P262">
        <v>1</v>
      </c>
      <c r="Q262" s="1" t="s">
        <v>562</v>
      </c>
      <c r="R262" s="93">
        <v>629426.46</v>
      </c>
      <c r="S262">
        <v>116443.89</v>
      </c>
      <c r="T262">
        <v>0</v>
      </c>
      <c r="U262" s="1" t="s">
        <v>757</v>
      </c>
      <c r="V262" s="1"/>
      <c r="W262">
        <v>697655.01</v>
      </c>
      <c r="X262">
        <v>0</v>
      </c>
      <c r="Y262">
        <v>57921</v>
      </c>
    </row>
    <row r="263" spans="1:25" ht="15" hidden="1" customHeight="1" x14ac:dyDescent="0.25">
      <c r="A263" s="1" t="s">
        <v>26</v>
      </c>
      <c r="B263" s="1" t="s">
        <v>46</v>
      </c>
      <c r="C263" s="1" t="s">
        <v>106</v>
      </c>
      <c r="D263">
        <v>5477</v>
      </c>
      <c r="E263" s="1"/>
      <c r="F263" s="1" t="s">
        <v>106</v>
      </c>
      <c r="G263" s="1" t="s">
        <v>106</v>
      </c>
      <c r="H263" s="1" t="s">
        <v>1396</v>
      </c>
      <c r="I263">
        <v>2010</v>
      </c>
      <c r="J263" s="93">
        <v>1338687.44</v>
      </c>
      <c r="K263">
        <v>12</v>
      </c>
      <c r="L263" s="1" t="s">
        <v>393</v>
      </c>
      <c r="M263">
        <v>0</v>
      </c>
      <c r="N263">
        <v>9829</v>
      </c>
      <c r="O263">
        <v>136.19633899999999</v>
      </c>
      <c r="P263">
        <v>1</v>
      </c>
      <c r="Q263" s="1" t="s">
        <v>563</v>
      </c>
      <c r="R263" s="93">
        <v>1248279.81</v>
      </c>
      <c r="S263">
        <v>6618.85</v>
      </c>
      <c r="T263">
        <v>1</v>
      </c>
      <c r="U263" s="1" t="s">
        <v>757</v>
      </c>
      <c r="V263" s="1"/>
      <c r="W263">
        <v>38368.800000000003</v>
      </c>
      <c r="X263">
        <v>0</v>
      </c>
      <c r="Y263">
        <v>58277</v>
      </c>
    </row>
    <row r="264" spans="1:25" ht="15" hidden="1" customHeight="1" x14ac:dyDescent="0.25">
      <c r="A264" s="1" t="s">
        <v>26</v>
      </c>
      <c r="B264" s="1" t="s">
        <v>46</v>
      </c>
      <c r="C264" s="1" t="s">
        <v>106</v>
      </c>
      <c r="D264">
        <v>5477</v>
      </c>
      <c r="E264" s="1"/>
      <c r="F264" s="1" t="s">
        <v>106</v>
      </c>
      <c r="G264" s="1" t="s">
        <v>106</v>
      </c>
      <c r="H264" s="1" t="s">
        <v>1405</v>
      </c>
      <c r="I264">
        <v>2009</v>
      </c>
      <c r="J264" s="93">
        <v>723465</v>
      </c>
      <c r="K264">
        <v>12</v>
      </c>
      <c r="L264" s="1" t="s">
        <v>393</v>
      </c>
      <c r="M264">
        <v>0</v>
      </c>
      <c r="N264">
        <v>9829</v>
      </c>
      <c r="O264">
        <v>73.604399000000001</v>
      </c>
      <c r="P264">
        <v>1</v>
      </c>
      <c r="Q264" s="1" t="s">
        <v>562</v>
      </c>
      <c r="R264" s="93">
        <v>772641.88</v>
      </c>
      <c r="S264">
        <v>142938.75</v>
      </c>
      <c r="T264">
        <v>0</v>
      </c>
      <c r="U264" s="1" t="s">
        <v>757</v>
      </c>
      <c r="V264" s="1"/>
      <c r="W264">
        <v>723465</v>
      </c>
      <c r="X264">
        <v>0</v>
      </c>
      <c r="Y264">
        <v>57921</v>
      </c>
    </row>
    <row r="265" spans="1:25" ht="15" hidden="1" customHeight="1" x14ac:dyDescent="0.25">
      <c r="A265" s="1" t="s">
        <v>26</v>
      </c>
      <c r="B265" s="1" t="s">
        <v>46</v>
      </c>
      <c r="C265" s="1" t="s">
        <v>106</v>
      </c>
      <c r="D265">
        <v>5477</v>
      </c>
      <c r="E265" s="1"/>
      <c r="F265" s="1" t="s">
        <v>106</v>
      </c>
      <c r="G265" s="1" t="s">
        <v>106</v>
      </c>
      <c r="H265" s="1" t="s">
        <v>1396</v>
      </c>
      <c r="I265">
        <v>2009</v>
      </c>
      <c r="J265" s="93">
        <v>1148456.68</v>
      </c>
      <c r="K265">
        <v>12</v>
      </c>
      <c r="L265" s="1" t="s">
        <v>393</v>
      </c>
      <c r="M265">
        <v>0</v>
      </c>
      <c r="N265">
        <v>9829</v>
      </c>
      <c r="O265">
        <v>116.842506</v>
      </c>
      <c r="P265">
        <v>1</v>
      </c>
      <c r="Q265" s="1" t="s">
        <v>563</v>
      </c>
      <c r="R265" s="93">
        <v>1379916.93</v>
      </c>
      <c r="S265">
        <v>7316.84</v>
      </c>
      <c r="T265">
        <v>1</v>
      </c>
      <c r="U265" s="1" t="s">
        <v>757</v>
      </c>
      <c r="V265" s="1"/>
      <c r="W265">
        <v>32916.5</v>
      </c>
      <c r="X265">
        <v>0</v>
      </c>
      <c r="Y265">
        <v>58277</v>
      </c>
    </row>
    <row r="266" spans="1:25" ht="15" hidden="1" customHeight="1" x14ac:dyDescent="0.25">
      <c r="A266" s="1" t="s">
        <v>26</v>
      </c>
      <c r="B266" s="1" t="s">
        <v>46</v>
      </c>
      <c r="C266" s="1" t="s">
        <v>106</v>
      </c>
      <c r="D266">
        <v>5477</v>
      </c>
      <c r="E266" s="1"/>
      <c r="F266" s="1" t="s">
        <v>106</v>
      </c>
      <c r="G266" s="1" t="s">
        <v>106</v>
      </c>
      <c r="H266" s="1" t="s">
        <v>1405</v>
      </c>
      <c r="I266">
        <v>2008</v>
      </c>
      <c r="J266" s="93">
        <v>732640</v>
      </c>
      <c r="K266">
        <v>12</v>
      </c>
      <c r="L266" s="1" t="s">
        <v>393</v>
      </c>
      <c r="M266">
        <v>0</v>
      </c>
      <c r="N266">
        <v>9829</v>
      </c>
      <c r="O266">
        <v>74.537851000000003</v>
      </c>
      <c r="P266">
        <v>1</v>
      </c>
      <c r="Q266" s="1" t="s">
        <v>562</v>
      </c>
      <c r="R266" s="93">
        <v>848651.36</v>
      </c>
      <c r="S266">
        <v>157000.5</v>
      </c>
      <c r="T266">
        <v>0</v>
      </c>
      <c r="U266" s="1" t="s">
        <v>757</v>
      </c>
      <c r="V266" s="1"/>
      <c r="W266">
        <v>732640</v>
      </c>
      <c r="X266">
        <v>0</v>
      </c>
      <c r="Y266">
        <v>57921</v>
      </c>
    </row>
    <row r="267" spans="1:25" ht="15" hidden="1" customHeight="1" x14ac:dyDescent="0.25">
      <c r="A267" s="1" t="s">
        <v>26</v>
      </c>
      <c r="B267" s="1" t="s">
        <v>46</v>
      </c>
      <c r="C267" s="1" t="s">
        <v>106</v>
      </c>
      <c r="D267">
        <v>5477</v>
      </c>
      <c r="E267" s="1"/>
      <c r="F267" s="1" t="s">
        <v>106</v>
      </c>
      <c r="G267" s="1" t="s">
        <v>106</v>
      </c>
      <c r="H267" s="1" t="s">
        <v>1396</v>
      </c>
      <c r="I267">
        <v>2008</v>
      </c>
      <c r="J267" s="93">
        <v>942820.28</v>
      </c>
      <c r="K267">
        <v>12</v>
      </c>
      <c r="L267" s="1" t="s">
        <v>393</v>
      </c>
      <c r="M267">
        <v>0</v>
      </c>
      <c r="N267">
        <v>9829</v>
      </c>
      <c r="O267">
        <v>95.921323000000001</v>
      </c>
      <c r="P267">
        <v>1</v>
      </c>
      <c r="Q267" s="1" t="s">
        <v>563</v>
      </c>
      <c r="R267" s="93">
        <v>1094981.8</v>
      </c>
      <c r="S267">
        <v>5806.01</v>
      </c>
      <c r="T267">
        <v>1</v>
      </c>
      <c r="U267" s="1" t="s">
        <v>757</v>
      </c>
      <c r="V267" s="1"/>
      <c r="W267">
        <v>27022.65</v>
      </c>
      <c r="X267">
        <v>0</v>
      </c>
      <c r="Y267">
        <v>58277</v>
      </c>
    </row>
    <row r="268" spans="1:25" ht="15" hidden="1" customHeight="1" x14ac:dyDescent="0.25">
      <c r="A268" s="1" t="s">
        <v>26</v>
      </c>
      <c r="B268" s="1"/>
      <c r="C268" s="1" t="s">
        <v>107</v>
      </c>
      <c r="D268">
        <v>10123</v>
      </c>
      <c r="E268" s="1"/>
      <c r="F268" s="1" t="s">
        <v>255</v>
      </c>
      <c r="G268" s="1" t="s">
        <v>107</v>
      </c>
      <c r="H268" s="1" t="s">
        <v>1405</v>
      </c>
      <c r="I268">
        <v>2014</v>
      </c>
      <c r="J268" s="93">
        <v>25341.22</v>
      </c>
      <c r="K268">
        <v>12</v>
      </c>
      <c r="L268" s="1"/>
      <c r="M268">
        <v>0</v>
      </c>
      <c r="N268">
        <v>1413</v>
      </c>
      <c r="O268">
        <v>17.933069</v>
      </c>
      <c r="P268">
        <v>2</v>
      </c>
      <c r="Q268" s="1" t="s">
        <v>569</v>
      </c>
      <c r="R268" s="93">
        <v>25341.22</v>
      </c>
      <c r="S268">
        <v>7602.37</v>
      </c>
      <c r="T268">
        <v>0</v>
      </c>
      <c r="U268" s="1" t="s">
        <v>951</v>
      </c>
      <c r="V268" s="1" t="s">
        <v>1244</v>
      </c>
      <c r="W268">
        <v>25341.221000000001</v>
      </c>
      <c r="X268">
        <v>0</v>
      </c>
      <c r="Y268">
        <v>76936</v>
      </c>
    </row>
    <row r="269" spans="1:25" ht="15" hidden="1" customHeight="1" x14ac:dyDescent="0.25">
      <c r="A269" s="1" t="s">
        <v>27</v>
      </c>
      <c r="B269" s="1"/>
      <c r="C269" s="1" t="s">
        <v>112</v>
      </c>
      <c r="D269">
        <v>9980</v>
      </c>
      <c r="E269" s="1"/>
      <c r="F269" s="1" t="s">
        <v>258</v>
      </c>
      <c r="G269" s="1" t="s">
        <v>258</v>
      </c>
      <c r="H269" s="1" t="s">
        <v>1405</v>
      </c>
      <c r="I269">
        <v>2014</v>
      </c>
      <c r="J269" s="93">
        <v>0</v>
      </c>
      <c r="K269">
        <v>12</v>
      </c>
      <c r="L269" s="1" t="s">
        <v>405</v>
      </c>
      <c r="M269">
        <v>0</v>
      </c>
      <c r="N269">
        <v>961</v>
      </c>
      <c r="O269">
        <v>0</v>
      </c>
      <c r="P269">
        <v>1</v>
      </c>
      <c r="Q269" s="1" t="s">
        <v>564</v>
      </c>
      <c r="R269" s="93">
        <v>0</v>
      </c>
      <c r="S269">
        <v>0</v>
      </c>
      <c r="T269">
        <v>0</v>
      </c>
      <c r="U269" s="1" t="s">
        <v>765</v>
      </c>
      <c r="V269" s="1" t="s">
        <v>1187</v>
      </c>
      <c r="W269">
        <v>0</v>
      </c>
      <c r="X269">
        <v>0</v>
      </c>
      <c r="Y269">
        <v>76422</v>
      </c>
    </row>
    <row r="270" spans="1:25" ht="15" hidden="1" customHeight="1" x14ac:dyDescent="0.25">
      <c r="A270" s="1" t="s">
        <v>35</v>
      </c>
      <c r="B270" s="1"/>
      <c r="C270" s="1" t="s">
        <v>180</v>
      </c>
      <c r="D270">
        <v>10318</v>
      </c>
      <c r="E270" s="1"/>
      <c r="F270" s="1" t="s">
        <v>310</v>
      </c>
      <c r="G270" s="1" t="s">
        <v>180</v>
      </c>
      <c r="H270" s="1" t="s">
        <v>1405</v>
      </c>
      <c r="I270">
        <v>2014</v>
      </c>
      <c r="J270" s="93">
        <v>0</v>
      </c>
      <c r="K270">
        <v>12</v>
      </c>
      <c r="L270" s="1" t="s">
        <v>405</v>
      </c>
      <c r="M270">
        <v>0</v>
      </c>
      <c r="N270">
        <v>170</v>
      </c>
      <c r="O270">
        <v>0</v>
      </c>
      <c r="P270">
        <v>1</v>
      </c>
      <c r="Q270" s="1" t="s">
        <v>564</v>
      </c>
      <c r="R270" s="93">
        <v>0</v>
      </c>
      <c r="S270">
        <v>0</v>
      </c>
      <c r="T270">
        <v>0</v>
      </c>
      <c r="U270" s="1" t="s">
        <v>810</v>
      </c>
      <c r="V270" s="1" t="s">
        <v>1216</v>
      </c>
      <c r="W270">
        <v>0</v>
      </c>
      <c r="X270">
        <v>0</v>
      </c>
      <c r="Y270">
        <v>77794</v>
      </c>
    </row>
    <row r="271" spans="1:25" ht="15" hidden="1" customHeight="1" x14ac:dyDescent="0.25">
      <c r="A271" s="1" t="s">
        <v>26</v>
      </c>
      <c r="B271" s="1"/>
      <c r="C271" s="1" t="s">
        <v>107</v>
      </c>
      <c r="D271">
        <v>10124</v>
      </c>
      <c r="E271" s="1"/>
      <c r="F271" s="1" t="s">
        <v>359</v>
      </c>
      <c r="G271" s="1" t="s">
        <v>107</v>
      </c>
      <c r="H271" s="1" t="s">
        <v>1405</v>
      </c>
      <c r="I271">
        <v>2012</v>
      </c>
      <c r="J271" s="93">
        <v>172210.53</v>
      </c>
      <c r="K271">
        <v>12</v>
      </c>
      <c r="L271" s="1" t="s">
        <v>400</v>
      </c>
      <c r="M271">
        <v>0</v>
      </c>
      <c r="N271">
        <v>780</v>
      </c>
      <c r="O271">
        <v>220.75442799999999</v>
      </c>
      <c r="P271">
        <v>1</v>
      </c>
      <c r="Q271" s="1" t="s">
        <v>564</v>
      </c>
      <c r="R271" s="93">
        <v>182025.49</v>
      </c>
      <c r="S271">
        <v>38495.019999999997</v>
      </c>
      <c r="T271">
        <v>0</v>
      </c>
      <c r="U271" s="1" t="s">
        <v>759</v>
      </c>
      <c r="V271" s="1" t="s">
        <v>1184</v>
      </c>
      <c r="W271">
        <v>15945.42</v>
      </c>
      <c r="X271">
        <v>0</v>
      </c>
      <c r="Y271">
        <v>77796</v>
      </c>
    </row>
    <row r="272" spans="1:25" ht="15" hidden="1" customHeight="1" x14ac:dyDescent="0.25">
      <c r="A272" s="1" t="s">
        <v>26</v>
      </c>
      <c r="B272" s="1"/>
      <c r="C272" s="1" t="s">
        <v>107</v>
      </c>
      <c r="D272">
        <v>10124</v>
      </c>
      <c r="E272" s="1"/>
      <c r="F272" s="1" t="s">
        <v>359</v>
      </c>
      <c r="G272" s="1" t="s">
        <v>107</v>
      </c>
      <c r="H272" s="1" t="s">
        <v>1405</v>
      </c>
      <c r="I272">
        <v>2011</v>
      </c>
      <c r="J272" s="93">
        <v>157370.88</v>
      </c>
      <c r="K272">
        <v>12</v>
      </c>
      <c r="L272" s="1" t="s">
        <v>400</v>
      </c>
      <c r="M272">
        <v>0</v>
      </c>
      <c r="N272">
        <v>780</v>
      </c>
      <c r="O272">
        <v>201.731675</v>
      </c>
      <c r="P272">
        <v>1</v>
      </c>
      <c r="Q272" s="1" t="s">
        <v>564</v>
      </c>
      <c r="R272" s="93">
        <v>170401.33</v>
      </c>
      <c r="S272">
        <v>36036.730000000003</v>
      </c>
      <c r="T272">
        <v>0</v>
      </c>
      <c r="U272" s="1" t="s">
        <v>759</v>
      </c>
      <c r="V272" s="1" t="s">
        <v>1184</v>
      </c>
      <c r="W272">
        <v>14571.379300000001</v>
      </c>
      <c r="X272">
        <v>0</v>
      </c>
      <c r="Y272">
        <v>77796</v>
      </c>
    </row>
    <row r="273" spans="1:25" ht="15" hidden="1" customHeight="1" x14ac:dyDescent="0.25">
      <c r="A273" s="1" t="s">
        <v>26</v>
      </c>
      <c r="B273" s="1"/>
      <c r="C273" s="1" t="s">
        <v>107</v>
      </c>
      <c r="D273">
        <v>10124</v>
      </c>
      <c r="E273" s="1"/>
      <c r="F273" s="1" t="s">
        <v>359</v>
      </c>
      <c r="G273" s="1" t="s">
        <v>107</v>
      </c>
      <c r="H273" s="1" t="s">
        <v>1405</v>
      </c>
      <c r="I273">
        <v>2010</v>
      </c>
      <c r="J273" s="93">
        <v>197710.85</v>
      </c>
      <c r="K273">
        <v>12</v>
      </c>
      <c r="L273" s="1" t="s">
        <v>400</v>
      </c>
      <c r="M273">
        <v>0</v>
      </c>
      <c r="N273">
        <v>780</v>
      </c>
      <c r="O273">
        <v>253.44295600000001</v>
      </c>
      <c r="P273">
        <v>1</v>
      </c>
      <c r="Q273" s="1" t="s">
        <v>564</v>
      </c>
      <c r="R273" s="93">
        <v>180324.99</v>
      </c>
      <c r="S273">
        <v>38135.4</v>
      </c>
      <c r="T273">
        <v>0</v>
      </c>
      <c r="U273" s="1" t="s">
        <v>759</v>
      </c>
      <c r="V273" s="1" t="s">
        <v>1184</v>
      </c>
      <c r="W273">
        <v>18306.560000000001</v>
      </c>
      <c r="X273">
        <v>0</v>
      </c>
      <c r="Y273">
        <v>77796</v>
      </c>
    </row>
    <row r="274" spans="1:25" ht="15" hidden="1" customHeight="1" x14ac:dyDescent="0.25">
      <c r="A274" s="1" t="s">
        <v>26</v>
      </c>
      <c r="B274" s="1"/>
      <c r="C274" s="1" t="s">
        <v>107</v>
      </c>
      <c r="D274">
        <v>10124</v>
      </c>
      <c r="E274" s="1"/>
      <c r="F274" s="1" t="s">
        <v>359</v>
      </c>
      <c r="G274" s="1" t="s">
        <v>107</v>
      </c>
      <c r="H274" s="1" t="s">
        <v>1405</v>
      </c>
      <c r="I274">
        <v>2009</v>
      </c>
      <c r="J274" s="93">
        <v>159637.4</v>
      </c>
      <c r="K274">
        <v>12</v>
      </c>
      <c r="L274" s="1" t="s">
        <v>400</v>
      </c>
      <c r="M274">
        <v>0</v>
      </c>
      <c r="N274">
        <v>780</v>
      </c>
      <c r="O274">
        <v>204.63709700000001</v>
      </c>
      <c r="P274">
        <v>1</v>
      </c>
      <c r="Q274" s="1" t="s">
        <v>564</v>
      </c>
      <c r="R274" s="93">
        <v>169676.89</v>
      </c>
      <c r="S274">
        <v>35883.51</v>
      </c>
      <c r="T274">
        <v>0</v>
      </c>
      <c r="U274" s="1" t="s">
        <v>759</v>
      </c>
      <c r="V274" s="1" t="s">
        <v>1184</v>
      </c>
      <c r="W274">
        <v>14781.24</v>
      </c>
      <c r="X274">
        <v>0</v>
      </c>
      <c r="Y274">
        <v>77796</v>
      </c>
    </row>
    <row r="275" spans="1:25" ht="15" hidden="1" customHeight="1" x14ac:dyDescent="0.25">
      <c r="A275" s="1" t="s">
        <v>26</v>
      </c>
      <c r="B275" s="1"/>
      <c r="C275" s="1" t="s">
        <v>107</v>
      </c>
      <c r="D275">
        <v>10124</v>
      </c>
      <c r="E275" s="1"/>
      <c r="F275" s="1" t="s">
        <v>359</v>
      </c>
      <c r="G275" s="1" t="s">
        <v>107</v>
      </c>
      <c r="H275" s="1" t="s">
        <v>1405</v>
      </c>
      <c r="I275">
        <v>2008</v>
      </c>
      <c r="J275" s="93">
        <v>145926.57999999999</v>
      </c>
      <c r="K275">
        <v>12</v>
      </c>
      <c r="L275" s="1" t="s">
        <v>400</v>
      </c>
      <c r="M275">
        <v>0</v>
      </c>
      <c r="N275">
        <v>780</v>
      </c>
      <c r="O275">
        <v>187.061376</v>
      </c>
      <c r="P275">
        <v>1</v>
      </c>
      <c r="Q275" s="1" t="s">
        <v>564</v>
      </c>
      <c r="R275" s="93">
        <v>164943.85</v>
      </c>
      <c r="S275">
        <v>34882.57</v>
      </c>
      <c r="T275">
        <v>0</v>
      </c>
      <c r="U275" s="1" t="s">
        <v>759</v>
      </c>
      <c r="V275" s="1" t="s">
        <v>1184</v>
      </c>
      <c r="W275">
        <v>13511.71968</v>
      </c>
      <c r="X275">
        <v>0</v>
      </c>
      <c r="Y275">
        <v>77796</v>
      </c>
    </row>
    <row r="276" spans="1:25" ht="15" hidden="1" customHeight="1" x14ac:dyDescent="0.25">
      <c r="A276" s="1" t="s">
        <v>26</v>
      </c>
      <c r="B276" s="1"/>
      <c r="C276" s="1" t="s">
        <v>107</v>
      </c>
      <c r="D276">
        <v>10123</v>
      </c>
      <c r="E276" s="1"/>
      <c r="F276" s="1" t="s">
        <v>255</v>
      </c>
      <c r="G276" s="1" t="s">
        <v>107</v>
      </c>
      <c r="H276" s="1" t="s">
        <v>1405</v>
      </c>
      <c r="I276">
        <v>2015</v>
      </c>
      <c r="J276" s="93">
        <v>1173</v>
      </c>
      <c r="K276">
        <v>5</v>
      </c>
      <c r="L276" s="1"/>
      <c r="M276">
        <v>0</v>
      </c>
      <c r="N276">
        <v>1413</v>
      </c>
      <c r="O276">
        <v>0.30887399999999998</v>
      </c>
      <c r="P276">
        <v>3</v>
      </c>
      <c r="Q276" s="1" t="s">
        <v>560</v>
      </c>
      <c r="R276" s="93">
        <v>436.47</v>
      </c>
      <c r="S276">
        <v>349.17</v>
      </c>
      <c r="T276">
        <v>0</v>
      </c>
      <c r="U276" s="1"/>
      <c r="V276" s="1"/>
      <c r="W276">
        <v>436.471</v>
      </c>
      <c r="X276">
        <v>0</v>
      </c>
      <c r="Y276">
        <v>76937</v>
      </c>
    </row>
    <row r="277" spans="1:25" ht="15" hidden="1" customHeight="1" x14ac:dyDescent="0.25">
      <c r="A277" s="1" t="s">
        <v>26</v>
      </c>
      <c r="B277" s="1"/>
      <c r="C277" s="1" t="s">
        <v>107</v>
      </c>
      <c r="D277">
        <v>10124</v>
      </c>
      <c r="E277" s="1"/>
      <c r="F277" s="1" t="s">
        <v>359</v>
      </c>
      <c r="G277" s="1" t="s">
        <v>107</v>
      </c>
      <c r="H277" s="1" t="s">
        <v>1405</v>
      </c>
      <c r="I277">
        <v>2015</v>
      </c>
      <c r="J277" s="93">
        <v>132978</v>
      </c>
      <c r="K277">
        <v>5</v>
      </c>
      <c r="L277" s="1" t="s">
        <v>442</v>
      </c>
      <c r="M277">
        <v>0</v>
      </c>
      <c r="N277">
        <v>780</v>
      </c>
      <c r="O277">
        <v>97.827201000000002</v>
      </c>
      <c r="P277">
        <v>1</v>
      </c>
      <c r="Q277" s="1" t="s">
        <v>562</v>
      </c>
      <c r="R277" s="93">
        <v>159495</v>
      </c>
      <c r="S277">
        <v>5574.27</v>
      </c>
      <c r="T277">
        <v>0</v>
      </c>
      <c r="U277" s="1" t="s">
        <v>758</v>
      </c>
      <c r="V277" s="1"/>
      <c r="W277">
        <v>76315</v>
      </c>
      <c r="X277">
        <v>0</v>
      </c>
      <c r="Y277">
        <v>96143</v>
      </c>
    </row>
    <row r="278" spans="1:25" ht="15" hidden="1" customHeight="1" x14ac:dyDescent="0.25">
      <c r="A278" s="1" t="s">
        <v>26</v>
      </c>
      <c r="B278" s="1"/>
      <c r="C278" s="1" t="s">
        <v>107</v>
      </c>
      <c r="D278">
        <v>10124</v>
      </c>
      <c r="E278" s="1"/>
      <c r="F278" s="1" t="s">
        <v>359</v>
      </c>
      <c r="G278" s="1" t="s">
        <v>107</v>
      </c>
      <c r="H278" s="1" t="s">
        <v>1405</v>
      </c>
      <c r="I278">
        <v>2015</v>
      </c>
      <c r="J278" s="93">
        <v>0</v>
      </c>
      <c r="K278">
        <v>5</v>
      </c>
      <c r="L278" s="1" t="s">
        <v>400</v>
      </c>
      <c r="M278">
        <v>0</v>
      </c>
      <c r="N278">
        <v>780</v>
      </c>
      <c r="O278">
        <v>0</v>
      </c>
      <c r="P278">
        <v>1</v>
      </c>
      <c r="Q278" s="1" t="s">
        <v>564</v>
      </c>
      <c r="R278" s="93">
        <v>0</v>
      </c>
      <c r="S278">
        <v>0</v>
      </c>
      <c r="T278">
        <v>0</v>
      </c>
      <c r="U278" s="1" t="s">
        <v>759</v>
      </c>
      <c r="V278" s="1" t="s">
        <v>1184</v>
      </c>
      <c r="W278">
        <v>0</v>
      </c>
      <c r="X278">
        <v>0</v>
      </c>
      <c r="Y278">
        <v>77796</v>
      </c>
    </row>
    <row r="279" spans="1:25" ht="15" hidden="1" customHeight="1" x14ac:dyDescent="0.25">
      <c r="A279" s="1" t="s">
        <v>26</v>
      </c>
      <c r="B279" s="1"/>
      <c r="C279" s="1" t="s">
        <v>107</v>
      </c>
      <c r="D279">
        <v>10123</v>
      </c>
      <c r="E279" s="1"/>
      <c r="F279" s="1" t="s">
        <v>255</v>
      </c>
      <c r="G279" s="1" t="s">
        <v>107</v>
      </c>
      <c r="H279" s="1" t="s">
        <v>1405</v>
      </c>
      <c r="I279">
        <v>2012</v>
      </c>
      <c r="J279" s="93">
        <v>166566.24</v>
      </c>
      <c r="K279">
        <v>12</v>
      </c>
      <c r="L279" s="1" t="s">
        <v>465</v>
      </c>
      <c r="M279">
        <v>0</v>
      </c>
      <c r="N279">
        <v>1413</v>
      </c>
      <c r="O279">
        <v>117.87293099999999</v>
      </c>
      <c r="P279">
        <v>1</v>
      </c>
      <c r="Q279" s="1" t="s">
        <v>564</v>
      </c>
      <c r="R279" s="93">
        <v>173324.66</v>
      </c>
      <c r="S279">
        <v>36654.959999999999</v>
      </c>
      <c r="T279">
        <v>0</v>
      </c>
      <c r="U279" s="1" t="s">
        <v>761</v>
      </c>
      <c r="V279" s="1" t="s">
        <v>1185</v>
      </c>
      <c r="W279">
        <v>15422.8</v>
      </c>
      <c r="X279">
        <v>0</v>
      </c>
      <c r="Y279">
        <v>77798</v>
      </c>
    </row>
    <row r="280" spans="1:25" ht="15" hidden="1" customHeight="1" x14ac:dyDescent="0.25">
      <c r="A280" s="1" t="s">
        <v>26</v>
      </c>
      <c r="B280" s="1"/>
      <c r="C280" s="1" t="s">
        <v>107</v>
      </c>
      <c r="D280">
        <v>10123</v>
      </c>
      <c r="E280" s="1"/>
      <c r="F280" s="1" t="s">
        <v>255</v>
      </c>
      <c r="G280" s="1" t="s">
        <v>107</v>
      </c>
      <c r="H280" s="1" t="s">
        <v>1405</v>
      </c>
      <c r="I280">
        <v>2011</v>
      </c>
      <c r="J280" s="93">
        <v>155086.26999999999</v>
      </c>
      <c r="K280">
        <v>12</v>
      </c>
      <c r="L280" s="1" t="s">
        <v>465</v>
      </c>
      <c r="M280">
        <v>0</v>
      </c>
      <c r="N280">
        <v>1413</v>
      </c>
      <c r="O280">
        <v>109.74897</v>
      </c>
      <c r="P280">
        <v>1</v>
      </c>
      <c r="Q280" s="1" t="s">
        <v>564</v>
      </c>
      <c r="R280" s="93">
        <v>166453.45000000001</v>
      </c>
      <c r="S280">
        <v>35201.81</v>
      </c>
      <c r="T280">
        <v>0</v>
      </c>
      <c r="U280" s="1" t="s">
        <v>761</v>
      </c>
      <c r="V280" s="1" t="s">
        <v>1185</v>
      </c>
      <c r="W280">
        <v>14359.84</v>
      </c>
      <c r="X280">
        <v>0</v>
      </c>
      <c r="Y280">
        <v>77798</v>
      </c>
    </row>
    <row r="281" spans="1:25" ht="15" hidden="1" customHeight="1" x14ac:dyDescent="0.25">
      <c r="A281" s="1" t="s">
        <v>26</v>
      </c>
      <c r="B281" s="1"/>
      <c r="C281" s="1" t="s">
        <v>107</v>
      </c>
      <c r="D281">
        <v>10123</v>
      </c>
      <c r="E281" s="1"/>
      <c r="F281" s="1" t="s">
        <v>255</v>
      </c>
      <c r="G281" s="1" t="s">
        <v>107</v>
      </c>
      <c r="H281" s="1" t="s">
        <v>1405</v>
      </c>
      <c r="I281">
        <v>2010</v>
      </c>
      <c r="J281" s="93">
        <v>155407.25</v>
      </c>
      <c r="K281">
        <v>6</v>
      </c>
      <c r="L281" s="1" t="s">
        <v>465</v>
      </c>
      <c r="M281">
        <v>0</v>
      </c>
      <c r="N281">
        <v>1413</v>
      </c>
      <c r="O281">
        <v>109.976116</v>
      </c>
      <c r="P281">
        <v>1</v>
      </c>
      <c r="Q281" s="1" t="s">
        <v>564</v>
      </c>
      <c r="R281" s="93">
        <v>167568.04999999999</v>
      </c>
      <c r="S281">
        <v>35437.53</v>
      </c>
      <c r="T281">
        <v>0</v>
      </c>
      <c r="U281" s="1" t="s">
        <v>761</v>
      </c>
      <c r="V281" s="1" t="s">
        <v>1185</v>
      </c>
      <c r="W281">
        <v>14389.560289999999</v>
      </c>
      <c r="X281">
        <v>0</v>
      </c>
      <c r="Y281">
        <v>77798</v>
      </c>
    </row>
    <row r="282" spans="1:25" ht="15" hidden="1" customHeight="1" x14ac:dyDescent="0.25">
      <c r="A282" s="1" t="s">
        <v>26</v>
      </c>
      <c r="B282" s="1"/>
      <c r="C282" s="1" t="s">
        <v>107</v>
      </c>
      <c r="D282">
        <v>10123</v>
      </c>
      <c r="E282" s="1"/>
      <c r="F282" s="1" t="s">
        <v>255</v>
      </c>
      <c r="G282" s="1" t="s">
        <v>107</v>
      </c>
      <c r="H282" s="1" t="s">
        <v>1405</v>
      </c>
      <c r="I282">
        <v>2009</v>
      </c>
      <c r="J282" s="93">
        <v>115035.66</v>
      </c>
      <c r="K282">
        <v>0</v>
      </c>
      <c r="L282" s="1" t="s">
        <v>465</v>
      </c>
      <c r="M282">
        <v>0</v>
      </c>
      <c r="N282">
        <v>1413</v>
      </c>
      <c r="O282">
        <v>81.406594999999996</v>
      </c>
      <c r="P282">
        <v>1</v>
      </c>
      <c r="Q282" s="1" t="s">
        <v>564</v>
      </c>
      <c r="R282" s="93">
        <v>159793.18</v>
      </c>
      <c r="S282">
        <v>33793.300000000003</v>
      </c>
      <c r="T282">
        <v>0</v>
      </c>
      <c r="U282" s="1" t="s">
        <v>761</v>
      </c>
      <c r="V282" s="1" t="s">
        <v>1185</v>
      </c>
      <c r="W282">
        <v>10651.45119</v>
      </c>
      <c r="X282">
        <v>0</v>
      </c>
      <c r="Y282">
        <v>77798</v>
      </c>
    </row>
    <row r="283" spans="1:25" ht="15" hidden="1" customHeight="1" x14ac:dyDescent="0.25">
      <c r="A283" s="1" t="s">
        <v>26</v>
      </c>
      <c r="B283" s="1"/>
      <c r="C283" s="1" t="s">
        <v>107</v>
      </c>
      <c r="D283">
        <v>10123</v>
      </c>
      <c r="E283" s="1"/>
      <c r="F283" s="1" t="s">
        <v>255</v>
      </c>
      <c r="G283" s="1" t="s">
        <v>107</v>
      </c>
      <c r="H283" s="1" t="s">
        <v>1405</v>
      </c>
      <c r="I283">
        <v>2008</v>
      </c>
      <c r="J283" s="93">
        <v>82761.7</v>
      </c>
      <c r="K283">
        <v>2</v>
      </c>
      <c r="L283" s="1" t="s">
        <v>465</v>
      </c>
      <c r="M283">
        <v>0</v>
      </c>
      <c r="N283">
        <v>1413</v>
      </c>
      <c r="O283">
        <v>58.567475000000002</v>
      </c>
      <c r="P283">
        <v>1</v>
      </c>
      <c r="Q283" s="1" t="s">
        <v>564</v>
      </c>
      <c r="R283" s="93">
        <v>101544.66</v>
      </c>
      <c r="S283">
        <v>21474.82</v>
      </c>
      <c r="T283">
        <v>0</v>
      </c>
      <c r="U283" s="1" t="s">
        <v>761</v>
      </c>
      <c r="V283" s="1" t="s">
        <v>1185</v>
      </c>
      <c r="W283">
        <v>7663.1224099999999</v>
      </c>
      <c r="X283">
        <v>0</v>
      </c>
      <c r="Y283">
        <v>77798</v>
      </c>
    </row>
    <row r="284" spans="1:25" ht="15" hidden="1" customHeight="1" x14ac:dyDescent="0.25">
      <c r="A284" s="1" t="s">
        <v>26</v>
      </c>
      <c r="B284" s="1" t="s">
        <v>46</v>
      </c>
      <c r="C284" s="1" t="s">
        <v>106</v>
      </c>
      <c r="D284">
        <v>5477</v>
      </c>
      <c r="E284" s="1"/>
      <c r="F284" s="1" t="s">
        <v>106</v>
      </c>
      <c r="G284" s="1" t="s">
        <v>106</v>
      </c>
      <c r="H284" s="1" t="s">
        <v>1405</v>
      </c>
      <c r="I284">
        <v>2009</v>
      </c>
      <c r="J284" s="93">
        <v>193063.15</v>
      </c>
      <c r="K284">
        <v>12</v>
      </c>
      <c r="L284" s="1" t="s">
        <v>393</v>
      </c>
      <c r="M284">
        <v>0</v>
      </c>
      <c r="N284">
        <v>9829</v>
      </c>
      <c r="O284">
        <v>19.641995999999999</v>
      </c>
      <c r="P284">
        <v>2</v>
      </c>
      <c r="Q284" s="1" t="s">
        <v>569</v>
      </c>
      <c r="R284" s="93">
        <v>193063.15</v>
      </c>
      <c r="S284">
        <v>90546.57</v>
      </c>
      <c r="T284">
        <v>0</v>
      </c>
      <c r="U284" s="1" t="s">
        <v>948</v>
      </c>
      <c r="V284" s="1" t="s">
        <v>1242</v>
      </c>
      <c r="W284">
        <v>193063.12723000001</v>
      </c>
      <c r="X284">
        <v>0</v>
      </c>
      <c r="Y284">
        <v>57920</v>
      </c>
    </row>
    <row r="285" spans="1:25" ht="15" hidden="1" customHeight="1" x14ac:dyDescent="0.25">
      <c r="A285" s="1" t="s">
        <v>26</v>
      </c>
      <c r="B285" s="1" t="s">
        <v>46</v>
      </c>
      <c r="C285" s="1" t="s">
        <v>106</v>
      </c>
      <c r="D285">
        <v>5477</v>
      </c>
      <c r="E285" s="1"/>
      <c r="F285" s="1" t="s">
        <v>106</v>
      </c>
      <c r="G285" s="1" t="s">
        <v>106</v>
      </c>
      <c r="H285" s="1" t="s">
        <v>1405</v>
      </c>
      <c r="I285">
        <v>2010</v>
      </c>
      <c r="J285" s="93">
        <v>147820.74</v>
      </c>
      <c r="K285">
        <v>12</v>
      </c>
      <c r="L285" s="1" t="s">
        <v>393</v>
      </c>
      <c r="M285">
        <v>0</v>
      </c>
      <c r="N285">
        <v>9829</v>
      </c>
      <c r="O285">
        <v>15.039092</v>
      </c>
      <c r="P285">
        <v>2</v>
      </c>
      <c r="Q285" s="1" t="s">
        <v>569</v>
      </c>
      <c r="R285" s="93">
        <v>147820.74</v>
      </c>
      <c r="S285">
        <v>69327.91</v>
      </c>
      <c r="T285">
        <v>0</v>
      </c>
      <c r="U285" s="1" t="s">
        <v>948</v>
      </c>
      <c r="V285" s="1" t="s">
        <v>1242</v>
      </c>
      <c r="W285">
        <v>147820.73063000001</v>
      </c>
      <c r="X285">
        <v>0</v>
      </c>
      <c r="Y285">
        <v>57920</v>
      </c>
    </row>
    <row r="286" spans="1:25" ht="15" hidden="1" customHeight="1" x14ac:dyDescent="0.25">
      <c r="A286" s="1" t="s">
        <v>26</v>
      </c>
      <c r="B286" s="1" t="s">
        <v>46</v>
      </c>
      <c r="C286" s="1" t="s">
        <v>106</v>
      </c>
      <c r="D286">
        <v>5477</v>
      </c>
      <c r="E286" s="1"/>
      <c r="F286" s="1" t="s">
        <v>106</v>
      </c>
      <c r="G286" s="1" t="s">
        <v>106</v>
      </c>
      <c r="H286" s="1" t="s">
        <v>1405</v>
      </c>
      <c r="I286">
        <v>2011</v>
      </c>
      <c r="J286" s="93">
        <v>85917.74</v>
      </c>
      <c r="K286">
        <v>12</v>
      </c>
      <c r="L286" s="1" t="s">
        <v>393</v>
      </c>
      <c r="M286">
        <v>0</v>
      </c>
      <c r="N286">
        <v>9829</v>
      </c>
      <c r="O286">
        <v>8.7411600000000007</v>
      </c>
      <c r="P286">
        <v>2</v>
      </c>
      <c r="Q286" s="1" t="s">
        <v>569</v>
      </c>
      <c r="R286" s="93">
        <v>85917.74</v>
      </c>
      <c r="S286">
        <v>40295.42</v>
      </c>
      <c r="T286">
        <v>0</v>
      </c>
      <c r="U286" s="1" t="s">
        <v>948</v>
      </c>
      <c r="V286" s="1" t="s">
        <v>1242</v>
      </c>
      <c r="W286">
        <v>85917.719670000006</v>
      </c>
      <c r="X286">
        <v>0</v>
      </c>
      <c r="Y286">
        <v>57920</v>
      </c>
    </row>
    <row r="287" spans="1:25" ht="15" hidden="1" customHeight="1" x14ac:dyDescent="0.25">
      <c r="A287" s="1" t="s">
        <v>26</v>
      </c>
      <c r="B287" s="1" t="s">
        <v>46</v>
      </c>
      <c r="C287" s="1" t="s">
        <v>106</v>
      </c>
      <c r="D287">
        <v>5477</v>
      </c>
      <c r="E287" s="1"/>
      <c r="F287" s="1" t="s">
        <v>106</v>
      </c>
      <c r="G287" s="1" t="s">
        <v>106</v>
      </c>
      <c r="H287" s="1" t="s">
        <v>1405</v>
      </c>
      <c r="I287">
        <v>2012</v>
      </c>
      <c r="J287" s="93">
        <v>108181.67</v>
      </c>
      <c r="K287">
        <v>12</v>
      </c>
      <c r="L287" s="1" t="s">
        <v>393</v>
      </c>
      <c r="M287">
        <v>0</v>
      </c>
      <c r="N287">
        <v>9829</v>
      </c>
      <c r="O287">
        <v>11.006264</v>
      </c>
      <c r="P287">
        <v>2</v>
      </c>
      <c r="Q287" s="1" t="s">
        <v>569</v>
      </c>
      <c r="R287" s="93">
        <v>108181.67</v>
      </c>
      <c r="S287">
        <v>43272.66</v>
      </c>
      <c r="T287">
        <v>0</v>
      </c>
      <c r="U287" s="1" t="s">
        <v>948</v>
      </c>
      <c r="V287" s="1" t="s">
        <v>1242</v>
      </c>
      <c r="W287">
        <v>108181.671</v>
      </c>
      <c r="X287">
        <v>0</v>
      </c>
      <c r="Y287">
        <v>57920</v>
      </c>
    </row>
    <row r="288" spans="1:25" ht="15" hidden="1" customHeight="1" x14ac:dyDescent="0.25">
      <c r="A288" s="1" t="s">
        <v>26</v>
      </c>
      <c r="B288" s="1" t="s">
        <v>46</v>
      </c>
      <c r="C288" s="1" t="s">
        <v>106</v>
      </c>
      <c r="D288">
        <v>5477</v>
      </c>
      <c r="E288" s="1"/>
      <c r="F288" s="1" t="s">
        <v>106</v>
      </c>
      <c r="G288" s="1" t="s">
        <v>106</v>
      </c>
      <c r="H288" s="1" t="s">
        <v>1405</v>
      </c>
      <c r="I288">
        <v>2013</v>
      </c>
      <c r="J288" s="93">
        <v>229468.56</v>
      </c>
      <c r="K288">
        <v>12</v>
      </c>
      <c r="L288" s="1" t="s">
        <v>393</v>
      </c>
      <c r="M288">
        <v>0</v>
      </c>
      <c r="N288">
        <v>9829</v>
      </c>
      <c r="O288">
        <v>23.345835999999998</v>
      </c>
      <c r="P288">
        <v>2</v>
      </c>
      <c r="Q288" s="1" t="s">
        <v>569</v>
      </c>
      <c r="R288" s="93">
        <v>229468.56</v>
      </c>
      <c r="S288">
        <v>91787.4</v>
      </c>
      <c r="T288">
        <v>0</v>
      </c>
      <c r="U288" s="1" t="s">
        <v>948</v>
      </c>
      <c r="V288" s="1" t="s">
        <v>1242</v>
      </c>
      <c r="W288">
        <v>229468.56299999999</v>
      </c>
      <c r="X288">
        <v>0</v>
      </c>
      <c r="Y288">
        <v>57920</v>
      </c>
    </row>
    <row r="289" spans="1:25" ht="15" hidden="1" customHeight="1" x14ac:dyDescent="0.25">
      <c r="A289" s="1" t="s">
        <v>26</v>
      </c>
      <c r="B289" s="1" t="s">
        <v>46</v>
      </c>
      <c r="C289" s="1" t="s">
        <v>106</v>
      </c>
      <c r="D289">
        <v>5477</v>
      </c>
      <c r="E289" s="1"/>
      <c r="F289" s="1" t="s">
        <v>106</v>
      </c>
      <c r="G289" s="1" t="s">
        <v>106</v>
      </c>
      <c r="H289" s="1" t="s">
        <v>1405</v>
      </c>
      <c r="I289">
        <v>2014</v>
      </c>
      <c r="J289" s="93">
        <v>365467.65</v>
      </c>
      <c r="K289">
        <v>12</v>
      </c>
      <c r="L289" s="1" t="s">
        <v>393</v>
      </c>
      <c r="M289">
        <v>0</v>
      </c>
      <c r="N289">
        <v>9829</v>
      </c>
      <c r="O289">
        <v>37.182208000000003</v>
      </c>
      <c r="P289">
        <v>2</v>
      </c>
      <c r="Q289" s="1" t="s">
        <v>569</v>
      </c>
      <c r="R289" s="93">
        <v>365467.65</v>
      </c>
      <c r="S289">
        <v>146187.04999999999</v>
      </c>
      <c r="T289">
        <v>0</v>
      </c>
      <c r="U289" s="1" t="s">
        <v>948</v>
      </c>
      <c r="V289" s="1" t="s">
        <v>1242</v>
      </c>
      <c r="W289">
        <v>365467.65</v>
      </c>
      <c r="X289">
        <v>0</v>
      </c>
      <c r="Y289">
        <v>57920</v>
      </c>
    </row>
    <row r="290" spans="1:25" ht="15" hidden="1" customHeight="1" x14ac:dyDescent="0.25">
      <c r="A290" s="1" t="s">
        <v>26</v>
      </c>
      <c r="B290" s="1" t="s">
        <v>46</v>
      </c>
      <c r="C290" s="1" t="s">
        <v>106</v>
      </c>
      <c r="D290">
        <v>5477</v>
      </c>
      <c r="E290" s="1"/>
      <c r="F290" s="1" t="s">
        <v>106</v>
      </c>
      <c r="G290" s="1" t="s">
        <v>106</v>
      </c>
      <c r="H290" s="1" t="s">
        <v>1405</v>
      </c>
      <c r="I290">
        <v>2015</v>
      </c>
      <c r="J290" s="93">
        <v>261201</v>
      </c>
      <c r="K290">
        <v>5</v>
      </c>
      <c r="L290" s="1" t="s">
        <v>393</v>
      </c>
      <c r="M290">
        <v>0</v>
      </c>
      <c r="N290">
        <v>9829</v>
      </c>
      <c r="O290">
        <v>15.471049000000001</v>
      </c>
      <c r="P290">
        <v>2</v>
      </c>
      <c r="Q290" s="1" t="s">
        <v>569</v>
      </c>
      <c r="R290" s="93">
        <v>152066.49</v>
      </c>
      <c r="S290">
        <v>60826.6</v>
      </c>
      <c r="T290">
        <v>0</v>
      </c>
      <c r="U290" s="1" t="s">
        <v>948</v>
      </c>
      <c r="V290" s="1" t="s">
        <v>1242</v>
      </c>
      <c r="W290">
        <v>152066.49</v>
      </c>
      <c r="X290">
        <v>0</v>
      </c>
      <c r="Y290">
        <v>57920</v>
      </c>
    </row>
    <row r="291" spans="1:25" ht="15" hidden="1" customHeight="1" x14ac:dyDescent="0.25">
      <c r="A291" s="1" t="s">
        <v>26</v>
      </c>
      <c r="B291" s="1"/>
      <c r="C291" s="1" t="s">
        <v>232</v>
      </c>
      <c r="D291">
        <v>14276</v>
      </c>
      <c r="E291" s="1" t="s">
        <v>245</v>
      </c>
      <c r="F291" s="1" t="s">
        <v>373</v>
      </c>
      <c r="G291" s="1" t="s">
        <v>232</v>
      </c>
      <c r="H291" s="1" t="s">
        <v>1405</v>
      </c>
      <c r="I291">
        <v>2015</v>
      </c>
      <c r="J291" s="93">
        <v>4605</v>
      </c>
      <c r="K291">
        <v>1</v>
      </c>
      <c r="L291" s="1" t="s">
        <v>512</v>
      </c>
      <c r="M291">
        <v>0</v>
      </c>
      <c r="N291">
        <v>315</v>
      </c>
      <c r="O291">
        <v>1.0278</v>
      </c>
      <c r="P291">
        <v>2</v>
      </c>
      <c r="Q291" s="1" t="s">
        <v>569</v>
      </c>
      <c r="R291" s="93">
        <v>323.86</v>
      </c>
      <c r="S291">
        <v>97.16</v>
      </c>
      <c r="T291">
        <v>0</v>
      </c>
      <c r="U291" s="1" t="s">
        <v>949</v>
      </c>
      <c r="V291" s="1" t="s">
        <v>1243</v>
      </c>
      <c r="W291">
        <v>323.86363999999998</v>
      </c>
      <c r="X291">
        <v>0</v>
      </c>
      <c r="Y291">
        <v>94519</v>
      </c>
    </row>
    <row r="292" spans="1:25" ht="15" hidden="1" customHeight="1" x14ac:dyDescent="0.25">
      <c r="A292" s="1" t="s">
        <v>26</v>
      </c>
      <c r="B292" s="1"/>
      <c r="C292" s="1" t="s">
        <v>232</v>
      </c>
      <c r="D292">
        <v>14276</v>
      </c>
      <c r="E292" s="1" t="s">
        <v>245</v>
      </c>
      <c r="F292" s="1" t="s">
        <v>373</v>
      </c>
      <c r="G292" s="1" t="s">
        <v>232</v>
      </c>
      <c r="H292" s="1" t="s">
        <v>1405</v>
      </c>
      <c r="I292">
        <v>2013</v>
      </c>
      <c r="J292" s="93">
        <v>3149.36</v>
      </c>
      <c r="K292">
        <v>3</v>
      </c>
      <c r="L292" s="1" t="s">
        <v>512</v>
      </c>
      <c r="M292">
        <v>0</v>
      </c>
      <c r="N292">
        <v>315</v>
      </c>
      <c r="O292">
        <v>9.9947949999999999</v>
      </c>
      <c r="P292">
        <v>2</v>
      </c>
      <c r="Q292" s="1" t="s">
        <v>569</v>
      </c>
      <c r="R292" s="93">
        <v>3149.36</v>
      </c>
      <c r="S292">
        <v>944.8</v>
      </c>
      <c r="T292">
        <v>0</v>
      </c>
      <c r="U292" s="1" t="s">
        <v>949</v>
      </c>
      <c r="V292" s="1" t="s">
        <v>1243</v>
      </c>
      <c r="W292">
        <v>3149.3616999999999</v>
      </c>
      <c r="X292">
        <v>0</v>
      </c>
      <c r="Y292">
        <v>94519</v>
      </c>
    </row>
    <row r="293" spans="1:25" ht="15" hidden="1" customHeight="1" x14ac:dyDescent="0.25">
      <c r="A293" s="1" t="s">
        <v>26</v>
      </c>
      <c r="B293" s="1"/>
      <c r="C293" s="1" t="s">
        <v>107</v>
      </c>
      <c r="D293">
        <v>10123</v>
      </c>
      <c r="E293" s="1"/>
      <c r="F293" s="1" t="s">
        <v>255</v>
      </c>
      <c r="G293" s="1" t="s">
        <v>107</v>
      </c>
      <c r="H293" s="1" t="s">
        <v>1405</v>
      </c>
      <c r="I293">
        <v>2015</v>
      </c>
      <c r="J293" s="93">
        <v>52351</v>
      </c>
      <c r="K293">
        <v>5</v>
      </c>
      <c r="L293" s="1" t="s">
        <v>464</v>
      </c>
      <c r="M293">
        <v>0</v>
      </c>
      <c r="N293">
        <v>1413</v>
      </c>
      <c r="O293">
        <v>20.462812</v>
      </c>
      <c r="P293">
        <v>1</v>
      </c>
      <c r="Q293" s="1" t="s">
        <v>562</v>
      </c>
      <c r="R293" s="93">
        <v>60482</v>
      </c>
      <c r="S293">
        <v>2086.31</v>
      </c>
      <c r="T293">
        <v>0</v>
      </c>
      <c r="U293" s="1" t="s">
        <v>760</v>
      </c>
      <c r="V293" s="1"/>
      <c r="W293">
        <v>28916</v>
      </c>
      <c r="X293">
        <v>0</v>
      </c>
      <c r="Y293">
        <v>96273</v>
      </c>
    </row>
    <row r="294" spans="1:25" ht="15" hidden="1" customHeight="1" x14ac:dyDescent="0.25">
      <c r="A294" s="1" t="s">
        <v>26</v>
      </c>
      <c r="B294" s="1"/>
      <c r="C294" s="1" t="s">
        <v>107</v>
      </c>
      <c r="D294">
        <v>10123</v>
      </c>
      <c r="E294" s="1"/>
      <c r="F294" s="1" t="s">
        <v>255</v>
      </c>
      <c r="G294" s="1" t="s">
        <v>107</v>
      </c>
      <c r="H294" s="1" t="s">
        <v>1405</v>
      </c>
      <c r="I294">
        <v>2015</v>
      </c>
      <c r="J294" s="93">
        <v>0</v>
      </c>
      <c r="K294">
        <v>5</v>
      </c>
      <c r="L294" s="1" t="s">
        <v>465</v>
      </c>
      <c r="M294">
        <v>0</v>
      </c>
      <c r="N294">
        <v>1413</v>
      </c>
      <c r="O294">
        <v>3.6719999999999999E-3</v>
      </c>
      <c r="P294">
        <v>1</v>
      </c>
      <c r="Q294" s="1" t="s">
        <v>564</v>
      </c>
      <c r="R294" s="93">
        <v>0</v>
      </c>
      <c r="S294">
        <v>1.1000000000000001</v>
      </c>
      <c r="T294">
        <v>0</v>
      </c>
      <c r="U294" s="1" t="s">
        <v>761</v>
      </c>
      <c r="V294" s="1" t="s">
        <v>1185</v>
      </c>
      <c r="W294">
        <v>0.48</v>
      </c>
      <c r="X294">
        <v>0</v>
      </c>
      <c r="Y294">
        <v>77798</v>
      </c>
    </row>
    <row r="295" spans="1:25" ht="15" hidden="1" customHeight="1" x14ac:dyDescent="0.25">
      <c r="A295" s="1" t="s">
        <v>26</v>
      </c>
      <c r="B295" s="1"/>
      <c r="C295" s="1" t="s">
        <v>107</v>
      </c>
      <c r="D295">
        <v>10124</v>
      </c>
      <c r="E295" s="1"/>
      <c r="F295" s="1" t="s">
        <v>359</v>
      </c>
      <c r="G295" s="1" t="s">
        <v>107</v>
      </c>
      <c r="H295" s="1" t="s">
        <v>1405</v>
      </c>
      <c r="I295">
        <v>2012</v>
      </c>
      <c r="J295" s="93">
        <v>42046.65</v>
      </c>
      <c r="K295">
        <v>12</v>
      </c>
      <c r="L295" s="1"/>
      <c r="M295">
        <v>0</v>
      </c>
      <c r="N295">
        <v>780</v>
      </c>
      <c r="O295">
        <v>53.899051</v>
      </c>
      <c r="P295">
        <v>2</v>
      </c>
      <c r="Q295" s="1" t="s">
        <v>569</v>
      </c>
      <c r="R295" s="93">
        <v>42046.65</v>
      </c>
      <c r="S295">
        <v>16818.66</v>
      </c>
      <c r="T295">
        <v>0</v>
      </c>
      <c r="U295" s="1"/>
      <c r="V295" s="1"/>
      <c r="W295">
        <v>42046.631999999998</v>
      </c>
      <c r="X295">
        <v>0</v>
      </c>
      <c r="Y295">
        <v>76939</v>
      </c>
    </row>
    <row r="296" spans="1:25" ht="15" hidden="1" customHeight="1" x14ac:dyDescent="0.25">
      <c r="A296" s="1" t="s">
        <v>26</v>
      </c>
      <c r="B296" s="1"/>
      <c r="C296" s="1" t="s">
        <v>107</v>
      </c>
      <c r="D296">
        <v>10124</v>
      </c>
      <c r="E296" s="1"/>
      <c r="F296" s="1" t="s">
        <v>359</v>
      </c>
      <c r="G296" s="1" t="s">
        <v>107</v>
      </c>
      <c r="H296" s="1" t="s">
        <v>1405</v>
      </c>
      <c r="I296">
        <v>2011</v>
      </c>
      <c r="J296" s="93">
        <v>40986.35</v>
      </c>
      <c r="K296">
        <v>12</v>
      </c>
      <c r="L296" s="1"/>
      <c r="M296">
        <v>0</v>
      </c>
      <c r="N296">
        <v>780</v>
      </c>
      <c r="O296">
        <v>52.539866000000004</v>
      </c>
      <c r="P296">
        <v>2</v>
      </c>
      <c r="Q296" s="1" t="s">
        <v>569</v>
      </c>
      <c r="R296" s="93">
        <v>40986.35</v>
      </c>
      <c r="S296">
        <v>19222.59</v>
      </c>
      <c r="T296">
        <v>0</v>
      </c>
      <c r="U296" s="1"/>
      <c r="V296" s="1"/>
      <c r="W296">
        <v>40986.336000000003</v>
      </c>
      <c r="X296">
        <v>0</v>
      </c>
      <c r="Y296">
        <v>76939</v>
      </c>
    </row>
    <row r="297" spans="1:25" ht="15" hidden="1" customHeight="1" x14ac:dyDescent="0.25">
      <c r="A297" s="1" t="s">
        <v>26</v>
      </c>
      <c r="B297" s="1"/>
      <c r="C297" s="1" t="s">
        <v>107</v>
      </c>
      <c r="D297">
        <v>10124</v>
      </c>
      <c r="E297" s="1"/>
      <c r="F297" s="1" t="s">
        <v>359</v>
      </c>
      <c r="G297" s="1" t="s">
        <v>107</v>
      </c>
      <c r="H297" s="1" t="s">
        <v>1405</v>
      </c>
      <c r="I297">
        <v>2010</v>
      </c>
      <c r="J297" s="93">
        <v>43041.07</v>
      </c>
      <c r="K297">
        <v>12</v>
      </c>
      <c r="L297" s="1"/>
      <c r="M297">
        <v>0</v>
      </c>
      <c r="N297">
        <v>780</v>
      </c>
      <c r="O297">
        <v>55.173785000000002</v>
      </c>
      <c r="P297">
        <v>2</v>
      </c>
      <c r="Q297" s="1" t="s">
        <v>569</v>
      </c>
      <c r="R297" s="93">
        <v>43041.07</v>
      </c>
      <c r="S297">
        <v>20186.27</v>
      </c>
      <c r="T297">
        <v>0</v>
      </c>
      <c r="U297" s="1"/>
      <c r="V297" s="1"/>
      <c r="W297">
        <v>43041.06</v>
      </c>
      <c r="X297">
        <v>0</v>
      </c>
      <c r="Y297">
        <v>76939</v>
      </c>
    </row>
    <row r="298" spans="1:25" ht="15" hidden="1" customHeight="1" x14ac:dyDescent="0.25">
      <c r="A298" s="1" t="s">
        <v>26</v>
      </c>
      <c r="B298" s="1"/>
      <c r="C298" s="1" t="s">
        <v>107</v>
      </c>
      <c r="D298">
        <v>10124</v>
      </c>
      <c r="E298" s="1"/>
      <c r="F298" s="1" t="s">
        <v>359</v>
      </c>
      <c r="G298" s="1" t="s">
        <v>107</v>
      </c>
      <c r="H298" s="1" t="s">
        <v>1405</v>
      </c>
      <c r="I298">
        <v>2009</v>
      </c>
      <c r="J298" s="93">
        <v>41707.01</v>
      </c>
      <c r="K298">
        <v>12</v>
      </c>
      <c r="L298" s="1"/>
      <c r="M298">
        <v>0</v>
      </c>
      <c r="N298">
        <v>780</v>
      </c>
      <c r="O298">
        <v>53.463670999999998</v>
      </c>
      <c r="P298">
        <v>2</v>
      </c>
      <c r="Q298" s="1" t="s">
        <v>569</v>
      </c>
      <c r="R298" s="93">
        <v>41707.01</v>
      </c>
      <c r="S298">
        <v>19560.580000000002</v>
      </c>
      <c r="T298">
        <v>0</v>
      </c>
      <c r="U298" s="1"/>
      <c r="V298" s="1"/>
      <c r="W298">
        <v>41707.008000000002</v>
      </c>
      <c r="X298">
        <v>0</v>
      </c>
      <c r="Y298">
        <v>76939</v>
      </c>
    </row>
    <row r="299" spans="1:25" ht="15" hidden="1" customHeight="1" x14ac:dyDescent="0.25">
      <c r="A299" s="1" t="s">
        <v>26</v>
      </c>
      <c r="B299" s="1"/>
      <c r="C299" s="1" t="s">
        <v>107</v>
      </c>
      <c r="D299">
        <v>10124</v>
      </c>
      <c r="E299" s="1"/>
      <c r="F299" s="1" t="s">
        <v>359</v>
      </c>
      <c r="G299" s="1" t="s">
        <v>107</v>
      </c>
      <c r="H299" s="1" t="s">
        <v>1405</v>
      </c>
      <c r="I299">
        <v>2008</v>
      </c>
      <c r="J299" s="93">
        <v>14635.76</v>
      </c>
      <c r="K299">
        <v>3</v>
      </c>
      <c r="L299" s="1" t="s">
        <v>513</v>
      </c>
      <c r="M299">
        <v>0</v>
      </c>
      <c r="N299">
        <v>780</v>
      </c>
      <c r="O299">
        <v>18.761389000000001</v>
      </c>
      <c r="P299">
        <v>2</v>
      </c>
      <c r="Q299" s="1" t="s">
        <v>569</v>
      </c>
      <c r="R299" s="93">
        <v>14635.76</v>
      </c>
      <c r="S299">
        <v>6864.17</v>
      </c>
      <c r="T299">
        <v>0</v>
      </c>
      <c r="U299" s="1" t="s">
        <v>950</v>
      </c>
      <c r="V299" s="1"/>
      <c r="W299">
        <v>14635.753059999999</v>
      </c>
      <c r="X299">
        <v>0</v>
      </c>
      <c r="Y299">
        <v>77436</v>
      </c>
    </row>
    <row r="300" spans="1:25" ht="15" hidden="1" customHeight="1" x14ac:dyDescent="0.25">
      <c r="A300" s="1" t="s">
        <v>26</v>
      </c>
      <c r="B300" s="1"/>
      <c r="C300" s="1" t="s">
        <v>107</v>
      </c>
      <c r="D300">
        <v>10124</v>
      </c>
      <c r="E300" s="1"/>
      <c r="F300" s="1" t="s">
        <v>359</v>
      </c>
      <c r="G300" s="1" t="s">
        <v>107</v>
      </c>
      <c r="H300" s="1" t="s">
        <v>1405</v>
      </c>
      <c r="I300">
        <v>2008</v>
      </c>
      <c r="J300" s="93">
        <v>31982.720000000001</v>
      </c>
      <c r="K300">
        <v>12</v>
      </c>
      <c r="L300" s="1"/>
      <c r="M300">
        <v>0</v>
      </c>
      <c r="N300">
        <v>780</v>
      </c>
      <c r="O300">
        <v>40.99823</v>
      </c>
      <c r="P300">
        <v>2</v>
      </c>
      <c r="Q300" s="1" t="s">
        <v>569</v>
      </c>
      <c r="R300" s="93">
        <v>31982.720000000001</v>
      </c>
      <c r="S300">
        <v>14999.89</v>
      </c>
      <c r="T300">
        <v>0</v>
      </c>
      <c r="U300" s="1"/>
      <c r="V300" s="1"/>
      <c r="W300">
        <v>31982.712</v>
      </c>
      <c r="X300">
        <v>0</v>
      </c>
      <c r="Y300">
        <v>76939</v>
      </c>
    </row>
    <row r="301" spans="1:25" ht="15" hidden="1" customHeight="1" x14ac:dyDescent="0.25">
      <c r="A301" s="1" t="s">
        <v>26</v>
      </c>
      <c r="B301" s="1"/>
      <c r="C301" s="1" t="s">
        <v>107</v>
      </c>
      <c r="D301">
        <v>10124</v>
      </c>
      <c r="E301" s="1"/>
      <c r="F301" s="1" t="s">
        <v>359</v>
      </c>
      <c r="G301" s="1" t="s">
        <v>107</v>
      </c>
      <c r="H301" s="1" t="s">
        <v>1405</v>
      </c>
      <c r="I301">
        <v>2015</v>
      </c>
      <c r="J301" s="93">
        <f>4541+22000</f>
        <v>26541</v>
      </c>
      <c r="K301">
        <v>5</v>
      </c>
      <c r="L301" s="1"/>
      <c r="M301">
        <v>0</v>
      </c>
      <c r="N301">
        <v>780</v>
      </c>
      <c r="O301">
        <v>5.8210870000000003</v>
      </c>
      <c r="P301">
        <v>2</v>
      </c>
      <c r="Q301" s="1" t="s">
        <v>569</v>
      </c>
      <c r="R301" s="93">
        <v>4541.03</v>
      </c>
      <c r="S301">
        <v>1362.31</v>
      </c>
      <c r="T301">
        <v>0</v>
      </c>
      <c r="U301" s="1"/>
      <c r="V301" s="1"/>
      <c r="W301">
        <v>4541.0280000000002</v>
      </c>
      <c r="X301">
        <v>0</v>
      </c>
      <c r="Y301">
        <v>76939</v>
      </c>
    </row>
    <row r="302" spans="1:25" ht="15" hidden="1" customHeight="1" x14ac:dyDescent="0.25">
      <c r="A302" s="1" t="s">
        <v>26</v>
      </c>
      <c r="B302" s="1"/>
      <c r="C302" s="1" t="s">
        <v>107</v>
      </c>
      <c r="D302">
        <v>10123</v>
      </c>
      <c r="E302" s="1"/>
      <c r="F302" s="1" t="s">
        <v>255</v>
      </c>
      <c r="G302" s="1" t="s">
        <v>107</v>
      </c>
      <c r="H302" s="1" t="s">
        <v>1405</v>
      </c>
      <c r="I302">
        <v>2015</v>
      </c>
      <c r="J302" s="93">
        <v>23444</v>
      </c>
      <c r="K302">
        <v>5</v>
      </c>
      <c r="L302" s="1"/>
      <c r="M302">
        <v>0</v>
      </c>
      <c r="N302">
        <v>1413</v>
      </c>
      <c r="O302">
        <v>7.4733770000000002</v>
      </c>
      <c r="P302">
        <v>2</v>
      </c>
      <c r="Q302" s="1" t="s">
        <v>569</v>
      </c>
      <c r="R302" s="93">
        <v>10560.63</v>
      </c>
      <c r="S302">
        <v>3168.19</v>
      </c>
      <c r="T302">
        <v>0</v>
      </c>
      <c r="U302" s="1" t="s">
        <v>951</v>
      </c>
      <c r="V302" s="1" t="s">
        <v>1244</v>
      </c>
      <c r="W302">
        <v>10560.624</v>
      </c>
      <c r="X302">
        <v>0</v>
      </c>
      <c r="Y302">
        <v>76936</v>
      </c>
    </row>
    <row r="303" spans="1:25" ht="15" hidden="1" customHeight="1" x14ac:dyDescent="0.25">
      <c r="A303" s="1" t="s">
        <v>26</v>
      </c>
      <c r="B303" s="1"/>
      <c r="C303" s="1" t="s">
        <v>107</v>
      </c>
      <c r="D303">
        <v>10123</v>
      </c>
      <c r="E303" s="1"/>
      <c r="F303" s="1" t="s">
        <v>255</v>
      </c>
      <c r="G303" s="1" t="s">
        <v>107</v>
      </c>
      <c r="H303" s="1" t="s">
        <v>1405</v>
      </c>
      <c r="I303">
        <v>2012</v>
      </c>
      <c r="J303" s="93">
        <v>31236.23</v>
      </c>
      <c r="K303">
        <v>12</v>
      </c>
      <c r="L303" s="1"/>
      <c r="M303">
        <v>0</v>
      </c>
      <c r="N303">
        <v>1413</v>
      </c>
      <c r="O303">
        <v>22.104755000000001</v>
      </c>
      <c r="P303">
        <v>2</v>
      </c>
      <c r="Q303" s="1" t="s">
        <v>569</v>
      </c>
      <c r="R303" s="93">
        <v>31236.23</v>
      </c>
      <c r="S303">
        <v>12494.51</v>
      </c>
      <c r="T303">
        <v>0</v>
      </c>
      <c r="U303" s="1" t="s">
        <v>951</v>
      </c>
      <c r="V303" s="1" t="s">
        <v>1244</v>
      </c>
      <c r="W303">
        <v>31236.223999999998</v>
      </c>
      <c r="X303">
        <v>0</v>
      </c>
      <c r="Y303">
        <v>76936</v>
      </c>
    </row>
    <row r="304" spans="1:25" ht="15" hidden="1" customHeight="1" x14ac:dyDescent="0.25">
      <c r="A304" s="1" t="s">
        <v>26</v>
      </c>
      <c r="B304" s="1"/>
      <c r="C304" s="1" t="s">
        <v>107</v>
      </c>
      <c r="D304">
        <v>10123</v>
      </c>
      <c r="E304" s="1"/>
      <c r="F304" s="1" t="s">
        <v>255</v>
      </c>
      <c r="G304" s="1" t="s">
        <v>107</v>
      </c>
      <c r="H304" s="1" t="s">
        <v>1405</v>
      </c>
      <c r="I304">
        <v>2011</v>
      </c>
      <c r="J304" s="93">
        <v>24142.04</v>
      </c>
      <c r="K304">
        <v>12</v>
      </c>
      <c r="L304" s="1"/>
      <c r="M304">
        <v>0</v>
      </c>
      <c r="N304">
        <v>1413</v>
      </c>
      <c r="O304">
        <v>17.084451999999999</v>
      </c>
      <c r="P304">
        <v>2</v>
      </c>
      <c r="Q304" s="1" t="s">
        <v>569</v>
      </c>
      <c r="R304" s="93">
        <v>24142.04</v>
      </c>
      <c r="S304">
        <v>11322.63</v>
      </c>
      <c r="T304">
        <v>0</v>
      </c>
      <c r="U304" s="1" t="s">
        <v>951</v>
      </c>
      <c r="V304" s="1" t="s">
        <v>1244</v>
      </c>
      <c r="W304">
        <v>24142.043000000001</v>
      </c>
      <c r="X304">
        <v>0</v>
      </c>
      <c r="Y304">
        <v>76936</v>
      </c>
    </row>
    <row r="305" spans="1:25" ht="15" hidden="1" customHeight="1" x14ac:dyDescent="0.25">
      <c r="A305" s="1" t="s">
        <v>26</v>
      </c>
      <c r="B305" s="1"/>
      <c r="C305" s="1" t="s">
        <v>107</v>
      </c>
      <c r="D305">
        <v>10123</v>
      </c>
      <c r="E305" s="1"/>
      <c r="F305" s="1" t="s">
        <v>255</v>
      </c>
      <c r="G305" s="1" t="s">
        <v>107</v>
      </c>
      <c r="H305" s="1" t="s">
        <v>1405</v>
      </c>
      <c r="I305">
        <v>2010</v>
      </c>
      <c r="J305" s="93">
        <v>30633.91</v>
      </c>
      <c r="K305">
        <v>12</v>
      </c>
      <c r="L305" s="1"/>
      <c r="M305">
        <v>0</v>
      </c>
      <c r="N305">
        <v>1413</v>
      </c>
      <c r="O305">
        <v>21.678515000000001</v>
      </c>
      <c r="P305">
        <v>2</v>
      </c>
      <c r="Q305" s="1" t="s">
        <v>569</v>
      </c>
      <c r="R305" s="93">
        <v>30633.91</v>
      </c>
      <c r="S305">
        <v>14367.31</v>
      </c>
      <c r="T305">
        <v>0</v>
      </c>
      <c r="U305" s="1" t="s">
        <v>951</v>
      </c>
      <c r="V305" s="1" t="s">
        <v>1244</v>
      </c>
      <c r="W305">
        <v>30633.913</v>
      </c>
      <c r="X305">
        <v>0</v>
      </c>
      <c r="Y305">
        <v>76936</v>
      </c>
    </row>
    <row r="306" spans="1:25" ht="15" hidden="1" customHeight="1" x14ac:dyDescent="0.25">
      <c r="A306" s="1" t="s">
        <v>26</v>
      </c>
      <c r="B306" s="1"/>
      <c r="C306" s="1" t="s">
        <v>107</v>
      </c>
      <c r="D306">
        <v>10123</v>
      </c>
      <c r="E306" s="1"/>
      <c r="F306" s="1" t="s">
        <v>255</v>
      </c>
      <c r="G306" s="1" t="s">
        <v>107</v>
      </c>
      <c r="H306" s="1" t="s">
        <v>1405</v>
      </c>
      <c r="I306">
        <v>2009</v>
      </c>
      <c r="J306" s="93">
        <v>29048.26</v>
      </c>
      <c r="K306">
        <v>12</v>
      </c>
      <c r="L306" s="1"/>
      <c r="M306">
        <v>0</v>
      </c>
      <c r="N306">
        <v>1413</v>
      </c>
      <c r="O306">
        <v>20.556407</v>
      </c>
      <c r="P306">
        <v>2</v>
      </c>
      <c r="Q306" s="1" t="s">
        <v>569</v>
      </c>
      <c r="R306" s="93">
        <v>29048.26</v>
      </c>
      <c r="S306">
        <v>13623.64</v>
      </c>
      <c r="T306">
        <v>0</v>
      </c>
      <c r="U306" s="1" t="s">
        <v>951</v>
      </c>
      <c r="V306" s="1" t="s">
        <v>1244</v>
      </c>
      <c r="W306">
        <v>29048.272000000001</v>
      </c>
      <c r="X306">
        <v>0</v>
      </c>
      <c r="Y306">
        <v>76936</v>
      </c>
    </row>
    <row r="307" spans="1:25" ht="15" hidden="1" customHeight="1" x14ac:dyDescent="0.25">
      <c r="A307" s="1" t="s">
        <v>26</v>
      </c>
      <c r="B307" s="1"/>
      <c r="C307" s="1" t="s">
        <v>107</v>
      </c>
      <c r="D307">
        <v>10123</v>
      </c>
      <c r="E307" s="1"/>
      <c r="F307" s="1" t="s">
        <v>255</v>
      </c>
      <c r="G307" s="1" t="s">
        <v>107</v>
      </c>
      <c r="H307" s="1" t="s">
        <v>1405</v>
      </c>
      <c r="I307">
        <v>2008</v>
      </c>
      <c r="J307" s="93">
        <v>3333.87</v>
      </c>
      <c r="K307">
        <v>1</v>
      </c>
      <c r="L307" s="1" t="s">
        <v>400</v>
      </c>
      <c r="M307">
        <v>0</v>
      </c>
      <c r="N307">
        <v>1413</v>
      </c>
      <c r="O307">
        <v>2.3592590000000002</v>
      </c>
      <c r="P307">
        <v>2</v>
      </c>
      <c r="Q307" s="1" t="s">
        <v>569</v>
      </c>
      <c r="R307" s="93">
        <v>3333.87</v>
      </c>
      <c r="S307">
        <v>1563.59</v>
      </c>
      <c r="T307">
        <v>0</v>
      </c>
      <c r="U307" s="1" t="s">
        <v>950</v>
      </c>
      <c r="V307" s="1"/>
      <c r="W307">
        <v>3333.8709699999999</v>
      </c>
      <c r="X307">
        <v>0</v>
      </c>
      <c r="Y307">
        <v>77797</v>
      </c>
    </row>
    <row r="308" spans="1:25" ht="15" hidden="1" customHeight="1" x14ac:dyDescent="0.25">
      <c r="A308" s="1" t="s">
        <v>26</v>
      </c>
      <c r="B308" s="1"/>
      <c r="C308" s="1" t="s">
        <v>107</v>
      </c>
      <c r="D308">
        <v>10123</v>
      </c>
      <c r="E308" s="1"/>
      <c r="F308" s="1" t="s">
        <v>255</v>
      </c>
      <c r="G308" s="1" t="s">
        <v>107</v>
      </c>
      <c r="H308" s="1" t="s">
        <v>1405</v>
      </c>
      <c r="I308">
        <v>2008</v>
      </c>
      <c r="J308" s="93">
        <v>18133.689999999999</v>
      </c>
      <c r="K308">
        <v>12</v>
      </c>
      <c r="L308" s="1"/>
      <c r="M308">
        <v>0</v>
      </c>
      <c r="N308">
        <v>1413</v>
      </c>
      <c r="O308">
        <v>12.832559</v>
      </c>
      <c r="P308">
        <v>2</v>
      </c>
      <c r="Q308" s="1" t="s">
        <v>569</v>
      </c>
      <c r="R308" s="93">
        <v>18133.689999999999</v>
      </c>
      <c r="S308">
        <v>8504.69</v>
      </c>
      <c r="T308">
        <v>0</v>
      </c>
      <c r="U308" s="1" t="s">
        <v>951</v>
      </c>
      <c r="V308" s="1" t="s">
        <v>1244</v>
      </c>
      <c r="W308">
        <v>18133.698700000001</v>
      </c>
      <c r="X308">
        <v>0</v>
      </c>
      <c r="Y308">
        <v>76936</v>
      </c>
    </row>
    <row r="309" spans="1:25" ht="15" hidden="1" customHeight="1" x14ac:dyDescent="0.25">
      <c r="A309" s="1" t="s">
        <v>26</v>
      </c>
      <c r="B309" s="1" t="s">
        <v>47</v>
      </c>
      <c r="C309" s="1" t="s">
        <v>108</v>
      </c>
      <c r="D309">
        <v>6070</v>
      </c>
      <c r="E309" s="1"/>
      <c r="F309" s="1" t="s">
        <v>108</v>
      </c>
      <c r="G309" s="1" t="s">
        <v>108</v>
      </c>
      <c r="H309" s="1" t="s">
        <v>1405</v>
      </c>
      <c r="I309">
        <v>2008</v>
      </c>
      <c r="J309" s="93">
        <v>10038.75</v>
      </c>
      <c r="K309">
        <v>11</v>
      </c>
      <c r="L309" s="1" t="s">
        <v>401</v>
      </c>
      <c r="M309">
        <v>0</v>
      </c>
      <c r="N309">
        <v>800</v>
      </c>
      <c r="O309">
        <v>12.546868999999999</v>
      </c>
      <c r="P309">
        <v>2</v>
      </c>
      <c r="Q309" s="1" t="s">
        <v>569</v>
      </c>
      <c r="R309" s="93">
        <v>10038.75</v>
      </c>
      <c r="S309">
        <v>4708.18</v>
      </c>
      <c r="T309">
        <v>0</v>
      </c>
      <c r="U309" s="1" t="s">
        <v>952</v>
      </c>
      <c r="V309" s="1" t="s">
        <v>1245</v>
      </c>
      <c r="W309">
        <v>10038.763419999999</v>
      </c>
      <c r="X309">
        <v>0</v>
      </c>
      <c r="Y309">
        <v>60879</v>
      </c>
    </row>
    <row r="310" spans="1:25" ht="15" hidden="1" customHeight="1" x14ac:dyDescent="0.25">
      <c r="A310" s="1" t="s">
        <v>26</v>
      </c>
      <c r="B310" s="1" t="s">
        <v>47</v>
      </c>
      <c r="C310" s="1" t="s">
        <v>108</v>
      </c>
      <c r="D310">
        <v>6070</v>
      </c>
      <c r="E310" s="1"/>
      <c r="F310" s="1" t="s">
        <v>108</v>
      </c>
      <c r="G310" s="1" t="s">
        <v>108</v>
      </c>
      <c r="H310" s="1" t="s">
        <v>1405</v>
      </c>
      <c r="I310">
        <v>2009</v>
      </c>
      <c r="J310" s="93">
        <v>10333</v>
      </c>
      <c r="K310">
        <v>12</v>
      </c>
      <c r="L310" s="1" t="s">
        <v>401</v>
      </c>
      <c r="M310">
        <v>0</v>
      </c>
      <c r="N310">
        <v>800</v>
      </c>
      <c r="O310">
        <v>12.914635000000001</v>
      </c>
      <c r="P310">
        <v>2</v>
      </c>
      <c r="Q310" s="1" t="s">
        <v>569</v>
      </c>
      <c r="R310" s="93">
        <v>10333</v>
      </c>
      <c r="S310">
        <v>4846.1899999999996</v>
      </c>
      <c r="T310">
        <v>0</v>
      </c>
      <c r="U310" s="1" t="s">
        <v>952</v>
      </c>
      <c r="V310" s="1" t="s">
        <v>1245</v>
      </c>
      <c r="W310">
        <v>10332.990470000001</v>
      </c>
      <c r="X310">
        <v>0</v>
      </c>
      <c r="Y310">
        <v>60879</v>
      </c>
    </row>
    <row r="311" spans="1:25" ht="15" hidden="1" customHeight="1" x14ac:dyDescent="0.25">
      <c r="A311" s="1" t="s">
        <v>26</v>
      </c>
      <c r="B311" s="1" t="s">
        <v>47</v>
      </c>
      <c r="C311" s="1" t="s">
        <v>108</v>
      </c>
      <c r="D311">
        <v>6070</v>
      </c>
      <c r="E311" s="1"/>
      <c r="F311" s="1" t="s">
        <v>108</v>
      </c>
      <c r="G311" s="1" t="s">
        <v>108</v>
      </c>
      <c r="H311" s="1" t="s">
        <v>1405</v>
      </c>
      <c r="I311">
        <v>2010</v>
      </c>
      <c r="J311" s="93">
        <v>12026.14</v>
      </c>
      <c r="K311">
        <v>12</v>
      </c>
      <c r="L311" s="1" t="s">
        <v>401</v>
      </c>
      <c r="M311">
        <v>0</v>
      </c>
      <c r="N311">
        <v>800</v>
      </c>
      <c r="O311">
        <v>15.030796</v>
      </c>
      <c r="P311">
        <v>2</v>
      </c>
      <c r="Q311" s="1" t="s">
        <v>569</v>
      </c>
      <c r="R311" s="93">
        <v>12026.14</v>
      </c>
      <c r="S311">
        <v>5640.25</v>
      </c>
      <c r="T311">
        <v>0</v>
      </c>
      <c r="U311" s="1" t="s">
        <v>952</v>
      </c>
      <c r="V311" s="1" t="s">
        <v>1245</v>
      </c>
      <c r="W311">
        <v>12026.14285</v>
      </c>
      <c r="X311">
        <v>0</v>
      </c>
      <c r="Y311">
        <v>60879</v>
      </c>
    </row>
    <row r="312" spans="1:25" ht="15" hidden="1" customHeight="1" x14ac:dyDescent="0.25">
      <c r="A312" s="1" t="s">
        <v>26</v>
      </c>
      <c r="B312" s="1" t="s">
        <v>47</v>
      </c>
      <c r="C312" s="1" t="s">
        <v>108</v>
      </c>
      <c r="D312">
        <v>6070</v>
      </c>
      <c r="E312" s="1"/>
      <c r="F312" s="1" t="s">
        <v>108</v>
      </c>
      <c r="G312" s="1" t="s">
        <v>108</v>
      </c>
      <c r="H312" s="1" t="s">
        <v>1405</v>
      </c>
      <c r="I312">
        <v>2011</v>
      </c>
      <c r="J312" s="93">
        <v>9310.81</v>
      </c>
      <c r="K312">
        <v>11</v>
      </c>
      <c r="L312" s="1" t="s">
        <v>401</v>
      </c>
      <c r="M312">
        <v>0</v>
      </c>
      <c r="N312">
        <v>800</v>
      </c>
      <c r="O312">
        <v>11.637057</v>
      </c>
      <c r="P312">
        <v>2</v>
      </c>
      <c r="Q312" s="1" t="s">
        <v>569</v>
      </c>
      <c r="R312" s="93">
        <v>9310.81</v>
      </c>
      <c r="S312">
        <v>4366.78</v>
      </c>
      <c r="T312">
        <v>0</v>
      </c>
      <c r="U312" s="1" t="s">
        <v>952</v>
      </c>
      <c r="V312" s="1" t="s">
        <v>1245</v>
      </c>
      <c r="W312">
        <v>9310.8140299999995</v>
      </c>
      <c r="X312">
        <v>0</v>
      </c>
      <c r="Y312">
        <v>60879</v>
      </c>
    </row>
    <row r="313" spans="1:25" ht="15" hidden="1" customHeight="1" x14ac:dyDescent="0.25">
      <c r="A313" s="1" t="s">
        <v>26</v>
      </c>
      <c r="B313" s="1" t="s">
        <v>47</v>
      </c>
      <c r="C313" s="1" t="s">
        <v>108</v>
      </c>
      <c r="D313">
        <v>6070</v>
      </c>
      <c r="E313" s="1"/>
      <c r="F313" s="1" t="s">
        <v>108</v>
      </c>
      <c r="G313" s="1" t="s">
        <v>108</v>
      </c>
      <c r="H313" s="1" t="s">
        <v>1405</v>
      </c>
      <c r="I313">
        <v>2012</v>
      </c>
      <c r="J313" s="93">
        <v>9901.52</v>
      </c>
      <c r="K313">
        <v>12</v>
      </c>
      <c r="L313" s="1" t="s">
        <v>401</v>
      </c>
      <c r="M313">
        <v>0</v>
      </c>
      <c r="N313">
        <v>800</v>
      </c>
      <c r="O313">
        <v>12.375353</v>
      </c>
      <c r="P313">
        <v>2</v>
      </c>
      <c r="Q313" s="1" t="s">
        <v>569</v>
      </c>
      <c r="R313" s="93">
        <v>9901.52</v>
      </c>
      <c r="S313">
        <v>3960.6</v>
      </c>
      <c r="T313">
        <v>0</v>
      </c>
      <c r="U313" s="1" t="s">
        <v>952</v>
      </c>
      <c r="V313" s="1" t="s">
        <v>1245</v>
      </c>
      <c r="W313">
        <v>9901.5192999999999</v>
      </c>
      <c r="X313">
        <v>0</v>
      </c>
      <c r="Y313">
        <v>60879</v>
      </c>
    </row>
    <row r="314" spans="1:25" ht="15" hidden="1" customHeight="1" x14ac:dyDescent="0.25">
      <c r="A314" s="1" t="s">
        <v>26</v>
      </c>
      <c r="B314" s="1" t="s">
        <v>47</v>
      </c>
      <c r="C314" s="1" t="s">
        <v>108</v>
      </c>
      <c r="D314">
        <v>6070</v>
      </c>
      <c r="E314" s="1"/>
      <c r="F314" s="1" t="s">
        <v>108</v>
      </c>
      <c r="G314" s="1" t="s">
        <v>108</v>
      </c>
      <c r="H314" s="1" t="s">
        <v>1405</v>
      </c>
      <c r="I314">
        <v>2013</v>
      </c>
      <c r="J314" s="93">
        <v>10243.34</v>
      </c>
      <c r="K314">
        <v>12</v>
      </c>
      <c r="L314" s="1" t="s">
        <v>401</v>
      </c>
      <c r="M314">
        <v>0</v>
      </c>
      <c r="N314">
        <v>800</v>
      </c>
      <c r="O314">
        <v>12.802574</v>
      </c>
      <c r="P314">
        <v>2</v>
      </c>
      <c r="Q314" s="1" t="s">
        <v>569</v>
      </c>
      <c r="R314" s="93">
        <v>10243.34</v>
      </c>
      <c r="S314">
        <v>4097.34</v>
      </c>
      <c r="T314">
        <v>0</v>
      </c>
      <c r="U314" s="1" t="s">
        <v>952</v>
      </c>
      <c r="V314" s="1" t="s">
        <v>1245</v>
      </c>
      <c r="W314">
        <v>10243.333339999999</v>
      </c>
      <c r="X314">
        <v>0</v>
      </c>
      <c r="Y314">
        <v>60879</v>
      </c>
    </row>
    <row r="315" spans="1:25" ht="15" hidden="1" customHeight="1" x14ac:dyDescent="0.25">
      <c r="A315" s="1" t="s">
        <v>26</v>
      </c>
      <c r="B315" s="1" t="s">
        <v>47</v>
      </c>
      <c r="C315" s="1" t="s">
        <v>108</v>
      </c>
      <c r="D315">
        <v>6070</v>
      </c>
      <c r="E315" s="1"/>
      <c r="F315" s="1" t="s">
        <v>108</v>
      </c>
      <c r="G315" s="1" t="s">
        <v>108</v>
      </c>
      <c r="H315" s="1" t="s">
        <v>1405</v>
      </c>
      <c r="I315">
        <v>2014</v>
      </c>
      <c r="J315" s="93">
        <v>7547.76</v>
      </c>
      <c r="K315">
        <v>12</v>
      </c>
      <c r="L315" s="1" t="s">
        <v>401</v>
      </c>
      <c r="M315">
        <v>0</v>
      </c>
      <c r="N315">
        <v>800</v>
      </c>
      <c r="O315">
        <v>9.4335199999999997</v>
      </c>
      <c r="P315">
        <v>2</v>
      </c>
      <c r="Q315" s="1" t="s">
        <v>569</v>
      </c>
      <c r="R315" s="93">
        <v>7547.76</v>
      </c>
      <c r="S315">
        <v>3019.09</v>
      </c>
      <c r="T315">
        <v>0</v>
      </c>
      <c r="U315" s="1" t="s">
        <v>952</v>
      </c>
      <c r="V315" s="1" t="s">
        <v>1245</v>
      </c>
      <c r="W315">
        <v>7547.7619000000004</v>
      </c>
      <c r="X315">
        <v>0</v>
      </c>
      <c r="Y315">
        <v>60879</v>
      </c>
    </row>
    <row r="316" spans="1:25" ht="15" hidden="1" customHeight="1" x14ac:dyDescent="0.25">
      <c r="A316" s="1" t="s">
        <v>26</v>
      </c>
      <c r="B316" s="1" t="s">
        <v>47</v>
      </c>
      <c r="C316" s="1" t="s">
        <v>108</v>
      </c>
      <c r="D316">
        <v>6070</v>
      </c>
      <c r="E316" s="1"/>
      <c r="F316" s="1" t="s">
        <v>108</v>
      </c>
      <c r="G316" s="1" t="s">
        <v>108</v>
      </c>
      <c r="H316" s="1" t="s">
        <v>1405</v>
      </c>
      <c r="I316">
        <v>2014</v>
      </c>
      <c r="J316" s="93">
        <v>125.39</v>
      </c>
      <c r="K316">
        <v>12</v>
      </c>
      <c r="L316" s="1" t="s">
        <v>401</v>
      </c>
      <c r="M316">
        <v>0</v>
      </c>
      <c r="N316">
        <v>800</v>
      </c>
      <c r="O316">
        <v>0.156717</v>
      </c>
      <c r="P316">
        <v>3</v>
      </c>
      <c r="Q316" s="1" t="s">
        <v>560</v>
      </c>
      <c r="R316" s="93">
        <v>125.39</v>
      </c>
      <c r="S316">
        <v>100.28</v>
      </c>
      <c r="T316">
        <v>0</v>
      </c>
      <c r="U316" s="1" t="s">
        <v>584</v>
      </c>
      <c r="V316" s="1"/>
      <c r="W316">
        <v>125.37174</v>
      </c>
      <c r="X316">
        <v>0</v>
      </c>
      <c r="Y316">
        <v>60881</v>
      </c>
    </row>
    <row r="317" spans="1:25" ht="15" hidden="1" customHeight="1" x14ac:dyDescent="0.25">
      <c r="A317" s="1" t="s">
        <v>26</v>
      </c>
      <c r="B317" s="1" t="s">
        <v>47</v>
      </c>
      <c r="C317" s="1" t="s">
        <v>108</v>
      </c>
      <c r="D317">
        <v>6070</v>
      </c>
      <c r="E317" s="1"/>
      <c r="F317" s="1" t="s">
        <v>108</v>
      </c>
      <c r="G317" s="1" t="s">
        <v>108</v>
      </c>
      <c r="H317" s="1" t="s">
        <v>1405</v>
      </c>
      <c r="I317">
        <v>2015</v>
      </c>
      <c r="J317" s="93">
        <v>7387</v>
      </c>
      <c r="K317">
        <v>5</v>
      </c>
      <c r="L317" s="1" t="s">
        <v>401</v>
      </c>
      <c r="M317">
        <v>0</v>
      </c>
      <c r="N317">
        <v>800</v>
      </c>
      <c r="O317">
        <v>4.2391819999999996</v>
      </c>
      <c r="P317">
        <v>2</v>
      </c>
      <c r="Q317" s="1" t="s">
        <v>569</v>
      </c>
      <c r="R317" s="93">
        <v>3391.77</v>
      </c>
      <c r="S317">
        <v>1356.7</v>
      </c>
      <c r="T317">
        <v>0</v>
      </c>
      <c r="U317" s="1" t="s">
        <v>952</v>
      </c>
      <c r="V317" s="1" t="s">
        <v>1245</v>
      </c>
      <c r="W317">
        <v>3391.7714299999998</v>
      </c>
      <c r="X317">
        <v>0</v>
      </c>
      <c r="Y317">
        <v>60879</v>
      </c>
    </row>
    <row r="318" spans="1:25" ht="15" hidden="1" customHeight="1" x14ac:dyDescent="0.25">
      <c r="A318" s="1" t="s">
        <v>27</v>
      </c>
      <c r="B318" s="1" t="s">
        <v>48</v>
      </c>
      <c r="C318" s="1" t="s">
        <v>109</v>
      </c>
      <c r="D318">
        <v>5244</v>
      </c>
      <c r="E318" s="1"/>
      <c r="F318" s="1" t="s">
        <v>256</v>
      </c>
      <c r="G318" s="1" t="s">
        <v>256</v>
      </c>
      <c r="H318" s="1" t="s">
        <v>1405</v>
      </c>
      <c r="I318">
        <v>2014</v>
      </c>
      <c r="J318" s="93">
        <v>125.83</v>
      </c>
      <c r="K318">
        <v>12</v>
      </c>
      <c r="L318" s="1" t="s">
        <v>402</v>
      </c>
      <c r="M318">
        <v>0</v>
      </c>
      <c r="N318">
        <v>560</v>
      </c>
      <c r="O318">
        <v>0.22465599999999999</v>
      </c>
      <c r="P318">
        <v>3</v>
      </c>
      <c r="Q318" s="1" t="s">
        <v>560</v>
      </c>
      <c r="R318" s="93">
        <v>125.83</v>
      </c>
      <c r="S318">
        <v>100.67</v>
      </c>
      <c r="T318">
        <v>0</v>
      </c>
      <c r="U318" s="1" t="s">
        <v>585</v>
      </c>
      <c r="V318" s="1"/>
      <c r="W318">
        <v>125.842</v>
      </c>
      <c r="X318">
        <v>0</v>
      </c>
      <c r="Y318">
        <v>56615</v>
      </c>
    </row>
    <row r="319" spans="1:25" ht="15" hidden="1" customHeight="1" x14ac:dyDescent="0.25">
      <c r="A319" s="1" t="s">
        <v>27</v>
      </c>
      <c r="B319" s="1" t="s">
        <v>48</v>
      </c>
      <c r="C319" s="1" t="s">
        <v>109</v>
      </c>
      <c r="D319">
        <v>5244</v>
      </c>
      <c r="E319" s="1"/>
      <c r="F319" s="1" t="s">
        <v>256</v>
      </c>
      <c r="G319" s="1" t="s">
        <v>256</v>
      </c>
      <c r="H319" s="1" t="s">
        <v>1405</v>
      </c>
      <c r="I319">
        <v>2014</v>
      </c>
      <c r="J319" s="93">
        <f>32112+1500</f>
        <v>33612</v>
      </c>
      <c r="K319">
        <v>12</v>
      </c>
      <c r="L319" s="1" t="s">
        <v>466</v>
      </c>
      <c r="M319">
        <v>0</v>
      </c>
      <c r="N319">
        <v>560</v>
      </c>
      <c r="O319">
        <v>57.332619000000001</v>
      </c>
      <c r="P319">
        <v>1</v>
      </c>
      <c r="Q319" s="1" t="s">
        <v>562</v>
      </c>
      <c r="R319" s="93">
        <f>38338.67+1500</f>
        <v>39838.67</v>
      </c>
      <c r="S319">
        <v>2409822.5699999998</v>
      </c>
      <c r="T319">
        <v>0</v>
      </c>
      <c r="U319" s="1" t="s">
        <v>762</v>
      </c>
      <c r="V319" s="1"/>
      <c r="W319">
        <v>32112</v>
      </c>
      <c r="X319">
        <v>0</v>
      </c>
      <c r="Y319">
        <v>56614</v>
      </c>
    </row>
    <row r="320" spans="1:25" ht="15" hidden="1" customHeight="1" x14ac:dyDescent="0.25">
      <c r="A320" s="1" t="s">
        <v>27</v>
      </c>
      <c r="B320" s="1" t="s">
        <v>48</v>
      </c>
      <c r="C320" s="1" t="s">
        <v>109</v>
      </c>
      <c r="D320">
        <v>5244</v>
      </c>
      <c r="E320" s="1"/>
      <c r="F320" s="1" t="s">
        <v>256</v>
      </c>
      <c r="G320" s="1" t="s">
        <v>256</v>
      </c>
      <c r="H320" s="1" t="s">
        <v>1405</v>
      </c>
      <c r="I320">
        <v>2014</v>
      </c>
      <c r="J320" s="93">
        <v>13486</v>
      </c>
      <c r="K320">
        <v>12</v>
      </c>
      <c r="L320" s="1" t="s">
        <v>402</v>
      </c>
      <c r="M320">
        <v>0</v>
      </c>
      <c r="N320">
        <v>560</v>
      </c>
      <c r="O320">
        <v>24.077843000000001</v>
      </c>
      <c r="P320">
        <v>2</v>
      </c>
      <c r="Q320" s="1" t="s">
        <v>569</v>
      </c>
      <c r="R320" s="93">
        <v>13486</v>
      </c>
      <c r="S320">
        <v>5394.4</v>
      </c>
      <c r="T320">
        <v>0</v>
      </c>
      <c r="U320" s="1" t="s">
        <v>953</v>
      </c>
      <c r="V320" s="1"/>
      <c r="W320">
        <v>13486</v>
      </c>
      <c r="X320">
        <v>0</v>
      </c>
      <c r="Y320">
        <v>57569</v>
      </c>
    </row>
    <row r="321" spans="1:25" ht="15" hidden="1" customHeight="1" x14ac:dyDescent="0.25">
      <c r="A321" s="1" t="s">
        <v>27</v>
      </c>
      <c r="B321" s="1" t="s">
        <v>48</v>
      </c>
      <c r="C321" s="1" t="s">
        <v>109</v>
      </c>
      <c r="D321">
        <v>5244</v>
      </c>
      <c r="E321" s="1"/>
      <c r="F321" s="1" t="s">
        <v>256</v>
      </c>
      <c r="G321" s="1" t="s">
        <v>256</v>
      </c>
      <c r="H321" s="1" t="s">
        <v>1405</v>
      </c>
      <c r="I321">
        <v>2015</v>
      </c>
      <c r="J321" s="93">
        <v>238</v>
      </c>
      <c r="K321">
        <v>5</v>
      </c>
      <c r="L321" s="1" t="s">
        <v>402</v>
      </c>
      <c r="M321">
        <v>0</v>
      </c>
      <c r="N321">
        <v>560</v>
      </c>
      <c r="O321">
        <v>0.163774</v>
      </c>
      <c r="P321">
        <v>3</v>
      </c>
      <c r="Q321" s="1" t="s">
        <v>560</v>
      </c>
      <c r="R321" s="93">
        <v>91.73</v>
      </c>
      <c r="S321">
        <v>73.38</v>
      </c>
      <c r="T321">
        <v>0</v>
      </c>
      <c r="U321" s="1" t="s">
        <v>585</v>
      </c>
      <c r="V321" s="1"/>
      <c r="W321">
        <v>91.72</v>
      </c>
      <c r="X321">
        <v>0</v>
      </c>
      <c r="Y321">
        <v>56615</v>
      </c>
    </row>
    <row r="322" spans="1:25" ht="15" hidden="1" customHeight="1" x14ac:dyDescent="0.25">
      <c r="A322" s="1" t="s">
        <v>27</v>
      </c>
      <c r="B322" s="1" t="s">
        <v>48</v>
      </c>
      <c r="C322" s="1" t="s">
        <v>109</v>
      </c>
      <c r="D322">
        <v>5244</v>
      </c>
      <c r="E322" s="1"/>
      <c r="F322" s="1" t="s">
        <v>256</v>
      </c>
      <c r="G322" s="1" t="s">
        <v>256</v>
      </c>
      <c r="H322" s="1" t="s">
        <v>1396</v>
      </c>
      <c r="I322">
        <v>2014</v>
      </c>
      <c r="J322" s="93">
        <v>28913.34</v>
      </c>
      <c r="K322">
        <v>12</v>
      </c>
      <c r="L322" s="1" t="s">
        <v>466</v>
      </c>
      <c r="M322">
        <v>0</v>
      </c>
      <c r="N322">
        <v>560</v>
      </c>
      <c r="O322">
        <v>51.621746000000002</v>
      </c>
      <c r="P322">
        <v>1</v>
      </c>
      <c r="Q322" s="1" t="s">
        <v>563</v>
      </c>
      <c r="R322" s="93">
        <v>34467.69</v>
      </c>
      <c r="S322">
        <v>64543.48</v>
      </c>
      <c r="T322">
        <v>1</v>
      </c>
      <c r="U322" s="1" t="s">
        <v>762</v>
      </c>
      <c r="V322" s="1"/>
      <c r="W322">
        <v>828.7</v>
      </c>
      <c r="X322">
        <v>0</v>
      </c>
      <c r="Y322">
        <v>56993</v>
      </c>
    </row>
    <row r="323" spans="1:25" ht="15" hidden="1" customHeight="1" x14ac:dyDescent="0.25">
      <c r="A323" s="1" t="s">
        <v>27</v>
      </c>
      <c r="B323" s="1" t="s">
        <v>48</v>
      </c>
      <c r="C323" s="1" t="s">
        <v>109</v>
      </c>
      <c r="D323">
        <v>5244</v>
      </c>
      <c r="E323" s="1"/>
      <c r="F323" s="1" t="s">
        <v>256</v>
      </c>
      <c r="G323" s="1" t="s">
        <v>256</v>
      </c>
      <c r="H323" s="1" t="s">
        <v>1405</v>
      </c>
      <c r="I323">
        <v>2013</v>
      </c>
      <c r="J323" s="93">
        <v>247.55</v>
      </c>
      <c r="K323">
        <v>12</v>
      </c>
      <c r="L323" s="1" t="s">
        <v>402</v>
      </c>
      <c r="M323">
        <v>0</v>
      </c>
      <c r="N323">
        <v>560</v>
      </c>
      <c r="O323">
        <v>0.44197399999999998</v>
      </c>
      <c r="P323">
        <v>3</v>
      </c>
      <c r="Q323" s="1" t="s">
        <v>560</v>
      </c>
      <c r="R323" s="93">
        <v>247.55</v>
      </c>
      <c r="S323">
        <v>198.06</v>
      </c>
      <c r="T323">
        <v>0</v>
      </c>
      <c r="U323" s="1" t="s">
        <v>585</v>
      </c>
      <c r="V323" s="1"/>
      <c r="W323">
        <v>247.54599999999999</v>
      </c>
      <c r="X323">
        <v>0</v>
      </c>
      <c r="Y323">
        <v>56615</v>
      </c>
    </row>
    <row r="324" spans="1:25" ht="15" hidden="1" customHeight="1" x14ac:dyDescent="0.25">
      <c r="A324" s="1" t="s">
        <v>27</v>
      </c>
      <c r="B324" s="1" t="s">
        <v>48</v>
      </c>
      <c r="C324" s="1" t="s">
        <v>109</v>
      </c>
      <c r="D324">
        <v>5244</v>
      </c>
      <c r="E324" s="1"/>
      <c r="F324" s="1" t="s">
        <v>256</v>
      </c>
      <c r="G324" s="1" t="s">
        <v>256</v>
      </c>
      <c r="H324" s="1" t="s">
        <v>1405</v>
      </c>
      <c r="I324">
        <v>2012</v>
      </c>
      <c r="J324" s="93">
        <v>242.19</v>
      </c>
      <c r="K324">
        <v>12</v>
      </c>
      <c r="L324" s="1" t="s">
        <v>402</v>
      </c>
      <c r="M324">
        <v>0</v>
      </c>
      <c r="N324">
        <v>560</v>
      </c>
      <c r="O324">
        <v>0.43240400000000001</v>
      </c>
      <c r="P324">
        <v>3</v>
      </c>
      <c r="Q324" s="1" t="s">
        <v>560</v>
      </c>
      <c r="R324" s="93">
        <v>242.19</v>
      </c>
      <c r="S324">
        <v>193.76</v>
      </c>
      <c r="T324">
        <v>0</v>
      </c>
      <c r="U324" s="1" t="s">
        <v>585</v>
      </c>
      <c r="V324" s="1"/>
      <c r="W324">
        <v>242.20599999999999</v>
      </c>
      <c r="X324">
        <v>0</v>
      </c>
      <c r="Y324">
        <v>56615</v>
      </c>
    </row>
    <row r="325" spans="1:25" ht="15" hidden="1" customHeight="1" x14ac:dyDescent="0.25">
      <c r="A325" s="1" t="s">
        <v>27</v>
      </c>
      <c r="B325" s="1" t="s">
        <v>48</v>
      </c>
      <c r="C325" s="1" t="s">
        <v>109</v>
      </c>
      <c r="D325">
        <v>5244</v>
      </c>
      <c r="E325" s="1"/>
      <c r="F325" s="1" t="s">
        <v>256</v>
      </c>
      <c r="G325" s="1" t="s">
        <v>256</v>
      </c>
      <c r="H325" s="1" t="s">
        <v>1405</v>
      </c>
      <c r="I325">
        <v>2011</v>
      </c>
      <c r="J325" s="93">
        <v>237.22</v>
      </c>
      <c r="K325">
        <v>12</v>
      </c>
      <c r="L325" s="1" t="s">
        <v>402</v>
      </c>
      <c r="M325">
        <v>0</v>
      </c>
      <c r="N325">
        <v>560</v>
      </c>
      <c r="O325">
        <v>0.42353099999999999</v>
      </c>
      <c r="P325">
        <v>3</v>
      </c>
      <c r="Q325" s="1" t="s">
        <v>560</v>
      </c>
      <c r="R325" s="93">
        <v>237.22</v>
      </c>
      <c r="S325">
        <v>189.78</v>
      </c>
      <c r="T325">
        <v>0</v>
      </c>
      <c r="U325" s="1" t="s">
        <v>585</v>
      </c>
      <c r="V325" s="1"/>
      <c r="W325">
        <v>237.22499999999999</v>
      </c>
      <c r="X325">
        <v>0</v>
      </c>
      <c r="Y325">
        <v>56615</v>
      </c>
    </row>
    <row r="326" spans="1:25" ht="15" hidden="1" customHeight="1" x14ac:dyDescent="0.25">
      <c r="A326" s="1" t="s">
        <v>27</v>
      </c>
      <c r="B326" s="1" t="s">
        <v>48</v>
      </c>
      <c r="C326" s="1" t="s">
        <v>109</v>
      </c>
      <c r="D326">
        <v>5244</v>
      </c>
      <c r="E326" s="1"/>
      <c r="F326" s="1" t="s">
        <v>256</v>
      </c>
      <c r="G326" s="1" t="s">
        <v>256</v>
      </c>
      <c r="H326" s="1" t="s">
        <v>1405</v>
      </c>
      <c r="I326">
        <v>2010</v>
      </c>
      <c r="J326" s="93">
        <v>191.77</v>
      </c>
      <c r="K326">
        <v>12</v>
      </c>
      <c r="L326" s="1" t="s">
        <v>402</v>
      </c>
      <c r="M326">
        <v>0</v>
      </c>
      <c r="N326">
        <v>560</v>
      </c>
      <c r="O326">
        <v>0.34238499999999999</v>
      </c>
      <c r="P326">
        <v>3</v>
      </c>
      <c r="Q326" s="1" t="s">
        <v>560</v>
      </c>
      <c r="R326" s="93">
        <v>191.77</v>
      </c>
      <c r="S326">
        <v>153.38</v>
      </c>
      <c r="T326">
        <v>0</v>
      </c>
      <c r="U326" s="1" t="s">
        <v>585</v>
      </c>
      <c r="V326" s="1"/>
      <c r="W326">
        <v>191.751</v>
      </c>
      <c r="X326">
        <v>0</v>
      </c>
      <c r="Y326">
        <v>56615</v>
      </c>
    </row>
    <row r="327" spans="1:25" ht="15" hidden="1" customHeight="1" x14ac:dyDescent="0.25">
      <c r="A327" s="1" t="s">
        <v>27</v>
      </c>
      <c r="B327" s="1" t="s">
        <v>48</v>
      </c>
      <c r="C327" s="1" t="s">
        <v>109</v>
      </c>
      <c r="D327">
        <v>5244</v>
      </c>
      <c r="E327" s="1"/>
      <c r="F327" s="1" t="s">
        <v>256</v>
      </c>
      <c r="G327" s="1" t="s">
        <v>256</v>
      </c>
      <c r="H327" s="1" t="s">
        <v>1405</v>
      </c>
      <c r="I327">
        <v>2009</v>
      </c>
      <c r="J327" s="93">
        <v>305.60000000000002</v>
      </c>
      <c r="K327">
        <v>12</v>
      </c>
      <c r="L327" s="1" t="s">
        <v>402</v>
      </c>
      <c r="M327">
        <v>0</v>
      </c>
      <c r="N327">
        <v>560</v>
      </c>
      <c r="O327">
        <v>0.54561599999999999</v>
      </c>
      <c r="P327">
        <v>3</v>
      </c>
      <c r="Q327" s="1" t="s">
        <v>560</v>
      </c>
      <c r="R327" s="93">
        <v>305.60000000000002</v>
      </c>
      <c r="S327">
        <v>244.46</v>
      </c>
      <c r="T327">
        <v>0</v>
      </c>
      <c r="U327" s="1" t="s">
        <v>585</v>
      </c>
      <c r="V327" s="1"/>
      <c r="W327">
        <v>305.59100000000001</v>
      </c>
      <c r="X327">
        <v>0</v>
      </c>
      <c r="Y327">
        <v>56615</v>
      </c>
    </row>
    <row r="328" spans="1:25" ht="15" hidden="1" customHeight="1" x14ac:dyDescent="0.25">
      <c r="A328" s="1" t="s">
        <v>27</v>
      </c>
      <c r="B328" s="1" t="s">
        <v>48</v>
      </c>
      <c r="C328" s="1" t="s">
        <v>109</v>
      </c>
      <c r="D328">
        <v>5244</v>
      </c>
      <c r="E328" s="1"/>
      <c r="F328" s="1" t="s">
        <v>256</v>
      </c>
      <c r="G328" s="1" t="s">
        <v>256</v>
      </c>
      <c r="H328" s="1" t="s">
        <v>1405</v>
      </c>
      <c r="I328">
        <v>2008</v>
      </c>
      <c r="J328" s="93">
        <v>286.5</v>
      </c>
      <c r="K328">
        <v>12</v>
      </c>
      <c r="L328" s="1" t="s">
        <v>402</v>
      </c>
      <c r="M328">
        <v>0</v>
      </c>
      <c r="N328">
        <v>560</v>
      </c>
      <c r="O328">
        <v>0.51151500000000005</v>
      </c>
      <c r="P328">
        <v>3</v>
      </c>
      <c r="Q328" s="1" t="s">
        <v>560</v>
      </c>
      <c r="R328" s="93">
        <v>286.5</v>
      </c>
      <c r="S328">
        <v>229.2</v>
      </c>
      <c r="T328">
        <v>0</v>
      </c>
      <c r="U328" s="1" t="s">
        <v>585</v>
      </c>
      <c r="V328" s="1"/>
      <c r="W328">
        <v>286.5</v>
      </c>
      <c r="X328">
        <v>0</v>
      </c>
      <c r="Y328">
        <v>56615</v>
      </c>
    </row>
    <row r="329" spans="1:25" ht="15" hidden="1" customHeight="1" x14ac:dyDescent="0.25">
      <c r="A329" s="1" t="s">
        <v>27</v>
      </c>
      <c r="B329" s="1"/>
      <c r="C329" s="1" t="s">
        <v>110</v>
      </c>
      <c r="D329">
        <v>9965</v>
      </c>
      <c r="E329" s="1"/>
      <c r="F329" s="1" t="s">
        <v>110</v>
      </c>
      <c r="G329" s="1" t="s">
        <v>110</v>
      </c>
      <c r="H329" s="1" t="s">
        <v>1405</v>
      </c>
      <c r="I329">
        <v>2015</v>
      </c>
      <c r="J329" s="93">
        <v>353</v>
      </c>
      <c r="K329">
        <v>5</v>
      </c>
      <c r="L329" s="1" t="s">
        <v>403</v>
      </c>
      <c r="M329">
        <v>0</v>
      </c>
      <c r="N329">
        <v>715</v>
      </c>
      <c r="O329">
        <v>0.19311900000000001</v>
      </c>
      <c r="P329">
        <v>3</v>
      </c>
      <c r="Q329" s="1" t="s">
        <v>560</v>
      </c>
      <c r="R329" s="93">
        <v>138.1</v>
      </c>
      <c r="S329">
        <v>110.48</v>
      </c>
      <c r="T329">
        <v>0</v>
      </c>
      <c r="U329" s="1"/>
      <c r="V329" s="1"/>
      <c r="W329">
        <v>138.1</v>
      </c>
      <c r="X329">
        <v>0</v>
      </c>
      <c r="Y329">
        <v>76373</v>
      </c>
    </row>
    <row r="330" spans="1:25" ht="15" hidden="1" customHeight="1" x14ac:dyDescent="0.25">
      <c r="A330" s="1" t="s">
        <v>27</v>
      </c>
      <c r="B330" s="1"/>
      <c r="C330" s="1" t="s">
        <v>110</v>
      </c>
      <c r="D330">
        <v>9965</v>
      </c>
      <c r="E330" s="1"/>
      <c r="F330" s="1" t="s">
        <v>110</v>
      </c>
      <c r="G330" s="1" t="s">
        <v>110</v>
      </c>
      <c r="H330" s="1" t="s">
        <v>1405</v>
      </c>
      <c r="I330">
        <v>2013</v>
      </c>
      <c r="J330" s="93">
        <v>367.9</v>
      </c>
      <c r="K330">
        <v>12</v>
      </c>
      <c r="L330" s="1" t="s">
        <v>403</v>
      </c>
      <c r="M330">
        <v>0</v>
      </c>
      <c r="N330">
        <v>715</v>
      </c>
      <c r="O330">
        <v>0.51447299999999996</v>
      </c>
      <c r="P330">
        <v>3</v>
      </c>
      <c r="Q330" s="1" t="s">
        <v>560</v>
      </c>
      <c r="R330" s="93">
        <v>367.9</v>
      </c>
      <c r="S330">
        <v>294.32</v>
      </c>
      <c r="T330">
        <v>0</v>
      </c>
      <c r="U330" s="1"/>
      <c r="V330" s="1"/>
      <c r="W330">
        <v>367.9</v>
      </c>
      <c r="X330">
        <v>0</v>
      </c>
      <c r="Y330">
        <v>76373</v>
      </c>
    </row>
    <row r="331" spans="1:25" ht="15" hidden="1" customHeight="1" x14ac:dyDescent="0.25">
      <c r="A331" s="1" t="s">
        <v>27</v>
      </c>
      <c r="B331" s="1"/>
      <c r="C331" s="1" t="s">
        <v>110</v>
      </c>
      <c r="D331">
        <v>9965</v>
      </c>
      <c r="E331" s="1"/>
      <c r="F331" s="1" t="s">
        <v>110</v>
      </c>
      <c r="G331" s="1" t="s">
        <v>110</v>
      </c>
      <c r="H331" s="1" t="s">
        <v>1405</v>
      </c>
      <c r="I331">
        <v>2012</v>
      </c>
      <c r="J331" s="93">
        <v>453.1</v>
      </c>
      <c r="K331">
        <v>12</v>
      </c>
      <c r="L331" s="1" t="s">
        <v>403</v>
      </c>
      <c r="M331">
        <v>0</v>
      </c>
      <c r="N331">
        <v>715</v>
      </c>
      <c r="O331">
        <v>0.63361699999999999</v>
      </c>
      <c r="P331">
        <v>3</v>
      </c>
      <c r="Q331" s="1" t="s">
        <v>560</v>
      </c>
      <c r="R331" s="93">
        <v>453.1</v>
      </c>
      <c r="S331">
        <v>362.48</v>
      </c>
      <c r="T331">
        <v>0</v>
      </c>
      <c r="U331" s="1"/>
      <c r="V331" s="1"/>
      <c r="W331">
        <v>453.1</v>
      </c>
      <c r="X331">
        <v>0</v>
      </c>
      <c r="Y331">
        <v>76373</v>
      </c>
    </row>
    <row r="332" spans="1:25" ht="15" hidden="1" customHeight="1" x14ac:dyDescent="0.25">
      <c r="A332" s="1" t="s">
        <v>27</v>
      </c>
      <c r="B332" s="1"/>
      <c r="C332" s="1" t="s">
        <v>110</v>
      </c>
      <c r="D332">
        <v>9965</v>
      </c>
      <c r="E332" s="1"/>
      <c r="F332" s="1" t="s">
        <v>110</v>
      </c>
      <c r="G332" s="1" t="s">
        <v>110</v>
      </c>
      <c r="H332" s="1" t="s">
        <v>1405</v>
      </c>
      <c r="I332">
        <v>2011</v>
      </c>
      <c r="J332" s="93">
        <v>571.20000000000005</v>
      </c>
      <c r="K332">
        <v>12</v>
      </c>
      <c r="L332" s="1" t="s">
        <v>403</v>
      </c>
      <c r="M332">
        <v>0</v>
      </c>
      <c r="N332">
        <v>715</v>
      </c>
      <c r="O332">
        <v>0.79876899999999995</v>
      </c>
      <c r="P332">
        <v>3</v>
      </c>
      <c r="Q332" s="1" t="s">
        <v>560</v>
      </c>
      <c r="R332" s="93">
        <v>571.20000000000005</v>
      </c>
      <c r="S332">
        <v>456.96</v>
      </c>
      <c r="T332">
        <v>0</v>
      </c>
      <c r="U332" s="1"/>
      <c r="V332" s="1"/>
      <c r="W332">
        <v>571.20000000000005</v>
      </c>
      <c r="X332">
        <v>0</v>
      </c>
      <c r="Y332">
        <v>76373</v>
      </c>
    </row>
    <row r="333" spans="1:25" ht="15" hidden="1" customHeight="1" x14ac:dyDescent="0.25">
      <c r="A333" s="1" t="s">
        <v>27</v>
      </c>
      <c r="B333" s="1"/>
      <c r="C333" s="1" t="s">
        <v>110</v>
      </c>
      <c r="D333">
        <v>9965</v>
      </c>
      <c r="E333" s="1"/>
      <c r="F333" s="1" t="s">
        <v>110</v>
      </c>
      <c r="G333" s="1" t="s">
        <v>110</v>
      </c>
      <c r="H333" s="1" t="s">
        <v>1405</v>
      </c>
      <c r="I333">
        <v>2010</v>
      </c>
      <c r="J333" s="93">
        <v>515.54</v>
      </c>
      <c r="K333">
        <v>12</v>
      </c>
      <c r="L333" s="1" t="s">
        <v>403</v>
      </c>
      <c r="M333">
        <v>0</v>
      </c>
      <c r="N333">
        <v>715</v>
      </c>
      <c r="O333">
        <v>0.72093399999999996</v>
      </c>
      <c r="P333">
        <v>3</v>
      </c>
      <c r="Q333" s="1" t="s">
        <v>560</v>
      </c>
      <c r="R333" s="93">
        <v>515.54</v>
      </c>
      <c r="S333">
        <v>412.44</v>
      </c>
      <c r="T333">
        <v>0</v>
      </c>
      <c r="U333" s="1"/>
      <c r="V333" s="1"/>
      <c r="W333">
        <v>515.54444000000001</v>
      </c>
      <c r="X333">
        <v>0</v>
      </c>
      <c r="Y333">
        <v>76373</v>
      </c>
    </row>
    <row r="334" spans="1:25" ht="15" hidden="1" customHeight="1" x14ac:dyDescent="0.25">
      <c r="A334" s="1" t="s">
        <v>27</v>
      </c>
      <c r="B334" s="1"/>
      <c r="C334" s="1" t="s">
        <v>110</v>
      </c>
      <c r="D334">
        <v>9965</v>
      </c>
      <c r="E334" s="1"/>
      <c r="F334" s="1" t="s">
        <v>110</v>
      </c>
      <c r="G334" s="1" t="s">
        <v>110</v>
      </c>
      <c r="H334" s="1" t="s">
        <v>1405</v>
      </c>
      <c r="I334">
        <v>2009</v>
      </c>
      <c r="J334" s="93">
        <v>549.29</v>
      </c>
      <c r="K334">
        <v>5</v>
      </c>
      <c r="L334" s="1" t="s">
        <v>403</v>
      </c>
      <c r="M334">
        <v>0</v>
      </c>
      <c r="N334">
        <v>715</v>
      </c>
      <c r="O334">
        <v>0.76812999999999998</v>
      </c>
      <c r="P334">
        <v>3</v>
      </c>
      <c r="Q334" s="1" t="s">
        <v>560</v>
      </c>
      <c r="R334" s="93">
        <v>549.29</v>
      </c>
      <c r="S334">
        <v>439.42</v>
      </c>
      <c r="T334">
        <v>0</v>
      </c>
      <c r="U334" s="1"/>
      <c r="V334" s="1"/>
      <c r="W334">
        <v>549.28126999999995</v>
      </c>
      <c r="X334">
        <v>0</v>
      </c>
      <c r="Y334">
        <v>76373</v>
      </c>
    </row>
    <row r="335" spans="1:25" ht="15" hidden="1" customHeight="1" x14ac:dyDescent="0.25">
      <c r="A335" s="1" t="s">
        <v>27</v>
      </c>
      <c r="B335" s="1"/>
      <c r="C335" s="1" t="s">
        <v>110</v>
      </c>
      <c r="D335">
        <v>9965</v>
      </c>
      <c r="E335" s="1"/>
      <c r="F335" s="1" t="s">
        <v>110</v>
      </c>
      <c r="G335" s="1" t="s">
        <v>110</v>
      </c>
      <c r="H335" s="1" t="s">
        <v>1405</v>
      </c>
      <c r="I335">
        <v>2008</v>
      </c>
      <c r="J335" s="93">
        <v>424.23</v>
      </c>
      <c r="K335">
        <v>5</v>
      </c>
      <c r="L335" s="1" t="s">
        <v>403</v>
      </c>
      <c r="M335">
        <v>0</v>
      </c>
      <c r="N335">
        <v>715</v>
      </c>
      <c r="O335">
        <v>0.59324500000000002</v>
      </c>
      <c r="P335">
        <v>3</v>
      </c>
      <c r="Q335" s="1" t="s">
        <v>560</v>
      </c>
      <c r="R335" s="93">
        <v>424.23</v>
      </c>
      <c r="S335">
        <v>339.37</v>
      </c>
      <c r="T335">
        <v>0</v>
      </c>
      <c r="U335" s="1"/>
      <c r="V335" s="1"/>
      <c r="W335">
        <v>424.22831000000002</v>
      </c>
      <c r="X335">
        <v>0</v>
      </c>
      <c r="Y335">
        <v>76373</v>
      </c>
    </row>
    <row r="336" spans="1:25" ht="15" hidden="1" customHeight="1" x14ac:dyDescent="0.25">
      <c r="A336" s="1" t="s">
        <v>27</v>
      </c>
      <c r="B336" s="1" t="s">
        <v>49</v>
      </c>
      <c r="C336" s="1" t="s">
        <v>111</v>
      </c>
      <c r="D336">
        <v>5251</v>
      </c>
      <c r="E336" s="1"/>
      <c r="F336" s="1" t="s">
        <v>257</v>
      </c>
      <c r="G336" s="1" t="s">
        <v>257</v>
      </c>
      <c r="H336" s="1" t="s">
        <v>1405</v>
      </c>
      <c r="I336">
        <v>2015</v>
      </c>
      <c r="J336" s="93">
        <v>36</v>
      </c>
      <c r="K336">
        <v>5</v>
      </c>
      <c r="L336" s="1" t="s">
        <v>404</v>
      </c>
      <c r="M336">
        <v>0</v>
      </c>
      <c r="N336">
        <v>375</v>
      </c>
      <c r="O336">
        <v>3.9935999999999999E-2</v>
      </c>
      <c r="P336">
        <v>3</v>
      </c>
      <c r="Q336" s="1" t="s">
        <v>560</v>
      </c>
      <c r="R336" s="93">
        <v>14.98</v>
      </c>
      <c r="S336">
        <v>11.98</v>
      </c>
      <c r="T336">
        <v>0</v>
      </c>
      <c r="U336" s="1" t="s">
        <v>586</v>
      </c>
      <c r="V336" s="1"/>
      <c r="W336">
        <v>14.981999999999999</v>
      </c>
      <c r="X336">
        <v>0</v>
      </c>
      <c r="Y336">
        <v>56682</v>
      </c>
    </row>
    <row r="337" spans="1:25" ht="15" hidden="1" customHeight="1" x14ac:dyDescent="0.25">
      <c r="A337" s="1" t="s">
        <v>27</v>
      </c>
      <c r="B337" s="1" t="s">
        <v>49</v>
      </c>
      <c r="C337" s="1" t="s">
        <v>111</v>
      </c>
      <c r="D337">
        <v>5251</v>
      </c>
      <c r="E337" s="1"/>
      <c r="F337" s="1" t="s">
        <v>257</v>
      </c>
      <c r="G337" s="1" t="s">
        <v>257</v>
      </c>
      <c r="H337" s="1" t="s">
        <v>1405</v>
      </c>
      <c r="I337">
        <v>2013</v>
      </c>
      <c r="J337" s="93">
        <v>46.48</v>
      </c>
      <c r="K337">
        <v>12</v>
      </c>
      <c r="L337" s="1" t="s">
        <v>404</v>
      </c>
      <c r="M337">
        <v>0</v>
      </c>
      <c r="N337">
        <v>375</v>
      </c>
      <c r="O337">
        <v>0.123913</v>
      </c>
      <c r="P337">
        <v>3</v>
      </c>
      <c r="Q337" s="1" t="s">
        <v>560</v>
      </c>
      <c r="R337" s="93">
        <v>46.48</v>
      </c>
      <c r="S337">
        <v>37.17</v>
      </c>
      <c r="T337">
        <v>0</v>
      </c>
      <c r="U337" s="1" t="s">
        <v>586</v>
      </c>
      <c r="V337" s="1"/>
      <c r="W337">
        <v>46.472000000000001</v>
      </c>
      <c r="X337">
        <v>0</v>
      </c>
      <c r="Y337">
        <v>56682</v>
      </c>
    </row>
    <row r="338" spans="1:25" ht="15" hidden="1" customHeight="1" x14ac:dyDescent="0.25">
      <c r="A338" s="1" t="s">
        <v>27</v>
      </c>
      <c r="B338" s="1" t="s">
        <v>49</v>
      </c>
      <c r="C338" s="1" t="s">
        <v>111</v>
      </c>
      <c r="D338">
        <v>5251</v>
      </c>
      <c r="E338" s="1"/>
      <c r="F338" s="1" t="s">
        <v>257</v>
      </c>
      <c r="G338" s="1" t="s">
        <v>257</v>
      </c>
      <c r="H338" s="1" t="s">
        <v>1405</v>
      </c>
      <c r="I338">
        <v>2012</v>
      </c>
      <c r="J338" s="93">
        <v>73.430000000000007</v>
      </c>
      <c r="K338">
        <v>12</v>
      </c>
      <c r="L338" s="1" t="s">
        <v>404</v>
      </c>
      <c r="M338">
        <v>0</v>
      </c>
      <c r="N338">
        <v>375</v>
      </c>
      <c r="O338">
        <v>0.19576099999999999</v>
      </c>
      <c r="P338">
        <v>3</v>
      </c>
      <c r="Q338" s="1" t="s">
        <v>560</v>
      </c>
      <c r="R338" s="93">
        <v>73.430000000000007</v>
      </c>
      <c r="S338">
        <v>58.75</v>
      </c>
      <c r="T338">
        <v>0</v>
      </c>
      <c r="U338" s="1" t="s">
        <v>586</v>
      </c>
      <c r="V338" s="1"/>
      <c r="W338">
        <v>73.430999999999997</v>
      </c>
      <c r="X338">
        <v>0</v>
      </c>
      <c r="Y338">
        <v>56682</v>
      </c>
    </row>
    <row r="339" spans="1:25" ht="15" hidden="1" customHeight="1" x14ac:dyDescent="0.25">
      <c r="A339" s="1" t="s">
        <v>27</v>
      </c>
      <c r="B339" s="1" t="s">
        <v>49</v>
      </c>
      <c r="C339" s="1" t="s">
        <v>111</v>
      </c>
      <c r="D339">
        <v>5251</v>
      </c>
      <c r="E339" s="1"/>
      <c r="F339" s="1" t="s">
        <v>257</v>
      </c>
      <c r="G339" s="1" t="s">
        <v>257</v>
      </c>
      <c r="H339" s="1" t="s">
        <v>1405</v>
      </c>
      <c r="I339">
        <v>2011</v>
      </c>
      <c r="J339" s="93">
        <v>95.11</v>
      </c>
      <c r="K339">
        <v>12</v>
      </c>
      <c r="L339" s="1" t="s">
        <v>404</v>
      </c>
      <c r="M339">
        <v>0</v>
      </c>
      <c r="N339">
        <v>375</v>
      </c>
      <c r="O339">
        <v>0.25355899999999998</v>
      </c>
      <c r="P339">
        <v>3</v>
      </c>
      <c r="Q339" s="1" t="s">
        <v>560</v>
      </c>
      <c r="R339" s="93">
        <v>95.11</v>
      </c>
      <c r="S339">
        <v>76.069999999999993</v>
      </c>
      <c r="T339">
        <v>0</v>
      </c>
      <c r="U339" s="1" t="s">
        <v>586</v>
      </c>
      <c r="V339" s="1"/>
      <c r="W339">
        <v>95.11</v>
      </c>
      <c r="X339">
        <v>0</v>
      </c>
      <c r="Y339">
        <v>56682</v>
      </c>
    </row>
    <row r="340" spans="1:25" ht="15" hidden="1" customHeight="1" x14ac:dyDescent="0.25">
      <c r="A340" s="1" t="s">
        <v>27</v>
      </c>
      <c r="B340" s="1" t="s">
        <v>49</v>
      </c>
      <c r="C340" s="1" t="s">
        <v>111</v>
      </c>
      <c r="D340">
        <v>5251</v>
      </c>
      <c r="E340" s="1"/>
      <c r="F340" s="1" t="s">
        <v>257</v>
      </c>
      <c r="G340" s="1" t="s">
        <v>257</v>
      </c>
      <c r="H340" s="1" t="s">
        <v>1405</v>
      </c>
      <c r="I340">
        <v>2010</v>
      </c>
      <c r="J340" s="93">
        <v>121.35</v>
      </c>
      <c r="K340">
        <v>12</v>
      </c>
      <c r="L340" s="1" t="s">
        <v>404</v>
      </c>
      <c r="M340">
        <v>0</v>
      </c>
      <c r="N340">
        <v>375</v>
      </c>
      <c r="O340">
        <v>0.323513</v>
      </c>
      <c r="P340">
        <v>3</v>
      </c>
      <c r="Q340" s="1" t="s">
        <v>560</v>
      </c>
      <c r="R340" s="93">
        <v>121.35</v>
      </c>
      <c r="S340">
        <v>97.07</v>
      </c>
      <c r="T340">
        <v>0</v>
      </c>
      <c r="U340" s="1" t="s">
        <v>586</v>
      </c>
      <c r="V340" s="1"/>
      <c r="W340">
        <v>121.342</v>
      </c>
      <c r="X340">
        <v>0</v>
      </c>
      <c r="Y340">
        <v>56682</v>
      </c>
    </row>
    <row r="341" spans="1:25" ht="15" hidden="1" customHeight="1" x14ac:dyDescent="0.25">
      <c r="A341" s="1" t="s">
        <v>27</v>
      </c>
      <c r="B341" s="1" t="s">
        <v>49</v>
      </c>
      <c r="C341" s="1" t="s">
        <v>111</v>
      </c>
      <c r="D341">
        <v>5251</v>
      </c>
      <c r="E341" s="1"/>
      <c r="F341" s="1" t="s">
        <v>257</v>
      </c>
      <c r="G341" s="1" t="s">
        <v>257</v>
      </c>
      <c r="H341" s="1" t="s">
        <v>1405</v>
      </c>
      <c r="I341">
        <v>2009</v>
      </c>
      <c r="J341" s="93">
        <v>174.75</v>
      </c>
      <c r="K341">
        <v>12</v>
      </c>
      <c r="L341" s="1" t="s">
        <v>404</v>
      </c>
      <c r="M341">
        <v>0</v>
      </c>
      <c r="N341">
        <v>375</v>
      </c>
      <c r="O341">
        <v>0.46587499999999998</v>
      </c>
      <c r="P341">
        <v>3</v>
      </c>
      <c r="Q341" s="1" t="s">
        <v>560</v>
      </c>
      <c r="R341" s="93">
        <v>174.75</v>
      </c>
      <c r="S341">
        <v>139.78</v>
      </c>
      <c r="T341">
        <v>0</v>
      </c>
      <c r="U341" s="1" t="s">
        <v>586</v>
      </c>
      <c r="V341" s="1"/>
      <c r="W341">
        <v>174.73599999999999</v>
      </c>
      <c r="X341">
        <v>0</v>
      </c>
      <c r="Y341">
        <v>56682</v>
      </c>
    </row>
    <row r="342" spans="1:25" ht="15" hidden="1" customHeight="1" x14ac:dyDescent="0.25">
      <c r="A342" s="1" t="s">
        <v>27</v>
      </c>
      <c r="B342" s="1" t="s">
        <v>49</v>
      </c>
      <c r="C342" s="1" t="s">
        <v>111</v>
      </c>
      <c r="D342">
        <v>5251</v>
      </c>
      <c r="E342" s="1"/>
      <c r="F342" s="1" t="s">
        <v>257</v>
      </c>
      <c r="G342" s="1" t="s">
        <v>257</v>
      </c>
      <c r="H342" s="1" t="s">
        <v>1405</v>
      </c>
      <c r="I342">
        <v>2008</v>
      </c>
      <c r="J342" s="93">
        <v>158.05000000000001</v>
      </c>
      <c r="K342">
        <v>12</v>
      </c>
      <c r="L342" s="1" t="s">
        <v>404</v>
      </c>
      <c r="M342">
        <v>0</v>
      </c>
      <c r="N342">
        <v>375</v>
      </c>
      <c r="O342">
        <v>0.42135400000000001</v>
      </c>
      <c r="P342">
        <v>3</v>
      </c>
      <c r="Q342" s="1" t="s">
        <v>560</v>
      </c>
      <c r="R342" s="93">
        <v>158.05000000000001</v>
      </c>
      <c r="S342">
        <v>126.44</v>
      </c>
      <c r="T342">
        <v>0</v>
      </c>
      <c r="U342" s="1" t="s">
        <v>586</v>
      </c>
      <c r="V342" s="1"/>
      <c r="W342">
        <v>158.05099999999999</v>
      </c>
      <c r="X342">
        <v>0</v>
      </c>
      <c r="Y342">
        <v>56682</v>
      </c>
    </row>
    <row r="343" spans="1:25" ht="15" hidden="1" customHeight="1" x14ac:dyDescent="0.25">
      <c r="A343" s="1" t="s">
        <v>27</v>
      </c>
      <c r="B343" s="1"/>
      <c r="C343" s="1" t="s">
        <v>112</v>
      </c>
      <c r="D343">
        <v>9980</v>
      </c>
      <c r="E343" s="1"/>
      <c r="F343" s="1" t="s">
        <v>258</v>
      </c>
      <c r="G343" s="1" t="s">
        <v>258</v>
      </c>
      <c r="H343" s="1" t="s">
        <v>1405</v>
      </c>
      <c r="I343">
        <v>2015</v>
      </c>
      <c r="J343" s="93">
        <v>460</v>
      </c>
      <c r="K343">
        <v>5</v>
      </c>
      <c r="L343" s="1" t="s">
        <v>405</v>
      </c>
      <c r="M343">
        <v>0</v>
      </c>
      <c r="N343">
        <v>961</v>
      </c>
      <c r="O343">
        <v>0.190302</v>
      </c>
      <c r="P343">
        <v>3</v>
      </c>
      <c r="Q343" s="1" t="s">
        <v>560</v>
      </c>
      <c r="R343" s="93">
        <v>182.9</v>
      </c>
      <c r="S343">
        <v>146.32</v>
      </c>
      <c r="T343">
        <v>0</v>
      </c>
      <c r="U343" s="1" t="s">
        <v>587</v>
      </c>
      <c r="V343" s="1"/>
      <c r="W343">
        <v>182.9</v>
      </c>
      <c r="X343">
        <v>0</v>
      </c>
      <c r="Y343">
        <v>76421</v>
      </c>
    </row>
    <row r="344" spans="1:25" ht="15" hidden="1" customHeight="1" x14ac:dyDescent="0.25">
      <c r="A344" s="1" t="s">
        <v>27</v>
      </c>
      <c r="B344" s="1"/>
      <c r="C344" s="1" t="s">
        <v>112</v>
      </c>
      <c r="D344">
        <v>9980</v>
      </c>
      <c r="E344" s="1"/>
      <c r="F344" s="1" t="s">
        <v>258</v>
      </c>
      <c r="G344" s="1" t="s">
        <v>258</v>
      </c>
      <c r="H344" s="1" t="s">
        <v>1405</v>
      </c>
      <c r="I344">
        <v>2013</v>
      </c>
      <c r="J344" s="93">
        <v>568.20000000000005</v>
      </c>
      <c r="K344">
        <v>12</v>
      </c>
      <c r="L344" s="1" t="s">
        <v>405</v>
      </c>
      <c r="M344">
        <v>0</v>
      </c>
      <c r="N344">
        <v>961</v>
      </c>
      <c r="O344">
        <v>0.59119699999999997</v>
      </c>
      <c r="P344">
        <v>3</v>
      </c>
      <c r="Q344" s="1" t="s">
        <v>560</v>
      </c>
      <c r="R344" s="93">
        <v>568.20000000000005</v>
      </c>
      <c r="S344">
        <v>454.56</v>
      </c>
      <c r="T344">
        <v>0</v>
      </c>
      <c r="U344" s="1" t="s">
        <v>587</v>
      </c>
      <c r="V344" s="1"/>
      <c r="W344">
        <v>568.20000000000005</v>
      </c>
      <c r="X344">
        <v>0</v>
      </c>
      <c r="Y344">
        <v>76421</v>
      </c>
    </row>
    <row r="345" spans="1:25" ht="15" hidden="1" customHeight="1" x14ac:dyDescent="0.25">
      <c r="A345" s="1" t="s">
        <v>27</v>
      </c>
      <c r="B345" s="1"/>
      <c r="C345" s="1" t="s">
        <v>112</v>
      </c>
      <c r="D345">
        <v>9980</v>
      </c>
      <c r="E345" s="1"/>
      <c r="F345" s="1" t="s">
        <v>258</v>
      </c>
      <c r="G345" s="1" t="s">
        <v>258</v>
      </c>
      <c r="H345" s="1" t="s">
        <v>1405</v>
      </c>
      <c r="I345">
        <v>2012</v>
      </c>
      <c r="J345" s="93">
        <v>523.70000000000005</v>
      </c>
      <c r="K345">
        <v>12</v>
      </c>
      <c r="L345" s="1" t="s">
        <v>405</v>
      </c>
      <c r="M345">
        <v>0</v>
      </c>
      <c r="N345">
        <v>961</v>
      </c>
      <c r="O345">
        <v>0.54489600000000005</v>
      </c>
      <c r="P345">
        <v>3</v>
      </c>
      <c r="Q345" s="1" t="s">
        <v>560</v>
      </c>
      <c r="R345" s="93">
        <v>523.70000000000005</v>
      </c>
      <c r="S345">
        <v>418.96</v>
      </c>
      <c r="T345">
        <v>0</v>
      </c>
      <c r="U345" s="1" t="s">
        <v>587</v>
      </c>
      <c r="V345" s="1"/>
      <c r="W345">
        <v>523.70000000000005</v>
      </c>
      <c r="X345">
        <v>0</v>
      </c>
      <c r="Y345">
        <v>76421</v>
      </c>
    </row>
    <row r="346" spans="1:25" ht="15" hidden="1" customHeight="1" x14ac:dyDescent="0.25">
      <c r="A346" s="1" t="s">
        <v>27</v>
      </c>
      <c r="B346" s="1"/>
      <c r="C346" s="1" t="s">
        <v>112</v>
      </c>
      <c r="D346">
        <v>9980</v>
      </c>
      <c r="E346" s="1"/>
      <c r="F346" s="1" t="s">
        <v>258</v>
      </c>
      <c r="G346" s="1" t="s">
        <v>258</v>
      </c>
      <c r="H346" s="1" t="s">
        <v>1405</v>
      </c>
      <c r="I346">
        <v>2011</v>
      </c>
      <c r="J346" s="93">
        <v>595.4</v>
      </c>
      <c r="K346">
        <v>12</v>
      </c>
      <c r="L346" s="1" t="s">
        <v>405</v>
      </c>
      <c r="M346">
        <v>0</v>
      </c>
      <c r="N346">
        <v>961</v>
      </c>
      <c r="O346">
        <v>0.61949799999999999</v>
      </c>
      <c r="P346">
        <v>3</v>
      </c>
      <c r="Q346" s="1" t="s">
        <v>560</v>
      </c>
      <c r="R346" s="93">
        <v>595.4</v>
      </c>
      <c r="S346">
        <v>476.32</v>
      </c>
      <c r="T346">
        <v>0</v>
      </c>
      <c r="U346" s="1" t="s">
        <v>587</v>
      </c>
      <c r="V346" s="1"/>
      <c r="W346">
        <v>595.4</v>
      </c>
      <c r="X346">
        <v>0</v>
      </c>
      <c r="Y346">
        <v>76421</v>
      </c>
    </row>
    <row r="347" spans="1:25" ht="15" hidden="1" customHeight="1" x14ac:dyDescent="0.25">
      <c r="A347" s="1" t="s">
        <v>27</v>
      </c>
      <c r="B347" s="1"/>
      <c r="C347" s="1" t="s">
        <v>112</v>
      </c>
      <c r="D347">
        <v>9980</v>
      </c>
      <c r="E347" s="1"/>
      <c r="F347" s="1" t="s">
        <v>258</v>
      </c>
      <c r="G347" s="1" t="s">
        <v>258</v>
      </c>
      <c r="H347" s="1" t="s">
        <v>1405</v>
      </c>
      <c r="I347">
        <v>2010</v>
      </c>
      <c r="J347" s="93">
        <v>526.29999999999995</v>
      </c>
      <c r="K347">
        <v>6</v>
      </c>
      <c r="L347" s="1" t="s">
        <v>405</v>
      </c>
      <c r="M347">
        <v>0</v>
      </c>
      <c r="N347">
        <v>961</v>
      </c>
      <c r="O347">
        <v>0.547601</v>
      </c>
      <c r="P347">
        <v>3</v>
      </c>
      <c r="Q347" s="1" t="s">
        <v>560</v>
      </c>
      <c r="R347" s="93">
        <v>526.29999999999995</v>
      </c>
      <c r="S347">
        <v>421.04</v>
      </c>
      <c r="T347">
        <v>0</v>
      </c>
      <c r="U347" s="1" t="s">
        <v>587</v>
      </c>
      <c r="V347" s="1"/>
      <c r="W347">
        <v>526.30002000000002</v>
      </c>
      <c r="X347">
        <v>0</v>
      </c>
      <c r="Y347">
        <v>76421</v>
      </c>
    </row>
    <row r="348" spans="1:25" ht="15" hidden="1" customHeight="1" x14ac:dyDescent="0.25">
      <c r="A348" s="1" t="s">
        <v>27</v>
      </c>
      <c r="B348" s="1"/>
      <c r="C348" s="1" t="s">
        <v>112</v>
      </c>
      <c r="D348">
        <v>9980</v>
      </c>
      <c r="E348" s="1"/>
      <c r="F348" s="1" t="s">
        <v>258</v>
      </c>
      <c r="G348" s="1" t="s">
        <v>258</v>
      </c>
      <c r="H348" s="1" t="s">
        <v>1405</v>
      </c>
      <c r="I348">
        <v>2010</v>
      </c>
      <c r="J348" s="93">
        <v>61.99</v>
      </c>
      <c r="K348">
        <v>3</v>
      </c>
      <c r="L348" s="1" t="s">
        <v>406</v>
      </c>
      <c r="M348">
        <v>0</v>
      </c>
      <c r="N348">
        <v>961</v>
      </c>
      <c r="O348">
        <v>6.4499000000000001E-2</v>
      </c>
      <c r="P348">
        <v>3</v>
      </c>
      <c r="Q348" s="1" t="s">
        <v>560</v>
      </c>
      <c r="R348" s="93">
        <v>61.99</v>
      </c>
      <c r="S348">
        <v>0</v>
      </c>
      <c r="T348">
        <v>1</v>
      </c>
      <c r="U348" s="1" t="s">
        <v>588</v>
      </c>
      <c r="V348" s="1"/>
      <c r="W348">
        <v>62</v>
      </c>
      <c r="X348">
        <v>0</v>
      </c>
      <c r="Y348">
        <v>78372</v>
      </c>
    </row>
    <row r="349" spans="1:25" ht="15" hidden="1" customHeight="1" x14ac:dyDescent="0.25">
      <c r="A349" s="1" t="s">
        <v>27</v>
      </c>
      <c r="B349" s="1"/>
      <c r="C349" s="1" t="s">
        <v>112</v>
      </c>
      <c r="D349">
        <v>9980</v>
      </c>
      <c r="E349" s="1"/>
      <c r="F349" s="1" t="s">
        <v>258</v>
      </c>
      <c r="G349" s="1" t="s">
        <v>258</v>
      </c>
      <c r="H349" s="1" t="s">
        <v>1405</v>
      </c>
      <c r="I349">
        <v>2009</v>
      </c>
      <c r="J349" s="93">
        <v>525.65</v>
      </c>
      <c r="K349">
        <v>9</v>
      </c>
      <c r="L349" s="1" t="s">
        <v>405</v>
      </c>
      <c r="M349">
        <v>0</v>
      </c>
      <c r="N349">
        <v>961</v>
      </c>
      <c r="O349">
        <v>0.54692499999999999</v>
      </c>
      <c r="P349">
        <v>3</v>
      </c>
      <c r="Q349" s="1" t="s">
        <v>560</v>
      </c>
      <c r="R349" s="93">
        <v>525.65</v>
      </c>
      <c r="S349">
        <v>420.55</v>
      </c>
      <c r="T349">
        <v>0</v>
      </c>
      <c r="U349" s="1" t="s">
        <v>587</v>
      </c>
      <c r="V349" s="1"/>
      <c r="W349">
        <v>525.67647999999997</v>
      </c>
      <c r="X349">
        <v>0</v>
      </c>
      <c r="Y349">
        <v>76421</v>
      </c>
    </row>
    <row r="350" spans="1:25" ht="15" hidden="1" customHeight="1" x14ac:dyDescent="0.25">
      <c r="A350" s="1" t="s">
        <v>27</v>
      </c>
      <c r="B350" s="1"/>
      <c r="C350" s="1" t="s">
        <v>112</v>
      </c>
      <c r="D350">
        <v>9980</v>
      </c>
      <c r="E350" s="1"/>
      <c r="F350" s="1" t="s">
        <v>258</v>
      </c>
      <c r="G350" s="1" t="s">
        <v>258</v>
      </c>
      <c r="H350" s="1" t="s">
        <v>1405</v>
      </c>
      <c r="I350">
        <v>2009</v>
      </c>
      <c r="J350" s="93">
        <v>118.44</v>
      </c>
      <c r="K350">
        <v>10</v>
      </c>
      <c r="L350" s="1" t="s">
        <v>406</v>
      </c>
      <c r="M350">
        <v>0</v>
      </c>
      <c r="N350">
        <v>961</v>
      </c>
      <c r="O350">
        <v>0.123233</v>
      </c>
      <c r="P350">
        <v>3</v>
      </c>
      <c r="Q350" s="1" t="s">
        <v>560</v>
      </c>
      <c r="R350" s="93">
        <v>118.44</v>
      </c>
      <c r="S350">
        <v>0</v>
      </c>
      <c r="T350">
        <v>1</v>
      </c>
      <c r="U350" s="1" t="s">
        <v>588</v>
      </c>
      <c r="V350" s="1"/>
      <c r="W350">
        <v>118.44119000000001</v>
      </c>
      <c r="X350">
        <v>0</v>
      </c>
      <c r="Y350">
        <v>78372</v>
      </c>
    </row>
    <row r="351" spans="1:25" ht="15" hidden="1" customHeight="1" x14ac:dyDescent="0.25">
      <c r="A351" s="1" t="s">
        <v>27</v>
      </c>
      <c r="B351" s="1"/>
      <c r="C351" s="1" t="s">
        <v>112</v>
      </c>
      <c r="D351">
        <v>9980</v>
      </c>
      <c r="E351" s="1"/>
      <c r="F351" s="1" t="s">
        <v>258</v>
      </c>
      <c r="G351" s="1" t="s">
        <v>258</v>
      </c>
      <c r="H351" s="1" t="s">
        <v>1405</v>
      </c>
      <c r="I351">
        <v>2008</v>
      </c>
      <c r="J351" s="93">
        <v>540.04</v>
      </c>
      <c r="K351">
        <v>4</v>
      </c>
      <c r="L351" s="1" t="s">
        <v>405</v>
      </c>
      <c r="M351">
        <v>0</v>
      </c>
      <c r="N351">
        <v>961</v>
      </c>
      <c r="O351">
        <v>0.56189699999999998</v>
      </c>
      <c r="P351">
        <v>3</v>
      </c>
      <c r="Q351" s="1" t="s">
        <v>560</v>
      </c>
      <c r="R351" s="93">
        <v>540.04</v>
      </c>
      <c r="S351">
        <v>432.05</v>
      </c>
      <c r="T351">
        <v>0</v>
      </c>
      <c r="U351" s="1" t="s">
        <v>587</v>
      </c>
      <c r="V351" s="1"/>
      <c r="W351">
        <v>540.03543999999999</v>
      </c>
      <c r="X351">
        <v>0</v>
      </c>
      <c r="Y351">
        <v>76421</v>
      </c>
    </row>
    <row r="352" spans="1:25" ht="15" hidden="1" customHeight="1" x14ac:dyDescent="0.25">
      <c r="A352" s="1" t="s">
        <v>27</v>
      </c>
      <c r="B352" s="1"/>
      <c r="C352" s="1" t="s">
        <v>112</v>
      </c>
      <c r="D352">
        <v>9980</v>
      </c>
      <c r="E352" s="1"/>
      <c r="F352" s="1" t="s">
        <v>258</v>
      </c>
      <c r="G352" s="1" t="s">
        <v>258</v>
      </c>
      <c r="H352" s="1" t="s">
        <v>1405</v>
      </c>
      <c r="I352">
        <v>2008</v>
      </c>
      <c r="J352" s="93">
        <v>46.56</v>
      </c>
      <c r="K352">
        <v>4</v>
      </c>
      <c r="L352" s="1" t="s">
        <v>406</v>
      </c>
      <c r="M352">
        <v>0</v>
      </c>
      <c r="N352">
        <v>961</v>
      </c>
      <c r="O352">
        <v>4.8444000000000001E-2</v>
      </c>
      <c r="P352">
        <v>3</v>
      </c>
      <c r="Q352" s="1" t="s">
        <v>560</v>
      </c>
      <c r="R352" s="93">
        <v>46.56</v>
      </c>
      <c r="S352">
        <v>0</v>
      </c>
      <c r="T352">
        <v>1</v>
      </c>
      <c r="U352" s="1" t="s">
        <v>588</v>
      </c>
      <c r="V352" s="1"/>
      <c r="W352">
        <v>46.558819999999997</v>
      </c>
      <c r="X352">
        <v>0</v>
      </c>
      <c r="Y352">
        <v>78372</v>
      </c>
    </row>
    <row r="353" spans="1:25" ht="15" hidden="1" customHeight="1" x14ac:dyDescent="0.25">
      <c r="A353" s="1" t="s">
        <v>27</v>
      </c>
      <c r="B353" s="1" t="s">
        <v>50</v>
      </c>
      <c r="C353" s="1" t="s">
        <v>113</v>
      </c>
      <c r="D353">
        <v>5278</v>
      </c>
      <c r="E353" s="1"/>
      <c r="F353" s="1" t="s">
        <v>113</v>
      </c>
      <c r="G353" s="1" t="s">
        <v>113</v>
      </c>
      <c r="H353" s="1" t="s">
        <v>1405</v>
      </c>
      <c r="I353">
        <v>2015</v>
      </c>
      <c r="J353" s="93">
        <v>395</v>
      </c>
      <c r="K353">
        <v>5</v>
      </c>
      <c r="L353" s="1" t="s">
        <v>404</v>
      </c>
      <c r="M353">
        <v>0</v>
      </c>
      <c r="N353">
        <v>760</v>
      </c>
      <c r="O353">
        <v>0.21740499999999999</v>
      </c>
      <c r="P353">
        <v>3</v>
      </c>
      <c r="Q353" s="1" t="s">
        <v>560</v>
      </c>
      <c r="R353" s="93">
        <v>165.25</v>
      </c>
      <c r="S353">
        <v>132.19999999999999</v>
      </c>
      <c r="T353">
        <v>0</v>
      </c>
      <c r="U353" s="1" t="s">
        <v>589</v>
      </c>
      <c r="V353" s="1"/>
      <c r="W353">
        <v>165.25399999999999</v>
      </c>
      <c r="X353">
        <v>0</v>
      </c>
      <c r="Y353">
        <v>56875</v>
      </c>
    </row>
    <row r="354" spans="1:25" ht="15" hidden="1" customHeight="1" x14ac:dyDescent="0.25">
      <c r="A354" s="1" t="s">
        <v>27</v>
      </c>
      <c r="B354" s="1" t="s">
        <v>50</v>
      </c>
      <c r="C354" s="1" t="s">
        <v>113</v>
      </c>
      <c r="D354">
        <v>5278</v>
      </c>
      <c r="E354" s="1"/>
      <c r="F354" s="1" t="s">
        <v>113</v>
      </c>
      <c r="G354" s="1" t="s">
        <v>113</v>
      </c>
      <c r="H354" s="1" t="s">
        <v>1405</v>
      </c>
      <c r="I354">
        <v>2013</v>
      </c>
      <c r="J354" s="93">
        <v>343.49</v>
      </c>
      <c r="K354">
        <v>12</v>
      </c>
      <c r="L354" s="1" t="s">
        <v>404</v>
      </c>
      <c r="M354">
        <v>0</v>
      </c>
      <c r="N354">
        <v>760</v>
      </c>
      <c r="O354">
        <v>0.451901</v>
      </c>
      <c r="P354">
        <v>3</v>
      </c>
      <c r="Q354" s="1" t="s">
        <v>560</v>
      </c>
      <c r="R354" s="93">
        <v>343.49</v>
      </c>
      <c r="S354">
        <v>274.77</v>
      </c>
      <c r="T354">
        <v>0</v>
      </c>
      <c r="U354" s="1" t="s">
        <v>589</v>
      </c>
      <c r="V354" s="1"/>
      <c r="W354">
        <v>343.48500000000001</v>
      </c>
      <c r="X354">
        <v>0</v>
      </c>
      <c r="Y354">
        <v>56875</v>
      </c>
    </row>
    <row r="355" spans="1:25" ht="15" hidden="1" customHeight="1" x14ac:dyDescent="0.25">
      <c r="A355" s="1" t="s">
        <v>27</v>
      </c>
      <c r="B355" s="1" t="s">
        <v>50</v>
      </c>
      <c r="C355" s="1" t="s">
        <v>113</v>
      </c>
      <c r="D355">
        <v>5278</v>
      </c>
      <c r="E355" s="1"/>
      <c r="F355" s="1" t="s">
        <v>113</v>
      </c>
      <c r="G355" s="1" t="s">
        <v>113</v>
      </c>
      <c r="H355" s="1" t="s">
        <v>1405</v>
      </c>
      <c r="I355">
        <v>2012</v>
      </c>
      <c r="J355" s="93">
        <v>349.14</v>
      </c>
      <c r="K355">
        <v>12</v>
      </c>
      <c r="L355" s="1" t="s">
        <v>404</v>
      </c>
      <c r="M355">
        <v>0</v>
      </c>
      <c r="N355">
        <v>760</v>
      </c>
      <c r="O355">
        <v>0.45933400000000002</v>
      </c>
      <c r="P355">
        <v>3</v>
      </c>
      <c r="Q355" s="1" t="s">
        <v>560</v>
      </c>
      <c r="R355" s="93">
        <v>349.14</v>
      </c>
      <c r="S355">
        <v>279.32</v>
      </c>
      <c r="T355">
        <v>0</v>
      </c>
      <c r="U355" s="1" t="s">
        <v>589</v>
      </c>
      <c r="V355" s="1"/>
      <c r="W355">
        <v>349.14800000000002</v>
      </c>
      <c r="X355">
        <v>0</v>
      </c>
      <c r="Y355">
        <v>56875</v>
      </c>
    </row>
    <row r="356" spans="1:25" ht="15" hidden="1" customHeight="1" x14ac:dyDescent="0.25">
      <c r="A356" s="1" t="s">
        <v>27</v>
      </c>
      <c r="B356" s="1" t="s">
        <v>50</v>
      </c>
      <c r="C356" s="1" t="s">
        <v>113</v>
      </c>
      <c r="D356">
        <v>5278</v>
      </c>
      <c r="E356" s="1"/>
      <c r="F356" s="1" t="s">
        <v>113</v>
      </c>
      <c r="G356" s="1" t="s">
        <v>113</v>
      </c>
      <c r="H356" s="1" t="s">
        <v>1405</v>
      </c>
      <c r="I356">
        <v>2011</v>
      </c>
      <c r="J356" s="93">
        <v>383.55</v>
      </c>
      <c r="K356">
        <v>12</v>
      </c>
      <c r="L356" s="1" t="s">
        <v>404</v>
      </c>
      <c r="M356">
        <v>0</v>
      </c>
      <c r="N356">
        <v>760</v>
      </c>
      <c r="O356">
        <v>0.50460400000000005</v>
      </c>
      <c r="P356">
        <v>3</v>
      </c>
      <c r="Q356" s="1" t="s">
        <v>560</v>
      </c>
      <c r="R356" s="93">
        <v>383.55</v>
      </c>
      <c r="S356">
        <v>306.86</v>
      </c>
      <c r="T356">
        <v>0</v>
      </c>
      <c r="U356" s="1" t="s">
        <v>589</v>
      </c>
      <c r="V356" s="1"/>
      <c r="W356">
        <v>383.56400000000002</v>
      </c>
      <c r="X356">
        <v>0</v>
      </c>
      <c r="Y356">
        <v>56875</v>
      </c>
    </row>
    <row r="357" spans="1:25" ht="15" hidden="1" customHeight="1" x14ac:dyDescent="0.25">
      <c r="A357" s="1" t="s">
        <v>27</v>
      </c>
      <c r="B357" s="1" t="s">
        <v>50</v>
      </c>
      <c r="C357" s="1" t="s">
        <v>113</v>
      </c>
      <c r="D357">
        <v>5278</v>
      </c>
      <c r="E357" s="1"/>
      <c r="F357" s="1" t="s">
        <v>113</v>
      </c>
      <c r="G357" s="1" t="s">
        <v>113</v>
      </c>
      <c r="H357" s="1" t="s">
        <v>1405</v>
      </c>
      <c r="I357">
        <v>2010</v>
      </c>
      <c r="J357" s="93">
        <v>347.69</v>
      </c>
      <c r="K357">
        <v>12</v>
      </c>
      <c r="L357" s="1" t="s">
        <v>404</v>
      </c>
      <c r="M357">
        <v>0</v>
      </c>
      <c r="N357">
        <v>760</v>
      </c>
      <c r="O357">
        <v>0.457426</v>
      </c>
      <c r="P357">
        <v>3</v>
      </c>
      <c r="Q357" s="1" t="s">
        <v>560</v>
      </c>
      <c r="R357" s="93">
        <v>347.69</v>
      </c>
      <c r="S357">
        <v>278.14999999999998</v>
      </c>
      <c r="T357">
        <v>0</v>
      </c>
      <c r="U357" s="1" t="s">
        <v>589</v>
      </c>
      <c r="V357" s="1"/>
      <c r="W357">
        <v>347.69</v>
      </c>
      <c r="X357">
        <v>0</v>
      </c>
      <c r="Y357">
        <v>56875</v>
      </c>
    </row>
    <row r="358" spans="1:25" ht="15" hidden="1" customHeight="1" x14ac:dyDescent="0.25">
      <c r="A358" s="1" t="s">
        <v>27</v>
      </c>
      <c r="B358" s="1" t="s">
        <v>50</v>
      </c>
      <c r="C358" s="1" t="s">
        <v>113</v>
      </c>
      <c r="D358">
        <v>5278</v>
      </c>
      <c r="E358" s="1"/>
      <c r="F358" s="1" t="s">
        <v>113</v>
      </c>
      <c r="G358" s="1" t="s">
        <v>113</v>
      </c>
      <c r="H358" s="1" t="s">
        <v>1405</v>
      </c>
      <c r="I358">
        <v>2009</v>
      </c>
      <c r="J358" s="93">
        <v>84.9</v>
      </c>
      <c r="K358">
        <v>12</v>
      </c>
      <c r="L358" s="1" t="s">
        <v>404</v>
      </c>
      <c r="M358">
        <v>0</v>
      </c>
      <c r="N358">
        <v>760</v>
      </c>
      <c r="O358">
        <v>0.111695</v>
      </c>
      <c r="P358">
        <v>3</v>
      </c>
      <c r="Q358" s="1" t="s">
        <v>560</v>
      </c>
      <c r="R358" s="93">
        <v>84.9</v>
      </c>
      <c r="S358">
        <v>67.92</v>
      </c>
      <c r="T358">
        <v>0</v>
      </c>
      <c r="U358" s="1" t="s">
        <v>589</v>
      </c>
      <c r="V358" s="1"/>
      <c r="W358">
        <v>84.891000000000005</v>
      </c>
      <c r="X358">
        <v>0</v>
      </c>
      <c r="Y358">
        <v>56875</v>
      </c>
    </row>
    <row r="359" spans="1:25" ht="15" hidden="1" customHeight="1" x14ac:dyDescent="0.25">
      <c r="A359" s="1" t="s">
        <v>27</v>
      </c>
      <c r="B359" s="1" t="s">
        <v>50</v>
      </c>
      <c r="C359" s="1" t="s">
        <v>113</v>
      </c>
      <c r="D359">
        <v>5278</v>
      </c>
      <c r="E359" s="1"/>
      <c r="F359" s="1" t="s">
        <v>113</v>
      </c>
      <c r="G359" s="1" t="s">
        <v>113</v>
      </c>
      <c r="H359" s="1" t="s">
        <v>1405</v>
      </c>
      <c r="I359">
        <v>2008</v>
      </c>
      <c r="J359" s="93">
        <v>122.46</v>
      </c>
      <c r="K359">
        <v>12</v>
      </c>
      <c r="L359" s="1" t="s">
        <v>404</v>
      </c>
      <c r="M359">
        <v>0</v>
      </c>
      <c r="N359">
        <v>760</v>
      </c>
      <c r="O359">
        <v>0.16111</v>
      </c>
      <c r="P359">
        <v>3</v>
      </c>
      <c r="Q359" s="1" t="s">
        <v>560</v>
      </c>
      <c r="R359" s="93">
        <v>122.46</v>
      </c>
      <c r="S359">
        <v>97.96</v>
      </c>
      <c r="T359">
        <v>0</v>
      </c>
      <c r="U359" s="1" t="s">
        <v>589</v>
      </c>
      <c r="V359" s="1"/>
      <c r="W359">
        <v>122.473</v>
      </c>
      <c r="X359">
        <v>0</v>
      </c>
      <c r="Y359">
        <v>56875</v>
      </c>
    </row>
    <row r="360" spans="1:25" ht="15" hidden="1" customHeight="1" x14ac:dyDescent="0.25">
      <c r="A360" s="1" t="s">
        <v>27</v>
      </c>
      <c r="B360" s="1" t="s">
        <v>51</v>
      </c>
      <c r="C360" s="1" t="s">
        <v>114</v>
      </c>
      <c r="D360">
        <v>5276</v>
      </c>
      <c r="E360" s="1"/>
      <c r="F360" s="1" t="s">
        <v>259</v>
      </c>
      <c r="G360" s="1" t="s">
        <v>114</v>
      </c>
      <c r="H360" s="1" t="s">
        <v>1405</v>
      </c>
      <c r="I360">
        <v>2015</v>
      </c>
      <c r="J360" s="93">
        <v>97</v>
      </c>
      <c r="K360">
        <v>5</v>
      </c>
      <c r="L360" s="1" t="s">
        <v>407</v>
      </c>
      <c r="M360">
        <v>0</v>
      </c>
      <c r="N360">
        <v>284</v>
      </c>
      <c r="O360">
        <v>0.140373</v>
      </c>
      <c r="P360">
        <v>3</v>
      </c>
      <c r="Q360" s="1" t="s">
        <v>560</v>
      </c>
      <c r="R360" s="93">
        <v>39.880000000000003</v>
      </c>
      <c r="S360">
        <v>31.9</v>
      </c>
      <c r="T360">
        <v>0</v>
      </c>
      <c r="U360" s="1" t="s">
        <v>590</v>
      </c>
      <c r="V360" s="1"/>
      <c r="W360">
        <v>39.872</v>
      </c>
      <c r="X360">
        <v>0</v>
      </c>
      <c r="Y360">
        <v>56863</v>
      </c>
    </row>
    <row r="361" spans="1:25" ht="15" hidden="1" customHeight="1" x14ac:dyDescent="0.25">
      <c r="A361" s="1" t="s">
        <v>27</v>
      </c>
      <c r="B361" s="1" t="s">
        <v>51</v>
      </c>
      <c r="C361" s="1" t="s">
        <v>114</v>
      </c>
      <c r="D361">
        <v>5276</v>
      </c>
      <c r="E361" s="1"/>
      <c r="F361" s="1" t="s">
        <v>259</v>
      </c>
      <c r="G361" s="1" t="s">
        <v>114</v>
      </c>
      <c r="H361" s="1" t="s">
        <v>1405</v>
      </c>
      <c r="I361">
        <v>2013</v>
      </c>
      <c r="J361" s="93">
        <v>106.74</v>
      </c>
      <c r="K361">
        <v>12</v>
      </c>
      <c r="L361" s="1" t="s">
        <v>407</v>
      </c>
      <c r="M361">
        <v>0</v>
      </c>
      <c r="N361">
        <v>284</v>
      </c>
      <c r="O361">
        <v>0.37571199999999999</v>
      </c>
      <c r="P361">
        <v>3</v>
      </c>
      <c r="Q361" s="1" t="s">
        <v>560</v>
      </c>
      <c r="R361" s="93">
        <v>106.74</v>
      </c>
      <c r="S361">
        <v>85.4</v>
      </c>
      <c r="T361">
        <v>0</v>
      </c>
      <c r="U361" s="1" t="s">
        <v>590</v>
      </c>
      <c r="V361" s="1"/>
      <c r="W361">
        <v>106.74299999999999</v>
      </c>
      <c r="X361">
        <v>0</v>
      </c>
      <c r="Y361">
        <v>56863</v>
      </c>
    </row>
    <row r="362" spans="1:25" ht="15" hidden="1" customHeight="1" x14ac:dyDescent="0.25">
      <c r="A362" s="1" t="s">
        <v>27</v>
      </c>
      <c r="B362" s="1" t="s">
        <v>51</v>
      </c>
      <c r="C362" s="1" t="s">
        <v>114</v>
      </c>
      <c r="D362">
        <v>5276</v>
      </c>
      <c r="E362" s="1"/>
      <c r="F362" s="1" t="s">
        <v>259</v>
      </c>
      <c r="G362" s="1" t="s">
        <v>114</v>
      </c>
      <c r="H362" s="1" t="s">
        <v>1405</v>
      </c>
      <c r="I362">
        <v>2012</v>
      </c>
      <c r="J362" s="93">
        <v>146.86000000000001</v>
      </c>
      <c r="K362">
        <v>12</v>
      </c>
      <c r="L362" s="1" t="s">
        <v>407</v>
      </c>
      <c r="M362">
        <v>0</v>
      </c>
      <c r="N362">
        <v>284</v>
      </c>
      <c r="O362">
        <v>0.51693</v>
      </c>
      <c r="P362">
        <v>3</v>
      </c>
      <c r="Q362" s="1" t="s">
        <v>560</v>
      </c>
      <c r="R362" s="93">
        <v>146.86000000000001</v>
      </c>
      <c r="S362">
        <v>117.5</v>
      </c>
      <c r="T362">
        <v>0</v>
      </c>
      <c r="U362" s="1" t="s">
        <v>590</v>
      </c>
      <c r="V362" s="1"/>
      <c r="W362">
        <v>146.87700000000001</v>
      </c>
      <c r="X362">
        <v>0</v>
      </c>
      <c r="Y362">
        <v>56863</v>
      </c>
    </row>
    <row r="363" spans="1:25" ht="15" hidden="1" customHeight="1" x14ac:dyDescent="0.25">
      <c r="A363" s="1" t="s">
        <v>27</v>
      </c>
      <c r="B363" s="1" t="s">
        <v>51</v>
      </c>
      <c r="C363" s="1" t="s">
        <v>114</v>
      </c>
      <c r="D363">
        <v>5276</v>
      </c>
      <c r="E363" s="1"/>
      <c r="F363" s="1" t="s">
        <v>259</v>
      </c>
      <c r="G363" s="1" t="s">
        <v>114</v>
      </c>
      <c r="H363" s="1" t="s">
        <v>1405</v>
      </c>
      <c r="I363">
        <v>2011</v>
      </c>
      <c r="J363" s="93">
        <v>233.34</v>
      </c>
      <c r="K363">
        <v>12</v>
      </c>
      <c r="L363" s="1" t="s">
        <v>407</v>
      </c>
      <c r="M363">
        <v>0</v>
      </c>
      <c r="N363">
        <v>284</v>
      </c>
      <c r="O363">
        <v>0.82133</v>
      </c>
      <c r="P363">
        <v>3</v>
      </c>
      <c r="Q363" s="1" t="s">
        <v>560</v>
      </c>
      <c r="R363" s="93">
        <v>233.34</v>
      </c>
      <c r="S363">
        <v>186.68</v>
      </c>
      <c r="T363">
        <v>0</v>
      </c>
      <c r="U363" s="1" t="s">
        <v>590</v>
      </c>
      <c r="V363" s="1"/>
      <c r="W363">
        <v>233.32900000000001</v>
      </c>
      <c r="X363">
        <v>0</v>
      </c>
      <c r="Y363">
        <v>56863</v>
      </c>
    </row>
    <row r="364" spans="1:25" ht="15" hidden="1" customHeight="1" x14ac:dyDescent="0.25">
      <c r="A364" s="1" t="s">
        <v>27</v>
      </c>
      <c r="B364" s="1" t="s">
        <v>51</v>
      </c>
      <c r="C364" s="1" t="s">
        <v>114</v>
      </c>
      <c r="D364">
        <v>5276</v>
      </c>
      <c r="E364" s="1"/>
      <c r="F364" s="1" t="s">
        <v>259</v>
      </c>
      <c r="G364" s="1" t="s">
        <v>114</v>
      </c>
      <c r="H364" s="1" t="s">
        <v>1405</v>
      </c>
      <c r="I364">
        <v>2010</v>
      </c>
      <c r="J364" s="93">
        <v>122.72</v>
      </c>
      <c r="K364">
        <v>12</v>
      </c>
      <c r="L364" s="1" t="s">
        <v>407</v>
      </c>
      <c r="M364">
        <v>0</v>
      </c>
      <c r="N364">
        <v>284</v>
      </c>
      <c r="O364">
        <v>0.43196000000000001</v>
      </c>
      <c r="P364">
        <v>3</v>
      </c>
      <c r="Q364" s="1" t="s">
        <v>560</v>
      </c>
      <c r="R364" s="93">
        <v>122.72</v>
      </c>
      <c r="S364">
        <v>98.17</v>
      </c>
      <c r="T364">
        <v>0</v>
      </c>
      <c r="U364" s="1" t="s">
        <v>590</v>
      </c>
      <c r="V364" s="1"/>
      <c r="W364">
        <v>122.73399999999999</v>
      </c>
      <c r="X364">
        <v>0</v>
      </c>
      <c r="Y364">
        <v>56863</v>
      </c>
    </row>
    <row r="365" spans="1:25" ht="15" hidden="1" customHeight="1" x14ac:dyDescent="0.25">
      <c r="A365" s="1" t="s">
        <v>27</v>
      </c>
      <c r="B365" s="1" t="s">
        <v>51</v>
      </c>
      <c r="C365" s="1" t="s">
        <v>114</v>
      </c>
      <c r="D365">
        <v>5276</v>
      </c>
      <c r="E365" s="1"/>
      <c r="F365" s="1" t="s">
        <v>259</v>
      </c>
      <c r="G365" s="1" t="s">
        <v>114</v>
      </c>
      <c r="H365" s="1" t="s">
        <v>1405</v>
      </c>
      <c r="I365">
        <v>2009</v>
      </c>
      <c r="J365" s="93">
        <v>106.54</v>
      </c>
      <c r="K365">
        <v>12</v>
      </c>
      <c r="L365" s="1" t="s">
        <v>407</v>
      </c>
      <c r="M365">
        <v>0</v>
      </c>
      <c r="N365">
        <v>284</v>
      </c>
      <c r="O365">
        <v>0.37500800000000001</v>
      </c>
      <c r="P365">
        <v>3</v>
      </c>
      <c r="Q365" s="1" t="s">
        <v>560</v>
      </c>
      <c r="R365" s="93">
        <v>106.54</v>
      </c>
      <c r="S365">
        <v>85.21</v>
      </c>
      <c r="T365">
        <v>0</v>
      </c>
      <c r="U365" s="1" t="s">
        <v>590</v>
      </c>
      <c r="V365" s="1"/>
      <c r="W365">
        <v>106.523</v>
      </c>
      <c r="X365">
        <v>0</v>
      </c>
      <c r="Y365">
        <v>56863</v>
      </c>
    </row>
    <row r="366" spans="1:25" ht="15" hidden="1" customHeight="1" x14ac:dyDescent="0.25">
      <c r="A366" s="1" t="s">
        <v>27</v>
      </c>
      <c r="B366" s="1" t="s">
        <v>51</v>
      </c>
      <c r="C366" s="1" t="s">
        <v>114</v>
      </c>
      <c r="D366">
        <v>5276</v>
      </c>
      <c r="E366" s="1"/>
      <c r="F366" s="1" t="s">
        <v>259</v>
      </c>
      <c r="G366" s="1" t="s">
        <v>114</v>
      </c>
      <c r="H366" s="1" t="s">
        <v>1405</v>
      </c>
      <c r="I366">
        <v>2008</v>
      </c>
      <c r="J366" s="93">
        <v>126.27</v>
      </c>
      <c r="K366">
        <v>12</v>
      </c>
      <c r="L366" s="1" t="s">
        <v>407</v>
      </c>
      <c r="M366">
        <v>0</v>
      </c>
      <c r="N366">
        <v>284</v>
      </c>
      <c r="O366">
        <v>0.44445600000000002</v>
      </c>
      <c r="P366">
        <v>3</v>
      </c>
      <c r="Q366" s="1" t="s">
        <v>560</v>
      </c>
      <c r="R366" s="93">
        <v>126.27</v>
      </c>
      <c r="S366">
        <v>101.03</v>
      </c>
      <c r="T366">
        <v>0</v>
      </c>
      <c r="U366" s="1" t="s">
        <v>590</v>
      </c>
      <c r="V366" s="1"/>
      <c r="W366">
        <v>126.27800000000001</v>
      </c>
      <c r="X366">
        <v>0</v>
      </c>
      <c r="Y366">
        <v>56863</v>
      </c>
    </row>
    <row r="367" spans="1:25" ht="15" hidden="1" customHeight="1" x14ac:dyDescent="0.25">
      <c r="A367" s="1" t="s">
        <v>27</v>
      </c>
      <c r="B367" s="1"/>
      <c r="C367" s="1" t="s">
        <v>115</v>
      </c>
      <c r="D367">
        <v>9970</v>
      </c>
      <c r="E367" s="1"/>
      <c r="F367" s="1" t="s">
        <v>260</v>
      </c>
      <c r="G367" s="1" t="s">
        <v>115</v>
      </c>
      <c r="H367" s="1" t="s">
        <v>1405</v>
      </c>
      <c r="I367">
        <v>2015</v>
      </c>
      <c r="J367" s="93">
        <v>534</v>
      </c>
      <c r="K367">
        <v>5</v>
      </c>
      <c r="L367" s="1" t="s">
        <v>408</v>
      </c>
      <c r="M367">
        <v>0</v>
      </c>
      <c r="N367">
        <v>864</v>
      </c>
      <c r="O367">
        <v>0.269459</v>
      </c>
      <c r="P367">
        <v>3</v>
      </c>
      <c r="Q367" s="1" t="s">
        <v>560</v>
      </c>
      <c r="R367" s="93">
        <v>232.84</v>
      </c>
      <c r="S367">
        <v>186.28</v>
      </c>
      <c r="T367">
        <v>0</v>
      </c>
      <c r="U367" s="1"/>
      <c r="V367" s="1"/>
      <c r="W367">
        <v>232.84399999999999</v>
      </c>
      <c r="X367">
        <v>0</v>
      </c>
      <c r="Y367">
        <v>76388</v>
      </c>
    </row>
    <row r="368" spans="1:25" ht="15" hidden="1" customHeight="1" x14ac:dyDescent="0.25">
      <c r="A368" s="1" t="s">
        <v>27</v>
      </c>
      <c r="B368" s="1"/>
      <c r="C368" s="1" t="s">
        <v>115</v>
      </c>
      <c r="D368">
        <v>9970</v>
      </c>
      <c r="E368" s="1"/>
      <c r="F368" s="1" t="s">
        <v>260</v>
      </c>
      <c r="G368" s="1" t="s">
        <v>115</v>
      </c>
      <c r="H368" s="1" t="s">
        <v>1405</v>
      </c>
      <c r="I368">
        <v>2013</v>
      </c>
      <c r="J368" s="93">
        <v>691.9</v>
      </c>
      <c r="K368">
        <v>12</v>
      </c>
      <c r="L368" s="1" t="s">
        <v>408</v>
      </c>
      <c r="M368">
        <v>0</v>
      </c>
      <c r="N368">
        <v>864</v>
      </c>
      <c r="O368">
        <v>0.80071700000000001</v>
      </c>
      <c r="P368">
        <v>3</v>
      </c>
      <c r="Q368" s="1" t="s">
        <v>560</v>
      </c>
      <c r="R368" s="93">
        <v>691.9</v>
      </c>
      <c r="S368">
        <v>553.52</v>
      </c>
      <c r="T368">
        <v>0</v>
      </c>
      <c r="U368" s="1"/>
      <c r="V368" s="1"/>
      <c r="W368">
        <v>691.9</v>
      </c>
      <c r="X368">
        <v>0</v>
      </c>
      <c r="Y368">
        <v>76388</v>
      </c>
    </row>
    <row r="369" spans="1:25" ht="15" hidden="1" customHeight="1" x14ac:dyDescent="0.25">
      <c r="A369" s="1" t="s">
        <v>27</v>
      </c>
      <c r="B369" s="1"/>
      <c r="C369" s="1" t="s">
        <v>115</v>
      </c>
      <c r="D369">
        <v>9970</v>
      </c>
      <c r="E369" s="1"/>
      <c r="F369" s="1" t="s">
        <v>260</v>
      </c>
      <c r="G369" s="1" t="s">
        <v>115</v>
      </c>
      <c r="H369" s="1" t="s">
        <v>1405</v>
      </c>
      <c r="I369">
        <v>2012</v>
      </c>
      <c r="J369" s="93">
        <v>615.9</v>
      </c>
      <c r="K369">
        <v>12</v>
      </c>
      <c r="L369" s="1" t="s">
        <v>408</v>
      </c>
      <c r="M369">
        <v>0</v>
      </c>
      <c r="N369">
        <v>796</v>
      </c>
      <c r="O369">
        <v>0.77364599999999994</v>
      </c>
      <c r="P369">
        <v>3</v>
      </c>
      <c r="Q369" s="1" t="s">
        <v>560</v>
      </c>
      <c r="R369" s="93">
        <v>615.9</v>
      </c>
      <c r="S369">
        <v>492.72</v>
      </c>
      <c r="T369">
        <v>0</v>
      </c>
      <c r="U369" s="1"/>
      <c r="V369" s="1"/>
      <c r="W369">
        <v>615.9</v>
      </c>
      <c r="X369">
        <v>0</v>
      </c>
      <c r="Y369">
        <v>76388</v>
      </c>
    </row>
    <row r="370" spans="1:25" ht="15" hidden="1" customHeight="1" x14ac:dyDescent="0.25">
      <c r="A370" s="1" t="s">
        <v>27</v>
      </c>
      <c r="B370" s="1"/>
      <c r="C370" s="1" t="s">
        <v>115</v>
      </c>
      <c r="D370">
        <v>9970</v>
      </c>
      <c r="E370" s="1"/>
      <c r="F370" s="1" t="s">
        <v>260</v>
      </c>
      <c r="G370" s="1" t="s">
        <v>115</v>
      </c>
      <c r="H370" s="1" t="s">
        <v>1405</v>
      </c>
      <c r="I370">
        <v>2011</v>
      </c>
      <c r="J370" s="93">
        <v>478.5</v>
      </c>
      <c r="K370">
        <v>12</v>
      </c>
      <c r="L370" s="1" t="s">
        <v>408</v>
      </c>
      <c r="M370">
        <v>0</v>
      </c>
      <c r="N370">
        <v>774</v>
      </c>
      <c r="O370">
        <v>0.61813700000000005</v>
      </c>
      <c r="P370">
        <v>3</v>
      </c>
      <c r="Q370" s="1" t="s">
        <v>560</v>
      </c>
      <c r="R370" s="93">
        <v>478.5</v>
      </c>
      <c r="S370">
        <v>382.8</v>
      </c>
      <c r="T370">
        <v>0</v>
      </c>
      <c r="U370" s="1"/>
      <c r="V370" s="1"/>
      <c r="W370">
        <v>478.5</v>
      </c>
      <c r="X370">
        <v>0</v>
      </c>
      <c r="Y370">
        <v>76388</v>
      </c>
    </row>
    <row r="371" spans="1:25" ht="15" hidden="1" customHeight="1" x14ac:dyDescent="0.25">
      <c r="A371" s="1" t="s">
        <v>27</v>
      </c>
      <c r="B371" s="1"/>
      <c r="C371" s="1" t="s">
        <v>115</v>
      </c>
      <c r="D371">
        <v>9970</v>
      </c>
      <c r="E371" s="1"/>
      <c r="F371" s="1" t="s">
        <v>260</v>
      </c>
      <c r="G371" s="1" t="s">
        <v>115</v>
      </c>
      <c r="H371" s="1" t="s">
        <v>1405</v>
      </c>
      <c r="I371">
        <v>2010</v>
      </c>
      <c r="J371" s="93">
        <v>475.1</v>
      </c>
      <c r="K371">
        <v>12</v>
      </c>
      <c r="L371" s="1" t="s">
        <v>408</v>
      </c>
      <c r="M371">
        <v>0</v>
      </c>
      <c r="N371">
        <v>774</v>
      </c>
      <c r="O371">
        <v>0.61374399999999996</v>
      </c>
      <c r="P371">
        <v>3</v>
      </c>
      <c r="Q371" s="1" t="s">
        <v>560</v>
      </c>
      <c r="R371" s="93">
        <v>475.1</v>
      </c>
      <c r="S371">
        <v>380.08</v>
      </c>
      <c r="T371">
        <v>0</v>
      </c>
      <c r="U371" s="1"/>
      <c r="V371" s="1"/>
      <c r="W371">
        <v>475.1</v>
      </c>
      <c r="X371">
        <v>0</v>
      </c>
      <c r="Y371">
        <v>76388</v>
      </c>
    </row>
    <row r="372" spans="1:25" ht="15" hidden="1" customHeight="1" x14ac:dyDescent="0.25">
      <c r="A372" s="1" t="s">
        <v>27</v>
      </c>
      <c r="B372" s="1"/>
      <c r="C372" s="1" t="s">
        <v>115</v>
      </c>
      <c r="D372">
        <v>9970</v>
      </c>
      <c r="E372" s="1"/>
      <c r="F372" s="1" t="s">
        <v>260</v>
      </c>
      <c r="G372" s="1" t="s">
        <v>115</v>
      </c>
      <c r="H372" s="1" t="s">
        <v>1405</v>
      </c>
      <c r="I372">
        <v>2009</v>
      </c>
      <c r="J372" s="93">
        <v>543.19000000000005</v>
      </c>
      <c r="K372">
        <v>11</v>
      </c>
      <c r="L372" s="1" t="s">
        <v>408</v>
      </c>
      <c r="M372">
        <v>0</v>
      </c>
      <c r="N372">
        <v>774</v>
      </c>
      <c r="O372">
        <v>0.70170500000000002</v>
      </c>
      <c r="P372">
        <v>3</v>
      </c>
      <c r="Q372" s="1" t="s">
        <v>560</v>
      </c>
      <c r="R372" s="93">
        <v>543.19000000000005</v>
      </c>
      <c r="S372">
        <v>434.55</v>
      </c>
      <c r="T372">
        <v>0</v>
      </c>
      <c r="U372" s="1"/>
      <c r="V372" s="1"/>
      <c r="W372">
        <v>543.20001000000002</v>
      </c>
      <c r="X372">
        <v>0</v>
      </c>
      <c r="Y372">
        <v>76388</v>
      </c>
    </row>
    <row r="373" spans="1:25" ht="15" hidden="1" customHeight="1" x14ac:dyDescent="0.25">
      <c r="A373" s="1" t="s">
        <v>27</v>
      </c>
      <c r="B373" s="1"/>
      <c r="C373" s="1" t="s">
        <v>115</v>
      </c>
      <c r="D373">
        <v>9970</v>
      </c>
      <c r="E373" s="1"/>
      <c r="F373" s="1" t="s">
        <v>260</v>
      </c>
      <c r="G373" s="1" t="s">
        <v>115</v>
      </c>
      <c r="H373" s="1" t="s">
        <v>1405</v>
      </c>
      <c r="I373">
        <v>2008</v>
      </c>
      <c r="J373" s="93">
        <v>684.19</v>
      </c>
      <c r="K373">
        <v>7</v>
      </c>
      <c r="L373" s="1" t="s">
        <v>408</v>
      </c>
      <c r="M373">
        <v>0</v>
      </c>
      <c r="N373">
        <v>774</v>
      </c>
      <c r="O373">
        <v>0.88385199999999997</v>
      </c>
      <c r="P373">
        <v>3</v>
      </c>
      <c r="Q373" s="1" t="s">
        <v>560</v>
      </c>
      <c r="R373" s="93">
        <v>684.19</v>
      </c>
      <c r="S373">
        <v>547.34</v>
      </c>
      <c r="T373">
        <v>0</v>
      </c>
      <c r="U373" s="1"/>
      <c r="V373" s="1"/>
      <c r="W373">
        <v>684.16980000000001</v>
      </c>
      <c r="X373">
        <v>0</v>
      </c>
      <c r="Y373">
        <v>76388</v>
      </c>
    </row>
    <row r="374" spans="1:25" ht="15" hidden="1" customHeight="1" x14ac:dyDescent="0.25">
      <c r="A374" s="1" t="s">
        <v>27</v>
      </c>
      <c r="B374" s="1" t="s">
        <v>52</v>
      </c>
      <c r="C374" s="1" t="s">
        <v>116</v>
      </c>
      <c r="D374">
        <v>5252</v>
      </c>
      <c r="E374" s="1"/>
      <c r="F374" s="1" t="s">
        <v>116</v>
      </c>
      <c r="G374" s="1" t="s">
        <v>116</v>
      </c>
      <c r="H374" s="1" t="s">
        <v>1405</v>
      </c>
      <c r="I374">
        <v>2015</v>
      </c>
      <c r="J374" s="93">
        <v>476</v>
      </c>
      <c r="K374">
        <v>5</v>
      </c>
      <c r="L374" s="1" t="s">
        <v>404</v>
      </c>
      <c r="M374">
        <v>0</v>
      </c>
      <c r="N374">
        <v>752</v>
      </c>
      <c r="O374">
        <v>0.223028</v>
      </c>
      <c r="P374">
        <v>3</v>
      </c>
      <c r="Q374" s="1" t="s">
        <v>560</v>
      </c>
      <c r="R374" s="93">
        <v>167.74</v>
      </c>
      <c r="S374">
        <v>134.19</v>
      </c>
      <c r="T374">
        <v>0</v>
      </c>
      <c r="U374" s="1" t="s">
        <v>591</v>
      </c>
      <c r="V374" s="1"/>
      <c r="W374">
        <v>167.73699999999999</v>
      </c>
      <c r="X374">
        <v>0</v>
      </c>
      <c r="Y374">
        <v>56689</v>
      </c>
    </row>
    <row r="375" spans="1:25" ht="15" hidden="1" customHeight="1" x14ac:dyDescent="0.25">
      <c r="A375" s="1" t="s">
        <v>27</v>
      </c>
      <c r="B375" s="1" t="s">
        <v>52</v>
      </c>
      <c r="C375" s="1" t="s">
        <v>116</v>
      </c>
      <c r="D375">
        <v>5252</v>
      </c>
      <c r="E375" s="1"/>
      <c r="F375" s="1" t="s">
        <v>116</v>
      </c>
      <c r="G375" s="1" t="s">
        <v>116</v>
      </c>
      <c r="H375" s="1" t="s">
        <v>1405</v>
      </c>
      <c r="I375">
        <v>2013</v>
      </c>
      <c r="J375" s="93">
        <v>404.13</v>
      </c>
      <c r="K375">
        <v>12</v>
      </c>
      <c r="L375" s="1" t="s">
        <v>404</v>
      </c>
      <c r="M375">
        <v>0</v>
      </c>
      <c r="N375">
        <v>752</v>
      </c>
      <c r="O375">
        <v>0.53733500000000001</v>
      </c>
      <c r="P375">
        <v>3</v>
      </c>
      <c r="Q375" s="1" t="s">
        <v>560</v>
      </c>
      <c r="R375" s="93">
        <v>404.13</v>
      </c>
      <c r="S375">
        <v>323.29000000000002</v>
      </c>
      <c r="T375">
        <v>0</v>
      </c>
      <c r="U375" s="1" t="s">
        <v>591</v>
      </c>
      <c r="V375" s="1"/>
      <c r="W375">
        <v>404.12700000000001</v>
      </c>
      <c r="X375">
        <v>0</v>
      </c>
      <c r="Y375">
        <v>56689</v>
      </c>
    </row>
    <row r="376" spans="1:25" ht="15" hidden="1" customHeight="1" x14ac:dyDescent="0.25">
      <c r="A376" s="1" t="s">
        <v>27</v>
      </c>
      <c r="B376" s="1" t="s">
        <v>52</v>
      </c>
      <c r="C376" s="1" t="s">
        <v>116</v>
      </c>
      <c r="D376">
        <v>5252</v>
      </c>
      <c r="E376" s="1"/>
      <c r="F376" s="1" t="s">
        <v>116</v>
      </c>
      <c r="G376" s="1" t="s">
        <v>116</v>
      </c>
      <c r="H376" s="1" t="s">
        <v>1405</v>
      </c>
      <c r="I376">
        <v>2012</v>
      </c>
      <c r="J376" s="93">
        <v>424.72</v>
      </c>
      <c r="K376">
        <v>12</v>
      </c>
      <c r="L376" s="1" t="s">
        <v>404</v>
      </c>
      <c r="M376">
        <v>0</v>
      </c>
      <c r="N376">
        <v>752</v>
      </c>
      <c r="O376">
        <v>0.56471199999999999</v>
      </c>
      <c r="P376">
        <v>3</v>
      </c>
      <c r="Q376" s="1" t="s">
        <v>560</v>
      </c>
      <c r="R376" s="93">
        <v>424.72</v>
      </c>
      <c r="S376">
        <v>339.77</v>
      </c>
      <c r="T376">
        <v>0</v>
      </c>
      <c r="U376" s="1" t="s">
        <v>591</v>
      </c>
      <c r="V376" s="1"/>
      <c r="W376">
        <v>424.71800000000002</v>
      </c>
      <c r="X376">
        <v>0</v>
      </c>
      <c r="Y376">
        <v>56689</v>
      </c>
    </row>
    <row r="377" spans="1:25" ht="15" hidden="1" customHeight="1" x14ac:dyDescent="0.25">
      <c r="A377" s="1" t="s">
        <v>27</v>
      </c>
      <c r="B377" s="1" t="s">
        <v>52</v>
      </c>
      <c r="C377" s="1" t="s">
        <v>116</v>
      </c>
      <c r="D377">
        <v>5252</v>
      </c>
      <c r="E377" s="1"/>
      <c r="F377" s="1" t="s">
        <v>116</v>
      </c>
      <c r="G377" s="1" t="s">
        <v>116</v>
      </c>
      <c r="H377" s="1" t="s">
        <v>1405</v>
      </c>
      <c r="I377">
        <v>2011</v>
      </c>
      <c r="J377" s="93">
        <v>419.28</v>
      </c>
      <c r="K377">
        <v>12</v>
      </c>
      <c r="L377" s="1" t="s">
        <v>404</v>
      </c>
      <c r="M377">
        <v>0</v>
      </c>
      <c r="N377">
        <v>752</v>
      </c>
      <c r="O377">
        <v>0.55747899999999995</v>
      </c>
      <c r="P377">
        <v>3</v>
      </c>
      <c r="Q377" s="1" t="s">
        <v>560</v>
      </c>
      <c r="R377" s="93">
        <v>419.28</v>
      </c>
      <c r="S377">
        <v>335.45</v>
      </c>
      <c r="T377">
        <v>0</v>
      </c>
      <c r="U377" s="1" t="s">
        <v>591</v>
      </c>
      <c r="V377" s="1"/>
      <c r="W377">
        <v>419.291</v>
      </c>
      <c r="X377">
        <v>0</v>
      </c>
      <c r="Y377">
        <v>56689</v>
      </c>
    </row>
    <row r="378" spans="1:25" ht="15" hidden="1" customHeight="1" x14ac:dyDescent="0.25">
      <c r="A378" s="1" t="s">
        <v>27</v>
      </c>
      <c r="B378" s="1" t="s">
        <v>52</v>
      </c>
      <c r="C378" s="1" t="s">
        <v>116</v>
      </c>
      <c r="D378">
        <v>5252</v>
      </c>
      <c r="E378" s="1"/>
      <c r="F378" s="1" t="s">
        <v>116</v>
      </c>
      <c r="G378" s="1" t="s">
        <v>116</v>
      </c>
      <c r="H378" s="1" t="s">
        <v>1405</v>
      </c>
      <c r="I378">
        <v>2010</v>
      </c>
      <c r="J378" s="93">
        <v>379.38</v>
      </c>
      <c r="K378">
        <v>12</v>
      </c>
      <c r="L378" s="1" t="s">
        <v>404</v>
      </c>
      <c r="M378">
        <v>0</v>
      </c>
      <c r="N378">
        <v>752</v>
      </c>
      <c r="O378">
        <v>0.50442699999999996</v>
      </c>
      <c r="P378">
        <v>3</v>
      </c>
      <c r="Q378" s="1" t="s">
        <v>560</v>
      </c>
      <c r="R378" s="93">
        <v>379.38</v>
      </c>
      <c r="S378">
        <v>303.5</v>
      </c>
      <c r="T378">
        <v>0</v>
      </c>
      <c r="U378" s="1" t="s">
        <v>591</v>
      </c>
      <c r="V378" s="1"/>
      <c r="W378">
        <v>379.36700000000002</v>
      </c>
      <c r="X378">
        <v>0</v>
      </c>
      <c r="Y378">
        <v>56689</v>
      </c>
    </row>
    <row r="379" spans="1:25" ht="15" hidden="1" customHeight="1" x14ac:dyDescent="0.25">
      <c r="A379" s="1" t="s">
        <v>27</v>
      </c>
      <c r="B379" s="1" t="s">
        <v>52</v>
      </c>
      <c r="C379" s="1" t="s">
        <v>116</v>
      </c>
      <c r="D379">
        <v>5252</v>
      </c>
      <c r="E379" s="1"/>
      <c r="F379" s="1" t="s">
        <v>116</v>
      </c>
      <c r="G379" s="1" t="s">
        <v>116</v>
      </c>
      <c r="H379" s="1" t="s">
        <v>1405</v>
      </c>
      <c r="I379">
        <v>2009</v>
      </c>
      <c r="J379" s="93">
        <v>378.39</v>
      </c>
      <c r="K379">
        <v>12</v>
      </c>
      <c r="L379" s="1" t="s">
        <v>404</v>
      </c>
      <c r="M379">
        <v>0</v>
      </c>
      <c r="N379">
        <v>752</v>
      </c>
      <c r="O379">
        <v>0.50311099999999997</v>
      </c>
      <c r="P379">
        <v>3</v>
      </c>
      <c r="Q379" s="1" t="s">
        <v>560</v>
      </c>
      <c r="R379" s="93">
        <v>378.39</v>
      </c>
      <c r="S379">
        <v>302.72000000000003</v>
      </c>
      <c r="T379">
        <v>0</v>
      </c>
      <c r="U379" s="1" t="s">
        <v>591</v>
      </c>
      <c r="V379" s="1"/>
      <c r="W379">
        <v>378.40199999999999</v>
      </c>
      <c r="X379">
        <v>0</v>
      </c>
      <c r="Y379">
        <v>56689</v>
      </c>
    </row>
    <row r="380" spans="1:25" ht="15" hidden="1" customHeight="1" x14ac:dyDescent="0.25">
      <c r="A380" s="1" t="s">
        <v>27</v>
      </c>
      <c r="B380" s="1" t="s">
        <v>52</v>
      </c>
      <c r="C380" s="1" t="s">
        <v>116</v>
      </c>
      <c r="D380">
        <v>5252</v>
      </c>
      <c r="E380" s="1"/>
      <c r="F380" s="1" t="s">
        <v>116</v>
      </c>
      <c r="G380" s="1" t="s">
        <v>116</v>
      </c>
      <c r="H380" s="1" t="s">
        <v>1405</v>
      </c>
      <c r="I380">
        <v>2008</v>
      </c>
      <c r="J380" s="93">
        <v>404.61</v>
      </c>
      <c r="K380">
        <v>12</v>
      </c>
      <c r="L380" s="1" t="s">
        <v>404</v>
      </c>
      <c r="M380">
        <v>0</v>
      </c>
      <c r="N380">
        <v>752</v>
      </c>
      <c r="O380">
        <v>0.53797300000000003</v>
      </c>
      <c r="P380">
        <v>3</v>
      </c>
      <c r="Q380" s="1" t="s">
        <v>560</v>
      </c>
      <c r="R380" s="93">
        <v>404.61</v>
      </c>
      <c r="S380">
        <v>323.69</v>
      </c>
      <c r="T380">
        <v>0</v>
      </c>
      <c r="U380" s="1" t="s">
        <v>591</v>
      </c>
      <c r="V380" s="1"/>
      <c r="W380">
        <v>404.62799999999999</v>
      </c>
      <c r="X380">
        <v>0</v>
      </c>
      <c r="Y380">
        <v>56689</v>
      </c>
    </row>
    <row r="381" spans="1:25" ht="15" hidden="1" customHeight="1" x14ac:dyDescent="0.25">
      <c r="A381" s="1" t="s">
        <v>27</v>
      </c>
      <c r="B381" s="1"/>
      <c r="C381" s="1" t="s">
        <v>117</v>
      </c>
      <c r="D381">
        <v>9977</v>
      </c>
      <c r="E381" s="1"/>
      <c r="F381" s="1" t="s">
        <v>261</v>
      </c>
      <c r="G381" s="1" t="s">
        <v>117</v>
      </c>
      <c r="H381" s="1" t="s">
        <v>1405</v>
      </c>
      <c r="I381">
        <v>2015</v>
      </c>
      <c r="J381" s="93">
        <v>438</v>
      </c>
      <c r="K381">
        <v>5</v>
      </c>
      <c r="L381" s="1" t="s">
        <v>405</v>
      </c>
      <c r="M381">
        <v>0</v>
      </c>
      <c r="N381">
        <v>487</v>
      </c>
      <c r="O381">
        <v>0.34459000000000001</v>
      </c>
      <c r="P381">
        <v>3</v>
      </c>
      <c r="Q381" s="1" t="s">
        <v>560</v>
      </c>
      <c r="R381" s="93">
        <v>167.85</v>
      </c>
      <c r="S381">
        <v>134.27000000000001</v>
      </c>
      <c r="T381">
        <v>0</v>
      </c>
      <c r="U381" s="1"/>
      <c r="V381" s="1"/>
      <c r="W381">
        <v>167.846</v>
      </c>
      <c r="X381">
        <v>0</v>
      </c>
      <c r="Y381">
        <v>76403</v>
      </c>
    </row>
    <row r="382" spans="1:25" ht="15" hidden="1" customHeight="1" x14ac:dyDescent="0.25">
      <c r="A382" s="1" t="s">
        <v>27</v>
      </c>
      <c r="B382" s="1"/>
      <c r="C382" s="1" t="s">
        <v>117</v>
      </c>
      <c r="D382">
        <v>9977</v>
      </c>
      <c r="E382" s="1"/>
      <c r="F382" s="1" t="s">
        <v>261</v>
      </c>
      <c r="G382" s="1" t="s">
        <v>117</v>
      </c>
      <c r="H382" s="1" t="s">
        <v>1405</v>
      </c>
      <c r="I382">
        <v>2013</v>
      </c>
      <c r="J382" s="93">
        <v>422.6</v>
      </c>
      <c r="K382">
        <v>12</v>
      </c>
      <c r="L382" s="1" t="s">
        <v>405</v>
      </c>
      <c r="M382">
        <v>0</v>
      </c>
      <c r="N382">
        <v>487</v>
      </c>
      <c r="O382">
        <v>0.86758299999999999</v>
      </c>
      <c r="P382">
        <v>3</v>
      </c>
      <c r="Q382" s="1" t="s">
        <v>560</v>
      </c>
      <c r="R382" s="93">
        <v>422.6</v>
      </c>
      <c r="S382">
        <v>338.08</v>
      </c>
      <c r="T382">
        <v>0</v>
      </c>
      <c r="U382" s="1"/>
      <c r="V382" s="1"/>
      <c r="W382">
        <v>422.6</v>
      </c>
      <c r="X382">
        <v>0</v>
      </c>
      <c r="Y382">
        <v>76403</v>
      </c>
    </row>
    <row r="383" spans="1:25" ht="15" hidden="1" customHeight="1" x14ac:dyDescent="0.25">
      <c r="A383" s="1" t="s">
        <v>27</v>
      </c>
      <c r="B383" s="1"/>
      <c r="C383" s="1" t="s">
        <v>117</v>
      </c>
      <c r="D383">
        <v>9977</v>
      </c>
      <c r="E383" s="1"/>
      <c r="F383" s="1" t="s">
        <v>261</v>
      </c>
      <c r="G383" s="1" t="s">
        <v>117</v>
      </c>
      <c r="H383" s="1" t="s">
        <v>1405</v>
      </c>
      <c r="I383">
        <v>2012</v>
      </c>
      <c r="J383" s="93">
        <v>475.3</v>
      </c>
      <c r="K383">
        <v>12</v>
      </c>
      <c r="L383" s="1" t="s">
        <v>405</v>
      </c>
      <c r="M383">
        <v>0</v>
      </c>
      <c r="N383">
        <v>487</v>
      </c>
      <c r="O383">
        <v>0.97577400000000003</v>
      </c>
      <c r="P383">
        <v>3</v>
      </c>
      <c r="Q383" s="1" t="s">
        <v>560</v>
      </c>
      <c r="R383" s="93">
        <v>475.3</v>
      </c>
      <c r="S383">
        <v>380.24</v>
      </c>
      <c r="T383">
        <v>0</v>
      </c>
      <c r="U383" s="1"/>
      <c r="V383" s="1"/>
      <c r="W383">
        <v>475.3</v>
      </c>
      <c r="X383">
        <v>0</v>
      </c>
      <c r="Y383">
        <v>76403</v>
      </c>
    </row>
    <row r="384" spans="1:25" ht="15" hidden="1" customHeight="1" x14ac:dyDescent="0.25">
      <c r="A384" s="1" t="s">
        <v>27</v>
      </c>
      <c r="B384" s="1"/>
      <c r="C384" s="1" t="s">
        <v>117</v>
      </c>
      <c r="D384">
        <v>9977</v>
      </c>
      <c r="E384" s="1"/>
      <c r="F384" s="1" t="s">
        <v>261</v>
      </c>
      <c r="G384" s="1" t="s">
        <v>117</v>
      </c>
      <c r="H384" s="1" t="s">
        <v>1405</v>
      </c>
      <c r="I384">
        <v>2011</v>
      </c>
      <c r="J384" s="93">
        <v>678.1</v>
      </c>
      <c r="K384">
        <v>12</v>
      </c>
      <c r="L384" s="1" t="s">
        <v>405</v>
      </c>
      <c r="M384">
        <v>0</v>
      </c>
      <c r="N384">
        <v>487</v>
      </c>
      <c r="O384">
        <v>1.3921159999999999</v>
      </c>
      <c r="P384">
        <v>3</v>
      </c>
      <c r="Q384" s="1" t="s">
        <v>560</v>
      </c>
      <c r="R384" s="93">
        <v>678.1</v>
      </c>
      <c r="S384">
        <v>542.48</v>
      </c>
      <c r="T384">
        <v>0</v>
      </c>
      <c r="U384" s="1"/>
      <c r="V384" s="1"/>
      <c r="W384">
        <v>678.1</v>
      </c>
      <c r="X384">
        <v>0</v>
      </c>
      <c r="Y384">
        <v>76403</v>
      </c>
    </row>
    <row r="385" spans="1:25" ht="15" hidden="1" customHeight="1" x14ac:dyDescent="0.25">
      <c r="A385" s="1" t="s">
        <v>27</v>
      </c>
      <c r="B385" s="1"/>
      <c r="C385" s="1" t="s">
        <v>117</v>
      </c>
      <c r="D385">
        <v>9977</v>
      </c>
      <c r="E385" s="1"/>
      <c r="F385" s="1" t="s">
        <v>261</v>
      </c>
      <c r="G385" s="1" t="s">
        <v>117</v>
      </c>
      <c r="H385" s="1" t="s">
        <v>1405</v>
      </c>
      <c r="I385">
        <v>2010</v>
      </c>
      <c r="J385" s="93">
        <v>607.02</v>
      </c>
      <c r="K385">
        <v>5</v>
      </c>
      <c r="L385" s="1" t="s">
        <v>405</v>
      </c>
      <c r="M385">
        <v>0</v>
      </c>
      <c r="N385">
        <v>487</v>
      </c>
      <c r="O385">
        <v>1.246191</v>
      </c>
      <c r="P385">
        <v>3</v>
      </c>
      <c r="Q385" s="1" t="s">
        <v>560</v>
      </c>
      <c r="R385" s="93">
        <v>607.02</v>
      </c>
      <c r="S385">
        <v>485.61</v>
      </c>
      <c r="T385">
        <v>0</v>
      </c>
      <c r="U385" s="1"/>
      <c r="V385" s="1"/>
      <c r="W385">
        <v>607.00908000000004</v>
      </c>
      <c r="X385">
        <v>0</v>
      </c>
      <c r="Y385">
        <v>76403</v>
      </c>
    </row>
    <row r="386" spans="1:25" ht="15" hidden="1" customHeight="1" x14ac:dyDescent="0.25">
      <c r="A386" s="1" t="s">
        <v>27</v>
      </c>
      <c r="B386" s="1"/>
      <c r="C386" s="1" t="s">
        <v>117</v>
      </c>
      <c r="D386">
        <v>9977</v>
      </c>
      <c r="E386" s="1"/>
      <c r="F386" s="1" t="s">
        <v>261</v>
      </c>
      <c r="G386" s="1" t="s">
        <v>117</v>
      </c>
      <c r="H386" s="1" t="s">
        <v>1405</v>
      </c>
      <c r="I386">
        <v>2009</v>
      </c>
      <c r="J386" s="93">
        <v>408.85</v>
      </c>
      <c r="K386">
        <v>6</v>
      </c>
      <c r="L386" s="1" t="s">
        <v>405</v>
      </c>
      <c r="M386">
        <v>0</v>
      </c>
      <c r="N386">
        <v>487</v>
      </c>
      <c r="O386">
        <v>0.83935499999999996</v>
      </c>
      <c r="P386">
        <v>3</v>
      </c>
      <c r="Q386" s="1" t="s">
        <v>560</v>
      </c>
      <c r="R386" s="93">
        <v>408.85</v>
      </c>
      <c r="S386">
        <v>327.06</v>
      </c>
      <c r="T386">
        <v>0</v>
      </c>
      <c r="U386" s="1"/>
      <c r="V386" s="1"/>
      <c r="W386">
        <v>408.84384</v>
      </c>
      <c r="X386">
        <v>0</v>
      </c>
      <c r="Y386">
        <v>76403</v>
      </c>
    </row>
    <row r="387" spans="1:25" ht="15" hidden="1" customHeight="1" x14ac:dyDescent="0.25">
      <c r="A387" s="1" t="s">
        <v>27</v>
      </c>
      <c r="B387" s="1"/>
      <c r="C387" s="1" t="s">
        <v>117</v>
      </c>
      <c r="D387">
        <v>9977</v>
      </c>
      <c r="E387" s="1"/>
      <c r="F387" s="1" t="s">
        <v>261</v>
      </c>
      <c r="G387" s="1" t="s">
        <v>117</v>
      </c>
      <c r="H387" s="1" t="s">
        <v>1405</v>
      </c>
      <c r="I387">
        <v>2008</v>
      </c>
      <c r="J387" s="93">
        <v>328.63</v>
      </c>
      <c r="K387">
        <v>8</v>
      </c>
      <c r="L387" s="1" t="s">
        <v>405</v>
      </c>
      <c r="M387">
        <v>0</v>
      </c>
      <c r="N387">
        <v>487</v>
      </c>
      <c r="O387">
        <v>0.67466599999999999</v>
      </c>
      <c r="P387">
        <v>3</v>
      </c>
      <c r="Q387" s="1" t="s">
        <v>560</v>
      </c>
      <c r="R387" s="93">
        <v>328.63</v>
      </c>
      <c r="S387">
        <v>262.92</v>
      </c>
      <c r="T387">
        <v>0</v>
      </c>
      <c r="U387" s="1"/>
      <c r="V387" s="1"/>
      <c r="W387">
        <v>328.63828999999998</v>
      </c>
      <c r="X387">
        <v>0</v>
      </c>
      <c r="Y387">
        <v>76403</v>
      </c>
    </row>
    <row r="388" spans="1:25" ht="15" hidden="1" customHeight="1" x14ac:dyDescent="0.25">
      <c r="A388" s="1" t="s">
        <v>27</v>
      </c>
      <c r="B388" s="1"/>
      <c r="C388" s="1" t="s">
        <v>118</v>
      </c>
      <c r="D388">
        <v>10018</v>
      </c>
      <c r="E388" s="1"/>
      <c r="F388" s="1" t="s">
        <v>262</v>
      </c>
      <c r="G388" s="1" t="s">
        <v>118</v>
      </c>
      <c r="H388" s="1" t="s">
        <v>1405</v>
      </c>
      <c r="I388">
        <v>2015</v>
      </c>
      <c r="J388" s="93">
        <v>462</v>
      </c>
      <c r="K388">
        <v>5</v>
      </c>
      <c r="L388" s="1" t="s">
        <v>403</v>
      </c>
      <c r="M388">
        <v>0</v>
      </c>
      <c r="N388">
        <v>838</v>
      </c>
      <c r="O388">
        <v>0.23588999999999999</v>
      </c>
      <c r="P388">
        <v>3</v>
      </c>
      <c r="Q388" s="1" t="s">
        <v>560</v>
      </c>
      <c r="R388" s="93">
        <v>197.7</v>
      </c>
      <c r="S388">
        <v>158.16</v>
      </c>
      <c r="T388">
        <v>0</v>
      </c>
      <c r="U388" s="1" t="s">
        <v>592</v>
      </c>
      <c r="V388" s="1"/>
      <c r="W388">
        <v>197.7</v>
      </c>
      <c r="X388">
        <v>0</v>
      </c>
      <c r="Y388">
        <v>76529</v>
      </c>
    </row>
    <row r="389" spans="1:25" ht="15" hidden="1" customHeight="1" x14ac:dyDescent="0.25">
      <c r="A389" s="1" t="s">
        <v>27</v>
      </c>
      <c r="B389" s="1"/>
      <c r="C389" s="1" t="s">
        <v>110</v>
      </c>
      <c r="D389">
        <v>9965</v>
      </c>
      <c r="E389" s="1"/>
      <c r="F389" s="1" t="s">
        <v>110</v>
      </c>
      <c r="G389" s="1" t="s">
        <v>110</v>
      </c>
      <c r="H389" s="1" t="s">
        <v>1405</v>
      </c>
      <c r="I389">
        <v>2014</v>
      </c>
      <c r="J389" s="93">
        <v>326.3</v>
      </c>
      <c r="K389">
        <v>12</v>
      </c>
      <c r="L389" s="1" t="s">
        <v>403</v>
      </c>
      <c r="M389">
        <v>0</v>
      </c>
      <c r="N389">
        <v>715</v>
      </c>
      <c r="O389">
        <v>0.45629900000000001</v>
      </c>
      <c r="P389">
        <v>3</v>
      </c>
      <c r="Q389" s="1" t="s">
        <v>560</v>
      </c>
      <c r="R389" s="93">
        <v>326.3</v>
      </c>
      <c r="S389">
        <v>261.04000000000002</v>
      </c>
      <c r="T389">
        <v>0</v>
      </c>
      <c r="U389" s="1"/>
      <c r="V389" s="1"/>
      <c r="W389">
        <v>326.29998999999998</v>
      </c>
      <c r="X389">
        <v>0</v>
      </c>
      <c r="Y389">
        <v>76373</v>
      </c>
    </row>
    <row r="390" spans="1:25" ht="15" hidden="1" customHeight="1" x14ac:dyDescent="0.25">
      <c r="A390" s="1" t="s">
        <v>27</v>
      </c>
      <c r="B390" s="1"/>
      <c r="C390" s="1" t="s">
        <v>118</v>
      </c>
      <c r="D390">
        <v>10018</v>
      </c>
      <c r="E390" s="1"/>
      <c r="F390" s="1" t="s">
        <v>262</v>
      </c>
      <c r="G390" s="1" t="s">
        <v>118</v>
      </c>
      <c r="H390" s="1" t="s">
        <v>1405</v>
      </c>
      <c r="I390">
        <v>2013</v>
      </c>
      <c r="J390" s="93">
        <v>475.8</v>
      </c>
      <c r="K390">
        <v>12</v>
      </c>
      <c r="L390" s="1" t="s">
        <v>403</v>
      </c>
      <c r="M390">
        <v>0</v>
      </c>
      <c r="N390">
        <v>838</v>
      </c>
      <c r="O390">
        <v>0.56771199999999999</v>
      </c>
      <c r="P390">
        <v>3</v>
      </c>
      <c r="Q390" s="1" t="s">
        <v>560</v>
      </c>
      <c r="R390" s="93">
        <v>475.8</v>
      </c>
      <c r="S390">
        <v>380.64</v>
      </c>
      <c r="T390">
        <v>0</v>
      </c>
      <c r="U390" s="1" t="s">
        <v>592</v>
      </c>
      <c r="V390" s="1"/>
      <c r="W390">
        <v>475.8</v>
      </c>
      <c r="X390">
        <v>0</v>
      </c>
      <c r="Y390">
        <v>76529</v>
      </c>
    </row>
    <row r="391" spans="1:25" ht="15" hidden="1" customHeight="1" x14ac:dyDescent="0.25">
      <c r="A391" s="1" t="s">
        <v>27</v>
      </c>
      <c r="B391" s="1"/>
      <c r="C391" s="1" t="s">
        <v>118</v>
      </c>
      <c r="D391">
        <v>10018</v>
      </c>
      <c r="E391" s="1"/>
      <c r="F391" s="1" t="s">
        <v>262</v>
      </c>
      <c r="G391" s="1" t="s">
        <v>118</v>
      </c>
      <c r="H391" s="1" t="s">
        <v>1405</v>
      </c>
      <c r="I391">
        <v>2012</v>
      </c>
      <c r="J391" s="93">
        <v>437.7</v>
      </c>
      <c r="K391">
        <v>12</v>
      </c>
      <c r="L391" s="1" t="s">
        <v>403</v>
      </c>
      <c r="M391">
        <v>0</v>
      </c>
      <c r="N391">
        <v>838</v>
      </c>
      <c r="O391">
        <v>0.52225200000000005</v>
      </c>
      <c r="P391">
        <v>3</v>
      </c>
      <c r="Q391" s="1" t="s">
        <v>560</v>
      </c>
      <c r="R391" s="93">
        <v>437.7</v>
      </c>
      <c r="S391">
        <v>350.16</v>
      </c>
      <c r="T391">
        <v>0</v>
      </c>
      <c r="U391" s="1" t="s">
        <v>592</v>
      </c>
      <c r="V391" s="1"/>
      <c r="W391">
        <v>437.7</v>
      </c>
      <c r="X391">
        <v>0</v>
      </c>
      <c r="Y391">
        <v>76529</v>
      </c>
    </row>
    <row r="392" spans="1:25" ht="15" hidden="1" customHeight="1" x14ac:dyDescent="0.25">
      <c r="A392" s="1" t="s">
        <v>27</v>
      </c>
      <c r="B392" s="1"/>
      <c r="C392" s="1" t="s">
        <v>118</v>
      </c>
      <c r="D392">
        <v>10018</v>
      </c>
      <c r="E392" s="1"/>
      <c r="F392" s="1" t="s">
        <v>262</v>
      </c>
      <c r="G392" s="1" t="s">
        <v>118</v>
      </c>
      <c r="H392" s="1" t="s">
        <v>1405</v>
      </c>
      <c r="I392">
        <v>2011</v>
      </c>
      <c r="J392" s="93">
        <v>428.5</v>
      </c>
      <c r="K392">
        <v>12</v>
      </c>
      <c r="L392" s="1" t="s">
        <v>403</v>
      </c>
      <c r="M392">
        <v>0</v>
      </c>
      <c r="N392">
        <v>838</v>
      </c>
      <c r="O392">
        <v>0.51127500000000003</v>
      </c>
      <c r="P392">
        <v>3</v>
      </c>
      <c r="Q392" s="1" t="s">
        <v>560</v>
      </c>
      <c r="R392" s="93">
        <v>428.5</v>
      </c>
      <c r="S392">
        <v>342.8</v>
      </c>
      <c r="T392">
        <v>0</v>
      </c>
      <c r="U392" s="1" t="s">
        <v>592</v>
      </c>
      <c r="V392" s="1"/>
      <c r="W392">
        <v>428.5</v>
      </c>
      <c r="X392">
        <v>0</v>
      </c>
      <c r="Y392">
        <v>76529</v>
      </c>
    </row>
    <row r="393" spans="1:25" ht="15" hidden="1" customHeight="1" x14ac:dyDescent="0.25">
      <c r="A393" s="1" t="s">
        <v>27</v>
      </c>
      <c r="B393" s="1"/>
      <c r="C393" s="1" t="s">
        <v>118</v>
      </c>
      <c r="D393">
        <v>10018</v>
      </c>
      <c r="E393" s="1"/>
      <c r="F393" s="1" t="s">
        <v>262</v>
      </c>
      <c r="G393" s="1" t="s">
        <v>118</v>
      </c>
      <c r="H393" s="1" t="s">
        <v>1405</v>
      </c>
      <c r="I393">
        <v>2010</v>
      </c>
      <c r="J393" s="93">
        <v>569.54</v>
      </c>
      <c r="K393">
        <v>12</v>
      </c>
      <c r="L393" s="1" t="s">
        <v>403</v>
      </c>
      <c r="M393">
        <v>0</v>
      </c>
      <c r="N393">
        <v>838</v>
      </c>
      <c r="O393">
        <v>0.67956000000000005</v>
      </c>
      <c r="P393">
        <v>3</v>
      </c>
      <c r="Q393" s="1" t="s">
        <v>560</v>
      </c>
      <c r="R393" s="93">
        <v>569.54</v>
      </c>
      <c r="S393">
        <v>455.63</v>
      </c>
      <c r="T393">
        <v>0</v>
      </c>
      <c r="U393" s="1" t="s">
        <v>592</v>
      </c>
      <c r="V393" s="1"/>
      <c r="W393">
        <v>569.54142000000002</v>
      </c>
      <c r="X393">
        <v>0</v>
      </c>
      <c r="Y393">
        <v>76529</v>
      </c>
    </row>
    <row r="394" spans="1:25" ht="15" hidden="1" customHeight="1" x14ac:dyDescent="0.25">
      <c r="A394" s="1" t="s">
        <v>27</v>
      </c>
      <c r="B394" s="1"/>
      <c r="C394" s="1" t="s">
        <v>118</v>
      </c>
      <c r="D394">
        <v>10018</v>
      </c>
      <c r="E394" s="1"/>
      <c r="F394" s="1" t="s">
        <v>262</v>
      </c>
      <c r="G394" s="1" t="s">
        <v>118</v>
      </c>
      <c r="H394" s="1" t="s">
        <v>1405</v>
      </c>
      <c r="I394">
        <v>2009</v>
      </c>
      <c r="J394" s="93">
        <v>617.34</v>
      </c>
      <c r="K394">
        <v>3</v>
      </c>
      <c r="L394" s="1" t="s">
        <v>403</v>
      </c>
      <c r="M394">
        <v>0</v>
      </c>
      <c r="N394">
        <v>838</v>
      </c>
      <c r="O394">
        <v>0.73659399999999997</v>
      </c>
      <c r="P394">
        <v>3</v>
      </c>
      <c r="Q394" s="1" t="s">
        <v>560</v>
      </c>
      <c r="R394" s="93">
        <v>617.34</v>
      </c>
      <c r="S394">
        <v>493.86</v>
      </c>
      <c r="T394">
        <v>0</v>
      </c>
      <c r="U394" s="1" t="s">
        <v>592</v>
      </c>
      <c r="V394" s="1"/>
      <c r="W394">
        <v>617.34520999999995</v>
      </c>
      <c r="X394">
        <v>0</v>
      </c>
      <c r="Y394">
        <v>76529</v>
      </c>
    </row>
    <row r="395" spans="1:25" ht="15" hidden="1" customHeight="1" x14ac:dyDescent="0.25">
      <c r="A395" s="1" t="s">
        <v>27</v>
      </c>
      <c r="B395" s="1"/>
      <c r="C395" s="1" t="s">
        <v>118</v>
      </c>
      <c r="D395">
        <v>10018</v>
      </c>
      <c r="E395" s="1"/>
      <c r="F395" s="1" t="s">
        <v>262</v>
      </c>
      <c r="G395" s="1" t="s">
        <v>118</v>
      </c>
      <c r="H395" s="1" t="s">
        <v>1405</v>
      </c>
      <c r="I395">
        <v>2008</v>
      </c>
      <c r="J395" s="93">
        <v>563.30999999999995</v>
      </c>
      <c r="K395">
        <v>5</v>
      </c>
      <c r="L395" s="1" t="s">
        <v>403</v>
      </c>
      <c r="M395">
        <v>0</v>
      </c>
      <c r="N395">
        <v>838</v>
      </c>
      <c r="O395">
        <v>0.67212700000000003</v>
      </c>
      <c r="P395">
        <v>3</v>
      </c>
      <c r="Q395" s="1" t="s">
        <v>560</v>
      </c>
      <c r="R395" s="93">
        <v>563.30999999999995</v>
      </c>
      <c r="S395">
        <v>450.65</v>
      </c>
      <c r="T395">
        <v>0</v>
      </c>
      <c r="U395" s="1" t="s">
        <v>592</v>
      </c>
      <c r="V395" s="1"/>
      <c r="W395">
        <v>563.31335000000001</v>
      </c>
      <c r="X395">
        <v>0</v>
      </c>
      <c r="Y395">
        <v>76529</v>
      </c>
    </row>
    <row r="396" spans="1:25" ht="15" hidden="1" customHeight="1" x14ac:dyDescent="0.25">
      <c r="A396" s="1" t="s">
        <v>27</v>
      </c>
      <c r="B396" s="1" t="s">
        <v>53</v>
      </c>
      <c r="C396" s="1" t="s">
        <v>119</v>
      </c>
      <c r="D396">
        <v>5486</v>
      </c>
      <c r="E396" s="1"/>
      <c r="F396" s="1" t="s">
        <v>263</v>
      </c>
      <c r="G396" s="1" t="s">
        <v>119</v>
      </c>
      <c r="H396" s="1" t="s">
        <v>1405</v>
      </c>
      <c r="I396">
        <v>2015</v>
      </c>
      <c r="J396" s="93">
        <v>0</v>
      </c>
      <c r="K396">
        <v>5</v>
      </c>
      <c r="L396" s="1" t="s">
        <v>404</v>
      </c>
      <c r="M396">
        <v>0</v>
      </c>
      <c r="N396">
        <v>417</v>
      </c>
      <c r="O396">
        <v>-8.0070000000000002E-3</v>
      </c>
      <c r="P396">
        <v>3</v>
      </c>
      <c r="Q396" s="1" t="s">
        <v>560</v>
      </c>
      <c r="R396" s="93">
        <v>-3.34</v>
      </c>
      <c r="S396">
        <v>-2.65</v>
      </c>
      <c r="T396">
        <v>0</v>
      </c>
      <c r="U396" s="1" t="s">
        <v>593</v>
      </c>
      <c r="V396" s="1"/>
      <c r="W396">
        <v>-3.3170000000000002</v>
      </c>
      <c r="X396">
        <v>0</v>
      </c>
      <c r="Y396">
        <v>57985</v>
      </c>
    </row>
    <row r="397" spans="1:25" ht="15" hidden="1" customHeight="1" x14ac:dyDescent="0.25">
      <c r="A397" s="1" t="s">
        <v>27</v>
      </c>
      <c r="B397" s="1" t="s">
        <v>53</v>
      </c>
      <c r="C397" s="1" t="s">
        <v>119</v>
      </c>
      <c r="D397">
        <v>5486</v>
      </c>
      <c r="E397" s="1"/>
      <c r="F397" s="1" t="s">
        <v>263</v>
      </c>
      <c r="G397" s="1" t="s">
        <v>119</v>
      </c>
      <c r="H397" s="1" t="s">
        <v>1405</v>
      </c>
      <c r="I397">
        <v>2015</v>
      </c>
      <c r="J397" s="93">
        <v>288</v>
      </c>
      <c r="K397">
        <v>5</v>
      </c>
      <c r="L397" s="1" t="s">
        <v>404</v>
      </c>
      <c r="M397">
        <v>0</v>
      </c>
      <c r="N397">
        <v>417</v>
      </c>
      <c r="O397">
        <v>0.32131300000000002</v>
      </c>
      <c r="P397">
        <v>3</v>
      </c>
      <c r="Q397" s="1" t="s">
        <v>560</v>
      </c>
      <c r="R397" s="93">
        <v>134.02000000000001</v>
      </c>
      <c r="S397">
        <v>107.21</v>
      </c>
      <c r="T397">
        <v>0</v>
      </c>
      <c r="U397" s="1" t="s">
        <v>594</v>
      </c>
      <c r="V397" s="1"/>
      <c r="W397">
        <v>134.01599999999999</v>
      </c>
      <c r="X397">
        <v>0</v>
      </c>
      <c r="Y397">
        <v>60151</v>
      </c>
    </row>
    <row r="398" spans="1:25" ht="15" hidden="1" customHeight="1" x14ac:dyDescent="0.25">
      <c r="A398" s="1" t="s">
        <v>27</v>
      </c>
      <c r="B398" s="1"/>
      <c r="C398" s="1" t="s">
        <v>110</v>
      </c>
      <c r="D398">
        <v>9965</v>
      </c>
      <c r="E398" s="1"/>
      <c r="F398" s="1" t="s">
        <v>110</v>
      </c>
      <c r="G398" s="1" t="s">
        <v>110</v>
      </c>
      <c r="H398" s="1" t="s">
        <v>1405</v>
      </c>
      <c r="I398">
        <v>2014</v>
      </c>
      <c r="J398" s="93">
        <v>17206.64</v>
      </c>
      <c r="K398">
        <v>12</v>
      </c>
      <c r="L398" s="1" t="s">
        <v>403</v>
      </c>
      <c r="M398">
        <v>0</v>
      </c>
      <c r="N398">
        <v>715</v>
      </c>
      <c r="O398">
        <v>24.061865000000001</v>
      </c>
      <c r="P398">
        <v>2</v>
      </c>
      <c r="Q398" s="1" t="s">
        <v>569</v>
      </c>
      <c r="R398" s="93">
        <v>17206.64</v>
      </c>
      <c r="S398">
        <v>5161.99</v>
      </c>
      <c r="T398">
        <v>0</v>
      </c>
      <c r="U398" s="1"/>
      <c r="V398" s="1" t="s">
        <v>1246</v>
      </c>
      <c r="W398">
        <v>17206.644</v>
      </c>
      <c r="X398">
        <v>0</v>
      </c>
      <c r="Y398">
        <v>76372</v>
      </c>
    </row>
    <row r="399" spans="1:25" ht="15" hidden="1" customHeight="1" x14ac:dyDescent="0.25">
      <c r="A399" s="1" t="s">
        <v>27</v>
      </c>
      <c r="B399" s="1"/>
      <c r="C399" s="1" t="s">
        <v>110</v>
      </c>
      <c r="D399">
        <v>9965</v>
      </c>
      <c r="E399" s="1"/>
      <c r="F399" s="1" t="s">
        <v>110</v>
      </c>
      <c r="G399" s="1" t="s">
        <v>110</v>
      </c>
      <c r="H399" s="1" t="s">
        <v>1405</v>
      </c>
      <c r="I399">
        <v>2014</v>
      </c>
      <c r="J399" s="93">
        <v>48470</v>
      </c>
      <c r="K399">
        <v>12</v>
      </c>
      <c r="L399" s="1" t="s">
        <v>405</v>
      </c>
      <c r="M399">
        <v>0</v>
      </c>
      <c r="N399">
        <v>715</v>
      </c>
      <c r="O399">
        <v>67.780728999999994</v>
      </c>
      <c r="P399">
        <v>1</v>
      </c>
      <c r="Q399" s="1" t="s">
        <v>565</v>
      </c>
      <c r="R399" s="93">
        <v>57460.4</v>
      </c>
      <c r="S399">
        <v>3677.46</v>
      </c>
      <c r="T399">
        <v>0</v>
      </c>
      <c r="U399" s="1"/>
      <c r="V399" s="1"/>
      <c r="W399">
        <v>48.47</v>
      </c>
      <c r="X399">
        <v>0</v>
      </c>
      <c r="Y399">
        <v>76374</v>
      </c>
    </row>
    <row r="400" spans="1:25" ht="15" hidden="1" customHeight="1" x14ac:dyDescent="0.25">
      <c r="A400" s="1" t="s">
        <v>27</v>
      </c>
      <c r="B400" s="1" t="s">
        <v>53</v>
      </c>
      <c r="C400" s="1" t="s">
        <v>119</v>
      </c>
      <c r="D400">
        <v>5486</v>
      </c>
      <c r="E400" s="1"/>
      <c r="F400" s="1" t="s">
        <v>263</v>
      </c>
      <c r="G400" s="1" t="s">
        <v>119</v>
      </c>
      <c r="H400" s="1" t="s">
        <v>1405</v>
      </c>
      <c r="I400">
        <v>2013</v>
      </c>
      <c r="J400" s="93">
        <v>-2.13</v>
      </c>
      <c r="K400">
        <v>12</v>
      </c>
      <c r="L400" s="1" t="s">
        <v>404</v>
      </c>
      <c r="M400">
        <v>0</v>
      </c>
      <c r="N400">
        <v>417</v>
      </c>
      <c r="O400">
        <v>-5.1060000000000003E-3</v>
      </c>
      <c r="P400">
        <v>3</v>
      </c>
      <c r="Q400" s="1" t="s">
        <v>560</v>
      </c>
      <c r="R400" s="93">
        <v>-2.13</v>
      </c>
      <c r="S400">
        <v>-1.7</v>
      </c>
      <c r="T400">
        <v>0</v>
      </c>
      <c r="U400" s="1" t="s">
        <v>593</v>
      </c>
      <c r="V400" s="1"/>
      <c r="W400">
        <v>-2.1419999999999999</v>
      </c>
      <c r="X400">
        <v>0</v>
      </c>
      <c r="Y400">
        <v>57985</v>
      </c>
    </row>
    <row r="401" spans="1:25" ht="15" hidden="1" customHeight="1" x14ac:dyDescent="0.25">
      <c r="A401" s="1" t="s">
        <v>27</v>
      </c>
      <c r="B401" s="1" t="s">
        <v>53</v>
      </c>
      <c r="C401" s="1" t="s">
        <v>119</v>
      </c>
      <c r="D401">
        <v>5486</v>
      </c>
      <c r="E401" s="1"/>
      <c r="F401" s="1" t="s">
        <v>263</v>
      </c>
      <c r="G401" s="1" t="s">
        <v>119</v>
      </c>
      <c r="H401" s="1" t="s">
        <v>1405</v>
      </c>
      <c r="I401">
        <v>2013</v>
      </c>
      <c r="J401" s="93">
        <v>300.83</v>
      </c>
      <c r="K401">
        <v>12</v>
      </c>
      <c r="L401" s="1" t="s">
        <v>404</v>
      </c>
      <c r="M401">
        <v>0</v>
      </c>
      <c r="N401">
        <v>417</v>
      </c>
      <c r="O401">
        <v>0.72124100000000002</v>
      </c>
      <c r="P401">
        <v>3</v>
      </c>
      <c r="Q401" s="1" t="s">
        <v>560</v>
      </c>
      <c r="R401" s="93">
        <v>300.83</v>
      </c>
      <c r="S401">
        <v>240.68</v>
      </c>
      <c r="T401">
        <v>0</v>
      </c>
      <c r="U401" s="1" t="s">
        <v>594</v>
      </c>
      <c r="V401" s="1"/>
      <c r="W401">
        <v>300.82900000000001</v>
      </c>
      <c r="X401">
        <v>0</v>
      </c>
      <c r="Y401">
        <v>60151</v>
      </c>
    </row>
    <row r="402" spans="1:25" ht="15" hidden="1" customHeight="1" x14ac:dyDescent="0.25">
      <c r="A402" s="1" t="s">
        <v>27</v>
      </c>
      <c r="B402" s="1" t="s">
        <v>53</v>
      </c>
      <c r="C402" s="1" t="s">
        <v>119</v>
      </c>
      <c r="D402">
        <v>5486</v>
      </c>
      <c r="E402" s="1"/>
      <c r="F402" s="1" t="s">
        <v>263</v>
      </c>
      <c r="G402" s="1" t="s">
        <v>119</v>
      </c>
      <c r="H402" s="1" t="s">
        <v>1405</v>
      </c>
      <c r="I402">
        <v>2012</v>
      </c>
      <c r="J402" s="93">
        <v>15.28</v>
      </c>
      <c r="K402">
        <v>12</v>
      </c>
      <c r="L402" s="1" t="s">
        <v>404</v>
      </c>
      <c r="M402">
        <v>0</v>
      </c>
      <c r="N402">
        <v>417</v>
      </c>
      <c r="O402">
        <v>3.6632999999999999E-2</v>
      </c>
      <c r="P402">
        <v>3</v>
      </c>
      <c r="Q402" s="1" t="s">
        <v>560</v>
      </c>
      <c r="R402" s="93">
        <v>15.28</v>
      </c>
      <c r="S402">
        <v>12.25</v>
      </c>
      <c r="T402">
        <v>0</v>
      </c>
      <c r="U402" s="1" t="s">
        <v>593</v>
      </c>
      <c r="V402" s="1"/>
      <c r="W402">
        <v>15.294</v>
      </c>
      <c r="X402">
        <v>0</v>
      </c>
      <c r="Y402">
        <v>57985</v>
      </c>
    </row>
    <row r="403" spans="1:25" ht="15" hidden="1" customHeight="1" x14ac:dyDescent="0.25">
      <c r="A403" s="1" t="s">
        <v>27</v>
      </c>
      <c r="B403" s="1" t="s">
        <v>53</v>
      </c>
      <c r="C403" s="1" t="s">
        <v>119</v>
      </c>
      <c r="D403">
        <v>5486</v>
      </c>
      <c r="E403" s="1"/>
      <c r="F403" s="1" t="s">
        <v>263</v>
      </c>
      <c r="G403" s="1" t="s">
        <v>119</v>
      </c>
      <c r="H403" s="1" t="s">
        <v>1405</v>
      </c>
      <c r="I403">
        <v>2012</v>
      </c>
      <c r="J403" s="93">
        <v>398.87</v>
      </c>
      <c r="K403">
        <v>12</v>
      </c>
      <c r="L403" s="1" t="s">
        <v>404</v>
      </c>
      <c r="M403">
        <v>0</v>
      </c>
      <c r="N403">
        <v>417</v>
      </c>
      <c r="O403">
        <v>0.95629299999999995</v>
      </c>
      <c r="P403">
        <v>3</v>
      </c>
      <c r="Q403" s="1" t="s">
        <v>560</v>
      </c>
      <c r="R403" s="93">
        <v>398.87</v>
      </c>
      <c r="S403">
        <v>319.11</v>
      </c>
      <c r="T403">
        <v>0</v>
      </c>
      <c r="U403" s="1" t="s">
        <v>594</v>
      </c>
      <c r="V403" s="1"/>
      <c r="W403">
        <v>398.87599999999998</v>
      </c>
      <c r="X403">
        <v>0</v>
      </c>
      <c r="Y403">
        <v>60151</v>
      </c>
    </row>
    <row r="404" spans="1:25" ht="15" hidden="1" customHeight="1" x14ac:dyDescent="0.25">
      <c r="A404" s="1" t="s">
        <v>27</v>
      </c>
      <c r="B404" s="1" t="s">
        <v>53</v>
      </c>
      <c r="C404" s="1" t="s">
        <v>119</v>
      </c>
      <c r="D404">
        <v>5486</v>
      </c>
      <c r="E404" s="1"/>
      <c r="F404" s="1" t="s">
        <v>263</v>
      </c>
      <c r="G404" s="1" t="s">
        <v>119</v>
      </c>
      <c r="H404" s="1" t="s">
        <v>1405</v>
      </c>
      <c r="I404">
        <v>2011</v>
      </c>
      <c r="J404" s="93">
        <v>52.19</v>
      </c>
      <c r="K404">
        <v>12</v>
      </c>
      <c r="L404" s="1" t="s">
        <v>404</v>
      </c>
      <c r="M404">
        <v>0</v>
      </c>
      <c r="N404">
        <v>417</v>
      </c>
      <c r="O404">
        <v>0.12512499999999999</v>
      </c>
      <c r="P404">
        <v>3</v>
      </c>
      <c r="Q404" s="1" t="s">
        <v>560</v>
      </c>
      <c r="R404" s="93">
        <v>52.19</v>
      </c>
      <c r="S404">
        <v>41.75</v>
      </c>
      <c r="T404">
        <v>0</v>
      </c>
      <c r="U404" s="1" t="s">
        <v>593</v>
      </c>
      <c r="V404" s="1"/>
      <c r="W404">
        <v>52.195999999999998</v>
      </c>
      <c r="X404">
        <v>0</v>
      </c>
      <c r="Y404">
        <v>57985</v>
      </c>
    </row>
    <row r="405" spans="1:25" ht="15" hidden="1" customHeight="1" x14ac:dyDescent="0.25">
      <c r="A405" s="1" t="s">
        <v>27</v>
      </c>
      <c r="B405" s="1" t="s">
        <v>53</v>
      </c>
      <c r="C405" s="1" t="s">
        <v>119</v>
      </c>
      <c r="D405">
        <v>5486</v>
      </c>
      <c r="E405" s="1"/>
      <c r="F405" s="1" t="s">
        <v>263</v>
      </c>
      <c r="G405" s="1" t="s">
        <v>119</v>
      </c>
      <c r="H405" s="1" t="s">
        <v>1405</v>
      </c>
      <c r="I405">
        <v>2011</v>
      </c>
      <c r="J405" s="93">
        <v>353.71</v>
      </c>
      <c r="K405">
        <v>12</v>
      </c>
      <c r="L405" s="1" t="s">
        <v>404</v>
      </c>
      <c r="M405">
        <v>0</v>
      </c>
      <c r="N405">
        <v>417</v>
      </c>
      <c r="O405">
        <v>0.84802200000000005</v>
      </c>
      <c r="P405">
        <v>3</v>
      </c>
      <c r="Q405" s="1" t="s">
        <v>560</v>
      </c>
      <c r="R405" s="93">
        <v>353.71</v>
      </c>
      <c r="S405">
        <v>282.98</v>
      </c>
      <c r="T405">
        <v>0</v>
      </c>
      <c r="U405" s="1" t="s">
        <v>594</v>
      </c>
      <c r="V405" s="1"/>
      <c r="W405">
        <v>353.71100000000001</v>
      </c>
      <c r="X405">
        <v>0</v>
      </c>
      <c r="Y405">
        <v>60151</v>
      </c>
    </row>
    <row r="406" spans="1:25" ht="15" hidden="1" customHeight="1" x14ac:dyDescent="0.25">
      <c r="A406" s="1" t="s">
        <v>27</v>
      </c>
      <c r="B406" s="1" t="s">
        <v>53</v>
      </c>
      <c r="C406" s="1" t="s">
        <v>119</v>
      </c>
      <c r="D406">
        <v>5486</v>
      </c>
      <c r="E406" s="1"/>
      <c r="F406" s="1" t="s">
        <v>263</v>
      </c>
      <c r="G406" s="1" t="s">
        <v>119</v>
      </c>
      <c r="H406" s="1" t="s">
        <v>1405</v>
      </c>
      <c r="I406">
        <v>2010</v>
      </c>
      <c r="J406" s="93">
        <v>26.26</v>
      </c>
      <c r="K406">
        <v>12</v>
      </c>
      <c r="L406" s="1" t="s">
        <v>404</v>
      </c>
      <c r="M406">
        <v>0</v>
      </c>
      <c r="N406">
        <v>417</v>
      </c>
      <c r="O406">
        <v>6.2958E-2</v>
      </c>
      <c r="P406">
        <v>3</v>
      </c>
      <c r="Q406" s="1" t="s">
        <v>560</v>
      </c>
      <c r="R406" s="93">
        <v>26.26</v>
      </c>
      <c r="S406">
        <v>21.02</v>
      </c>
      <c r="T406">
        <v>0</v>
      </c>
      <c r="U406" s="1" t="s">
        <v>593</v>
      </c>
      <c r="V406" s="1"/>
      <c r="W406">
        <v>26.265000000000001</v>
      </c>
      <c r="X406">
        <v>0</v>
      </c>
      <c r="Y406">
        <v>57985</v>
      </c>
    </row>
    <row r="407" spans="1:25" ht="15" hidden="1" customHeight="1" x14ac:dyDescent="0.25">
      <c r="A407" s="1" t="s">
        <v>27</v>
      </c>
      <c r="B407" s="1" t="s">
        <v>53</v>
      </c>
      <c r="C407" s="1" t="s">
        <v>119</v>
      </c>
      <c r="D407">
        <v>5486</v>
      </c>
      <c r="E407" s="1"/>
      <c r="F407" s="1" t="s">
        <v>263</v>
      </c>
      <c r="G407" s="1" t="s">
        <v>119</v>
      </c>
      <c r="H407" s="1" t="s">
        <v>1405</v>
      </c>
      <c r="I407">
        <v>2010</v>
      </c>
      <c r="J407" s="93">
        <v>436.66</v>
      </c>
      <c r="K407">
        <v>12</v>
      </c>
      <c r="L407" s="1" t="s">
        <v>404</v>
      </c>
      <c r="M407">
        <v>0</v>
      </c>
      <c r="N407">
        <v>417</v>
      </c>
      <c r="O407">
        <v>1.0468949999999999</v>
      </c>
      <c r="P407">
        <v>3</v>
      </c>
      <c r="Q407" s="1" t="s">
        <v>560</v>
      </c>
      <c r="R407" s="93">
        <v>436.66</v>
      </c>
      <c r="S407">
        <v>349.32</v>
      </c>
      <c r="T407">
        <v>0</v>
      </c>
      <c r="U407" s="1" t="s">
        <v>594</v>
      </c>
      <c r="V407" s="1"/>
      <c r="W407">
        <v>436.661</v>
      </c>
      <c r="X407">
        <v>0</v>
      </c>
      <c r="Y407">
        <v>60151</v>
      </c>
    </row>
    <row r="408" spans="1:25" ht="15" hidden="1" customHeight="1" x14ac:dyDescent="0.25">
      <c r="A408" s="1" t="s">
        <v>27</v>
      </c>
      <c r="B408" s="1" t="s">
        <v>53</v>
      </c>
      <c r="C408" s="1" t="s">
        <v>119</v>
      </c>
      <c r="D408">
        <v>5486</v>
      </c>
      <c r="E408" s="1"/>
      <c r="F408" s="1" t="s">
        <v>263</v>
      </c>
      <c r="G408" s="1" t="s">
        <v>119</v>
      </c>
      <c r="H408" s="1" t="s">
        <v>1405</v>
      </c>
      <c r="I408">
        <v>2009</v>
      </c>
      <c r="J408" s="93">
        <v>13.68</v>
      </c>
      <c r="K408">
        <v>12</v>
      </c>
      <c r="L408" s="1" t="s">
        <v>404</v>
      </c>
      <c r="M408">
        <v>0</v>
      </c>
      <c r="N408">
        <v>417</v>
      </c>
      <c r="O408">
        <v>3.2797E-2</v>
      </c>
      <c r="P408">
        <v>3</v>
      </c>
      <c r="Q408" s="1" t="s">
        <v>560</v>
      </c>
      <c r="R408" s="93">
        <v>13.68</v>
      </c>
      <c r="S408">
        <v>11.01</v>
      </c>
      <c r="T408">
        <v>0</v>
      </c>
      <c r="U408" s="1" t="s">
        <v>593</v>
      </c>
      <c r="V408" s="1"/>
      <c r="W408">
        <v>13.733000000000001</v>
      </c>
      <c r="X408">
        <v>0</v>
      </c>
      <c r="Y408">
        <v>57985</v>
      </c>
    </row>
    <row r="409" spans="1:25" ht="15" hidden="1" customHeight="1" x14ac:dyDescent="0.25">
      <c r="A409" s="1" t="s">
        <v>27</v>
      </c>
      <c r="B409" s="1" t="s">
        <v>53</v>
      </c>
      <c r="C409" s="1" t="s">
        <v>119</v>
      </c>
      <c r="D409">
        <v>5486</v>
      </c>
      <c r="E409" s="1"/>
      <c r="F409" s="1" t="s">
        <v>263</v>
      </c>
      <c r="G409" s="1" t="s">
        <v>119</v>
      </c>
      <c r="H409" s="1" t="s">
        <v>1405</v>
      </c>
      <c r="I409">
        <v>2009</v>
      </c>
      <c r="J409" s="93">
        <v>278.41000000000003</v>
      </c>
      <c r="K409">
        <v>12</v>
      </c>
      <c r="L409" s="1" t="s">
        <v>404</v>
      </c>
      <c r="M409">
        <v>0</v>
      </c>
      <c r="N409">
        <v>417</v>
      </c>
      <c r="O409">
        <v>0.667489</v>
      </c>
      <c r="P409">
        <v>3</v>
      </c>
      <c r="Q409" s="1" t="s">
        <v>560</v>
      </c>
      <c r="R409" s="93">
        <v>278.41000000000003</v>
      </c>
      <c r="S409">
        <v>222.7</v>
      </c>
      <c r="T409">
        <v>0</v>
      </c>
      <c r="U409" s="1" t="s">
        <v>594</v>
      </c>
      <c r="V409" s="1"/>
      <c r="W409">
        <v>278.39299999999997</v>
      </c>
      <c r="X409">
        <v>0</v>
      </c>
      <c r="Y409">
        <v>60151</v>
      </c>
    </row>
    <row r="410" spans="1:25" ht="15" hidden="1" customHeight="1" x14ac:dyDescent="0.25">
      <c r="A410" s="1" t="s">
        <v>27</v>
      </c>
      <c r="B410" s="1" t="s">
        <v>53</v>
      </c>
      <c r="C410" s="1" t="s">
        <v>119</v>
      </c>
      <c r="D410">
        <v>5486</v>
      </c>
      <c r="E410" s="1"/>
      <c r="F410" s="1" t="s">
        <v>263</v>
      </c>
      <c r="G410" s="1" t="s">
        <v>119</v>
      </c>
      <c r="H410" s="1" t="s">
        <v>1405</v>
      </c>
      <c r="I410">
        <v>2008</v>
      </c>
      <c r="J410" s="93">
        <v>28.92</v>
      </c>
      <c r="K410">
        <v>12</v>
      </c>
      <c r="L410" s="1" t="s">
        <v>404</v>
      </c>
      <c r="M410">
        <v>0</v>
      </c>
      <c r="N410">
        <v>417</v>
      </c>
      <c r="O410">
        <v>6.9334999999999994E-2</v>
      </c>
      <c r="P410">
        <v>3</v>
      </c>
      <c r="Q410" s="1" t="s">
        <v>560</v>
      </c>
      <c r="R410" s="93">
        <v>28.92</v>
      </c>
      <c r="S410">
        <v>23.14</v>
      </c>
      <c r="T410">
        <v>0</v>
      </c>
      <c r="U410" s="1" t="s">
        <v>593</v>
      </c>
      <c r="V410" s="1"/>
      <c r="W410">
        <v>28.911999999999999</v>
      </c>
      <c r="X410">
        <v>0</v>
      </c>
      <c r="Y410">
        <v>57985</v>
      </c>
    </row>
    <row r="411" spans="1:25" ht="15" hidden="1" customHeight="1" x14ac:dyDescent="0.25">
      <c r="A411" s="1" t="s">
        <v>27</v>
      </c>
      <c r="B411" s="1" t="s">
        <v>53</v>
      </c>
      <c r="C411" s="1" t="s">
        <v>119</v>
      </c>
      <c r="D411">
        <v>5486</v>
      </c>
      <c r="E411" s="1"/>
      <c r="F411" s="1" t="s">
        <v>263</v>
      </c>
      <c r="G411" s="1" t="s">
        <v>119</v>
      </c>
      <c r="H411" s="1" t="s">
        <v>1405</v>
      </c>
      <c r="I411">
        <v>2008</v>
      </c>
      <c r="J411" s="93">
        <v>247.99</v>
      </c>
      <c r="K411">
        <v>12</v>
      </c>
      <c r="L411" s="1" t="s">
        <v>404</v>
      </c>
      <c r="M411">
        <v>0</v>
      </c>
      <c r="N411">
        <v>417</v>
      </c>
      <c r="O411">
        <v>0.594557</v>
      </c>
      <c r="P411">
        <v>3</v>
      </c>
      <c r="Q411" s="1" t="s">
        <v>560</v>
      </c>
      <c r="R411" s="93">
        <v>247.99</v>
      </c>
      <c r="S411">
        <v>198.4</v>
      </c>
      <c r="T411">
        <v>0</v>
      </c>
      <c r="U411" s="1" t="s">
        <v>594</v>
      </c>
      <c r="V411" s="1"/>
      <c r="W411">
        <v>248.00899999999999</v>
      </c>
      <c r="X411">
        <v>0</v>
      </c>
      <c r="Y411">
        <v>60151</v>
      </c>
    </row>
    <row r="412" spans="1:25" ht="15" hidden="1" customHeight="1" x14ac:dyDescent="0.25">
      <c r="A412" s="1" t="s">
        <v>27</v>
      </c>
      <c r="B412" s="1"/>
      <c r="C412" s="1" t="s">
        <v>120</v>
      </c>
      <c r="D412">
        <v>10058</v>
      </c>
      <c r="E412" s="1"/>
      <c r="F412" s="1" t="s">
        <v>120</v>
      </c>
      <c r="G412" s="1" t="s">
        <v>120</v>
      </c>
      <c r="H412" s="1" t="s">
        <v>1405</v>
      </c>
      <c r="I412">
        <v>2015</v>
      </c>
      <c r="J412" s="93">
        <v>1064</v>
      </c>
      <c r="K412">
        <v>5</v>
      </c>
      <c r="L412" s="1" t="s">
        <v>409</v>
      </c>
      <c r="M412">
        <v>0</v>
      </c>
      <c r="N412">
        <v>692</v>
      </c>
      <c r="O412">
        <v>0.52680199999999999</v>
      </c>
      <c r="P412">
        <v>3</v>
      </c>
      <c r="Q412" s="1" t="s">
        <v>560</v>
      </c>
      <c r="R412" s="93">
        <v>364.6</v>
      </c>
      <c r="S412">
        <v>291.68</v>
      </c>
      <c r="T412">
        <v>0</v>
      </c>
      <c r="U412" s="1"/>
      <c r="V412" s="1"/>
      <c r="W412">
        <v>364.6</v>
      </c>
      <c r="X412">
        <v>0</v>
      </c>
      <c r="Y412">
        <v>76685</v>
      </c>
    </row>
    <row r="413" spans="1:25" ht="15" hidden="1" customHeight="1" x14ac:dyDescent="0.25">
      <c r="A413" s="1" t="s">
        <v>27</v>
      </c>
      <c r="B413" s="1" t="s">
        <v>49</v>
      </c>
      <c r="C413" s="1" t="s">
        <v>111</v>
      </c>
      <c r="D413">
        <v>5251</v>
      </c>
      <c r="E413" s="1"/>
      <c r="F413" s="1" t="s">
        <v>257</v>
      </c>
      <c r="G413" s="1" t="s">
        <v>257</v>
      </c>
      <c r="H413" s="1" t="s">
        <v>1405</v>
      </c>
      <c r="I413">
        <v>2014</v>
      </c>
      <c r="J413" s="93">
        <v>39.86</v>
      </c>
      <c r="K413">
        <v>12</v>
      </c>
      <c r="L413" s="1" t="s">
        <v>404</v>
      </c>
      <c r="M413">
        <v>0</v>
      </c>
      <c r="N413">
        <v>375</v>
      </c>
      <c r="O413">
        <v>0.106264</v>
      </c>
      <c r="P413">
        <v>3</v>
      </c>
      <c r="Q413" s="1" t="s">
        <v>560</v>
      </c>
      <c r="R413" s="93">
        <v>39.86</v>
      </c>
      <c r="S413">
        <v>31.87</v>
      </c>
      <c r="T413">
        <v>0</v>
      </c>
      <c r="U413" s="1" t="s">
        <v>586</v>
      </c>
      <c r="V413" s="1"/>
      <c r="W413">
        <v>39.847999999999999</v>
      </c>
      <c r="X413">
        <v>0</v>
      </c>
      <c r="Y413">
        <v>56682</v>
      </c>
    </row>
    <row r="414" spans="1:25" ht="15" hidden="1" customHeight="1" x14ac:dyDescent="0.25">
      <c r="A414" s="1" t="s">
        <v>27</v>
      </c>
      <c r="B414" s="1"/>
      <c r="C414" s="1" t="s">
        <v>120</v>
      </c>
      <c r="D414">
        <v>10058</v>
      </c>
      <c r="E414" s="1"/>
      <c r="F414" s="1" t="s">
        <v>120</v>
      </c>
      <c r="G414" s="1" t="s">
        <v>120</v>
      </c>
      <c r="H414" s="1" t="s">
        <v>1405</v>
      </c>
      <c r="I414">
        <v>2013</v>
      </c>
      <c r="J414" s="93">
        <v>962.2</v>
      </c>
      <c r="K414">
        <v>12</v>
      </c>
      <c r="L414" s="1" t="s">
        <v>409</v>
      </c>
      <c r="M414">
        <v>0</v>
      </c>
      <c r="N414">
        <v>692</v>
      </c>
      <c r="O414">
        <v>1.390261</v>
      </c>
      <c r="P414">
        <v>3</v>
      </c>
      <c r="Q414" s="1" t="s">
        <v>560</v>
      </c>
      <c r="R414" s="93">
        <v>962.2</v>
      </c>
      <c r="S414">
        <v>769.76</v>
      </c>
      <c r="T414">
        <v>0</v>
      </c>
      <c r="U414" s="1"/>
      <c r="V414" s="1"/>
      <c r="W414">
        <v>962.2</v>
      </c>
      <c r="X414">
        <v>0</v>
      </c>
      <c r="Y414">
        <v>76685</v>
      </c>
    </row>
    <row r="415" spans="1:25" ht="15" hidden="1" customHeight="1" x14ac:dyDescent="0.25">
      <c r="A415" s="1" t="s">
        <v>27</v>
      </c>
      <c r="B415" s="1"/>
      <c r="C415" s="1" t="s">
        <v>120</v>
      </c>
      <c r="D415">
        <v>10058</v>
      </c>
      <c r="E415" s="1"/>
      <c r="F415" s="1" t="s">
        <v>120</v>
      </c>
      <c r="G415" s="1" t="s">
        <v>120</v>
      </c>
      <c r="H415" s="1" t="s">
        <v>1405</v>
      </c>
      <c r="I415">
        <v>2012</v>
      </c>
      <c r="J415" s="93">
        <v>903.6</v>
      </c>
      <c r="K415">
        <v>12</v>
      </c>
      <c r="L415" s="1" t="s">
        <v>409</v>
      </c>
      <c r="M415">
        <v>0</v>
      </c>
      <c r="N415">
        <v>692</v>
      </c>
      <c r="O415">
        <v>1.3055909999999999</v>
      </c>
      <c r="P415">
        <v>3</v>
      </c>
      <c r="Q415" s="1" t="s">
        <v>560</v>
      </c>
      <c r="R415" s="93">
        <v>903.6</v>
      </c>
      <c r="S415">
        <v>722.88</v>
      </c>
      <c r="T415">
        <v>0</v>
      </c>
      <c r="U415" s="1"/>
      <c r="V415" s="1"/>
      <c r="W415">
        <v>903.6</v>
      </c>
      <c r="X415">
        <v>0</v>
      </c>
      <c r="Y415">
        <v>76685</v>
      </c>
    </row>
    <row r="416" spans="1:25" ht="15" hidden="1" customHeight="1" x14ac:dyDescent="0.25">
      <c r="A416" s="1" t="s">
        <v>27</v>
      </c>
      <c r="B416" s="1"/>
      <c r="C416" s="1" t="s">
        <v>120</v>
      </c>
      <c r="D416">
        <v>10058</v>
      </c>
      <c r="E416" s="1"/>
      <c r="F416" s="1" t="s">
        <v>120</v>
      </c>
      <c r="G416" s="1" t="s">
        <v>120</v>
      </c>
      <c r="H416" s="1" t="s">
        <v>1405</v>
      </c>
      <c r="I416">
        <v>2011</v>
      </c>
      <c r="J416" s="93">
        <v>776.4</v>
      </c>
      <c r="K416">
        <v>12</v>
      </c>
      <c r="L416" s="1" t="s">
        <v>409</v>
      </c>
      <c r="M416">
        <v>0</v>
      </c>
      <c r="N416">
        <v>692</v>
      </c>
      <c r="O416">
        <v>1.1218030000000001</v>
      </c>
      <c r="P416">
        <v>3</v>
      </c>
      <c r="Q416" s="1" t="s">
        <v>560</v>
      </c>
      <c r="R416" s="93">
        <v>776.4</v>
      </c>
      <c r="S416">
        <v>621.12</v>
      </c>
      <c r="T416">
        <v>0</v>
      </c>
      <c r="U416" s="1"/>
      <c r="V416" s="1"/>
      <c r="W416">
        <v>776.4</v>
      </c>
      <c r="X416">
        <v>0</v>
      </c>
      <c r="Y416">
        <v>76685</v>
      </c>
    </row>
    <row r="417" spans="1:25" ht="15" hidden="1" customHeight="1" x14ac:dyDescent="0.25">
      <c r="A417" s="1" t="s">
        <v>27</v>
      </c>
      <c r="B417" s="1"/>
      <c r="C417" s="1" t="s">
        <v>120</v>
      </c>
      <c r="D417">
        <v>10058</v>
      </c>
      <c r="E417" s="1"/>
      <c r="F417" s="1" t="s">
        <v>120</v>
      </c>
      <c r="G417" s="1" t="s">
        <v>120</v>
      </c>
      <c r="H417" s="1" t="s">
        <v>1405</v>
      </c>
      <c r="I417">
        <v>2010</v>
      </c>
      <c r="J417" s="93">
        <v>371.37</v>
      </c>
      <c r="K417">
        <v>6</v>
      </c>
      <c r="L417" s="1" t="s">
        <v>409</v>
      </c>
      <c r="M417">
        <v>0</v>
      </c>
      <c r="N417">
        <v>692</v>
      </c>
      <c r="O417">
        <v>0.53658399999999995</v>
      </c>
      <c r="P417">
        <v>3</v>
      </c>
      <c r="Q417" s="1" t="s">
        <v>560</v>
      </c>
      <c r="R417" s="93">
        <v>371.37</v>
      </c>
      <c r="S417">
        <v>297.10000000000002</v>
      </c>
      <c r="T417">
        <v>0</v>
      </c>
      <c r="U417" s="1"/>
      <c r="V417" s="1"/>
      <c r="W417">
        <v>371.37975</v>
      </c>
      <c r="X417">
        <v>0</v>
      </c>
      <c r="Y417">
        <v>76685</v>
      </c>
    </row>
    <row r="418" spans="1:25" ht="15" hidden="1" customHeight="1" x14ac:dyDescent="0.25">
      <c r="A418" s="1" t="s">
        <v>27</v>
      </c>
      <c r="B418" s="1"/>
      <c r="C418" s="1" t="s">
        <v>120</v>
      </c>
      <c r="D418">
        <v>10058</v>
      </c>
      <c r="E418" s="1"/>
      <c r="F418" s="1" t="s">
        <v>120</v>
      </c>
      <c r="G418" s="1" t="s">
        <v>120</v>
      </c>
      <c r="H418" s="1" t="s">
        <v>1405</v>
      </c>
      <c r="I418">
        <v>2009</v>
      </c>
      <c r="J418" s="93">
        <v>351.24</v>
      </c>
      <c r="K418">
        <v>5</v>
      </c>
      <c r="L418" s="1" t="s">
        <v>409</v>
      </c>
      <c r="M418">
        <v>0</v>
      </c>
      <c r="N418">
        <v>692</v>
      </c>
      <c r="O418">
        <v>0.507498</v>
      </c>
      <c r="P418">
        <v>3</v>
      </c>
      <c r="Q418" s="1" t="s">
        <v>560</v>
      </c>
      <c r="R418" s="93">
        <v>351.24</v>
      </c>
      <c r="S418">
        <v>281</v>
      </c>
      <c r="T418">
        <v>0</v>
      </c>
      <c r="U418" s="1"/>
      <c r="V418" s="1"/>
      <c r="W418">
        <v>351.25229999999999</v>
      </c>
      <c r="X418">
        <v>0</v>
      </c>
      <c r="Y418">
        <v>76685</v>
      </c>
    </row>
    <row r="419" spans="1:25" ht="15" hidden="1" customHeight="1" x14ac:dyDescent="0.25">
      <c r="A419" s="1" t="s">
        <v>27</v>
      </c>
      <c r="B419" s="1"/>
      <c r="C419" s="1" t="s">
        <v>120</v>
      </c>
      <c r="D419">
        <v>10058</v>
      </c>
      <c r="E419" s="1"/>
      <c r="F419" s="1" t="s">
        <v>120</v>
      </c>
      <c r="G419" s="1" t="s">
        <v>120</v>
      </c>
      <c r="H419" s="1" t="s">
        <v>1405</v>
      </c>
      <c r="I419">
        <v>2008</v>
      </c>
      <c r="J419" s="93">
        <v>460.6</v>
      </c>
      <c r="K419">
        <v>4</v>
      </c>
      <c r="L419" s="1" t="s">
        <v>409</v>
      </c>
      <c r="M419">
        <v>0</v>
      </c>
      <c r="N419">
        <v>692</v>
      </c>
      <c r="O419">
        <v>0.66551000000000005</v>
      </c>
      <c r="P419">
        <v>3</v>
      </c>
      <c r="Q419" s="1" t="s">
        <v>560</v>
      </c>
      <c r="R419" s="93">
        <v>460.6</v>
      </c>
      <c r="S419">
        <v>368.48</v>
      </c>
      <c r="T419">
        <v>0</v>
      </c>
      <c r="U419" s="1"/>
      <c r="V419" s="1"/>
      <c r="W419">
        <v>460.59796</v>
      </c>
      <c r="X419">
        <v>0</v>
      </c>
      <c r="Y419">
        <v>76685</v>
      </c>
    </row>
    <row r="420" spans="1:25" ht="15" hidden="1" customHeight="1" x14ac:dyDescent="0.25">
      <c r="A420" s="1" t="s">
        <v>27</v>
      </c>
      <c r="B420" s="1" t="s">
        <v>54</v>
      </c>
      <c r="C420" s="1" t="s">
        <v>121</v>
      </c>
      <c r="D420">
        <v>5428</v>
      </c>
      <c r="E420" s="1"/>
      <c r="F420" s="1" t="s">
        <v>264</v>
      </c>
      <c r="G420" s="1" t="s">
        <v>264</v>
      </c>
      <c r="H420" s="1" t="s">
        <v>1405</v>
      </c>
      <c r="I420">
        <v>2015</v>
      </c>
      <c r="J420" s="93">
        <v>383</v>
      </c>
      <c r="K420">
        <v>5</v>
      </c>
      <c r="L420" s="1" t="s">
        <v>410</v>
      </c>
      <c r="M420">
        <v>0</v>
      </c>
      <c r="N420">
        <v>679</v>
      </c>
      <c r="O420">
        <v>0.22014400000000001</v>
      </c>
      <c r="P420">
        <v>3</v>
      </c>
      <c r="Q420" s="1" t="s">
        <v>560</v>
      </c>
      <c r="R420" s="93">
        <v>149.5</v>
      </c>
      <c r="S420">
        <v>119.62</v>
      </c>
      <c r="T420">
        <v>0</v>
      </c>
      <c r="U420" s="1" t="s">
        <v>595</v>
      </c>
      <c r="V420" s="1"/>
      <c r="W420">
        <v>149.50700000000001</v>
      </c>
      <c r="X420">
        <v>0</v>
      </c>
      <c r="Y420">
        <v>57404</v>
      </c>
    </row>
    <row r="421" spans="1:25" ht="15" hidden="1" customHeight="1" x14ac:dyDescent="0.25">
      <c r="A421" s="1" t="s">
        <v>27</v>
      </c>
      <c r="B421" s="1" t="s">
        <v>49</v>
      </c>
      <c r="C421" s="1" t="s">
        <v>111</v>
      </c>
      <c r="D421">
        <v>5251</v>
      </c>
      <c r="E421" s="1"/>
      <c r="F421" s="1" t="s">
        <v>257</v>
      </c>
      <c r="G421" s="1" t="s">
        <v>257</v>
      </c>
      <c r="H421" s="1" t="s">
        <v>1405</v>
      </c>
      <c r="I421">
        <v>2014</v>
      </c>
      <c r="J421" s="93">
        <v>8000.73</v>
      </c>
      <c r="K421">
        <v>12</v>
      </c>
      <c r="L421" s="1" t="s">
        <v>404</v>
      </c>
      <c r="M421">
        <v>0</v>
      </c>
      <c r="N421">
        <v>375</v>
      </c>
      <c r="O421">
        <v>21.329592000000002</v>
      </c>
      <c r="P421">
        <v>2</v>
      </c>
      <c r="Q421" s="1" t="s">
        <v>569</v>
      </c>
      <c r="R421" s="93">
        <v>8000.73</v>
      </c>
      <c r="S421">
        <v>3200.29</v>
      </c>
      <c r="T421">
        <v>0</v>
      </c>
      <c r="U421" s="1" t="s">
        <v>954</v>
      </c>
      <c r="V421" s="1" t="s">
        <v>1247</v>
      </c>
      <c r="W421">
        <v>8000.7338</v>
      </c>
      <c r="X421">
        <v>0</v>
      </c>
      <c r="Y421">
        <v>56680</v>
      </c>
    </row>
    <row r="422" spans="1:25" ht="15" hidden="1" customHeight="1" x14ac:dyDescent="0.25">
      <c r="A422" s="1" t="s">
        <v>27</v>
      </c>
      <c r="B422" s="1" t="s">
        <v>54</v>
      </c>
      <c r="C422" s="1" t="s">
        <v>121</v>
      </c>
      <c r="D422">
        <v>5428</v>
      </c>
      <c r="E422" s="1"/>
      <c r="F422" s="1" t="s">
        <v>264</v>
      </c>
      <c r="G422" s="1" t="s">
        <v>264</v>
      </c>
      <c r="H422" s="1" t="s">
        <v>1405</v>
      </c>
      <c r="I422">
        <v>2013</v>
      </c>
      <c r="J422" s="93">
        <v>762.86</v>
      </c>
      <c r="K422">
        <v>13</v>
      </c>
      <c r="L422" s="1" t="s">
        <v>410</v>
      </c>
      <c r="M422">
        <v>0</v>
      </c>
      <c r="N422">
        <v>679</v>
      </c>
      <c r="O422">
        <v>1.1233390000000001</v>
      </c>
      <c r="P422">
        <v>3</v>
      </c>
      <c r="Q422" s="1" t="s">
        <v>560</v>
      </c>
      <c r="R422" s="93">
        <v>762.86</v>
      </c>
      <c r="S422">
        <v>610.28</v>
      </c>
      <c r="T422">
        <v>0</v>
      </c>
      <c r="U422" s="1" t="s">
        <v>595</v>
      </c>
      <c r="V422" s="1"/>
      <c r="W422">
        <v>762.84789999999998</v>
      </c>
      <c r="X422">
        <v>0</v>
      </c>
      <c r="Y422">
        <v>57404</v>
      </c>
    </row>
    <row r="423" spans="1:25" ht="15" hidden="1" customHeight="1" x14ac:dyDescent="0.25">
      <c r="A423" s="1" t="s">
        <v>27</v>
      </c>
      <c r="B423" s="1" t="s">
        <v>54</v>
      </c>
      <c r="C423" s="1" t="s">
        <v>121</v>
      </c>
      <c r="D423">
        <v>5428</v>
      </c>
      <c r="E423" s="1"/>
      <c r="F423" s="1" t="s">
        <v>264</v>
      </c>
      <c r="G423" s="1" t="s">
        <v>264</v>
      </c>
      <c r="H423" s="1" t="s">
        <v>1405</v>
      </c>
      <c r="I423">
        <v>2012</v>
      </c>
      <c r="J423" s="93">
        <v>1097.74</v>
      </c>
      <c r="K423">
        <v>12</v>
      </c>
      <c r="L423" s="1" t="s">
        <v>410</v>
      </c>
      <c r="M423">
        <v>0</v>
      </c>
      <c r="N423">
        <v>679</v>
      </c>
      <c r="O423">
        <v>1.6164620000000001</v>
      </c>
      <c r="P423">
        <v>3</v>
      </c>
      <c r="Q423" s="1" t="s">
        <v>560</v>
      </c>
      <c r="R423" s="93">
        <v>1097.74</v>
      </c>
      <c r="S423">
        <v>878.18</v>
      </c>
      <c r="T423">
        <v>0</v>
      </c>
      <c r="U423" s="1" t="s">
        <v>595</v>
      </c>
      <c r="V423" s="1"/>
      <c r="W423">
        <v>1097.7440099999999</v>
      </c>
      <c r="X423">
        <v>0</v>
      </c>
      <c r="Y423">
        <v>57404</v>
      </c>
    </row>
    <row r="424" spans="1:25" ht="15" hidden="1" customHeight="1" x14ac:dyDescent="0.25">
      <c r="A424" s="1" t="s">
        <v>27</v>
      </c>
      <c r="B424" s="1" t="s">
        <v>54</v>
      </c>
      <c r="C424" s="1" t="s">
        <v>121</v>
      </c>
      <c r="D424">
        <v>5428</v>
      </c>
      <c r="E424" s="1"/>
      <c r="F424" s="1" t="s">
        <v>264</v>
      </c>
      <c r="G424" s="1" t="s">
        <v>264</v>
      </c>
      <c r="H424" s="1" t="s">
        <v>1405</v>
      </c>
      <c r="I424">
        <v>2011</v>
      </c>
      <c r="J424" s="93">
        <v>1056.74</v>
      </c>
      <c r="K424">
        <v>12</v>
      </c>
      <c r="L424" s="1" t="s">
        <v>410</v>
      </c>
      <c r="M424">
        <v>0</v>
      </c>
      <c r="N424">
        <v>679</v>
      </c>
      <c r="O424">
        <v>1.5560879999999999</v>
      </c>
      <c r="P424">
        <v>3</v>
      </c>
      <c r="Q424" s="1" t="s">
        <v>560</v>
      </c>
      <c r="R424" s="93">
        <v>1056.74</v>
      </c>
      <c r="S424">
        <v>845.37</v>
      </c>
      <c r="T424">
        <v>0</v>
      </c>
      <c r="U424" s="1" t="s">
        <v>595</v>
      </c>
      <c r="V424" s="1"/>
      <c r="W424">
        <v>1056.73153</v>
      </c>
      <c r="X424">
        <v>0</v>
      </c>
      <c r="Y424">
        <v>57404</v>
      </c>
    </row>
    <row r="425" spans="1:25" ht="15" hidden="1" customHeight="1" x14ac:dyDescent="0.25">
      <c r="A425" s="1" t="s">
        <v>27</v>
      </c>
      <c r="B425" s="1" t="s">
        <v>54</v>
      </c>
      <c r="C425" s="1" t="s">
        <v>121</v>
      </c>
      <c r="D425">
        <v>5428</v>
      </c>
      <c r="E425" s="1"/>
      <c r="F425" s="1" t="s">
        <v>264</v>
      </c>
      <c r="G425" s="1" t="s">
        <v>121</v>
      </c>
      <c r="H425" s="1" t="s">
        <v>1405</v>
      </c>
      <c r="I425">
        <v>2010</v>
      </c>
      <c r="J425" s="93">
        <v>1151.74</v>
      </c>
      <c r="K425">
        <v>12</v>
      </c>
      <c r="L425" s="1" t="s">
        <v>410</v>
      </c>
      <c r="M425">
        <v>0</v>
      </c>
      <c r="N425">
        <v>679</v>
      </c>
      <c r="O425">
        <v>1.6959789999999999</v>
      </c>
      <c r="P425">
        <v>3</v>
      </c>
      <c r="Q425" s="1" t="s">
        <v>560</v>
      </c>
      <c r="R425" s="93">
        <v>1151.74</v>
      </c>
      <c r="S425">
        <v>921.37</v>
      </c>
      <c r="T425">
        <v>0</v>
      </c>
      <c r="U425" s="1" t="s">
        <v>595</v>
      </c>
      <c r="V425" s="1"/>
      <c r="W425">
        <v>1151.7295300000001</v>
      </c>
      <c r="X425">
        <v>0</v>
      </c>
      <c r="Y425">
        <v>57404</v>
      </c>
    </row>
    <row r="426" spans="1:25" ht="15" hidden="1" customHeight="1" x14ac:dyDescent="0.25">
      <c r="A426" s="1" t="s">
        <v>27</v>
      </c>
      <c r="B426" s="1" t="s">
        <v>54</v>
      </c>
      <c r="C426" s="1" t="s">
        <v>121</v>
      </c>
      <c r="D426">
        <v>5428</v>
      </c>
      <c r="E426" s="1"/>
      <c r="F426" s="1" t="s">
        <v>264</v>
      </c>
      <c r="G426" s="1" t="s">
        <v>121</v>
      </c>
      <c r="H426" s="1" t="s">
        <v>1405</v>
      </c>
      <c r="I426">
        <v>2009</v>
      </c>
      <c r="J426" s="93">
        <v>1136.8599999999999</v>
      </c>
      <c r="K426">
        <v>12</v>
      </c>
      <c r="L426" s="1" t="s">
        <v>410</v>
      </c>
      <c r="M426">
        <v>0</v>
      </c>
      <c r="N426">
        <v>679</v>
      </c>
      <c r="O426">
        <v>1.6740679999999999</v>
      </c>
      <c r="P426">
        <v>3</v>
      </c>
      <c r="Q426" s="1" t="s">
        <v>560</v>
      </c>
      <c r="R426" s="93">
        <v>1136.8599999999999</v>
      </c>
      <c r="S426">
        <v>909.47</v>
      </c>
      <c r="T426">
        <v>0</v>
      </c>
      <c r="U426" s="1" t="s">
        <v>595</v>
      </c>
      <c r="V426" s="1"/>
      <c r="W426">
        <v>1136.84853</v>
      </c>
      <c r="X426">
        <v>0</v>
      </c>
      <c r="Y426">
        <v>57404</v>
      </c>
    </row>
    <row r="427" spans="1:25" ht="15" hidden="1" customHeight="1" x14ac:dyDescent="0.25">
      <c r="A427" s="1" t="s">
        <v>27</v>
      </c>
      <c r="B427" s="1" t="s">
        <v>54</v>
      </c>
      <c r="C427" s="1" t="s">
        <v>121</v>
      </c>
      <c r="D427">
        <v>5428</v>
      </c>
      <c r="E427" s="1"/>
      <c r="F427" s="1" t="s">
        <v>264</v>
      </c>
      <c r="G427" s="1" t="s">
        <v>121</v>
      </c>
      <c r="H427" s="1" t="s">
        <v>1405</v>
      </c>
      <c r="I427">
        <v>2008</v>
      </c>
      <c r="J427" s="93">
        <v>1160.51</v>
      </c>
      <c r="K427">
        <v>12</v>
      </c>
      <c r="L427" s="1" t="s">
        <v>410</v>
      </c>
      <c r="M427">
        <v>0</v>
      </c>
      <c r="N427">
        <v>679</v>
      </c>
      <c r="O427">
        <v>1.7088939999999999</v>
      </c>
      <c r="P427">
        <v>3</v>
      </c>
      <c r="Q427" s="1" t="s">
        <v>560</v>
      </c>
      <c r="R427" s="93">
        <v>1160.51</v>
      </c>
      <c r="S427">
        <v>928.43</v>
      </c>
      <c r="T427">
        <v>0</v>
      </c>
      <c r="U427" s="1" t="s">
        <v>595</v>
      </c>
      <c r="V427" s="1"/>
      <c r="W427">
        <v>1160.5120099999999</v>
      </c>
      <c r="X427">
        <v>0</v>
      </c>
      <c r="Y427">
        <v>57404</v>
      </c>
    </row>
    <row r="428" spans="1:25" ht="15" hidden="1" customHeight="1" x14ac:dyDescent="0.25">
      <c r="A428" s="1" t="s">
        <v>27</v>
      </c>
      <c r="B428" s="1" t="s">
        <v>55</v>
      </c>
      <c r="C428" s="1" t="s">
        <v>122</v>
      </c>
      <c r="D428">
        <v>5262</v>
      </c>
      <c r="E428" s="1"/>
      <c r="F428" s="1" t="s">
        <v>122</v>
      </c>
      <c r="G428" s="1" t="s">
        <v>122</v>
      </c>
      <c r="H428" s="1" t="s">
        <v>1405</v>
      </c>
      <c r="I428">
        <v>2015</v>
      </c>
      <c r="J428" s="93">
        <v>690</v>
      </c>
      <c r="K428">
        <v>5</v>
      </c>
      <c r="L428" s="1" t="s">
        <v>411</v>
      </c>
      <c r="M428">
        <v>0</v>
      </c>
      <c r="N428">
        <v>874</v>
      </c>
      <c r="O428">
        <v>0.450268</v>
      </c>
      <c r="P428">
        <v>3</v>
      </c>
      <c r="Q428" s="1" t="s">
        <v>560</v>
      </c>
      <c r="R428" s="93">
        <v>393.58</v>
      </c>
      <c r="S428">
        <v>314.87</v>
      </c>
      <c r="T428">
        <v>0</v>
      </c>
      <c r="U428" s="1" t="s">
        <v>596</v>
      </c>
      <c r="V428" s="1"/>
      <c r="W428">
        <v>393.57900000000001</v>
      </c>
      <c r="X428">
        <v>0</v>
      </c>
      <c r="Y428">
        <v>56739</v>
      </c>
    </row>
    <row r="429" spans="1:25" ht="15" hidden="1" customHeight="1" x14ac:dyDescent="0.25">
      <c r="A429" s="1" t="s">
        <v>28</v>
      </c>
      <c r="B429" s="1"/>
      <c r="C429" s="1" t="s">
        <v>143</v>
      </c>
      <c r="D429">
        <v>13961</v>
      </c>
      <c r="E429" s="1" t="s">
        <v>243</v>
      </c>
      <c r="F429" s="1" t="s">
        <v>143</v>
      </c>
      <c r="G429" s="1" t="s">
        <v>143</v>
      </c>
      <c r="H429" s="1" t="s">
        <v>1405</v>
      </c>
      <c r="I429">
        <v>2014</v>
      </c>
      <c r="J429" s="93">
        <v>4071.04</v>
      </c>
      <c r="K429">
        <v>3</v>
      </c>
      <c r="L429" s="1" t="s">
        <v>480</v>
      </c>
      <c r="M429">
        <v>0</v>
      </c>
      <c r="N429">
        <v>214</v>
      </c>
      <c r="O429">
        <v>19.014665999999998</v>
      </c>
      <c r="P429">
        <v>1</v>
      </c>
      <c r="Q429" s="1" t="s">
        <v>564</v>
      </c>
      <c r="R429" s="93">
        <v>4831.8999999999996</v>
      </c>
      <c r="S429">
        <v>1021.86</v>
      </c>
      <c r="T429">
        <v>0</v>
      </c>
      <c r="U429" s="1" t="s">
        <v>792</v>
      </c>
      <c r="V429" s="1" t="s">
        <v>1200</v>
      </c>
      <c r="W429">
        <v>376.94700999999998</v>
      </c>
      <c r="X429">
        <v>0</v>
      </c>
      <c r="Y429">
        <v>92684</v>
      </c>
    </row>
    <row r="430" spans="1:25" ht="15" hidden="1" customHeight="1" x14ac:dyDescent="0.25">
      <c r="A430" s="1" t="s">
        <v>27</v>
      </c>
      <c r="B430" s="1" t="s">
        <v>55</v>
      </c>
      <c r="C430" s="1" t="s">
        <v>122</v>
      </c>
      <c r="D430">
        <v>5262</v>
      </c>
      <c r="E430" s="1"/>
      <c r="F430" s="1" t="s">
        <v>122</v>
      </c>
      <c r="G430" s="1" t="s">
        <v>122</v>
      </c>
      <c r="H430" s="1" t="s">
        <v>1405</v>
      </c>
      <c r="I430">
        <v>2013</v>
      </c>
      <c r="J430" s="93">
        <v>470.8</v>
      </c>
      <c r="K430">
        <v>12</v>
      </c>
      <c r="L430" s="1" t="s">
        <v>411</v>
      </c>
      <c r="M430">
        <v>0</v>
      </c>
      <c r="N430">
        <v>874</v>
      </c>
      <c r="O430">
        <v>0.53861099999999995</v>
      </c>
      <c r="P430">
        <v>3</v>
      </c>
      <c r="Q430" s="1" t="s">
        <v>560</v>
      </c>
      <c r="R430" s="93">
        <v>470.8</v>
      </c>
      <c r="S430">
        <v>376.65</v>
      </c>
      <c r="T430">
        <v>0</v>
      </c>
      <c r="U430" s="1" t="s">
        <v>596</v>
      </c>
      <c r="V430" s="1"/>
      <c r="W430">
        <v>470.79500000000002</v>
      </c>
      <c r="X430">
        <v>0</v>
      </c>
      <c r="Y430">
        <v>56739</v>
      </c>
    </row>
    <row r="431" spans="1:25" ht="15" hidden="1" customHeight="1" x14ac:dyDescent="0.25">
      <c r="A431" s="1" t="s">
        <v>27</v>
      </c>
      <c r="B431" s="1" t="s">
        <v>55</v>
      </c>
      <c r="C431" s="1" t="s">
        <v>122</v>
      </c>
      <c r="D431">
        <v>5262</v>
      </c>
      <c r="E431" s="1"/>
      <c r="F431" s="1" t="s">
        <v>122</v>
      </c>
      <c r="G431" s="1" t="s">
        <v>122</v>
      </c>
      <c r="H431" s="1" t="s">
        <v>1405</v>
      </c>
      <c r="I431">
        <v>2012</v>
      </c>
      <c r="J431" s="93">
        <v>757.34</v>
      </c>
      <c r="K431">
        <v>12</v>
      </c>
      <c r="L431" s="1" t="s">
        <v>411</v>
      </c>
      <c r="M431">
        <v>0</v>
      </c>
      <c r="N431">
        <v>874</v>
      </c>
      <c r="O431">
        <v>0.86642200000000003</v>
      </c>
      <c r="P431">
        <v>3</v>
      </c>
      <c r="Q431" s="1" t="s">
        <v>560</v>
      </c>
      <c r="R431" s="93">
        <v>757.34</v>
      </c>
      <c r="S431">
        <v>605.87</v>
      </c>
      <c r="T431">
        <v>0</v>
      </c>
      <c r="U431" s="1" t="s">
        <v>596</v>
      </c>
      <c r="V431" s="1"/>
      <c r="W431">
        <v>757.34900000000005</v>
      </c>
      <c r="X431">
        <v>0</v>
      </c>
      <c r="Y431">
        <v>56739</v>
      </c>
    </row>
    <row r="432" spans="1:25" ht="15" hidden="1" customHeight="1" x14ac:dyDescent="0.25">
      <c r="A432" s="1" t="s">
        <v>27</v>
      </c>
      <c r="B432" s="1" t="s">
        <v>55</v>
      </c>
      <c r="C432" s="1" t="s">
        <v>122</v>
      </c>
      <c r="D432">
        <v>5262</v>
      </c>
      <c r="E432" s="1"/>
      <c r="F432" s="1" t="s">
        <v>122</v>
      </c>
      <c r="G432" s="1" t="s">
        <v>122</v>
      </c>
      <c r="H432" s="1" t="s">
        <v>1405</v>
      </c>
      <c r="I432">
        <v>2011</v>
      </c>
      <c r="J432" s="93">
        <v>562.64</v>
      </c>
      <c r="K432">
        <v>2</v>
      </c>
      <c r="L432" s="1" t="s">
        <v>411</v>
      </c>
      <c r="M432">
        <v>0</v>
      </c>
      <c r="N432">
        <v>874</v>
      </c>
      <c r="O432">
        <v>0.643679</v>
      </c>
      <c r="P432">
        <v>3</v>
      </c>
      <c r="Q432" s="1" t="s">
        <v>560</v>
      </c>
      <c r="R432" s="93">
        <v>562.64</v>
      </c>
      <c r="S432">
        <v>450.12</v>
      </c>
      <c r="T432">
        <v>0</v>
      </c>
      <c r="U432" s="1" t="s">
        <v>596</v>
      </c>
      <c r="V432" s="1"/>
      <c r="W432">
        <v>562.64130999999998</v>
      </c>
      <c r="X432">
        <v>0</v>
      </c>
      <c r="Y432">
        <v>56739</v>
      </c>
    </row>
    <row r="433" spans="1:25" ht="15" hidden="1" customHeight="1" x14ac:dyDescent="0.25">
      <c r="A433" s="1" t="s">
        <v>27</v>
      </c>
      <c r="B433" s="1" t="s">
        <v>55</v>
      </c>
      <c r="C433" s="1" t="s">
        <v>122</v>
      </c>
      <c r="D433">
        <v>5262</v>
      </c>
      <c r="E433" s="1"/>
      <c r="F433" s="1" t="s">
        <v>122</v>
      </c>
      <c r="G433" s="1" t="s">
        <v>122</v>
      </c>
      <c r="H433" s="1" t="s">
        <v>1405</v>
      </c>
      <c r="I433">
        <v>2010</v>
      </c>
      <c r="J433" s="93">
        <v>626.95000000000005</v>
      </c>
      <c r="K433">
        <v>1</v>
      </c>
      <c r="L433" s="1" t="s">
        <v>411</v>
      </c>
      <c r="M433">
        <v>0</v>
      </c>
      <c r="N433">
        <v>874</v>
      </c>
      <c r="O433">
        <v>0.717252</v>
      </c>
      <c r="P433">
        <v>3</v>
      </c>
      <c r="Q433" s="1" t="s">
        <v>560</v>
      </c>
      <c r="R433" s="93">
        <v>626.95000000000005</v>
      </c>
      <c r="S433">
        <v>501.53</v>
      </c>
      <c r="T433">
        <v>0</v>
      </c>
      <c r="U433" s="1" t="s">
        <v>596</v>
      </c>
      <c r="V433" s="1"/>
      <c r="W433">
        <v>626.91502000000003</v>
      </c>
      <c r="X433">
        <v>0</v>
      </c>
      <c r="Y433">
        <v>56739</v>
      </c>
    </row>
    <row r="434" spans="1:25" ht="15" hidden="1" customHeight="1" x14ac:dyDescent="0.25">
      <c r="A434" s="1" t="s">
        <v>27</v>
      </c>
      <c r="B434" s="1" t="s">
        <v>55</v>
      </c>
      <c r="C434" s="1" t="s">
        <v>122</v>
      </c>
      <c r="D434">
        <v>5262</v>
      </c>
      <c r="E434" s="1"/>
      <c r="F434" s="1" t="s">
        <v>122</v>
      </c>
      <c r="G434" s="1" t="s">
        <v>122</v>
      </c>
      <c r="H434" s="1" t="s">
        <v>1405</v>
      </c>
      <c r="I434">
        <v>2009</v>
      </c>
      <c r="J434" s="93">
        <v>654.4</v>
      </c>
      <c r="K434">
        <v>1</v>
      </c>
      <c r="L434" s="1" t="s">
        <v>411</v>
      </c>
      <c r="M434">
        <v>0</v>
      </c>
      <c r="N434">
        <v>874</v>
      </c>
      <c r="O434">
        <v>0.74865499999999996</v>
      </c>
      <c r="P434">
        <v>3</v>
      </c>
      <c r="Q434" s="1" t="s">
        <v>560</v>
      </c>
      <c r="R434" s="93">
        <v>654.4</v>
      </c>
      <c r="S434">
        <v>523.52</v>
      </c>
      <c r="T434">
        <v>0</v>
      </c>
      <c r="U434" s="1" t="s">
        <v>596</v>
      </c>
      <c r="V434" s="1"/>
      <c r="W434">
        <v>654.42148999999995</v>
      </c>
      <c r="X434">
        <v>0</v>
      </c>
      <c r="Y434">
        <v>56739</v>
      </c>
    </row>
    <row r="435" spans="1:25" ht="15" hidden="1" customHeight="1" x14ac:dyDescent="0.25">
      <c r="A435" s="1" t="s">
        <v>27</v>
      </c>
      <c r="B435" s="1" t="s">
        <v>55</v>
      </c>
      <c r="C435" s="1" t="s">
        <v>122</v>
      </c>
      <c r="D435">
        <v>5262</v>
      </c>
      <c r="E435" s="1"/>
      <c r="F435" s="1" t="s">
        <v>122</v>
      </c>
      <c r="G435" s="1" t="s">
        <v>122</v>
      </c>
      <c r="H435" s="1" t="s">
        <v>1405</v>
      </c>
      <c r="I435">
        <v>2008</v>
      </c>
      <c r="J435" s="93">
        <v>892.12</v>
      </c>
      <c r="K435">
        <v>1</v>
      </c>
      <c r="L435" s="1" t="s">
        <v>411</v>
      </c>
      <c r="M435">
        <v>0</v>
      </c>
      <c r="N435">
        <v>874</v>
      </c>
      <c r="O435">
        <v>1.020615</v>
      </c>
      <c r="P435">
        <v>3</v>
      </c>
      <c r="Q435" s="1" t="s">
        <v>560</v>
      </c>
      <c r="R435" s="93">
        <v>892.12</v>
      </c>
      <c r="S435">
        <v>713.7</v>
      </c>
      <c r="T435">
        <v>0</v>
      </c>
      <c r="U435" s="1" t="s">
        <v>596</v>
      </c>
      <c r="V435" s="1"/>
      <c r="W435">
        <v>892.10973000000001</v>
      </c>
      <c r="X435">
        <v>0</v>
      </c>
      <c r="Y435">
        <v>56739</v>
      </c>
    </row>
    <row r="436" spans="1:25" ht="15" hidden="1" customHeight="1" x14ac:dyDescent="0.25">
      <c r="A436" s="1" t="s">
        <v>27</v>
      </c>
      <c r="B436" s="1" t="s">
        <v>56</v>
      </c>
      <c r="C436" s="1" t="s">
        <v>123</v>
      </c>
      <c r="D436">
        <v>5264</v>
      </c>
      <c r="E436" s="1"/>
      <c r="F436" s="1" t="s">
        <v>123</v>
      </c>
      <c r="G436" s="1" t="s">
        <v>123</v>
      </c>
      <c r="H436" s="1" t="s">
        <v>1405</v>
      </c>
      <c r="I436">
        <v>2015</v>
      </c>
      <c r="J436" s="93">
        <v>225</v>
      </c>
      <c r="K436">
        <v>5</v>
      </c>
      <c r="L436" s="1" t="s">
        <v>402</v>
      </c>
      <c r="M436">
        <v>0</v>
      </c>
      <c r="N436">
        <v>333</v>
      </c>
      <c r="O436">
        <v>0.29171399999999997</v>
      </c>
      <c r="P436">
        <v>3</v>
      </c>
      <c r="Q436" s="1" t="s">
        <v>560</v>
      </c>
      <c r="R436" s="93">
        <v>97.17</v>
      </c>
      <c r="S436">
        <v>77.739999999999995</v>
      </c>
      <c r="T436">
        <v>0</v>
      </c>
      <c r="U436" s="1" t="s">
        <v>597</v>
      </c>
      <c r="V436" s="1"/>
      <c r="W436">
        <v>97.171999999999997</v>
      </c>
      <c r="X436">
        <v>0</v>
      </c>
      <c r="Y436">
        <v>56769</v>
      </c>
    </row>
    <row r="437" spans="1:25" ht="15" hidden="1" customHeight="1" x14ac:dyDescent="0.25">
      <c r="A437" s="1" t="s">
        <v>28</v>
      </c>
      <c r="B437" s="1"/>
      <c r="C437" s="1" t="s">
        <v>142</v>
      </c>
      <c r="D437">
        <v>10271</v>
      </c>
      <c r="E437" s="1"/>
      <c r="F437" s="1" t="s">
        <v>279</v>
      </c>
      <c r="G437" s="1" t="s">
        <v>142</v>
      </c>
      <c r="H437" s="1" t="s">
        <v>1405</v>
      </c>
      <c r="I437">
        <v>2014</v>
      </c>
      <c r="J437" s="93">
        <v>7381.07</v>
      </c>
      <c r="K437">
        <v>4</v>
      </c>
      <c r="L437" s="1" t="s">
        <v>419</v>
      </c>
      <c r="M437">
        <v>0</v>
      </c>
      <c r="N437">
        <v>123</v>
      </c>
      <c r="O437">
        <v>59.959950999999997</v>
      </c>
      <c r="P437">
        <v>1</v>
      </c>
      <c r="Q437" s="1" t="s">
        <v>564</v>
      </c>
      <c r="R437" s="93">
        <v>8815.18</v>
      </c>
      <c r="S437">
        <v>1864.24</v>
      </c>
      <c r="T437">
        <v>0</v>
      </c>
      <c r="U437" s="1" t="s">
        <v>791</v>
      </c>
      <c r="V437" s="1" t="s">
        <v>1199</v>
      </c>
      <c r="W437">
        <v>683.43129999999996</v>
      </c>
      <c r="X437">
        <v>0</v>
      </c>
      <c r="Y437">
        <v>77658</v>
      </c>
    </row>
    <row r="438" spans="1:25" ht="15" hidden="1" customHeight="1" x14ac:dyDescent="0.25">
      <c r="A438" s="1" t="s">
        <v>27</v>
      </c>
      <c r="B438" s="1" t="s">
        <v>56</v>
      </c>
      <c r="C438" s="1" t="s">
        <v>123</v>
      </c>
      <c r="D438">
        <v>5264</v>
      </c>
      <c r="E438" s="1"/>
      <c r="F438" s="1" t="s">
        <v>123</v>
      </c>
      <c r="G438" s="1" t="s">
        <v>123</v>
      </c>
      <c r="H438" s="1" t="s">
        <v>1405</v>
      </c>
      <c r="I438">
        <v>2013</v>
      </c>
      <c r="J438" s="93">
        <v>254.09</v>
      </c>
      <c r="K438">
        <v>12</v>
      </c>
      <c r="L438" s="1" t="s">
        <v>402</v>
      </c>
      <c r="M438">
        <v>0</v>
      </c>
      <c r="N438">
        <v>333</v>
      </c>
      <c r="O438">
        <v>0.76280300000000001</v>
      </c>
      <c r="P438">
        <v>3</v>
      </c>
      <c r="Q438" s="1" t="s">
        <v>560</v>
      </c>
      <c r="R438" s="93">
        <v>254.09</v>
      </c>
      <c r="S438">
        <v>203.27</v>
      </c>
      <c r="T438">
        <v>0</v>
      </c>
      <c r="U438" s="1" t="s">
        <v>597</v>
      </c>
      <c r="V438" s="1"/>
      <c r="W438">
        <v>254.09100000000001</v>
      </c>
      <c r="X438">
        <v>0</v>
      </c>
      <c r="Y438">
        <v>56769</v>
      </c>
    </row>
    <row r="439" spans="1:25" ht="15" hidden="1" customHeight="1" x14ac:dyDescent="0.25">
      <c r="A439" s="1" t="s">
        <v>27</v>
      </c>
      <c r="B439" s="1" t="s">
        <v>56</v>
      </c>
      <c r="C439" s="1" t="s">
        <v>123</v>
      </c>
      <c r="D439">
        <v>5264</v>
      </c>
      <c r="E439" s="1"/>
      <c r="F439" s="1" t="s">
        <v>123</v>
      </c>
      <c r="G439" s="1" t="s">
        <v>123</v>
      </c>
      <c r="H439" s="1" t="s">
        <v>1405</v>
      </c>
      <c r="I439">
        <v>2012</v>
      </c>
      <c r="J439" s="93">
        <v>243.22</v>
      </c>
      <c r="K439">
        <v>12</v>
      </c>
      <c r="L439" s="1" t="s">
        <v>402</v>
      </c>
      <c r="M439">
        <v>0</v>
      </c>
      <c r="N439">
        <v>333</v>
      </c>
      <c r="O439">
        <v>0.73017100000000001</v>
      </c>
      <c r="P439">
        <v>3</v>
      </c>
      <c r="Q439" s="1" t="s">
        <v>560</v>
      </c>
      <c r="R439" s="93">
        <v>243.22</v>
      </c>
      <c r="S439">
        <v>194.57</v>
      </c>
      <c r="T439">
        <v>0</v>
      </c>
      <c r="U439" s="1" t="s">
        <v>597</v>
      </c>
      <c r="V439" s="1"/>
      <c r="W439">
        <v>243.22399999999999</v>
      </c>
      <c r="X439">
        <v>0</v>
      </c>
      <c r="Y439">
        <v>56769</v>
      </c>
    </row>
    <row r="440" spans="1:25" ht="15" hidden="1" customHeight="1" x14ac:dyDescent="0.25">
      <c r="A440" s="1" t="s">
        <v>27</v>
      </c>
      <c r="B440" s="1" t="s">
        <v>56</v>
      </c>
      <c r="C440" s="1" t="s">
        <v>123</v>
      </c>
      <c r="D440">
        <v>5264</v>
      </c>
      <c r="E440" s="1"/>
      <c r="F440" s="1" t="s">
        <v>123</v>
      </c>
      <c r="G440" s="1" t="s">
        <v>123</v>
      </c>
      <c r="H440" s="1" t="s">
        <v>1405</v>
      </c>
      <c r="I440">
        <v>2011</v>
      </c>
      <c r="J440" s="93">
        <v>276.04000000000002</v>
      </c>
      <c r="K440">
        <v>12</v>
      </c>
      <c r="L440" s="1" t="s">
        <v>402</v>
      </c>
      <c r="M440">
        <v>0</v>
      </c>
      <c r="N440">
        <v>333</v>
      </c>
      <c r="O440">
        <v>0.82869999999999999</v>
      </c>
      <c r="P440">
        <v>3</v>
      </c>
      <c r="Q440" s="1" t="s">
        <v>560</v>
      </c>
      <c r="R440" s="93">
        <v>276.04000000000002</v>
      </c>
      <c r="S440">
        <v>220.83</v>
      </c>
      <c r="T440">
        <v>0</v>
      </c>
      <c r="U440" s="1" t="s">
        <v>597</v>
      </c>
      <c r="V440" s="1"/>
      <c r="W440">
        <v>276.03899000000001</v>
      </c>
      <c r="X440">
        <v>0</v>
      </c>
      <c r="Y440">
        <v>56769</v>
      </c>
    </row>
    <row r="441" spans="1:25" ht="15" hidden="1" customHeight="1" x14ac:dyDescent="0.25">
      <c r="A441" s="1" t="s">
        <v>27</v>
      </c>
      <c r="B441" s="1" t="s">
        <v>56</v>
      </c>
      <c r="C441" s="1" t="s">
        <v>123</v>
      </c>
      <c r="D441">
        <v>5264</v>
      </c>
      <c r="E441" s="1"/>
      <c r="F441" s="1" t="s">
        <v>123</v>
      </c>
      <c r="G441" s="1" t="s">
        <v>123</v>
      </c>
      <c r="H441" s="1" t="s">
        <v>1405</v>
      </c>
      <c r="I441">
        <v>2010</v>
      </c>
      <c r="J441" s="93">
        <v>281.17</v>
      </c>
      <c r="K441">
        <v>12</v>
      </c>
      <c r="L441" s="1" t="s">
        <v>402</v>
      </c>
      <c r="M441">
        <v>0</v>
      </c>
      <c r="N441">
        <v>333</v>
      </c>
      <c r="O441">
        <v>0.84409999999999996</v>
      </c>
      <c r="P441">
        <v>3</v>
      </c>
      <c r="Q441" s="1" t="s">
        <v>560</v>
      </c>
      <c r="R441" s="93">
        <v>281.17</v>
      </c>
      <c r="S441">
        <v>224.93</v>
      </c>
      <c r="T441">
        <v>0</v>
      </c>
      <c r="U441" s="1" t="s">
        <v>597</v>
      </c>
      <c r="V441" s="1"/>
      <c r="W441">
        <v>281.16800000000001</v>
      </c>
      <c r="X441">
        <v>0</v>
      </c>
      <c r="Y441">
        <v>56769</v>
      </c>
    </row>
    <row r="442" spans="1:25" ht="15" hidden="1" customHeight="1" x14ac:dyDescent="0.25">
      <c r="A442" s="1" t="s">
        <v>27</v>
      </c>
      <c r="B442" s="1" t="s">
        <v>56</v>
      </c>
      <c r="C442" s="1" t="s">
        <v>123</v>
      </c>
      <c r="D442">
        <v>5264</v>
      </c>
      <c r="E442" s="1"/>
      <c r="F442" s="1" t="s">
        <v>123</v>
      </c>
      <c r="G442" s="1" t="s">
        <v>123</v>
      </c>
      <c r="H442" s="1" t="s">
        <v>1405</v>
      </c>
      <c r="I442">
        <v>2009</v>
      </c>
      <c r="J442" s="93">
        <v>303.89</v>
      </c>
      <c r="K442">
        <v>12</v>
      </c>
      <c r="L442" s="1" t="s">
        <v>402</v>
      </c>
      <c r="M442">
        <v>0</v>
      </c>
      <c r="N442">
        <v>333</v>
      </c>
      <c r="O442">
        <v>0.91230800000000001</v>
      </c>
      <c r="P442">
        <v>3</v>
      </c>
      <c r="Q442" s="1" t="s">
        <v>560</v>
      </c>
      <c r="R442" s="93">
        <v>303.89</v>
      </c>
      <c r="S442">
        <v>243.11</v>
      </c>
      <c r="T442">
        <v>0</v>
      </c>
      <c r="U442" s="1" t="s">
        <v>597</v>
      </c>
      <c r="V442" s="1"/>
      <c r="W442">
        <v>303.88099999999997</v>
      </c>
      <c r="X442">
        <v>0</v>
      </c>
      <c r="Y442">
        <v>56769</v>
      </c>
    </row>
    <row r="443" spans="1:25" ht="15" hidden="1" customHeight="1" x14ac:dyDescent="0.25">
      <c r="A443" s="1" t="s">
        <v>27</v>
      </c>
      <c r="B443" s="1" t="s">
        <v>56</v>
      </c>
      <c r="C443" s="1" t="s">
        <v>123</v>
      </c>
      <c r="D443">
        <v>5264</v>
      </c>
      <c r="E443" s="1"/>
      <c r="F443" s="1" t="s">
        <v>123</v>
      </c>
      <c r="G443" s="1" t="s">
        <v>123</v>
      </c>
      <c r="H443" s="1" t="s">
        <v>1405</v>
      </c>
      <c r="I443">
        <v>2008</v>
      </c>
      <c r="J443" s="93">
        <v>302.29000000000002</v>
      </c>
      <c r="K443">
        <v>12</v>
      </c>
      <c r="L443" s="1" t="s">
        <v>402</v>
      </c>
      <c r="M443">
        <v>0</v>
      </c>
      <c r="N443">
        <v>333</v>
      </c>
      <c r="O443">
        <v>0.90750500000000001</v>
      </c>
      <c r="P443">
        <v>3</v>
      </c>
      <c r="Q443" s="1" t="s">
        <v>560</v>
      </c>
      <c r="R443" s="93">
        <v>302.29000000000002</v>
      </c>
      <c r="S443">
        <v>241.85</v>
      </c>
      <c r="T443">
        <v>0</v>
      </c>
      <c r="U443" s="1" t="s">
        <v>597</v>
      </c>
      <c r="V443" s="1"/>
      <c r="W443">
        <v>302.3</v>
      </c>
      <c r="X443">
        <v>0</v>
      </c>
      <c r="Y443">
        <v>56769</v>
      </c>
    </row>
    <row r="444" spans="1:25" ht="15" hidden="1" customHeight="1" x14ac:dyDescent="0.25">
      <c r="A444" s="1" t="s">
        <v>27</v>
      </c>
      <c r="B444" s="1"/>
      <c r="C444" s="1" t="s">
        <v>124</v>
      </c>
      <c r="D444">
        <v>9957</v>
      </c>
      <c r="E444" s="1"/>
      <c r="F444" s="1" t="s">
        <v>265</v>
      </c>
      <c r="G444" s="1" t="s">
        <v>124</v>
      </c>
      <c r="H444" s="1" t="s">
        <v>1405</v>
      </c>
      <c r="I444">
        <v>2015</v>
      </c>
      <c r="J444" s="93">
        <v>322</v>
      </c>
      <c r="K444">
        <v>5</v>
      </c>
      <c r="L444" s="1" t="s">
        <v>399</v>
      </c>
      <c r="M444">
        <v>0</v>
      </c>
      <c r="N444">
        <v>646</v>
      </c>
      <c r="O444">
        <v>0.23566000000000001</v>
      </c>
      <c r="P444">
        <v>3</v>
      </c>
      <c r="Q444" s="1" t="s">
        <v>560</v>
      </c>
      <c r="R444" s="93">
        <v>152.26</v>
      </c>
      <c r="S444">
        <v>121.81</v>
      </c>
      <c r="T444">
        <v>0</v>
      </c>
      <c r="U444" s="1"/>
      <c r="V444" s="1"/>
      <c r="W444">
        <v>152.262</v>
      </c>
      <c r="X444">
        <v>0</v>
      </c>
      <c r="Y444">
        <v>76342</v>
      </c>
    </row>
    <row r="445" spans="1:25" ht="15" hidden="1" customHeight="1" x14ac:dyDescent="0.25">
      <c r="A445" s="1" t="s">
        <v>27</v>
      </c>
      <c r="B445" s="1"/>
      <c r="C445" s="1" t="s">
        <v>124</v>
      </c>
      <c r="D445">
        <v>9957</v>
      </c>
      <c r="E445" s="1"/>
      <c r="F445" s="1" t="s">
        <v>265</v>
      </c>
      <c r="G445" s="1" t="s">
        <v>124</v>
      </c>
      <c r="H445" s="1" t="s">
        <v>1405</v>
      </c>
      <c r="I445">
        <v>2013</v>
      </c>
      <c r="J445" s="93">
        <v>695.5</v>
      </c>
      <c r="K445">
        <v>12</v>
      </c>
      <c r="L445" s="1" t="s">
        <v>399</v>
      </c>
      <c r="M445">
        <v>0</v>
      </c>
      <c r="N445">
        <v>646</v>
      </c>
      <c r="O445">
        <v>1.0764579999999999</v>
      </c>
      <c r="P445">
        <v>3</v>
      </c>
      <c r="Q445" s="1" t="s">
        <v>560</v>
      </c>
      <c r="R445" s="93">
        <v>695.5</v>
      </c>
      <c r="S445">
        <v>556.4</v>
      </c>
      <c r="T445">
        <v>0</v>
      </c>
      <c r="U445" s="1"/>
      <c r="V445" s="1"/>
      <c r="W445">
        <v>695.5</v>
      </c>
      <c r="X445">
        <v>0</v>
      </c>
      <c r="Y445">
        <v>76342</v>
      </c>
    </row>
    <row r="446" spans="1:25" ht="15" hidden="1" customHeight="1" x14ac:dyDescent="0.25">
      <c r="A446" s="1" t="s">
        <v>27</v>
      </c>
      <c r="B446" s="1"/>
      <c r="C446" s="1" t="s">
        <v>124</v>
      </c>
      <c r="D446">
        <v>9957</v>
      </c>
      <c r="E446" s="1"/>
      <c r="F446" s="1" t="s">
        <v>265</v>
      </c>
      <c r="G446" s="1" t="s">
        <v>124</v>
      </c>
      <c r="H446" s="1" t="s">
        <v>1405</v>
      </c>
      <c r="I446">
        <v>2012</v>
      </c>
      <c r="J446" s="93">
        <v>665.5</v>
      </c>
      <c r="K446">
        <v>12</v>
      </c>
      <c r="L446" s="1" t="s">
        <v>399</v>
      </c>
      <c r="M446">
        <v>0</v>
      </c>
      <c r="N446">
        <v>646</v>
      </c>
      <c r="O446">
        <v>1.0300260000000001</v>
      </c>
      <c r="P446">
        <v>3</v>
      </c>
      <c r="Q446" s="1" t="s">
        <v>560</v>
      </c>
      <c r="R446" s="93">
        <v>665.5</v>
      </c>
      <c r="S446">
        <v>532.4</v>
      </c>
      <c r="T446">
        <v>0</v>
      </c>
      <c r="U446" s="1"/>
      <c r="V446" s="1"/>
      <c r="W446">
        <v>665.5</v>
      </c>
      <c r="X446">
        <v>0</v>
      </c>
      <c r="Y446">
        <v>76342</v>
      </c>
    </row>
    <row r="447" spans="1:25" ht="15" hidden="1" customHeight="1" x14ac:dyDescent="0.25">
      <c r="A447" s="1" t="s">
        <v>27</v>
      </c>
      <c r="B447" s="1"/>
      <c r="C447" s="1" t="s">
        <v>124</v>
      </c>
      <c r="D447">
        <v>9957</v>
      </c>
      <c r="E447" s="1"/>
      <c r="F447" s="1" t="s">
        <v>265</v>
      </c>
      <c r="G447" s="1" t="s">
        <v>124</v>
      </c>
      <c r="H447" s="1" t="s">
        <v>1405</v>
      </c>
      <c r="I447">
        <v>2011</v>
      </c>
      <c r="J447" s="93">
        <v>424.55</v>
      </c>
      <c r="K447">
        <v>7</v>
      </c>
      <c r="L447" s="1" t="s">
        <v>399</v>
      </c>
      <c r="M447">
        <v>0</v>
      </c>
      <c r="N447">
        <v>646</v>
      </c>
      <c r="O447">
        <v>0.65709600000000001</v>
      </c>
      <c r="P447">
        <v>3</v>
      </c>
      <c r="Q447" s="1" t="s">
        <v>560</v>
      </c>
      <c r="R447" s="93">
        <v>424.55</v>
      </c>
      <c r="S447">
        <v>339.63</v>
      </c>
      <c r="T447">
        <v>0</v>
      </c>
      <c r="U447" s="1"/>
      <c r="V447" s="1"/>
      <c r="W447">
        <v>424.52940000000001</v>
      </c>
      <c r="X447">
        <v>0</v>
      </c>
      <c r="Y447">
        <v>76342</v>
      </c>
    </row>
    <row r="448" spans="1:25" ht="15" hidden="1" customHeight="1" x14ac:dyDescent="0.25">
      <c r="A448" s="1" t="s">
        <v>27</v>
      </c>
      <c r="B448" s="1"/>
      <c r="C448" s="1" t="s">
        <v>124</v>
      </c>
      <c r="D448">
        <v>9957</v>
      </c>
      <c r="E448" s="1"/>
      <c r="F448" s="1" t="s">
        <v>265</v>
      </c>
      <c r="G448" s="1" t="s">
        <v>124</v>
      </c>
      <c r="H448" s="1" t="s">
        <v>1405</v>
      </c>
      <c r="I448">
        <v>2010</v>
      </c>
      <c r="J448" s="93">
        <v>409.78</v>
      </c>
      <c r="K448">
        <v>3</v>
      </c>
      <c r="L448" s="1" t="s">
        <v>399</v>
      </c>
      <c r="M448">
        <v>0</v>
      </c>
      <c r="N448">
        <v>646</v>
      </c>
      <c r="O448">
        <v>0.63423600000000002</v>
      </c>
      <c r="P448">
        <v>3</v>
      </c>
      <c r="Q448" s="1" t="s">
        <v>560</v>
      </c>
      <c r="R448" s="93">
        <v>409.78</v>
      </c>
      <c r="S448">
        <v>327.85</v>
      </c>
      <c r="T448">
        <v>0</v>
      </c>
      <c r="U448" s="1"/>
      <c r="V448" s="1"/>
      <c r="W448">
        <v>409.79201999999998</v>
      </c>
      <c r="X448">
        <v>0</v>
      </c>
      <c r="Y448">
        <v>76342</v>
      </c>
    </row>
    <row r="449" spans="1:25" ht="15" hidden="1" customHeight="1" x14ac:dyDescent="0.25">
      <c r="A449" s="1" t="s">
        <v>27</v>
      </c>
      <c r="B449" s="1"/>
      <c r="C449" s="1" t="s">
        <v>124</v>
      </c>
      <c r="D449">
        <v>9957</v>
      </c>
      <c r="E449" s="1"/>
      <c r="F449" s="1" t="s">
        <v>265</v>
      </c>
      <c r="G449" s="1" t="s">
        <v>124</v>
      </c>
      <c r="H449" s="1" t="s">
        <v>1405</v>
      </c>
      <c r="I449">
        <v>2009</v>
      </c>
      <c r="J449" s="93">
        <v>355.94</v>
      </c>
      <c r="K449">
        <v>4</v>
      </c>
      <c r="L449" s="1" t="s">
        <v>399</v>
      </c>
      <c r="M449">
        <v>0</v>
      </c>
      <c r="N449">
        <v>646</v>
      </c>
      <c r="O449">
        <v>0.55090499999999998</v>
      </c>
      <c r="P449">
        <v>3</v>
      </c>
      <c r="Q449" s="1" t="s">
        <v>560</v>
      </c>
      <c r="R449" s="93">
        <v>355.94</v>
      </c>
      <c r="S449">
        <v>284.77999999999997</v>
      </c>
      <c r="T449">
        <v>0</v>
      </c>
      <c r="U449" s="1"/>
      <c r="V449" s="1"/>
      <c r="W449">
        <v>355.95445000000001</v>
      </c>
      <c r="X449">
        <v>0</v>
      </c>
      <c r="Y449">
        <v>76342</v>
      </c>
    </row>
    <row r="450" spans="1:25" ht="15" hidden="1" customHeight="1" x14ac:dyDescent="0.25">
      <c r="A450" s="1" t="s">
        <v>27</v>
      </c>
      <c r="B450" s="1"/>
      <c r="C450" s="1" t="s">
        <v>124</v>
      </c>
      <c r="D450">
        <v>9957</v>
      </c>
      <c r="E450" s="1"/>
      <c r="F450" s="1" t="s">
        <v>265</v>
      </c>
      <c r="G450" s="1" t="s">
        <v>124</v>
      </c>
      <c r="H450" s="1" t="s">
        <v>1405</v>
      </c>
      <c r="I450">
        <v>2008</v>
      </c>
      <c r="J450" s="93">
        <v>322.83</v>
      </c>
      <c r="K450">
        <v>5</v>
      </c>
      <c r="L450" s="1" t="s">
        <v>399</v>
      </c>
      <c r="M450">
        <v>0</v>
      </c>
      <c r="N450">
        <v>646</v>
      </c>
      <c r="O450">
        <v>0.49965900000000002</v>
      </c>
      <c r="P450">
        <v>3</v>
      </c>
      <c r="Q450" s="1" t="s">
        <v>560</v>
      </c>
      <c r="R450" s="93">
        <v>322.83</v>
      </c>
      <c r="S450">
        <v>258.24</v>
      </c>
      <c r="T450">
        <v>0</v>
      </c>
      <c r="U450" s="1"/>
      <c r="V450" s="1"/>
      <c r="W450">
        <v>322.82515000000001</v>
      </c>
      <c r="X450">
        <v>0</v>
      </c>
      <c r="Y450">
        <v>76342</v>
      </c>
    </row>
    <row r="451" spans="1:25" ht="15" hidden="1" customHeight="1" x14ac:dyDescent="0.25">
      <c r="A451" s="1" t="s">
        <v>27</v>
      </c>
      <c r="B451" s="1" t="s">
        <v>57</v>
      </c>
      <c r="C451" s="1" t="s">
        <v>125</v>
      </c>
      <c r="D451">
        <v>5269</v>
      </c>
      <c r="E451" s="1"/>
      <c r="F451" s="1" t="s">
        <v>266</v>
      </c>
      <c r="G451" s="1" t="s">
        <v>266</v>
      </c>
      <c r="H451" s="1" t="s">
        <v>1405</v>
      </c>
      <c r="I451">
        <v>2015</v>
      </c>
      <c r="J451" s="93">
        <v>306</v>
      </c>
      <c r="K451">
        <v>5</v>
      </c>
      <c r="L451" s="1" t="s">
        <v>393</v>
      </c>
      <c r="M451">
        <v>0</v>
      </c>
      <c r="N451">
        <v>607</v>
      </c>
      <c r="O451">
        <v>0.20874599999999999</v>
      </c>
      <c r="P451">
        <v>3</v>
      </c>
      <c r="Q451" s="1" t="s">
        <v>560</v>
      </c>
      <c r="R451" s="93">
        <v>126.73</v>
      </c>
      <c r="S451">
        <v>101.39</v>
      </c>
      <c r="T451">
        <v>0</v>
      </c>
      <c r="U451" s="1" t="s">
        <v>598</v>
      </c>
      <c r="V451" s="1"/>
      <c r="W451">
        <v>126.736</v>
      </c>
      <c r="X451">
        <v>0</v>
      </c>
      <c r="Y451">
        <v>56820</v>
      </c>
    </row>
    <row r="452" spans="1:25" ht="15" hidden="1" customHeight="1" x14ac:dyDescent="0.25">
      <c r="A452" s="1" t="s">
        <v>27</v>
      </c>
      <c r="B452" s="1" t="s">
        <v>57</v>
      </c>
      <c r="C452" s="1" t="s">
        <v>125</v>
      </c>
      <c r="D452">
        <v>5269</v>
      </c>
      <c r="E452" s="1"/>
      <c r="F452" s="1" t="s">
        <v>266</v>
      </c>
      <c r="G452" s="1" t="s">
        <v>266</v>
      </c>
      <c r="H452" s="1" t="s">
        <v>1405</v>
      </c>
      <c r="I452">
        <v>2013</v>
      </c>
      <c r="J452" s="93">
        <v>376.5</v>
      </c>
      <c r="K452">
        <v>12</v>
      </c>
      <c r="L452" s="1" t="s">
        <v>393</v>
      </c>
      <c r="M452">
        <v>0</v>
      </c>
      <c r="N452">
        <v>607</v>
      </c>
      <c r="O452">
        <v>0.62016099999999996</v>
      </c>
      <c r="P452">
        <v>3</v>
      </c>
      <c r="Q452" s="1" t="s">
        <v>560</v>
      </c>
      <c r="R452" s="93">
        <v>376.5</v>
      </c>
      <c r="S452">
        <v>301.18</v>
      </c>
      <c r="T452">
        <v>0</v>
      </c>
      <c r="U452" s="1" t="s">
        <v>598</v>
      </c>
      <c r="V452" s="1"/>
      <c r="W452">
        <v>376.49599999999998</v>
      </c>
      <c r="X452">
        <v>0</v>
      </c>
      <c r="Y452">
        <v>56820</v>
      </c>
    </row>
    <row r="453" spans="1:25" ht="15" hidden="1" customHeight="1" x14ac:dyDescent="0.25">
      <c r="A453" s="1" t="s">
        <v>27</v>
      </c>
      <c r="B453" s="1" t="s">
        <v>57</v>
      </c>
      <c r="C453" s="1" t="s">
        <v>125</v>
      </c>
      <c r="D453">
        <v>5269</v>
      </c>
      <c r="E453" s="1"/>
      <c r="F453" s="1" t="s">
        <v>266</v>
      </c>
      <c r="G453" s="1" t="s">
        <v>266</v>
      </c>
      <c r="H453" s="1" t="s">
        <v>1405</v>
      </c>
      <c r="I453">
        <v>2012</v>
      </c>
      <c r="J453" s="93">
        <v>278.05</v>
      </c>
      <c r="K453">
        <v>12</v>
      </c>
      <c r="L453" s="1" t="s">
        <v>393</v>
      </c>
      <c r="M453">
        <v>0</v>
      </c>
      <c r="N453">
        <v>607</v>
      </c>
      <c r="O453">
        <v>0.45799699999999999</v>
      </c>
      <c r="P453">
        <v>3</v>
      </c>
      <c r="Q453" s="1" t="s">
        <v>560</v>
      </c>
      <c r="R453" s="93">
        <v>278.05</v>
      </c>
      <c r="S453">
        <v>222.45</v>
      </c>
      <c r="T453">
        <v>0</v>
      </c>
      <c r="U453" s="1" t="s">
        <v>598</v>
      </c>
      <c r="V453" s="1"/>
      <c r="W453">
        <v>278.06200000000001</v>
      </c>
      <c r="X453">
        <v>0</v>
      </c>
      <c r="Y453">
        <v>56820</v>
      </c>
    </row>
    <row r="454" spans="1:25" ht="15" hidden="1" customHeight="1" x14ac:dyDescent="0.25">
      <c r="A454" s="1" t="s">
        <v>27</v>
      </c>
      <c r="B454" s="1" t="s">
        <v>57</v>
      </c>
      <c r="C454" s="1" t="s">
        <v>125</v>
      </c>
      <c r="D454">
        <v>5269</v>
      </c>
      <c r="E454" s="1"/>
      <c r="F454" s="1" t="s">
        <v>266</v>
      </c>
      <c r="G454" s="1" t="s">
        <v>266</v>
      </c>
      <c r="H454" s="1" t="s">
        <v>1405</v>
      </c>
      <c r="I454">
        <v>2011</v>
      </c>
      <c r="J454" s="93">
        <v>325.45999999999998</v>
      </c>
      <c r="K454">
        <v>12</v>
      </c>
      <c r="L454" s="1" t="s">
        <v>393</v>
      </c>
      <c r="M454">
        <v>0</v>
      </c>
      <c r="N454">
        <v>607</v>
      </c>
      <c r="O454">
        <v>0.53608900000000004</v>
      </c>
      <c r="P454">
        <v>3</v>
      </c>
      <c r="Q454" s="1" t="s">
        <v>560</v>
      </c>
      <c r="R454" s="93">
        <v>325.45999999999998</v>
      </c>
      <c r="S454">
        <v>260.37</v>
      </c>
      <c r="T454">
        <v>0</v>
      </c>
      <c r="U454" s="1" t="s">
        <v>598</v>
      </c>
      <c r="V454" s="1"/>
      <c r="W454">
        <v>325.46199999999999</v>
      </c>
      <c r="X454">
        <v>0</v>
      </c>
      <c r="Y454">
        <v>56820</v>
      </c>
    </row>
    <row r="455" spans="1:25" ht="15" hidden="1" customHeight="1" x14ac:dyDescent="0.25">
      <c r="A455" s="1" t="s">
        <v>27</v>
      </c>
      <c r="B455" s="1" t="s">
        <v>57</v>
      </c>
      <c r="C455" s="1" t="s">
        <v>125</v>
      </c>
      <c r="D455">
        <v>5269</v>
      </c>
      <c r="E455" s="1"/>
      <c r="F455" s="1" t="s">
        <v>266</v>
      </c>
      <c r="G455" s="1" t="s">
        <v>266</v>
      </c>
      <c r="H455" s="1" t="s">
        <v>1405</v>
      </c>
      <c r="I455">
        <v>2010</v>
      </c>
      <c r="J455" s="93">
        <v>272.95999999999998</v>
      </c>
      <c r="K455">
        <v>12</v>
      </c>
      <c r="L455" s="1" t="s">
        <v>393</v>
      </c>
      <c r="M455">
        <v>0</v>
      </c>
      <c r="N455">
        <v>607</v>
      </c>
      <c r="O455">
        <v>0.44961200000000001</v>
      </c>
      <c r="P455">
        <v>3</v>
      </c>
      <c r="Q455" s="1" t="s">
        <v>560</v>
      </c>
      <c r="R455" s="93">
        <v>272.95999999999998</v>
      </c>
      <c r="S455">
        <v>218.36</v>
      </c>
      <c r="T455">
        <v>0</v>
      </c>
      <c r="U455" s="1" t="s">
        <v>598</v>
      </c>
      <c r="V455" s="1"/>
      <c r="W455">
        <v>272.96048999999999</v>
      </c>
      <c r="X455">
        <v>0</v>
      </c>
      <c r="Y455">
        <v>56820</v>
      </c>
    </row>
    <row r="456" spans="1:25" ht="15" hidden="1" customHeight="1" x14ac:dyDescent="0.25">
      <c r="A456" s="1" t="s">
        <v>27</v>
      </c>
      <c r="B456" s="1" t="s">
        <v>57</v>
      </c>
      <c r="C456" s="1" t="s">
        <v>125</v>
      </c>
      <c r="D456">
        <v>5269</v>
      </c>
      <c r="E456" s="1"/>
      <c r="F456" s="1" t="s">
        <v>266</v>
      </c>
      <c r="G456" s="1" t="s">
        <v>266</v>
      </c>
      <c r="H456" s="1" t="s">
        <v>1405</v>
      </c>
      <c r="I456">
        <v>2009</v>
      </c>
      <c r="J456" s="93">
        <v>294.47000000000003</v>
      </c>
      <c r="K456">
        <v>12</v>
      </c>
      <c r="L456" s="1" t="s">
        <v>393</v>
      </c>
      <c r="M456">
        <v>0</v>
      </c>
      <c r="N456">
        <v>607</v>
      </c>
      <c r="O456">
        <v>0.485043</v>
      </c>
      <c r="P456">
        <v>3</v>
      </c>
      <c r="Q456" s="1" t="s">
        <v>560</v>
      </c>
      <c r="R456" s="93">
        <v>294.47000000000003</v>
      </c>
      <c r="S456">
        <v>235.59</v>
      </c>
      <c r="T456">
        <v>0</v>
      </c>
      <c r="U456" s="1" t="s">
        <v>598</v>
      </c>
      <c r="V456" s="1"/>
      <c r="W456">
        <v>294.47751</v>
      </c>
      <c r="X456">
        <v>0</v>
      </c>
      <c r="Y456">
        <v>56820</v>
      </c>
    </row>
    <row r="457" spans="1:25" ht="15" hidden="1" customHeight="1" x14ac:dyDescent="0.25">
      <c r="A457" s="1" t="s">
        <v>27</v>
      </c>
      <c r="B457" s="1" t="s">
        <v>57</v>
      </c>
      <c r="C457" s="1" t="s">
        <v>125</v>
      </c>
      <c r="D457">
        <v>5269</v>
      </c>
      <c r="E457" s="1"/>
      <c r="F457" s="1" t="s">
        <v>266</v>
      </c>
      <c r="G457" s="1" t="s">
        <v>266</v>
      </c>
      <c r="H457" s="1" t="s">
        <v>1405</v>
      </c>
      <c r="I457">
        <v>2008</v>
      </c>
      <c r="J457" s="93">
        <v>363.23</v>
      </c>
      <c r="K457">
        <v>12</v>
      </c>
      <c r="L457" s="1" t="s">
        <v>393</v>
      </c>
      <c r="M457">
        <v>0</v>
      </c>
      <c r="N457">
        <v>607</v>
      </c>
      <c r="O457">
        <v>0.59830300000000003</v>
      </c>
      <c r="P457">
        <v>3</v>
      </c>
      <c r="Q457" s="1" t="s">
        <v>560</v>
      </c>
      <c r="R457" s="93">
        <v>363.23</v>
      </c>
      <c r="S457">
        <v>290.58</v>
      </c>
      <c r="T457">
        <v>0</v>
      </c>
      <c r="U457" s="1" t="s">
        <v>598</v>
      </c>
      <c r="V457" s="1"/>
      <c r="W457">
        <v>363.23700000000002</v>
      </c>
      <c r="X457">
        <v>0</v>
      </c>
      <c r="Y457">
        <v>56820</v>
      </c>
    </row>
    <row r="458" spans="1:25" ht="15" hidden="1" customHeight="1" x14ac:dyDescent="0.25">
      <c r="A458" s="1" t="s">
        <v>27</v>
      </c>
      <c r="B458" s="1"/>
      <c r="C458" s="1" t="s">
        <v>126</v>
      </c>
      <c r="D458">
        <v>10017</v>
      </c>
      <c r="E458" s="1"/>
      <c r="F458" s="1" t="s">
        <v>267</v>
      </c>
      <c r="G458" s="1" t="s">
        <v>267</v>
      </c>
      <c r="H458" s="1" t="s">
        <v>1405</v>
      </c>
      <c r="I458">
        <v>2015</v>
      </c>
      <c r="J458" s="93">
        <v>606</v>
      </c>
      <c r="K458">
        <v>5</v>
      </c>
      <c r="L458" s="1" t="s">
        <v>405</v>
      </c>
      <c r="M458">
        <v>0</v>
      </c>
      <c r="N458">
        <v>602</v>
      </c>
      <c r="O458">
        <v>0.349111</v>
      </c>
      <c r="P458">
        <v>3</v>
      </c>
      <c r="Q458" s="1" t="s">
        <v>560</v>
      </c>
      <c r="R458" s="93">
        <v>210.2</v>
      </c>
      <c r="S458">
        <v>168.16</v>
      </c>
      <c r="T458">
        <v>0</v>
      </c>
      <c r="U458" s="1"/>
      <c r="V458" s="1"/>
      <c r="W458">
        <v>210.2</v>
      </c>
      <c r="X458">
        <v>0</v>
      </c>
      <c r="Y458">
        <v>76520</v>
      </c>
    </row>
    <row r="459" spans="1:25" ht="15" hidden="1" customHeight="1" x14ac:dyDescent="0.25">
      <c r="A459" s="1" t="s">
        <v>27</v>
      </c>
      <c r="B459" s="1"/>
      <c r="C459" s="1" t="s">
        <v>126</v>
      </c>
      <c r="D459">
        <v>10017</v>
      </c>
      <c r="E459" s="1"/>
      <c r="F459" s="1" t="s">
        <v>267</v>
      </c>
      <c r="G459" s="1" t="s">
        <v>267</v>
      </c>
      <c r="H459" s="1" t="s">
        <v>1405</v>
      </c>
      <c r="I459">
        <v>2013</v>
      </c>
      <c r="J459" s="93">
        <v>393.2</v>
      </c>
      <c r="K459">
        <v>12</v>
      </c>
      <c r="L459" s="1" t="s">
        <v>405</v>
      </c>
      <c r="M459">
        <v>0</v>
      </c>
      <c r="N459">
        <v>602</v>
      </c>
      <c r="O459">
        <v>0.65304700000000004</v>
      </c>
      <c r="P459">
        <v>3</v>
      </c>
      <c r="Q459" s="1" t="s">
        <v>560</v>
      </c>
      <c r="R459" s="93">
        <v>393.2</v>
      </c>
      <c r="S459">
        <v>314.56</v>
      </c>
      <c r="T459">
        <v>0</v>
      </c>
      <c r="U459" s="1"/>
      <c r="V459" s="1"/>
      <c r="W459">
        <v>393.2</v>
      </c>
      <c r="X459">
        <v>0</v>
      </c>
      <c r="Y459">
        <v>76520</v>
      </c>
    </row>
    <row r="460" spans="1:25" ht="15" hidden="1" customHeight="1" x14ac:dyDescent="0.25">
      <c r="A460" s="1" t="s">
        <v>27</v>
      </c>
      <c r="B460" s="1"/>
      <c r="C460" s="1" t="s">
        <v>126</v>
      </c>
      <c r="D460">
        <v>10017</v>
      </c>
      <c r="E460" s="1"/>
      <c r="F460" s="1" t="s">
        <v>267</v>
      </c>
      <c r="G460" s="1" t="s">
        <v>267</v>
      </c>
      <c r="H460" s="1" t="s">
        <v>1405</v>
      </c>
      <c r="I460">
        <v>2012</v>
      </c>
      <c r="J460" s="93">
        <v>558.6</v>
      </c>
      <c r="K460">
        <v>12</v>
      </c>
      <c r="L460" s="1" t="s">
        <v>405</v>
      </c>
      <c r="M460">
        <v>0</v>
      </c>
      <c r="N460">
        <v>602</v>
      </c>
      <c r="O460">
        <v>0.92775200000000002</v>
      </c>
      <c r="P460">
        <v>3</v>
      </c>
      <c r="Q460" s="1" t="s">
        <v>560</v>
      </c>
      <c r="R460" s="93">
        <v>558.6</v>
      </c>
      <c r="S460">
        <v>446.88</v>
      </c>
      <c r="T460">
        <v>0</v>
      </c>
      <c r="U460" s="1"/>
      <c r="V460" s="1"/>
      <c r="W460">
        <v>558.6</v>
      </c>
      <c r="X460">
        <v>0</v>
      </c>
      <c r="Y460">
        <v>76520</v>
      </c>
    </row>
    <row r="461" spans="1:25" ht="15" hidden="1" customHeight="1" x14ac:dyDescent="0.25">
      <c r="A461" s="1" t="s">
        <v>27</v>
      </c>
      <c r="B461" s="1"/>
      <c r="C461" s="1" t="s">
        <v>126</v>
      </c>
      <c r="D461">
        <v>10017</v>
      </c>
      <c r="E461" s="1"/>
      <c r="F461" s="1" t="s">
        <v>267</v>
      </c>
      <c r="G461" s="1" t="s">
        <v>267</v>
      </c>
      <c r="H461" s="1" t="s">
        <v>1405</v>
      </c>
      <c r="I461">
        <v>2011</v>
      </c>
      <c r="J461" s="93">
        <v>467.5</v>
      </c>
      <c r="K461">
        <v>12</v>
      </c>
      <c r="L461" s="1" t="s">
        <v>405</v>
      </c>
      <c r="M461">
        <v>0</v>
      </c>
      <c r="N461">
        <v>602</v>
      </c>
      <c r="O461">
        <v>0.77644899999999994</v>
      </c>
      <c r="P461">
        <v>3</v>
      </c>
      <c r="Q461" s="1" t="s">
        <v>560</v>
      </c>
      <c r="R461" s="93">
        <v>467.5</v>
      </c>
      <c r="S461">
        <v>374</v>
      </c>
      <c r="T461">
        <v>0</v>
      </c>
      <c r="U461" s="1"/>
      <c r="V461" s="1"/>
      <c r="W461">
        <v>467.5</v>
      </c>
      <c r="X461">
        <v>0</v>
      </c>
      <c r="Y461">
        <v>76520</v>
      </c>
    </row>
    <row r="462" spans="1:25" ht="15" hidden="1" customHeight="1" x14ac:dyDescent="0.25">
      <c r="A462" s="1" t="s">
        <v>27</v>
      </c>
      <c r="B462" s="1"/>
      <c r="C462" s="1" t="s">
        <v>126</v>
      </c>
      <c r="D462">
        <v>10017</v>
      </c>
      <c r="E462" s="1"/>
      <c r="F462" s="1" t="s">
        <v>267</v>
      </c>
      <c r="G462" s="1" t="s">
        <v>267</v>
      </c>
      <c r="H462" s="1" t="s">
        <v>1405</v>
      </c>
      <c r="I462">
        <v>2010</v>
      </c>
      <c r="J462" s="93">
        <v>464.81</v>
      </c>
      <c r="K462">
        <v>9</v>
      </c>
      <c r="L462" s="1" t="s">
        <v>405</v>
      </c>
      <c r="M462">
        <v>0</v>
      </c>
      <c r="N462">
        <v>602</v>
      </c>
      <c r="O462">
        <v>0.77198100000000003</v>
      </c>
      <c r="P462">
        <v>3</v>
      </c>
      <c r="Q462" s="1" t="s">
        <v>560</v>
      </c>
      <c r="R462" s="93">
        <v>464.81</v>
      </c>
      <c r="S462">
        <v>371.86</v>
      </c>
      <c r="T462">
        <v>0</v>
      </c>
      <c r="U462" s="1"/>
      <c r="V462" s="1"/>
      <c r="W462">
        <v>464.81333999999998</v>
      </c>
      <c r="X462">
        <v>0</v>
      </c>
      <c r="Y462">
        <v>76520</v>
      </c>
    </row>
    <row r="463" spans="1:25" ht="15" hidden="1" customHeight="1" x14ac:dyDescent="0.25">
      <c r="A463" s="1" t="s">
        <v>27</v>
      </c>
      <c r="B463" s="1"/>
      <c r="C463" s="1" t="s">
        <v>126</v>
      </c>
      <c r="D463">
        <v>10017</v>
      </c>
      <c r="E463" s="1"/>
      <c r="F463" s="1" t="s">
        <v>267</v>
      </c>
      <c r="G463" s="1" t="s">
        <v>267</v>
      </c>
      <c r="H463" s="1" t="s">
        <v>1405</v>
      </c>
      <c r="I463">
        <v>2009</v>
      </c>
      <c r="J463" s="93">
        <v>511.83</v>
      </c>
      <c r="K463">
        <v>11</v>
      </c>
      <c r="L463" s="1" t="s">
        <v>405</v>
      </c>
      <c r="M463">
        <v>0</v>
      </c>
      <c r="N463">
        <v>602</v>
      </c>
      <c r="O463">
        <v>0.850074</v>
      </c>
      <c r="P463">
        <v>3</v>
      </c>
      <c r="Q463" s="1" t="s">
        <v>560</v>
      </c>
      <c r="R463" s="93">
        <v>511.83</v>
      </c>
      <c r="S463">
        <v>409.47</v>
      </c>
      <c r="T463">
        <v>0</v>
      </c>
      <c r="U463" s="1"/>
      <c r="V463" s="1"/>
      <c r="W463">
        <v>511.82979</v>
      </c>
      <c r="X463">
        <v>0</v>
      </c>
      <c r="Y463">
        <v>76520</v>
      </c>
    </row>
    <row r="464" spans="1:25" ht="15" hidden="1" customHeight="1" x14ac:dyDescent="0.25">
      <c r="A464" s="1" t="s">
        <v>27</v>
      </c>
      <c r="B464" s="1"/>
      <c r="C464" s="1" t="s">
        <v>126</v>
      </c>
      <c r="D464">
        <v>10017</v>
      </c>
      <c r="E464" s="1"/>
      <c r="F464" s="1" t="s">
        <v>267</v>
      </c>
      <c r="G464" s="1" t="s">
        <v>267</v>
      </c>
      <c r="H464" s="1" t="s">
        <v>1405</v>
      </c>
      <c r="I464">
        <v>2008</v>
      </c>
      <c r="J464" s="93">
        <v>511.58</v>
      </c>
      <c r="K464">
        <v>9</v>
      </c>
      <c r="L464" s="1" t="s">
        <v>405</v>
      </c>
      <c r="M464">
        <v>0</v>
      </c>
      <c r="N464">
        <v>602</v>
      </c>
      <c r="O464">
        <v>0.84965900000000005</v>
      </c>
      <c r="P464">
        <v>3</v>
      </c>
      <c r="Q464" s="1" t="s">
        <v>560</v>
      </c>
      <c r="R464" s="93">
        <v>511.58</v>
      </c>
      <c r="S464">
        <v>409.28</v>
      </c>
      <c r="T464">
        <v>0</v>
      </c>
      <c r="U464" s="1"/>
      <c r="V464" s="1"/>
      <c r="W464">
        <v>511.58373</v>
      </c>
      <c r="X464">
        <v>0</v>
      </c>
      <c r="Y464">
        <v>76520</v>
      </c>
    </row>
    <row r="465" spans="1:25" ht="15" hidden="1" customHeight="1" x14ac:dyDescent="0.25">
      <c r="A465" s="1" t="s">
        <v>27</v>
      </c>
      <c r="B465" s="1"/>
      <c r="C465" s="1" t="s">
        <v>127</v>
      </c>
      <c r="D465">
        <v>10164</v>
      </c>
      <c r="E465" s="1"/>
      <c r="F465" s="1" t="s">
        <v>127</v>
      </c>
      <c r="G465" s="1" t="s">
        <v>127</v>
      </c>
      <c r="H465" s="1" t="s">
        <v>1405</v>
      </c>
      <c r="I465">
        <v>2015</v>
      </c>
      <c r="J465" s="93">
        <v>164</v>
      </c>
      <c r="K465">
        <v>5</v>
      </c>
      <c r="L465" s="1" t="s">
        <v>405</v>
      </c>
      <c r="M465">
        <v>0</v>
      </c>
      <c r="N465">
        <v>219</v>
      </c>
      <c r="O465">
        <v>0.30807800000000002</v>
      </c>
      <c r="P465">
        <v>3</v>
      </c>
      <c r="Q465" s="1" t="s">
        <v>560</v>
      </c>
      <c r="R465" s="93">
        <v>67.5</v>
      </c>
      <c r="S465">
        <v>54</v>
      </c>
      <c r="T465">
        <v>0</v>
      </c>
      <c r="U465" s="1"/>
      <c r="V465" s="1"/>
      <c r="W465">
        <v>67.5</v>
      </c>
      <c r="X465">
        <v>0</v>
      </c>
      <c r="Y465">
        <v>77154</v>
      </c>
    </row>
    <row r="466" spans="1:25" ht="15" hidden="1" customHeight="1" x14ac:dyDescent="0.25">
      <c r="A466" s="1" t="s">
        <v>27</v>
      </c>
      <c r="B466" s="1"/>
      <c r="C466" s="1" t="s">
        <v>112</v>
      </c>
      <c r="D466">
        <v>9980</v>
      </c>
      <c r="E466" s="1"/>
      <c r="F466" s="1" t="s">
        <v>258</v>
      </c>
      <c r="G466" s="1" t="s">
        <v>258</v>
      </c>
      <c r="H466" s="1" t="s">
        <v>1405</v>
      </c>
      <c r="I466">
        <v>2014</v>
      </c>
      <c r="J466" s="93">
        <v>521.9</v>
      </c>
      <c r="K466">
        <v>12</v>
      </c>
      <c r="L466" s="1" t="s">
        <v>405</v>
      </c>
      <c r="M466">
        <v>0</v>
      </c>
      <c r="N466">
        <v>961</v>
      </c>
      <c r="O466">
        <v>0.54302300000000003</v>
      </c>
      <c r="P466">
        <v>3</v>
      </c>
      <c r="Q466" s="1" t="s">
        <v>560</v>
      </c>
      <c r="R466" s="93">
        <v>521.9</v>
      </c>
      <c r="S466">
        <v>417.52</v>
      </c>
      <c r="T466">
        <v>0</v>
      </c>
      <c r="U466" s="1" t="s">
        <v>587</v>
      </c>
      <c r="V466" s="1"/>
      <c r="W466">
        <v>521.9</v>
      </c>
      <c r="X466">
        <v>0</v>
      </c>
      <c r="Y466">
        <v>76421</v>
      </c>
    </row>
    <row r="467" spans="1:25" ht="15" hidden="1" customHeight="1" x14ac:dyDescent="0.25">
      <c r="A467" s="1" t="s">
        <v>27</v>
      </c>
      <c r="B467" s="1"/>
      <c r="C467" s="1" t="s">
        <v>127</v>
      </c>
      <c r="D467">
        <v>10164</v>
      </c>
      <c r="E467" s="1"/>
      <c r="F467" s="1" t="s">
        <v>127</v>
      </c>
      <c r="G467" s="1" t="s">
        <v>127</v>
      </c>
      <c r="H467" s="1" t="s">
        <v>1405</v>
      </c>
      <c r="I467">
        <v>2013</v>
      </c>
      <c r="J467" s="93">
        <v>174.6</v>
      </c>
      <c r="K467">
        <v>12</v>
      </c>
      <c r="L467" s="1" t="s">
        <v>405</v>
      </c>
      <c r="M467">
        <v>0</v>
      </c>
      <c r="N467">
        <v>219</v>
      </c>
      <c r="O467">
        <v>0.79689600000000005</v>
      </c>
      <c r="P467">
        <v>3</v>
      </c>
      <c r="Q467" s="1" t="s">
        <v>560</v>
      </c>
      <c r="R467" s="93">
        <v>174.6</v>
      </c>
      <c r="S467">
        <v>139.68</v>
      </c>
      <c r="T467">
        <v>0</v>
      </c>
      <c r="U467" s="1"/>
      <c r="V467" s="1"/>
      <c r="W467">
        <v>174.6</v>
      </c>
      <c r="X467">
        <v>0</v>
      </c>
      <c r="Y467">
        <v>77154</v>
      </c>
    </row>
    <row r="468" spans="1:25" ht="15" hidden="1" customHeight="1" x14ac:dyDescent="0.25">
      <c r="A468" s="1" t="s">
        <v>27</v>
      </c>
      <c r="B468" s="1"/>
      <c r="C468" s="1" t="s">
        <v>127</v>
      </c>
      <c r="D468">
        <v>10164</v>
      </c>
      <c r="E468" s="1"/>
      <c r="F468" s="1" t="s">
        <v>127</v>
      </c>
      <c r="G468" s="1" t="s">
        <v>127</v>
      </c>
      <c r="H468" s="1" t="s">
        <v>1405</v>
      </c>
      <c r="I468">
        <v>2012</v>
      </c>
      <c r="J468" s="93">
        <v>170</v>
      </c>
      <c r="K468">
        <v>12</v>
      </c>
      <c r="L468" s="1" t="s">
        <v>405</v>
      </c>
      <c r="M468">
        <v>0</v>
      </c>
      <c r="N468">
        <v>219</v>
      </c>
      <c r="O468">
        <v>0.77590099999999995</v>
      </c>
      <c r="P468">
        <v>3</v>
      </c>
      <c r="Q468" s="1" t="s">
        <v>560</v>
      </c>
      <c r="R468" s="93">
        <v>170</v>
      </c>
      <c r="S468">
        <v>136</v>
      </c>
      <c r="T468">
        <v>0</v>
      </c>
      <c r="U468" s="1"/>
      <c r="V468" s="1"/>
      <c r="W468">
        <v>170</v>
      </c>
      <c r="X468">
        <v>0</v>
      </c>
      <c r="Y468">
        <v>77154</v>
      </c>
    </row>
    <row r="469" spans="1:25" ht="15" hidden="1" customHeight="1" x14ac:dyDescent="0.25">
      <c r="A469" s="1" t="s">
        <v>27</v>
      </c>
      <c r="B469" s="1"/>
      <c r="C469" s="1" t="s">
        <v>127</v>
      </c>
      <c r="D469">
        <v>10164</v>
      </c>
      <c r="E469" s="1"/>
      <c r="F469" s="1" t="s">
        <v>127</v>
      </c>
      <c r="G469" s="1" t="s">
        <v>127</v>
      </c>
      <c r="H469" s="1" t="s">
        <v>1405</v>
      </c>
      <c r="I469">
        <v>2011</v>
      </c>
      <c r="J469" s="93">
        <v>152.9</v>
      </c>
      <c r="K469">
        <v>12</v>
      </c>
      <c r="L469" s="1" t="s">
        <v>405</v>
      </c>
      <c r="M469">
        <v>0</v>
      </c>
      <c r="N469">
        <v>219</v>
      </c>
      <c r="O469">
        <v>0.69785399999999997</v>
      </c>
      <c r="P469">
        <v>3</v>
      </c>
      <c r="Q469" s="1" t="s">
        <v>560</v>
      </c>
      <c r="R469" s="93">
        <v>152.9</v>
      </c>
      <c r="S469">
        <v>122.32</v>
      </c>
      <c r="T469">
        <v>0</v>
      </c>
      <c r="U469" s="1"/>
      <c r="V469" s="1"/>
      <c r="W469">
        <v>152.9</v>
      </c>
      <c r="X469">
        <v>0</v>
      </c>
      <c r="Y469">
        <v>77154</v>
      </c>
    </row>
    <row r="470" spans="1:25" ht="15" hidden="1" customHeight="1" x14ac:dyDescent="0.25">
      <c r="A470" s="1" t="s">
        <v>27</v>
      </c>
      <c r="B470" s="1"/>
      <c r="C470" s="1" t="s">
        <v>127</v>
      </c>
      <c r="D470">
        <v>10164</v>
      </c>
      <c r="E470" s="1"/>
      <c r="F470" s="1" t="s">
        <v>127</v>
      </c>
      <c r="G470" s="1" t="s">
        <v>127</v>
      </c>
      <c r="H470" s="1" t="s">
        <v>1405</v>
      </c>
      <c r="I470">
        <v>2010</v>
      </c>
      <c r="J470" s="93">
        <v>195.51</v>
      </c>
      <c r="K470">
        <v>12</v>
      </c>
      <c r="L470" s="1" t="s">
        <v>405</v>
      </c>
      <c r="M470">
        <v>0</v>
      </c>
      <c r="N470">
        <v>219</v>
      </c>
      <c r="O470">
        <v>0.89233200000000001</v>
      </c>
      <c r="P470">
        <v>3</v>
      </c>
      <c r="Q470" s="1" t="s">
        <v>560</v>
      </c>
      <c r="R470" s="93">
        <v>195.51</v>
      </c>
      <c r="S470">
        <v>156.41999999999999</v>
      </c>
      <c r="T470">
        <v>0</v>
      </c>
      <c r="U470" s="1"/>
      <c r="V470" s="1"/>
      <c r="W470">
        <v>195.51669000000001</v>
      </c>
      <c r="X470">
        <v>0</v>
      </c>
      <c r="Y470">
        <v>77154</v>
      </c>
    </row>
    <row r="471" spans="1:25" ht="15" hidden="1" customHeight="1" x14ac:dyDescent="0.25">
      <c r="A471" s="1" t="s">
        <v>27</v>
      </c>
      <c r="B471" s="1"/>
      <c r="C471" s="1" t="s">
        <v>127</v>
      </c>
      <c r="D471">
        <v>10164</v>
      </c>
      <c r="E471" s="1"/>
      <c r="F471" s="1" t="s">
        <v>127</v>
      </c>
      <c r="G471" s="1" t="s">
        <v>127</v>
      </c>
      <c r="H471" s="1" t="s">
        <v>1405</v>
      </c>
      <c r="I471">
        <v>2009</v>
      </c>
      <c r="J471" s="93">
        <v>221.33</v>
      </c>
      <c r="K471">
        <v>11</v>
      </c>
      <c r="L471" s="1" t="s">
        <v>405</v>
      </c>
      <c r="M471">
        <v>0</v>
      </c>
      <c r="N471">
        <v>219</v>
      </c>
      <c r="O471">
        <v>1.010178</v>
      </c>
      <c r="P471">
        <v>3</v>
      </c>
      <c r="Q471" s="1" t="s">
        <v>560</v>
      </c>
      <c r="R471" s="93">
        <v>221.33</v>
      </c>
      <c r="S471">
        <v>177.09</v>
      </c>
      <c r="T471">
        <v>0</v>
      </c>
      <c r="U471" s="1"/>
      <c r="V471" s="1"/>
      <c r="W471">
        <v>221.35167000000001</v>
      </c>
      <c r="X471">
        <v>0</v>
      </c>
      <c r="Y471">
        <v>77154</v>
      </c>
    </row>
    <row r="472" spans="1:25" ht="15" hidden="1" customHeight="1" x14ac:dyDescent="0.25">
      <c r="A472" s="1" t="s">
        <v>27</v>
      </c>
      <c r="B472" s="1"/>
      <c r="C472" s="1" t="s">
        <v>127</v>
      </c>
      <c r="D472">
        <v>10164</v>
      </c>
      <c r="E472" s="1"/>
      <c r="F472" s="1" t="s">
        <v>127</v>
      </c>
      <c r="G472" s="1" t="s">
        <v>127</v>
      </c>
      <c r="H472" s="1" t="s">
        <v>1405</v>
      </c>
      <c r="I472">
        <v>2008</v>
      </c>
      <c r="J472" s="93">
        <v>199.3</v>
      </c>
      <c r="K472">
        <v>3</v>
      </c>
      <c r="L472" s="1" t="s">
        <v>405</v>
      </c>
      <c r="M472">
        <v>0</v>
      </c>
      <c r="N472">
        <v>219</v>
      </c>
      <c r="O472">
        <v>0.90963000000000005</v>
      </c>
      <c r="P472">
        <v>3</v>
      </c>
      <c r="Q472" s="1" t="s">
        <v>560</v>
      </c>
      <c r="R472" s="93">
        <v>199.3</v>
      </c>
      <c r="S472">
        <v>159.41999999999999</v>
      </c>
      <c r="T472">
        <v>0</v>
      </c>
      <c r="U472" s="1"/>
      <c r="V472" s="1"/>
      <c r="W472">
        <v>199.28515999999999</v>
      </c>
      <c r="X472">
        <v>0</v>
      </c>
      <c r="Y472">
        <v>77154</v>
      </c>
    </row>
    <row r="473" spans="1:25" ht="15" hidden="1" customHeight="1" x14ac:dyDescent="0.25">
      <c r="A473" s="1" t="s">
        <v>27</v>
      </c>
      <c r="B473" s="1"/>
      <c r="C473" s="1" t="s">
        <v>128</v>
      </c>
      <c r="D473">
        <v>10169</v>
      </c>
      <c r="E473" s="1"/>
      <c r="F473" s="1" t="s">
        <v>268</v>
      </c>
      <c r="G473" s="1" t="s">
        <v>268</v>
      </c>
      <c r="H473" s="1" t="s">
        <v>1405</v>
      </c>
      <c r="I473">
        <v>2015</v>
      </c>
      <c r="J473" s="93">
        <v>416</v>
      </c>
      <c r="K473">
        <v>5</v>
      </c>
      <c r="L473" s="1" t="s">
        <v>405</v>
      </c>
      <c r="M473">
        <v>0</v>
      </c>
      <c r="N473">
        <v>721</v>
      </c>
      <c r="O473">
        <v>0.23297699999999999</v>
      </c>
      <c r="P473">
        <v>3</v>
      </c>
      <c r="Q473" s="1" t="s">
        <v>560</v>
      </c>
      <c r="R473" s="93">
        <v>168</v>
      </c>
      <c r="S473">
        <v>134.4</v>
      </c>
      <c r="T473">
        <v>0</v>
      </c>
      <c r="U473" s="1" t="s">
        <v>599</v>
      </c>
      <c r="V473" s="1"/>
      <c r="W473">
        <v>168</v>
      </c>
      <c r="X473">
        <v>0</v>
      </c>
      <c r="Y473">
        <v>77181</v>
      </c>
    </row>
    <row r="474" spans="1:25" ht="15" hidden="1" customHeight="1" x14ac:dyDescent="0.25">
      <c r="A474" s="1" t="s">
        <v>27</v>
      </c>
      <c r="B474" s="1"/>
      <c r="C474" s="1" t="s">
        <v>112</v>
      </c>
      <c r="D474">
        <v>9980</v>
      </c>
      <c r="E474" s="1"/>
      <c r="F474" s="1" t="s">
        <v>258</v>
      </c>
      <c r="G474" s="1" t="s">
        <v>258</v>
      </c>
      <c r="H474" s="1" t="s">
        <v>1405</v>
      </c>
      <c r="I474">
        <v>2014</v>
      </c>
      <c r="J474" s="93">
        <v>117494.5</v>
      </c>
      <c r="K474">
        <v>12</v>
      </c>
      <c r="L474" s="1"/>
      <c r="M474">
        <v>0</v>
      </c>
      <c r="N474">
        <v>961</v>
      </c>
      <c r="O474">
        <v>122.25002600000001</v>
      </c>
      <c r="P474">
        <v>1</v>
      </c>
      <c r="Q474" s="1" t="s">
        <v>562</v>
      </c>
      <c r="R474" s="93">
        <v>140747.71</v>
      </c>
      <c r="S474">
        <v>9007.86</v>
      </c>
      <c r="T474">
        <v>0</v>
      </c>
      <c r="U474" s="1"/>
      <c r="V474" s="1"/>
      <c r="W474">
        <v>117494.5</v>
      </c>
      <c r="X474">
        <v>0</v>
      </c>
      <c r="Y474">
        <v>93381</v>
      </c>
    </row>
    <row r="475" spans="1:25" ht="15" hidden="1" customHeight="1" x14ac:dyDescent="0.25">
      <c r="A475" s="1" t="s">
        <v>27</v>
      </c>
      <c r="B475" s="1"/>
      <c r="C475" s="1" t="s">
        <v>128</v>
      </c>
      <c r="D475">
        <v>10169</v>
      </c>
      <c r="E475" s="1"/>
      <c r="F475" s="1" t="s">
        <v>268</v>
      </c>
      <c r="G475" s="1" t="s">
        <v>268</v>
      </c>
      <c r="H475" s="1" t="s">
        <v>1405</v>
      </c>
      <c r="I475">
        <v>2013</v>
      </c>
      <c r="J475" s="93">
        <v>522.4</v>
      </c>
      <c r="K475">
        <v>12</v>
      </c>
      <c r="L475" s="1" t="s">
        <v>405</v>
      </c>
      <c r="M475">
        <v>0</v>
      </c>
      <c r="N475">
        <v>721</v>
      </c>
      <c r="O475">
        <v>0.72444799999999998</v>
      </c>
      <c r="P475">
        <v>3</v>
      </c>
      <c r="Q475" s="1" t="s">
        <v>560</v>
      </c>
      <c r="R475" s="93">
        <v>522.4</v>
      </c>
      <c r="S475">
        <v>417.92</v>
      </c>
      <c r="T475">
        <v>0</v>
      </c>
      <c r="U475" s="1" t="s">
        <v>599</v>
      </c>
      <c r="V475" s="1"/>
      <c r="W475">
        <v>522.4</v>
      </c>
      <c r="X475">
        <v>0</v>
      </c>
      <c r="Y475">
        <v>77181</v>
      </c>
    </row>
    <row r="476" spans="1:25" ht="15" hidden="1" customHeight="1" x14ac:dyDescent="0.25">
      <c r="A476" s="1" t="s">
        <v>27</v>
      </c>
      <c r="B476" s="1"/>
      <c r="C476" s="1" t="s">
        <v>128</v>
      </c>
      <c r="D476">
        <v>10169</v>
      </c>
      <c r="E476" s="1"/>
      <c r="F476" s="1" t="s">
        <v>268</v>
      </c>
      <c r="G476" s="1" t="s">
        <v>268</v>
      </c>
      <c r="H476" s="1" t="s">
        <v>1405</v>
      </c>
      <c r="I476">
        <v>2012</v>
      </c>
      <c r="J476" s="93">
        <v>534.79999999999995</v>
      </c>
      <c r="K476">
        <v>12</v>
      </c>
      <c r="L476" s="1" t="s">
        <v>405</v>
      </c>
      <c r="M476">
        <v>0</v>
      </c>
      <c r="N476">
        <v>721</v>
      </c>
      <c r="O476">
        <v>0.74164399999999997</v>
      </c>
      <c r="P476">
        <v>3</v>
      </c>
      <c r="Q476" s="1" t="s">
        <v>560</v>
      </c>
      <c r="R476" s="93">
        <v>534.79999999999995</v>
      </c>
      <c r="S476">
        <v>427.84</v>
      </c>
      <c r="T476">
        <v>0</v>
      </c>
      <c r="U476" s="1" t="s">
        <v>599</v>
      </c>
      <c r="V476" s="1"/>
      <c r="W476">
        <v>534.79999999999995</v>
      </c>
      <c r="X476">
        <v>0</v>
      </c>
      <c r="Y476">
        <v>77181</v>
      </c>
    </row>
    <row r="477" spans="1:25" ht="15" hidden="1" customHeight="1" x14ac:dyDescent="0.25">
      <c r="A477" s="1" t="s">
        <v>27</v>
      </c>
      <c r="B477" s="1"/>
      <c r="C477" s="1" t="s">
        <v>128</v>
      </c>
      <c r="D477">
        <v>10169</v>
      </c>
      <c r="E477" s="1"/>
      <c r="F477" s="1" t="s">
        <v>268</v>
      </c>
      <c r="G477" s="1" t="s">
        <v>268</v>
      </c>
      <c r="H477" s="1" t="s">
        <v>1405</v>
      </c>
      <c r="I477">
        <v>2011</v>
      </c>
      <c r="J477" s="93">
        <v>567.9</v>
      </c>
      <c r="K477">
        <v>12</v>
      </c>
      <c r="L477" s="1" t="s">
        <v>405</v>
      </c>
      <c r="M477">
        <v>0</v>
      </c>
      <c r="N477">
        <v>721</v>
      </c>
      <c r="O477">
        <v>0.78754599999999997</v>
      </c>
      <c r="P477">
        <v>3</v>
      </c>
      <c r="Q477" s="1" t="s">
        <v>560</v>
      </c>
      <c r="R477" s="93">
        <v>567.9</v>
      </c>
      <c r="S477">
        <v>454.32</v>
      </c>
      <c r="T477">
        <v>0</v>
      </c>
      <c r="U477" s="1" t="s">
        <v>599</v>
      </c>
      <c r="V477" s="1"/>
      <c r="W477">
        <v>567.9</v>
      </c>
      <c r="X477">
        <v>0</v>
      </c>
      <c r="Y477">
        <v>77181</v>
      </c>
    </row>
    <row r="478" spans="1:25" ht="15" hidden="1" customHeight="1" x14ac:dyDescent="0.25">
      <c r="A478" s="1" t="s">
        <v>27</v>
      </c>
      <c r="B478" s="1"/>
      <c r="C478" s="1" t="s">
        <v>128</v>
      </c>
      <c r="D478">
        <v>10169</v>
      </c>
      <c r="E478" s="1"/>
      <c r="F478" s="1" t="s">
        <v>268</v>
      </c>
      <c r="G478" s="1" t="s">
        <v>268</v>
      </c>
      <c r="H478" s="1" t="s">
        <v>1405</v>
      </c>
      <c r="I478">
        <v>2010</v>
      </c>
      <c r="J478" s="93">
        <v>594.91999999999996</v>
      </c>
      <c r="K478">
        <v>6</v>
      </c>
      <c r="L478" s="1" t="s">
        <v>405</v>
      </c>
      <c r="M478">
        <v>0</v>
      </c>
      <c r="N478">
        <v>721</v>
      </c>
      <c r="O478">
        <v>0.825017</v>
      </c>
      <c r="P478">
        <v>3</v>
      </c>
      <c r="Q478" s="1" t="s">
        <v>560</v>
      </c>
      <c r="R478" s="93">
        <v>594.91999999999996</v>
      </c>
      <c r="S478">
        <v>475.93</v>
      </c>
      <c r="T478">
        <v>0</v>
      </c>
      <c r="U478" s="1" t="s">
        <v>599</v>
      </c>
      <c r="V478" s="1"/>
      <c r="W478">
        <v>594.92643999999996</v>
      </c>
      <c r="X478">
        <v>0</v>
      </c>
      <c r="Y478">
        <v>77181</v>
      </c>
    </row>
    <row r="479" spans="1:25" ht="15" hidden="1" customHeight="1" x14ac:dyDescent="0.25">
      <c r="A479" s="1" t="s">
        <v>27</v>
      </c>
      <c r="B479" s="1"/>
      <c r="C479" s="1" t="s">
        <v>128</v>
      </c>
      <c r="D479">
        <v>10169</v>
      </c>
      <c r="E479" s="1"/>
      <c r="F479" s="1" t="s">
        <v>268</v>
      </c>
      <c r="G479" s="1" t="s">
        <v>268</v>
      </c>
      <c r="H479" s="1" t="s">
        <v>1405</v>
      </c>
      <c r="I479">
        <v>2009</v>
      </c>
      <c r="J479" s="93">
        <v>420.49</v>
      </c>
      <c r="K479">
        <v>4</v>
      </c>
      <c r="L479" s="1" t="s">
        <v>405</v>
      </c>
      <c r="M479">
        <v>0</v>
      </c>
      <c r="N479">
        <v>721</v>
      </c>
      <c r="O479">
        <v>0.58312299999999995</v>
      </c>
      <c r="P479">
        <v>3</v>
      </c>
      <c r="Q479" s="1" t="s">
        <v>560</v>
      </c>
      <c r="R479" s="93">
        <v>420.49</v>
      </c>
      <c r="S479">
        <v>336.39</v>
      </c>
      <c r="T479">
        <v>0</v>
      </c>
      <c r="U479" s="1" t="s">
        <v>599</v>
      </c>
      <c r="V479" s="1"/>
      <c r="W479">
        <v>420.51819999999998</v>
      </c>
      <c r="X479">
        <v>0</v>
      </c>
      <c r="Y479">
        <v>77181</v>
      </c>
    </row>
    <row r="480" spans="1:25" ht="15" hidden="1" customHeight="1" x14ac:dyDescent="0.25">
      <c r="A480" s="1" t="s">
        <v>27</v>
      </c>
      <c r="B480" s="1"/>
      <c r="C480" s="1" t="s">
        <v>128</v>
      </c>
      <c r="D480">
        <v>10169</v>
      </c>
      <c r="E480" s="1"/>
      <c r="F480" s="1" t="s">
        <v>268</v>
      </c>
      <c r="G480" s="1" t="s">
        <v>268</v>
      </c>
      <c r="H480" s="1" t="s">
        <v>1405</v>
      </c>
      <c r="I480">
        <v>2008</v>
      </c>
      <c r="J480" s="93">
        <v>360.81</v>
      </c>
      <c r="K480">
        <v>6</v>
      </c>
      <c r="L480" s="1" t="s">
        <v>405</v>
      </c>
      <c r="M480">
        <v>0</v>
      </c>
      <c r="N480">
        <v>721</v>
      </c>
      <c r="O480">
        <v>0.50036000000000003</v>
      </c>
      <c r="P480">
        <v>3</v>
      </c>
      <c r="Q480" s="1" t="s">
        <v>560</v>
      </c>
      <c r="R480" s="93">
        <v>360.81</v>
      </c>
      <c r="S480">
        <v>288.64999999999998</v>
      </c>
      <c r="T480">
        <v>0</v>
      </c>
      <c r="U480" s="1" t="s">
        <v>599</v>
      </c>
      <c r="V480" s="1"/>
      <c r="W480">
        <v>360.80219</v>
      </c>
      <c r="X480">
        <v>0</v>
      </c>
      <c r="Y480">
        <v>77181</v>
      </c>
    </row>
    <row r="481" spans="1:25" ht="15" hidden="1" customHeight="1" x14ac:dyDescent="0.25">
      <c r="A481" s="1" t="s">
        <v>27</v>
      </c>
      <c r="B481" s="1" t="s">
        <v>53</v>
      </c>
      <c r="C481" s="1" t="s">
        <v>129</v>
      </c>
      <c r="D481">
        <v>5447</v>
      </c>
      <c r="E481" s="1"/>
      <c r="F481" s="1" t="s">
        <v>269</v>
      </c>
      <c r="G481" s="1" t="s">
        <v>269</v>
      </c>
      <c r="H481" s="1" t="s">
        <v>1405</v>
      </c>
      <c r="I481">
        <v>2015</v>
      </c>
      <c r="J481" s="93">
        <v>263</v>
      </c>
      <c r="K481">
        <v>5</v>
      </c>
      <c r="L481" s="1" t="s">
        <v>412</v>
      </c>
      <c r="M481">
        <v>0</v>
      </c>
      <c r="N481">
        <v>480</v>
      </c>
      <c r="O481">
        <v>0.23088900000000001</v>
      </c>
      <c r="P481">
        <v>3</v>
      </c>
      <c r="Q481" s="1" t="s">
        <v>560</v>
      </c>
      <c r="R481" s="93">
        <v>110.85</v>
      </c>
      <c r="S481">
        <v>88.68</v>
      </c>
      <c r="T481">
        <v>0</v>
      </c>
      <c r="U481" s="1"/>
      <c r="V481" s="1"/>
      <c r="W481">
        <v>110.84699999999999</v>
      </c>
      <c r="X481">
        <v>0</v>
      </c>
      <c r="Y481">
        <v>57507</v>
      </c>
    </row>
    <row r="482" spans="1:25" ht="15" hidden="1" customHeight="1" x14ac:dyDescent="0.25">
      <c r="A482" s="1" t="s">
        <v>27</v>
      </c>
      <c r="B482" s="1"/>
      <c r="C482" s="1" t="s">
        <v>112</v>
      </c>
      <c r="D482">
        <v>9980</v>
      </c>
      <c r="E482" s="1"/>
      <c r="F482" s="1" t="s">
        <v>258</v>
      </c>
      <c r="G482" s="1" t="s">
        <v>258</v>
      </c>
      <c r="H482" s="1" t="s">
        <v>1405</v>
      </c>
      <c r="I482">
        <v>2014</v>
      </c>
      <c r="J482" s="93">
        <v>23984.880000000001</v>
      </c>
      <c r="K482">
        <v>12</v>
      </c>
      <c r="L482" s="1" t="s">
        <v>426</v>
      </c>
      <c r="M482">
        <v>0</v>
      </c>
      <c r="N482">
        <v>961</v>
      </c>
      <c r="O482">
        <v>24.955653999999999</v>
      </c>
      <c r="P482">
        <v>2</v>
      </c>
      <c r="Q482" s="1" t="s">
        <v>569</v>
      </c>
      <c r="R482" s="93">
        <v>23984.880000000001</v>
      </c>
      <c r="S482">
        <v>7195.46</v>
      </c>
      <c r="T482">
        <v>0</v>
      </c>
      <c r="U482" s="1" t="s">
        <v>955</v>
      </c>
      <c r="V482" s="1" t="s">
        <v>1248</v>
      </c>
      <c r="W482">
        <v>23984.864000000001</v>
      </c>
      <c r="X482">
        <v>0</v>
      </c>
      <c r="Y482">
        <v>76420</v>
      </c>
    </row>
    <row r="483" spans="1:25" ht="15" hidden="1" customHeight="1" x14ac:dyDescent="0.25">
      <c r="A483" s="1" t="s">
        <v>27</v>
      </c>
      <c r="B483" s="1" t="s">
        <v>53</v>
      </c>
      <c r="C483" s="1" t="s">
        <v>129</v>
      </c>
      <c r="D483">
        <v>5447</v>
      </c>
      <c r="E483" s="1"/>
      <c r="F483" s="1" t="s">
        <v>269</v>
      </c>
      <c r="G483" s="1" t="s">
        <v>269</v>
      </c>
      <c r="H483" s="1" t="s">
        <v>1405</v>
      </c>
      <c r="I483">
        <v>2013</v>
      </c>
      <c r="J483" s="93">
        <v>357.4</v>
      </c>
      <c r="K483">
        <v>12</v>
      </c>
      <c r="L483" s="1" t="s">
        <v>412</v>
      </c>
      <c r="M483">
        <v>0</v>
      </c>
      <c r="N483">
        <v>480</v>
      </c>
      <c r="O483">
        <v>0.74442799999999998</v>
      </c>
      <c r="P483">
        <v>3</v>
      </c>
      <c r="Q483" s="1" t="s">
        <v>560</v>
      </c>
      <c r="R483" s="93">
        <v>357.4</v>
      </c>
      <c r="S483">
        <v>285.93</v>
      </c>
      <c r="T483">
        <v>0</v>
      </c>
      <c r="U483" s="1"/>
      <c r="V483" s="1"/>
      <c r="W483">
        <v>357.41699999999997</v>
      </c>
      <c r="X483">
        <v>0</v>
      </c>
      <c r="Y483">
        <v>57507</v>
      </c>
    </row>
    <row r="484" spans="1:25" ht="15" hidden="1" customHeight="1" x14ac:dyDescent="0.25">
      <c r="A484" s="1" t="s">
        <v>27</v>
      </c>
      <c r="B484" s="1" t="s">
        <v>53</v>
      </c>
      <c r="C484" s="1" t="s">
        <v>129</v>
      </c>
      <c r="D484">
        <v>5447</v>
      </c>
      <c r="E484" s="1"/>
      <c r="F484" s="1" t="s">
        <v>269</v>
      </c>
      <c r="G484" s="1" t="s">
        <v>269</v>
      </c>
      <c r="H484" s="1" t="s">
        <v>1405</v>
      </c>
      <c r="I484">
        <v>2012</v>
      </c>
      <c r="J484" s="93">
        <v>439.8</v>
      </c>
      <c r="K484">
        <v>12</v>
      </c>
      <c r="L484" s="1" t="s">
        <v>412</v>
      </c>
      <c r="M484">
        <v>0</v>
      </c>
      <c r="N484">
        <v>480</v>
      </c>
      <c r="O484">
        <v>0.91605899999999996</v>
      </c>
      <c r="P484">
        <v>3</v>
      </c>
      <c r="Q484" s="1" t="s">
        <v>560</v>
      </c>
      <c r="R484" s="93">
        <v>439.8</v>
      </c>
      <c r="S484">
        <v>351.82</v>
      </c>
      <c r="T484">
        <v>0</v>
      </c>
      <c r="U484" s="1"/>
      <c r="V484" s="1"/>
      <c r="W484">
        <v>439.803</v>
      </c>
      <c r="X484">
        <v>0</v>
      </c>
      <c r="Y484">
        <v>57507</v>
      </c>
    </row>
    <row r="485" spans="1:25" ht="15" hidden="1" customHeight="1" x14ac:dyDescent="0.25">
      <c r="A485" s="1" t="s">
        <v>27</v>
      </c>
      <c r="B485" s="1" t="s">
        <v>53</v>
      </c>
      <c r="C485" s="1" t="s">
        <v>129</v>
      </c>
      <c r="D485">
        <v>5447</v>
      </c>
      <c r="E485" s="1"/>
      <c r="F485" s="1" t="s">
        <v>269</v>
      </c>
      <c r="G485" s="1" t="s">
        <v>269</v>
      </c>
      <c r="H485" s="1" t="s">
        <v>1405</v>
      </c>
      <c r="I485">
        <v>2011</v>
      </c>
      <c r="J485" s="93">
        <v>522.75</v>
      </c>
      <c r="K485">
        <v>12</v>
      </c>
      <c r="L485" s="1" t="s">
        <v>412</v>
      </c>
      <c r="M485">
        <v>0</v>
      </c>
      <c r="N485">
        <v>480</v>
      </c>
      <c r="O485">
        <v>1.088835</v>
      </c>
      <c r="P485">
        <v>3</v>
      </c>
      <c r="Q485" s="1" t="s">
        <v>560</v>
      </c>
      <c r="R485" s="93">
        <v>522.75</v>
      </c>
      <c r="S485">
        <v>418.19</v>
      </c>
      <c r="T485">
        <v>0</v>
      </c>
      <c r="U485" s="1"/>
      <c r="V485" s="1"/>
      <c r="W485">
        <v>522.74800000000005</v>
      </c>
      <c r="X485">
        <v>0</v>
      </c>
      <c r="Y485">
        <v>57507</v>
      </c>
    </row>
    <row r="486" spans="1:25" ht="15" hidden="1" customHeight="1" x14ac:dyDescent="0.25">
      <c r="A486" s="1" t="s">
        <v>27</v>
      </c>
      <c r="B486" s="1" t="s">
        <v>53</v>
      </c>
      <c r="C486" s="1" t="s">
        <v>129</v>
      </c>
      <c r="D486">
        <v>5447</v>
      </c>
      <c r="E486" s="1"/>
      <c r="F486" s="1" t="s">
        <v>269</v>
      </c>
      <c r="G486" s="1" t="s">
        <v>269</v>
      </c>
      <c r="H486" s="1" t="s">
        <v>1405</v>
      </c>
      <c r="I486">
        <v>2010</v>
      </c>
      <c r="J486" s="93">
        <v>449.95</v>
      </c>
      <c r="K486">
        <v>12</v>
      </c>
      <c r="L486" s="1" t="s">
        <v>412</v>
      </c>
      <c r="M486">
        <v>0</v>
      </c>
      <c r="N486">
        <v>480</v>
      </c>
      <c r="O486">
        <v>0.93720000000000003</v>
      </c>
      <c r="P486">
        <v>3</v>
      </c>
      <c r="Q486" s="1" t="s">
        <v>560</v>
      </c>
      <c r="R486" s="93">
        <v>449.95</v>
      </c>
      <c r="S486">
        <v>359.96</v>
      </c>
      <c r="T486">
        <v>0</v>
      </c>
      <c r="U486" s="1"/>
      <c r="V486" s="1"/>
      <c r="W486">
        <v>449.94600000000003</v>
      </c>
      <c r="X486">
        <v>0</v>
      </c>
      <c r="Y486">
        <v>57507</v>
      </c>
    </row>
    <row r="487" spans="1:25" ht="15" hidden="1" customHeight="1" x14ac:dyDescent="0.25">
      <c r="A487" s="1" t="s">
        <v>27</v>
      </c>
      <c r="B487" s="1" t="s">
        <v>53</v>
      </c>
      <c r="C487" s="1" t="s">
        <v>129</v>
      </c>
      <c r="D487">
        <v>5447</v>
      </c>
      <c r="E487" s="1"/>
      <c r="F487" s="1" t="s">
        <v>269</v>
      </c>
      <c r="G487" s="1" t="s">
        <v>269</v>
      </c>
      <c r="H487" s="1" t="s">
        <v>1405</v>
      </c>
      <c r="I487">
        <v>2009</v>
      </c>
      <c r="J487" s="93">
        <v>458.01</v>
      </c>
      <c r="K487">
        <v>12</v>
      </c>
      <c r="L487" s="1" t="s">
        <v>412</v>
      </c>
      <c r="M487">
        <v>0</v>
      </c>
      <c r="N487">
        <v>480</v>
      </c>
      <c r="O487">
        <v>0.95398799999999995</v>
      </c>
      <c r="P487">
        <v>3</v>
      </c>
      <c r="Q487" s="1" t="s">
        <v>560</v>
      </c>
      <c r="R487" s="93">
        <v>458.01</v>
      </c>
      <c r="S487">
        <v>366.38</v>
      </c>
      <c r="T487">
        <v>0</v>
      </c>
      <c r="U487" s="1"/>
      <c r="V487" s="1"/>
      <c r="W487">
        <v>457.99400000000003</v>
      </c>
      <c r="X487">
        <v>0</v>
      </c>
      <c r="Y487">
        <v>57507</v>
      </c>
    </row>
    <row r="488" spans="1:25" ht="15" hidden="1" customHeight="1" x14ac:dyDescent="0.25">
      <c r="A488" s="1" t="s">
        <v>27</v>
      </c>
      <c r="B488" s="1" t="s">
        <v>53</v>
      </c>
      <c r="C488" s="1" t="s">
        <v>129</v>
      </c>
      <c r="D488">
        <v>5447</v>
      </c>
      <c r="E488" s="1"/>
      <c r="F488" s="1" t="s">
        <v>269</v>
      </c>
      <c r="G488" s="1" t="s">
        <v>269</v>
      </c>
      <c r="H488" s="1" t="s">
        <v>1405</v>
      </c>
      <c r="I488">
        <v>2008</v>
      </c>
      <c r="J488" s="93">
        <v>419.66</v>
      </c>
      <c r="K488">
        <v>12</v>
      </c>
      <c r="L488" s="1" t="s">
        <v>412</v>
      </c>
      <c r="M488">
        <v>0</v>
      </c>
      <c r="N488">
        <v>480</v>
      </c>
      <c r="O488">
        <v>0.87410900000000002</v>
      </c>
      <c r="P488">
        <v>3</v>
      </c>
      <c r="Q488" s="1" t="s">
        <v>560</v>
      </c>
      <c r="R488" s="93">
        <v>419.66</v>
      </c>
      <c r="S488">
        <v>335.73</v>
      </c>
      <c r="T488">
        <v>0</v>
      </c>
      <c r="U488" s="1"/>
      <c r="V488" s="1"/>
      <c r="W488">
        <v>419.66199999999998</v>
      </c>
      <c r="X488">
        <v>0</v>
      </c>
      <c r="Y488">
        <v>57507</v>
      </c>
    </row>
    <row r="489" spans="1:25" ht="15" hidden="1" customHeight="1" x14ac:dyDescent="0.25">
      <c r="A489" s="1" t="s">
        <v>27</v>
      </c>
      <c r="B489" s="1" t="s">
        <v>58</v>
      </c>
      <c r="C489" s="1" t="s">
        <v>130</v>
      </c>
      <c r="D489">
        <v>5272</v>
      </c>
      <c r="E489" s="1"/>
      <c r="F489" s="1" t="s">
        <v>270</v>
      </c>
      <c r="G489" s="1" t="s">
        <v>270</v>
      </c>
      <c r="H489" s="1" t="s">
        <v>1405</v>
      </c>
      <c r="I489">
        <v>2015</v>
      </c>
      <c r="J489" s="93">
        <v>230</v>
      </c>
      <c r="K489">
        <v>5</v>
      </c>
      <c r="L489" s="1" t="s">
        <v>413</v>
      </c>
      <c r="M489">
        <v>0</v>
      </c>
      <c r="N489">
        <v>541</v>
      </c>
      <c r="O489">
        <v>0.17688000000000001</v>
      </c>
      <c r="P489">
        <v>3</v>
      </c>
      <c r="Q489" s="1" t="s">
        <v>560</v>
      </c>
      <c r="R489" s="93">
        <v>95.71</v>
      </c>
      <c r="S489">
        <v>76.569999999999993</v>
      </c>
      <c r="T489">
        <v>0</v>
      </c>
      <c r="U489" s="1" t="s">
        <v>600</v>
      </c>
      <c r="V489" s="1"/>
      <c r="W489">
        <v>95.713999999999999</v>
      </c>
      <c r="X489">
        <v>0</v>
      </c>
      <c r="Y489">
        <v>56838</v>
      </c>
    </row>
    <row r="490" spans="1:25" ht="15" hidden="1" customHeight="1" x14ac:dyDescent="0.25">
      <c r="A490" s="1" t="s">
        <v>37</v>
      </c>
      <c r="B490" s="1"/>
      <c r="C490" s="1" t="s">
        <v>201</v>
      </c>
      <c r="D490">
        <v>9223</v>
      </c>
      <c r="E490" s="1"/>
      <c r="F490" s="1" t="s">
        <v>336</v>
      </c>
      <c r="G490" s="1" t="s">
        <v>336</v>
      </c>
      <c r="H490" s="1" t="s">
        <v>1405</v>
      </c>
      <c r="I490">
        <v>2014</v>
      </c>
      <c r="J490" s="93">
        <v>7996.21</v>
      </c>
      <c r="K490">
        <v>24</v>
      </c>
      <c r="L490" s="1" t="s">
        <v>448</v>
      </c>
      <c r="M490">
        <v>0</v>
      </c>
      <c r="N490">
        <v>7936</v>
      </c>
      <c r="O490">
        <v>1.007574</v>
      </c>
      <c r="P490">
        <v>1</v>
      </c>
      <c r="Q490" s="1" t="s">
        <v>564</v>
      </c>
      <c r="R490" s="93">
        <v>9493.36</v>
      </c>
      <c r="S490">
        <v>2007.67</v>
      </c>
      <c r="T490">
        <v>0</v>
      </c>
      <c r="U490" s="1" t="s">
        <v>810</v>
      </c>
      <c r="V490" s="1" t="s">
        <v>1224</v>
      </c>
      <c r="W490">
        <v>740.39</v>
      </c>
      <c r="X490">
        <v>0</v>
      </c>
      <c r="Y490">
        <v>77843</v>
      </c>
    </row>
    <row r="491" spans="1:25" ht="15" hidden="1" customHeight="1" x14ac:dyDescent="0.25">
      <c r="A491" s="1" t="s">
        <v>27</v>
      </c>
      <c r="B491" s="1" t="s">
        <v>58</v>
      </c>
      <c r="C491" s="1" t="s">
        <v>130</v>
      </c>
      <c r="D491">
        <v>5272</v>
      </c>
      <c r="E491" s="1"/>
      <c r="F491" s="1" t="s">
        <v>270</v>
      </c>
      <c r="G491" s="1" t="s">
        <v>270</v>
      </c>
      <c r="H491" s="1" t="s">
        <v>1405</v>
      </c>
      <c r="I491">
        <v>2013</v>
      </c>
      <c r="J491" s="93">
        <v>284.36</v>
      </c>
      <c r="K491">
        <v>12</v>
      </c>
      <c r="L491" s="1" t="s">
        <v>413</v>
      </c>
      <c r="M491">
        <v>0</v>
      </c>
      <c r="N491">
        <v>541</v>
      </c>
      <c r="O491">
        <v>0.52552200000000004</v>
      </c>
      <c r="P491">
        <v>3</v>
      </c>
      <c r="Q491" s="1" t="s">
        <v>560</v>
      </c>
      <c r="R491" s="93">
        <v>284.36</v>
      </c>
      <c r="S491">
        <v>227.48</v>
      </c>
      <c r="T491">
        <v>0</v>
      </c>
      <c r="U491" s="1" t="s">
        <v>600</v>
      </c>
      <c r="V491" s="1"/>
      <c r="W491">
        <v>284.34399999999999</v>
      </c>
      <c r="X491">
        <v>0</v>
      </c>
      <c r="Y491">
        <v>56838</v>
      </c>
    </row>
    <row r="492" spans="1:25" ht="15" hidden="1" customHeight="1" x14ac:dyDescent="0.25">
      <c r="A492" s="1" t="s">
        <v>27</v>
      </c>
      <c r="B492" s="1" t="s">
        <v>58</v>
      </c>
      <c r="C492" s="1" t="s">
        <v>130</v>
      </c>
      <c r="D492">
        <v>5272</v>
      </c>
      <c r="E492" s="1"/>
      <c r="F492" s="1" t="s">
        <v>270</v>
      </c>
      <c r="G492" s="1" t="s">
        <v>270</v>
      </c>
      <c r="H492" s="1" t="s">
        <v>1405</v>
      </c>
      <c r="I492">
        <v>2012</v>
      </c>
      <c r="J492" s="93">
        <v>287.02</v>
      </c>
      <c r="K492">
        <v>12</v>
      </c>
      <c r="L492" s="1" t="s">
        <v>413</v>
      </c>
      <c r="M492">
        <v>0</v>
      </c>
      <c r="N492">
        <v>541</v>
      </c>
      <c r="O492">
        <v>0.53043700000000005</v>
      </c>
      <c r="P492">
        <v>3</v>
      </c>
      <c r="Q492" s="1" t="s">
        <v>560</v>
      </c>
      <c r="R492" s="93">
        <v>287.02</v>
      </c>
      <c r="S492">
        <v>229.61</v>
      </c>
      <c r="T492">
        <v>0</v>
      </c>
      <c r="U492" s="1" t="s">
        <v>600</v>
      </c>
      <c r="V492" s="1"/>
      <c r="W492">
        <v>287.02499999999998</v>
      </c>
      <c r="X492">
        <v>0</v>
      </c>
      <c r="Y492">
        <v>56838</v>
      </c>
    </row>
    <row r="493" spans="1:25" ht="15" hidden="1" customHeight="1" x14ac:dyDescent="0.25">
      <c r="A493" s="1" t="s">
        <v>27</v>
      </c>
      <c r="B493" s="1" t="s">
        <v>58</v>
      </c>
      <c r="C493" s="1" t="s">
        <v>130</v>
      </c>
      <c r="D493">
        <v>5272</v>
      </c>
      <c r="E493" s="1"/>
      <c r="F493" s="1" t="s">
        <v>270</v>
      </c>
      <c r="G493" s="1" t="s">
        <v>270</v>
      </c>
      <c r="H493" s="1" t="s">
        <v>1405</v>
      </c>
      <c r="I493">
        <v>2011</v>
      </c>
      <c r="J493" s="93">
        <v>334.25</v>
      </c>
      <c r="K493">
        <v>12</v>
      </c>
      <c r="L493" s="1" t="s">
        <v>413</v>
      </c>
      <c r="M493">
        <v>0</v>
      </c>
      <c r="N493">
        <v>541</v>
      </c>
      <c r="O493">
        <v>0.61772300000000002</v>
      </c>
      <c r="P493">
        <v>3</v>
      </c>
      <c r="Q493" s="1" t="s">
        <v>560</v>
      </c>
      <c r="R493" s="93">
        <v>334.25</v>
      </c>
      <c r="S493">
        <v>267.39</v>
      </c>
      <c r="T493">
        <v>0</v>
      </c>
      <c r="U493" s="1" t="s">
        <v>600</v>
      </c>
      <c r="V493" s="1"/>
      <c r="W493">
        <v>334.24900000000002</v>
      </c>
      <c r="X493">
        <v>0</v>
      </c>
      <c r="Y493">
        <v>56838</v>
      </c>
    </row>
    <row r="494" spans="1:25" ht="15" hidden="1" customHeight="1" x14ac:dyDescent="0.25">
      <c r="A494" s="1" t="s">
        <v>27</v>
      </c>
      <c r="B494" s="1" t="s">
        <v>58</v>
      </c>
      <c r="C494" s="1" t="s">
        <v>130</v>
      </c>
      <c r="D494">
        <v>5272</v>
      </c>
      <c r="E494" s="1"/>
      <c r="F494" s="1" t="s">
        <v>270</v>
      </c>
      <c r="G494" s="1" t="s">
        <v>270</v>
      </c>
      <c r="H494" s="1" t="s">
        <v>1405</v>
      </c>
      <c r="I494">
        <v>2010</v>
      </c>
      <c r="J494" s="93">
        <v>415.36</v>
      </c>
      <c r="K494">
        <v>12</v>
      </c>
      <c r="L494" s="1" t="s">
        <v>413</v>
      </c>
      <c r="M494">
        <v>0</v>
      </c>
      <c r="N494">
        <v>541</v>
      </c>
      <c r="O494">
        <v>0.767621</v>
      </c>
      <c r="P494">
        <v>3</v>
      </c>
      <c r="Q494" s="1" t="s">
        <v>560</v>
      </c>
      <c r="R494" s="93">
        <v>415.36</v>
      </c>
      <c r="S494">
        <v>332.3</v>
      </c>
      <c r="T494">
        <v>0</v>
      </c>
      <c r="U494" s="1" t="s">
        <v>600</v>
      </c>
      <c r="V494" s="1"/>
      <c r="W494">
        <v>415.35399999999998</v>
      </c>
      <c r="X494">
        <v>0</v>
      </c>
      <c r="Y494">
        <v>56838</v>
      </c>
    </row>
    <row r="495" spans="1:25" ht="15" hidden="1" customHeight="1" x14ac:dyDescent="0.25">
      <c r="A495" s="1" t="s">
        <v>27</v>
      </c>
      <c r="B495" s="1" t="s">
        <v>58</v>
      </c>
      <c r="C495" s="1" t="s">
        <v>130</v>
      </c>
      <c r="D495">
        <v>5272</v>
      </c>
      <c r="E495" s="1"/>
      <c r="F495" s="1" t="s">
        <v>270</v>
      </c>
      <c r="G495" s="1" t="s">
        <v>270</v>
      </c>
      <c r="H495" s="1" t="s">
        <v>1405</v>
      </c>
      <c r="I495">
        <v>2009</v>
      </c>
      <c r="J495" s="93">
        <v>382.23</v>
      </c>
      <c r="K495">
        <v>12</v>
      </c>
      <c r="L495" s="1" t="s">
        <v>413</v>
      </c>
      <c r="M495">
        <v>0</v>
      </c>
      <c r="N495">
        <v>541</v>
      </c>
      <c r="O495">
        <v>0.70639399999999997</v>
      </c>
      <c r="P495">
        <v>3</v>
      </c>
      <c r="Q495" s="1" t="s">
        <v>560</v>
      </c>
      <c r="R495" s="93">
        <v>382.23</v>
      </c>
      <c r="S495">
        <v>305.8</v>
      </c>
      <c r="T495">
        <v>0</v>
      </c>
      <c r="U495" s="1" t="s">
        <v>600</v>
      </c>
      <c r="V495" s="1"/>
      <c r="W495">
        <v>382.23700000000002</v>
      </c>
      <c r="X495">
        <v>0</v>
      </c>
      <c r="Y495">
        <v>56838</v>
      </c>
    </row>
    <row r="496" spans="1:25" ht="15" hidden="1" customHeight="1" x14ac:dyDescent="0.25">
      <c r="A496" s="1" t="s">
        <v>27</v>
      </c>
      <c r="B496" s="1" t="s">
        <v>58</v>
      </c>
      <c r="C496" s="1" t="s">
        <v>130</v>
      </c>
      <c r="D496">
        <v>5272</v>
      </c>
      <c r="E496" s="1"/>
      <c r="F496" s="1" t="s">
        <v>270</v>
      </c>
      <c r="G496" s="1" t="s">
        <v>130</v>
      </c>
      <c r="H496" s="1" t="s">
        <v>1405</v>
      </c>
      <c r="I496">
        <v>2008</v>
      </c>
      <c r="J496" s="93">
        <v>411.25</v>
      </c>
      <c r="K496">
        <v>12</v>
      </c>
      <c r="L496" s="1" t="s">
        <v>413</v>
      </c>
      <c r="M496">
        <v>0</v>
      </c>
      <c r="N496">
        <v>541</v>
      </c>
      <c r="O496">
        <v>0.76002499999999995</v>
      </c>
      <c r="P496">
        <v>3</v>
      </c>
      <c r="Q496" s="1" t="s">
        <v>560</v>
      </c>
      <c r="R496" s="93">
        <v>411.25</v>
      </c>
      <c r="S496">
        <v>328.97</v>
      </c>
      <c r="T496">
        <v>0</v>
      </c>
      <c r="U496" s="1" t="s">
        <v>600</v>
      </c>
      <c r="V496" s="1"/>
      <c r="W496">
        <v>411.22800000000001</v>
      </c>
      <c r="X496">
        <v>0</v>
      </c>
      <c r="Y496">
        <v>56838</v>
      </c>
    </row>
    <row r="497" spans="1:25" ht="15" hidden="1" customHeight="1" x14ac:dyDescent="0.25">
      <c r="A497" s="1" t="s">
        <v>27</v>
      </c>
      <c r="B497" s="1"/>
      <c r="C497" s="1" t="s">
        <v>131</v>
      </c>
      <c r="D497">
        <v>9952</v>
      </c>
      <c r="E497" s="1"/>
      <c r="F497" s="1" t="s">
        <v>271</v>
      </c>
      <c r="G497" s="1" t="s">
        <v>271</v>
      </c>
      <c r="H497" s="1" t="s">
        <v>1405</v>
      </c>
      <c r="I497">
        <v>2015</v>
      </c>
      <c r="J497" s="93">
        <v>303</v>
      </c>
      <c r="K497">
        <v>5</v>
      </c>
      <c r="L497" s="1" t="s">
        <v>405</v>
      </c>
      <c r="M497">
        <v>0</v>
      </c>
      <c r="N497">
        <v>473</v>
      </c>
      <c r="O497">
        <v>0.23969499999999999</v>
      </c>
      <c r="P497">
        <v>3</v>
      </c>
      <c r="Q497" s="1" t="s">
        <v>560</v>
      </c>
      <c r="R497" s="93">
        <v>113.4</v>
      </c>
      <c r="S497">
        <v>90.72</v>
      </c>
      <c r="T497">
        <v>0</v>
      </c>
      <c r="U497" s="1" t="s">
        <v>601</v>
      </c>
      <c r="V497" s="1"/>
      <c r="W497">
        <v>113.4</v>
      </c>
      <c r="X497">
        <v>0</v>
      </c>
      <c r="Y497">
        <v>76305</v>
      </c>
    </row>
    <row r="498" spans="1:25" ht="15" hidden="1" customHeight="1" x14ac:dyDescent="0.25">
      <c r="A498" s="1" t="s">
        <v>27</v>
      </c>
      <c r="B498" s="1" t="s">
        <v>50</v>
      </c>
      <c r="C498" s="1" t="s">
        <v>113</v>
      </c>
      <c r="D498">
        <v>5278</v>
      </c>
      <c r="E498" s="1"/>
      <c r="F498" s="1" t="s">
        <v>113</v>
      </c>
      <c r="G498" s="1" t="s">
        <v>113</v>
      </c>
      <c r="H498" s="1" t="s">
        <v>1405</v>
      </c>
      <c r="I498">
        <v>2014</v>
      </c>
      <c r="J498" s="93">
        <v>392.62</v>
      </c>
      <c r="K498">
        <v>12</v>
      </c>
      <c r="L498" s="1" t="s">
        <v>404</v>
      </c>
      <c r="M498">
        <v>0</v>
      </c>
      <c r="N498">
        <v>760</v>
      </c>
      <c r="O498">
        <v>0.51653700000000002</v>
      </c>
      <c r="P498">
        <v>3</v>
      </c>
      <c r="Q498" s="1" t="s">
        <v>560</v>
      </c>
      <c r="R498" s="93">
        <v>392.62</v>
      </c>
      <c r="S498">
        <v>314.10000000000002</v>
      </c>
      <c r="T498">
        <v>0</v>
      </c>
      <c r="U498" s="1" t="s">
        <v>589</v>
      </c>
      <c r="V498" s="1"/>
      <c r="W498">
        <v>392.62900000000002</v>
      </c>
      <c r="X498">
        <v>0</v>
      </c>
      <c r="Y498">
        <v>56875</v>
      </c>
    </row>
    <row r="499" spans="1:25" ht="15" hidden="1" customHeight="1" x14ac:dyDescent="0.25">
      <c r="A499" s="1" t="s">
        <v>27</v>
      </c>
      <c r="B499" s="1"/>
      <c r="C499" s="1" t="s">
        <v>131</v>
      </c>
      <c r="D499">
        <v>9952</v>
      </c>
      <c r="E499" s="1"/>
      <c r="F499" s="1" t="s">
        <v>271</v>
      </c>
      <c r="G499" s="1" t="s">
        <v>271</v>
      </c>
      <c r="H499" s="1" t="s">
        <v>1405</v>
      </c>
      <c r="I499">
        <v>2013</v>
      </c>
      <c r="J499" s="93">
        <v>269</v>
      </c>
      <c r="K499">
        <v>12</v>
      </c>
      <c r="L499" s="1" t="s">
        <v>405</v>
      </c>
      <c r="M499">
        <v>0</v>
      </c>
      <c r="N499">
        <v>473</v>
      </c>
      <c r="O499">
        <v>0.56859000000000004</v>
      </c>
      <c r="P499">
        <v>3</v>
      </c>
      <c r="Q499" s="1" t="s">
        <v>560</v>
      </c>
      <c r="R499" s="93">
        <v>269</v>
      </c>
      <c r="S499">
        <v>215.2</v>
      </c>
      <c r="T499">
        <v>0</v>
      </c>
      <c r="U499" s="1" t="s">
        <v>601</v>
      </c>
      <c r="V499" s="1"/>
      <c r="W499">
        <v>269</v>
      </c>
      <c r="X499">
        <v>0</v>
      </c>
      <c r="Y499">
        <v>76305</v>
      </c>
    </row>
    <row r="500" spans="1:25" ht="15" hidden="1" customHeight="1" x14ac:dyDescent="0.25">
      <c r="A500" s="1" t="s">
        <v>27</v>
      </c>
      <c r="B500" s="1"/>
      <c r="C500" s="1" t="s">
        <v>131</v>
      </c>
      <c r="D500">
        <v>9952</v>
      </c>
      <c r="E500" s="1"/>
      <c r="F500" s="1" t="s">
        <v>271</v>
      </c>
      <c r="G500" s="1" t="s">
        <v>271</v>
      </c>
      <c r="H500" s="1" t="s">
        <v>1405</v>
      </c>
      <c r="I500">
        <v>2012</v>
      </c>
      <c r="J500" s="93">
        <v>287.60000000000002</v>
      </c>
      <c r="K500">
        <v>12</v>
      </c>
      <c r="L500" s="1" t="s">
        <v>405</v>
      </c>
      <c r="M500">
        <v>0</v>
      </c>
      <c r="N500">
        <v>473</v>
      </c>
      <c r="O500">
        <v>0.60790500000000003</v>
      </c>
      <c r="P500">
        <v>3</v>
      </c>
      <c r="Q500" s="1" t="s">
        <v>560</v>
      </c>
      <c r="R500" s="93">
        <v>287.60000000000002</v>
      </c>
      <c r="S500">
        <v>230.08</v>
      </c>
      <c r="T500">
        <v>0</v>
      </c>
      <c r="U500" s="1" t="s">
        <v>601</v>
      </c>
      <c r="V500" s="1"/>
      <c r="W500">
        <v>287.60000000000002</v>
      </c>
      <c r="X500">
        <v>0</v>
      </c>
      <c r="Y500">
        <v>76305</v>
      </c>
    </row>
    <row r="501" spans="1:25" ht="15" hidden="1" customHeight="1" x14ac:dyDescent="0.25">
      <c r="A501" s="1" t="s">
        <v>27</v>
      </c>
      <c r="B501" s="1"/>
      <c r="C501" s="1" t="s">
        <v>131</v>
      </c>
      <c r="D501">
        <v>9952</v>
      </c>
      <c r="E501" s="1"/>
      <c r="F501" s="1" t="s">
        <v>271</v>
      </c>
      <c r="G501" s="1" t="s">
        <v>271</v>
      </c>
      <c r="H501" s="1" t="s">
        <v>1405</v>
      </c>
      <c r="I501">
        <v>2011</v>
      </c>
      <c r="J501" s="93">
        <v>304.10000000000002</v>
      </c>
      <c r="K501">
        <v>12</v>
      </c>
      <c r="L501" s="1" t="s">
        <v>405</v>
      </c>
      <c r="M501">
        <v>0</v>
      </c>
      <c r="N501">
        <v>473</v>
      </c>
      <c r="O501">
        <v>0.64278100000000005</v>
      </c>
      <c r="P501">
        <v>3</v>
      </c>
      <c r="Q501" s="1" t="s">
        <v>560</v>
      </c>
      <c r="R501" s="93">
        <v>304.10000000000002</v>
      </c>
      <c r="S501">
        <v>243.28</v>
      </c>
      <c r="T501">
        <v>0</v>
      </c>
      <c r="U501" s="1" t="s">
        <v>601</v>
      </c>
      <c r="V501" s="1"/>
      <c r="W501">
        <v>304.10000000000002</v>
      </c>
      <c r="X501">
        <v>0</v>
      </c>
      <c r="Y501">
        <v>76305</v>
      </c>
    </row>
    <row r="502" spans="1:25" ht="15" hidden="1" customHeight="1" x14ac:dyDescent="0.25">
      <c r="A502" s="1" t="s">
        <v>27</v>
      </c>
      <c r="B502" s="1"/>
      <c r="C502" s="1" t="s">
        <v>131</v>
      </c>
      <c r="D502">
        <v>9952</v>
      </c>
      <c r="E502" s="1"/>
      <c r="F502" s="1" t="s">
        <v>271</v>
      </c>
      <c r="G502" s="1" t="s">
        <v>271</v>
      </c>
      <c r="H502" s="1" t="s">
        <v>1405</v>
      </c>
      <c r="I502">
        <v>2010</v>
      </c>
      <c r="J502" s="93">
        <v>372</v>
      </c>
      <c r="K502">
        <v>7</v>
      </c>
      <c r="L502" s="1" t="s">
        <v>405</v>
      </c>
      <c r="M502">
        <v>0</v>
      </c>
      <c r="N502">
        <v>473</v>
      </c>
      <c r="O502">
        <v>0.78630299999999997</v>
      </c>
      <c r="P502">
        <v>3</v>
      </c>
      <c r="Q502" s="1" t="s">
        <v>560</v>
      </c>
      <c r="R502" s="93">
        <v>372</v>
      </c>
      <c r="S502">
        <v>297.58999999999997</v>
      </c>
      <c r="T502">
        <v>0</v>
      </c>
      <c r="U502" s="1" t="s">
        <v>601</v>
      </c>
      <c r="V502" s="1"/>
      <c r="W502">
        <v>372.00000999999997</v>
      </c>
      <c r="X502">
        <v>0</v>
      </c>
      <c r="Y502">
        <v>76305</v>
      </c>
    </row>
    <row r="503" spans="1:25" ht="15" hidden="1" customHeight="1" x14ac:dyDescent="0.25">
      <c r="A503" s="1" t="s">
        <v>27</v>
      </c>
      <c r="B503" s="1"/>
      <c r="C503" s="1" t="s">
        <v>131</v>
      </c>
      <c r="D503">
        <v>9952</v>
      </c>
      <c r="E503" s="1"/>
      <c r="F503" s="1" t="s">
        <v>271</v>
      </c>
      <c r="G503" s="1" t="s">
        <v>271</v>
      </c>
      <c r="H503" s="1" t="s">
        <v>1405</v>
      </c>
      <c r="I503">
        <v>2009</v>
      </c>
      <c r="J503" s="93">
        <v>288.06</v>
      </c>
      <c r="K503">
        <v>8</v>
      </c>
      <c r="L503" s="1" t="s">
        <v>405</v>
      </c>
      <c r="M503">
        <v>0</v>
      </c>
      <c r="N503">
        <v>473</v>
      </c>
      <c r="O503">
        <v>0.608877</v>
      </c>
      <c r="P503">
        <v>3</v>
      </c>
      <c r="Q503" s="1" t="s">
        <v>560</v>
      </c>
      <c r="R503" s="93">
        <v>288.06</v>
      </c>
      <c r="S503">
        <v>230.43</v>
      </c>
      <c r="T503">
        <v>0</v>
      </c>
      <c r="U503" s="1" t="s">
        <v>601</v>
      </c>
      <c r="V503" s="1"/>
      <c r="W503">
        <v>288.05441999999999</v>
      </c>
      <c r="X503">
        <v>0</v>
      </c>
      <c r="Y503">
        <v>76305</v>
      </c>
    </row>
    <row r="504" spans="1:25" ht="15" hidden="1" customHeight="1" x14ac:dyDescent="0.25">
      <c r="A504" s="1" t="s">
        <v>27</v>
      </c>
      <c r="B504" s="1"/>
      <c r="C504" s="1" t="s">
        <v>131</v>
      </c>
      <c r="D504">
        <v>9952</v>
      </c>
      <c r="E504" s="1"/>
      <c r="F504" s="1" t="s">
        <v>271</v>
      </c>
      <c r="G504" s="1" t="s">
        <v>271</v>
      </c>
      <c r="H504" s="1" t="s">
        <v>1405</v>
      </c>
      <c r="I504">
        <v>2008</v>
      </c>
      <c r="J504" s="93">
        <v>311.19</v>
      </c>
      <c r="K504">
        <v>3</v>
      </c>
      <c r="L504" s="1" t="s">
        <v>405</v>
      </c>
      <c r="M504">
        <v>0</v>
      </c>
      <c r="N504">
        <v>473</v>
      </c>
      <c r="O504">
        <v>0.65776699999999999</v>
      </c>
      <c r="P504">
        <v>3</v>
      </c>
      <c r="Q504" s="1" t="s">
        <v>560</v>
      </c>
      <c r="R504" s="93">
        <v>311.19</v>
      </c>
      <c r="S504">
        <v>248.94</v>
      </c>
      <c r="T504">
        <v>0</v>
      </c>
      <c r="U504" s="1" t="s">
        <v>601</v>
      </c>
      <c r="V504" s="1"/>
      <c r="W504">
        <v>311.15983999999997</v>
      </c>
      <c r="X504">
        <v>0</v>
      </c>
      <c r="Y504">
        <v>76305</v>
      </c>
    </row>
    <row r="505" spans="1:25" ht="15" hidden="1" customHeight="1" x14ac:dyDescent="0.25">
      <c r="A505" s="1" t="s">
        <v>27</v>
      </c>
      <c r="B505" s="1" t="s">
        <v>59</v>
      </c>
      <c r="C505" s="1" t="s">
        <v>132</v>
      </c>
      <c r="D505">
        <v>5277</v>
      </c>
      <c r="E505" s="1"/>
      <c r="F505" s="1" t="s">
        <v>272</v>
      </c>
      <c r="G505" s="1" t="s">
        <v>132</v>
      </c>
      <c r="H505" s="1" t="s">
        <v>1405</v>
      </c>
      <c r="I505">
        <v>2015</v>
      </c>
      <c r="J505" s="93">
        <v>455</v>
      </c>
      <c r="K505">
        <v>5</v>
      </c>
      <c r="L505" s="1" t="s">
        <v>404</v>
      </c>
      <c r="M505">
        <v>0</v>
      </c>
      <c r="N505">
        <v>585</v>
      </c>
      <c r="O505">
        <v>0.30792999999999998</v>
      </c>
      <c r="P505">
        <v>3</v>
      </c>
      <c r="Q505" s="1" t="s">
        <v>560</v>
      </c>
      <c r="R505" s="93">
        <v>180.17</v>
      </c>
      <c r="S505">
        <v>144.13999999999999</v>
      </c>
      <c r="T505">
        <v>0</v>
      </c>
      <c r="U505" s="1" t="s">
        <v>602</v>
      </c>
      <c r="V505" s="1"/>
      <c r="W505">
        <v>180.166</v>
      </c>
      <c r="X505">
        <v>0</v>
      </c>
      <c r="Y505">
        <v>56869</v>
      </c>
    </row>
    <row r="506" spans="1:25" ht="15" hidden="1" customHeight="1" x14ac:dyDescent="0.25">
      <c r="A506" s="1" t="s">
        <v>27</v>
      </c>
      <c r="B506" s="1" t="s">
        <v>50</v>
      </c>
      <c r="C506" s="1" t="s">
        <v>113</v>
      </c>
      <c r="D506">
        <v>5278</v>
      </c>
      <c r="E506" s="1"/>
      <c r="F506" s="1" t="s">
        <v>113</v>
      </c>
      <c r="G506" s="1" t="s">
        <v>113</v>
      </c>
      <c r="H506" s="1" t="s">
        <v>1405</v>
      </c>
      <c r="I506">
        <v>2014</v>
      </c>
      <c r="J506" s="93">
        <v>55019</v>
      </c>
      <c r="K506">
        <v>12</v>
      </c>
      <c r="L506" s="1" t="s">
        <v>468</v>
      </c>
      <c r="M506">
        <v>0</v>
      </c>
      <c r="N506">
        <v>760</v>
      </c>
      <c r="O506">
        <v>72.383895999999993</v>
      </c>
      <c r="P506">
        <v>1</v>
      </c>
      <c r="Q506" s="1" t="s">
        <v>562</v>
      </c>
      <c r="R506" s="93">
        <v>65457.01</v>
      </c>
      <c r="S506">
        <v>5097789.57</v>
      </c>
      <c r="T506">
        <v>0</v>
      </c>
      <c r="U506" s="1" t="s">
        <v>766</v>
      </c>
      <c r="V506" s="1"/>
      <c r="W506">
        <v>55019</v>
      </c>
      <c r="X506">
        <v>0</v>
      </c>
      <c r="Y506">
        <v>56874</v>
      </c>
    </row>
    <row r="507" spans="1:25" ht="15" hidden="1" customHeight="1" x14ac:dyDescent="0.25">
      <c r="A507" s="1" t="s">
        <v>27</v>
      </c>
      <c r="B507" s="1" t="s">
        <v>59</v>
      </c>
      <c r="C507" s="1" t="s">
        <v>132</v>
      </c>
      <c r="D507">
        <v>5277</v>
      </c>
      <c r="E507" s="1"/>
      <c r="F507" s="1" t="s">
        <v>272</v>
      </c>
      <c r="G507" s="1" t="s">
        <v>132</v>
      </c>
      <c r="H507" s="1" t="s">
        <v>1405</v>
      </c>
      <c r="I507">
        <v>2013</v>
      </c>
      <c r="J507" s="93">
        <v>516.65</v>
      </c>
      <c r="K507">
        <v>12</v>
      </c>
      <c r="L507" s="1" t="s">
        <v>404</v>
      </c>
      <c r="M507">
        <v>0</v>
      </c>
      <c r="N507">
        <v>585</v>
      </c>
      <c r="O507">
        <v>0.88301099999999999</v>
      </c>
      <c r="P507">
        <v>3</v>
      </c>
      <c r="Q507" s="1" t="s">
        <v>560</v>
      </c>
      <c r="R507" s="93">
        <v>516.65</v>
      </c>
      <c r="S507">
        <v>413.32</v>
      </c>
      <c r="T507">
        <v>0</v>
      </c>
      <c r="U507" s="1" t="s">
        <v>602</v>
      </c>
      <c r="V507" s="1"/>
      <c r="W507">
        <v>516.66300000000001</v>
      </c>
      <c r="X507">
        <v>0</v>
      </c>
      <c r="Y507">
        <v>56869</v>
      </c>
    </row>
    <row r="508" spans="1:25" ht="15" hidden="1" customHeight="1" x14ac:dyDescent="0.25">
      <c r="A508" s="1" t="s">
        <v>27</v>
      </c>
      <c r="B508" s="1" t="s">
        <v>59</v>
      </c>
      <c r="C508" s="1" t="s">
        <v>132</v>
      </c>
      <c r="D508">
        <v>5277</v>
      </c>
      <c r="E508" s="1"/>
      <c r="F508" s="1" t="s">
        <v>272</v>
      </c>
      <c r="G508" s="1" t="s">
        <v>132</v>
      </c>
      <c r="H508" s="1" t="s">
        <v>1405</v>
      </c>
      <c r="I508">
        <v>2012</v>
      </c>
      <c r="J508" s="93">
        <v>258.8</v>
      </c>
      <c r="K508">
        <v>12</v>
      </c>
      <c r="L508" s="1" t="s">
        <v>404</v>
      </c>
      <c r="M508">
        <v>0</v>
      </c>
      <c r="N508">
        <v>585</v>
      </c>
      <c r="O508">
        <v>0.44231700000000002</v>
      </c>
      <c r="P508">
        <v>3</v>
      </c>
      <c r="Q508" s="1" t="s">
        <v>560</v>
      </c>
      <c r="R508" s="93">
        <v>258.8</v>
      </c>
      <c r="S508">
        <v>207.04</v>
      </c>
      <c r="T508">
        <v>0</v>
      </c>
      <c r="U508" s="1" t="s">
        <v>602</v>
      </c>
      <c r="V508" s="1"/>
      <c r="W508">
        <v>258.80700000000002</v>
      </c>
      <c r="X508">
        <v>0</v>
      </c>
      <c r="Y508">
        <v>56869</v>
      </c>
    </row>
    <row r="509" spans="1:25" ht="15" hidden="1" customHeight="1" x14ac:dyDescent="0.25">
      <c r="A509" s="1" t="s">
        <v>27</v>
      </c>
      <c r="B509" s="1" t="s">
        <v>59</v>
      </c>
      <c r="C509" s="1" t="s">
        <v>132</v>
      </c>
      <c r="D509">
        <v>5277</v>
      </c>
      <c r="E509" s="1"/>
      <c r="F509" s="1" t="s">
        <v>272</v>
      </c>
      <c r="G509" s="1" t="s">
        <v>132</v>
      </c>
      <c r="H509" s="1" t="s">
        <v>1405</v>
      </c>
      <c r="I509">
        <v>2011</v>
      </c>
      <c r="J509" s="93">
        <v>300.38</v>
      </c>
      <c r="K509">
        <v>12</v>
      </c>
      <c r="L509" s="1" t="s">
        <v>404</v>
      </c>
      <c r="M509">
        <v>0</v>
      </c>
      <c r="N509">
        <v>585</v>
      </c>
      <c r="O509">
        <v>0.51338200000000001</v>
      </c>
      <c r="P509">
        <v>3</v>
      </c>
      <c r="Q509" s="1" t="s">
        <v>560</v>
      </c>
      <c r="R509" s="93">
        <v>300.38</v>
      </c>
      <c r="S509">
        <v>240.31</v>
      </c>
      <c r="T509">
        <v>0</v>
      </c>
      <c r="U509" s="1" t="s">
        <v>602</v>
      </c>
      <c r="V509" s="1"/>
      <c r="W509">
        <v>300.38499000000002</v>
      </c>
      <c r="X509">
        <v>0</v>
      </c>
      <c r="Y509">
        <v>56869</v>
      </c>
    </row>
    <row r="510" spans="1:25" ht="15" hidden="1" customHeight="1" x14ac:dyDescent="0.25">
      <c r="A510" s="1" t="s">
        <v>27</v>
      </c>
      <c r="B510" s="1" t="s">
        <v>59</v>
      </c>
      <c r="C510" s="1" t="s">
        <v>132</v>
      </c>
      <c r="D510">
        <v>5277</v>
      </c>
      <c r="E510" s="1"/>
      <c r="F510" s="1" t="s">
        <v>272</v>
      </c>
      <c r="G510" s="1" t="s">
        <v>132</v>
      </c>
      <c r="H510" s="1" t="s">
        <v>1405</v>
      </c>
      <c r="I510">
        <v>2010</v>
      </c>
      <c r="J510" s="93">
        <v>326.88</v>
      </c>
      <c r="K510">
        <v>12</v>
      </c>
      <c r="L510" s="1" t="s">
        <v>404</v>
      </c>
      <c r="M510">
        <v>0</v>
      </c>
      <c r="N510">
        <v>585</v>
      </c>
      <c r="O510">
        <v>0.55867299999999998</v>
      </c>
      <c r="P510">
        <v>3</v>
      </c>
      <c r="Q510" s="1" t="s">
        <v>560</v>
      </c>
      <c r="R510" s="93">
        <v>326.88</v>
      </c>
      <c r="S510">
        <v>261.48</v>
      </c>
      <c r="T510">
        <v>0</v>
      </c>
      <c r="U510" s="1" t="s">
        <v>602</v>
      </c>
      <c r="V510" s="1"/>
      <c r="W510">
        <v>326.85500000000002</v>
      </c>
      <c r="X510">
        <v>0</v>
      </c>
      <c r="Y510">
        <v>56869</v>
      </c>
    </row>
    <row r="511" spans="1:25" ht="15" hidden="1" customHeight="1" x14ac:dyDescent="0.25">
      <c r="A511" s="1" t="s">
        <v>27</v>
      </c>
      <c r="B511" s="1" t="s">
        <v>59</v>
      </c>
      <c r="C511" s="1" t="s">
        <v>132</v>
      </c>
      <c r="D511">
        <v>5277</v>
      </c>
      <c r="E511" s="1"/>
      <c r="F511" s="1" t="s">
        <v>272</v>
      </c>
      <c r="G511" s="1" t="s">
        <v>132</v>
      </c>
      <c r="H511" s="1" t="s">
        <v>1405</v>
      </c>
      <c r="I511">
        <v>2009</v>
      </c>
      <c r="J511" s="93">
        <v>286.17</v>
      </c>
      <c r="K511">
        <v>12</v>
      </c>
      <c r="L511" s="1" t="s">
        <v>404</v>
      </c>
      <c r="M511">
        <v>0</v>
      </c>
      <c r="N511">
        <v>585</v>
      </c>
      <c r="O511">
        <v>0.489095</v>
      </c>
      <c r="P511">
        <v>3</v>
      </c>
      <c r="Q511" s="1" t="s">
        <v>560</v>
      </c>
      <c r="R511" s="93">
        <v>286.17</v>
      </c>
      <c r="S511">
        <v>228.93</v>
      </c>
      <c r="T511">
        <v>0</v>
      </c>
      <c r="U511" s="1" t="s">
        <v>602</v>
      </c>
      <c r="V511" s="1"/>
      <c r="W511">
        <v>286.17399999999998</v>
      </c>
      <c r="X511">
        <v>0</v>
      </c>
      <c r="Y511">
        <v>56869</v>
      </c>
    </row>
    <row r="512" spans="1:25" ht="15" hidden="1" customHeight="1" x14ac:dyDescent="0.25">
      <c r="A512" s="1" t="s">
        <v>27</v>
      </c>
      <c r="B512" s="1" t="s">
        <v>59</v>
      </c>
      <c r="C512" s="1" t="s">
        <v>132</v>
      </c>
      <c r="D512">
        <v>5277</v>
      </c>
      <c r="E512" s="1"/>
      <c r="F512" s="1" t="s">
        <v>272</v>
      </c>
      <c r="G512" s="1" t="s">
        <v>132</v>
      </c>
      <c r="H512" s="1" t="s">
        <v>1405</v>
      </c>
      <c r="I512">
        <v>2008</v>
      </c>
      <c r="J512" s="93">
        <v>254.09</v>
      </c>
      <c r="K512">
        <v>12</v>
      </c>
      <c r="L512" s="1" t="s">
        <v>404</v>
      </c>
      <c r="M512">
        <v>0</v>
      </c>
      <c r="N512">
        <v>585</v>
      </c>
      <c r="O512">
        <v>0.43426700000000001</v>
      </c>
      <c r="P512">
        <v>3</v>
      </c>
      <c r="Q512" s="1" t="s">
        <v>560</v>
      </c>
      <c r="R512" s="93">
        <v>254.09</v>
      </c>
      <c r="S512">
        <v>203.26</v>
      </c>
      <c r="T512">
        <v>0</v>
      </c>
      <c r="U512" s="1" t="s">
        <v>602</v>
      </c>
      <c r="V512" s="1"/>
      <c r="W512">
        <v>254.083</v>
      </c>
      <c r="X512">
        <v>0</v>
      </c>
      <c r="Y512">
        <v>56869</v>
      </c>
    </row>
    <row r="513" spans="1:25" ht="15" hidden="1" customHeight="1" x14ac:dyDescent="0.25">
      <c r="A513" s="1" t="s">
        <v>27</v>
      </c>
      <c r="B513" s="1" t="s">
        <v>50</v>
      </c>
      <c r="C513" s="1" t="s">
        <v>113</v>
      </c>
      <c r="D513">
        <v>5278</v>
      </c>
      <c r="E513" s="1"/>
      <c r="F513" s="1" t="s">
        <v>113</v>
      </c>
      <c r="G513" s="1" t="s">
        <v>113</v>
      </c>
      <c r="H513" s="1" t="s">
        <v>1405</v>
      </c>
      <c r="I513">
        <v>2014</v>
      </c>
      <c r="J513" s="93">
        <v>26981.13</v>
      </c>
      <c r="K513">
        <v>12</v>
      </c>
      <c r="L513" s="1" t="s">
        <v>404</v>
      </c>
      <c r="M513">
        <v>0</v>
      </c>
      <c r="N513">
        <v>760</v>
      </c>
      <c r="O513">
        <v>35.496816000000003</v>
      </c>
      <c r="P513">
        <v>2</v>
      </c>
      <c r="Q513" s="1" t="s">
        <v>569</v>
      </c>
      <c r="R513" s="93">
        <v>26981.13</v>
      </c>
      <c r="S513">
        <v>10792.45</v>
      </c>
      <c r="T513">
        <v>0</v>
      </c>
      <c r="U513" s="1" t="s">
        <v>956</v>
      </c>
      <c r="V513" s="1" t="s">
        <v>1249</v>
      </c>
      <c r="W513">
        <v>26981.129000000001</v>
      </c>
      <c r="X513">
        <v>0</v>
      </c>
      <c r="Y513">
        <v>56873</v>
      </c>
    </row>
    <row r="514" spans="1:25" ht="15" hidden="1" customHeight="1" x14ac:dyDescent="0.25">
      <c r="A514" s="1" t="s">
        <v>27</v>
      </c>
      <c r="B514" s="1" t="s">
        <v>61</v>
      </c>
      <c r="C514" s="1" t="s">
        <v>134</v>
      </c>
      <c r="D514">
        <v>5247</v>
      </c>
      <c r="E514" s="1"/>
      <c r="F514" s="1" t="s">
        <v>274</v>
      </c>
      <c r="G514" s="1" t="s">
        <v>274</v>
      </c>
      <c r="H514" s="1" t="s">
        <v>1405</v>
      </c>
      <c r="I514">
        <v>2015</v>
      </c>
      <c r="J514" s="93">
        <v>258</v>
      </c>
      <c r="K514">
        <v>5</v>
      </c>
      <c r="L514" s="1" t="s">
        <v>404</v>
      </c>
      <c r="M514">
        <v>0</v>
      </c>
      <c r="N514">
        <v>284</v>
      </c>
      <c r="O514">
        <v>0.38201299999999999</v>
      </c>
      <c r="P514">
        <v>3</v>
      </c>
      <c r="Q514" s="1" t="s">
        <v>560</v>
      </c>
      <c r="R514" s="93">
        <v>108.53</v>
      </c>
      <c r="S514">
        <v>86.84</v>
      </c>
      <c r="T514">
        <v>0</v>
      </c>
      <c r="U514" s="1" t="s">
        <v>604</v>
      </c>
      <c r="V514" s="1"/>
      <c r="W514">
        <v>108.53700000000001</v>
      </c>
      <c r="X514">
        <v>0</v>
      </c>
      <c r="Y514">
        <v>56638</v>
      </c>
    </row>
    <row r="515" spans="1:25" ht="15" hidden="1" customHeight="1" x14ac:dyDescent="0.25">
      <c r="A515" s="1" t="s">
        <v>27</v>
      </c>
      <c r="B515" s="1" t="s">
        <v>50</v>
      </c>
      <c r="C515" s="1" t="s">
        <v>113</v>
      </c>
      <c r="D515">
        <v>5278</v>
      </c>
      <c r="E515" s="1"/>
      <c r="F515" s="1" t="s">
        <v>113</v>
      </c>
      <c r="G515" s="1" t="s">
        <v>113</v>
      </c>
      <c r="H515" s="1" t="s">
        <v>1396</v>
      </c>
      <c r="I515">
        <v>2014</v>
      </c>
      <c r="J515" s="93">
        <v>106995.09</v>
      </c>
      <c r="K515">
        <v>12</v>
      </c>
      <c r="L515" s="1" t="s">
        <v>468</v>
      </c>
      <c r="M515">
        <v>0</v>
      </c>
      <c r="N515">
        <v>760</v>
      </c>
      <c r="O515">
        <v>140.76449099999999</v>
      </c>
      <c r="P515">
        <v>1</v>
      </c>
      <c r="Q515" s="1" t="s">
        <v>563</v>
      </c>
      <c r="R515" s="93">
        <v>128998.22</v>
      </c>
      <c r="S515">
        <v>255909.48</v>
      </c>
      <c r="T515">
        <v>1</v>
      </c>
      <c r="U515" s="1" t="s">
        <v>766</v>
      </c>
      <c r="V515" s="1"/>
      <c r="W515">
        <v>3066.64</v>
      </c>
      <c r="X515">
        <v>0</v>
      </c>
      <c r="Y515">
        <v>56994</v>
      </c>
    </row>
    <row r="516" spans="1:25" ht="15" hidden="1" customHeight="1" x14ac:dyDescent="0.25">
      <c r="A516" s="1" t="s">
        <v>27</v>
      </c>
      <c r="B516" s="1" t="s">
        <v>61</v>
      </c>
      <c r="C516" s="1" t="s">
        <v>134</v>
      </c>
      <c r="D516">
        <v>5247</v>
      </c>
      <c r="E516" s="1"/>
      <c r="F516" s="1" t="s">
        <v>274</v>
      </c>
      <c r="G516" s="1" t="s">
        <v>274</v>
      </c>
      <c r="H516" s="1" t="s">
        <v>1405</v>
      </c>
      <c r="I516">
        <v>2013</v>
      </c>
      <c r="J516" s="93">
        <v>193.47</v>
      </c>
      <c r="K516">
        <v>12</v>
      </c>
      <c r="L516" s="1" t="s">
        <v>404</v>
      </c>
      <c r="M516">
        <v>0</v>
      </c>
      <c r="N516">
        <v>284</v>
      </c>
      <c r="O516">
        <v>0.68099200000000004</v>
      </c>
      <c r="P516">
        <v>3</v>
      </c>
      <c r="Q516" s="1" t="s">
        <v>560</v>
      </c>
      <c r="R516" s="93">
        <v>193.47</v>
      </c>
      <c r="S516">
        <v>154.77000000000001</v>
      </c>
      <c r="T516">
        <v>0</v>
      </c>
      <c r="U516" s="1" t="s">
        <v>604</v>
      </c>
      <c r="V516" s="1"/>
      <c r="W516">
        <v>193.477</v>
      </c>
      <c r="X516">
        <v>0</v>
      </c>
      <c r="Y516">
        <v>56638</v>
      </c>
    </row>
    <row r="517" spans="1:25" ht="15" hidden="1" customHeight="1" x14ac:dyDescent="0.25">
      <c r="A517" s="1" t="s">
        <v>27</v>
      </c>
      <c r="B517" s="1" t="s">
        <v>61</v>
      </c>
      <c r="C517" s="1" t="s">
        <v>134</v>
      </c>
      <c r="D517">
        <v>5247</v>
      </c>
      <c r="E517" s="1"/>
      <c r="F517" s="1" t="s">
        <v>274</v>
      </c>
      <c r="G517" s="1" t="s">
        <v>274</v>
      </c>
      <c r="H517" s="1" t="s">
        <v>1405</v>
      </c>
      <c r="I517">
        <v>2012</v>
      </c>
      <c r="J517" s="93">
        <v>162.84</v>
      </c>
      <c r="K517">
        <v>12</v>
      </c>
      <c r="L517" s="1" t="s">
        <v>404</v>
      </c>
      <c r="M517">
        <v>0</v>
      </c>
      <c r="N517">
        <v>284</v>
      </c>
      <c r="O517">
        <v>0.57317799999999997</v>
      </c>
      <c r="P517">
        <v>3</v>
      </c>
      <c r="Q517" s="1" t="s">
        <v>560</v>
      </c>
      <c r="R517" s="93">
        <v>162.84</v>
      </c>
      <c r="S517">
        <v>130.28</v>
      </c>
      <c r="T517">
        <v>0</v>
      </c>
      <c r="U517" s="1" t="s">
        <v>604</v>
      </c>
      <c r="V517" s="1"/>
      <c r="W517">
        <v>162.83199999999999</v>
      </c>
      <c r="X517">
        <v>0</v>
      </c>
      <c r="Y517">
        <v>56638</v>
      </c>
    </row>
    <row r="518" spans="1:25" ht="15" hidden="1" customHeight="1" x14ac:dyDescent="0.25">
      <c r="A518" s="1" t="s">
        <v>27</v>
      </c>
      <c r="B518" s="1" t="s">
        <v>61</v>
      </c>
      <c r="C518" s="1" t="s">
        <v>134</v>
      </c>
      <c r="D518">
        <v>5247</v>
      </c>
      <c r="E518" s="1"/>
      <c r="F518" s="1" t="s">
        <v>274</v>
      </c>
      <c r="G518" s="1" t="s">
        <v>274</v>
      </c>
      <c r="H518" s="1" t="s">
        <v>1405</v>
      </c>
      <c r="I518">
        <v>2011</v>
      </c>
      <c r="J518" s="93">
        <v>188.05</v>
      </c>
      <c r="K518">
        <v>12</v>
      </c>
      <c r="L518" s="1" t="s">
        <v>404</v>
      </c>
      <c r="M518">
        <v>0</v>
      </c>
      <c r="N518">
        <v>284</v>
      </c>
      <c r="O518">
        <v>0.661914</v>
      </c>
      <c r="P518">
        <v>3</v>
      </c>
      <c r="Q518" s="1" t="s">
        <v>560</v>
      </c>
      <c r="R518" s="93">
        <v>188.05</v>
      </c>
      <c r="S518">
        <v>150.46</v>
      </c>
      <c r="T518">
        <v>0</v>
      </c>
      <c r="U518" s="1" t="s">
        <v>604</v>
      </c>
      <c r="V518" s="1"/>
      <c r="W518">
        <v>188.06</v>
      </c>
      <c r="X518">
        <v>0</v>
      </c>
      <c r="Y518">
        <v>56638</v>
      </c>
    </row>
    <row r="519" spans="1:25" ht="15" hidden="1" customHeight="1" x14ac:dyDescent="0.25">
      <c r="A519" s="1" t="s">
        <v>27</v>
      </c>
      <c r="B519" s="1" t="s">
        <v>61</v>
      </c>
      <c r="C519" s="1" t="s">
        <v>134</v>
      </c>
      <c r="D519">
        <v>5247</v>
      </c>
      <c r="E519" s="1"/>
      <c r="F519" s="1" t="s">
        <v>274</v>
      </c>
      <c r="G519" s="1" t="s">
        <v>274</v>
      </c>
      <c r="H519" s="1" t="s">
        <v>1405</v>
      </c>
      <c r="I519">
        <v>2010</v>
      </c>
      <c r="J519" s="93">
        <v>187.86</v>
      </c>
      <c r="K519">
        <v>12</v>
      </c>
      <c r="L519" s="1" t="s">
        <v>404</v>
      </c>
      <c r="M519">
        <v>0</v>
      </c>
      <c r="N519">
        <v>284</v>
      </c>
      <c r="O519">
        <v>0.661246</v>
      </c>
      <c r="P519">
        <v>3</v>
      </c>
      <c r="Q519" s="1" t="s">
        <v>560</v>
      </c>
      <c r="R519" s="93">
        <v>187.86</v>
      </c>
      <c r="S519">
        <v>150.27000000000001</v>
      </c>
      <c r="T519">
        <v>0</v>
      </c>
      <c r="U519" s="1" t="s">
        <v>604</v>
      </c>
      <c r="V519" s="1"/>
      <c r="W519">
        <v>187.84759</v>
      </c>
      <c r="X519">
        <v>0</v>
      </c>
      <c r="Y519">
        <v>56638</v>
      </c>
    </row>
    <row r="520" spans="1:25" ht="15" hidden="1" customHeight="1" x14ac:dyDescent="0.25">
      <c r="A520" s="1" t="s">
        <v>27</v>
      </c>
      <c r="B520" s="1" t="s">
        <v>61</v>
      </c>
      <c r="C520" s="1" t="s">
        <v>134</v>
      </c>
      <c r="D520">
        <v>5247</v>
      </c>
      <c r="E520" s="1"/>
      <c r="F520" s="1" t="s">
        <v>274</v>
      </c>
      <c r="G520" s="1" t="s">
        <v>274</v>
      </c>
      <c r="H520" s="1" t="s">
        <v>1405</v>
      </c>
      <c r="I520">
        <v>2009</v>
      </c>
      <c r="J520" s="93">
        <v>226.07</v>
      </c>
      <c r="K520">
        <v>12</v>
      </c>
      <c r="L520" s="1" t="s">
        <v>404</v>
      </c>
      <c r="M520">
        <v>0</v>
      </c>
      <c r="N520">
        <v>284</v>
      </c>
      <c r="O520">
        <v>0.79574</v>
      </c>
      <c r="P520">
        <v>3</v>
      </c>
      <c r="Q520" s="1" t="s">
        <v>560</v>
      </c>
      <c r="R520" s="93">
        <v>226.07</v>
      </c>
      <c r="S520">
        <v>180.85</v>
      </c>
      <c r="T520">
        <v>0</v>
      </c>
      <c r="U520" s="1" t="s">
        <v>604</v>
      </c>
      <c r="V520" s="1"/>
      <c r="W520">
        <v>226.04942</v>
      </c>
      <c r="X520">
        <v>0</v>
      </c>
      <c r="Y520">
        <v>56638</v>
      </c>
    </row>
    <row r="521" spans="1:25" ht="15" hidden="1" customHeight="1" x14ac:dyDescent="0.25">
      <c r="A521" s="1" t="s">
        <v>27</v>
      </c>
      <c r="B521" s="1" t="s">
        <v>61</v>
      </c>
      <c r="C521" s="1" t="s">
        <v>134</v>
      </c>
      <c r="D521">
        <v>5247</v>
      </c>
      <c r="E521" s="1"/>
      <c r="F521" s="1" t="s">
        <v>274</v>
      </c>
      <c r="G521" s="1" t="s">
        <v>274</v>
      </c>
      <c r="H521" s="1" t="s">
        <v>1405</v>
      </c>
      <c r="I521">
        <v>2008</v>
      </c>
      <c r="J521" s="93">
        <v>255.95</v>
      </c>
      <c r="K521">
        <v>12</v>
      </c>
      <c r="L521" s="1" t="s">
        <v>404</v>
      </c>
      <c r="M521">
        <v>0</v>
      </c>
      <c r="N521">
        <v>284</v>
      </c>
      <c r="O521">
        <v>0.90091500000000002</v>
      </c>
      <c r="P521">
        <v>3</v>
      </c>
      <c r="Q521" s="1" t="s">
        <v>560</v>
      </c>
      <c r="R521" s="93">
        <v>255.95</v>
      </c>
      <c r="S521">
        <v>204.75</v>
      </c>
      <c r="T521">
        <v>0</v>
      </c>
      <c r="U521" s="1" t="s">
        <v>604</v>
      </c>
      <c r="V521" s="1"/>
      <c r="W521">
        <v>255.946</v>
      </c>
      <c r="X521">
        <v>0</v>
      </c>
      <c r="Y521">
        <v>56638</v>
      </c>
    </row>
    <row r="522" spans="1:25" ht="15" hidden="1" customHeight="1" x14ac:dyDescent="0.25">
      <c r="A522" s="1" t="s">
        <v>27</v>
      </c>
      <c r="B522" s="1"/>
      <c r="C522" s="1" t="s">
        <v>135</v>
      </c>
      <c r="D522">
        <v>10019</v>
      </c>
      <c r="E522" s="1"/>
      <c r="F522" s="1" t="s">
        <v>275</v>
      </c>
      <c r="G522" s="1" t="s">
        <v>135</v>
      </c>
      <c r="H522" s="1" t="s">
        <v>1405</v>
      </c>
      <c r="I522">
        <v>2015</v>
      </c>
      <c r="J522" s="93">
        <v>586</v>
      </c>
      <c r="K522">
        <v>5</v>
      </c>
      <c r="L522" s="1" t="s">
        <v>405</v>
      </c>
      <c r="M522">
        <v>0</v>
      </c>
      <c r="N522">
        <v>598</v>
      </c>
      <c r="O522">
        <v>0.342584</v>
      </c>
      <c r="P522">
        <v>3</v>
      </c>
      <c r="Q522" s="1" t="s">
        <v>560</v>
      </c>
      <c r="R522" s="93">
        <v>204.9</v>
      </c>
      <c r="S522">
        <v>163.92</v>
      </c>
      <c r="T522">
        <v>0</v>
      </c>
      <c r="U522" s="1" t="s">
        <v>605</v>
      </c>
      <c r="V522" s="1"/>
      <c r="W522">
        <v>204.9</v>
      </c>
      <c r="X522">
        <v>0</v>
      </c>
      <c r="Y522">
        <v>76532</v>
      </c>
    </row>
    <row r="523" spans="1:25" ht="15" hidden="1" customHeight="1" x14ac:dyDescent="0.25">
      <c r="A523" s="1" t="s">
        <v>27</v>
      </c>
      <c r="B523" s="1"/>
      <c r="C523" s="1" t="s">
        <v>135</v>
      </c>
      <c r="D523">
        <v>10019</v>
      </c>
      <c r="E523" s="1"/>
      <c r="F523" s="1" t="s">
        <v>275</v>
      </c>
      <c r="G523" s="1" t="s">
        <v>135</v>
      </c>
      <c r="H523" s="1" t="s">
        <v>1405</v>
      </c>
      <c r="I523">
        <v>2013</v>
      </c>
      <c r="J523" s="93">
        <v>545.70000000000005</v>
      </c>
      <c r="K523">
        <v>12</v>
      </c>
      <c r="L523" s="1" t="s">
        <v>405</v>
      </c>
      <c r="M523">
        <v>0</v>
      </c>
      <c r="N523">
        <v>598</v>
      </c>
      <c r="O523">
        <v>0.91238900000000001</v>
      </c>
      <c r="P523">
        <v>3</v>
      </c>
      <c r="Q523" s="1" t="s">
        <v>560</v>
      </c>
      <c r="R523" s="93">
        <v>545.70000000000005</v>
      </c>
      <c r="S523">
        <v>436.56</v>
      </c>
      <c r="T523">
        <v>0</v>
      </c>
      <c r="U523" s="1" t="s">
        <v>605</v>
      </c>
      <c r="V523" s="1"/>
      <c r="W523">
        <v>545.70000000000005</v>
      </c>
      <c r="X523">
        <v>0</v>
      </c>
      <c r="Y523">
        <v>76532</v>
      </c>
    </row>
    <row r="524" spans="1:25" ht="15" hidden="1" customHeight="1" x14ac:dyDescent="0.25">
      <c r="A524" s="1" t="s">
        <v>27</v>
      </c>
      <c r="B524" s="1"/>
      <c r="C524" s="1" t="s">
        <v>135</v>
      </c>
      <c r="D524">
        <v>10019</v>
      </c>
      <c r="E524" s="1"/>
      <c r="F524" s="1" t="s">
        <v>275</v>
      </c>
      <c r="G524" s="1" t="s">
        <v>135</v>
      </c>
      <c r="H524" s="1" t="s">
        <v>1405</v>
      </c>
      <c r="I524">
        <v>2012</v>
      </c>
      <c r="J524" s="93">
        <v>489.7</v>
      </c>
      <c r="K524">
        <v>12</v>
      </c>
      <c r="L524" s="1" t="s">
        <v>405</v>
      </c>
      <c r="M524">
        <v>0</v>
      </c>
      <c r="N524">
        <v>598</v>
      </c>
      <c r="O524">
        <v>0.81875900000000001</v>
      </c>
      <c r="P524">
        <v>3</v>
      </c>
      <c r="Q524" s="1" t="s">
        <v>560</v>
      </c>
      <c r="R524" s="93">
        <v>489.7</v>
      </c>
      <c r="S524">
        <v>391.76</v>
      </c>
      <c r="T524">
        <v>0</v>
      </c>
      <c r="U524" s="1" t="s">
        <v>605</v>
      </c>
      <c r="V524" s="1"/>
      <c r="W524">
        <v>489.7</v>
      </c>
      <c r="X524">
        <v>0</v>
      </c>
      <c r="Y524">
        <v>76532</v>
      </c>
    </row>
    <row r="525" spans="1:25" ht="15" hidden="1" customHeight="1" x14ac:dyDescent="0.25">
      <c r="A525" s="1" t="s">
        <v>27</v>
      </c>
      <c r="B525" s="1"/>
      <c r="C525" s="1" t="s">
        <v>135</v>
      </c>
      <c r="D525">
        <v>10019</v>
      </c>
      <c r="E525" s="1"/>
      <c r="F525" s="1" t="s">
        <v>275</v>
      </c>
      <c r="G525" s="1" t="s">
        <v>135</v>
      </c>
      <c r="H525" s="1" t="s">
        <v>1405</v>
      </c>
      <c r="I525">
        <v>2011</v>
      </c>
      <c r="J525" s="93">
        <v>527.20000000000005</v>
      </c>
      <c r="K525">
        <v>12</v>
      </c>
      <c r="L525" s="1" t="s">
        <v>405</v>
      </c>
      <c r="M525">
        <v>0</v>
      </c>
      <c r="N525">
        <v>598</v>
      </c>
      <c r="O525">
        <v>0.88145700000000005</v>
      </c>
      <c r="P525">
        <v>3</v>
      </c>
      <c r="Q525" s="1" t="s">
        <v>560</v>
      </c>
      <c r="R525" s="93">
        <v>527.20000000000005</v>
      </c>
      <c r="S525">
        <v>421.76</v>
      </c>
      <c r="T525">
        <v>0</v>
      </c>
      <c r="U525" s="1" t="s">
        <v>605</v>
      </c>
      <c r="V525" s="1"/>
      <c r="W525">
        <v>527.20000000000005</v>
      </c>
      <c r="X525">
        <v>0</v>
      </c>
      <c r="Y525">
        <v>76532</v>
      </c>
    </row>
    <row r="526" spans="1:25" ht="15" hidden="1" customHeight="1" x14ac:dyDescent="0.25">
      <c r="A526" s="1" t="s">
        <v>27</v>
      </c>
      <c r="B526" s="1"/>
      <c r="C526" s="1" t="s">
        <v>135</v>
      </c>
      <c r="D526">
        <v>10019</v>
      </c>
      <c r="E526" s="1"/>
      <c r="F526" s="1" t="s">
        <v>275</v>
      </c>
      <c r="G526" s="1" t="s">
        <v>135</v>
      </c>
      <c r="H526" s="1" t="s">
        <v>1405</v>
      </c>
      <c r="I526">
        <v>2010</v>
      </c>
      <c r="J526" s="93">
        <v>520.30999999999995</v>
      </c>
      <c r="K526">
        <v>5</v>
      </c>
      <c r="L526" s="1" t="s">
        <v>405</v>
      </c>
      <c r="M526">
        <v>0</v>
      </c>
      <c r="N526">
        <v>598</v>
      </c>
      <c r="O526">
        <v>0.86993799999999999</v>
      </c>
      <c r="P526">
        <v>3</v>
      </c>
      <c r="Q526" s="1" t="s">
        <v>560</v>
      </c>
      <c r="R526" s="93">
        <v>520.30999999999995</v>
      </c>
      <c r="S526">
        <v>416.25</v>
      </c>
      <c r="T526">
        <v>0</v>
      </c>
      <c r="U526" s="1" t="s">
        <v>605</v>
      </c>
      <c r="V526" s="1"/>
      <c r="W526">
        <v>520.32155999999998</v>
      </c>
      <c r="X526">
        <v>0</v>
      </c>
      <c r="Y526">
        <v>76532</v>
      </c>
    </row>
    <row r="527" spans="1:25" ht="15" hidden="1" customHeight="1" x14ac:dyDescent="0.25">
      <c r="A527" s="1" t="s">
        <v>27</v>
      </c>
      <c r="B527" s="1"/>
      <c r="C527" s="1" t="s">
        <v>135</v>
      </c>
      <c r="D527">
        <v>10019</v>
      </c>
      <c r="E527" s="1"/>
      <c r="F527" s="1" t="s">
        <v>275</v>
      </c>
      <c r="G527" s="1" t="s">
        <v>135</v>
      </c>
      <c r="H527" s="1" t="s">
        <v>1405</v>
      </c>
      <c r="I527">
        <v>2009</v>
      </c>
      <c r="J527" s="93">
        <v>562.08000000000004</v>
      </c>
      <c r="K527">
        <v>6</v>
      </c>
      <c r="L527" s="1" t="s">
        <v>405</v>
      </c>
      <c r="M527">
        <v>0</v>
      </c>
      <c r="N527">
        <v>598</v>
      </c>
      <c r="O527">
        <v>0.93977500000000003</v>
      </c>
      <c r="P527">
        <v>3</v>
      </c>
      <c r="Q527" s="1" t="s">
        <v>560</v>
      </c>
      <c r="R527" s="93">
        <v>562.08000000000004</v>
      </c>
      <c r="S527">
        <v>449.66</v>
      </c>
      <c r="T527">
        <v>0</v>
      </c>
      <c r="U527" s="1" t="s">
        <v>605</v>
      </c>
      <c r="V527" s="1"/>
      <c r="W527">
        <v>562.07844999999998</v>
      </c>
      <c r="X527">
        <v>0</v>
      </c>
      <c r="Y527">
        <v>76532</v>
      </c>
    </row>
    <row r="528" spans="1:25" ht="15" hidden="1" customHeight="1" x14ac:dyDescent="0.25">
      <c r="A528" s="1" t="s">
        <v>27</v>
      </c>
      <c r="B528" s="1"/>
      <c r="C528" s="1" t="s">
        <v>135</v>
      </c>
      <c r="D528">
        <v>10019</v>
      </c>
      <c r="E528" s="1"/>
      <c r="F528" s="1" t="s">
        <v>275</v>
      </c>
      <c r="G528" s="1" t="s">
        <v>135</v>
      </c>
      <c r="H528" s="1" t="s">
        <v>1405</v>
      </c>
      <c r="I528">
        <v>2008</v>
      </c>
      <c r="J528" s="93">
        <v>732.83</v>
      </c>
      <c r="K528">
        <v>5</v>
      </c>
      <c r="L528" s="1" t="s">
        <v>405</v>
      </c>
      <c r="M528">
        <v>0</v>
      </c>
      <c r="N528">
        <v>598</v>
      </c>
      <c r="O528">
        <v>1.225263</v>
      </c>
      <c r="P528">
        <v>3</v>
      </c>
      <c r="Q528" s="1" t="s">
        <v>560</v>
      </c>
      <c r="R528" s="93">
        <v>732.83</v>
      </c>
      <c r="S528">
        <v>586.27</v>
      </c>
      <c r="T528">
        <v>0</v>
      </c>
      <c r="U528" s="1" t="s">
        <v>605</v>
      </c>
      <c r="V528" s="1"/>
      <c r="W528">
        <v>732.82378000000006</v>
      </c>
      <c r="X528">
        <v>0</v>
      </c>
      <c r="Y528">
        <v>76532</v>
      </c>
    </row>
    <row r="529" spans="1:25" ht="15" hidden="1" customHeight="1" x14ac:dyDescent="0.25">
      <c r="A529" s="1" t="s">
        <v>27</v>
      </c>
      <c r="B529" s="1"/>
      <c r="C529" s="1" t="s">
        <v>136</v>
      </c>
      <c r="D529">
        <v>10056</v>
      </c>
      <c r="E529" s="1"/>
      <c r="F529" s="1" t="s">
        <v>136</v>
      </c>
      <c r="G529" s="1" t="s">
        <v>136</v>
      </c>
      <c r="H529" s="1" t="s">
        <v>1405</v>
      </c>
      <c r="I529">
        <v>2013</v>
      </c>
      <c r="J529" s="93">
        <v>497.15</v>
      </c>
      <c r="K529">
        <v>5</v>
      </c>
      <c r="L529" s="1" t="s">
        <v>414</v>
      </c>
      <c r="M529">
        <v>0</v>
      </c>
      <c r="N529">
        <v>836</v>
      </c>
      <c r="O529">
        <v>0.59460500000000005</v>
      </c>
      <c r="P529">
        <v>3</v>
      </c>
      <c r="Q529" s="1" t="s">
        <v>560</v>
      </c>
      <c r="R529" s="93">
        <v>497.15</v>
      </c>
      <c r="S529">
        <v>397.7</v>
      </c>
      <c r="T529">
        <v>0</v>
      </c>
      <c r="U529" s="1" t="s">
        <v>606</v>
      </c>
      <c r="V529" s="1"/>
      <c r="W529">
        <v>497.13540999999998</v>
      </c>
      <c r="X529">
        <v>0</v>
      </c>
      <c r="Y529">
        <v>83881</v>
      </c>
    </row>
    <row r="530" spans="1:25" ht="15" hidden="1" customHeight="1" x14ac:dyDescent="0.25">
      <c r="A530" s="1" t="s">
        <v>27</v>
      </c>
      <c r="B530" s="1"/>
      <c r="C530" s="1" t="s">
        <v>136</v>
      </c>
      <c r="D530">
        <v>10056</v>
      </c>
      <c r="E530" s="1"/>
      <c r="F530" s="1" t="s">
        <v>136</v>
      </c>
      <c r="G530" s="1" t="s">
        <v>136</v>
      </c>
      <c r="H530" s="1" t="s">
        <v>1405</v>
      </c>
      <c r="I530">
        <v>2012</v>
      </c>
      <c r="J530" s="93">
        <v>553.05999999999995</v>
      </c>
      <c r="K530">
        <v>3</v>
      </c>
      <c r="L530" s="1" t="s">
        <v>414</v>
      </c>
      <c r="M530">
        <v>0</v>
      </c>
      <c r="N530">
        <v>836</v>
      </c>
      <c r="O530">
        <v>0.66147500000000004</v>
      </c>
      <c r="P530">
        <v>3</v>
      </c>
      <c r="Q530" s="1" t="s">
        <v>560</v>
      </c>
      <c r="R530" s="93">
        <v>553.05999999999995</v>
      </c>
      <c r="S530">
        <v>442.47</v>
      </c>
      <c r="T530">
        <v>0</v>
      </c>
      <c r="U530" s="1" t="s">
        <v>606</v>
      </c>
      <c r="V530" s="1"/>
      <c r="W530">
        <v>553.07282999999995</v>
      </c>
      <c r="X530">
        <v>0</v>
      </c>
      <c r="Y530">
        <v>83881</v>
      </c>
    </row>
    <row r="531" spans="1:25" ht="15" hidden="1" customHeight="1" x14ac:dyDescent="0.25">
      <c r="A531" s="1" t="s">
        <v>27</v>
      </c>
      <c r="B531" s="1"/>
      <c r="C531" s="1" t="s">
        <v>136</v>
      </c>
      <c r="D531">
        <v>10056</v>
      </c>
      <c r="E531" s="1"/>
      <c r="F531" s="1" t="s">
        <v>136</v>
      </c>
      <c r="G531" s="1" t="s">
        <v>136</v>
      </c>
      <c r="H531" s="1" t="s">
        <v>1405</v>
      </c>
      <c r="I531">
        <v>2011</v>
      </c>
      <c r="J531" s="93">
        <v>520.21</v>
      </c>
      <c r="K531">
        <v>1</v>
      </c>
      <c r="L531" s="1" t="s">
        <v>414</v>
      </c>
      <c r="M531">
        <v>0</v>
      </c>
      <c r="N531">
        <v>836</v>
      </c>
      <c r="O531">
        <v>0.62218600000000002</v>
      </c>
      <c r="P531">
        <v>3</v>
      </c>
      <c r="Q531" s="1" t="s">
        <v>560</v>
      </c>
      <c r="R531" s="93">
        <v>520.21</v>
      </c>
      <c r="S531">
        <v>416.18</v>
      </c>
      <c r="T531">
        <v>0</v>
      </c>
      <c r="U531" s="1" t="s">
        <v>606</v>
      </c>
      <c r="V531" s="1"/>
      <c r="W531">
        <v>520.19826</v>
      </c>
      <c r="X531">
        <v>0</v>
      </c>
      <c r="Y531">
        <v>83881</v>
      </c>
    </row>
    <row r="532" spans="1:25" ht="15" hidden="1" customHeight="1" x14ac:dyDescent="0.25">
      <c r="A532" s="1" t="s">
        <v>27</v>
      </c>
      <c r="B532" s="1"/>
      <c r="C532" s="1" t="s">
        <v>136</v>
      </c>
      <c r="D532">
        <v>10056</v>
      </c>
      <c r="E532" s="1"/>
      <c r="F532" s="1" t="s">
        <v>136</v>
      </c>
      <c r="G532" s="1" t="s">
        <v>136</v>
      </c>
      <c r="H532" s="1" t="s">
        <v>1405</v>
      </c>
      <c r="I532">
        <v>2010</v>
      </c>
      <c r="J532" s="93">
        <v>541.41999999999996</v>
      </c>
      <c r="K532">
        <v>8</v>
      </c>
      <c r="L532" s="1" t="s">
        <v>414</v>
      </c>
      <c r="M532">
        <v>0</v>
      </c>
      <c r="N532">
        <v>836</v>
      </c>
      <c r="O532">
        <v>0.64755399999999996</v>
      </c>
      <c r="P532">
        <v>3</v>
      </c>
      <c r="Q532" s="1" t="s">
        <v>560</v>
      </c>
      <c r="R532" s="93">
        <v>541.41999999999996</v>
      </c>
      <c r="S532">
        <v>433.14</v>
      </c>
      <c r="T532">
        <v>0</v>
      </c>
      <c r="U532" s="1" t="s">
        <v>606</v>
      </c>
      <c r="V532" s="1"/>
      <c r="W532">
        <v>541.43832999999995</v>
      </c>
      <c r="X532">
        <v>0</v>
      </c>
      <c r="Y532">
        <v>83881</v>
      </c>
    </row>
    <row r="533" spans="1:25" ht="15" hidden="1" customHeight="1" x14ac:dyDescent="0.25">
      <c r="A533" s="1" t="s">
        <v>27</v>
      </c>
      <c r="B533" s="1"/>
      <c r="C533" s="1" t="s">
        <v>136</v>
      </c>
      <c r="D533">
        <v>10056</v>
      </c>
      <c r="E533" s="1"/>
      <c r="F533" s="1" t="s">
        <v>136</v>
      </c>
      <c r="G533" s="1" t="s">
        <v>136</v>
      </c>
      <c r="H533" s="1" t="s">
        <v>1405</v>
      </c>
      <c r="I533">
        <v>2009</v>
      </c>
      <c r="J533" s="93">
        <v>591.52</v>
      </c>
      <c r="K533">
        <v>6</v>
      </c>
      <c r="L533" s="1" t="s">
        <v>415</v>
      </c>
      <c r="M533">
        <v>0</v>
      </c>
      <c r="N533">
        <v>836</v>
      </c>
      <c r="O533">
        <v>0.70747499999999997</v>
      </c>
      <c r="P533">
        <v>3</v>
      </c>
      <c r="Q533" s="1" t="s">
        <v>560</v>
      </c>
      <c r="R533" s="93">
        <v>591.52</v>
      </c>
      <c r="S533">
        <v>473.2</v>
      </c>
      <c r="T533">
        <v>0</v>
      </c>
      <c r="U533" s="1"/>
      <c r="V533" s="1"/>
      <c r="W533">
        <v>591.52630999999997</v>
      </c>
      <c r="X533">
        <v>0</v>
      </c>
      <c r="Y533">
        <v>76677</v>
      </c>
    </row>
    <row r="534" spans="1:25" ht="15" hidden="1" customHeight="1" x14ac:dyDescent="0.25">
      <c r="A534" s="1" t="s">
        <v>27</v>
      </c>
      <c r="B534" s="1"/>
      <c r="C534" s="1" t="s">
        <v>136</v>
      </c>
      <c r="D534">
        <v>10056</v>
      </c>
      <c r="E534" s="1"/>
      <c r="F534" s="1" t="s">
        <v>136</v>
      </c>
      <c r="G534" s="1" t="s">
        <v>136</v>
      </c>
      <c r="H534" s="1" t="s">
        <v>1405</v>
      </c>
      <c r="I534">
        <v>2009</v>
      </c>
      <c r="J534" s="93">
        <v>58.01</v>
      </c>
      <c r="K534">
        <v>2</v>
      </c>
      <c r="L534" s="1" t="s">
        <v>414</v>
      </c>
      <c r="M534">
        <v>0</v>
      </c>
      <c r="N534">
        <v>836</v>
      </c>
      <c r="O534">
        <v>6.9380999999999998E-2</v>
      </c>
      <c r="P534">
        <v>3</v>
      </c>
      <c r="Q534" s="1" t="s">
        <v>560</v>
      </c>
      <c r="R534" s="93">
        <v>58.01</v>
      </c>
      <c r="S534">
        <v>46.42</v>
      </c>
      <c r="T534">
        <v>0</v>
      </c>
      <c r="U534" s="1" t="s">
        <v>606</v>
      </c>
      <c r="V534" s="1"/>
      <c r="W534">
        <v>58.0137</v>
      </c>
      <c r="X534">
        <v>0</v>
      </c>
      <c r="Y534">
        <v>83881</v>
      </c>
    </row>
    <row r="535" spans="1:25" ht="15" hidden="1" customHeight="1" x14ac:dyDescent="0.25">
      <c r="A535" s="1" t="s">
        <v>27</v>
      </c>
      <c r="B535" s="1"/>
      <c r="C535" s="1" t="s">
        <v>136</v>
      </c>
      <c r="D535">
        <v>10056</v>
      </c>
      <c r="E535" s="1"/>
      <c r="F535" s="1" t="s">
        <v>136</v>
      </c>
      <c r="G535" s="1" t="s">
        <v>136</v>
      </c>
      <c r="H535" s="1" t="s">
        <v>1405</v>
      </c>
      <c r="I535">
        <v>2008</v>
      </c>
      <c r="J535" s="93">
        <v>552.99</v>
      </c>
      <c r="K535">
        <v>5</v>
      </c>
      <c r="L535" s="1" t="s">
        <v>415</v>
      </c>
      <c r="M535">
        <v>0</v>
      </c>
      <c r="N535">
        <v>836</v>
      </c>
      <c r="O535">
        <v>0.66139199999999998</v>
      </c>
      <c r="P535">
        <v>3</v>
      </c>
      <c r="Q535" s="1" t="s">
        <v>560</v>
      </c>
      <c r="R535" s="93">
        <v>552.99</v>
      </c>
      <c r="S535">
        <v>442.41</v>
      </c>
      <c r="T535">
        <v>0</v>
      </c>
      <c r="U535" s="1"/>
      <c r="V535" s="1"/>
      <c r="W535">
        <v>553.00702000000001</v>
      </c>
      <c r="X535">
        <v>0</v>
      </c>
      <c r="Y535">
        <v>76677</v>
      </c>
    </row>
    <row r="536" spans="1:25" ht="15" hidden="1" customHeight="1" x14ac:dyDescent="0.25">
      <c r="A536" s="1" t="s">
        <v>27</v>
      </c>
      <c r="B536" s="1"/>
      <c r="C536" s="1" t="s">
        <v>137</v>
      </c>
      <c r="D536">
        <v>5950</v>
      </c>
      <c r="E536" s="1"/>
      <c r="F536" s="1" t="s">
        <v>137</v>
      </c>
      <c r="G536" s="1" t="s">
        <v>137</v>
      </c>
      <c r="H536" s="1" t="s">
        <v>1405</v>
      </c>
      <c r="I536">
        <v>2015</v>
      </c>
      <c r="J536" s="93">
        <v>391</v>
      </c>
      <c r="K536">
        <v>5</v>
      </c>
      <c r="L536" s="1"/>
      <c r="M536">
        <v>0</v>
      </c>
      <c r="N536">
        <v>500</v>
      </c>
      <c r="O536">
        <v>0.325434</v>
      </c>
      <c r="P536">
        <v>3</v>
      </c>
      <c r="Q536" s="1" t="s">
        <v>560</v>
      </c>
      <c r="R536" s="93">
        <v>162.75</v>
      </c>
      <c r="S536">
        <v>130.19999999999999</v>
      </c>
      <c r="T536">
        <v>0</v>
      </c>
      <c r="U536" s="1" t="s">
        <v>607</v>
      </c>
      <c r="V536" s="1"/>
      <c r="W536">
        <v>162.74798999999999</v>
      </c>
      <c r="X536">
        <v>0</v>
      </c>
      <c r="Y536">
        <v>90554</v>
      </c>
    </row>
    <row r="537" spans="1:25" ht="15" hidden="1" customHeight="1" x14ac:dyDescent="0.25">
      <c r="A537" s="1" t="s">
        <v>27</v>
      </c>
      <c r="B537" s="1"/>
      <c r="C537" s="1" t="s">
        <v>137</v>
      </c>
      <c r="D537">
        <v>5950</v>
      </c>
      <c r="E537" s="1"/>
      <c r="F537" s="1" t="s">
        <v>137</v>
      </c>
      <c r="G537" s="1" t="s">
        <v>137</v>
      </c>
      <c r="H537" s="1" t="s">
        <v>1405</v>
      </c>
      <c r="I537">
        <v>2013</v>
      </c>
      <c r="J537" s="93">
        <v>420.04</v>
      </c>
      <c r="K537">
        <v>12</v>
      </c>
      <c r="L537" s="1"/>
      <c r="M537">
        <v>0</v>
      </c>
      <c r="N537">
        <v>500</v>
      </c>
      <c r="O537">
        <v>0.83991199999999999</v>
      </c>
      <c r="P537">
        <v>3</v>
      </c>
      <c r="Q537" s="1" t="s">
        <v>560</v>
      </c>
      <c r="R537" s="93">
        <v>420.04</v>
      </c>
      <c r="S537">
        <v>336.02</v>
      </c>
      <c r="T537">
        <v>0</v>
      </c>
      <c r="U537" s="1" t="s">
        <v>607</v>
      </c>
      <c r="V537" s="1"/>
      <c r="W537">
        <v>420.03399999999999</v>
      </c>
      <c r="X537">
        <v>0</v>
      </c>
      <c r="Y537">
        <v>90554</v>
      </c>
    </row>
    <row r="538" spans="1:25" ht="15" hidden="1" customHeight="1" x14ac:dyDescent="0.25">
      <c r="A538" s="1" t="s">
        <v>27</v>
      </c>
      <c r="B538" s="1"/>
      <c r="C538" s="1" t="s">
        <v>137</v>
      </c>
      <c r="D538">
        <v>5950</v>
      </c>
      <c r="E538" s="1"/>
      <c r="F538" s="1" t="s">
        <v>137</v>
      </c>
      <c r="G538" s="1" t="s">
        <v>137</v>
      </c>
      <c r="H538" s="1" t="s">
        <v>1405</v>
      </c>
      <c r="I538">
        <v>2012</v>
      </c>
      <c r="J538" s="93">
        <v>457.23</v>
      </c>
      <c r="K538">
        <v>12</v>
      </c>
      <c r="L538" s="1"/>
      <c r="M538">
        <v>0</v>
      </c>
      <c r="N538">
        <v>500</v>
      </c>
      <c r="O538">
        <v>0.91427700000000001</v>
      </c>
      <c r="P538">
        <v>3</v>
      </c>
      <c r="Q538" s="1" t="s">
        <v>560</v>
      </c>
      <c r="R538" s="93">
        <v>457.23</v>
      </c>
      <c r="S538">
        <v>365.79</v>
      </c>
      <c r="T538">
        <v>0</v>
      </c>
      <c r="U538" s="1" t="s">
        <v>607</v>
      </c>
      <c r="V538" s="1"/>
      <c r="W538">
        <v>457.23200000000003</v>
      </c>
      <c r="X538">
        <v>0</v>
      </c>
      <c r="Y538">
        <v>90554</v>
      </c>
    </row>
    <row r="539" spans="1:25" ht="15" hidden="1" customHeight="1" x14ac:dyDescent="0.25">
      <c r="A539" s="1" t="s">
        <v>27</v>
      </c>
      <c r="B539" s="1"/>
      <c r="C539" s="1" t="s">
        <v>137</v>
      </c>
      <c r="D539">
        <v>5950</v>
      </c>
      <c r="E539" s="1"/>
      <c r="F539" s="1" t="s">
        <v>137</v>
      </c>
      <c r="G539" s="1" t="s">
        <v>137</v>
      </c>
      <c r="H539" s="1" t="s">
        <v>1405</v>
      </c>
      <c r="I539">
        <v>2011</v>
      </c>
      <c r="J539" s="93">
        <v>17.72</v>
      </c>
      <c r="K539">
        <v>1</v>
      </c>
      <c r="L539" s="1"/>
      <c r="M539">
        <v>0</v>
      </c>
      <c r="N539">
        <v>500</v>
      </c>
      <c r="O539">
        <v>3.5431999999999998E-2</v>
      </c>
      <c r="P539">
        <v>3</v>
      </c>
      <c r="Q539" s="1" t="s">
        <v>560</v>
      </c>
      <c r="R539" s="93">
        <v>17.72</v>
      </c>
      <c r="S539">
        <v>14.17</v>
      </c>
      <c r="T539">
        <v>0</v>
      </c>
      <c r="U539" s="1" t="s">
        <v>607</v>
      </c>
      <c r="V539" s="1"/>
      <c r="W539">
        <v>17.716999999999999</v>
      </c>
      <c r="X539">
        <v>0</v>
      </c>
      <c r="Y539">
        <v>90554</v>
      </c>
    </row>
    <row r="540" spans="1:25" ht="15" hidden="1" customHeight="1" x14ac:dyDescent="0.25">
      <c r="A540" s="1" t="s">
        <v>27</v>
      </c>
      <c r="B540" s="1" t="s">
        <v>51</v>
      </c>
      <c r="C540" s="1" t="s">
        <v>114</v>
      </c>
      <c r="D540">
        <v>5276</v>
      </c>
      <c r="E540" s="1"/>
      <c r="F540" s="1" t="s">
        <v>259</v>
      </c>
      <c r="G540" s="1" t="s">
        <v>114</v>
      </c>
      <c r="H540" s="1" t="s">
        <v>1405</v>
      </c>
      <c r="I540">
        <v>2014</v>
      </c>
      <c r="J540" s="93">
        <v>99.1</v>
      </c>
      <c r="K540">
        <v>12</v>
      </c>
      <c r="L540" s="1" t="s">
        <v>407</v>
      </c>
      <c r="M540">
        <v>0</v>
      </c>
      <c r="N540">
        <v>284</v>
      </c>
      <c r="O540">
        <v>0.34882000000000002</v>
      </c>
      <c r="P540">
        <v>3</v>
      </c>
      <c r="Q540" s="1" t="s">
        <v>560</v>
      </c>
      <c r="R540" s="93">
        <v>99.1</v>
      </c>
      <c r="S540">
        <v>79.27</v>
      </c>
      <c r="T540">
        <v>0</v>
      </c>
      <c r="U540" s="1" t="s">
        <v>590</v>
      </c>
      <c r="V540" s="1"/>
      <c r="W540">
        <v>99.099980000000002</v>
      </c>
      <c r="X540">
        <v>0</v>
      </c>
      <c r="Y540">
        <v>56863</v>
      </c>
    </row>
    <row r="541" spans="1:25" ht="15" hidden="1" customHeight="1" x14ac:dyDescent="0.25">
      <c r="A541" s="1" t="s">
        <v>27</v>
      </c>
      <c r="B541" s="1" t="s">
        <v>63</v>
      </c>
      <c r="C541" s="1" t="s">
        <v>139</v>
      </c>
      <c r="D541">
        <v>5279</v>
      </c>
      <c r="E541" s="1"/>
      <c r="F541" s="1" t="s">
        <v>277</v>
      </c>
      <c r="G541" s="1" t="s">
        <v>139</v>
      </c>
      <c r="H541" s="1" t="s">
        <v>1405</v>
      </c>
      <c r="I541">
        <v>2015</v>
      </c>
      <c r="J541" s="93">
        <v>806</v>
      </c>
      <c r="K541">
        <v>5</v>
      </c>
      <c r="L541" s="1" t="s">
        <v>404</v>
      </c>
      <c r="M541">
        <v>0</v>
      </c>
      <c r="N541">
        <v>1603</v>
      </c>
      <c r="O541">
        <v>0.19413</v>
      </c>
      <c r="P541">
        <v>3</v>
      </c>
      <c r="Q541" s="1" t="s">
        <v>560</v>
      </c>
      <c r="R541" s="93">
        <v>311.20999999999998</v>
      </c>
      <c r="S541">
        <v>248.97</v>
      </c>
      <c r="T541">
        <v>0</v>
      </c>
      <c r="U541" s="1" t="s">
        <v>609</v>
      </c>
      <c r="V541" s="1"/>
      <c r="W541">
        <v>311.21899999999999</v>
      </c>
      <c r="X541">
        <v>0</v>
      </c>
      <c r="Y541">
        <v>56883</v>
      </c>
    </row>
    <row r="542" spans="1:25" ht="15" hidden="1" customHeight="1" x14ac:dyDescent="0.25">
      <c r="A542" s="1" t="s">
        <v>27</v>
      </c>
      <c r="B542" s="1" t="s">
        <v>51</v>
      </c>
      <c r="C542" s="1" t="s">
        <v>114</v>
      </c>
      <c r="D542">
        <v>5276</v>
      </c>
      <c r="E542" s="1"/>
      <c r="F542" s="1" t="s">
        <v>259</v>
      </c>
      <c r="G542" s="1" t="s">
        <v>114</v>
      </c>
      <c r="H542" s="1" t="s">
        <v>1405</v>
      </c>
      <c r="I542">
        <v>2014</v>
      </c>
      <c r="J542" s="93">
        <v>6766.92</v>
      </c>
      <c r="K542">
        <v>12</v>
      </c>
      <c r="L542" s="1" t="s">
        <v>407</v>
      </c>
      <c r="M542">
        <v>0</v>
      </c>
      <c r="N542">
        <v>284</v>
      </c>
      <c r="O542">
        <v>23.818795999999999</v>
      </c>
      <c r="P542">
        <v>2</v>
      </c>
      <c r="Q542" s="1" t="s">
        <v>569</v>
      </c>
      <c r="R542" s="93">
        <v>6766.92</v>
      </c>
      <c r="S542">
        <v>2706.76</v>
      </c>
      <c r="T542">
        <v>0</v>
      </c>
      <c r="U542" s="1" t="s">
        <v>957</v>
      </c>
      <c r="V542" s="1"/>
      <c r="W542">
        <v>6766.92</v>
      </c>
      <c r="X542">
        <v>0</v>
      </c>
      <c r="Y542">
        <v>56861</v>
      </c>
    </row>
    <row r="543" spans="1:25" ht="15" hidden="1" customHeight="1" x14ac:dyDescent="0.25">
      <c r="A543" s="1" t="s">
        <v>27</v>
      </c>
      <c r="B543" s="1" t="s">
        <v>63</v>
      </c>
      <c r="C543" s="1" t="s">
        <v>139</v>
      </c>
      <c r="D543">
        <v>5279</v>
      </c>
      <c r="E543" s="1"/>
      <c r="F543" s="1" t="s">
        <v>277</v>
      </c>
      <c r="G543" s="1" t="s">
        <v>139</v>
      </c>
      <c r="H543" s="1" t="s">
        <v>1405</v>
      </c>
      <c r="I543">
        <v>2013</v>
      </c>
      <c r="J543" s="93">
        <v>880.43</v>
      </c>
      <c r="K543">
        <v>12</v>
      </c>
      <c r="L543" s="1" t="s">
        <v>404</v>
      </c>
      <c r="M543">
        <v>0</v>
      </c>
      <c r="N543">
        <v>1603</v>
      </c>
      <c r="O543">
        <v>0.54920400000000003</v>
      </c>
      <c r="P543">
        <v>3</v>
      </c>
      <c r="Q543" s="1" t="s">
        <v>560</v>
      </c>
      <c r="R543" s="93">
        <v>880.43</v>
      </c>
      <c r="S543">
        <v>704.33</v>
      </c>
      <c r="T543">
        <v>0</v>
      </c>
      <c r="U543" s="1" t="s">
        <v>609</v>
      </c>
      <c r="V543" s="1"/>
      <c r="W543">
        <v>880.41800000000001</v>
      </c>
      <c r="X543">
        <v>0</v>
      </c>
      <c r="Y543">
        <v>56883</v>
      </c>
    </row>
    <row r="544" spans="1:25" ht="15" hidden="1" customHeight="1" x14ac:dyDescent="0.25">
      <c r="A544" s="1" t="s">
        <v>27</v>
      </c>
      <c r="B544" s="1" t="s">
        <v>63</v>
      </c>
      <c r="C544" s="1" t="s">
        <v>139</v>
      </c>
      <c r="D544">
        <v>5279</v>
      </c>
      <c r="E544" s="1"/>
      <c r="F544" s="1" t="s">
        <v>277</v>
      </c>
      <c r="G544" s="1" t="s">
        <v>139</v>
      </c>
      <c r="H544" s="1" t="s">
        <v>1405</v>
      </c>
      <c r="I544">
        <v>2012</v>
      </c>
      <c r="J544" s="93">
        <v>958.24</v>
      </c>
      <c r="K544">
        <v>12</v>
      </c>
      <c r="L544" s="1" t="s">
        <v>404</v>
      </c>
      <c r="M544">
        <v>0</v>
      </c>
      <c r="N544">
        <v>1603</v>
      </c>
      <c r="O544">
        <v>0.59774099999999997</v>
      </c>
      <c r="P544">
        <v>3</v>
      </c>
      <c r="Q544" s="1" t="s">
        <v>560</v>
      </c>
      <c r="R544" s="93">
        <v>958.24</v>
      </c>
      <c r="S544">
        <v>766.58</v>
      </c>
      <c r="T544">
        <v>0</v>
      </c>
      <c r="U544" s="1" t="s">
        <v>609</v>
      </c>
      <c r="V544" s="1"/>
      <c r="W544">
        <v>958.23400000000004</v>
      </c>
      <c r="X544">
        <v>0</v>
      </c>
      <c r="Y544">
        <v>56883</v>
      </c>
    </row>
    <row r="545" spans="1:25" ht="15" hidden="1" customHeight="1" x14ac:dyDescent="0.25">
      <c r="A545" s="1" t="s">
        <v>27</v>
      </c>
      <c r="B545" s="1" t="s">
        <v>63</v>
      </c>
      <c r="C545" s="1" t="s">
        <v>139</v>
      </c>
      <c r="D545">
        <v>5279</v>
      </c>
      <c r="E545" s="1"/>
      <c r="F545" s="1" t="s">
        <v>277</v>
      </c>
      <c r="G545" s="1" t="s">
        <v>139</v>
      </c>
      <c r="H545" s="1" t="s">
        <v>1405</v>
      </c>
      <c r="I545">
        <v>2011</v>
      </c>
      <c r="J545" s="93">
        <v>1049.8</v>
      </c>
      <c r="K545">
        <v>12</v>
      </c>
      <c r="L545" s="1" t="s">
        <v>404</v>
      </c>
      <c r="M545">
        <v>0</v>
      </c>
      <c r="N545">
        <v>1603</v>
      </c>
      <c r="O545">
        <v>0.65485599999999999</v>
      </c>
      <c r="P545">
        <v>3</v>
      </c>
      <c r="Q545" s="1" t="s">
        <v>560</v>
      </c>
      <c r="R545" s="93">
        <v>1049.8</v>
      </c>
      <c r="S545">
        <v>839.85</v>
      </c>
      <c r="T545">
        <v>0</v>
      </c>
      <c r="U545" s="1" t="s">
        <v>609</v>
      </c>
      <c r="V545" s="1"/>
      <c r="W545">
        <v>1049.799</v>
      </c>
      <c r="X545">
        <v>0</v>
      </c>
      <c r="Y545">
        <v>56883</v>
      </c>
    </row>
    <row r="546" spans="1:25" ht="15" hidden="1" customHeight="1" x14ac:dyDescent="0.25">
      <c r="A546" s="1" t="s">
        <v>27</v>
      </c>
      <c r="B546" s="1" t="s">
        <v>63</v>
      </c>
      <c r="C546" s="1" t="s">
        <v>139</v>
      </c>
      <c r="D546">
        <v>5279</v>
      </c>
      <c r="E546" s="1"/>
      <c r="F546" s="1" t="s">
        <v>277</v>
      </c>
      <c r="G546" s="1" t="s">
        <v>139</v>
      </c>
      <c r="H546" s="1" t="s">
        <v>1405</v>
      </c>
      <c r="I546">
        <v>2010</v>
      </c>
      <c r="J546" s="93">
        <v>1111.04</v>
      </c>
      <c r="K546">
        <v>12</v>
      </c>
      <c r="L546" s="1" t="s">
        <v>404</v>
      </c>
      <c r="M546">
        <v>0</v>
      </c>
      <c r="N546">
        <v>1603</v>
      </c>
      <c r="O546">
        <v>0.69305700000000003</v>
      </c>
      <c r="P546">
        <v>3</v>
      </c>
      <c r="Q546" s="1" t="s">
        <v>560</v>
      </c>
      <c r="R546" s="93">
        <v>1111.04</v>
      </c>
      <c r="S546">
        <v>888.83</v>
      </c>
      <c r="T546">
        <v>0</v>
      </c>
      <c r="U546" s="1" t="s">
        <v>609</v>
      </c>
      <c r="V546" s="1"/>
      <c r="W546">
        <v>1111.038</v>
      </c>
      <c r="X546">
        <v>0</v>
      </c>
      <c r="Y546">
        <v>56883</v>
      </c>
    </row>
    <row r="547" spans="1:25" ht="15" hidden="1" customHeight="1" x14ac:dyDescent="0.25">
      <c r="A547" s="1" t="s">
        <v>27</v>
      </c>
      <c r="B547" s="1" t="s">
        <v>63</v>
      </c>
      <c r="C547" s="1" t="s">
        <v>139</v>
      </c>
      <c r="D547">
        <v>5279</v>
      </c>
      <c r="E547" s="1"/>
      <c r="F547" s="1" t="s">
        <v>277</v>
      </c>
      <c r="G547" s="1" t="s">
        <v>139</v>
      </c>
      <c r="H547" s="1" t="s">
        <v>1405</v>
      </c>
      <c r="I547">
        <v>2009</v>
      </c>
      <c r="J547" s="93">
        <v>1185.8399999999999</v>
      </c>
      <c r="K547">
        <v>12</v>
      </c>
      <c r="L547" s="1" t="s">
        <v>404</v>
      </c>
      <c r="M547">
        <v>0</v>
      </c>
      <c r="N547">
        <v>1603</v>
      </c>
      <c r="O547">
        <v>0.73971600000000004</v>
      </c>
      <c r="P547">
        <v>3</v>
      </c>
      <c r="Q547" s="1" t="s">
        <v>560</v>
      </c>
      <c r="R547" s="93">
        <v>1185.8399999999999</v>
      </c>
      <c r="S547">
        <v>948.65</v>
      </c>
      <c r="T547">
        <v>0</v>
      </c>
      <c r="U547" s="1" t="s">
        <v>609</v>
      </c>
      <c r="V547" s="1"/>
      <c r="W547">
        <v>1185.836</v>
      </c>
      <c r="X547">
        <v>0</v>
      </c>
      <c r="Y547">
        <v>56883</v>
      </c>
    </row>
    <row r="548" spans="1:25" ht="15" hidden="1" customHeight="1" x14ac:dyDescent="0.25">
      <c r="A548" s="1" t="s">
        <v>27</v>
      </c>
      <c r="B548" s="1" t="s">
        <v>63</v>
      </c>
      <c r="C548" s="1" t="s">
        <v>139</v>
      </c>
      <c r="D548">
        <v>5279</v>
      </c>
      <c r="E548" s="1"/>
      <c r="F548" s="1" t="s">
        <v>277</v>
      </c>
      <c r="G548" s="1" t="s">
        <v>139</v>
      </c>
      <c r="H548" s="1" t="s">
        <v>1405</v>
      </c>
      <c r="I548">
        <v>2008</v>
      </c>
      <c r="J548" s="93">
        <v>1319.73</v>
      </c>
      <c r="K548">
        <v>12</v>
      </c>
      <c r="L548" s="1" t="s">
        <v>404</v>
      </c>
      <c r="M548">
        <v>0</v>
      </c>
      <c r="N548">
        <v>1603</v>
      </c>
      <c r="O548">
        <v>0.82323599999999997</v>
      </c>
      <c r="P548">
        <v>3</v>
      </c>
      <c r="Q548" s="1" t="s">
        <v>560</v>
      </c>
      <c r="R548" s="93">
        <v>1319.73</v>
      </c>
      <c r="S548">
        <v>1055.79</v>
      </c>
      <c r="T548">
        <v>0</v>
      </c>
      <c r="U548" s="1" t="s">
        <v>609</v>
      </c>
      <c r="V548" s="1"/>
      <c r="W548">
        <v>1319.731</v>
      </c>
      <c r="X548">
        <v>0</v>
      </c>
      <c r="Y548">
        <v>56883</v>
      </c>
    </row>
    <row r="549" spans="1:25" ht="15" hidden="1" customHeight="1" x14ac:dyDescent="0.25">
      <c r="A549" s="1" t="s">
        <v>27</v>
      </c>
      <c r="B549" s="1"/>
      <c r="C549" s="1" t="s">
        <v>140</v>
      </c>
      <c r="D549">
        <v>10209</v>
      </c>
      <c r="E549" s="1"/>
      <c r="F549" s="1" t="s">
        <v>140</v>
      </c>
      <c r="G549" s="1" t="s">
        <v>140</v>
      </c>
      <c r="H549" s="1" t="s">
        <v>1405</v>
      </c>
      <c r="I549">
        <v>2015</v>
      </c>
      <c r="J549" s="93">
        <v>1321</v>
      </c>
      <c r="K549">
        <v>5</v>
      </c>
      <c r="L549" s="1" t="s">
        <v>416</v>
      </c>
      <c r="M549">
        <v>0</v>
      </c>
      <c r="N549">
        <v>1839</v>
      </c>
      <c r="O549">
        <v>0.26616200000000001</v>
      </c>
      <c r="P549">
        <v>3</v>
      </c>
      <c r="Q549" s="1" t="s">
        <v>560</v>
      </c>
      <c r="R549" s="93">
        <v>489.5</v>
      </c>
      <c r="S549">
        <v>391.6</v>
      </c>
      <c r="T549">
        <v>0</v>
      </c>
      <c r="U549" s="1" t="s">
        <v>610</v>
      </c>
      <c r="V549" s="1"/>
      <c r="W549">
        <v>489.5</v>
      </c>
      <c r="X549">
        <v>0</v>
      </c>
      <c r="Y549">
        <v>77417</v>
      </c>
    </row>
    <row r="550" spans="1:25" ht="15" hidden="1" customHeight="1" x14ac:dyDescent="0.25">
      <c r="A550" s="1" t="s">
        <v>38</v>
      </c>
      <c r="B550" s="1"/>
      <c r="C550" s="1" t="s">
        <v>207</v>
      </c>
      <c r="D550">
        <v>10202</v>
      </c>
      <c r="E550" s="1"/>
      <c r="F550" s="1" t="s">
        <v>207</v>
      </c>
      <c r="G550" s="1" t="s">
        <v>207</v>
      </c>
      <c r="H550" s="1" t="s">
        <v>1405</v>
      </c>
      <c r="I550">
        <v>2014</v>
      </c>
      <c r="J550" s="93">
        <v>8995.9699999999993</v>
      </c>
      <c r="K550">
        <v>12</v>
      </c>
      <c r="L550" s="1" t="s">
        <v>410</v>
      </c>
      <c r="M550">
        <v>0</v>
      </c>
      <c r="N550">
        <v>123</v>
      </c>
      <c r="O550">
        <v>73.078553999999997</v>
      </c>
      <c r="P550">
        <v>1</v>
      </c>
      <c r="Q550" s="1" t="s">
        <v>564</v>
      </c>
      <c r="R550" s="93">
        <v>10651.85</v>
      </c>
      <c r="S550">
        <v>2252.66</v>
      </c>
      <c r="T550">
        <v>0</v>
      </c>
      <c r="U550" s="1" t="s">
        <v>873</v>
      </c>
      <c r="V550" s="1" t="s">
        <v>1225</v>
      </c>
      <c r="W550">
        <v>832.96</v>
      </c>
      <c r="X550">
        <v>0</v>
      </c>
      <c r="Y550">
        <v>77352</v>
      </c>
    </row>
    <row r="551" spans="1:25" ht="15" hidden="1" customHeight="1" x14ac:dyDescent="0.25">
      <c r="A551" s="1" t="s">
        <v>27</v>
      </c>
      <c r="B551" s="1"/>
      <c r="C551" s="1" t="s">
        <v>140</v>
      </c>
      <c r="D551">
        <v>10209</v>
      </c>
      <c r="E551" s="1"/>
      <c r="F551" s="1" t="s">
        <v>140</v>
      </c>
      <c r="G551" s="1" t="s">
        <v>140</v>
      </c>
      <c r="H551" s="1" t="s">
        <v>1405</v>
      </c>
      <c r="I551">
        <v>2013</v>
      </c>
      <c r="J551" s="93">
        <v>1336.7</v>
      </c>
      <c r="K551">
        <v>12</v>
      </c>
      <c r="L551" s="1" t="s">
        <v>416</v>
      </c>
      <c r="M551">
        <v>0</v>
      </c>
      <c r="N551">
        <v>1839</v>
      </c>
      <c r="O551">
        <v>0.72682199999999997</v>
      </c>
      <c r="P551">
        <v>3</v>
      </c>
      <c r="Q551" s="1" t="s">
        <v>560</v>
      </c>
      <c r="R551" s="93">
        <v>1336.7</v>
      </c>
      <c r="S551">
        <v>1069.3599999999999</v>
      </c>
      <c r="T551">
        <v>0</v>
      </c>
      <c r="U551" s="1" t="s">
        <v>610</v>
      </c>
      <c r="V551" s="1"/>
      <c r="W551">
        <v>1336.7</v>
      </c>
      <c r="X551">
        <v>0</v>
      </c>
      <c r="Y551">
        <v>77417</v>
      </c>
    </row>
    <row r="552" spans="1:25" ht="15" hidden="1" customHeight="1" x14ac:dyDescent="0.25">
      <c r="A552" s="1" t="s">
        <v>27</v>
      </c>
      <c r="B552" s="1"/>
      <c r="C552" s="1" t="s">
        <v>140</v>
      </c>
      <c r="D552">
        <v>10209</v>
      </c>
      <c r="E552" s="1"/>
      <c r="F552" s="1" t="s">
        <v>140</v>
      </c>
      <c r="G552" s="1" t="s">
        <v>140</v>
      </c>
      <c r="H552" s="1" t="s">
        <v>1405</v>
      </c>
      <c r="I552">
        <v>2012</v>
      </c>
      <c r="J552" s="93">
        <v>1373.9</v>
      </c>
      <c r="K552">
        <v>12</v>
      </c>
      <c r="L552" s="1" t="s">
        <v>416</v>
      </c>
      <c r="M552">
        <v>0</v>
      </c>
      <c r="N552">
        <v>1839</v>
      </c>
      <c r="O552">
        <v>0.74704999999999999</v>
      </c>
      <c r="P552">
        <v>3</v>
      </c>
      <c r="Q552" s="1" t="s">
        <v>560</v>
      </c>
      <c r="R552" s="93">
        <v>1373.9</v>
      </c>
      <c r="S552">
        <v>1099.1199999999999</v>
      </c>
      <c r="T552">
        <v>0</v>
      </c>
      <c r="U552" s="1" t="s">
        <v>610</v>
      </c>
      <c r="V552" s="1"/>
      <c r="W552">
        <v>1373.9</v>
      </c>
      <c r="X552">
        <v>0</v>
      </c>
      <c r="Y552">
        <v>77417</v>
      </c>
    </row>
    <row r="553" spans="1:25" ht="15" hidden="1" customHeight="1" x14ac:dyDescent="0.25">
      <c r="A553" s="1" t="s">
        <v>27</v>
      </c>
      <c r="B553" s="1"/>
      <c r="C553" s="1" t="s">
        <v>140</v>
      </c>
      <c r="D553">
        <v>10209</v>
      </c>
      <c r="E553" s="1"/>
      <c r="F553" s="1" t="s">
        <v>140</v>
      </c>
      <c r="G553" s="1" t="s">
        <v>140</v>
      </c>
      <c r="H553" s="1" t="s">
        <v>1405</v>
      </c>
      <c r="I553">
        <v>2011</v>
      </c>
      <c r="J553" s="93">
        <v>1071.2</v>
      </c>
      <c r="K553">
        <v>12</v>
      </c>
      <c r="L553" s="1" t="s">
        <v>416</v>
      </c>
      <c r="M553">
        <v>0</v>
      </c>
      <c r="N553">
        <v>1839</v>
      </c>
      <c r="O553">
        <v>0.58245800000000003</v>
      </c>
      <c r="P553">
        <v>3</v>
      </c>
      <c r="Q553" s="1" t="s">
        <v>560</v>
      </c>
      <c r="R553" s="93">
        <v>1071.2</v>
      </c>
      <c r="S553">
        <v>856.96</v>
      </c>
      <c r="T553">
        <v>0</v>
      </c>
      <c r="U553" s="1" t="s">
        <v>610</v>
      </c>
      <c r="V553" s="1"/>
      <c r="W553">
        <v>1071.2</v>
      </c>
      <c r="X553">
        <v>0</v>
      </c>
      <c r="Y553">
        <v>77417</v>
      </c>
    </row>
    <row r="554" spans="1:25" ht="15" hidden="1" customHeight="1" x14ac:dyDescent="0.25">
      <c r="A554" s="1" t="s">
        <v>27</v>
      </c>
      <c r="B554" s="1"/>
      <c r="C554" s="1" t="s">
        <v>140</v>
      </c>
      <c r="D554">
        <v>10209</v>
      </c>
      <c r="E554" s="1"/>
      <c r="F554" s="1" t="s">
        <v>140</v>
      </c>
      <c r="G554" s="1" t="s">
        <v>140</v>
      </c>
      <c r="H554" s="1" t="s">
        <v>1405</v>
      </c>
      <c r="I554">
        <v>2010</v>
      </c>
      <c r="J554" s="93">
        <v>1324.05</v>
      </c>
      <c r="K554">
        <v>9</v>
      </c>
      <c r="L554" s="1" t="s">
        <v>416</v>
      </c>
      <c r="M554">
        <v>0</v>
      </c>
      <c r="N554">
        <v>1839</v>
      </c>
      <c r="O554">
        <v>0.71994400000000003</v>
      </c>
      <c r="P554">
        <v>3</v>
      </c>
      <c r="Q554" s="1" t="s">
        <v>560</v>
      </c>
      <c r="R554" s="93">
        <v>1324.05</v>
      </c>
      <c r="S554">
        <v>1059.25</v>
      </c>
      <c r="T554">
        <v>0</v>
      </c>
      <c r="U554" s="1" t="s">
        <v>610</v>
      </c>
      <c r="V554" s="1"/>
      <c r="W554">
        <v>1324.0461499999999</v>
      </c>
      <c r="X554">
        <v>0</v>
      </c>
      <c r="Y554">
        <v>77417</v>
      </c>
    </row>
    <row r="555" spans="1:25" ht="15" hidden="1" customHeight="1" x14ac:dyDescent="0.25">
      <c r="A555" s="1" t="s">
        <v>27</v>
      </c>
      <c r="B555" s="1"/>
      <c r="C555" s="1" t="s">
        <v>140</v>
      </c>
      <c r="D555">
        <v>10209</v>
      </c>
      <c r="E555" s="1"/>
      <c r="F555" s="1" t="s">
        <v>140</v>
      </c>
      <c r="G555" s="1" t="s">
        <v>140</v>
      </c>
      <c r="H555" s="1" t="s">
        <v>1405</v>
      </c>
      <c r="I555">
        <v>2010</v>
      </c>
      <c r="J555" s="93">
        <v>126.53</v>
      </c>
      <c r="K555">
        <v>1</v>
      </c>
      <c r="L555" s="1" t="s">
        <v>417</v>
      </c>
      <c r="M555">
        <v>0</v>
      </c>
      <c r="N555">
        <v>1839</v>
      </c>
      <c r="O555">
        <v>6.8798999999999999E-2</v>
      </c>
      <c r="P555">
        <v>3</v>
      </c>
      <c r="Q555" s="1" t="s">
        <v>560</v>
      </c>
      <c r="R555" s="93">
        <v>126.53</v>
      </c>
      <c r="S555">
        <v>0</v>
      </c>
      <c r="T555">
        <v>1</v>
      </c>
      <c r="U555" s="1" t="s">
        <v>611</v>
      </c>
      <c r="V555" s="1"/>
      <c r="W555">
        <v>126.54546999999999</v>
      </c>
      <c r="X555">
        <v>0</v>
      </c>
      <c r="Y555">
        <v>77423</v>
      </c>
    </row>
    <row r="556" spans="1:25" ht="15" hidden="1" customHeight="1" x14ac:dyDescent="0.25">
      <c r="A556" s="1" t="s">
        <v>27</v>
      </c>
      <c r="B556" s="1"/>
      <c r="C556" s="1" t="s">
        <v>140</v>
      </c>
      <c r="D556">
        <v>10209</v>
      </c>
      <c r="E556" s="1"/>
      <c r="F556" s="1" t="s">
        <v>140</v>
      </c>
      <c r="G556" s="1" t="s">
        <v>140</v>
      </c>
      <c r="H556" s="1" t="s">
        <v>1405</v>
      </c>
      <c r="I556">
        <v>2009</v>
      </c>
      <c r="J556" s="93">
        <v>857.04</v>
      </c>
      <c r="K556">
        <v>3</v>
      </c>
      <c r="L556" s="1" t="s">
        <v>416</v>
      </c>
      <c r="M556">
        <v>0</v>
      </c>
      <c r="N556">
        <v>1839</v>
      </c>
      <c r="O556">
        <v>0.46600999999999998</v>
      </c>
      <c r="P556">
        <v>3</v>
      </c>
      <c r="Q556" s="1" t="s">
        <v>560</v>
      </c>
      <c r="R556" s="93">
        <v>857.04</v>
      </c>
      <c r="S556">
        <v>685.64</v>
      </c>
      <c r="T556">
        <v>0</v>
      </c>
      <c r="U556" s="1" t="s">
        <v>610</v>
      </c>
      <c r="V556" s="1"/>
      <c r="W556">
        <v>857.02049999999997</v>
      </c>
      <c r="X556">
        <v>0</v>
      </c>
      <c r="Y556">
        <v>77417</v>
      </c>
    </row>
    <row r="557" spans="1:25" ht="15" hidden="1" customHeight="1" x14ac:dyDescent="0.25">
      <c r="A557" s="1" t="s">
        <v>27</v>
      </c>
      <c r="B557" s="1"/>
      <c r="C557" s="1" t="s">
        <v>140</v>
      </c>
      <c r="D557">
        <v>10209</v>
      </c>
      <c r="E557" s="1"/>
      <c r="F557" s="1" t="s">
        <v>140</v>
      </c>
      <c r="G557" s="1" t="s">
        <v>140</v>
      </c>
      <c r="H557" s="1" t="s">
        <v>1405</v>
      </c>
      <c r="I557">
        <v>2009</v>
      </c>
      <c r="J557" s="93">
        <v>232.12</v>
      </c>
      <c r="K557">
        <v>3</v>
      </c>
      <c r="L557" s="1" t="s">
        <v>417</v>
      </c>
      <c r="M557">
        <v>0</v>
      </c>
      <c r="N557">
        <v>1839</v>
      </c>
      <c r="O557">
        <v>0.12621299999999999</v>
      </c>
      <c r="P557">
        <v>3</v>
      </c>
      <c r="Q557" s="1" t="s">
        <v>560</v>
      </c>
      <c r="R557" s="93">
        <v>232.12</v>
      </c>
      <c r="S557">
        <v>0</v>
      </c>
      <c r="T557">
        <v>1</v>
      </c>
      <c r="U557" s="1" t="s">
        <v>611</v>
      </c>
      <c r="V557" s="1"/>
      <c r="W557">
        <v>232.14420999999999</v>
      </c>
      <c r="X557">
        <v>0</v>
      </c>
      <c r="Y557">
        <v>77423</v>
      </c>
    </row>
    <row r="558" spans="1:25" ht="15" hidden="1" customHeight="1" x14ac:dyDescent="0.25">
      <c r="A558" s="1" t="s">
        <v>27</v>
      </c>
      <c r="B558" s="1"/>
      <c r="C558" s="1" t="s">
        <v>140</v>
      </c>
      <c r="D558">
        <v>10209</v>
      </c>
      <c r="E558" s="1"/>
      <c r="F558" s="1" t="s">
        <v>140</v>
      </c>
      <c r="G558" s="1" t="s">
        <v>140</v>
      </c>
      <c r="H558" s="1" t="s">
        <v>1405</v>
      </c>
      <c r="I558">
        <v>2008</v>
      </c>
      <c r="J558" s="93">
        <v>682.43</v>
      </c>
      <c r="K558">
        <v>8</v>
      </c>
      <c r="L558" s="1" t="s">
        <v>416</v>
      </c>
      <c r="M558">
        <v>0</v>
      </c>
      <c r="N558">
        <v>1839</v>
      </c>
      <c r="O558">
        <v>0.37106699999999998</v>
      </c>
      <c r="P558">
        <v>3</v>
      </c>
      <c r="Q558" s="1" t="s">
        <v>560</v>
      </c>
      <c r="R558" s="93">
        <v>682.43</v>
      </c>
      <c r="S558">
        <v>545.94000000000005</v>
      </c>
      <c r="T558">
        <v>0</v>
      </c>
      <c r="U558" s="1" t="s">
        <v>610</v>
      </c>
      <c r="V558" s="1"/>
      <c r="W558">
        <v>682.43334000000004</v>
      </c>
      <c r="X558">
        <v>0</v>
      </c>
      <c r="Y558">
        <v>77417</v>
      </c>
    </row>
    <row r="559" spans="1:25" ht="15" hidden="1" customHeight="1" x14ac:dyDescent="0.25">
      <c r="A559" s="1" t="s">
        <v>27</v>
      </c>
      <c r="B559" s="1"/>
      <c r="C559" s="1" t="s">
        <v>140</v>
      </c>
      <c r="D559">
        <v>10209</v>
      </c>
      <c r="E559" s="1"/>
      <c r="F559" s="1" t="s">
        <v>140</v>
      </c>
      <c r="G559" s="1" t="s">
        <v>140</v>
      </c>
      <c r="H559" s="1" t="s">
        <v>1405</v>
      </c>
      <c r="I559">
        <v>2008</v>
      </c>
      <c r="J559" s="93">
        <v>150.4</v>
      </c>
      <c r="K559">
        <v>4</v>
      </c>
      <c r="L559" s="1" t="s">
        <v>417</v>
      </c>
      <c r="M559">
        <v>0</v>
      </c>
      <c r="N559">
        <v>1839</v>
      </c>
      <c r="O559">
        <v>8.1779000000000004E-2</v>
      </c>
      <c r="P559">
        <v>3</v>
      </c>
      <c r="Q559" s="1" t="s">
        <v>560</v>
      </c>
      <c r="R559" s="93">
        <v>150.4</v>
      </c>
      <c r="S559">
        <v>0</v>
      </c>
      <c r="T559">
        <v>1</v>
      </c>
      <c r="U559" s="1" t="s">
        <v>611</v>
      </c>
      <c r="V559" s="1"/>
      <c r="W559">
        <v>150.43535</v>
      </c>
      <c r="X559">
        <v>0</v>
      </c>
      <c r="Y559">
        <v>77423</v>
      </c>
    </row>
    <row r="560" spans="1:25" ht="15" hidden="1" customHeight="1" x14ac:dyDescent="0.25">
      <c r="A560" s="1" t="s">
        <v>27</v>
      </c>
      <c r="B560" s="1"/>
      <c r="C560" s="1" t="s">
        <v>115</v>
      </c>
      <c r="D560">
        <v>9970</v>
      </c>
      <c r="E560" s="1"/>
      <c r="F560" s="1" t="s">
        <v>260</v>
      </c>
      <c r="G560" s="1" t="s">
        <v>115</v>
      </c>
      <c r="H560" s="1" t="s">
        <v>1405</v>
      </c>
      <c r="I560">
        <v>2014</v>
      </c>
      <c r="J560" s="93">
        <v>716.3</v>
      </c>
      <c r="K560">
        <v>12</v>
      </c>
      <c r="L560" s="1" t="s">
        <v>408</v>
      </c>
      <c r="M560">
        <v>0</v>
      </c>
      <c r="N560">
        <v>864</v>
      </c>
      <c r="O560">
        <v>0.82895399999999997</v>
      </c>
      <c r="P560">
        <v>3</v>
      </c>
      <c r="Q560" s="1" t="s">
        <v>560</v>
      </c>
      <c r="R560" s="93">
        <v>716.3</v>
      </c>
      <c r="S560">
        <v>573.04</v>
      </c>
      <c r="T560">
        <v>0</v>
      </c>
      <c r="U560" s="1"/>
      <c r="V560" s="1"/>
      <c r="W560">
        <v>716.3</v>
      </c>
      <c r="X560">
        <v>0</v>
      </c>
      <c r="Y560">
        <v>76388</v>
      </c>
    </row>
    <row r="561" spans="1:25" ht="15" hidden="1" customHeight="1" x14ac:dyDescent="0.25">
      <c r="A561" s="1" t="s">
        <v>27</v>
      </c>
      <c r="B561" s="1"/>
      <c r="C561" s="1" t="s">
        <v>115</v>
      </c>
      <c r="D561">
        <v>9970</v>
      </c>
      <c r="E561" s="1"/>
      <c r="F561" s="1" t="s">
        <v>260</v>
      </c>
      <c r="G561" s="1" t="s">
        <v>115</v>
      </c>
      <c r="H561" s="1" t="s">
        <v>1405</v>
      </c>
      <c r="I561">
        <v>2014</v>
      </c>
      <c r="J561" s="93">
        <v>35686.629999999997</v>
      </c>
      <c r="K561">
        <v>12</v>
      </c>
      <c r="L561" s="1"/>
      <c r="M561">
        <v>0</v>
      </c>
      <c r="N561">
        <v>864</v>
      </c>
      <c r="O561">
        <v>41.299188999999998</v>
      </c>
      <c r="P561">
        <v>2</v>
      </c>
      <c r="Q561" s="1" t="s">
        <v>569</v>
      </c>
      <c r="R561" s="93">
        <v>35686.629999999997</v>
      </c>
      <c r="S561">
        <v>10705.98</v>
      </c>
      <c r="T561">
        <v>0</v>
      </c>
      <c r="U561" s="1" t="s">
        <v>958</v>
      </c>
      <c r="V561" s="1"/>
      <c r="W561">
        <v>35686.629000000001</v>
      </c>
      <c r="X561">
        <v>0</v>
      </c>
      <c r="Y561">
        <v>90986</v>
      </c>
    </row>
    <row r="562" spans="1:25" ht="15" hidden="1" customHeight="1" x14ac:dyDescent="0.25">
      <c r="A562" s="1" t="s">
        <v>30</v>
      </c>
      <c r="B562" s="1"/>
      <c r="C562" s="1" t="s">
        <v>151</v>
      </c>
      <c r="D562">
        <v>10237</v>
      </c>
      <c r="E562" s="1"/>
      <c r="F562" s="1" t="s">
        <v>360</v>
      </c>
      <c r="G562" s="1" t="s">
        <v>151</v>
      </c>
      <c r="H562" s="1" t="s">
        <v>1405</v>
      </c>
      <c r="I562">
        <v>2014</v>
      </c>
      <c r="J562" s="93">
        <v>13907.27</v>
      </c>
      <c r="K562">
        <v>12</v>
      </c>
      <c r="L562" s="1" t="s">
        <v>483</v>
      </c>
      <c r="M562">
        <v>0</v>
      </c>
      <c r="N562">
        <v>0</v>
      </c>
      <c r="O562">
        <v>139072.70000000001</v>
      </c>
      <c r="P562">
        <v>1</v>
      </c>
      <c r="Q562" s="1" t="s">
        <v>564</v>
      </c>
      <c r="R562" s="93">
        <v>16509.560000000001</v>
      </c>
      <c r="S562">
        <v>3491.47</v>
      </c>
      <c r="T562">
        <v>0</v>
      </c>
      <c r="U562" s="1" t="s">
        <v>799</v>
      </c>
      <c r="V562" s="1" t="s">
        <v>1205</v>
      </c>
      <c r="W562">
        <v>1287.71</v>
      </c>
      <c r="X562">
        <v>0</v>
      </c>
      <c r="Y562">
        <v>77527</v>
      </c>
    </row>
    <row r="563" spans="1:25" ht="15" hidden="1" customHeight="1" x14ac:dyDescent="0.25">
      <c r="A563" s="1" t="s">
        <v>27</v>
      </c>
      <c r="B563" s="1" t="s">
        <v>52</v>
      </c>
      <c r="C563" s="1" t="s">
        <v>116</v>
      </c>
      <c r="D563">
        <v>5252</v>
      </c>
      <c r="E563" s="1"/>
      <c r="F563" s="1" t="s">
        <v>116</v>
      </c>
      <c r="G563" s="1" t="s">
        <v>116</v>
      </c>
      <c r="H563" s="1" t="s">
        <v>1405</v>
      </c>
      <c r="I563">
        <v>2014</v>
      </c>
      <c r="J563" s="93">
        <v>480.62</v>
      </c>
      <c r="K563">
        <v>12</v>
      </c>
      <c r="L563" s="1" t="s">
        <v>404</v>
      </c>
      <c r="M563">
        <v>0</v>
      </c>
      <c r="N563">
        <v>752</v>
      </c>
      <c r="O563">
        <v>0.63903699999999997</v>
      </c>
      <c r="P563">
        <v>3</v>
      </c>
      <c r="Q563" s="1" t="s">
        <v>560</v>
      </c>
      <c r="R563" s="93">
        <v>480.62</v>
      </c>
      <c r="S563">
        <v>384.49</v>
      </c>
      <c r="T563">
        <v>0</v>
      </c>
      <c r="U563" s="1" t="s">
        <v>591</v>
      </c>
      <c r="V563" s="1"/>
      <c r="W563">
        <v>480.61700000000002</v>
      </c>
      <c r="X563">
        <v>0</v>
      </c>
      <c r="Y563">
        <v>56689</v>
      </c>
    </row>
    <row r="564" spans="1:25" ht="15" hidden="1" customHeight="1" x14ac:dyDescent="0.25">
      <c r="A564" s="1" t="s">
        <v>27</v>
      </c>
      <c r="B564" s="1" t="s">
        <v>52</v>
      </c>
      <c r="C564" s="1" t="s">
        <v>116</v>
      </c>
      <c r="D564">
        <v>5252</v>
      </c>
      <c r="E564" s="1"/>
      <c r="F564" s="1" t="s">
        <v>116</v>
      </c>
      <c r="G564" s="1" t="s">
        <v>116</v>
      </c>
      <c r="H564" s="1" t="s">
        <v>1405</v>
      </c>
      <c r="I564">
        <v>2014</v>
      </c>
      <c r="J564" s="93">
        <v>78918.67</v>
      </c>
      <c r="K564">
        <v>12</v>
      </c>
      <c r="L564" s="1" t="s">
        <v>469</v>
      </c>
      <c r="M564">
        <v>0</v>
      </c>
      <c r="N564">
        <v>752</v>
      </c>
      <c r="O564">
        <v>104.93108599999999</v>
      </c>
      <c r="P564">
        <v>1</v>
      </c>
      <c r="Q564" s="1" t="s">
        <v>562</v>
      </c>
      <c r="R564" s="93">
        <v>94387.36</v>
      </c>
      <c r="S564">
        <v>6680258.6500000004</v>
      </c>
      <c r="T564">
        <v>0</v>
      </c>
      <c r="U564" s="1" t="s">
        <v>769</v>
      </c>
      <c r="V564" s="1"/>
      <c r="W564">
        <v>78918.667000000001</v>
      </c>
      <c r="X564">
        <v>0</v>
      </c>
      <c r="Y564">
        <v>56688</v>
      </c>
    </row>
    <row r="565" spans="1:25" ht="15" hidden="1" customHeight="1" x14ac:dyDescent="0.25">
      <c r="A565" s="1" t="s">
        <v>27</v>
      </c>
      <c r="B565" s="1" t="s">
        <v>52</v>
      </c>
      <c r="C565" s="1" t="s">
        <v>116</v>
      </c>
      <c r="D565">
        <v>5252</v>
      </c>
      <c r="E565" s="1"/>
      <c r="F565" s="1" t="s">
        <v>116</v>
      </c>
      <c r="G565" s="1" t="s">
        <v>116</v>
      </c>
      <c r="H565" s="1" t="s">
        <v>1405</v>
      </c>
      <c r="I565">
        <v>2014</v>
      </c>
      <c r="J565" s="93">
        <v>16562.599999999999</v>
      </c>
      <c r="K565">
        <v>12</v>
      </c>
      <c r="L565" s="1" t="s">
        <v>404</v>
      </c>
      <c r="M565">
        <v>0</v>
      </c>
      <c r="N565">
        <v>752</v>
      </c>
      <c r="O565">
        <v>22.021805000000001</v>
      </c>
      <c r="P565">
        <v>2</v>
      </c>
      <c r="Q565" s="1" t="s">
        <v>569</v>
      </c>
      <c r="R565" s="93">
        <v>16562.599999999999</v>
      </c>
      <c r="S565">
        <v>6625.03</v>
      </c>
      <c r="T565">
        <v>0</v>
      </c>
      <c r="U565" s="1" t="s">
        <v>960</v>
      </c>
      <c r="V565" s="1" t="s">
        <v>1251</v>
      </c>
      <c r="W565">
        <v>16562.594000000001</v>
      </c>
      <c r="X565">
        <v>0</v>
      </c>
      <c r="Y565">
        <v>56687</v>
      </c>
    </row>
    <row r="566" spans="1:25" ht="15" hidden="1" customHeight="1" x14ac:dyDescent="0.25">
      <c r="A566" s="1" t="s">
        <v>27</v>
      </c>
      <c r="B566" s="1" t="s">
        <v>52</v>
      </c>
      <c r="C566" s="1" t="s">
        <v>116</v>
      </c>
      <c r="D566">
        <v>5252</v>
      </c>
      <c r="E566" s="1"/>
      <c r="F566" s="1" t="s">
        <v>116</v>
      </c>
      <c r="G566" s="1" t="s">
        <v>116</v>
      </c>
      <c r="H566" s="1" t="s">
        <v>1396</v>
      </c>
      <c r="I566">
        <v>2014</v>
      </c>
      <c r="J566" s="93">
        <v>64264.34</v>
      </c>
      <c r="K566">
        <v>12</v>
      </c>
      <c r="L566" s="1" t="s">
        <v>469</v>
      </c>
      <c r="M566">
        <v>0</v>
      </c>
      <c r="N566">
        <v>752</v>
      </c>
      <c r="O566">
        <v>85.446535999999995</v>
      </c>
      <c r="P566">
        <v>1</v>
      </c>
      <c r="Q566" s="1" t="s">
        <v>563</v>
      </c>
      <c r="R566" s="93">
        <v>76417.59</v>
      </c>
      <c r="S566">
        <v>158624.79</v>
      </c>
      <c r="T566">
        <v>1</v>
      </c>
      <c r="U566" s="1" t="s">
        <v>769</v>
      </c>
      <c r="V566" s="1"/>
      <c r="W566">
        <v>1841.9132999999999</v>
      </c>
      <c r="X566">
        <v>0</v>
      </c>
      <c r="Y566">
        <v>56995</v>
      </c>
    </row>
    <row r="567" spans="1:25" ht="15" hidden="1" customHeight="1" x14ac:dyDescent="0.25">
      <c r="A567" s="1" t="s">
        <v>27</v>
      </c>
      <c r="B567" s="1"/>
      <c r="C567" s="1" t="s">
        <v>117</v>
      </c>
      <c r="D567">
        <v>9977</v>
      </c>
      <c r="E567" s="1"/>
      <c r="F567" s="1" t="s">
        <v>261</v>
      </c>
      <c r="G567" s="1" t="s">
        <v>117</v>
      </c>
      <c r="H567" s="1" t="s">
        <v>1405</v>
      </c>
      <c r="I567">
        <v>2014</v>
      </c>
      <c r="J567" s="93">
        <v>418.9</v>
      </c>
      <c r="K567">
        <v>12</v>
      </c>
      <c r="L567" s="1" t="s">
        <v>405</v>
      </c>
      <c r="M567">
        <v>0</v>
      </c>
      <c r="N567">
        <v>487</v>
      </c>
      <c r="O567">
        <v>0.85998699999999995</v>
      </c>
      <c r="P567">
        <v>3</v>
      </c>
      <c r="Q567" s="1" t="s">
        <v>560</v>
      </c>
      <c r="R567" s="93">
        <v>418.9</v>
      </c>
      <c r="S567">
        <v>335.12</v>
      </c>
      <c r="T567">
        <v>0</v>
      </c>
      <c r="U567" s="1"/>
      <c r="V567" s="1"/>
      <c r="W567">
        <v>418.9</v>
      </c>
      <c r="X567">
        <v>0</v>
      </c>
      <c r="Y567">
        <v>76403</v>
      </c>
    </row>
    <row r="568" spans="1:25" ht="15" hidden="1" customHeight="1" x14ac:dyDescent="0.25">
      <c r="A568" s="1" t="s">
        <v>27</v>
      </c>
      <c r="B568" s="1"/>
      <c r="C568" s="1" t="s">
        <v>117</v>
      </c>
      <c r="D568">
        <v>9977</v>
      </c>
      <c r="E568" s="1"/>
      <c r="F568" s="1" t="s">
        <v>261</v>
      </c>
      <c r="G568" s="1" t="s">
        <v>117</v>
      </c>
      <c r="H568" s="1" t="s">
        <v>1405</v>
      </c>
      <c r="I568">
        <v>2014</v>
      </c>
      <c r="J568" s="93">
        <v>17402.560000000001</v>
      </c>
      <c r="K568">
        <v>12</v>
      </c>
      <c r="L568" s="1" t="s">
        <v>514</v>
      </c>
      <c r="M568">
        <v>0</v>
      </c>
      <c r="N568">
        <v>487</v>
      </c>
      <c r="O568">
        <v>35.726872999999998</v>
      </c>
      <c r="P568">
        <v>2</v>
      </c>
      <c r="Q568" s="1" t="s">
        <v>569</v>
      </c>
      <c r="R568" s="93">
        <v>17402.560000000001</v>
      </c>
      <c r="S568">
        <v>5220.7700000000004</v>
      </c>
      <c r="T568">
        <v>0</v>
      </c>
      <c r="U568" s="1"/>
      <c r="V568" s="1" t="s">
        <v>1252</v>
      </c>
      <c r="W568">
        <v>17402.569</v>
      </c>
      <c r="X568">
        <v>0</v>
      </c>
      <c r="Y568">
        <v>76402</v>
      </c>
    </row>
    <row r="569" spans="1:25" ht="15" hidden="1" customHeight="1" x14ac:dyDescent="0.25">
      <c r="A569" s="1" t="s">
        <v>37</v>
      </c>
      <c r="B569" s="1" t="s">
        <v>82</v>
      </c>
      <c r="C569" s="1" t="s">
        <v>198</v>
      </c>
      <c r="D569">
        <v>6369</v>
      </c>
      <c r="E569" s="1"/>
      <c r="F569" s="1" t="s">
        <v>333</v>
      </c>
      <c r="G569" s="1" t="s">
        <v>334</v>
      </c>
      <c r="H569" s="1" t="s">
        <v>1405</v>
      </c>
      <c r="I569">
        <v>2014</v>
      </c>
      <c r="J569" s="93">
        <v>14289.14</v>
      </c>
      <c r="K569">
        <v>12</v>
      </c>
      <c r="L569" s="1" t="s">
        <v>410</v>
      </c>
      <c r="M569">
        <v>0</v>
      </c>
      <c r="N569">
        <v>110</v>
      </c>
      <c r="O569">
        <v>129.783287</v>
      </c>
      <c r="P569">
        <v>1</v>
      </c>
      <c r="Q569" s="1" t="s">
        <v>564</v>
      </c>
      <c r="R569" s="93">
        <v>16994.47</v>
      </c>
      <c r="S569">
        <v>3594</v>
      </c>
      <c r="T569">
        <v>0</v>
      </c>
      <c r="U569" s="1" t="s">
        <v>864</v>
      </c>
      <c r="V569" s="1" t="s">
        <v>1222</v>
      </c>
      <c r="W569">
        <v>1323.07</v>
      </c>
      <c r="X569">
        <v>0</v>
      </c>
      <c r="Y569">
        <v>62719</v>
      </c>
    </row>
    <row r="570" spans="1:25" ht="15" hidden="1" customHeight="1" x14ac:dyDescent="0.25">
      <c r="A570" s="1" t="s">
        <v>27</v>
      </c>
      <c r="B570" s="1"/>
      <c r="C570" s="1" t="s">
        <v>118</v>
      </c>
      <c r="D570">
        <v>10018</v>
      </c>
      <c r="E570" s="1"/>
      <c r="F570" s="1" t="s">
        <v>262</v>
      </c>
      <c r="G570" s="1" t="s">
        <v>118</v>
      </c>
      <c r="H570" s="1" t="s">
        <v>1405</v>
      </c>
      <c r="I570">
        <v>2014</v>
      </c>
      <c r="J570" s="93">
        <v>433</v>
      </c>
      <c r="K570">
        <v>12</v>
      </c>
      <c r="L570" s="1" t="s">
        <v>403</v>
      </c>
      <c r="M570">
        <v>0</v>
      </c>
      <c r="N570">
        <v>838</v>
      </c>
      <c r="O570">
        <v>0.51664399999999999</v>
      </c>
      <c r="P570">
        <v>3</v>
      </c>
      <c r="Q570" s="1" t="s">
        <v>560</v>
      </c>
      <c r="R570" s="93">
        <v>433</v>
      </c>
      <c r="S570">
        <v>346.4</v>
      </c>
      <c r="T570">
        <v>0</v>
      </c>
      <c r="U570" s="1" t="s">
        <v>592</v>
      </c>
      <c r="V570" s="1"/>
      <c r="W570">
        <v>433</v>
      </c>
      <c r="X570">
        <v>0</v>
      </c>
      <c r="Y570">
        <v>76529</v>
      </c>
    </row>
    <row r="571" spans="1:25" ht="15" hidden="1" customHeight="1" x14ac:dyDescent="0.25">
      <c r="A571" s="1" t="s">
        <v>27</v>
      </c>
      <c r="B571" s="1"/>
      <c r="C571" s="1" t="s">
        <v>118</v>
      </c>
      <c r="D571">
        <v>10018</v>
      </c>
      <c r="E571" s="1"/>
      <c r="F571" s="1" t="s">
        <v>262</v>
      </c>
      <c r="G571" s="1" t="s">
        <v>118</v>
      </c>
      <c r="H571" s="1" t="s">
        <v>1405</v>
      </c>
      <c r="I571">
        <v>2014</v>
      </c>
      <c r="J571" s="93">
        <v>21867.759999999998</v>
      </c>
      <c r="K571">
        <v>12</v>
      </c>
      <c r="L571" s="1"/>
      <c r="M571">
        <v>0</v>
      </c>
      <c r="N571">
        <v>838</v>
      </c>
      <c r="O571">
        <v>26.092065000000002</v>
      </c>
      <c r="P571">
        <v>2</v>
      </c>
      <c r="Q571" s="1" t="s">
        <v>569</v>
      </c>
      <c r="R571" s="93">
        <v>21867.759999999998</v>
      </c>
      <c r="S571">
        <v>6560.33</v>
      </c>
      <c r="T571">
        <v>0</v>
      </c>
      <c r="U571" s="1" t="s">
        <v>961</v>
      </c>
      <c r="V571" s="1" t="s">
        <v>1253</v>
      </c>
      <c r="W571">
        <v>21867.766</v>
      </c>
      <c r="X571">
        <v>0</v>
      </c>
      <c r="Y571">
        <v>90991</v>
      </c>
    </row>
    <row r="572" spans="1:25" ht="15" hidden="1" customHeight="1" x14ac:dyDescent="0.25">
      <c r="A572" s="1" t="s">
        <v>32</v>
      </c>
      <c r="B572" s="1" t="s">
        <v>68</v>
      </c>
      <c r="C572" s="1" t="s">
        <v>163</v>
      </c>
      <c r="D572">
        <v>6031</v>
      </c>
      <c r="E572" s="1"/>
      <c r="F572" s="1" t="s">
        <v>295</v>
      </c>
      <c r="G572" s="1" t="s">
        <v>163</v>
      </c>
      <c r="H572" s="1" t="s">
        <v>1405</v>
      </c>
      <c r="I572">
        <v>2014</v>
      </c>
      <c r="J572" s="93">
        <v>14533.84</v>
      </c>
      <c r="K572">
        <v>5</v>
      </c>
      <c r="L572" s="1" t="s">
        <v>433</v>
      </c>
      <c r="M572">
        <v>0</v>
      </c>
      <c r="N572">
        <v>0</v>
      </c>
      <c r="O572">
        <v>145338.4</v>
      </c>
      <c r="P572">
        <v>1</v>
      </c>
      <c r="Q572" s="1" t="s">
        <v>564</v>
      </c>
      <c r="R572" s="93">
        <v>16495.810000000001</v>
      </c>
      <c r="S572">
        <v>3488.55</v>
      </c>
      <c r="T572">
        <v>1</v>
      </c>
      <c r="U572" s="1" t="s">
        <v>817</v>
      </c>
      <c r="V572" s="1"/>
      <c r="W572">
        <v>1345.72666</v>
      </c>
      <c r="X572">
        <v>0</v>
      </c>
      <c r="Y572">
        <v>60685</v>
      </c>
    </row>
    <row r="573" spans="1:25" ht="15" hidden="1" customHeight="1" x14ac:dyDescent="0.25">
      <c r="A573" s="1" t="s">
        <v>27</v>
      </c>
      <c r="B573" s="1" t="s">
        <v>53</v>
      </c>
      <c r="C573" s="1" t="s">
        <v>119</v>
      </c>
      <c r="D573">
        <v>5486</v>
      </c>
      <c r="E573" s="1"/>
      <c r="F573" s="1" t="s">
        <v>263</v>
      </c>
      <c r="G573" s="1" t="s">
        <v>119</v>
      </c>
      <c r="H573" s="1" t="s">
        <v>1405</v>
      </c>
      <c r="I573">
        <v>2014</v>
      </c>
      <c r="J573" s="93">
        <v>-4.8099999999999996</v>
      </c>
      <c r="K573">
        <v>12</v>
      </c>
      <c r="L573" s="1" t="s">
        <v>404</v>
      </c>
      <c r="M573">
        <v>0</v>
      </c>
      <c r="N573">
        <v>417</v>
      </c>
      <c r="O573">
        <v>-1.1532000000000001E-2</v>
      </c>
      <c r="P573">
        <v>3</v>
      </c>
      <c r="Q573" s="1" t="s">
        <v>560</v>
      </c>
      <c r="R573" s="93">
        <v>-4.8099999999999996</v>
      </c>
      <c r="S573">
        <v>-3.89</v>
      </c>
      <c r="T573">
        <v>0</v>
      </c>
      <c r="U573" s="1" t="s">
        <v>593</v>
      </c>
      <c r="V573" s="1"/>
      <c r="W573">
        <v>-4.8490000000000002</v>
      </c>
      <c r="X573">
        <v>0</v>
      </c>
      <c r="Y573">
        <v>57985</v>
      </c>
    </row>
    <row r="574" spans="1:25" ht="15" hidden="1" customHeight="1" x14ac:dyDescent="0.25">
      <c r="A574" s="1" t="s">
        <v>27</v>
      </c>
      <c r="B574" s="1" t="s">
        <v>53</v>
      </c>
      <c r="C574" s="1" t="s">
        <v>119</v>
      </c>
      <c r="D574">
        <v>5486</v>
      </c>
      <c r="E574" s="1"/>
      <c r="F574" s="1" t="s">
        <v>263</v>
      </c>
      <c r="G574" s="1" t="s">
        <v>119</v>
      </c>
      <c r="H574" s="1" t="s">
        <v>1405</v>
      </c>
      <c r="I574">
        <v>2014</v>
      </c>
      <c r="J574" s="93">
        <v>313.75</v>
      </c>
      <c r="K574">
        <v>12</v>
      </c>
      <c r="L574" s="1" t="s">
        <v>404</v>
      </c>
      <c r="M574">
        <v>0</v>
      </c>
      <c r="N574">
        <v>417</v>
      </c>
      <c r="O574">
        <v>0.75221700000000002</v>
      </c>
      <c r="P574">
        <v>3</v>
      </c>
      <c r="Q574" s="1" t="s">
        <v>560</v>
      </c>
      <c r="R574" s="93">
        <v>313.75</v>
      </c>
      <c r="S574">
        <v>250.99</v>
      </c>
      <c r="T574">
        <v>0</v>
      </c>
      <c r="U574" s="1" t="s">
        <v>594</v>
      </c>
      <c r="V574" s="1"/>
      <c r="W574">
        <v>313.74700000000001</v>
      </c>
      <c r="X574">
        <v>0</v>
      </c>
      <c r="Y574">
        <v>60151</v>
      </c>
    </row>
    <row r="575" spans="1:25" ht="15" hidden="1" customHeight="1" x14ac:dyDescent="0.25">
      <c r="A575" s="1" t="s">
        <v>27</v>
      </c>
      <c r="B575" s="1" t="s">
        <v>53</v>
      </c>
      <c r="C575" s="1" t="s">
        <v>119</v>
      </c>
      <c r="D575">
        <v>5486</v>
      </c>
      <c r="E575" s="1"/>
      <c r="F575" s="1" t="s">
        <v>263</v>
      </c>
      <c r="G575" s="1" t="s">
        <v>119</v>
      </c>
      <c r="H575" s="1" t="s">
        <v>1405</v>
      </c>
      <c r="I575">
        <v>2014</v>
      </c>
      <c r="J575" s="93">
        <v>33659</v>
      </c>
      <c r="K575">
        <v>12</v>
      </c>
      <c r="L575" s="1" t="s">
        <v>404</v>
      </c>
      <c r="M575">
        <v>0</v>
      </c>
      <c r="N575">
        <v>417</v>
      </c>
      <c r="O575">
        <v>80.697674000000006</v>
      </c>
      <c r="P575">
        <v>1</v>
      </c>
      <c r="Q575" s="1" t="s">
        <v>562</v>
      </c>
      <c r="R575" s="93">
        <v>39974.5</v>
      </c>
      <c r="S575">
        <v>2824541.41</v>
      </c>
      <c r="T575">
        <v>0</v>
      </c>
      <c r="U575" s="1" t="s">
        <v>771</v>
      </c>
      <c r="V575" s="1"/>
      <c r="W575">
        <v>33659</v>
      </c>
      <c r="X575">
        <v>0</v>
      </c>
      <c r="Y575">
        <v>57986</v>
      </c>
    </row>
    <row r="576" spans="1:25" ht="15" hidden="1" customHeight="1" x14ac:dyDescent="0.25">
      <c r="A576" s="1" t="s">
        <v>27</v>
      </c>
      <c r="B576" s="1" t="s">
        <v>53</v>
      </c>
      <c r="C576" s="1" t="s">
        <v>119</v>
      </c>
      <c r="D576">
        <v>5486</v>
      </c>
      <c r="E576" s="1"/>
      <c r="F576" s="1" t="s">
        <v>263</v>
      </c>
      <c r="G576" s="1" t="s">
        <v>119</v>
      </c>
      <c r="H576" s="1" t="s">
        <v>1405</v>
      </c>
      <c r="I576">
        <v>2014</v>
      </c>
      <c r="J576" s="93">
        <v>11429.03</v>
      </c>
      <c r="K576">
        <v>12</v>
      </c>
      <c r="L576" s="1" t="s">
        <v>404</v>
      </c>
      <c r="M576">
        <v>0</v>
      </c>
      <c r="N576">
        <v>417</v>
      </c>
      <c r="O576">
        <v>27.401174000000001</v>
      </c>
      <c r="P576">
        <v>2</v>
      </c>
      <c r="Q576" s="1" t="s">
        <v>569</v>
      </c>
      <c r="R576" s="93">
        <v>11429.03</v>
      </c>
      <c r="S576">
        <v>4571.62</v>
      </c>
      <c r="T576">
        <v>0</v>
      </c>
      <c r="U576" s="1" t="s">
        <v>963</v>
      </c>
      <c r="V576" s="1" t="s">
        <v>1254</v>
      </c>
      <c r="W576">
        <v>11429.038200000001</v>
      </c>
      <c r="X576">
        <v>0</v>
      </c>
      <c r="Y576">
        <v>57981</v>
      </c>
    </row>
    <row r="577" spans="1:25" ht="15" hidden="1" customHeight="1" x14ac:dyDescent="0.25">
      <c r="A577" s="1" t="s">
        <v>27</v>
      </c>
      <c r="B577" s="1" t="s">
        <v>53</v>
      </c>
      <c r="C577" s="1" t="s">
        <v>119</v>
      </c>
      <c r="D577">
        <v>5486</v>
      </c>
      <c r="E577" s="1"/>
      <c r="F577" s="1" t="s">
        <v>263</v>
      </c>
      <c r="G577" s="1" t="s">
        <v>119</v>
      </c>
      <c r="H577" s="1" t="s">
        <v>1396</v>
      </c>
      <c r="I577">
        <v>2014</v>
      </c>
      <c r="J577" s="93">
        <v>26308.45</v>
      </c>
      <c r="K577">
        <v>12</v>
      </c>
      <c r="L577" s="1"/>
      <c r="M577">
        <v>0</v>
      </c>
      <c r="N577">
        <v>417</v>
      </c>
      <c r="O577">
        <v>63.074682000000003</v>
      </c>
      <c r="P577">
        <v>1</v>
      </c>
      <c r="Q577" s="1" t="s">
        <v>563</v>
      </c>
      <c r="R577" s="93">
        <v>31181.97</v>
      </c>
      <c r="S577">
        <v>63372.480000000003</v>
      </c>
      <c r="T577">
        <v>1</v>
      </c>
      <c r="U577" s="1" t="s">
        <v>771</v>
      </c>
      <c r="V577" s="1"/>
      <c r="W577">
        <v>754.04</v>
      </c>
      <c r="X577">
        <v>0</v>
      </c>
      <c r="Y577">
        <v>57988</v>
      </c>
    </row>
    <row r="578" spans="1:25" ht="15" hidden="1" customHeight="1" x14ac:dyDescent="0.25">
      <c r="A578" s="1" t="s">
        <v>27</v>
      </c>
      <c r="B578" s="1"/>
      <c r="C578" s="1" t="s">
        <v>120</v>
      </c>
      <c r="D578">
        <v>10058</v>
      </c>
      <c r="E578" s="1"/>
      <c r="F578" s="1" t="s">
        <v>120</v>
      </c>
      <c r="G578" s="1" t="s">
        <v>120</v>
      </c>
      <c r="H578" s="1" t="s">
        <v>1405</v>
      </c>
      <c r="I578">
        <v>2014</v>
      </c>
      <c r="J578" s="93">
        <v>911.7</v>
      </c>
      <c r="K578">
        <v>12</v>
      </c>
      <c r="L578" s="1" t="s">
        <v>409</v>
      </c>
      <c r="M578">
        <v>0</v>
      </c>
      <c r="N578">
        <v>692</v>
      </c>
      <c r="O578">
        <v>1.3172950000000001</v>
      </c>
      <c r="P578">
        <v>3</v>
      </c>
      <c r="Q578" s="1" t="s">
        <v>560</v>
      </c>
      <c r="R578" s="93">
        <v>911.7</v>
      </c>
      <c r="S578">
        <v>729.36</v>
      </c>
      <c r="T578">
        <v>0</v>
      </c>
      <c r="U578" s="1"/>
      <c r="V578" s="1"/>
      <c r="W578">
        <v>911.69997999999998</v>
      </c>
      <c r="X578">
        <v>0</v>
      </c>
      <c r="Y578">
        <v>76685</v>
      </c>
    </row>
    <row r="579" spans="1:25" ht="15" hidden="1" customHeight="1" x14ac:dyDescent="0.25">
      <c r="A579" s="1" t="s">
        <v>27</v>
      </c>
      <c r="B579" s="1"/>
      <c r="C579" s="1" t="s">
        <v>120</v>
      </c>
      <c r="D579">
        <v>10058</v>
      </c>
      <c r="E579" s="1"/>
      <c r="F579" s="1" t="s">
        <v>120</v>
      </c>
      <c r="G579" s="1" t="s">
        <v>120</v>
      </c>
      <c r="H579" s="1" t="s">
        <v>1405</v>
      </c>
      <c r="I579">
        <v>2014</v>
      </c>
      <c r="J579" s="93">
        <v>55763</v>
      </c>
      <c r="K579">
        <v>12</v>
      </c>
      <c r="L579" s="1" t="s">
        <v>458</v>
      </c>
      <c r="M579">
        <v>0</v>
      </c>
      <c r="N579">
        <v>692</v>
      </c>
      <c r="O579">
        <v>80.570725999999993</v>
      </c>
      <c r="P579">
        <v>1</v>
      </c>
      <c r="Q579" s="1" t="s">
        <v>562</v>
      </c>
      <c r="R579" s="93">
        <v>65902.320000000007</v>
      </c>
      <c r="S579">
        <v>4217.76</v>
      </c>
      <c r="T579">
        <v>0</v>
      </c>
      <c r="U579" s="1" t="s">
        <v>772</v>
      </c>
      <c r="V579" s="1"/>
      <c r="W579">
        <v>55762.999900000003</v>
      </c>
      <c r="X579">
        <v>0</v>
      </c>
      <c r="Y579">
        <v>76686</v>
      </c>
    </row>
    <row r="580" spans="1:25" ht="15" hidden="1" customHeight="1" x14ac:dyDescent="0.25">
      <c r="A580" s="1" t="s">
        <v>27</v>
      </c>
      <c r="B580" s="1"/>
      <c r="C580" s="1" t="s">
        <v>120</v>
      </c>
      <c r="D580">
        <v>10058</v>
      </c>
      <c r="E580" s="1"/>
      <c r="F580" s="1" t="s">
        <v>120</v>
      </c>
      <c r="G580" s="1" t="s">
        <v>120</v>
      </c>
      <c r="H580" s="1" t="s">
        <v>1405</v>
      </c>
      <c r="I580">
        <v>2014</v>
      </c>
      <c r="J580" s="93">
        <v>17555.98</v>
      </c>
      <c r="K580">
        <v>12</v>
      </c>
      <c r="L580" s="1" t="s">
        <v>405</v>
      </c>
      <c r="M580">
        <v>0</v>
      </c>
      <c r="N580">
        <v>692</v>
      </c>
      <c r="O580">
        <v>25.366247000000001</v>
      </c>
      <c r="P580">
        <v>2</v>
      </c>
      <c r="Q580" s="1" t="s">
        <v>569</v>
      </c>
      <c r="R580" s="93">
        <v>17555.98</v>
      </c>
      <c r="S580">
        <v>5266.79</v>
      </c>
      <c r="T580">
        <v>0</v>
      </c>
      <c r="U580" s="1"/>
      <c r="V580" s="1" t="s">
        <v>1255</v>
      </c>
      <c r="W580">
        <v>17555.982</v>
      </c>
      <c r="X580">
        <v>0</v>
      </c>
      <c r="Y580">
        <v>76684</v>
      </c>
    </row>
    <row r="581" spans="1:25" ht="15" hidden="1" customHeight="1" x14ac:dyDescent="0.25">
      <c r="A581" s="1" t="s">
        <v>27</v>
      </c>
      <c r="B581" s="1" t="s">
        <v>48</v>
      </c>
      <c r="C581" s="1" t="s">
        <v>109</v>
      </c>
      <c r="D581">
        <v>5244</v>
      </c>
      <c r="E581" s="1"/>
      <c r="F581" s="1" t="s">
        <v>256</v>
      </c>
      <c r="G581" s="1" t="s">
        <v>256</v>
      </c>
      <c r="H581" s="1" t="s">
        <v>1405</v>
      </c>
      <c r="I581">
        <v>2015</v>
      </c>
      <c r="J581" s="93">
        <v>30353</v>
      </c>
      <c r="K581">
        <v>5</v>
      </c>
      <c r="L581" s="1" t="s">
        <v>466</v>
      </c>
      <c r="M581">
        <v>0</v>
      </c>
      <c r="N581">
        <v>560</v>
      </c>
      <c r="O581">
        <v>30.976610999999998</v>
      </c>
      <c r="P581">
        <v>1</v>
      </c>
      <c r="Q581" s="1" t="s">
        <v>562</v>
      </c>
      <c r="R581" s="93">
        <v>35282</v>
      </c>
      <c r="S581">
        <v>3637736.4</v>
      </c>
      <c r="T581">
        <v>0</v>
      </c>
      <c r="U581" s="1" t="s">
        <v>762</v>
      </c>
      <c r="V581" s="1"/>
      <c r="W581">
        <v>17350</v>
      </c>
      <c r="X581">
        <v>0</v>
      </c>
      <c r="Y581">
        <v>56614</v>
      </c>
    </row>
    <row r="582" spans="1:25" ht="15" hidden="1" customHeight="1" x14ac:dyDescent="0.25">
      <c r="A582" s="1" t="s">
        <v>27</v>
      </c>
      <c r="B582" s="1" t="s">
        <v>48</v>
      </c>
      <c r="C582" s="1" t="s">
        <v>109</v>
      </c>
      <c r="D582">
        <v>5244</v>
      </c>
      <c r="E582" s="1"/>
      <c r="F582" s="1" t="s">
        <v>256</v>
      </c>
      <c r="G582" s="1" t="s">
        <v>256</v>
      </c>
      <c r="H582" s="1" t="s">
        <v>1396</v>
      </c>
      <c r="I582">
        <v>2015</v>
      </c>
      <c r="J582" s="93">
        <v>14736.84</v>
      </c>
      <c r="K582">
        <v>5</v>
      </c>
      <c r="L582" s="1" t="s">
        <v>466</v>
      </c>
      <c r="M582">
        <v>0</v>
      </c>
      <c r="N582">
        <v>560</v>
      </c>
      <c r="O582">
        <v>26.311087000000001</v>
      </c>
      <c r="P582">
        <v>1</v>
      </c>
      <c r="Q582" s="1" t="s">
        <v>563</v>
      </c>
      <c r="R582" s="93">
        <v>16579.490000000002</v>
      </c>
      <c r="S582">
        <v>87910.74</v>
      </c>
      <c r="T582">
        <v>1</v>
      </c>
      <c r="U582" s="1" t="s">
        <v>762</v>
      </c>
      <c r="V582" s="1"/>
      <c r="W582">
        <v>422.38</v>
      </c>
      <c r="X582">
        <v>0</v>
      </c>
      <c r="Y582">
        <v>56993</v>
      </c>
    </row>
    <row r="583" spans="1:25" ht="15" hidden="1" customHeight="1" x14ac:dyDescent="0.25">
      <c r="A583" s="1" t="s">
        <v>27</v>
      </c>
      <c r="B583" s="1" t="s">
        <v>48</v>
      </c>
      <c r="C583" s="1" t="s">
        <v>109</v>
      </c>
      <c r="D583">
        <v>5244</v>
      </c>
      <c r="E583" s="1"/>
      <c r="F583" s="1" t="s">
        <v>256</v>
      </c>
      <c r="G583" s="1" t="s">
        <v>256</v>
      </c>
      <c r="H583" s="1" t="s">
        <v>1405</v>
      </c>
      <c r="I583">
        <v>2013</v>
      </c>
      <c r="J583" s="93">
        <v>41148</v>
      </c>
      <c r="K583">
        <v>12</v>
      </c>
      <c r="L583" s="1" t="s">
        <v>466</v>
      </c>
      <c r="M583">
        <v>0</v>
      </c>
      <c r="N583">
        <v>560</v>
      </c>
      <c r="O583">
        <v>73.465451999999999</v>
      </c>
      <c r="P583">
        <v>1</v>
      </c>
      <c r="Q583" s="1" t="s">
        <v>562</v>
      </c>
      <c r="R583" s="93">
        <v>42755.66</v>
      </c>
      <c r="S583">
        <v>7909.79</v>
      </c>
      <c r="T583">
        <v>0</v>
      </c>
      <c r="U583" s="1" t="s">
        <v>762</v>
      </c>
      <c r="V583" s="1"/>
      <c r="W583">
        <v>41148</v>
      </c>
      <c r="X583">
        <v>0</v>
      </c>
      <c r="Y583">
        <v>56614</v>
      </c>
    </row>
    <row r="584" spans="1:25" ht="15" hidden="1" customHeight="1" x14ac:dyDescent="0.25">
      <c r="A584" s="1" t="s">
        <v>27</v>
      </c>
      <c r="B584" s="1" t="s">
        <v>48</v>
      </c>
      <c r="C584" s="1" t="s">
        <v>109</v>
      </c>
      <c r="D584">
        <v>5244</v>
      </c>
      <c r="E584" s="1"/>
      <c r="F584" s="1" t="s">
        <v>256</v>
      </c>
      <c r="G584" s="1" t="s">
        <v>256</v>
      </c>
      <c r="H584" s="1" t="s">
        <v>1396</v>
      </c>
      <c r="I584">
        <v>2013</v>
      </c>
      <c r="J584" s="93">
        <v>38466.04</v>
      </c>
      <c r="K584">
        <v>12</v>
      </c>
      <c r="L584" s="1" t="s">
        <v>466</v>
      </c>
      <c r="M584">
        <v>0</v>
      </c>
      <c r="N584">
        <v>560</v>
      </c>
      <c r="O584">
        <v>68.677092999999999</v>
      </c>
      <c r="P584">
        <v>1</v>
      </c>
      <c r="Q584" s="1" t="s">
        <v>563</v>
      </c>
      <c r="R584" s="93">
        <v>40112.53</v>
      </c>
      <c r="S584">
        <v>212.69</v>
      </c>
      <c r="T584">
        <v>1</v>
      </c>
      <c r="U584" s="1" t="s">
        <v>762</v>
      </c>
      <c r="V584" s="1"/>
      <c r="W584">
        <v>1102.4949999999999</v>
      </c>
      <c r="X584">
        <v>0</v>
      </c>
      <c r="Y584">
        <v>56993</v>
      </c>
    </row>
    <row r="585" spans="1:25" ht="15" hidden="1" customHeight="1" x14ac:dyDescent="0.25">
      <c r="A585" s="1" t="s">
        <v>27</v>
      </c>
      <c r="B585" s="1" t="s">
        <v>48</v>
      </c>
      <c r="C585" s="1" t="s">
        <v>109</v>
      </c>
      <c r="D585">
        <v>5244</v>
      </c>
      <c r="E585" s="1"/>
      <c r="F585" s="1" t="s">
        <v>256</v>
      </c>
      <c r="G585" s="1" t="s">
        <v>256</v>
      </c>
      <c r="H585" s="1" t="s">
        <v>1405</v>
      </c>
      <c r="I585">
        <v>2012</v>
      </c>
      <c r="J585" s="93">
        <v>41133</v>
      </c>
      <c r="K585">
        <v>12</v>
      </c>
      <c r="L585" s="1" t="s">
        <v>466</v>
      </c>
      <c r="M585">
        <v>0</v>
      </c>
      <c r="N585">
        <v>560</v>
      </c>
      <c r="O585">
        <v>73.438670999999999</v>
      </c>
      <c r="P585">
        <v>1</v>
      </c>
      <c r="Q585" s="1" t="s">
        <v>562</v>
      </c>
      <c r="R585" s="93">
        <v>43088.33</v>
      </c>
      <c r="S585">
        <v>7971.36</v>
      </c>
      <c r="T585">
        <v>0</v>
      </c>
      <c r="U585" s="1" t="s">
        <v>762</v>
      </c>
      <c r="V585" s="1"/>
      <c r="W585">
        <v>41133</v>
      </c>
      <c r="X585">
        <v>0</v>
      </c>
      <c r="Y585">
        <v>56614</v>
      </c>
    </row>
    <row r="586" spans="1:25" ht="15" hidden="1" customHeight="1" x14ac:dyDescent="0.25">
      <c r="A586" s="1" t="s">
        <v>27</v>
      </c>
      <c r="B586" s="1" t="s">
        <v>48</v>
      </c>
      <c r="C586" s="1" t="s">
        <v>109</v>
      </c>
      <c r="D586">
        <v>5244</v>
      </c>
      <c r="E586" s="1"/>
      <c r="F586" s="1" t="s">
        <v>256</v>
      </c>
      <c r="G586" s="1" t="s">
        <v>256</v>
      </c>
      <c r="H586" s="1" t="s">
        <v>1396</v>
      </c>
      <c r="I586">
        <v>2012</v>
      </c>
      <c r="J586" s="93">
        <v>40856.71</v>
      </c>
      <c r="K586">
        <v>12</v>
      </c>
      <c r="L586" s="1" t="s">
        <v>466</v>
      </c>
      <c r="M586">
        <v>0</v>
      </c>
      <c r="N586">
        <v>560</v>
      </c>
      <c r="O586">
        <v>72.945384000000004</v>
      </c>
      <c r="P586">
        <v>1</v>
      </c>
      <c r="Q586" s="1" t="s">
        <v>563</v>
      </c>
      <c r="R586" s="93">
        <v>42838.54</v>
      </c>
      <c r="S586">
        <v>227.17</v>
      </c>
      <c r="T586">
        <v>1</v>
      </c>
      <c r="U586" s="1" t="s">
        <v>762</v>
      </c>
      <c r="V586" s="1"/>
      <c r="W586">
        <v>1171.0150000000001</v>
      </c>
      <c r="X586">
        <v>0</v>
      </c>
      <c r="Y586">
        <v>56993</v>
      </c>
    </row>
    <row r="587" spans="1:25" ht="15" hidden="1" customHeight="1" x14ac:dyDescent="0.25">
      <c r="A587" s="1" t="s">
        <v>27</v>
      </c>
      <c r="B587" s="1" t="s">
        <v>48</v>
      </c>
      <c r="C587" s="1" t="s">
        <v>109</v>
      </c>
      <c r="D587">
        <v>5244</v>
      </c>
      <c r="E587" s="1"/>
      <c r="F587" s="1" t="s">
        <v>256</v>
      </c>
      <c r="G587" s="1" t="s">
        <v>256</v>
      </c>
      <c r="H587" s="1" t="s">
        <v>1405</v>
      </c>
      <c r="I587">
        <v>2011</v>
      </c>
      <c r="J587" s="93">
        <v>37893</v>
      </c>
      <c r="K587">
        <v>12</v>
      </c>
      <c r="L587" s="1" t="s">
        <v>466</v>
      </c>
      <c r="M587">
        <v>0</v>
      </c>
      <c r="N587">
        <v>560</v>
      </c>
      <c r="O587">
        <v>67.653989999999993</v>
      </c>
      <c r="P587">
        <v>1</v>
      </c>
      <c r="Q587" s="1" t="s">
        <v>562</v>
      </c>
      <c r="R587" s="93">
        <v>41110.04</v>
      </c>
      <c r="S587">
        <v>7605.35</v>
      </c>
      <c r="T587">
        <v>0</v>
      </c>
      <c r="U587" s="1" t="s">
        <v>762</v>
      </c>
      <c r="V587" s="1"/>
      <c r="W587">
        <v>37893</v>
      </c>
      <c r="X587">
        <v>0</v>
      </c>
      <c r="Y587">
        <v>56614</v>
      </c>
    </row>
    <row r="588" spans="1:25" ht="15" hidden="1" customHeight="1" x14ac:dyDescent="0.25">
      <c r="A588" s="1" t="s">
        <v>27</v>
      </c>
      <c r="B588" s="1" t="s">
        <v>48</v>
      </c>
      <c r="C588" s="1" t="s">
        <v>109</v>
      </c>
      <c r="D588">
        <v>5244</v>
      </c>
      <c r="E588" s="1"/>
      <c r="F588" s="1" t="s">
        <v>256</v>
      </c>
      <c r="G588" s="1" t="s">
        <v>256</v>
      </c>
      <c r="H588" s="1" t="s">
        <v>1396</v>
      </c>
      <c r="I588">
        <v>2011</v>
      </c>
      <c r="J588" s="93">
        <v>38109.99</v>
      </c>
      <c r="K588">
        <v>12</v>
      </c>
      <c r="L588" s="1" t="s">
        <v>466</v>
      </c>
      <c r="M588">
        <v>0</v>
      </c>
      <c r="N588">
        <v>560</v>
      </c>
      <c r="O588">
        <v>68.041403000000003</v>
      </c>
      <c r="P588">
        <v>1</v>
      </c>
      <c r="Q588" s="1" t="s">
        <v>563</v>
      </c>
      <c r="R588" s="93">
        <v>41629.67</v>
      </c>
      <c r="S588">
        <v>220.74</v>
      </c>
      <c r="T588">
        <v>1</v>
      </c>
      <c r="U588" s="1" t="s">
        <v>762</v>
      </c>
      <c r="V588" s="1"/>
      <c r="W588">
        <v>1092.29</v>
      </c>
      <c r="X588">
        <v>0</v>
      </c>
      <c r="Y588">
        <v>56993</v>
      </c>
    </row>
    <row r="589" spans="1:25" ht="15" hidden="1" customHeight="1" x14ac:dyDescent="0.25">
      <c r="A589" s="1" t="s">
        <v>27</v>
      </c>
      <c r="B589" s="1" t="s">
        <v>48</v>
      </c>
      <c r="C589" s="1" t="s">
        <v>109</v>
      </c>
      <c r="D589">
        <v>5244</v>
      </c>
      <c r="E589" s="1"/>
      <c r="F589" s="1" t="s">
        <v>256</v>
      </c>
      <c r="G589" s="1" t="s">
        <v>256</v>
      </c>
      <c r="H589" s="1" t="s">
        <v>1405</v>
      </c>
      <c r="I589">
        <v>2010</v>
      </c>
      <c r="J589" s="93">
        <v>50296</v>
      </c>
      <c r="K589">
        <v>12</v>
      </c>
      <c r="L589" s="1" t="s">
        <v>466</v>
      </c>
      <c r="M589">
        <v>0</v>
      </c>
      <c r="N589">
        <v>560</v>
      </c>
      <c r="O589">
        <v>89.798249999999996</v>
      </c>
      <c r="P589">
        <v>1</v>
      </c>
      <c r="Q589" s="1" t="s">
        <v>562</v>
      </c>
      <c r="R589" s="93">
        <v>45916.34</v>
      </c>
      <c r="S589">
        <v>8494.52</v>
      </c>
      <c r="T589">
        <v>0</v>
      </c>
      <c r="U589" s="1" t="s">
        <v>762</v>
      </c>
      <c r="V589" s="1"/>
      <c r="W589">
        <v>50296</v>
      </c>
      <c r="X589">
        <v>0</v>
      </c>
      <c r="Y589">
        <v>56614</v>
      </c>
    </row>
    <row r="590" spans="1:25" ht="15" hidden="1" customHeight="1" x14ac:dyDescent="0.25">
      <c r="A590" s="1" t="s">
        <v>27</v>
      </c>
      <c r="B590" s="1" t="s">
        <v>48</v>
      </c>
      <c r="C590" s="1" t="s">
        <v>109</v>
      </c>
      <c r="D590">
        <v>5244</v>
      </c>
      <c r="E590" s="1"/>
      <c r="F590" s="1" t="s">
        <v>256</v>
      </c>
      <c r="G590" s="1" t="s">
        <v>256</v>
      </c>
      <c r="H590" s="1" t="s">
        <v>1396</v>
      </c>
      <c r="I590">
        <v>2010</v>
      </c>
      <c r="J590" s="93">
        <v>51497.29</v>
      </c>
      <c r="K590">
        <v>12</v>
      </c>
      <c r="L590" s="1" t="s">
        <v>466</v>
      </c>
      <c r="M590">
        <v>0</v>
      </c>
      <c r="N590">
        <v>560</v>
      </c>
      <c r="O590">
        <v>91.943027999999998</v>
      </c>
      <c r="P590">
        <v>1</v>
      </c>
      <c r="Q590" s="1" t="s">
        <v>563</v>
      </c>
      <c r="R590" s="93">
        <v>47250.37</v>
      </c>
      <c r="S590">
        <v>250.55</v>
      </c>
      <c r="T590">
        <v>1</v>
      </c>
      <c r="U590" s="1" t="s">
        <v>762</v>
      </c>
      <c r="V590" s="1"/>
      <c r="W590">
        <v>1475.99</v>
      </c>
      <c r="X590">
        <v>0</v>
      </c>
      <c r="Y590">
        <v>56993</v>
      </c>
    </row>
    <row r="591" spans="1:25" ht="15" hidden="1" customHeight="1" x14ac:dyDescent="0.25">
      <c r="A591" s="1" t="s">
        <v>27</v>
      </c>
      <c r="B591" s="1" t="s">
        <v>48</v>
      </c>
      <c r="C591" s="1" t="s">
        <v>109</v>
      </c>
      <c r="D591">
        <v>5244</v>
      </c>
      <c r="E591" s="1"/>
      <c r="F591" s="1" t="s">
        <v>256</v>
      </c>
      <c r="G591" s="1" t="s">
        <v>256</v>
      </c>
      <c r="H591" s="1" t="s">
        <v>1405</v>
      </c>
      <c r="I591">
        <v>2009</v>
      </c>
      <c r="J591" s="93">
        <v>42437</v>
      </c>
      <c r="K591">
        <v>12</v>
      </c>
      <c r="L591" s="1" t="s">
        <v>466</v>
      </c>
      <c r="M591">
        <v>0</v>
      </c>
      <c r="N591">
        <v>560</v>
      </c>
      <c r="O591">
        <v>75.766827000000006</v>
      </c>
      <c r="P591">
        <v>1</v>
      </c>
      <c r="Q591" s="1" t="s">
        <v>562</v>
      </c>
      <c r="R591" s="93">
        <v>44465.760000000002</v>
      </c>
      <c r="S591">
        <v>8226.18</v>
      </c>
      <c r="T591">
        <v>0</v>
      </c>
      <c r="U591" s="1" t="s">
        <v>762</v>
      </c>
      <c r="V591" s="1"/>
      <c r="W591">
        <v>42437</v>
      </c>
      <c r="X591">
        <v>0</v>
      </c>
      <c r="Y591">
        <v>56614</v>
      </c>
    </row>
    <row r="592" spans="1:25" ht="15" hidden="1" customHeight="1" x14ac:dyDescent="0.25">
      <c r="A592" s="1" t="s">
        <v>27</v>
      </c>
      <c r="B592" s="1" t="s">
        <v>48</v>
      </c>
      <c r="C592" s="1" t="s">
        <v>109</v>
      </c>
      <c r="D592">
        <v>5244</v>
      </c>
      <c r="E592" s="1"/>
      <c r="F592" s="1" t="s">
        <v>256</v>
      </c>
      <c r="G592" s="1" t="s">
        <v>256</v>
      </c>
      <c r="H592" s="1" t="s">
        <v>1396</v>
      </c>
      <c r="I592">
        <v>2009</v>
      </c>
      <c r="J592" s="93">
        <v>44488.59</v>
      </c>
      <c r="K592">
        <v>12</v>
      </c>
      <c r="L592" s="1" t="s">
        <v>466</v>
      </c>
      <c r="M592">
        <v>0</v>
      </c>
      <c r="N592">
        <v>560</v>
      </c>
      <c r="O592">
        <v>79.429726000000002</v>
      </c>
      <c r="P592">
        <v>1</v>
      </c>
      <c r="Q592" s="1" t="s">
        <v>563</v>
      </c>
      <c r="R592" s="93">
        <v>48056.92</v>
      </c>
      <c r="S592">
        <v>254.82</v>
      </c>
      <c r="T592">
        <v>1</v>
      </c>
      <c r="U592" s="1" t="s">
        <v>762</v>
      </c>
      <c r="V592" s="1"/>
      <c r="W592">
        <v>1275.1099999999999</v>
      </c>
      <c r="X592">
        <v>0</v>
      </c>
      <c r="Y592">
        <v>56993</v>
      </c>
    </row>
    <row r="593" spans="1:25" ht="15" hidden="1" customHeight="1" x14ac:dyDescent="0.25">
      <c r="A593" s="1" t="s">
        <v>27</v>
      </c>
      <c r="B593" s="1" t="s">
        <v>48</v>
      </c>
      <c r="C593" s="1" t="s">
        <v>109</v>
      </c>
      <c r="D593">
        <v>5244</v>
      </c>
      <c r="E593" s="1"/>
      <c r="F593" s="1" t="s">
        <v>256</v>
      </c>
      <c r="G593" s="1" t="s">
        <v>256</v>
      </c>
      <c r="H593" s="1" t="s">
        <v>1405</v>
      </c>
      <c r="I593">
        <v>2008</v>
      </c>
      <c r="J593" s="93">
        <v>39623</v>
      </c>
      <c r="K593">
        <v>12</v>
      </c>
      <c r="L593" s="1" t="s">
        <v>466</v>
      </c>
      <c r="M593">
        <v>0</v>
      </c>
      <c r="N593">
        <v>560</v>
      </c>
      <c r="O593">
        <v>70.742723999999995</v>
      </c>
      <c r="P593">
        <v>1</v>
      </c>
      <c r="Q593" s="1" t="s">
        <v>562</v>
      </c>
      <c r="R593" s="93">
        <v>45206.34</v>
      </c>
      <c r="S593">
        <v>8363.17</v>
      </c>
      <c r="T593">
        <v>0</v>
      </c>
      <c r="U593" s="1" t="s">
        <v>762</v>
      </c>
      <c r="V593" s="1"/>
      <c r="W593">
        <v>39623</v>
      </c>
      <c r="X593">
        <v>0</v>
      </c>
      <c r="Y593">
        <v>56614</v>
      </c>
    </row>
    <row r="594" spans="1:25" ht="15" hidden="1" customHeight="1" x14ac:dyDescent="0.25">
      <c r="A594" s="1" t="s">
        <v>27</v>
      </c>
      <c r="B594" s="1" t="s">
        <v>48</v>
      </c>
      <c r="C594" s="1" t="s">
        <v>109</v>
      </c>
      <c r="D594">
        <v>5244</v>
      </c>
      <c r="E594" s="1"/>
      <c r="F594" s="1" t="s">
        <v>256</v>
      </c>
      <c r="G594" s="1" t="s">
        <v>256</v>
      </c>
      <c r="H594" s="1" t="s">
        <v>1396</v>
      </c>
      <c r="I594">
        <v>2008</v>
      </c>
      <c r="J594" s="93">
        <v>39489.919999999998</v>
      </c>
      <c r="K594">
        <v>12</v>
      </c>
      <c r="L594" s="1" t="s">
        <v>466</v>
      </c>
      <c r="M594">
        <v>0</v>
      </c>
      <c r="N594">
        <v>560</v>
      </c>
      <c r="O594">
        <v>70.505123999999995</v>
      </c>
      <c r="P594">
        <v>1</v>
      </c>
      <c r="Q594" s="1" t="s">
        <v>563</v>
      </c>
      <c r="R594" s="93">
        <v>44827.18</v>
      </c>
      <c r="S594">
        <v>237.68</v>
      </c>
      <c r="T594">
        <v>1</v>
      </c>
      <c r="U594" s="1" t="s">
        <v>762</v>
      </c>
      <c r="V594" s="1"/>
      <c r="W594">
        <v>1131.8399999999999</v>
      </c>
      <c r="X594">
        <v>0</v>
      </c>
      <c r="Y594">
        <v>56993</v>
      </c>
    </row>
    <row r="595" spans="1:25" ht="15" hidden="1" customHeight="1" x14ac:dyDescent="0.25">
      <c r="A595" s="1" t="s">
        <v>27</v>
      </c>
      <c r="B595" s="1"/>
      <c r="C595" s="1" t="s">
        <v>110</v>
      </c>
      <c r="D595">
        <v>9965</v>
      </c>
      <c r="E595" s="1"/>
      <c r="F595" s="1" t="s">
        <v>110</v>
      </c>
      <c r="G595" s="1" t="s">
        <v>110</v>
      </c>
      <c r="H595" s="1" t="s">
        <v>1405</v>
      </c>
      <c r="I595">
        <v>2015</v>
      </c>
      <c r="J595" s="93">
        <v>55520</v>
      </c>
      <c r="K595">
        <v>5</v>
      </c>
      <c r="L595" s="1" t="s">
        <v>405</v>
      </c>
      <c r="M595">
        <v>0</v>
      </c>
      <c r="N595">
        <v>715</v>
      </c>
      <c r="O595">
        <v>44.091735</v>
      </c>
      <c r="P595">
        <v>1</v>
      </c>
      <c r="Q595" s="1" t="s">
        <v>565</v>
      </c>
      <c r="R595" s="93">
        <v>62951</v>
      </c>
      <c r="S595">
        <v>2277.6999999999998</v>
      </c>
      <c r="T595">
        <v>0</v>
      </c>
      <c r="U595" s="1"/>
      <c r="V595" s="1"/>
      <c r="W595">
        <v>31.53</v>
      </c>
      <c r="X595">
        <v>0</v>
      </c>
      <c r="Y595">
        <v>76374</v>
      </c>
    </row>
    <row r="596" spans="1:25" ht="15" hidden="1" customHeight="1" x14ac:dyDescent="0.25">
      <c r="A596" s="1" t="s">
        <v>27</v>
      </c>
      <c r="B596" s="1"/>
      <c r="C596" s="1" t="s">
        <v>110</v>
      </c>
      <c r="D596">
        <v>9965</v>
      </c>
      <c r="E596" s="1"/>
      <c r="F596" s="1" t="s">
        <v>110</v>
      </c>
      <c r="G596" s="1" t="s">
        <v>110</v>
      </c>
      <c r="H596" s="1" t="s">
        <v>1405</v>
      </c>
      <c r="I596">
        <v>2013</v>
      </c>
      <c r="J596" s="93">
        <v>63760</v>
      </c>
      <c r="K596">
        <v>12</v>
      </c>
      <c r="L596" s="1" t="s">
        <v>405</v>
      </c>
      <c r="M596">
        <v>0</v>
      </c>
      <c r="N596">
        <v>715</v>
      </c>
      <c r="O596">
        <v>89.162353999999993</v>
      </c>
      <c r="P596">
        <v>1</v>
      </c>
      <c r="Q596" s="1" t="s">
        <v>565</v>
      </c>
      <c r="R596" s="93">
        <v>66574.94</v>
      </c>
      <c r="S596">
        <v>4260.79</v>
      </c>
      <c r="T596">
        <v>0</v>
      </c>
      <c r="U596" s="1"/>
      <c r="V596" s="1"/>
      <c r="W596">
        <v>63.76</v>
      </c>
      <c r="X596">
        <v>0</v>
      </c>
      <c r="Y596">
        <v>76374</v>
      </c>
    </row>
    <row r="597" spans="1:25" ht="15" hidden="1" customHeight="1" x14ac:dyDescent="0.25">
      <c r="A597" s="1" t="s">
        <v>27</v>
      </c>
      <c r="B597" s="1"/>
      <c r="C597" s="1" t="s">
        <v>110</v>
      </c>
      <c r="D597">
        <v>9965</v>
      </c>
      <c r="E597" s="1"/>
      <c r="F597" s="1" t="s">
        <v>110</v>
      </c>
      <c r="G597" s="1" t="s">
        <v>110</v>
      </c>
      <c r="H597" s="1" t="s">
        <v>1405</v>
      </c>
      <c r="I597">
        <v>2012</v>
      </c>
      <c r="J597" s="93">
        <v>61850</v>
      </c>
      <c r="K597">
        <v>12</v>
      </c>
      <c r="L597" s="1" t="s">
        <v>405</v>
      </c>
      <c r="M597">
        <v>0</v>
      </c>
      <c r="N597">
        <v>715</v>
      </c>
      <c r="O597">
        <v>86.491399000000001</v>
      </c>
      <c r="P597">
        <v>1</v>
      </c>
      <c r="Q597" s="1" t="s">
        <v>565</v>
      </c>
      <c r="R597" s="93">
        <v>64952.71</v>
      </c>
      <c r="S597">
        <v>12016.26</v>
      </c>
      <c r="T597">
        <v>0</v>
      </c>
      <c r="U597" s="1"/>
      <c r="V597" s="1"/>
      <c r="W597">
        <v>61.85</v>
      </c>
      <c r="X597">
        <v>0</v>
      </c>
      <c r="Y597">
        <v>76374</v>
      </c>
    </row>
    <row r="598" spans="1:25" ht="15" hidden="1" customHeight="1" x14ac:dyDescent="0.25">
      <c r="A598" s="1" t="s">
        <v>27</v>
      </c>
      <c r="B598" s="1"/>
      <c r="C598" s="1" t="s">
        <v>110</v>
      </c>
      <c r="D598">
        <v>9965</v>
      </c>
      <c r="E598" s="1"/>
      <c r="F598" s="1" t="s">
        <v>110</v>
      </c>
      <c r="G598" s="1" t="s">
        <v>110</v>
      </c>
      <c r="H598" s="1" t="s">
        <v>1405</v>
      </c>
      <c r="I598">
        <v>2011</v>
      </c>
      <c r="J598" s="93">
        <v>75940</v>
      </c>
      <c r="K598">
        <v>12</v>
      </c>
      <c r="L598" s="1" t="s">
        <v>405</v>
      </c>
      <c r="M598">
        <v>0</v>
      </c>
      <c r="N598">
        <v>715</v>
      </c>
      <c r="O598">
        <v>106.194937</v>
      </c>
      <c r="P598">
        <v>1</v>
      </c>
      <c r="Q598" s="1" t="s">
        <v>565</v>
      </c>
      <c r="R598" s="93">
        <v>83300.929999999993</v>
      </c>
      <c r="S598">
        <v>15410.68</v>
      </c>
      <c r="T598">
        <v>0</v>
      </c>
      <c r="U598" s="1"/>
      <c r="V598" s="1"/>
      <c r="W598">
        <v>75.94</v>
      </c>
      <c r="X598">
        <v>0</v>
      </c>
      <c r="Y598">
        <v>76374</v>
      </c>
    </row>
    <row r="599" spans="1:25" ht="15" hidden="1" customHeight="1" x14ac:dyDescent="0.25">
      <c r="A599" s="1" t="s">
        <v>27</v>
      </c>
      <c r="B599" s="1"/>
      <c r="C599" s="1" t="s">
        <v>110</v>
      </c>
      <c r="D599">
        <v>9965</v>
      </c>
      <c r="E599" s="1"/>
      <c r="F599" s="1" t="s">
        <v>110</v>
      </c>
      <c r="G599" s="1" t="s">
        <v>110</v>
      </c>
      <c r="H599" s="1" t="s">
        <v>1405</v>
      </c>
      <c r="I599">
        <v>2010</v>
      </c>
      <c r="J599" s="93">
        <v>94808.36</v>
      </c>
      <c r="K599">
        <v>5</v>
      </c>
      <c r="L599" s="1" t="s">
        <v>405</v>
      </c>
      <c r="M599">
        <v>0</v>
      </c>
      <c r="N599">
        <v>715</v>
      </c>
      <c r="O599">
        <v>132.58056199999999</v>
      </c>
      <c r="P599">
        <v>1</v>
      </c>
      <c r="Q599" s="1" t="s">
        <v>565</v>
      </c>
      <c r="R599" s="93">
        <v>120166.53</v>
      </c>
      <c r="S599">
        <v>22230.81</v>
      </c>
      <c r="T599">
        <v>0</v>
      </c>
      <c r="U599" s="1"/>
      <c r="V599" s="1"/>
      <c r="W599">
        <v>94.808359999999993</v>
      </c>
      <c r="X599">
        <v>0</v>
      </c>
      <c r="Y599">
        <v>76374</v>
      </c>
    </row>
    <row r="600" spans="1:25" ht="15" hidden="1" customHeight="1" x14ac:dyDescent="0.25">
      <c r="A600" s="1" t="s">
        <v>27</v>
      </c>
      <c r="B600" s="1"/>
      <c r="C600" s="1" t="s">
        <v>110</v>
      </c>
      <c r="D600">
        <v>9965</v>
      </c>
      <c r="E600" s="1"/>
      <c r="F600" s="1" t="s">
        <v>110</v>
      </c>
      <c r="G600" s="1" t="s">
        <v>110</v>
      </c>
      <c r="H600" s="1" t="s">
        <v>1405</v>
      </c>
      <c r="I600">
        <v>2009</v>
      </c>
      <c r="J600" s="93">
        <v>91735.94</v>
      </c>
      <c r="K600">
        <v>5</v>
      </c>
      <c r="L600" s="1" t="s">
        <v>405</v>
      </c>
      <c r="M600">
        <v>0</v>
      </c>
      <c r="N600">
        <v>715</v>
      </c>
      <c r="O600">
        <v>128.28407200000001</v>
      </c>
      <c r="P600">
        <v>1</v>
      </c>
      <c r="Q600" s="1" t="s">
        <v>565</v>
      </c>
      <c r="R600" s="93">
        <v>123942.38</v>
      </c>
      <c r="S600">
        <v>22929.34</v>
      </c>
      <c r="T600">
        <v>0</v>
      </c>
      <c r="U600" s="1"/>
      <c r="V600" s="1"/>
      <c r="W600">
        <v>91.735939999999999</v>
      </c>
      <c r="X600">
        <v>0</v>
      </c>
      <c r="Y600">
        <v>76374</v>
      </c>
    </row>
    <row r="601" spans="1:25" ht="15" hidden="1" customHeight="1" x14ac:dyDescent="0.25">
      <c r="A601" s="1" t="s">
        <v>27</v>
      </c>
      <c r="B601" s="1"/>
      <c r="C601" s="1" t="s">
        <v>110</v>
      </c>
      <c r="D601">
        <v>9965</v>
      </c>
      <c r="E601" s="1"/>
      <c r="F601" s="1" t="s">
        <v>110</v>
      </c>
      <c r="G601" s="1" t="s">
        <v>110</v>
      </c>
      <c r="H601" s="1" t="s">
        <v>1405</v>
      </c>
      <c r="I601">
        <v>2008</v>
      </c>
      <c r="J601" s="93">
        <v>70326.37</v>
      </c>
      <c r="K601">
        <v>5</v>
      </c>
      <c r="L601" s="1" t="s">
        <v>405</v>
      </c>
      <c r="M601">
        <v>0</v>
      </c>
      <c r="N601">
        <v>715</v>
      </c>
      <c r="O601">
        <v>98.344803999999996</v>
      </c>
      <c r="P601">
        <v>1</v>
      </c>
      <c r="Q601" s="1" t="s">
        <v>565</v>
      </c>
      <c r="R601" s="93">
        <v>83087.899999999994</v>
      </c>
      <c r="S601">
        <v>15371.26</v>
      </c>
      <c r="T601">
        <v>0</v>
      </c>
      <c r="U601" s="1"/>
      <c r="V601" s="1"/>
      <c r="W601">
        <v>70.326369999999997</v>
      </c>
      <c r="X601">
        <v>0</v>
      </c>
      <c r="Y601">
        <v>76374</v>
      </c>
    </row>
    <row r="602" spans="1:25" ht="15" hidden="1" customHeight="1" x14ac:dyDescent="0.25">
      <c r="A602" s="1" t="s">
        <v>27</v>
      </c>
      <c r="B602" s="1" t="s">
        <v>49</v>
      </c>
      <c r="C602" s="1" t="s">
        <v>111</v>
      </c>
      <c r="D602">
        <v>5251</v>
      </c>
      <c r="E602" s="1"/>
      <c r="F602" s="1" t="s">
        <v>257</v>
      </c>
      <c r="G602" s="1" t="s">
        <v>257</v>
      </c>
      <c r="H602" s="1" t="s">
        <v>1405</v>
      </c>
      <c r="I602">
        <v>2015</v>
      </c>
      <c r="J602" s="93">
        <v>48962</v>
      </c>
      <c r="K602">
        <v>5</v>
      </c>
      <c r="L602" s="1" t="s">
        <v>442</v>
      </c>
      <c r="M602">
        <v>0</v>
      </c>
      <c r="N602">
        <v>375</v>
      </c>
      <c r="O602">
        <v>64.633857000000006</v>
      </c>
      <c r="P602">
        <v>1</v>
      </c>
      <c r="Q602" s="1" t="s">
        <v>564</v>
      </c>
      <c r="R602" s="93">
        <v>57450</v>
      </c>
      <c r="S602">
        <v>5674.72</v>
      </c>
      <c r="T602">
        <v>0</v>
      </c>
      <c r="U602" s="1" t="s">
        <v>763</v>
      </c>
      <c r="V602" s="1" t="s">
        <v>1186</v>
      </c>
      <c r="W602">
        <v>2244.83</v>
      </c>
      <c r="X602">
        <v>0</v>
      </c>
      <c r="Y602">
        <v>56681</v>
      </c>
    </row>
    <row r="603" spans="1:25" ht="15" hidden="1" customHeight="1" x14ac:dyDescent="0.25">
      <c r="A603" s="1" t="s">
        <v>27</v>
      </c>
      <c r="B603" s="1" t="s">
        <v>54</v>
      </c>
      <c r="C603" s="1" t="s">
        <v>121</v>
      </c>
      <c r="D603">
        <v>5428</v>
      </c>
      <c r="E603" s="1"/>
      <c r="F603" s="1" t="s">
        <v>264</v>
      </c>
      <c r="G603" s="1" t="s">
        <v>264</v>
      </c>
      <c r="H603" s="1" t="s">
        <v>1405</v>
      </c>
      <c r="I603">
        <v>2014</v>
      </c>
      <c r="J603" s="93">
        <v>438.16</v>
      </c>
      <c r="K603">
        <v>12</v>
      </c>
      <c r="L603" s="1" t="s">
        <v>410</v>
      </c>
      <c r="M603">
        <v>0</v>
      </c>
      <c r="N603">
        <v>679</v>
      </c>
      <c r="O603">
        <v>0.64520599999999995</v>
      </c>
      <c r="P603">
        <v>3</v>
      </c>
      <c r="Q603" s="1" t="s">
        <v>560</v>
      </c>
      <c r="R603" s="93">
        <v>438.16</v>
      </c>
      <c r="S603">
        <v>350.55</v>
      </c>
      <c r="T603">
        <v>0</v>
      </c>
      <c r="U603" s="1" t="s">
        <v>595</v>
      </c>
      <c r="V603" s="1"/>
      <c r="W603">
        <v>438.18</v>
      </c>
      <c r="X603">
        <v>0</v>
      </c>
      <c r="Y603">
        <v>57404</v>
      </c>
    </row>
    <row r="604" spans="1:25" ht="15" hidden="1" customHeight="1" x14ac:dyDescent="0.25">
      <c r="A604" s="1" t="s">
        <v>27</v>
      </c>
      <c r="B604" s="1" t="s">
        <v>54</v>
      </c>
      <c r="C604" s="1" t="s">
        <v>121</v>
      </c>
      <c r="D604">
        <v>5428</v>
      </c>
      <c r="E604" s="1"/>
      <c r="F604" s="1" t="s">
        <v>264</v>
      </c>
      <c r="G604" s="1" t="s">
        <v>121</v>
      </c>
      <c r="H604" s="1" t="s">
        <v>1405</v>
      </c>
      <c r="I604">
        <v>2014</v>
      </c>
      <c r="J604" s="93">
        <v>2014.13</v>
      </c>
      <c r="K604">
        <v>12</v>
      </c>
      <c r="L604" s="1" t="s">
        <v>404</v>
      </c>
      <c r="M604">
        <v>0</v>
      </c>
      <c r="N604">
        <v>679</v>
      </c>
      <c r="O604">
        <v>2.965881</v>
      </c>
      <c r="P604">
        <v>2</v>
      </c>
      <c r="Q604" s="1" t="s">
        <v>569</v>
      </c>
      <c r="R604" s="93">
        <v>2014.13</v>
      </c>
      <c r="S604">
        <v>805.67</v>
      </c>
      <c r="T604">
        <v>0</v>
      </c>
      <c r="U604" s="1" t="s">
        <v>966</v>
      </c>
      <c r="V604" s="1"/>
      <c r="W604">
        <v>2014.13</v>
      </c>
      <c r="X604">
        <v>0</v>
      </c>
      <c r="Y604">
        <v>57564</v>
      </c>
    </row>
    <row r="605" spans="1:25" ht="15" hidden="1" customHeight="1" x14ac:dyDescent="0.25">
      <c r="A605" s="1" t="s">
        <v>27</v>
      </c>
      <c r="B605" s="1" t="s">
        <v>49</v>
      </c>
      <c r="C605" s="1" t="s">
        <v>111</v>
      </c>
      <c r="D605">
        <v>5251</v>
      </c>
      <c r="E605" s="1"/>
      <c r="F605" s="1" t="s">
        <v>257</v>
      </c>
      <c r="G605" s="1" t="s">
        <v>257</v>
      </c>
      <c r="H605" s="1" t="s">
        <v>1405</v>
      </c>
      <c r="I605">
        <v>2013</v>
      </c>
      <c r="J605" s="93">
        <v>111889.04</v>
      </c>
      <c r="K605">
        <v>3</v>
      </c>
      <c r="L605" s="1" t="s">
        <v>442</v>
      </c>
      <c r="M605">
        <v>0</v>
      </c>
      <c r="N605">
        <v>375</v>
      </c>
      <c r="O605">
        <v>298.29122899999999</v>
      </c>
      <c r="P605">
        <v>1</v>
      </c>
      <c r="Q605" s="1" t="s">
        <v>564</v>
      </c>
      <c r="R605" s="93">
        <v>142602.53</v>
      </c>
      <c r="S605">
        <v>30157.79</v>
      </c>
      <c r="T605">
        <v>0</v>
      </c>
      <c r="U605" s="1" t="s">
        <v>763</v>
      </c>
      <c r="V605" s="1" t="s">
        <v>1186</v>
      </c>
      <c r="W605">
        <v>10360.09504</v>
      </c>
      <c r="X605">
        <v>0</v>
      </c>
      <c r="Y605">
        <v>56681</v>
      </c>
    </row>
    <row r="606" spans="1:25" ht="15" hidden="1" customHeight="1" x14ac:dyDescent="0.25">
      <c r="A606" s="1" t="s">
        <v>27</v>
      </c>
      <c r="B606" s="1" t="s">
        <v>49</v>
      </c>
      <c r="C606" s="1" t="s">
        <v>111</v>
      </c>
      <c r="D606">
        <v>5251</v>
      </c>
      <c r="E606" s="1"/>
      <c r="F606" s="1" t="s">
        <v>257</v>
      </c>
      <c r="G606" s="1" t="s">
        <v>257</v>
      </c>
      <c r="H606" s="1" t="s">
        <v>1405</v>
      </c>
      <c r="I606">
        <v>2013</v>
      </c>
      <c r="J606" s="93">
        <v>85364.91</v>
      </c>
      <c r="K606">
        <v>5</v>
      </c>
      <c r="L606" s="1" t="s">
        <v>467</v>
      </c>
      <c r="M606">
        <v>0</v>
      </c>
      <c r="N606">
        <v>375</v>
      </c>
      <c r="O606">
        <v>227.579072</v>
      </c>
      <c r="P606">
        <v>1</v>
      </c>
      <c r="Q606" s="1" t="s">
        <v>564</v>
      </c>
      <c r="R606" s="93">
        <v>120575.91</v>
      </c>
      <c r="S606">
        <v>25499.57</v>
      </c>
      <c r="T606">
        <v>1</v>
      </c>
      <c r="U606" s="1" t="s">
        <v>764</v>
      </c>
      <c r="V606" s="1"/>
      <c r="W606">
        <v>7904.1583600000004</v>
      </c>
      <c r="X606">
        <v>0</v>
      </c>
      <c r="Y606">
        <v>94892</v>
      </c>
    </row>
    <row r="607" spans="1:25" ht="15" hidden="1" customHeight="1" x14ac:dyDescent="0.25">
      <c r="A607" s="1" t="s">
        <v>27</v>
      </c>
      <c r="B607" s="1" t="s">
        <v>49</v>
      </c>
      <c r="C607" s="1" t="s">
        <v>111</v>
      </c>
      <c r="D607">
        <v>5251</v>
      </c>
      <c r="E607" s="1"/>
      <c r="F607" s="1" t="s">
        <v>257</v>
      </c>
      <c r="G607" s="1" t="s">
        <v>257</v>
      </c>
      <c r="H607" s="1" t="s">
        <v>1405</v>
      </c>
      <c r="I607">
        <v>2012</v>
      </c>
      <c r="J607" s="93">
        <v>121531.83</v>
      </c>
      <c r="K607">
        <v>3</v>
      </c>
      <c r="L607" s="1" t="s">
        <v>442</v>
      </c>
      <c r="M607">
        <v>0</v>
      </c>
      <c r="N607">
        <v>375</v>
      </c>
      <c r="O607">
        <v>323.99847999999997</v>
      </c>
      <c r="P607">
        <v>1</v>
      </c>
      <c r="Q607" s="1" t="s">
        <v>564</v>
      </c>
      <c r="R607" s="93">
        <v>138576</v>
      </c>
      <c r="S607">
        <v>29306.240000000002</v>
      </c>
      <c r="T607">
        <v>0</v>
      </c>
      <c r="U607" s="1" t="s">
        <v>763</v>
      </c>
      <c r="V607" s="1" t="s">
        <v>1186</v>
      </c>
      <c r="W607">
        <v>11252.945739999999</v>
      </c>
      <c r="X607">
        <v>0</v>
      </c>
      <c r="Y607">
        <v>56681</v>
      </c>
    </row>
    <row r="608" spans="1:25" ht="15" hidden="1" customHeight="1" x14ac:dyDescent="0.25">
      <c r="A608" s="1" t="s">
        <v>27</v>
      </c>
      <c r="B608" s="1" t="s">
        <v>49</v>
      </c>
      <c r="C608" s="1" t="s">
        <v>111</v>
      </c>
      <c r="D608">
        <v>5251</v>
      </c>
      <c r="E608" s="1"/>
      <c r="F608" s="1" t="s">
        <v>257</v>
      </c>
      <c r="G608" s="1" t="s">
        <v>257</v>
      </c>
      <c r="H608" s="1" t="s">
        <v>1405</v>
      </c>
      <c r="I608">
        <v>2012</v>
      </c>
      <c r="J608" s="93">
        <v>102134.57</v>
      </c>
      <c r="K608">
        <v>0</v>
      </c>
      <c r="L608" s="1" t="s">
        <v>467</v>
      </c>
      <c r="M608">
        <v>0</v>
      </c>
      <c r="N608">
        <v>375</v>
      </c>
      <c r="O608">
        <v>272.28624300000001</v>
      </c>
      <c r="P608">
        <v>1</v>
      </c>
      <c r="Q608" s="1" t="s">
        <v>564</v>
      </c>
      <c r="R608" s="93">
        <v>113372.44</v>
      </c>
      <c r="S608">
        <v>23976.18</v>
      </c>
      <c r="T608">
        <v>1</v>
      </c>
      <c r="U608" s="1" t="s">
        <v>764</v>
      </c>
      <c r="V608" s="1"/>
      <c r="W608">
        <v>9456.9036500000002</v>
      </c>
      <c r="X608">
        <v>0</v>
      </c>
      <c r="Y608">
        <v>94892</v>
      </c>
    </row>
    <row r="609" spans="1:25" ht="15" hidden="1" customHeight="1" x14ac:dyDescent="0.25">
      <c r="A609" s="1" t="s">
        <v>27</v>
      </c>
      <c r="B609" s="1" t="s">
        <v>49</v>
      </c>
      <c r="C609" s="1" t="s">
        <v>111</v>
      </c>
      <c r="D609">
        <v>5251</v>
      </c>
      <c r="E609" s="1"/>
      <c r="F609" s="1" t="s">
        <v>257</v>
      </c>
      <c r="G609" s="1" t="s">
        <v>257</v>
      </c>
      <c r="H609" s="1" t="s">
        <v>1405</v>
      </c>
      <c r="I609">
        <v>2011</v>
      </c>
      <c r="J609" s="93">
        <v>49130.55</v>
      </c>
      <c r="K609">
        <v>3</v>
      </c>
      <c r="L609" s="1" t="s">
        <v>442</v>
      </c>
      <c r="M609">
        <v>0</v>
      </c>
      <c r="N609">
        <v>375</v>
      </c>
      <c r="O609">
        <v>130.979872</v>
      </c>
      <c r="P609">
        <v>1</v>
      </c>
      <c r="Q609" s="1" t="s">
        <v>564</v>
      </c>
      <c r="R609" s="93">
        <v>56448.46</v>
      </c>
      <c r="S609">
        <v>11937.81</v>
      </c>
      <c r="T609">
        <v>0</v>
      </c>
      <c r="U609" s="1" t="s">
        <v>763</v>
      </c>
      <c r="V609" s="1" t="s">
        <v>1186</v>
      </c>
      <c r="W609">
        <v>4549.1273499999998</v>
      </c>
      <c r="X609">
        <v>0</v>
      </c>
      <c r="Y609">
        <v>56681</v>
      </c>
    </row>
    <row r="610" spans="1:25" ht="15" hidden="1" customHeight="1" x14ac:dyDescent="0.25">
      <c r="A610" s="1" t="s">
        <v>27</v>
      </c>
      <c r="B610" s="1" t="s">
        <v>49</v>
      </c>
      <c r="C610" s="1" t="s">
        <v>111</v>
      </c>
      <c r="D610">
        <v>5251</v>
      </c>
      <c r="E610" s="1"/>
      <c r="F610" s="1" t="s">
        <v>257</v>
      </c>
      <c r="G610" s="1" t="s">
        <v>257</v>
      </c>
      <c r="H610" s="1" t="s">
        <v>1405</v>
      </c>
      <c r="I610">
        <v>2011</v>
      </c>
      <c r="J610" s="93">
        <v>95262.75</v>
      </c>
      <c r="K610">
        <v>1</v>
      </c>
      <c r="L610" s="1" t="s">
        <v>467</v>
      </c>
      <c r="M610">
        <v>0</v>
      </c>
      <c r="N610">
        <v>375</v>
      </c>
      <c r="O610">
        <v>253.966275</v>
      </c>
      <c r="P610">
        <v>1</v>
      </c>
      <c r="Q610" s="1" t="s">
        <v>564</v>
      </c>
      <c r="R610" s="93">
        <v>111653.7</v>
      </c>
      <c r="S610">
        <v>23612.7</v>
      </c>
      <c r="T610">
        <v>1</v>
      </c>
      <c r="U610" s="1" t="s">
        <v>764</v>
      </c>
      <c r="V610" s="1"/>
      <c r="W610">
        <v>8820.6249499999994</v>
      </c>
      <c r="X610">
        <v>0</v>
      </c>
      <c r="Y610">
        <v>94892</v>
      </c>
    </row>
    <row r="611" spans="1:25" ht="15" hidden="1" customHeight="1" x14ac:dyDescent="0.25">
      <c r="A611" s="1" t="s">
        <v>27</v>
      </c>
      <c r="B611" s="1" t="s">
        <v>49</v>
      </c>
      <c r="C611" s="1" t="s">
        <v>111</v>
      </c>
      <c r="D611">
        <v>5251</v>
      </c>
      <c r="E611" s="1"/>
      <c r="F611" s="1" t="s">
        <v>257</v>
      </c>
      <c r="G611" s="1" t="s">
        <v>257</v>
      </c>
      <c r="H611" s="1" t="s">
        <v>1405</v>
      </c>
      <c r="I611">
        <v>2010</v>
      </c>
      <c r="J611" s="93">
        <v>79859.55</v>
      </c>
      <c r="K611">
        <v>1</v>
      </c>
      <c r="L611" s="1" t="s">
        <v>442</v>
      </c>
      <c r="M611">
        <v>0</v>
      </c>
      <c r="N611">
        <v>375</v>
      </c>
      <c r="O611">
        <v>212.90202600000001</v>
      </c>
      <c r="P611">
        <v>1</v>
      </c>
      <c r="Q611" s="1" t="s">
        <v>564</v>
      </c>
      <c r="R611" s="93">
        <v>105172.58</v>
      </c>
      <c r="S611">
        <v>22242.04</v>
      </c>
      <c r="T611">
        <v>0</v>
      </c>
      <c r="U611" s="1" t="s">
        <v>763</v>
      </c>
      <c r="V611" s="1" t="s">
        <v>1186</v>
      </c>
      <c r="W611">
        <v>7394.4022000000004</v>
      </c>
      <c r="X611">
        <v>0</v>
      </c>
      <c r="Y611">
        <v>56681</v>
      </c>
    </row>
    <row r="612" spans="1:25" ht="15" hidden="1" customHeight="1" x14ac:dyDescent="0.25">
      <c r="A612" s="1" t="s">
        <v>27</v>
      </c>
      <c r="B612" s="1" t="s">
        <v>49</v>
      </c>
      <c r="C612" s="1" t="s">
        <v>111</v>
      </c>
      <c r="D612">
        <v>5251</v>
      </c>
      <c r="E612" s="1"/>
      <c r="F612" s="1" t="s">
        <v>257</v>
      </c>
      <c r="G612" s="1" t="s">
        <v>257</v>
      </c>
      <c r="H612" s="1" t="s">
        <v>1405</v>
      </c>
      <c r="I612">
        <v>2010</v>
      </c>
      <c r="J612" s="93">
        <v>79899.67</v>
      </c>
      <c r="K612">
        <v>1</v>
      </c>
      <c r="L612" s="1" t="s">
        <v>467</v>
      </c>
      <c r="M612">
        <v>0</v>
      </c>
      <c r="N612">
        <v>375</v>
      </c>
      <c r="O612">
        <v>213.008984</v>
      </c>
      <c r="P612">
        <v>1</v>
      </c>
      <c r="Q612" s="1" t="s">
        <v>564</v>
      </c>
      <c r="R612" s="93">
        <v>105446.46</v>
      </c>
      <c r="S612">
        <v>22299.97</v>
      </c>
      <c r="T612">
        <v>1</v>
      </c>
      <c r="U612" s="1" t="s">
        <v>764</v>
      </c>
      <c r="V612" s="1"/>
      <c r="W612">
        <v>7398.12086</v>
      </c>
      <c r="X612">
        <v>0</v>
      </c>
      <c r="Y612">
        <v>94892</v>
      </c>
    </row>
    <row r="613" spans="1:25" ht="15" hidden="1" customHeight="1" x14ac:dyDescent="0.25">
      <c r="A613" s="1" t="s">
        <v>27</v>
      </c>
      <c r="B613" s="1" t="s">
        <v>49</v>
      </c>
      <c r="C613" s="1" t="s">
        <v>111</v>
      </c>
      <c r="D613">
        <v>5251</v>
      </c>
      <c r="E613" s="1"/>
      <c r="F613" s="1" t="s">
        <v>257</v>
      </c>
      <c r="G613" s="1" t="s">
        <v>257</v>
      </c>
      <c r="H613" s="1" t="s">
        <v>1405</v>
      </c>
      <c r="I613">
        <v>2009</v>
      </c>
      <c r="J613" s="93">
        <v>78080.23</v>
      </c>
      <c r="K613">
        <v>1</v>
      </c>
      <c r="L613" s="1" t="s">
        <v>442</v>
      </c>
      <c r="M613">
        <v>0</v>
      </c>
      <c r="N613">
        <v>375</v>
      </c>
      <c r="O613">
        <v>208.15843699999999</v>
      </c>
      <c r="P613">
        <v>1</v>
      </c>
      <c r="Q613" s="1" t="s">
        <v>564</v>
      </c>
      <c r="R613" s="93">
        <v>112439.13</v>
      </c>
      <c r="S613">
        <v>23778.799999999999</v>
      </c>
      <c r="T613">
        <v>0</v>
      </c>
      <c r="U613" s="1" t="s">
        <v>763</v>
      </c>
      <c r="V613" s="1" t="s">
        <v>1186</v>
      </c>
      <c r="W613">
        <v>7229.6479399999998</v>
      </c>
      <c r="X613">
        <v>0</v>
      </c>
      <c r="Y613">
        <v>56681</v>
      </c>
    </row>
    <row r="614" spans="1:25" ht="15" hidden="1" customHeight="1" x14ac:dyDescent="0.25">
      <c r="A614" s="1" t="s">
        <v>27</v>
      </c>
      <c r="B614" s="1" t="s">
        <v>49</v>
      </c>
      <c r="C614" s="1" t="s">
        <v>111</v>
      </c>
      <c r="D614">
        <v>5251</v>
      </c>
      <c r="E614" s="1"/>
      <c r="F614" s="1" t="s">
        <v>257</v>
      </c>
      <c r="G614" s="1" t="s">
        <v>257</v>
      </c>
      <c r="H614" s="1" t="s">
        <v>1405</v>
      </c>
      <c r="I614">
        <v>2009</v>
      </c>
      <c r="J614" s="93">
        <v>77666.149999999994</v>
      </c>
      <c r="K614">
        <v>1</v>
      </c>
      <c r="L614" s="1" t="s">
        <v>467</v>
      </c>
      <c r="M614">
        <v>0</v>
      </c>
      <c r="N614">
        <v>375</v>
      </c>
      <c r="O614">
        <v>207.054518</v>
      </c>
      <c r="P614">
        <v>1</v>
      </c>
      <c r="Q614" s="1" t="s">
        <v>564</v>
      </c>
      <c r="R614" s="93">
        <v>111769.44</v>
      </c>
      <c r="S614">
        <v>23637.16</v>
      </c>
      <c r="T614">
        <v>1</v>
      </c>
      <c r="U614" s="1" t="s">
        <v>764</v>
      </c>
      <c r="V614" s="1"/>
      <c r="W614">
        <v>7191.3100899999999</v>
      </c>
      <c r="X614">
        <v>0</v>
      </c>
      <c r="Y614">
        <v>94892</v>
      </c>
    </row>
    <row r="615" spans="1:25" ht="15" hidden="1" customHeight="1" x14ac:dyDescent="0.25">
      <c r="A615" s="1" t="s">
        <v>27</v>
      </c>
      <c r="B615" s="1" t="s">
        <v>49</v>
      </c>
      <c r="C615" s="1" t="s">
        <v>111</v>
      </c>
      <c r="D615">
        <v>5251</v>
      </c>
      <c r="E615" s="1"/>
      <c r="F615" s="1" t="s">
        <v>257</v>
      </c>
      <c r="G615" s="1" t="s">
        <v>257</v>
      </c>
      <c r="H615" s="1" t="s">
        <v>1405</v>
      </c>
      <c r="I615">
        <v>2008</v>
      </c>
      <c r="J615" s="93">
        <v>89296.03</v>
      </c>
      <c r="K615">
        <v>1</v>
      </c>
      <c r="L615" s="1" t="s">
        <v>442</v>
      </c>
      <c r="M615">
        <v>0</v>
      </c>
      <c r="N615">
        <v>375</v>
      </c>
      <c r="O615">
        <v>238.05926400000001</v>
      </c>
      <c r="P615">
        <v>1</v>
      </c>
      <c r="Q615" s="1" t="s">
        <v>564</v>
      </c>
      <c r="R615" s="93">
        <v>111833.93</v>
      </c>
      <c r="S615">
        <v>23650.799999999999</v>
      </c>
      <c r="T615">
        <v>0</v>
      </c>
      <c r="U615" s="1" t="s">
        <v>763</v>
      </c>
      <c r="V615" s="1" t="s">
        <v>1186</v>
      </c>
      <c r="W615">
        <v>8268.1485799999991</v>
      </c>
      <c r="X615">
        <v>0</v>
      </c>
      <c r="Y615">
        <v>56681</v>
      </c>
    </row>
    <row r="616" spans="1:25" ht="15" hidden="1" customHeight="1" x14ac:dyDescent="0.25">
      <c r="A616" s="1" t="s">
        <v>27</v>
      </c>
      <c r="B616" s="1" t="s">
        <v>49</v>
      </c>
      <c r="C616" s="1" t="s">
        <v>111</v>
      </c>
      <c r="D616">
        <v>5251</v>
      </c>
      <c r="E616" s="1"/>
      <c r="F616" s="1" t="s">
        <v>257</v>
      </c>
      <c r="G616" s="1" t="s">
        <v>257</v>
      </c>
      <c r="H616" s="1" t="s">
        <v>1405</v>
      </c>
      <c r="I616">
        <v>2008</v>
      </c>
      <c r="J616" s="93">
        <v>82206.98</v>
      </c>
      <c r="K616">
        <v>1</v>
      </c>
      <c r="L616" s="1" t="s">
        <v>467</v>
      </c>
      <c r="M616">
        <v>0</v>
      </c>
      <c r="N616">
        <v>375</v>
      </c>
      <c r="O616">
        <v>219.16016999999999</v>
      </c>
      <c r="P616">
        <v>1</v>
      </c>
      <c r="Q616" s="1" t="s">
        <v>564</v>
      </c>
      <c r="R616" s="93">
        <v>103625.34</v>
      </c>
      <c r="S616">
        <v>21914.83</v>
      </c>
      <c r="T616">
        <v>1</v>
      </c>
      <c r="U616" s="1" t="s">
        <v>764</v>
      </c>
      <c r="V616" s="1"/>
      <c r="W616">
        <v>7611.75533</v>
      </c>
      <c r="X616">
        <v>0</v>
      </c>
      <c r="Y616">
        <v>94892</v>
      </c>
    </row>
    <row r="617" spans="1:25" ht="15" hidden="1" customHeight="1" x14ac:dyDescent="0.25">
      <c r="A617" s="1" t="s">
        <v>27</v>
      </c>
      <c r="B617" s="1"/>
      <c r="C617" s="1" t="s">
        <v>112</v>
      </c>
      <c r="D617">
        <v>9980</v>
      </c>
      <c r="E617" s="1"/>
      <c r="F617" s="1" t="s">
        <v>258</v>
      </c>
      <c r="G617" s="1" t="s">
        <v>258</v>
      </c>
      <c r="H617" s="1" t="s">
        <v>1405</v>
      </c>
      <c r="I617">
        <v>2015</v>
      </c>
      <c r="J617" s="93">
        <v>128392</v>
      </c>
      <c r="K617">
        <v>5</v>
      </c>
      <c r="L617" s="1"/>
      <c r="M617">
        <v>0</v>
      </c>
      <c r="N617">
        <v>961</v>
      </c>
      <c r="O617">
        <v>71.384871000000004</v>
      </c>
      <c r="P617">
        <v>1</v>
      </c>
      <c r="Q617" s="1" t="s">
        <v>562</v>
      </c>
      <c r="R617" s="93">
        <v>145495</v>
      </c>
      <c r="S617">
        <v>4915.2700000000004</v>
      </c>
      <c r="T617">
        <v>0</v>
      </c>
      <c r="U617" s="1"/>
      <c r="V617" s="1"/>
      <c r="W617">
        <v>68608.001000000004</v>
      </c>
      <c r="X617">
        <v>0</v>
      </c>
      <c r="Y617">
        <v>93381</v>
      </c>
    </row>
    <row r="618" spans="1:25" ht="15" hidden="1" customHeight="1" x14ac:dyDescent="0.25">
      <c r="A618" s="1" t="s">
        <v>27</v>
      </c>
      <c r="B618" s="1"/>
      <c r="C618" s="1" t="s">
        <v>112</v>
      </c>
      <c r="D618">
        <v>9980</v>
      </c>
      <c r="E618" s="1"/>
      <c r="F618" s="1" t="s">
        <v>258</v>
      </c>
      <c r="G618" s="1" t="s">
        <v>258</v>
      </c>
      <c r="H618" s="1" t="s">
        <v>1405</v>
      </c>
      <c r="I618">
        <v>2015</v>
      </c>
      <c r="J618" s="93">
        <v>0</v>
      </c>
      <c r="K618">
        <v>5</v>
      </c>
      <c r="L618" s="1" t="s">
        <v>405</v>
      </c>
      <c r="M618">
        <v>0</v>
      </c>
      <c r="N618">
        <v>961</v>
      </c>
      <c r="O618">
        <v>0</v>
      </c>
      <c r="P618">
        <v>1</v>
      </c>
      <c r="Q618" s="1" t="s">
        <v>564</v>
      </c>
      <c r="R618" s="93">
        <v>0</v>
      </c>
      <c r="S618">
        <v>0</v>
      </c>
      <c r="T618">
        <v>0</v>
      </c>
      <c r="U618" s="1" t="s">
        <v>765</v>
      </c>
      <c r="V618" s="1" t="s">
        <v>1187</v>
      </c>
      <c r="W618">
        <v>0</v>
      </c>
      <c r="X618">
        <v>0</v>
      </c>
      <c r="Y618">
        <v>76422</v>
      </c>
    </row>
    <row r="619" spans="1:25" ht="15" hidden="1" customHeight="1" x14ac:dyDescent="0.25">
      <c r="A619" s="1" t="s">
        <v>27</v>
      </c>
      <c r="B619" s="1" t="s">
        <v>54</v>
      </c>
      <c r="C619" s="1" t="s">
        <v>121</v>
      </c>
      <c r="D619">
        <v>5428</v>
      </c>
      <c r="E619" s="1"/>
      <c r="F619" s="1" t="s">
        <v>264</v>
      </c>
      <c r="G619" s="1" t="s">
        <v>121</v>
      </c>
      <c r="H619" s="1" t="s">
        <v>1405</v>
      </c>
      <c r="I619">
        <v>2014</v>
      </c>
      <c r="J619" s="93">
        <v>17615.77</v>
      </c>
      <c r="K619">
        <v>12</v>
      </c>
      <c r="L619" s="1" t="s">
        <v>404</v>
      </c>
      <c r="M619">
        <v>0</v>
      </c>
      <c r="N619">
        <v>679</v>
      </c>
      <c r="O619">
        <v>25.939876000000002</v>
      </c>
      <c r="P619">
        <v>2</v>
      </c>
      <c r="Q619" s="1" t="s">
        <v>569</v>
      </c>
      <c r="R619" s="93">
        <v>17615.77</v>
      </c>
      <c r="S619">
        <v>7046.3</v>
      </c>
      <c r="T619">
        <v>0</v>
      </c>
      <c r="U619" s="1" t="s">
        <v>964</v>
      </c>
      <c r="V619" s="1"/>
      <c r="W619">
        <v>17615.766</v>
      </c>
      <c r="X619">
        <v>0</v>
      </c>
      <c r="Y619">
        <v>57402</v>
      </c>
    </row>
    <row r="620" spans="1:25" ht="15" hidden="1" customHeight="1" x14ac:dyDescent="0.25">
      <c r="A620" s="1" t="s">
        <v>27</v>
      </c>
      <c r="B620" s="1" t="s">
        <v>54</v>
      </c>
      <c r="C620" s="1" t="s">
        <v>121</v>
      </c>
      <c r="D620">
        <v>5428</v>
      </c>
      <c r="E620" s="1"/>
      <c r="F620" s="1" t="s">
        <v>264</v>
      </c>
      <c r="G620" s="1" t="s">
        <v>121</v>
      </c>
      <c r="H620" s="1" t="s">
        <v>1405</v>
      </c>
      <c r="I620">
        <v>2014</v>
      </c>
      <c r="J620" s="93">
        <v>6295.43</v>
      </c>
      <c r="K620">
        <v>12</v>
      </c>
      <c r="L620" s="1" t="s">
        <v>404</v>
      </c>
      <c r="M620">
        <v>0</v>
      </c>
      <c r="N620">
        <v>679</v>
      </c>
      <c r="O620">
        <v>9.2702539999999996</v>
      </c>
      <c r="P620">
        <v>2</v>
      </c>
      <c r="Q620" s="1" t="s">
        <v>569</v>
      </c>
      <c r="R620" s="93">
        <v>6295.43</v>
      </c>
      <c r="S620">
        <v>2518.1799999999998</v>
      </c>
      <c r="T620">
        <v>0</v>
      </c>
      <c r="U620" s="1" t="s">
        <v>965</v>
      </c>
      <c r="V620" s="1"/>
      <c r="W620">
        <v>6295.43</v>
      </c>
      <c r="X620">
        <v>0</v>
      </c>
      <c r="Y620">
        <v>57563</v>
      </c>
    </row>
    <row r="621" spans="1:25" ht="15" hidden="1" customHeight="1" x14ac:dyDescent="0.25">
      <c r="A621" s="1" t="s">
        <v>27</v>
      </c>
      <c r="B621" s="1"/>
      <c r="C621" s="1" t="s">
        <v>112</v>
      </c>
      <c r="D621">
        <v>9980</v>
      </c>
      <c r="E621" s="1"/>
      <c r="F621" s="1" t="s">
        <v>258</v>
      </c>
      <c r="G621" s="1" t="s">
        <v>258</v>
      </c>
      <c r="H621" s="1" t="s">
        <v>1405</v>
      </c>
      <c r="I621">
        <v>2013</v>
      </c>
      <c r="J621" s="93">
        <v>143436.5</v>
      </c>
      <c r="K621">
        <v>12</v>
      </c>
      <c r="L621" s="1"/>
      <c r="M621">
        <v>0</v>
      </c>
      <c r="N621">
        <v>961</v>
      </c>
      <c r="O621">
        <v>149.24201400000001</v>
      </c>
      <c r="P621">
        <v>1</v>
      </c>
      <c r="Q621" s="1" t="s">
        <v>562</v>
      </c>
      <c r="R621" s="93">
        <v>150590.19</v>
      </c>
      <c r="S621">
        <v>9637.77</v>
      </c>
      <c r="T621">
        <v>0</v>
      </c>
      <c r="U621" s="1"/>
      <c r="V621" s="1"/>
      <c r="W621">
        <v>143436.5</v>
      </c>
      <c r="X621">
        <v>0</v>
      </c>
      <c r="Y621">
        <v>93381</v>
      </c>
    </row>
    <row r="622" spans="1:25" ht="15" hidden="1" customHeight="1" x14ac:dyDescent="0.25">
      <c r="A622" s="1" t="s">
        <v>27</v>
      </c>
      <c r="B622" s="1"/>
      <c r="C622" s="1" t="s">
        <v>112</v>
      </c>
      <c r="D622">
        <v>9980</v>
      </c>
      <c r="E622" s="1"/>
      <c r="F622" s="1" t="s">
        <v>258</v>
      </c>
      <c r="G622" s="1" t="s">
        <v>258</v>
      </c>
      <c r="H622" s="1" t="s">
        <v>1405</v>
      </c>
      <c r="I622">
        <v>2013</v>
      </c>
      <c r="J622" s="93">
        <v>0</v>
      </c>
      <c r="K622">
        <v>12</v>
      </c>
      <c r="L622" s="1" t="s">
        <v>405</v>
      </c>
      <c r="M622">
        <v>0</v>
      </c>
      <c r="N622">
        <v>961</v>
      </c>
      <c r="O622">
        <v>0</v>
      </c>
      <c r="P622">
        <v>1</v>
      </c>
      <c r="Q622" s="1" t="s">
        <v>564</v>
      </c>
      <c r="R622" s="93">
        <v>0</v>
      </c>
      <c r="S622">
        <v>0</v>
      </c>
      <c r="T622">
        <v>0</v>
      </c>
      <c r="U622" s="1" t="s">
        <v>765</v>
      </c>
      <c r="V622" s="1" t="s">
        <v>1187</v>
      </c>
      <c r="W622">
        <v>0</v>
      </c>
      <c r="X622">
        <v>0</v>
      </c>
      <c r="Y622">
        <v>76422</v>
      </c>
    </row>
    <row r="623" spans="1:25" ht="15" hidden="1" customHeight="1" x14ac:dyDescent="0.25">
      <c r="A623" s="1" t="s">
        <v>27</v>
      </c>
      <c r="B623" s="1"/>
      <c r="C623" s="1" t="s">
        <v>112</v>
      </c>
      <c r="D623">
        <v>9980</v>
      </c>
      <c r="E623" s="1"/>
      <c r="F623" s="1" t="s">
        <v>258</v>
      </c>
      <c r="G623" s="1" t="s">
        <v>258</v>
      </c>
      <c r="H623" s="1" t="s">
        <v>1405</v>
      </c>
      <c r="I623">
        <v>2012</v>
      </c>
      <c r="J623" s="93">
        <v>122020.77</v>
      </c>
      <c r="K623">
        <v>12</v>
      </c>
      <c r="L623" s="1" t="s">
        <v>405</v>
      </c>
      <c r="M623">
        <v>0</v>
      </c>
      <c r="N623">
        <v>961</v>
      </c>
      <c r="O623">
        <v>126.95949400000001</v>
      </c>
      <c r="P623">
        <v>1</v>
      </c>
      <c r="Q623" s="1" t="s">
        <v>564</v>
      </c>
      <c r="R623" s="93">
        <v>134388.18</v>
      </c>
      <c r="S623">
        <v>28420.61</v>
      </c>
      <c r="T623">
        <v>0</v>
      </c>
      <c r="U623" s="1" t="s">
        <v>765</v>
      </c>
      <c r="V623" s="1" t="s">
        <v>1187</v>
      </c>
      <c r="W623">
        <v>11298.22</v>
      </c>
      <c r="X623">
        <v>0</v>
      </c>
      <c r="Y623">
        <v>76422</v>
      </c>
    </row>
    <row r="624" spans="1:25" ht="15" hidden="1" customHeight="1" x14ac:dyDescent="0.25">
      <c r="A624" s="1" t="s">
        <v>27</v>
      </c>
      <c r="B624" s="1"/>
      <c r="C624" s="1" t="s">
        <v>112</v>
      </c>
      <c r="D624">
        <v>9980</v>
      </c>
      <c r="E624" s="1"/>
      <c r="F624" s="1" t="s">
        <v>258</v>
      </c>
      <c r="G624" s="1" t="s">
        <v>258</v>
      </c>
      <c r="H624" s="1" t="s">
        <v>1405</v>
      </c>
      <c r="I624">
        <v>2012</v>
      </c>
      <c r="J624" s="93">
        <v>32242</v>
      </c>
      <c r="K624">
        <v>2</v>
      </c>
      <c r="L624" s="1"/>
      <c r="M624">
        <v>0</v>
      </c>
      <c r="N624">
        <v>961</v>
      </c>
      <c r="O624">
        <v>33.546976999999998</v>
      </c>
      <c r="P624">
        <v>1</v>
      </c>
      <c r="Q624" s="1" t="s">
        <v>562</v>
      </c>
      <c r="R624" s="93">
        <v>31591.919999999998</v>
      </c>
      <c r="S624">
        <v>2021.88</v>
      </c>
      <c r="T624">
        <v>0</v>
      </c>
      <c r="U624" s="1"/>
      <c r="V624" s="1"/>
      <c r="W624">
        <v>32242</v>
      </c>
      <c r="X624">
        <v>0</v>
      </c>
      <c r="Y624">
        <v>93381</v>
      </c>
    </row>
    <row r="625" spans="1:25" ht="15" hidden="1" customHeight="1" x14ac:dyDescent="0.25">
      <c r="A625" s="1" t="s">
        <v>27</v>
      </c>
      <c r="B625" s="1"/>
      <c r="C625" s="1" t="s">
        <v>112</v>
      </c>
      <c r="D625">
        <v>9980</v>
      </c>
      <c r="E625" s="1"/>
      <c r="F625" s="1" t="s">
        <v>258</v>
      </c>
      <c r="G625" s="1" t="s">
        <v>258</v>
      </c>
      <c r="H625" s="1" t="s">
        <v>1405</v>
      </c>
      <c r="I625">
        <v>2011</v>
      </c>
      <c r="J625" s="93">
        <v>170714.29</v>
      </c>
      <c r="K625">
        <v>12</v>
      </c>
      <c r="L625" s="1" t="s">
        <v>405</v>
      </c>
      <c r="M625">
        <v>0</v>
      </c>
      <c r="N625">
        <v>961</v>
      </c>
      <c r="O625">
        <v>177.62385800000001</v>
      </c>
      <c r="P625">
        <v>1</v>
      </c>
      <c r="Q625" s="1" t="s">
        <v>564</v>
      </c>
      <c r="R625" s="93">
        <v>187943.47</v>
      </c>
      <c r="S625">
        <v>39746.57</v>
      </c>
      <c r="T625">
        <v>0</v>
      </c>
      <c r="U625" s="1" t="s">
        <v>765</v>
      </c>
      <c r="V625" s="1" t="s">
        <v>1187</v>
      </c>
      <c r="W625">
        <v>15806.88</v>
      </c>
      <c r="X625">
        <v>0</v>
      </c>
      <c r="Y625">
        <v>76422</v>
      </c>
    </row>
    <row r="626" spans="1:25" ht="15" hidden="1" customHeight="1" x14ac:dyDescent="0.25">
      <c r="A626" s="1" t="s">
        <v>27</v>
      </c>
      <c r="B626" s="1"/>
      <c r="C626" s="1" t="s">
        <v>112</v>
      </c>
      <c r="D626">
        <v>9980</v>
      </c>
      <c r="E626" s="1"/>
      <c r="F626" s="1" t="s">
        <v>258</v>
      </c>
      <c r="G626" s="1" t="s">
        <v>258</v>
      </c>
      <c r="H626" s="1" t="s">
        <v>1405</v>
      </c>
      <c r="I626">
        <v>2010</v>
      </c>
      <c r="J626" s="93">
        <v>211147.95</v>
      </c>
      <c r="K626">
        <v>6</v>
      </c>
      <c r="L626" s="1" t="s">
        <v>405</v>
      </c>
      <c r="M626">
        <v>0</v>
      </c>
      <c r="N626">
        <v>961</v>
      </c>
      <c r="O626">
        <v>219.69404800000001</v>
      </c>
      <c r="P626">
        <v>1</v>
      </c>
      <c r="Q626" s="1" t="s">
        <v>564</v>
      </c>
      <c r="R626" s="93">
        <v>222818.75</v>
      </c>
      <c r="S626">
        <v>47122.04</v>
      </c>
      <c r="T626">
        <v>0</v>
      </c>
      <c r="U626" s="1" t="s">
        <v>765</v>
      </c>
      <c r="V626" s="1" t="s">
        <v>1187</v>
      </c>
      <c r="W626">
        <v>19550.736440000001</v>
      </c>
      <c r="X626">
        <v>0</v>
      </c>
      <c r="Y626">
        <v>76422</v>
      </c>
    </row>
    <row r="627" spans="1:25" ht="15" hidden="1" customHeight="1" x14ac:dyDescent="0.25">
      <c r="A627" s="1" t="s">
        <v>27</v>
      </c>
      <c r="B627" s="1"/>
      <c r="C627" s="1" t="s">
        <v>112</v>
      </c>
      <c r="D627">
        <v>9980</v>
      </c>
      <c r="E627" s="1"/>
      <c r="F627" s="1" t="s">
        <v>258</v>
      </c>
      <c r="G627" s="1" t="s">
        <v>258</v>
      </c>
      <c r="H627" s="1" t="s">
        <v>1405</v>
      </c>
      <c r="I627">
        <v>2009</v>
      </c>
      <c r="J627" s="93">
        <v>149074.48000000001</v>
      </c>
      <c r="K627">
        <v>7</v>
      </c>
      <c r="L627" s="1" t="s">
        <v>405</v>
      </c>
      <c r="M627">
        <v>0</v>
      </c>
      <c r="N627">
        <v>961</v>
      </c>
      <c r="O627">
        <v>155.10818800000001</v>
      </c>
      <c r="P627">
        <v>1</v>
      </c>
      <c r="Q627" s="1" t="s">
        <v>564</v>
      </c>
      <c r="R627" s="93">
        <v>171452.15</v>
      </c>
      <c r="S627">
        <v>36258.949999999997</v>
      </c>
      <c r="T627">
        <v>0</v>
      </c>
      <c r="U627" s="1" t="s">
        <v>765</v>
      </c>
      <c r="V627" s="1" t="s">
        <v>1187</v>
      </c>
      <c r="W627">
        <v>13803.19356</v>
      </c>
      <c r="X627">
        <v>0</v>
      </c>
      <c r="Y627">
        <v>76422</v>
      </c>
    </row>
    <row r="628" spans="1:25" ht="15" hidden="1" customHeight="1" x14ac:dyDescent="0.25">
      <c r="A628" s="1" t="s">
        <v>27</v>
      </c>
      <c r="B628" s="1"/>
      <c r="C628" s="1" t="s">
        <v>112</v>
      </c>
      <c r="D628">
        <v>9980</v>
      </c>
      <c r="E628" s="1"/>
      <c r="F628" s="1" t="s">
        <v>258</v>
      </c>
      <c r="G628" s="1" t="s">
        <v>258</v>
      </c>
      <c r="H628" s="1" t="s">
        <v>1405</v>
      </c>
      <c r="I628">
        <v>2008</v>
      </c>
      <c r="J628" s="93">
        <v>183372.55</v>
      </c>
      <c r="K628">
        <v>5</v>
      </c>
      <c r="L628" s="1" t="s">
        <v>405</v>
      </c>
      <c r="M628">
        <v>0</v>
      </c>
      <c r="N628">
        <v>961</v>
      </c>
      <c r="O628">
        <v>190.794454</v>
      </c>
      <c r="P628">
        <v>1</v>
      </c>
      <c r="Q628" s="1" t="s">
        <v>564</v>
      </c>
      <c r="R628" s="93">
        <v>218050.95</v>
      </c>
      <c r="S628">
        <v>46113.73</v>
      </c>
      <c r="T628">
        <v>0</v>
      </c>
      <c r="U628" s="1" t="s">
        <v>765</v>
      </c>
      <c r="V628" s="1" t="s">
        <v>1187</v>
      </c>
      <c r="W628">
        <v>16978.9375</v>
      </c>
      <c r="X628">
        <v>0</v>
      </c>
      <c r="Y628">
        <v>76422</v>
      </c>
    </row>
    <row r="629" spans="1:25" ht="15" hidden="1" customHeight="1" x14ac:dyDescent="0.25">
      <c r="A629" s="1" t="s">
        <v>27</v>
      </c>
      <c r="B629" s="1" t="s">
        <v>50</v>
      </c>
      <c r="C629" s="1" t="s">
        <v>113</v>
      </c>
      <c r="D629">
        <v>5278</v>
      </c>
      <c r="E629" s="1"/>
      <c r="F629" s="1" t="s">
        <v>113</v>
      </c>
      <c r="G629" s="1" t="s">
        <v>113</v>
      </c>
      <c r="H629" s="1" t="s">
        <v>1405</v>
      </c>
      <c r="I629">
        <v>2015</v>
      </c>
      <c r="J629" s="93">
        <v>54169</v>
      </c>
      <c r="K629">
        <v>5</v>
      </c>
      <c r="L629" s="1" t="s">
        <v>468</v>
      </c>
      <c r="M629">
        <v>0</v>
      </c>
      <c r="N629">
        <v>760</v>
      </c>
      <c r="O629">
        <v>40.122351999999999</v>
      </c>
      <c r="P629">
        <v>1</v>
      </c>
      <c r="Q629" s="1" t="s">
        <v>562</v>
      </c>
      <c r="R629" s="93">
        <v>62398</v>
      </c>
      <c r="S629">
        <v>6343015.4500000002</v>
      </c>
      <c r="T629">
        <v>0</v>
      </c>
      <c r="U629" s="1" t="s">
        <v>766</v>
      </c>
      <c r="V629" s="1"/>
      <c r="W629">
        <v>30497</v>
      </c>
      <c r="X629">
        <v>0</v>
      </c>
      <c r="Y629">
        <v>56874</v>
      </c>
    </row>
    <row r="630" spans="1:25" ht="15" hidden="1" customHeight="1" x14ac:dyDescent="0.25">
      <c r="A630" s="1" t="s">
        <v>27</v>
      </c>
      <c r="B630" s="1" t="s">
        <v>50</v>
      </c>
      <c r="C630" s="1" t="s">
        <v>113</v>
      </c>
      <c r="D630">
        <v>5278</v>
      </c>
      <c r="E630" s="1"/>
      <c r="F630" s="1" t="s">
        <v>113</v>
      </c>
      <c r="G630" s="1" t="s">
        <v>113</v>
      </c>
      <c r="H630" s="1" t="s">
        <v>1396</v>
      </c>
      <c r="I630">
        <v>2015</v>
      </c>
      <c r="J630" s="93">
        <v>64058.75</v>
      </c>
      <c r="K630">
        <v>5</v>
      </c>
      <c r="L630" s="1" t="s">
        <v>468</v>
      </c>
      <c r="M630">
        <v>0</v>
      </c>
      <c r="N630">
        <v>760</v>
      </c>
      <c r="O630">
        <v>84.276739000000006</v>
      </c>
      <c r="P630">
        <v>1</v>
      </c>
      <c r="Q630" s="1" t="s">
        <v>563</v>
      </c>
      <c r="R630" s="93">
        <v>70414.75</v>
      </c>
      <c r="S630">
        <v>373365.69</v>
      </c>
      <c r="T630">
        <v>1</v>
      </c>
      <c r="U630" s="1" t="s">
        <v>766</v>
      </c>
      <c r="V630" s="1"/>
      <c r="W630">
        <v>1836.02</v>
      </c>
      <c r="X630">
        <v>0</v>
      </c>
      <c r="Y630">
        <v>56994</v>
      </c>
    </row>
    <row r="631" spans="1:25" ht="15" hidden="1" customHeight="1" x14ac:dyDescent="0.25">
      <c r="A631" s="1" t="s">
        <v>30</v>
      </c>
      <c r="B631" s="1"/>
      <c r="C631" s="1" t="s">
        <v>151</v>
      </c>
      <c r="D631">
        <v>10238</v>
      </c>
      <c r="E631" s="1"/>
      <c r="F631" s="1" t="s">
        <v>361</v>
      </c>
      <c r="G631" s="1" t="s">
        <v>151</v>
      </c>
      <c r="H631" s="1" t="s">
        <v>1405</v>
      </c>
      <c r="I631">
        <v>2014</v>
      </c>
      <c r="J631" s="93">
        <v>15340.32</v>
      </c>
      <c r="K631">
        <v>12</v>
      </c>
      <c r="L631" s="1" t="s">
        <v>405</v>
      </c>
      <c r="M631">
        <v>0</v>
      </c>
      <c r="N631">
        <v>0</v>
      </c>
      <c r="O631">
        <v>153403.20000000001</v>
      </c>
      <c r="P631">
        <v>1</v>
      </c>
      <c r="Q631" s="1" t="s">
        <v>564</v>
      </c>
      <c r="R631" s="93">
        <v>18221.689999999999</v>
      </c>
      <c r="S631">
        <v>355.99</v>
      </c>
      <c r="T631">
        <v>0</v>
      </c>
      <c r="U631" s="1" t="s">
        <v>801</v>
      </c>
      <c r="V631" s="1" t="s">
        <v>1207</v>
      </c>
      <c r="W631">
        <v>1420.4</v>
      </c>
      <c r="X631">
        <v>0</v>
      </c>
      <c r="Y631">
        <v>77528</v>
      </c>
    </row>
    <row r="632" spans="1:25" ht="15" hidden="1" customHeight="1" x14ac:dyDescent="0.25">
      <c r="A632" s="1" t="s">
        <v>27</v>
      </c>
      <c r="B632" s="1" t="s">
        <v>50</v>
      </c>
      <c r="C632" s="1" t="s">
        <v>113</v>
      </c>
      <c r="D632">
        <v>5278</v>
      </c>
      <c r="E632" s="1"/>
      <c r="F632" s="1" t="s">
        <v>113</v>
      </c>
      <c r="G632" s="1" t="s">
        <v>113</v>
      </c>
      <c r="H632" s="1" t="s">
        <v>1405</v>
      </c>
      <c r="I632">
        <v>2013</v>
      </c>
      <c r="J632" s="93">
        <v>61179</v>
      </c>
      <c r="K632">
        <v>12</v>
      </c>
      <c r="L632" s="1" t="s">
        <v>468</v>
      </c>
      <c r="M632">
        <v>0</v>
      </c>
      <c r="N632">
        <v>760</v>
      </c>
      <c r="O632">
        <v>80.488093000000006</v>
      </c>
      <c r="P632">
        <v>1</v>
      </c>
      <c r="Q632" s="1" t="s">
        <v>562</v>
      </c>
      <c r="R632" s="93">
        <v>65139.77</v>
      </c>
      <c r="S632">
        <v>12050.86</v>
      </c>
      <c r="T632">
        <v>0</v>
      </c>
      <c r="U632" s="1" t="s">
        <v>766</v>
      </c>
      <c r="V632" s="1"/>
      <c r="W632">
        <v>61179</v>
      </c>
      <c r="X632">
        <v>0</v>
      </c>
      <c r="Y632">
        <v>56874</v>
      </c>
    </row>
    <row r="633" spans="1:25" ht="15" hidden="1" customHeight="1" x14ac:dyDescent="0.25">
      <c r="A633" s="1" t="s">
        <v>27</v>
      </c>
      <c r="B633" s="1" t="s">
        <v>50</v>
      </c>
      <c r="C633" s="1" t="s">
        <v>113</v>
      </c>
      <c r="D633">
        <v>5278</v>
      </c>
      <c r="E633" s="1"/>
      <c r="F633" s="1" t="s">
        <v>113</v>
      </c>
      <c r="G633" s="1" t="s">
        <v>113</v>
      </c>
      <c r="H633" s="1" t="s">
        <v>1396</v>
      </c>
      <c r="I633">
        <v>2013</v>
      </c>
      <c r="J633" s="93">
        <v>149574.10999999999</v>
      </c>
      <c r="K633">
        <v>12</v>
      </c>
      <c r="L633" s="1" t="s">
        <v>468</v>
      </c>
      <c r="M633">
        <v>0</v>
      </c>
      <c r="N633">
        <v>760</v>
      </c>
      <c r="O633">
        <v>196.78214700000001</v>
      </c>
      <c r="P633">
        <v>1</v>
      </c>
      <c r="Q633" s="1" t="s">
        <v>563</v>
      </c>
      <c r="R633" s="93">
        <v>167996.17</v>
      </c>
      <c r="S633">
        <v>890.79</v>
      </c>
      <c r="T633">
        <v>1</v>
      </c>
      <c r="U633" s="1" t="s">
        <v>766</v>
      </c>
      <c r="V633" s="1"/>
      <c r="W633">
        <v>4287.0200000000004</v>
      </c>
      <c r="X633">
        <v>0</v>
      </c>
      <c r="Y633">
        <v>56994</v>
      </c>
    </row>
    <row r="634" spans="1:25" ht="15" hidden="1" customHeight="1" x14ac:dyDescent="0.25">
      <c r="A634" s="1" t="s">
        <v>27</v>
      </c>
      <c r="B634" s="1" t="s">
        <v>50</v>
      </c>
      <c r="C634" s="1" t="s">
        <v>113</v>
      </c>
      <c r="D634">
        <v>5278</v>
      </c>
      <c r="E634" s="1"/>
      <c r="F634" s="1" t="s">
        <v>113</v>
      </c>
      <c r="G634" s="1" t="s">
        <v>113</v>
      </c>
      <c r="H634" s="1" t="s">
        <v>1405</v>
      </c>
      <c r="I634">
        <v>2012</v>
      </c>
      <c r="J634" s="93">
        <v>58697</v>
      </c>
      <c r="K634">
        <v>12</v>
      </c>
      <c r="L634" s="1" t="s">
        <v>468</v>
      </c>
      <c r="M634">
        <v>0</v>
      </c>
      <c r="N634">
        <v>760</v>
      </c>
      <c r="O634">
        <v>77.222733000000005</v>
      </c>
      <c r="P634">
        <v>1</v>
      </c>
      <c r="Q634" s="1" t="s">
        <v>562</v>
      </c>
      <c r="R634" s="93">
        <v>60922.75</v>
      </c>
      <c r="S634">
        <v>11270.73</v>
      </c>
      <c r="T634">
        <v>0</v>
      </c>
      <c r="U634" s="1" t="s">
        <v>766</v>
      </c>
      <c r="V634" s="1"/>
      <c r="W634">
        <v>58697</v>
      </c>
      <c r="X634">
        <v>0</v>
      </c>
      <c r="Y634">
        <v>56874</v>
      </c>
    </row>
    <row r="635" spans="1:25" ht="15" hidden="1" customHeight="1" x14ac:dyDescent="0.25">
      <c r="A635" s="1" t="s">
        <v>27</v>
      </c>
      <c r="B635" s="1" t="s">
        <v>50</v>
      </c>
      <c r="C635" s="1" t="s">
        <v>113</v>
      </c>
      <c r="D635">
        <v>5278</v>
      </c>
      <c r="E635" s="1"/>
      <c r="F635" s="1" t="s">
        <v>113</v>
      </c>
      <c r="G635" s="1" t="s">
        <v>113</v>
      </c>
      <c r="H635" s="1" t="s">
        <v>1396</v>
      </c>
      <c r="I635">
        <v>2012</v>
      </c>
      <c r="J635" s="93">
        <v>122467.39</v>
      </c>
      <c r="K635">
        <v>12</v>
      </c>
      <c r="L635" s="1" t="s">
        <v>468</v>
      </c>
      <c r="M635">
        <v>0</v>
      </c>
      <c r="N635">
        <v>760</v>
      </c>
      <c r="O635">
        <v>161.120102</v>
      </c>
      <c r="P635">
        <v>1</v>
      </c>
      <c r="Q635" s="1" t="s">
        <v>563</v>
      </c>
      <c r="R635" s="93">
        <v>128926.54</v>
      </c>
      <c r="S635">
        <v>683.62</v>
      </c>
      <c r="T635">
        <v>1</v>
      </c>
      <c r="U635" s="1" t="s">
        <v>766</v>
      </c>
      <c r="V635" s="1"/>
      <c r="W635">
        <v>3510.1</v>
      </c>
      <c r="X635">
        <v>0</v>
      </c>
      <c r="Y635">
        <v>56994</v>
      </c>
    </row>
    <row r="636" spans="1:25" ht="15" hidden="1" customHeight="1" x14ac:dyDescent="0.25">
      <c r="A636" s="1" t="s">
        <v>27</v>
      </c>
      <c r="B636" s="1" t="s">
        <v>50</v>
      </c>
      <c r="C636" s="1" t="s">
        <v>113</v>
      </c>
      <c r="D636">
        <v>5278</v>
      </c>
      <c r="E636" s="1"/>
      <c r="F636" s="1" t="s">
        <v>113</v>
      </c>
      <c r="G636" s="1" t="s">
        <v>113</v>
      </c>
      <c r="H636" s="1" t="s">
        <v>1405</v>
      </c>
      <c r="I636">
        <v>2011</v>
      </c>
      <c r="J636" s="93">
        <v>54662</v>
      </c>
      <c r="K636">
        <v>12</v>
      </c>
      <c r="L636" s="1" t="s">
        <v>468</v>
      </c>
      <c r="M636">
        <v>0</v>
      </c>
      <c r="N636">
        <v>760</v>
      </c>
      <c r="O636">
        <v>71.914220999999998</v>
      </c>
      <c r="P636">
        <v>1</v>
      </c>
      <c r="Q636" s="1" t="s">
        <v>562</v>
      </c>
      <c r="R636" s="93">
        <v>58853.81</v>
      </c>
      <c r="S636">
        <v>10887.94</v>
      </c>
      <c r="T636">
        <v>0</v>
      </c>
      <c r="U636" s="1" t="s">
        <v>766</v>
      </c>
      <c r="V636" s="1"/>
      <c r="W636">
        <v>54662</v>
      </c>
      <c r="X636">
        <v>0</v>
      </c>
      <c r="Y636">
        <v>56874</v>
      </c>
    </row>
    <row r="637" spans="1:25" ht="15" hidden="1" customHeight="1" x14ac:dyDescent="0.25">
      <c r="A637" s="1" t="s">
        <v>27</v>
      </c>
      <c r="B637" s="1" t="s">
        <v>50</v>
      </c>
      <c r="C637" s="1" t="s">
        <v>113</v>
      </c>
      <c r="D637">
        <v>5278</v>
      </c>
      <c r="E637" s="1"/>
      <c r="F637" s="1" t="s">
        <v>113</v>
      </c>
      <c r="G637" s="1" t="s">
        <v>113</v>
      </c>
      <c r="H637" s="1" t="s">
        <v>1396</v>
      </c>
      <c r="I637">
        <v>2011</v>
      </c>
      <c r="J637" s="93">
        <v>146237.6</v>
      </c>
      <c r="K637">
        <v>12</v>
      </c>
      <c r="L637" s="1" t="s">
        <v>468</v>
      </c>
      <c r="M637">
        <v>0</v>
      </c>
      <c r="N637">
        <v>760</v>
      </c>
      <c r="O637">
        <v>192.39257900000001</v>
      </c>
      <c r="P637">
        <v>1</v>
      </c>
      <c r="Q637" s="1" t="s">
        <v>563</v>
      </c>
      <c r="R637" s="93">
        <v>156998.01999999999</v>
      </c>
      <c r="S637">
        <v>832.48</v>
      </c>
      <c r="T637">
        <v>1</v>
      </c>
      <c r="U637" s="1" t="s">
        <v>766</v>
      </c>
      <c r="V637" s="1"/>
      <c r="W637">
        <v>4191.3900000000003</v>
      </c>
      <c r="X637">
        <v>0</v>
      </c>
      <c r="Y637">
        <v>56994</v>
      </c>
    </row>
    <row r="638" spans="1:25" ht="15" hidden="1" customHeight="1" x14ac:dyDescent="0.25">
      <c r="A638" s="1" t="s">
        <v>27</v>
      </c>
      <c r="B638" s="1" t="s">
        <v>50</v>
      </c>
      <c r="C638" s="1" t="s">
        <v>113</v>
      </c>
      <c r="D638">
        <v>5278</v>
      </c>
      <c r="E638" s="1"/>
      <c r="F638" s="1" t="s">
        <v>113</v>
      </c>
      <c r="G638" s="1" t="s">
        <v>113</v>
      </c>
      <c r="H638" s="1" t="s">
        <v>1405</v>
      </c>
      <c r="I638">
        <v>2010</v>
      </c>
      <c r="J638" s="93">
        <v>68160</v>
      </c>
      <c r="K638">
        <v>12</v>
      </c>
      <c r="L638" s="1" t="s">
        <v>468</v>
      </c>
      <c r="M638">
        <v>0</v>
      </c>
      <c r="N638">
        <v>760</v>
      </c>
      <c r="O638">
        <v>89.672410999999997</v>
      </c>
      <c r="P638">
        <v>1</v>
      </c>
      <c r="Q638" s="1" t="s">
        <v>562</v>
      </c>
      <c r="R638" s="93">
        <v>61956.54</v>
      </c>
      <c r="S638">
        <v>11461.95</v>
      </c>
      <c r="T638">
        <v>0</v>
      </c>
      <c r="U638" s="1" t="s">
        <v>766</v>
      </c>
      <c r="V638" s="1"/>
      <c r="W638">
        <v>68160</v>
      </c>
      <c r="X638">
        <v>0</v>
      </c>
      <c r="Y638">
        <v>56874</v>
      </c>
    </row>
    <row r="639" spans="1:25" ht="15" hidden="1" customHeight="1" x14ac:dyDescent="0.25">
      <c r="A639" s="1" t="s">
        <v>27</v>
      </c>
      <c r="B639" s="1" t="s">
        <v>50</v>
      </c>
      <c r="C639" s="1" t="s">
        <v>113</v>
      </c>
      <c r="D639">
        <v>5278</v>
      </c>
      <c r="E639" s="1"/>
      <c r="F639" s="1" t="s">
        <v>113</v>
      </c>
      <c r="G639" s="1" t="s">
        <v>113</v>
      </c>
      <c r="H639" s="1" t="s">
        <v>1396</v>
      </c>
      <c r="I639">
        <v>2010</v>
      </c>
      <c r="J639" s="93">
        <v>128615.71</v>
      </c>
      <c r="K639">
        <v>12</v>
      </c>
      <c r="L639" s="1" t="s">
        <v>468</v>
      </c>
      <c r="M639">
        <v>0</v>
      </c>
      <c r="N639">
        <v>760</v>
      </c>
      <c r="O639">
        <v>169.208933</v>
      </c>
      <c r="P639">
        <v>1</v>
      </c>
      <c r="Q639" s="1" t="s">
        <v>563</v>
      </c>
      <c r="R639" s="93">
        <v>118463.89</v>
      </c>
      <c r="S639">
        <v>628.14</v>
      </c>
      <c r="T639">
        <v>1</v>
      </c>
      <c r="U639" s="1" t="s">
        <v>766</v>
      </c>
      <c r="V639" s="1"/>
      <c r="W639">
        <v>3686.32</v>
      </c>
      <c r="X639">
        <v>0</v>
      </c>
      <c r="Y639">
        <v>56994</v>
      </c>
    </row>
    <row r="640" spans="1:25" ht="15" hidden="1" customHeight="1" x14ac:dyDescent="0.25">
      <c r="A640" s="1" t="s">
        <v>27</v>
      </c>
      <c r="B640" s="1" t="s">
        <v>50</v>
      </c>
      <c r="C640" s="1" t="s">
        <v>113</v>
      </c>
      <c r="D640">
        <v>5278</v>
      </c>
      <c r="E640" s="1"/>
      <c r="F640" s="1" t="s">
        <v>113</v>
      </c>
      <c r="G640" s="1" t="s">
        <v>113</v>
      </c>
      <c r="H640" s="1" t="s">
        <v>1405</v>
      </c>
      <c r="I640">
        <v>2009</v>
      </c>
      <c r="J640" s="93">
        <v>54494</v>
      </c>
      <c r="K640">
        <v>12</v>
      </c>
      <c r="L640" s="1" t="s">
        <v>468</v>
      </c>
      <c r="M640">
        <v>0</v>
      </c>
      <c r="N640">
        <v>760</v>
      </c>
      <c r="O640">
        <v>71.693197999999995</v>
      </c>
      <c r="P640">
        <v>1</v>
      </c>
      <c r="Q640" s="1" t="s">
        <v>562</v>
      </c>
      <c r="R640" s="93">
        <v>57005.77</v>
      </c>
      <c r="S640">
        <v>10546.07</v>
      </c>
      <c r="T640">
        <v>0</v>
      </c>
      <c r="U640" s="1" t="s">
        <v>766</v>
      </c>
      <c r="V640" s="1"/>
      <c r="W640">
        <v>54494</v>
      </c>
      <c r="X640">
        <v>0</v>
      </c>
      <c r="Y640">
        <v>56874</v>
      </c>
    </row>
    <row r="641" spans="1:25" ht="15" hidden="1" customHeight="1" x14ac:dyDescent="0.25">
      <c r="A641" s="1" t="s">
        <v>27</v>
      </c>
      <c r="B641" s="1" t="s">
        <v>50</v>
      </c>
      <c r="C641" s="1" t="s">
        <v>113</v>
      </c>
      <c r="D641">
        <v>5278</v>
      </c>
      <c r="E641" s="1"/>
      <c r="F641" s="1" t="s">
        <v>113</v>
      </c>
      <c r="G641" s="1" t="s">
        <v>113</v>
      </c>
      <c r="H641" s="1" t="s">
        <v>1396</v>
      </c>
      <c r="I641">
        <v>2009</v>
      </c>
      <c r="J641" s="93">
        <v>91812.69</v>
      </c>
      <c r="K641">
        <v>12</v>
      </c>
      <c r="L641" s="1" t="s">
        <v>468</v>
      </c>
      <c r="M641">
        <v>0</v>
      </c>
      <c r="N641">
        <v>760</v>
      </c>
      <c r="O641">
        <v>120.790277</v>
      </c>
      <c r="P641">
        <v>1</v>
      </c>
      <c r="Q641" s="1" t="s">
        <v>563</v>
      </c>
      <c r="R641" s="93">
        <v>100085.13</v>
      </c>
      <c r="S641">
        <v>530.69000000000005</v>
      </c>
      <c r="T641">
        <v>1</v>
      </c>
      <c r="U641" s="1" t="s">
        <v>766</v>
      </c>
      <c r="V641" s="1"/>
      <c r="W641">
        <v>2631.49</v>
      </c>
      <c r="X641">
        <v>0</v>
      </c>
      <c r="Y641">
        <v>56994</v>
      </c>
    </row>
    <row r="642" spans="1:25" ht="15" hidden="1" customHeight="1" x14ac:dyDescent="0.25">
      <c r="A642" s="1" t="s">
        <v>27</v>
      </c>
      <c r="B642" s="1" t="s">
        <v>50</v>
      </c>
      <c r="C642" s="1" t="s">
        <v>113</v>
      </c>
      <c r="D642">
        <v>5278</v>
      </c>
      <c r="E642" s="1"/>
      <c r="F642" s="1" t="s">
        <v>113</v>
      </c>
      <c r="G642" s="1" t="s">
        <v>113</v>
      </c>
      <c r="H642" s="1" t="s">
        <v>1405</v>
      </c>
      <c r="I642">
        <v>2008</v>
      </c>
      <c r="J642" s="93">
        <v>42005</v>
      </c>
      <c r="K642">
        <v>12</v>
      </c>
      <c r="L642" s="1" t="s">
        <v>468</v>
      </c>
      <c r="M642">
        <v>0</v>
      </c>
      <c r="N642">
        <v>760</v>
      </c>
      <c r="O642">
        <v>55.262464999999999</v>
      </c>
      <c r="P642">
        <v>1</v>
      </c>
      <c r="Q642" s="1" t="s">
        <v>562</v>
      </c>
      <c r="R642" s="93">
        <v>47526.96</v>
      </c>
      <c r="S642">
        <v>8792.49</v>
      </c>
      <c r="T642">
        <v>0</v>
      </c>
      <c r="U642" s="1" t="s">
        <v>766</v>
      </c>
      <c r="V642" s="1"/>
      <c r="W642">
        <v>42005</v>
      </c>
      <c r="X642">
        <v>0</v>
      </c>
      <c r="Y642">
        <v>56874</v>
      </c>
    </row>
    <row r="643" spans="1:25" ht="15" hidden="1" customHeight="1" x14ac:dyDescent="0.25">
      <c r="A643" s="1" t="s">
        <v>27</v>
      </c>
      <c r="B643" s="1" t="s">
        <v>50</v>
      </c>
      <c r="C643" s="1" t="s">
        <v>113</v>
      </c>
      <c r="D643">
        <v>5278</v>
      </c>
      <c r="E643" s="1"/>
      <c r="F643" s="1" t="s">
        <v>113</v>
      </c>
      <c r="G643" s="1" t="s">
        <v>113</v>
      </c>
      <c r="H643" s="1" t="s">
        <v>1396</v>
      </c>
      <c r="I643">
        <v>2008</v>
      </c>
      <c r="J643" s="93">
        <v>68805.52</v>
      </c>
      <c r="K643">
        <v>12</v>
      </c>
      <c r="L643" s="1" t="s">
        <v>468</v>
      </c>
      <c r="M643">
        <v>0</v>
      </c>
      <c r="N643">
        <v>760</v>
      </c>
      <c r="O643">
        <v>90.521668000000005</v>
      </c>
      <c r="P643">
        <v>1</v>
      </c>
      <c r="Q643" s="1" t="s">
        <v>563</v>
      </c>
      <c r="R643" s="93">
        <v>81353.119999999995</v>
      </c>
      <c r="S643">
        <v>431.36</v>
      </c>
      <c r="T643">
        <v>1</v>
      </c>
      <c r="U643" s="1" t="s">
        <v>766</v>
      </c>
      <c r="V643" s="1"/>
      <c r="W643">
        <v>1972.07</v>
      </c>
      <c r="X643">
        <v>0</v>
      </c>
      <c r="Y643">
        <v>56994</v>
      </c>
    </row>
    <row r="644" spans="1:25" ht="15" hidden="1" customHeight="1" x14ac:dyDescent="0.25">
      <c r="A644" s="1" t="s">
        <v>27</v>
      </c>
      <c r="B644" s="1" t="s">
        <v>51</v>
      </c>
      <c r="C644" s="1" t="s">
        <v>114</v>
      </c>
      <c r="D644">
        <v>5276</v>
      </c>
      <c r="E644" s="1"/>
      <c r="F644" s="1" t="s">
        <v>259</v>
      </c>
      <c r="G644" s="1" t="s">
        <v>114</v>
      </c>
      <c r="H644" s="1" t="s">
        <v>1405</v>
      </c>
      <c r="I644">
        <v>2015</v>
      </c>
      <c r="J644" s="93">
        <v>42909</v>
      </c>
      <c r="K644">
        <v>5</v>
      </c>
      <c r="L644" s="1" t="s">
        <v>407</v>
      </c>
      <c r="M644">
        <v>0</v>
      </c>
      <c r="N644">
        <v>284</v>
      </c>
      <c r="O644">
        <v>81.901336999999998</v>
      </c>
      <c r="P644">
        <v>1</v>
      </c>
      <c r="Q644" s="1" t="s">
        <v>564</v>
      </c>
      <c r="R644" s="93">
        <v>49165</v>
      </c>
      <c r="S644">
        <v>5522.17</v>
      </c>
      <c r="T644">
        <v>0</v>
      </c>
      <c r="U644" s="1" t="s">
        <v>767</v>
      </c>
      <c r="V644" s="1"/>
      <c r="W644">
        <v>2154.46</v>
      </c>
      <c r="X644">
        <v>0</v>
      </c>
      <c r="Y644">
        <v>56862</v>
      </c>
    </row>
    <row r="645" spans="1:25" ht="15" hidden="1" customHeight="1" x14ac:dyDescent="0.25">
      <c r="A645" s="1" t="s">
        <v>27</v>
      </c>
      <c r="B645" s="1" t="s">
        <v>51</v>
      </c>
      <c r="C645" s="1" t="s">
        <v>114</v>
      </c>
      <c r="D645">
        <v>5276</v>
      </c>
      <c r="E645" s="1"/>
      <c r="F645" s="1" t="s">
        <v>259</v>
      </c>
      <c r="G645" s="1" t="s">
        <v>114</v>
      </c>
      <c r="H645" s="1" t="s">
        <v>1405</v>
      </c>
      <c r="I645">
        <v>2013</v>
      </c>
      <c r="J645" s="93">
        <v>45184.29</v>
      </c>
      <c r="K645">
        <v>12</v>
      </c>
      <c r="L645" s="1" t="s">
        <v>407</v>
      </c>
      <c r="M645">
        <v>0</v>
      </c>
      <c r="N645">
        <v>284</v>
      </c>
      <c r="O645">
        <v>159.043611</v>
      </c>
      <c r="P645">
        <v>1</v>
      </c>
      <c r="Q645" s="1" t="s">
        <v>564</v>
      </c>
      <c r="R645" s="93">
        <v>47406.400000000001</v>
      </c>
      <c r="S645">
        <v>10025.58</v>
      </c>
      <c r="T645">
        <v>0</v>
      </c>
      <c r="U645" s="1" t="s">
        <v>767</v>
      </c>
      <c r="V645" s="1"/>
      <c r="W645">
        <v>4183.7299999999996</v>
      </c>
      <c r="X645">
        <v>0</v>
      </c>
      <c r="Y645">
        <v>56862</v>
      </c>
    </row>
    <row r="646" spans="1:25" ht="15" hidden="1" customHeight="1" x14ac:dyDescent="0.25">
      <c r="A646" s="1" t="s">
        <v>27</v>
      </c>
      <c r="B646" s="1" t="s">
        <v>51</v>
      </c>
      <c r="C646" s="1" t="s">
        <v>114</v>
      </c>
      <c r="D646">
        <v>5276</v>
      </c>
      <c r="E646" s="1"/>
      <c r="F646" s="1" t="s">
        <v>259</v>
      </c>
      <c r="G646" s="1" t="s">
        <v>114</v>
      </c>
      <c r="H646" s="1" t="s">
        <v>1405</v>
      </c>
      <c r="I646">
        <v>2012</v>
      </c>
      <c r="J646" s="93">
        <v>49078.78</v>
      </c>
      <c r="K646">
        <v>12</v>
      </c>
      <c r="L646" s="1" t="s">
        <v>407</v>
      </c>
      <c r="M646">
        <v>0</v>
      </c>
      <c r="N646">
        <v>284</v>
      </c>
      <c r="O646">
        <v>172.751777</v>
      </c>
      <c r="P646">
        <v>1</v>
      </c>
      <c r="Q646" s="1" t="s">
        <v>564</v>
      </c>
      <c r="R646" s="93">
        <v>51739.43</v>
      </c>
      <c r="S646">
        <v>10941.94</v>
      </c>
      <c r="T646">
        <v>0</v>
      </c>
      <c r="U646" s="1" t="s">
        <v>767</v>
      </c>
      <c r="V646" s="1"/>
      <c r="W646">
        <v>4544.33</v>
      </c>
      <c r="X646">
        <v>0</v>
      </c>
      <c r="Y646">
        <v>56862</v>
      </c>
    </row>
    <row r="647" spans="1:25" ht="15" hidden="1" customHeight="1" x14ac:dyDescent="0.25">
      <c r="A647" s="1" t="s">
        <v>27</v>
      </c>
      <c r="B647" s="1" t="s">
        <v>51</v>
      </c>
      <c r="C647" s="1" t="s">
        <v>114</v>
      </c>
      <c r="D647">
        <v>5276</v>
      </c>
      <c r="E647" s="1"/>
      <c r="F647" s="1" t="s">
        <v>259</v>
      </c>
      <c r="G647" s="1" t="s">
        <v>114</v>
      </c>
      <c r="H647" s="1" t="s">
        <v>1405</v>
      </c>
      <c r="I647">
        <v>2011</v>
      </c>
      <c r="J647" s="93">
        <v>47592.45</v>
      </c>
      <c r="K647">
        <v>12</v>
      </c>
      <c r="L647" s="1" t="s">
        <v>407</v>
      </c>
      <c r="M647">
        <v>0</v>
      </c>
      <c r="N647">
        <v>284</v>
      </c>
      <c r="O647">
        <v>167.52006299999999</v>
      </c>
      <c r="P647">
        <v>1</v>
      </c>
      <c r="Q647" s="1" t="s">
        <v>564</v>
      </c>
      <c r="R647" s="93">
        <v>52113.93</v>
      </c>
      <c r="S647">
        <v>11021.14</v>
      </c>
      <c r="T647">
        <v>0</v>
      </c>
      <c r="U647" s="1" t="s">
        <v>767</v>
      </c>
      <c r="V647" s="1"/>
      <c r="W647">
        <v>4406.71</v>
      </c>
      <c r="X647">
        <v>0</v>
      </c>
      <c r="Y647">
        <v>56862</v>
      </c>
    </row>
    <row r="648" spans="1:25" ht="15" hidden="1" customHeight="1" x14ac:dyDescent="0.25">
      <c r="A648" s="1" t="s">
        <v>27</v>
      </c>
      <c r="B648" s="1" t="s">
        <v>51</v>
      </c>
      <c r="C648" s="1" t="s">
        <v>114</v>
      </c>
      <c r="D648">
        <v>5276</v>
      </c>
      <c r="E648" s="1"/>
      <c r="F648" s="1" t="s">
        <v>259</v>
      </c>
      <c r="G648" s="1" t="s">
        <v>114</v>
      </c>
      <c r="H648" s="1" t="s">
        <v>1405</v>
      </c>
      <c r="I648">
        <v>2010</v>
      </c>
      <c r="J648" s="93">
        <v>51607.81</v>
      </c>
      <c r="K648">
        <v>12</v>
      </c>
      <c r="L648" s="1" t="s">
        <v>407</v>
      </c>
      <c r="M648">
        <v>0</v>
      </c>
      <c r="N648">
        <v>284</v>
      </c>
      <c r="O648">
        <v>181.65367800000001</v>
      </c>
      <c r="P648">
        <v>1</v>
      </c>
      <c r="Q648" s="1" t="s">
        <v>564</v>
      </c>
      <c r="R648" s="93">
        <v>46846.06</v>
      </c>
      <c r="S648">
        <v>9907.07</v>
      </c>
      <c r="T648">
        <v>0</v>
      </c>
      <c r="U648" s="1" t="s">
        <v>767</v>
      </c>
      <c r="V648" s="1"/>
      <c r="W648">
        <v>4778.5</v>
      </c>
      <c r="X648">
        <v>0</v>
      </c>
      <c r="Y648">
        <v>56862</v>
      </c>
    </row>
    <row r="649" spans="1:25" ht="15" hidden="1" customHeight="1" x14ac:dyDescent="0.25">
      <c r="A649" s="1" t="s">
        <v>27</v>
      </c>
      <c r="B649" s="1" t="s">
        <v>51</v>
      </c>
      <c r="C649" s="1" t="s">
        <v>114</v>
      </c>
      <c r="D649">
        <v>5276</v>
      </c>
      <c r="E649" s="1"/>
      <c r="F649" s="1" t="s">
        <v>259</v>
      </c>
      <c r="G649" s="1" t="s">
        <v>114</v>
      </c>
      <c r="H649" s="1" t="s">
        <v>1405</v>
      </c>
      <c r="I649">
        <v>2009</v>
      </c>
      <c r="J649" s="93">
        <v>47704.14</v>
      </c>
      <c r="K649">
        <v>12</v>
      </c>
      <c r="L649" s="1" t="s">
        <v>407</v>
      </c>
      <c r="M649">
        <v>0</v>
      </c>
      <c r="N649">
        <v>284</v>
      </c>
      <c r="O649">
        <v>167.91319899999999</v>
      </c>
      <c r="P649">
        <v>1</v>
      </c>
      <c r="Q649" s="1" t="s">
        <v>564</v>
      </c>
      <c r="R649" s="93">
        <v>50778.82</v>
      </c>
      <c r="S649">
        <v>10738.8</v>
      </c>
      <c r="T649">
        <v>0</v>
      </c>
      <c r="U649" s="1" t="s">
        <v>767</v>
      </c>
      <c r="V649" s="1"/>
      <c r="W649">
        <v>4417.05</v>
      </c>
      <c r="X649">
        <v>0</v>
      </c>
      <c r="Y649">
        <v>56862</v>
      </c>
    </row>
    <row r="650" spans="1:25" ht="15" hidden="1" customHeight="1" x14ac:dyDescent="0.25">
      <c r="A650" s="1" t="s">
        <v>27</v>
      </c>
      <c r="B650" s="1" t="s">
        <v>51</v>
      </c>
      <c r="C650" s="1" t="s">
        <v>114</v>
      </c>
      <c r="D650">
        <v>5276</v>
      </c>
      <c r="E650" s="1"/>
      <c r="F650" s="1" t="s">
        <v>259</v>
      </c>
      <c r="G650" s="1" t="s">
        <v>114</v>
      </c>
      <c r="H650" s="1" t="s">
        <v>1405</v>
      </c>
      <c r="I650">
        <v>2008</v>
      </c>
      <c r="J650" s="93">
        <v>48384.33</v>
      </c>
      <c r="K650">
        <v>12</v>
      </c>
      <c r="L650" s="1" t="s">
        <v>407</v>
      </c>
      <c r="M650">
        <v>0</v>
      </c>
      <c r="N650">
        <v>284</v>
      </c>
      <c r="O650">
        <v>170.307391</v>
      </c>
      <c r="P650">
        <v>1</v>
      </c>
      <c r="Q650" s="1" t="s">
        <v>564</v>
      </c>
      <c r="R650" s="93">
        <v>55057.48</v>
      </c>
      <c r="S650">
        <v>11643.63</v>
      </c>
      <c r="T650">
        <v>0</v>
      </c>
      <c r="U650" s="1" t="s">
        <v>767</v>
      </c>
      <c r="V650" s="1"/>
      <c r="W650">
        <v>4480.03</v>
      </c>
      <c r="X650">
        <v>0</v>
      </c>
      <c r="Y650">
        <v>56862</v>
      </c>
    </row>
    <row r="651" spans="1:25" ht="15" hidden="1" customHeight="1" x14ac:dyDescent="0.25">
      <c r="A651" s="1" t="s">
        <v>27</v>
      </c>
      <c r="B651" s="1"/>
      <c r="C651" s="1" t="s">
        <v>115</v>
      </c>
      <c r="D651">
        <v>9970</v>
      </c>
      <c r="E651" s="1"/>
      <c r="F651" s="1" t="s">
        <v>260</v>
      </c>
      <c r="G651" s="1" t="s">
        <v>115</v>
      </c>
      <c r="H651" s="1" t="s">
        <v>1405</v>
      </c>
      <c r="I651">
        <v>2015</v>
      </c>
      <c r="J651" s="93">
        <v>85341</v>
      </c>
      <c r="K651">
        <v>5</v>
      </c>
      <c r="L651" s="1" t="s">
        <v>405</v>
      </c>
      <c r="M651">
        <v>0</v>
      </c>
      <c r="N651">
        <v>864</v>
      </c>
      <c r="O651">
        <v>56.520401999999997</v>
      </c>
      <c r="P651">
        <v>1</v>
      </c>
      <c r="Q651" s="1" t="s">
        <v>566</v>
      </c>
      <c r="R651" s="93">
        <v>96664</v>
      </c>
      <c r="S651">
        <v>11166.12</v>
      </c>
      <c r="T651">
        <v>0</v>
      </c>
      <c r="U651" s="1" t="s">
        <v>768</v>
      </c>
      <c r="V651" s="1" t="s">
        <v>1188</v>
      </c>
      <c r="W651">
        <v>4360.6499999999996</v>
      </c>
      <c r="X651">
        <v>0</v>
      </c>
      <c r="Y651">
        <v>76389</v>
      </c>
    </row>
    <row r="652" spans="1:25" ht="15" hidden="1" customHeight="1" x14ac:dyDescent="0.25">
      <c r="A652" s="1" t="s">
        <v>27</v>
      </c>
      <c r="B652" s="1" t="s">
        <v>55</v>
      </c>
      <c r="C652" s="1" t="s">
        <v>122</v>
      </c>
      <c r="D652">
        <v>5262</v>
      </c>
      <c r="E652" s="1"/>
      <c r="F652" s="1" t="s">
        <v>122</v>
      </c>
      <c r="G652" s="1" t="s">
        <v>122</v>
      </c>
      <c r="H652" s="1" t="s">
        <v>1405</v>
      </c>
      <c r="I652">
        <v>2014</v>
      </c>
      <c r="J652" s="93">
        <v>550.15</v>
      </c>
      <c r="K652">
        <v>12</v>
      </c>
      <c r="L652" s="1" t="s">
        <v>411</v>
      </c>
      <c r="M652">
        <v>0</v>
      </c>
      <c r="N652">
        <v>874</v>
      </c>
      <c r="O652">
        <v>0.62939000000000001</v>
      </c>
      <c r="P652">
        <v>3</v>
      </c>
      <c r="Q652" s="1" t="s">
        <v>560</v>
      </c>
      <c r="R652" s="93">
        <v>550.15</v>
      </c>
      <c r="S652">
        <v>440.11</v>
      </c>
      <c r="T652">
        <v>0</v>
      </c>
      <c r="U652" s="1" t="s">
        <v>596</v>
      </c>
      <c r="V652" s="1"/>
      <c r="W652">
        <v>550.13699999999994</v>
      </c>
      <c r="X652">
        <v>0</v>
      </c>
      <c r="Y652">
        <v>56739</v>
      </c>
    </row>
    <row r="653" spans="1:25" ht="15" hidden="1" customHeight="1" x14ac:dyDescent="0.25">
      <c r="A653" s="1" t="s">
        <v>27</v>
      </c>
      <c r="B653" s="1"/>
      <c r="C653" s="1" t="s">
        <v>115</v>
      </c>
      <c r="D653">
        <v>9970</v>
      </c>
      <c r="E653" s="1"/>
      <c r="F653" s="1" t="s">
        <v>260</v>
      </c>
      <c r="G653" s="1" t="s">
        <v>115</v>
      </c>
      <c r="H653" s="1" t="s">
        <v>1405</v>
      </c>
      <c r="I653">
        <v>2013</v>
      </c>
      <c r="J653" s="93">
        <v>88422.77</v>
      </c>
      <c r="K653">
        <v>12</v>
      </c>
      <c r="L653" s="1" t="s">
        <v>405</v>
      </c>
      <c r="M653">
        <v>0</v>
      </c>
      <c r="N653">
        <v>864</v>
      </c>
      <c r="O653">
        <v>102.329325</v>
      </c>
      <c r="P653">
        <v>1</v>
      </c>
      <c r="Q653" s="1" t="s">
        <v>566</v>
      </c>
      <c r="R653" s="93">
        <v>93010.7</v>
      </c>
      <c r="S653">
        <v>18967.55</v>
      </c>
      <c r="T653">
        <v>0</v>
      </c>
      <c r="U653" s="1" t="s">
        <v>768</v>
      </c>
      <c r="V653" s="1" t="s">
        <v>1188</v>
      </c>
      <c r="W653">
        <v>7894.89</v>
      </c>
      <c r="X653">
        <v>0</v>
      </c>
      <c r="Y653">
        <v>76389</v>
      </c>
    </row>
    <row r="654" spans="1:25" ht="15" hidden="1" customHeight="1" x14ac:dyDescent="0.25">
      <c r="A654" s="1" t="s">
        <v>27</v>
      </c>
      <c r="B654" s="1"/>
      <c r="C654" s="1" t="s">
        <v>115</v>
      </c>
      <c r="D654">
        <v>9970</v>
      </c>
      <c r="E654" s="1"/>
      <c r="F654" s="1" t="s">
        <v>260</v>
      </c>
      <c r="G654" s="1" t="s">
        <v>115</v>
      </c>
      <c r="H654" s="1" t="s">
        <v>1405</v>
      </c>
      <c r="I654">
        <v>2012</v>
      </c>
      <c r="J654" s="93">
        <v>96278.02</v>
      </c>
      <c r="K654">
        <v>12</v>
      </c>
      <c r="L654" s="1" t="s">
        <v>405</v>
      </c>
      <c r="M654">
        <v>0</v>
      </c>
      <c r="N654">
        <v>796</v>
      </c>
      <c r="O654">
        <v>120.937093</v>
      </c>
      <c r="P654">
        <v>1</v>
      </c>
      <c r="Q654" s="1" t="s">
        <v>566</v>
      </c>
      <c r="R654" s="93">
        <v>101297.12</v>
      </c>
      <c r="S654">
        <v>20657.39</v>
      </c>
      <c r="T654">
        <v>0</v>
      </c>
      <c r="U654" s="1" t="s">
        <v>768</v>
      </c>
      <c r="V654" s="1" t="s">
        <v>1188</v>
      </c>
      <c r="W654">
        <v>8596.25</v>
      </c>
      <c r="X654">
        <v>0</v>
      </c>
      <c r="Y654">
        <v>76389</v>
      </c>
    </row>
    <row r="655" spans="1:25" ht="15" hidden="1" customHeight="1" x14ac:dyDescent="0.25">
      <c r="A655" s="1" t="s">
        <v>27</v>
      </c>
      <c r="B655" s="1"/>
      <c r="C655" s="1" t="s">
        <v>115</v>
      </c>
      <c r="D655">
        <v>9970</v>
      </c>
      <c r="E655" s="1"/>
      <c r="F655" s="1" t="s">
        <v>260</v>
      </c>
      <c r="G655" s="1" t="s">
        <v>115</v>
      </c>
      <c r="H655" s="1" t="s">
        <v>1405</v>
      </c>
      <c r="I655">
        <v>2011</v>
      </c>
      <c r="J655" s="93">
        <v>93820.71</v>
      </c>
      <c r="K655">
        <v>12</v>
      </c>
      <c r="L655" s="1" t="s">
        <v>405</v>
      </c>
      <c r="M655">
        <v>0</v>
      </c>
      <c r="N655">
        <v>774</v>
      </c>
      <c r="O655">
        <v>121.19972799999999</v>
      </c>
      <c r="P655">
        <v>1</v>
      </c>
      <c r="Q655" s="1" t="s">
        <v>566</v>
      </c>
      <c r="R655" s="93">
        <v>102849.96</v>
      </c>
      <c r="S655">
        <v>20974.04</v>
      </c>
      <c r="T655">
        <v>0</v>
      </c>
      <c r="U655" s="1" t="s">
        <v>768</v>
      </c>
      <c r="V655" s="1" t="s">
        <v>1188</v>
      </c>
      <c r="W655">
        <v>8376.85</v>
      </c>
      <c r="X655">
        <v>0</v>
      </c>
      <c r="Y655">
        <v>76389</v>
      </c>
    </row>
    <row r="656" spans="1:25" ht="15" hidden="1" customHeight="1" x14ac:dyDescent="0.25">
      <c r="A656" s="1" t="s">
        <v>27</v>
      </c>
      <c r="B656" s="1"/>
      <c r="C656" s="1" t="s">
        <v>115</v>
      </c>
      <c r="D656">
        <v>9970</v>
      </c>
      <c r="E656" s="1"/>
      <c r="F656" s="1" t="s">
        <v>260</v>
      </c>
      <c r="G656" s="1" t="s">
        <v>115</v>
      </c>
      <c r="H656" s="1" t="s">
        <v>1405</v>
      </c>
      <c r="I656">
        <v>2010</v>
      </c>
      <c r="J656" s="93">
        <v>112439.13</v>
      </c>
      <c r="K656">
        <v>10</v>
      </c>
      <c r="L656" s="1" t="s">
        <v>405</v>
      </c>
      <c r="M656">
        <v>0</v>
      </c>
      <c r="N656">
        <v>774</v>
      </c>
      <c r="O656">
        <v>145.25142700000001</v>
      </c>
      <c r="P656">
        <v>1</v>
      </c>
      <c r="Q656" s="1" t="s">
        <v>566</v>
      </c>
      <c r="R656" s="93">
        <v>104048.16</v>
      </c>
      <c r="S656">
        <v>21218.38</v>
      </c>
      <c r="T656">
        <v>0</v>
      </c>
      <c r="U656" s="1" t="s">
        <v>768</v>
      </c>
      <c r="V656" s="1" t="s">
        <v>1188</v>
      </c>
      <c r="W656">
        <v>10039.207119999999</v>
      </c>
      <c r="X656">
        <v>0</v>
      </c>
      <c r="Y656">
        <v>76389</v>
      </c>
    </row>
    <row r="657" spans="1:25" ht="15" hidden="1" customHeight="1" x14ac:dyDescent="0.25">
      <c r="A657" s="1" t="s">
        <v>27</v>
      </c>
      <c r="B657" s="1"/>
      <c r="C657" s="1" t="s">
        <v>115</v>
      </c>
      <c r="D657">
        <v>9970</v>
      </c>
      <c r="E657" s="1"/>
      <c r="F657" s="1" t="s">
        <v>260</v>
      </c>
      <c r="G657" s="1" t="s">
        <v>115</v>
      </c>
      <c r="H657" s="1" t="s">
        <v>1405</v>
      </c>
      <c r="I657">
        <v>2009</v>
      </c>
      <c r="J657" s="93">
        <v>111555.51</v>
      </c>
      <c r="K657">
        <v>10</v>
      </c>
      <c r="L657" s="1" t="s">
        <v>405</v>
      </c>
      <c r="M657">
        <v>0</v>
      </c>
      <c r="N657">
        <v>774</v>
      </c>
      <c r="O657">
        <v>144.10994700000001</v>
      </c>
      <c r="P657">
        <v>1</v>
      </c>
      <c r="Q657" s="1" t="s">
        <v>566</v>
      </c>
      <c r="R657" s="93">
        <v>127590.21</v>
      </c>
      <c r="S657">
        <v>26019.33</v>
      </c>
      <c r="T657">
        <v>0</v>
      </c>
      <c r="U657" s="1" t="s">
        <v>768</v>
      </c>
      <c r="V657" s="1" t="s">
        <v>1188</v>
      </c>
      <c r="W657">
        <v>9960.3131400000002</v>
      </c>
      <c r="X657">
        <v>0</v>
      </c>
      <c r="Y657">
        <v>76389</v>
      </c>
    </row>
    <row r="658" spans="1:25" ht="15" hidden="1" customHeight="1" x14ac:dyDescent="0.25">
      <c r="A658" s="1" t="s">
        <v>27</v>
      </c>
      <c r="B658" s="1"/>
      <c r="C658" s="1" t="s">
        <v>115</v>
      </c>
      <c r="D658">
        <v>9970</v>
      </c>
      <c r="E658" s="1"/>
      <c r="F658" s="1" t="s">
        <v>260</v>
      </c>
      <c r="G658" s="1" t="s">
        <v>115</v>
      </c>
      <c r="H658" s="1" t="s">
        <v>1405</v>
      </c>
      <c r="I658">
        <v>2008</v>
      </c>
      <c r="J658" s="93">
        <v>89635.83</v>
      </c>
      <c r="K658">
        <v>7</v>
      </c>
      <c r="L658" s="1" t="s">
        <v>405</v>
      </c>
      <c r="M658">
        <v>0</v>
      </c>
      <c r="N658">
        <v>774</v>
      </c>
      <c r="O658">
        <v>115.793605</v>
      </c>
      <c r="P658">
        <v>1</v>
      </c>
      <c r="Q658" s="1" t="s">
        <v>566</v>
      </c>
      <c r="R658" s="93">
        <v>101612.13</v>
      </c>
      <c r="S658">
        <v>20721.62</v>
      </c>
      <c r="T658">
        <v>0</v>
      </c>
      <c r="U658" s="1" t="s">
        <v>768</v>
      </c>
      <c r="V658" s="1" t="s">
        <v>1188</v>
      </c>
      <c r="W658">
        <v>8003.20046</v>
      </c>
      <c r="X658">
        <v>0</v>
      </c>
      <c r="Y658">
        <v>76389</v>
      </c>
    </row>
    <row r="659" spans="1:25" ht="15" hidden="1" customHeight="1" x14ac:dyDescent="0.25">
      <c r="A659" s="1" t="s">
        <v>27</v>
      </c>
      <c r="B659" s="1" t="s">
        <v>52</v>
      </c>
      <c r="C659" s="1" t="s">
        <v>116</v>
      </c>
      <c r="D659">
        <v>5252</v>
      </c>
      <c r="E659" s="1"/>
      <c r="F659" s="1" t="s">
        <v>116</v>
      </c>
      <c r="G659" s="1" t="s">
        <v>116</v>
      </c>
      <c r="H659" s="1" t="s">
        <v>1405</v>
      </c>
      <c r="I659">
        <v>2015</v>
      </c>
      <c r="J659" s="93">
        <v>75411</v>
      </c>
      <c r="K659">
        <v>5</v>
      </c>
      <c r="L659" s="1" t="s">
        <v>469</v>
      </c>
      <c r="M659">
        <v>0</v>
      </c>
      <c r="N659">
        <v>752</v>
      </c>
      <c r="O659">
        <v>58.800691</v>
      </c>
      <c r="P659">
        <v>1</v>
      </c>
      <c r="Q659" s="1" t="s">
        <v>562</v>
      </c>
      <c r="R659" s="93">
        <v>87408</v>
      </c>
      <c r="S659">
        <v>9223162.0500000007</v>
      </c>
      <c r="T659">
        <v>0</v>
      </c>
      <c r="U659" s="1" t="s">
        <v>769</v>
      </c>
      <c r="V659" s="1"/>
      <c r="W659">
        <v>44224</v>
      </c>
      <c r="X659">
        <v>0</v>
      </c>
      <c r="Y659">
        <v>56688</v>
      </c>
    </row>
    <row r="660" spans="1:25" ht="15" hidden="1" customHeight="1" x14ac:dyDescent="0.25">
      <c r="A660" s="1" t="s">
        <v>27</v>
      </c>
      <c r="B660" s="1" t="s">
        <v>52</v>
      </c>
      <c r="C660" s="1" t="s">
        <v>116</v>
      </c>
      <c r="D660">
        <v>5252</v>
      </c>
      <c r="E660" s="1"/>
      <c r="F660" s="1" t="s">
        <v>116</v>
      </c>
      <c r="G660" s="1" t="s">
        <v>116</v>
      </c>
      <c r="H660" s="1" t="s">
        <v>1396</v>
      </c>
      <c r="I660">
        <v>2015</v>
      </c>
      <c r="J660" s="93">
        <v>36214.080000000002</v>
      </c>
      <c r="K660">
        <v>5</v>
      </c>
      <c r="L660" s="1" t="s">
        <v>469</v>
      </c>
      <c r="M660">
        <v>0</v>
      </c>
      <c r="N660">
        <v>752</v>
      </c>
      <c r="O660">
        <v>48.150618000000001</v>
      </c>
      <c r="P660">
        <v>1</v>
      </c>
      <c r="Q660" s="1" t="s">
        <v>563</v>
      </c>
      <c r="R660" s="93">
        <v>40920.699999999997</v>
      </c>
      <c r="S660">
        <v>216977.07</v>
      </c>
      <c r="T660">
        <v>1</v>
      </c>
      <c r="U660" s="1" t="s">
        <v>769</v>
      </c>
      <c r="V660" s="1"/>
      <c r="W660">
        <v>1037.95</v>
      </c>
      <c r="X660">
        <v>0</v>
      </c>
      <c r="Y660">
        <v>56995</v>
      </c>
    </row>
    <row r="661" spans="1:25" ht="15" hidden="1" customHeight="1" x14ac:dyDescent="0.25">
      <c r="A661" s="1" t="s">
        <v>27</v>
      </c>
      <c r="B661" s="1" t="s">
        <v>55</v>
      </c>
      <c r="C661" s="1" t="s">
        <v>122</v>
      </c>
      <c r="D661">
        <v>5262</v>
      </c>
      <c r="E661" s="1"/>
      <c r="F661" s="1" t="s">
        <v>122</v>
      </c>
      <c r="G661" s="1" t="s">
        <v>122</v>
      </c>
      <c r="H661" s="1" t="s">
        <v>1405</v>
      </c>
      <c r="I661">
        <v>2014</v>
      </c>
      <c r="J661" s="93">
        <f>63000+21000</f>
        <v>84000</v>
      </c>
      <c r="K661">
        <v>12</v>
      </c>
      <c r="L661" s="1"/>
      <c r="M661">
        <v>0</v>
      </c>
      <c r="N661">
        <v>874</v>
      </c>
      <c r="O661">
        <v>72.074133000000003</v>
      </c>
      <c r="P661">
        <v>1</v>
      </c>
      <c r="Q661" s="1" t="s">
        <v>562</v>
      </c>
      <c r="R661" s="93">
        <f>77514.1+21000</f>
        <v>98514.1</v>
      </c>
      <c r="S661">
        <v>2935067.66</v>
      </c>
      <c r="T661">
        <v>0</v>
      </c>
      <c r="U661" s="1" t="s">
        <v>774</v>
      </c>
      <c r="V661" s="1"/>
      <c r="W661">
        <v>63000</v>
      </c>
      <c r="X661">
        <v>0</v>
      </c>
      <c r="Y661">
        <v>56738</v>
      </c>
    </row>
    <row r="662" spans="1:25" ht="15" hidden="1" customHeight="1" x14ac:dyDescent="0.25">
      <c r="A662" s="1" t="s">
        <v>27</v>
      </c>
      <c r="B662" s="1" t="s">
        <v>55</v>
      </c>
      <c r="C662" s="1" t="s">
        <v>122</v>
      </c>
      <c r="D662">
        <v>5262</v>
      </c>
      <c r="E662" s="1"/>
      <c r="F662" s="1" t="s">
        <v>122</v>
      </c>
      <c r="G662" s="1" t="s">
        <v>122</v>
      </c>
      <c r="H662" s="1" t="s">
        <v>1405</v>
      </c>
      <c r="I662">
        <v>2014</v>
      </c>
      <c r="J662" s="93">
        <v>7224.8</v>
      </c>
      <c r="K662">
        <v>12</v>
      </c>
      <c r="L662" s="1" t="s">
        <v>397</v>
      </c>
      <c r="M662">
        <v>0</v>
      </c>
      <c r="N662">
        <v>874</v>
      </c>
      <c r="O662">
        <v>8.2654150000000008</v>
      </c>
      <c r="P662">
        <v>2</v>
      </c>
      <c r="Q662" s="1" t="s">
        <v>569</v>
      </c>
      <c r="R662" s="93">
        <v>7224.8</v>
      </c>
      <c r="S662">
        <v>2889.93</v>
      </c>
      <c r="T662">
        <v>0</v>
      </c>
      <c r="U662" s="1" t="s">
        <v>968</v>
      </c>
      <c r="V662" s="1" t="s">
        <v>1257</v>
      </c>
      <c r="W662">
        <v>7224.8119999999999</v>
      </c>
      <c r="X662">
        <v>0</v>
      </c>
      <c r="Y662">
        <v>56759</v>
      </c>
    </row>
    <row r="663" spans="1:25" ht="15" hidden="1" customHeight="1" x14ac:dyDescent="0.25">
      <c r="A663" s="1" t="s">
        <v>27</v>
      </c>
      <c r="B663" s="1" t="s">
        <v>52</v>
      </c>
      <c r="C663" s="1" t="s">
        <v>116</v>
      </c>
      <c r="D663">
        <v>5252</v>
      </c>
      <c r="E663" s="1"/>
      <c r="F663" s="1" t="s">
        <v>116</v>
      </c>
      <c r="G663" s="1" t="s">
        <v>116</v>
      </c>
      <c r="H663" s="1" t="s">
        <v>1405</v>
      </c>
      <c r="I663">
        <v>2013</v>
      </c>
      <c r="J663" s="93">
        <v>89896</v>
      </c>
      <c r="K663">
        <v>12</v>
      </c>
      <c r="L663" s="1" t="s">
        <v>469</v>
      </c>
      <c r="M663">
        <v>0</v>
      </c>
      <c r="N663">
        <v>752</v>
      </c>
      <c r="O663">
        <v>119.526658</v>
      </c>
      <c r="P663">
        <v>1</v>
      </c>
      <c r="Q663" s="1" t="s">
        <v>562</v>
      </c>
      <c r="R663" s="93">
        <v>93961.78</v>
      </c>
      <c r="S663">
        <v>17382.919999999998</v>
      </c>
      <c r="T663">
        <v>0</v>
      </c>
      <c r="U663" s="1" t="s">
        <v>769</v>
      </c>
      <c r="V663" s="1"/>
      <c r="W663">
        <v>89896</v>
      </c>
      <c r="X663">
        <v>0</v>
      </c>
      <c r="Y663">
        <v>56688</v>
      </c>
    </row>
    <row r="664" spans="1:25" ht="15" hidden="1" customHeight="1" x14ac:dyDescent="0.25">
      <c r="A664" s="1" t="s">
        <v>27</v>
      </c>
      <c r="B664" s="1" t="s">
        <v>52</v>
      </c>
      <c r="C664" s="1" t="s">
        <v>116</v>
      </c>
      <c r="D664">
        <v>5252</v>
      </c>
      <c r="E664" s="1"/>
      <c r="F664" s="1" t="s">
        <v>116</v>
      </c>
      <c r="G664" s="1" t="s">
        <v>116</v>
      </c>
      <c r="H664" s="1" t="s">
        <v>1396</v>
      </c>
      <c r="I664">
        <v>2013</v>
      </c>
      <c r="J664" s="93">
        <v>115503.35</v>
      </c>
      <c r="K664">
        <v>12</v>
      </c>
      <c r="L664" s="1" t="s">
        <v>469</v>
      </c>
      <c r="M664">
        <v>0</v>
      </c>
      <c r="N664">
        <v>752</v>
      </c>
      <c r="O664">
        <v>153.57445799999999</v>
      </c>
      <c r="P664">
        <v>1</v>
      </c>
      <c r="Q664" s="1" t="s">
        <v>563</v>
      </c>
      <c r="R664" s="93">
        <v>140448.54999999999</v>
      </c>
      <c r="S664">
        <v>744.72</v>
      </c>
      <c r="T664">
        <v>1</v>
      </c>
      <c r="U664" s="1" t="s">
        <v>769</v>
      </c>
      <c r="V664" s="1"/>
      <c r="W664">
        <v>3310.5</v>
      </c>
      <c r="X664">
        <v>0</v>
      </c>
      <c r="Y664">
        <v>56995</v>
      </c>
    </row>
    <row r="665" spans="1:25" ht="15" hidden="1" customHeight="1" x14ac:dyDescent="0.25">
      <c r="A665" s="1" t="s">
        <v>27</v>
      </c>
      <c r="B665" s="1" t="s">
        <v>52</v>
      </c>
      <c r="C665" s="1" t="s">
        <v>116</v>
      </c>
      <c r="D665">
        <v>5252</v>
      </c>
      <c r="E665" s="1"/>
      <c r="F665" s="1" t="s">
        <v>116</v>
      </c>
      <c r="G665" s="1" t="s">
        <v>116</v>
      </c>
      <c r="H665" s="1" t="s">
        <v>1405</v>
      </c>
      <c r="I665">
        <v>2012</v>
      </c>
      <c r="J665" s="93">
        <v>82264</v>
      </c>
      <c r="K665">
        <v>12</v>
      </c>
      <c r="L665" s="1" t="s">
        <v>469</v>
      </c>
      <c r="M665">
        <v>0</v>
      </c>
      <c r="N665">
        <v>752</v>
      </c>
      <c r="O665">
        <v>109.379071</v>
      </c>
      <c r="P665">
        <v>1</v>
      </c>
      <c r="Q665" s="1" t="s">
        <v>562</v>
      </c>
      <c r="R665" s="93">
        <v>86403.9</v>
      </c>
      <c r="S665">
        <v>15984.73</v>
      </c>
      <c r="T665">
        <v>0</v>
      </c>
      <c r="U665" s="1" t="s">
        <v>769</v>
      </c>
      <c r="V665" s="1"/>
      <c r="W665">
        <v>82264</v>
      </c>
      <c r="X665">
        <v>0</v>
      </c>
      <c r="Y665">
        <v>56688</v>
      </c>
    </row>
    <row r="666" spans="1:25" ht="15" hidden="1" customHeight="1" x14ac:dyDescent="0.25">
      <c r="A666" s="1" t="s">
        <v>27</v>
      </c>
      <c r="B666" s="1" t="s">
        <v>52</v>
      </c>
      <c r="C666" s="1" t="s">
        <v>116</v>
      </c>
      <c r="D666">
        <v>5252</v>
      </c>
      <c r="E666" s="1"/>
      <c r="F666" s="1" t="s">
        <v>116</v>
      </c>
      <c r="G666" s="1" t="s">
        <v>116</v>
      </c>
      <c r="H666" s="1" t="s">
        <v>1396</v>
      </c>
      <c r="I666">
        <v>2012</v>
      </c>
      <c r="J666" s="93">
        <v>67110.91</v>
      </c>
      <c r="K666">
        <v>12</v>
      </c>
      <c r="L666" s="1" t="s">
        <v>469</v>
      </c>
      <c r="M666">
        <v>0</v>
      </c>
      <c r="N666">
        <v>752</v>
      </c>
      <c r="O666">
        <v>89.231364999999997</v>
      </c>
      <c r="P666">
        <v>1</v>
      </c>
      <c r="Q666" s="1" t="s">
        <v>563</v>
      </c>
      <c r="R666" s="93">
        <v>69736.13</v>
      </c>
      <c r="S666">
        <v>369.76</v>
      </c>
      <c r="T666">
        <v>1</v>
      </c>
      <c r="U666" s="1" t="s">
        <v>769</v>
      </c>
      <c r="V666" s="1"/>
      <c r="W666">
        <v>1923.5000299999999</v>
      </c>
      <c r="X666">
        <v>0</v>
      </c>
      <c r="Y666">
        <v>56995</v>
      </c>
    </row>
    <row r="667" spans="1:25" ht="15" hidden="1" customHeight="1" x14ac:dyDescent="0.25">
      <c r="A667" s="1" t="s">
        <v>27</v>
      </c>
      <c r="B667" s="1" t="s">
        <v>52</v>
      </c>
      <c r="C667" s="1" t="s">
        <v>116</v>
      </c>
      <c r="D667">
        <v>5252</v>
      </c>
      <c r="E667" s="1"/>
      <c r="F667" s="1" t="s">
        <v>116</v>
      </c>
      <c r="G667" s="1" t="s">
        <v>116</v>
      </c>
      <c r="H667" s="1" t="s">
        <v>1405</v>
      </c>
      <c r="I667">
        <v>2011</v>
      </c>
      <c r="J667" s="93">
        <v>81811.5</v>
      </c>
      <c r="K667">
        <v>12</v>
      </c>
      <c r="L667" s="1" t="s">
        <v>469</v>
      </c>
      <c r="M667">
        <v>0</v>
      </c>
      <c r="N667">
        <v>752</v>
      </c>
      <c r="O667">
        <v>108.777423</v>
      </c>
      <c r="P667">
        <v>1</v>
      </c>
      <c r="Q667" s="1" t="s">
        <v>562</v>
      </c>
      <c r="R667" s="93">
        <v>88908.4</v>
      </c>
      <c r="S667">
        <v>16448.05</v>
      </c>
      <c r="T667">
        <v>0</v>
      </c>
      <c r="U667" s="1" t="s">
        <v>769</v>
      </c>
      <c r="V667" s="1"/>
      <c r="W667">
        <v>81811.5</v>
      </c>
      <c r="X667">
        <v>0</v>
      </c>
      <c r="Y667">
        <v>56688</v>
      </c>
    </row>
    <row r="668" spans="1:25" ht="15" hidden="1" customHeight="1" x14ac:dyDescent="0.25">
      <c r="A668" s="1" t="s">
        <v>27</v>
      </c>
      <c r="B668" s="1" t="s">
        <v>52</v>
      </c>
      <c r="C668" s="1" t="s">
        <v>116</v>
      </c>
      <c r="D668">
        <v>5252</v>
      </c>
      <c r="E668" s="1"/>
      <c r="F668" s="1" t="s">
        <v>116</v>
      </c>
      <c r="G668" s="1" t="s">
        <v>116</v>
      </c>
      <c r="H668" s="1" t="s">
        <v>1396</v>
      </c>
      <c r="I668">
        <v>2011</v>
      </c>
      <c r="J668" s="93">
        <v>80148.97</v>
      </c>
      <c r="K668">
        <v>12</v>
      </c>
      <c r="L668" s="1" t="s">
        <v>469</v>
      </c>
      <c r="M668">
        <v>0</v>
      </c>
      <c r="N668">
        <v>752</v>
      </c>
      <c r="O668">
        <v>106.56690500000001</v>
      </c>
      <c r="P668">
        <v>1</v>
      </c>
      <c r="Q668" s="1" t="s">
        <v>563</v>
      </c>
      <c r="R668" s="93">
        <v>85031.679999999993</v>
      </c>
      <c r="S668">
        <v>450.87</v>
      </c>
      <c r="T668">
        <v>1</v>
      </c>
      <c r="U668" s="1" t="s">
        <v>769</v>
      </c>
      <c r="V668" s="1"/>
      <c r="W668">
        <v>2297.19</v>
      </c>
      <c r="X668">
        <v>0</v>
      </c>
      <c r="Y668">
        <v>56995</v>
      </c>
    </row>
    <row r="669" spans="1:25" ht="15" hidden="1" customHeight="1" x14ac:dyDescent="0.25">
      <c r="A669" s="1" t="s">
        <v>27</v>
      </c>
      <c r="B669" s="1" t="s">
        <v>52</v>
      </c>
      <c r="C669" s="1" t="s">
        <v>116</v>
      </c>
      <c r="D669">
        <v>5252</v>
      </c>
      <c r="E669" s="1"/>
      <c r="F669" s="1" t="s">
        <v>116</v>
      </c>
      <c r="G669" s="1" t="s">
        <v>116</v>
      </c>
      <c r="H669" s="1" t="s">
        <v>1405</v>
      </c>
      <c r="I669">
        <v>2010</v>
      </c>
      <c r="J669" s="93">
        <v>102172.5</v>
      </c>
      <c r="K669">
        <v>12</v>
      </c>
      <c r="L669" s="1" t="s">
        <v>469</v>
      </c>
      <c r="M669">
        <v>0</v>
      </c>
      <c r="N669">
        <v>752</v>
      </c>
      <c r="O669">
        <v>135.84962100000001</v>
      </c>
      <c r="P669">
        <v>1</v>
      </c>
      <c r="Q669" s="1" t="s">
        <v>562</v>
      </c>
      <c r="R669" s="93">
        <v>93292.4</v>
      </c>
      <c r="S669">
        <v>17259.09</v>
      </c>
      <c r="T669">
        <v>0</v>
      </c>
      <c r="U669" s="1" t="s">
        <v>769</v>
      </c>
      <c r="V669" s="1"/>
      <c r="W669">
        <v>102172.5</v>
      </c>
      <c r="X669">
        <v>0</v>
      </c>
      <c r="Y669">
        <v>56688</v>
      </c>
    </row>
    <row r="670" spans="1:25" ht="15" hidden="1" customHeight="1" x14ac:dyDescent="0.25">
      <c r="A670" s="1" t="s">
        <v>27</v>
      </c>
      <c r="B670" s="1" t="s">
        <v>52</v>
      </c>
      <c r="C670" s="1" t="s">
        <v>116</v>
      </c>
      <c r="D670">
        <v>5252</v>
      </c>
      <c r="E670" s="1"/>
      <c r="F670" s="1" t="s">
        <v>116</v>
      </c>
      <c r="G670" s="1" t="s">
        <v>116</v>
      </c>
      <c r="H670" s="1" t="s">
        <v>1396</v>
      </c>
      <c r="I670">
        <v>2010</v>
      </c>
      <c r="J670" s="93">
        <v>88428.71</v>
      </c>
      <c r="K670">
        <v>12</v>
      </c>
      <c r="L670" s="1" t="s">
        <v>469</v>
      </c>
      <c r="M670">
        <v>0</v>
      </c>
      <c r="N670">
        <v>752</v>
      </c>
      <c r="O670">
        <v>117.575734</v>
      </c>
      <c r="P670">
        <v>1</v>
      </c>
      <c r="Q670" s="1" t="s">
        <v>563</v>
      </c>
      <c r="R670" s="93">
        <v>80623.740000000005</v>
      </c>
      <c r="S670">
        <v>427.49</v>
      </c>
      <c r="T670">
        <v>1</v>
      </c>
      <c r="U670" s="1" t="s">
        <v>769</v>
      </c>
      <c r="V670" s="1"/>
      <c r="W670">
        <v>2534.5</v>
      </c>
      <c r="X670">
        <v>0</v>
      </c>
      <c r="Y670">
        <v>56995</v>
      </c>
    </row>
    <row r="671" spans="1:25" ht="15" hidden="1" customHeight="1" x14ac:dyDescent="0.25">
      <c r="A671" s="1" t="s">
        <v>27</v>
      </c>
      <c r="B671" s="1" t="s">
        <v>52</v>
      </c>
      <c r="C671" s="1" t="s">
        <v>116</v>
      </c>
      <c r="D671">
        <v>5252</v>
      </c>
      <c r="E671" s="1"/>
      <c r="F671" s="1" t="s">
        <v>116</v>
      </c>
      <c r="G671" s="1" t="s">
        <v>116</v>
      </c>
      <c r="H671" s="1" t="s">
        <v>1405</v>
      </c>
      <c r="I671">
        <v>2009</v>
      </c>
      <c r="J671" s="93">
        <v>89614</v>
      </c>
      <c r="K671">
        <v>12</v>
      </c>
      <c r="L671" s="1" t="s">
        <v>469</v>
      </c>
      <c r="M671">
        <v>0</v>
      </c>
      <c r="N671">
        <v>752</v>
      </c>
      <c r="O671">
        <v>119.151708</v>
      </c>
      <c r="P671">
        <v>1</v>
      </c>
      <c r="Q671" s="1" t="s">
        <v>562</v>
      </c>
      <c r="R671" s="93">
        <v>95768</v>
      </c>
      <c r="S671">
        <v>17717.07</v>
      </c>
      <c r="T671">
        <v>0</v>
      </c>
      <c r="U671" s="1" t="s">
        <v>769</v>
      </c>
      <c r="V671" s="1"/>
      <c r="W671">
        <v>89614</v>
      </c>
      <c r="X671">
        <v>0</v>
      </c>
      <c r="Y671">
        <v>56688</v>
      </c>
    </row>
    <row r="672" spans="1:25" ht="15" hidden="1" customHeight="1" x14ac:dyDescent="0.25">
      <c r="A672" s="1" t="s">
        <v>27</v>
      </c>
      <c r="B672" s="1" t="s">
        <v>52</v>
      </c>
      <c r="C672" s="1" t="s">
        <v>116</v>
      </c>
      <c r="D672">
        <v>5252</v>
      </c>
      <c r="E672" s="1"/>
      <c r="F672" s="1" t="s">
        <v>116</v>
      </c>
      <c r="G672" s="1" t="s">
        <v>116</v>
      </c>
      <c r="H672" s="1" t="s">
        <v>1396</v>
      </c>
      <c r="I672">
        <v>2009</v>
      </c>
      <c r="J672" s="93">
        <v>76805.45</v>
      </c>
      <c r="K672">
        <v>12</v>
      </c>
      <c r="L672" s="1" t="s">
        <v>469</v>
      </c>
      <c r="M672">
        <v>0</v>
      </c>
      <c r="N672">
        <v>752</v>
      </c>
      <c r="O672">
        <v>102.121326</v>
      </c>
      <c r="P672">
        <v>1</v>
      </c>
      <c r="Q672" s="1" t="s">
        <v>563</v>
      </c>
      <c r="R672" s="93">
        <v>81659.63</v>
      </c>
      <c r="S672">
        <v>432.99</v>
      </c>
      <c r="T672">
        <v>1</v>
      </c>
      <c r="U672" s="1" t="s">
        <v>769</v>
      </c>
      <c r="V672" s="1"/>
      <c r="W672">
        <v>2201.36</v>
      </c>
      <c r="X672">
        <v>0</v>
      </c>
      <c r="Y672">
        <v>56995</v>
      </c>
    </row>
    <row r="673" spans="1:25" ht="15" hidden="1" customHeight="1" x14ac:dyDescent="0.25">
      <c r="A673" s="1" t="s">
        <v>27</v>
      </c>
      <c r="B673" s="1" t="s">
        <v>52</v>
      </c>
      <c r="C673" s="1" t="s">
        <v>116</v>
      </c>
      <c r="D673">
        <v>5252</v>
      </c>
      <c r="E673" s="1"/>
      <c r="F673" s="1" t="s">
        <v>116</v>
      </c>
      <c r="G673" s="1" t="s">
        <v>116</v>
      </c>
      <c r="H673" s="1" t="s">
        <v>1405</v>
      </c>
      <c r="I673">
        <v>2008</v>
      </c>
      <c r="J673" s="93">
        <v>81558</v>
      </c>
      <c r="K673">
        <v>12</v>
      </c>
      <c r="L673" s="1" t="s">
        <v>469</v>
      </c>
      <c r="M673">
        <v>0</v>
      </c>
      <c r="N673">
        <v>752</v>
      </c>
      <c r="O673">
        <v>108.440366</v>
      </c>
      <c r="P673">
        <v>1</v>
      </c>
      <c r="Q673" s="1" t="s">
        <v>562</v>
      </c>
      <c r="R673" s="93">
        <v>92767.25</v>
      </c>
      <c r="S673">
        <v>17161.91</v>
      </c>
      <c r="T673">
        <v>0</v>
      </c>
      <c r="U673" s="1" t="s">
        <v>769</v>
      </c>
      <c r="V673" s="1"/>
      <c r="W673">
        <v>81558</v>
      </c>
      <c r="X673">
        <v>0</v>
      </c>
      <c r="Y673">
        <v>56688</v>
      </c>
    </row>
    <row r="674" spans="1:25" ht="15" hidden="1" customHeight="1" x14ac:dyDescent="0.25">
      <c r="A674" s="1" t="s">
        <v>27</v>
      </c>
      <c r="B674" s="1" t="s">
        <v>52</v>
      </c>
      <c r="C674" s="1" t="s">
        <v>116</v>
      </c>
      <c r="D674">
        <v>5252</v>
      </c>
      <c r="E674" s="1"/>
      <c r="F674" s="1" t="s">
        <v>116</v>
      </c>
      <c r="G674" s="1" t="s">
        <v>116</v>
      </c>
      <c r="H674" s="1" t="s">
        <v>1396</v>
      </c>
      <c r="I674">
        <v>2008</v>
      </c>
      <c r="J674" s="93">
        <v>68228.789999999994</v>
      </c>
      <c r="K674">
        <v>12</v>
      </c>
      <c r="L674" s="1" t="s">
        <v>469</v>
      </c>
      <c r="M674">
        <v>0</v>
      </c>
      <c r="N674">
        <v>752</v>
      </c>
      <c r="O674">
        <v>90.717709999999997</v>
      </c>
      <c r="P674">
        <v>1</v>
      </c>
      <c r="Q674" s="1" t="s">
        <v>563</v>
      </c>
      <c r="R674" s="93">
        <v>77195.710000000006</v>
      </c>
      <c r="S674">
        <v>409.33</v>
      </c>
      <c r="T674">
        <v>1</v>
      </c>
      <c r="U674" s="1" t="s">
        <v>769</v>
      </c>
      <c r="V674" s="1"/>
      <c r="W674">
        <v>1955.54</v>
      </c>
      <c r="X674">
        <v>0</v>
      </c>
      <c r="Y674">
        <v>56995</v>
      </c>
    </row>
    <row r="675" spans="1:25" ht="15" hidden="1" customHeight="1" x14ac:dyDescent="0.25">
      <c r="A675" s="1" t="s">
        <v>27</v>
      </c>
      <c r="B675" s="1"/>
      <c r="C675" s="1" t="s">
        <v>117</v>
      </c>
      <c r="D675">
        <v>9977</v>
      </c>
      <c r="E675" s="1"/>
      <c r="F675" s="1" t="s">
        <v>261</v>
      </c>
      <c r="G675" s="1" t="s">
        <v>117</v>
      </c>
      <c r="H675" s="1" t="s">
        <v>1405</v>
      </c>
      <c r="I675">
        <v>2015</v>
      </c>
      <c r="J675" s="93">
        <v>48244</v>
      </c>
      <c r="K675">
        <v>5</v>
      </c>
      <c r="L675" s="1" t="s">
        <v>470</v>
      </c>
      <c r="M675">
        <v>0</v>
      </c>
      <c r="N675">
        <v>487</v>
      </c>
      <c r="O675">
        <v>54.552576000000002</v>
      </c>
      <c r="P675">
        <v>1</v>
      </c>
      <c r="Q675" s="1" t="s">
        <v>566</v>
      </c>
      <c r="R675" s="93">
        <v>55726</v>
      </c>
      <c r="S675">
        <v>6116.31</v>
      </c>
      <c r="T675">
        <v>0</v>
      </c>
      <c r="U675" s="1" t="s">
        <v>770</v>
      </c>
      <c r="V675" s="1" t="s">
        <v>1189</v>
      </c>
      <c r="W675">
        <v>2372.5500000000002</v>
      </c>
      <c r="X675">
        <v>0</v>
      </c>
      <c r="Y675">
        <v>76406</v>
      </c>
    </row>
    <row r="676" spans="1:25" ht="15" hidden="1" customHeight="1" x14ac:dyDescent="0.25">
      <c r="A676" s="1" t="s">
        <v>27</v>
      </c>
      <c r="B676" s="1" t="s">
        <v>55</v>
      </c>
      <c r="C676" s="1" t="s">
        <v>122</v>
      </c>
      <c r="D676">
        <v>5262</v>
      </c>
      <c r="E676" s="1"/>
      <c r="F676" s="1" t="s">
        <v>122</v>
      </c>
      <c r="G676" s="1" t="s">
        <v>122</v>
      </c>
      <c r="H676" s="1" t="s">
        <v>1405</v>
      </c>
      <c r="I676">
        <v>2014</v>
      </c>
      <c r="J676" s="93">
        <v>11185</v>
      </c>
      <c r="K676">
        <v>12</v>
      </c>
      <c r="L676" s="1" t="s">
        <v>516</v>
      </c>
      <c r="M676">
        <v>0</v>
      </c>
      <c r="N676">
        <v>874</v>
      </c>
      <c r="O676">
        <v>12.796018</v>
      </c>
      <c r="P676">
        <v>2</v>
      </c>
      <c r="Q676" s="1" t="s">
        <v>569</v>
      </c>
      <c r="R676" s="93">
        <v>11185</v>
      </c>
      <c r="S676">
        <v>4474.0200000000004</v>
      </c>
      <c r="T676">
        <v>0</v>
      </c>
      <c r="U676" s="1" t="s">
        <v>967</v>
      </c>
      <c r="V676" s="1" t="s">
        <v>1256</v>
      </c>
      <c r="W676">
        <v>11185.0041</v>
      </c>
      <c r="X676">
        <v>0</v>
      </c>
      <c r="Y676">
        <v>56737</v>
      </c>
    </row>
    <row r="677" spans="1:25" ht="15" hidden="1" customHeight="1" x14ac:dyDescent="0.25">
      <c r="A677" s="1" t="s">
        <v>27</v>
      </c>
      <c r="B677" s="1"/>
      <c r="C677" s="1" t="s">
        <v>117</v>
      </c>
      <c r="D677">
        <v>9977</v>
      </c>
      <c r="E677" s="1"/>
      <c r="F677" s="1" t="s">
        <v>261</v>
      </c>
      <c r="G677" s="1" t="s">
        <v>117</v>
      </c>
      <c r="H677" s="1" t="s">
        <v>1405</v>
      </c>
      <c r="I677">
        <v>2013</v>
      </c>
      <c r="J677" s="93">
        <v>58476.97</v>
      </c>
      <c r="K677">
        <v>12</v>
      </c>
      <c r="L677" s="1" t="s">
        <v>470</v>
      </c>
      <c r="M677">
        <v>0</v>
      </c>
      <c r="N677">
        <v>487</v>
      </c>
      <c r="O677">
        <v>120.05126199999999</v>
      </c>
      <c r="P677">
        <v>1</v>
      </c>
      <c r="Q677" s="1" t="s">
        <v>566</v>
      </c>
      <c r="R677" s="93">
        <v>62391.14</v>
      </c>
      <c r="S677">
        <v>12723.33</v>
      </c>
      <c r="T677">
        <v>0</v>
      </c>
      <c r="U677" s="1" t="s">
        <v>770</v>
      </c>
      <c r="V677" s="1" t="s">
        <v>1189</v>
      </c>
      <c r="W677">
        <v>5221.16</v>
      </c>
      <c r="X677">
        <v>0</v>
      </c>
      <c r="Y677">
        <v>76406</v>
      </c>
    </row>
    <row r="678" spans="1:25" ht="15" hidden="1" customHeight="1" x14ac:dyDescent="0.25">
      <c r="A678" s="1" t="s">
        <v>27</v>
      </c>
      <c r="B678" s="1"/>
      <c r="C678" s="1" t="s">
        <v>117</v>
      </c>
      <c r="D678">
        <v>9977</v>
      </c>
      <c r="E678" s="1"/>
      <c r="F678" s="1" t="s">
        <v>261</v>
      </c>
      <c r="G678" s="1" t="s">
        <v>117</v>
      </c>
      <c r="H678" s="1" t="s">
        <v>1405</v>
      </c>
      <c r="I678">
        <v>2012</v>
      </c>
      <c r="J678" s="93">
        <v>54554.52</v>
      </c>
      <c r="K678">
        <v>12</v>
      </c>
      <c r="L678" s="1" t="s">
        <v>470</v>
      </c>
      <c r="M678">
        <v>0</v>
      </c>
      <c r="N678">
        <v>487</v>
      </c>
      <c r="O678">
        <v>111.998603</v>
      </c>
      <c r="P678">
        <v>1</v>
      </c>
      <c r="Q678" s="1" t="s">
        <v>566</v>
      </c>
      <c r="R678" s="93">
        <v>57145.9</v>
      </c>
      <c r="S678">
        <v>11653.69</v>
      </c>
      <c r="T678">
        <v>0</v>
      </c>
      <c r="U678" s="1" t="s">
        <v>770</v>
      </c>
      <c r="V678" s="1" t="s">
        <v>1189</v>
      </c>
      <c r="W678">
        <v>4870.9399999999996</v>
      </c>
      <c r="X678">
        <v>0</v>
      </c>
      <c r="Y678">
        <v>76406</v>
      </c>
    </row>
    <row r="679" spans="1:25" ht="15" hidden="1" customHeight="1" x14ac:dyDescent="0.25">
      <c r="A679" s="1" t="s">
        <v>27</v>
      </c>
      <c r="B679" s="1"/>
      <c r="C679" s="1" t="s">
        <v>117</v>
      </c>
      <c r="D679">
        <v>9977</v>
      </c>
      <c r="E679" s="1"/>
      <c r="F679" s="1" t="s">
        <v>261</v>
      </c>
      <c r="G679" s="1" t="s">
        <v>117</v>
      </c>
      <c r="H679" s="1" t="s">
        <v>1405</v>
      </c>
      <c r="I679">
        <v>2011</v>
      </c>
      <c r="J679" s="93">
        <v>57742.62</v>
      </c>
      <c r="K679">
        <v>12</v>
      </c>
      <c r="L679" s="1" t="s">
        <v>470</v>
      </c>
      <c r="M679">
        <v>0</v>
      </c>
      <c r="N679">
        <v>487</v>
      </c>
      <c r="O679">
        <v>118.543666</v>
      </c>
      <c r="P679">
        <v>1</v>
      </c>
      <c r="Q679" s="1" t="s">
        <v>566</v>
      </c>
      <c r="R679" s="93">
        <v>63046.03</v>
      </c>
      <c r="S679">
        <v>12856.89</v>
      </c>
      <c r="T679">
        <v>0</v>
      </c>
      <c r="U679" s="1" t="s">
        <v>770</v>
      </c>
      <c r="V679" s="1" t="s">
        <v>1189</v>
      </c>
      <c r="W679">
        <v>5155.59</v>
      </c>
      <c r="X679">
        <v>0</v>
      </c>
      <c r="Y679">
        <v>76406</v>
      </c>
    </row>
    <row r="680" spans="1:25" ht="15" hidden="1" customHeight="1" x14ac:dyDescent="0.25">
      <c r="A680" s="1" t="s">
        <v>27</v>
      </c>
      <c r="B680" s="1"/>
      <c r="C680" s="1" t="s">
        <v>117</v>
      </c>
      <c r="D680">
        <v>9977</v>
      </c>
      <c r="E680" s="1"/>
      <c r="F680" s="1" t="s">
        <v>261</v>
      </c>
      <c r="G680" s="1" t="s">
        <v>117</v>
      </c>
      <c r="H680" s="1" t="s">
        <v>1405</v>
      </c>
      <c r="I680">
        <v>2010</v>
      </c>
      <c r="J680" s="93">
        <v>58016.56</v>
      </c>
      <c r="K680">
        <v>6</v>
      </c>
      <c r="L680" s="1" t="s">
        <v>470</v>
      </c>
      <c r="M680">
        <v>0</v>
      </c>
      <c r="N680">
        <v>487</v>
      </c>
      <c r="O680">
        <v>119.106056</v>
      </c>
      <c r="P680">
        <v>1</v>
      </c>
      <c r="Q680" s="1" t="s">
        <v>566</v>
      </c>
      <c r="R680" s="93">
        <v>56885.38</v>
      </c>
      <c r="S680">
        <v>11600.55</v>
      </c>
      <c r="T680">
        <v>0</v>
      </c>
      <c r="U680" s="1" t="s">
        <v>770</v>
      </c>
      <c r="V680" s="1" t="s">
        <v>1189</v>
      </c>
      <c r="W680">
        <v>5180.05026</v>
      </c>
      <c r="X680">
        <v>0</v>
      </c>
      <c r="Y680">
        <v>76406</v>
      </c>
    </row>
    <row r="681" spans="1:25" ht="15" hidden="1" customHeight="1" x14ac:dyDescent="0.25">
      <c r="A681" s="1" t="s">
        <v>27</v>
      </c>
      <c r="B681" s="1"/>
      <c r="C681" s="1" t="s">
        <v>117</v>
      </c>
      <c r="D681">
        <v>9977</v>
      </c>
      <c r="E681" s="1"/>
      <c r="F681" s="1" t="s">
        <v>261</v>
      </c>
      <c r="G681" s="1" t="s">
        <v>117</v>
      </c>
      <c r="H681" s="1" t="s">
        <v>1405</v>
      </c>
      <c r="I681">
        <v>2009</v>
      </c>
      <c r="J681" s="93">
        <v>65161.13</v>
      </c>
      <c r="K681">
        <v>5</v>
      </c>
      <c r="L681" s="1" t="s">
        <v>470</v>
      </c>
      <c r="M681">
        <v>0</v>
      </c>
      <c r="N681">
        <v>487</v>
      </c>
      <c r="O681">
        <v>133.773619</v>
      </c>
      <c r="P681">
        <v>1</v>
      </c>
      <c r="Q681" s="1" t="s">
        <v>566</v>
      </c>
      <c r="R681" s="93">
        <v>88826.78</v>
      </c>
      <c r="S681">
        <v>18114.32</v>
      </c>
      <c r="T681">
        <v>0</v>
      </c>
      <c r="U681" s="1" t="s">
        <v>770</v>
      </c>
      <c r="V681" s="1" t="s">
        <v>1189</v>
      </c>
      <c r="W681">
        <v>5817.9585800000004</v>
      </c>
      <c r="X681">
        <v>0</v>
      </c>
      <c r="Y681">
        <v>76406</v>
      </c>
    </row>
    <row r="682" spans="1:25" ht="15" hidden="1" customHeight="1" x14ac:dyDescent="0.25">
      <c r="A682" s="1" t="s">
        <v>27</v>
      </c>
      <c r="B682" s="1"/>
      <c r="C682" s="1" t="s">
        <v>117</v>
      </c>
      <c r="D682">
        <v>9977</v>
      </c>
      <c r="E682" s="1"/>
      <c r="F682" s="1" t="s">
        <v>261</v>
      </c>
      <c r="G682" s="1" t="s">
        <v>117</v>
      </c>
      <c r="H682" s="1" t="s">
        <v>1405</v>
      </c>
      <c r="I682">
        <v>2008</v>
      </c>
      <c r="J682" s="93">
        <v>69646.789999999994</v>
      </c>
      <c r="K682">
        <v>9</v>
      </c>
      <c r="L682" s="1" t="s">
        <v>470</v>
      </c>
      <c r="M682">
        <v>0</v>
      </c>
      <c r="N682">
        <v>487</v>
      </c>
      <c r="O682">
        <v>142.982529</v>
      </c>
      <c r="P682">
        <v>1</v>
      </c>
      <c r="Q682" s="1" t="s">
        <v>566</v>
      </c>
      <c r="R682" s="93">
        <v>79234.98</v>
      </c>
      <c r="S682">
        <v>16158.28</v>
      </c>
      <c r="T682">
        <v>0</v>
      </c>
      <c r="U682" s="1" t="s">
        <v>770</v>
      </c>
      <c r="V682" s="1" t="s">
        <v>1189</v>
      </c>
      <c r="W682">
        <v>6218.4643400000004</v>
      </c>
      <c r="X682">
        <v>0</v>
      </c>
      <c r="Y682">
        <v>76406</v>
      </c>
    </row>
    <row r="683" spans="1:25" ht="15" hidden="1" customHeight="1" x14ac:dyDescent="0.25">
      <c r="A683" s="1" t="s">
        <v>27</v>
      </c>
      <c r="B683" s="1"/>
      <c r="C683" s="1" t="s">
        <v>118</v>
      </c>
      <c r="D683">
        <v>10018</v>
      </c>
      <c r="E683" s="1"/>
      <c r="F683" s="1" t="s">
        <v>262</v>
      </c>
      <c r="G683" s="1" t="s">
        <v>118</v>
      </c>
      <c r="H683" s="1" t="s">
        <v>1405</v>
      </c>
      <c r="I683">
        <v>2015</v>
      </c>
      <c r="J683" s="93">
        <v>95813</v>
      </c>
      <c r="K683">
        <v>5</v>
      </c>
      <c r="L683" s="1" t="s">
        <v>471</v>
      </c>
      <c r="M683">
        <v>0</v>
      </c>
      <c r="N683">
        <v>838</v>
      </c>
      <c r="O683">
        <v>70.209401999999997</v>
      </c>
      <c r="P683">
        <v>1</v>
      </c>
      <c r="Q683" s="1" t="s">
        <v>564</v>
      </c>
      <c r="R683" s="93">
        <v>111878</v>
      </c>
      <c r="S683">
        <v>14087.91</v>
      </c>
      <c r="T683">
        <v>0</v>
      </c>
      <c r="U683" s="1"/>
      <c r="V683" s="1" t="s">
        <v>1190</v>
      </c>
      <c r="W683">
        <v>5448.38</v>
      </c>
      <c r="X683">
        <v>0</v>
      </c>
      <c r="Y683">
        <v>76530</v>
      </c>
    </row>
    <row r="684" spans="1:25" ht="15" hidden="1" customHeight="1" x14ac:dyDescent="0.25">
      <c r="A684" s="1" t="s">
        <v>27</v>
      </c>
      <c r="B684" s="1" t="s">
        <v>55</v>
      </c>
      <c r="C684" s="1" t="s">
        <v>122</v>
      </c>
      <c r="D684">
        <v>5262</v>
      </c>
      <c r="E684" s="1"/>
      <c r="F684" s="1" t="s">
        <v>122</v>
      </c>
      <c r="G684" s="1" t="s">
        <v>122</v>
      </c>
      <c r="H684" s="1" t="s">
        <v>1396</v>
      </c>
      <c r="I684">
        <v>2014</v>
      </c>
      <c r="J684" s="93">
        <v>200369.78</v>
      </c>
      <c r="K684">
        <v>12</v>
      </c>
      <c r="L684" s="1"/>
      <c r="M684">
        <v>0</v>
      </c>
      <c r="N684">
        <v>874</v>
      </c>
      <c r="O684">
        <v>229.22981300000001</v>
      </c>
      <c r="P684">
        <v>1</v>
      </c>
      <c r="Q684" s="1" t="s">
        <v>563</v>
      </c>
      <c r="R684" s="93">
        <v>247729.83</v>
      </c>
      <c r="S684">
        <v>286065.23</v>
      </c>
      <c r="T684">
        <v>1</v>
      </c>
      <c r="U684" s="1" t="s">
        <v>774</v>
      </c>
      <c r="V684" s="1"/>
      <c r="W684">
        <v>5742.9</v>
      </c>
      <c r="X684">
        <v>0</v>
      </c>
      <c r="Y684">
        <v>56997</v>
      </c>
    </row>
    <row r="685" spans="1:25" ht="15" hidden="1" customHeight="1" x14ac:dyDescent="0.25">
      <c r="A685" s="1" t="s">
        <v>27</v>
      </c>
      <c r="B685" s="1"/>
      <c r="C685" s="1" t="s">
        <v>118</v>
      </c>
      <c r="D685">
        <v>10018</v>
      </c>
      <c r="E685" s="1"/>
      <c r="F685" s="1" t="s">
        <v>262</v>
      </c>
      <c r="G685" s="1" t="s">
        <v>118</v>
      </c>
      <c r="H685" s="1" t="s">
        <v>1405</v>
      </c>
      <c r="I685">
        <v>2013</v>
      </c>
      <c r="J685" s="93">
        <v>121317.87</v>
      </c>
      <c r="K685">
        <v>3</v>
      </c>
      <c r="L685" s="1" t="s">
        <v>471</v>
      </c>
      <c r="M685">
        <v>0</v>
      </c>
      <c r="N685">
        <v>838</v>
      </c>
      <c r="O685">
        <v>144.753454</v>
      </c>
      <c r="P685">
        <v>1</v>
      </c>
      <c r="Q685" s="1" t="s">
        <v>564</v>
      </c>
      <c r="R685" s="93">
        <v>173695.14</v>
      </c>
      <c r="S685">
        <v>36733.31</v>
      </c>
      <c r="T685">
        <v>0</v>
      </c>
      <c r="U685" s="1"/>
      <c r="V685" s="1" t="s">
        <v>1190</v>
      </c>
      <c r="W685">
        <v>11233.134330000001</v>
      </c>
      <c r="X685">
        <v>0</v>
      </c>
      <c r="Y685">
        <v>76530</v>
      </c>
    </row>
    <row r="686" spans="1:25" ht="15" hidden="1" customHeight="1" x14ac:dyDescent="0.25">
      <c r="A686" s="1" t="s">
        <v>27</v>
      </c>
      <c r="B686" s="1"/>
      <c r="C686" s="1" t="s">
        <v>118</v>
      </c>
      <c r="D686">
        <v>10018</v>
      </c>
      <c r="E686" s="1"/>
      <c r="F686" s="1" t="s">
        <v>262</v>
      </c>
      <c r="G686" s="1" t="s">
        <v>118</v>
      </c>
      <c r="H686" s="1" t="s">
        <v>1405</v>
      </c>
      <c r="I686">
        <v>2012</v>
      </c>
      <c r="J686" s="93">
        <v>111918.94</v>
      </c>
      <c r="K686">
        <v>2</v>
      </c>
      <c r="L686" s="1" t="s">
        <v>471</v>
      </c>
      <c r="M686">
        <v>0</v>
      </c>
      <c r="N686">
        <v>838</v>
      </c>
      <c r="O686">
        <v>133.53888499999999</v>
      </c>
      <c r="P686">
        <v>1</v>
      </c>
      <c r="Q686" s="1" t="s">
        <v>564</v>
      </c>
      <c r="R686" s="93">
        <v>124227.2</v>
      </c>
      <c r="S686">
        <v>26271.74</v>
      </c>
      <c r="T686">
        <v>0</v>
      </c>
      <c r="U686" s="1"/>
      <c r="V686" s="1" t="s">
        <v>1190</v>
      </c>
      <c r="W686">
        <v>10362.865680000001</v>
      </c>
      <c r="X686">
        <v>0</v>
      </c>
      <c r="Y686">
        <v>76530</v>
      </c>
    </row>
    <row r="687" spans="1:25" ht="15" hidden="1" customHeight="1" x14ac:dyDescent="0.25">
      <c r="A687" s="1" t="s">
        <v>27</v>
      </c>
      <c r="B687" s="1"/>
      <c r="C687" s="1" t="s">
        <v>118</v>
      </c>
      <c r="D687">
        <v>10018</v>
      </c>
      <c r="E687" s="1"/>
      <c r="F687" s="1" t="s">
        <v>262</v>
      </c>
      <c r="G687" s="1" t="s">
        <v>118</v>
      </c>
      <c r="H687" s="1" t="s">
        <v>1405</v>
      </c>
      <c r="I687">
        <v>2011</v>
      </c>
      <c r="J687" s="93">
        <v>117013.17</v>
      </c>
      <c r="K687">
        <v>1</v>
      </c>
      <c r="L687" s="1" t="s">
        <v>471</v>
      </c>
      <c r="M687">
        <v>0</v>
      </c>
      <c r="N687">
        <v>838</v>
      </c>
      <c r="O687">
        <v>139.61719299999999</v>
      </c>
      <c r="P687">
        <v>1</v>
      </c>
      <c r="Q687" s="1" t="s">
        <v>564</v>
      </c>
      <c r="R687" s="93">
        <v>136743.57999999999</v>
      </c>
      <c r="S687">
        <v>28918.75</v>
      </c>
      <c r="T687">
        <v>0</v>
      </c>
      <c r="U687" s="1"/>
      <c r="V687" s="1" t="s">
        <v>1190</v>
      </c>
      <c r="W687">
        <v>10834.553980000001</v>
      </c>
      <c r="X687">
        <v>0</v>
      </c>
      <c r="Y687">
        <v>76530</v>
      </c>
    </row>
    <row r="688" spans="1:25" ht="15" hidden="1" customHeight="1" x14ac:dyDescent="0.25">
      <c r="A688" s="1" t="s">
        <v>27</v>
      </c>
      <c r="B688" s="1"/>
      <c r="C688" s="1" t="s">
        <v>118</v>
      </c>
      <c r="D688">
        <v>10018</v>
      </c>
      <c r="E688" s="1"/>
      <c r="F688" s="1" t="s">
        <v>262</v>
      </c>
      <c r="G688" s="1" t="s">
        <v>118</v>
      </c>
      <c r="H688" s="1" t="s">
        <v>1405</v>
      </c>
      <c r="I688">
        <v>2010</v>
      </c>
      <c r="J688" s="93">
        <v>107652.92</v>
      </c>
      <c r="K688">
        <v>4</v>
      </c>
      <c r="L688" s="1" t="s">
        <v>471</v>
      </c>
      <c r="M688">
        <v>0</v>
      </c>
      <c r="N688">
        <v>838</v>
      </c>
      <c r="O688">
        <v>128.44877600000001</v>
      </c>
      <c r="P688">
        <v>1</v>
      </c>
      <c r="Q688" s="1" t="s">
        <v>564</v>
      </c>
      <c r="R688" s="93">
        <v>108197.8</v>
      </c>
      <c r="S688">
        <v>22881.82</v>
      </c>
      <c r="T688">
        <v>0</v>
      </c>
      <c r="U688" s="1"/>
      <c r="V688" s="1" t="s">
        <v>1190</v>
      </c>
      <c r="W688">
        <v>9967.8613800000003</v>
      </c>
      <c r="X688">
        <v>0</v>
      </c>
      <c r="Y688">
        <v>76530</v>
      </c>
    </row>
    <row r="689" spans="1:25" ht="15" hidden="1" customHeight="1" x14ac:dyDescent="0.25">
      <c r="A689" s="1" t="s">
        <v>27</v>
      </c>
      <c r="B689" s="1"/>
      <c r="C689" s="1" t="s">
        <v>118</v>
      </c>
      <c r="D689">
        <v>10018</v>
      </c>
      <c r="E689" s="1"/>
      <c r="F689" s="1" t="s">
        <v>262</v>
      </c>
      <c r="G689" s="1" t="s">
        <v>118</v>
      </c>
      <c r="H689" s="1" t="s">
        <v>1405</v>
      </c>
      <c r="I689">
        <v>2009</v>
      </c>
      <c r="J689" s="93">
        <v>126630.93</v>
      </c>
      <c r="K689">
        <v>3</v>
      </c>
      <c r="L689" s="1" t="s">
        <v>471</v>
      </c>
      <c r="M689">
        <v>0</v>
      </c>
      <c r="N689">
        <v>838</v>
      </c>
      <c r="O689">
        <v>151.09286399999999</v>
      </c>
      <c r="P689">
        <v>1</v>
      </c>
      <c r="Q689" s="1" t="s">
        <v>564</v>
      </c>
      <c r="R689" s="93">
        <v>174921.46</v>
      </c>
      <c r="S689">
        <v>36992.660000000003</v>
      </c>
      <c r="T689">
        <v>0</v>
      </c>
      <c r="U689" s="1"/>
      <c r="V689" s="1" t="s">
        <v>1190</v>
      </c>
      <c r="W689">
        <v>11725.084639999999</v>
      </c>
      <c r="X689">
        <v>0</v>
      </c>
      <c r="Y689">
        <v>76530</v>
      </c>
    </row>
    <row r="690" spans="1:25" ht="15" hidden="1" customHeight="1" x14ac:dyDescent="0.25">
      <c r="A690" s="1" t="s">
        <v>27</v>
      </c>
      <c r="B690" s="1"/>
      <c r="C690" s="1" t="s">
        <v>118</v>
      </c>
      <c r="D690">
        <v>10018</v>
      </c>
      <c r="E690" s="1"/>
      <c r="F690" s="1" t="s">
        <v>262</v>
      </c>
      <c r="G690" s="1" t="s">
        <v>118</v>
      </c>
      <c r="H690" s="1" t="s">
        <v>1405</v>
      </c>
      <c r="I690">
        <v>2008</v>
      </c>
      <c r="J690" s="93">
        <v>123695.84</v>
      </c>
      <c r="K690">
        <v>5</v>
      </c>
      <c r="L690" s="1" t="s">
        <v>471</v>
      </c>
      <c r="M690">
        <v>0</v>
      </c>
      <c r="N690">
        <v>838</v>
      </c>
      <c r="O690">
        <v>147.590788</v>
      </c>
      <c r="P690">
        <v>1</v>
      </c>
      <c r="Q690" s="1" t="s">
        <v>564</v>
      </c>
      <c r="R690" s="93">
        <v>144339.81</v>
      </c>
      <c r="S690">
        <v>30525.200000000001</v>
      </c>
      <c r="T690">
        <v>0</v>
      </c>
      <c r="U690" s="1"/>
      <c r="V690" s="1" t="s">
        <v>1190</v>
      </c>
      <c r="W690">
        <v>11453.320009999999</v>
      </c>
      <c r="X690">
        <v>0</v>
      </c>
      <c r="Y690">
        <v>76530</v>
      </c>
    </row>
    <row r="691" spans="1:25" ht="15" hidden="1" customHeight="1" x14ac:dyDescent="0.25">
      <c r="A691" s="1" t="s">
        <v>27</v>
      </c>
      <c r="B691" s="1" t="s">
        <v>53</v>
      </c>
      <c r="C691" s="1" t="s">
        <v>119</v>
      </c>
      <c r="D691">
        <v>5486</v>
      </c>
      <c r="E691" s="1"/>
      <c r="F691" s="1" t="s">
        <v>263</v>
      </c>
      <c r="G691" s="1" t="s">
        <v>119</v>
      </c>
      <c r="H691" s="1" t="s">
        <v>1405</v>
      </c>
      <c r="I691">
        <v>2015</v>
      </c>
      <c r="J691" s="93">
        <v>37453</v>
      </c>
      <c r="K691">
        <v>5</v>
      </c>
      <c r="L691" s="1" t="s">
        <v>404</v>
      </c>
      <c r="M691">
        <v>0</v>
      </c>
      <c r="N691">
        <v>417</v>
      </c>
      <c r="O691">
        <v>52.093023000000002</v>
      </c>
      <c r="P691">
        <v>1</v>
      </c>
      <c r="Q691" s="1" t="s">
        <v>562</v>
      </c>
      <c r="R691" s="93">
        <v>42700</v>
      </c>
      <c r="S691">
        <v>4512481.1500000004</v>
      </c>
      <c r="T691">
        <v>0</v>
      </c>
      <c r="U691" s="1" t="s">
        <v>771</v>
      </c>
      <c r="V691" s="1"/>
      <c r="W691">
        <v>21728</v>
      </c>
      <c r="X691">
        <v>0</v>
      </c>
      <c r="Y691">
        <v>57986</v>
      </c>
    </row>
    <row r="692" spans="1:25" ht="15" hidden="1" customHeight="1" x14ac:dyDescent="0.25">
      <c r="A692" s="1" t="s">
        <v>27</v>
      </c>
      <c r="B692" s="1" t="s">
        <v>53</v>
      </c>
      <c r="C692" s="1" t="s">
        <v>119</v>
      </c>
      <c r="D692">
        <v>5486</v>
      </c>
      <c r="E692" s="1"/>
      <c r="F692" s="1" t="s">
        <v>263</v>
      </c>
      <c r="G692" s="1" t="s">
        <v>119</v>
      </c>
      <c r="H692" s="1" t="s">
        <v>1396</v>
      </c>
      <c r="I692">
        <v>2015</v>
      </c>
      <c r="J692" s="93">
        <v>17340.34</v>
      </c>
      <c r="K692">
        <v>5</v>
      </c>
      <c r="L692" s="1"/>
      <c r="M692">
        <v>0</v>
      </c>
      <c r="N692">
        <v>417</v>
      </c>
      <c r="O692">
        <v>41.573579000000002</v>
      </c>
      <c r="P692">
        <v>1</v>
      </c>
      <c r="Q692" s="1" t="s">
        <v>563</v>
      </c>
      <c r="R692" s="93">
        <v>19429.490000000002</v>
      </c>
      <c r="S692">
        <v>103022.52</v>
      </c>
      <c r="T692">
        <v>1</v>
      </c>
      <c r="U692" s="1" t="s">
        <v>771</v>
      </c>
      <c r="V692" s="1"/>
      <c r="W692">
        <v>497</v>
      </c>
      <c r="X692">
        <v>0</v>
      </c>
      <c r="Y692">
        <v>57988</v>
      </c>
    </row>
    <row r="693" spans="1:25" ht="15" hidden="1" customHeight="1" x14ac:dyDescent="0.25">
      <c r="A693" s="1" t="s">
        <v>27</v>
      </c>
      <c r="B693" s="1" t="s">
        <v>53</v>
      </c>
      <c r="C693" s="1" t="s">
        <v>119</v>
      </c>
      <c r="D693">
        <v>5486</v>
      </c>
      <c r="E693" s="1"/>
      <c r="F693" s="1" t="s">
        <v>263</v>
      </c>
      <c r="G693" s="1" t="s">
        <v>119</v>
      </c>
      <c r="H693" s="1" t="s">
        <v>1396</v>
      </c>
      <c r="I693">
        <v>2013</v>
      </c>
      <c r="J693" s="93">
        <v>28671.21</v>
      </c>
      <c r="K693">
        <v>12</v>
      </c>
      <c r="L693" s="1"/>
      <c r="M693">
        <v>0</v>
      </c>
      <c r="N693">
        <v>417</v>
      </c>
      <c r="O693">
        <v>68.739414999999994</v>
      </c>
      <c r="P693">
        <v>1</v>
      </c>
      <c r="Q693" s="1" t="s">
        <v>563</v>
      </c>
      <c r="R693" s="93">
        <v>29915.82</v>
      </c>
      <c r="S693">
        <v>158.63999999999999</v>
      </c>
      <c r="T693">
        <v>1</v>
      </c>
      <c r="U693" s="1" t="s">
        <v>771</v>
      </c>
      <c r="V693" s="1"/>
      <c r="W693">
        <v>821.76</v>
      </c>
      <c r="X693">
        <v>0</v>
      </c>
      <c r="Y693">
        <v>57988</v>
      </c>
    </row>
    <row r="694" spans="1:25" ht="15" hidden="1" customHeight="1" x14ac:dyDescent="0.25">
      <c r="A694" s="1" t="s">
        <v>27</v>
      </c>
      <c r="B694" s="1" t="s">
        <v>53</v>
      </c>
      <c r="C694" s="1" t="s">
        <v>119</v>
      </c>
      <c r="D694">
        <v>5486</v>
      </c>
      <c r="E694" s="1"/>
      <c r="F694" s="1" t="s">
        <v>263</v>
      </c>
      <c r="G694" s="1" t="s">
        <v>119</v>
      </c>
      <c r="H694" s="1" t="s">
        <v>1405</v>
      </c>
      <c r="I694">
        <v>2013</v>
      </c>
      <c r="J694" s="93">
        <v>38396</v>
      </c>
      <c r="K694">
        <v>12</v>
      </c>
      <c r="L694" s="1" t="s">
        <v>404</v>
      </c>
      <c r="M694">
        <v>0</v>
      </c>
      <c r="N694">
        <v>417</v>
      </c>
      <c r="O694">
        <v>92.054663000000005</v>
      </c>
      <c r="P694">
        <v>1</v>
      </c>
      <c r="Q694" s="1" t="s">
        <v>562</v>
      </c>
      <c r="R694" s="93">
        <v>40059.440000000002</v>
      </c>
      <c r="S694">
        <v>7410.98</v>
      </c>
      <c r="T694">
        <v>0</v>
      </c>
      <c r="U694" s="1" t="s">
        <v>771</v>
      </c>
      <c r="V694" s="1"/>
      <c r="W694">
        <v>38396</v>
      </c>
      <c r="X694">
        <v>0</v>
      </c>
      <c r="Y694">
        <v>57986</v>
      </c>
    </row>
    <row r="695" spans="1:25" ht="15" hidden="1" customHeight="1" x14ac:dyDescent="0.25">
      <c r="A695" s="1" t="s">
        <v>27</v>
      </c>
      <c r="B695" s="1" t="s">
        <v>53</v>
      </c>
      <c r="C695" s="1" t="s">
        <v>119</v>
      </c>
      <c r="D695">
        <v>5486</v>
      </c>
      <c r="E695" s="1"/>
      <c r="F695" s="1" t="s">
        <v>263</v>
      </c>
      <c r="G695" s="1" t="s">
        <v>119</v>
      </c>
      <c r="H695" s="1" t="s">
        <v>1405</v>
      </c>
      <c r="I695">
        <v>2012</v>
      </c>
      <c r="J695" s="93">
        <v>40280</v>
      </c>
      <c r="K695">
        <v>12</v>
      </c>
      <c r="L695" s="1" t="s">
        <v>404</v>
      </c>
      <c r="M695">
        <v>0</v>
      </c>
      <c r="N695">
        <v>417</v>
      </c>
      <c r="O695">
        <v>96.571565000000007</v>
      </c>
      <c r="P695">
        <v>1</v>
      </c>
      <c r="Q695" s="1" t="s">
        <v>562</v>
      </c>
      <c r="R695" s="93">
        <v>42269.42</v>
      </c>
      <c r="S695">
        <v>7819.85</v>
      </c>
      <c r="T695">
        <v>0</v>
      </c>
      <c r="U695" s="1" t="s">
        <v>771</v>
      </c>
      <c r="V695" s="1"/>
      <c r="W695">
        <v>40280</v>
      </c>
      <c r="X695">
        <v>0</v>
      </c>
      <c r="Y695">
        <v>57986</v>
      </c>
    </row>
    <row r="696" spans="1:25" ht="15" hidden="1" customHeight="1" x14ac:dyDescent="0.25">
      <c r="A696" s="1" t="s">
        <v>27</v>
      </c>
      <c r="B696" s="1" t="s">
        <v>53</v>
      </c>
      <c r="C696" s="1" t="s">
        <v>119</v>
      </c>
      <c r="D696">
        <v>5486</v>
      </c>
      <c r="E696" s="1"/>
      <c r="F696" s="1" t="s">
        <v>263</v>
      </c>
      <c r="G696" s="1" t="s">
        <v>119</v>
      </c>
      <c r="H696" s="1" t="s">
        <v>1396</v>
      </c>
      <c r="I696">
        <v>2012</v>
      </c>
      <c r="J696" s="93">
        <v>34332.46</v>
      </c>
      <c r="K696">
        <v>12</v>
      </c>
      <c r="L696" s="1"/>
      <c r="M696">
        <v>0</v>
      </c>
      <c r="N696">
        <v>417</v>
      </c>
      <c r="O696">
        <v>82.312298999999996</v>
      </c>
      <c r="P696">
        <v>1</v>
      </c>
      <c r="Q696" s="1" t="s">
        <v>563</v>
      </c>
      <c r="R696" s="93">
        <v>35923.519999999997</v>
      </c>
      <c r="S696">
        <v>190.48</v>
      </c>
      <c r="T696">
        <v>1</v>
      </c>
      <c r="U696" s="1" t="s">
        <v>771</v>
      </c>
      <c r="V696" s="1"/>
      <c r="W696">
        <v>984.01999000000001</v>
      </c>
      <c r="X696">
        <v>0</v>
      </c>
      <c r="Y696">
        <v>57988</v>
      </c>
    </row>
    <row r="697" spans="1:25" ht="15" hidden="1" customHeight="1" x14ac:dyDescent="0.25">
      <c r="A697" s="1" t="s">
        <v>27</v>
      </c>
      <c r="B697" s="1" t="s">
        <v>53</v>
      </c>
      <c r="C697" s="1" t="s">
        <v>119</v>
      </c>
      <c r="D697">
        <v>5486</v>
      </c>
      <c r="E697" s="1"/>
      <c r="F697" s="1" t="s">
        <v>263</v>
      </c>
      <c r="G697" s="1" t="s">
        <v>119</v>
      </c>
      <c r="H697" s="1" t="s">
        <v>1405</v>
      </c>
      <c r="I697">
        <v>2011</v>
      </c>
      <c r="J697" s="93">
        <v>38159</v>
      </c>
      <c r="K697">
        <v>12</v>
      </c>
      <c r="L697" s="1" t="s">
        <v>404</v>
      </c>
      <c r="M697">
        <v>0</v>
      </c>
      <c r="N697">
        <v>417</v>
      </c>
      <c r="O697">
        <v>91.486453999999995</v>
      </c>
      <c r="P697">
        <v>1</v>
      </c>
      <c r="Q697" s="1" t="s">
        <v>562</v>
      </c>
      <c r="R697" s="93">
        <v>41397.81</v>
      </c>
      <c r="S697">
        <v>7658.58</v>
      </c>
      <c r="T697">
        <v>0</v>
      </c>
      <c r="U697" s="1" t="s">
        <v>771</v>
      </c>
      <c r="V697" s="1"/>
      <c r="W697">
        <v>38159</v>
      </c>
      <c r="X697">
        <v>0</v>
      </c>
      <c r="Y697">
        <v>57986</v>
      </c>
    </row>
    <row r="698" spans="1:25" ht="15" hidden="1" customHeight="1" x14ac:dyDescent="0.25">
      <c r="A698" s="1" t="s">
        <v>27</v>
      </c>
      <c r="B698" s="1" t="s">
        <v>53</v>
      </c>
      <c r="C698" s="1" t="s">
        <v>119</v>
      </c>
      <c r="D698">
        <v>5486</v>
      </c>
      <c r="E698" s="1"/>
      <c r="F698" s="1" t="s">
        <v>263</v>
      </c>
      <c r="G698" s="1" t="s">
        <v>119</v>
      </c>
      <c r="H698" s="1" t="s">
        <v>1396</v>
      </c>
      <c r="I698">
        <v>2011</v>
      </c>
      <c r="J698" s="93">
        <v>31893.98</v>
      </c>
      <c r="K698">
        <v>12</v>
      </c>
      <c r="L698" s="1"/>
      <c r="M698">
        <v>0</v>
      </c>
      <c r="N698">
        <v>417</v>
      </c>
      <c r="O698">
        <v>76.466026999999997</v>
      </c>
      <c r="P698">
        <v>1</v>
      </c>
      <c r="Q698" s="1" t="s">
        <v>563</v>
      </c>
      <c r="R698" s="93">
        <v>34483.71</v>
      </c>
      <c r="S698">
        <v>182.84</v>
      </c>
      <c r="T698">
        <v>1</v>
      </c>
      <c r="U698" s="1" t="s">
        <v>771</v>
      </c>
      <c r="V698" s="1"/>
      <c r="W698">
        <v>914.13</v>
      </c>
      <c r="X698">
        <v>0</v>
      </c>
      <c r="Y698">
        <v>57988</v>
      </c>
    </row>
    <row r="699" spans="1:25" ht="15" hidden="1" customHeight="1" x14ac:dyDescent="0.25">
      <c r="A699" s="1" t="s">
        <v>27</v>
      </c>
      <c r="B699" s="1" t="s">
        <v>53</v>
      </c>
      <c r="C699" s="1" t="s">
        <v>119</v>
      </c>
      <c r="D699">
        <v>5486</v>
      </c>
      <c r="E699" s="1"/>
      <c r="F699" s="1" t="s">
        <v>263</v>
      </c>
      <c r="G699" s="1" t="s">
        <v>119</v>
      </c>
      <c r="H699" s="1" t="s">
        <v>1405</v>
      </c>
      <c r="I699">
        <v>2010</v>
      </c>
      <c r="J699" s="93">
        <v>45976</v>
      </c>
      <c r="K699">
        <v>12</v>
      </c>
      <c r="L699" s="1" t="s">
        <v>404</v>
      </c>
      <c r="M699">
        <v>0</v>
      </c>
      <c r="N699">
        <v>417</v>
      </c>
      <c r="O699">
        <v>110.227763</v>
      </c>
      <c r="P699">
        <v>1</v>
      </c>
      <c r="Q699" s="1" t="s">
        <v>562</v>
      </c>
      <c r="R699" s="93">
        <v>42054.83</v>
      </c>
      <c r="S699">
        <v>7780.13</v>
      </c>
      <c r="T699">
        <v>0</v>
      </c>
      <c r="U699" s="1" t="s">
        <v>771</v>
      </c>
      <c r="V699" s="1"/>
      <c r="W699">
        <v>45976</v>
      </c>
      <c r="X699">
        <v>0</v>
      </c>
      <c r="Y699">
        <v>57986</v>
      </c>
    </row>
    <row r="700" spans="1:25" ht="15" hidden="1" customHeight="1" x14ac:dyDescent="0.25">
      <c r="A700" s="1" t="s">
        <v>27</v>
      </c>
      <c r="B700" s="1" t="s">
        <v>53</v>
      </c>
      <c r="C700" s="1" t="s">
        <v>119</v>
      </c>
      <c r="D700">
        <v>5486</v>
      </c>
      <c r="E700" s="1"/>
      <c r="F700" s="1" t="s">
        <v>263</v>
      </c>
      <c r="G700" s="1" t="s">
        <v>119</v>
      </c>
      <c r="H700" s="1" t="s">
        <v>1396</v>
      </c>
      <c r="I700">
        <v>2010</v>
      </c>
      <c r="J700" s="93">
        <v>37869.599999999999</v>
      </c>
      <c r="K700">
        <v>12</v>
      </c>
      <c r="L700" s="1"/>
      <c r="M700">
        <v>0</v>
      </c>
      <c r="N700">
        <v>417</v>
      </c>
      <c r="O700">
        <v>90.792614999999998</v>
      </c>
      <c r="P700">
        <v>1</v>
      </c>
      <c r="Q700" s="1" t="s">
        <v>563</v>
      </c>
      <c r="R700" s="93">
        <v>34466.07</v>
      </c>
      <c r="S700">
        <v>182.75</v>
      </c>
      <c r="T700">
        <v>1</v>
      </c>
      <c r="U700" s="1" t="s">
        <v>771</v>
      </c>
      <c r="V700" s="1"/>
      <c r="W700">
        <v>1085.4000000000001</v>
      </c>
      <c r="X700">
        <v>0</v>
      </c>
      <c r="Y700">
        <v>57988</v>
      </c>
    </row>
    <row r="701" spans="1:25" ht="15" hidden="1" customHeight="1" x14ac:dyDescent="0.25">
      <c r="A701" s="1" t="s">
        <v>27</v>
      </c>
      <c r="B701" s="1" t="s">
        <v>53</v>
      </c>
      <c r="C701" s="1" t="s">
        <v>119</v>
      </c>
      <c r="D701">
        <v>5486</v>
      </c>
      <c r="E701" s="1"/>
      <c r="F701" s="1" t="s">
        <v>263</v>
      </c>
      <c r="G701" s="1" t="s">
        <v>119</v>
      </c>
      <c r="H701" s="1" t="s">
        <v>1396</v>
      </c>
      <c r="I701">
        <v>2009</v>
      </c>
      <c r="J701" s="93">
        <v>33123.51</v>
      </c>
      <c r="K701">
        <v>12</v>
      </c>
      <c r="L701" s="1"/>
      <c r="M701">
        <v>0</v>
      </c>
      <c r="N701">
        <v>417</v>
      </c>
      <c r="O701">
        <v>79.413832999999997</v>
      </c>
      <c r="P701">
        <v>1</v>
      </c>
      <c r="Q701" s="1" t="s">
        <v>563</v>
      </c>
      <c r="R701" s="93">
        <v>35151.78</v>
      </c>
      <c r="S701">
        <v>186.39</v>
      </c>
      <c r="T701">
        <v>1</v>
      </c>
      <c r="U701" s="1" t="s">
        <v>771</v>
      </c>
      <c r="V701" s="1"/>
      <c r="W701">
        <v>949.37</v>
      </c>
      <c r="X701">
        <v>0</v>
      </c>
      <c r="Y701">
        <v>57988</v>
      </c>
    </row>
    <row r="702" spans="1:25" ht="15" hidden="1" customHeight="1" x14ac:dyDescent="0.25">
      <c r="A702" s="1" t="s">
        <v>27</v>
      </c>
      <c r="B702" s="1" t="s">
        <v>53</v>
      </c>
      <c r="C702" s="1" t="s">
        <v>119</v>
      </c>
      <c r="D702">
        <v>5486</v>
      </c>
      <c r="E702" s="1"/>
      <c r="F702" s="1" t="s">
        <v>263</v>
      </c>
      <c r="G702" s="1" t="s">
        <v>119</v>
      </c>
      <c r="H702" s="1" t="s">
        <v>1405</v>
      </c>
      <c r="I702">
        <v>2009</v>
      </c>
      <c r="J702" s="93">
        <v>38847</v>
      </c>
      <c r="K702">
        <v>12</v>
      </c>
      <c r="L702" s="1" t="s">
        <v>404</v>
      </c>
      <c r="M702">
        <v>0</v>
      </c>
      <c r="N702">
        <v>417</v>
      </c>
      <c r="O702">
        <v>93.135937999999996</v>
      </c>
      <c r="P702">
        <v>1</v>
      </c>
      <c r="Q702" s="1" t="s">
        <v>562</v>
      </c>
      <c r="R702" s="93">
        <v>41306.71</v>
      </c>
      <c r="S702">
        <v>7641.74</v>
      </c>
      <c r="T702">
        <v>0</v>
      </c>
      <c r="U702" s="1" t="s">
        <v>771</v>
      </c>
      <c r="V702" s="1"/>
      <c r="W702">
        <v>38847</v>
      </c>
      <c r="X702">
        <v>0</v>
      </c>
      <c r="Y702">
        <v>57986</v>
      </c>
    </row>
    <row r="703" spans="1:25" ht="15" hidden="1" customHeight="1" x14ac:dyDescent="0.25">
      <c r="A703" s="1" t="s">
        <v>27</v>
      </c>
      <c r="B703" s="1" t="s">
        <v>53</v>
      </c>
      <c r="C703" s="1" t="s">
        <v>119</v>
      </c>
      <c r="D703">
        <v>5486</v>
      </c>
      <c r="E703" s="1"/>
      <c r="F703" s="1" t="s">
        <v>263</v>
      </c>
      <c r="G703" s="1" t="s">
        <v>119</v>
      </c>
      <c r="H703" s="1" t="s">
        <v>1405</v>
      </c>
      <c r="I703">
        <v>2008</v>
      </c>
      <c r="J703" s="93">
        <v>37473</v>
      </c>
      <c r="K703">
        <v>12</v>
      </c>
      <c r="L703" s="1" t="s">
        <v>404</v>
      </c>
      <c r="M703">
        <v>0</v>
      </c>
      <c r="N703">
        <v>417</v>
      </c>
      <c r="O703">
        <v>89.841763999999998</v>
      </c>
      <c r="P703">
        <v>1</v>
      </c>
      <c r="Q703" s="1" t="s">
        <v>562</v>
      </c>
      <c r="R703" s="93">
        <v>42533.29</v>
      </c>
      <c r="S703">
        <v>7868.66</v>
      </c>
      <c r="T703">
        <v>0</v>
      </c>
      <c r="U703" s="1" t="s">
        <v>771</v>
      </c>
      <c r="V703" s="1"/>
      <c r="W703">
        <v>37473</v>
      </c>
      <c r="X703">
        <v>0</v>
      </c>
      <c r="Y703">
        <v>57986</v>
      </c>
    </row>
    <row r="704" spans="1:25" ht="15" hidden="1" customHeight="1" x14ac:dyDescent="0.25">
      <c r="A704" s="1" t="s">
        <v>27</v>
      </c>
      <c r="B704" s="1" t="s">
        <v>53</v>
      </c>
      <c r="C704" s="1" t="s">
        <v>119</v>
      </c>
      <c r="D704">
        <v>5486</v>
      </c>
      <c r="E704" s="1"/>
      <c r="F704" s="1" t="s">
        <v>263</v>
      </c>
      <c r="G704" s="1" t="s">
        <v>119</v>
      </c>
      <c r="H704" s="1" t="s">
        <v>1396</v>
      </c>
      <c r="I704">
        <v>2008</v>
      </c>
      <c r="J704" s="93">
        <v>31264.58</v>
      </c>
      <c r="K704">
        <v>12</v>
      </c>
      <c r="L704" s="1"/>
      <c r="M704">
        <v>0</v>
      </c>
      <c r="N704">
        <v>417</v>
      </c>
      <c r="O704">
        <v>74.957036000000002</v>
      </c>
      <c r="P704">
        <v>1</v>
      </c>
      <c r="Q704" s="1" t="s">
        <v>563</v>
      </c>
      <c r="R704" s="93">
        <v>35395.769999999997</v>
      </c>
      <c r="S704">
        <v>187.68</v>
      </c>
      <c r="T704">
        <v>1</v>
      </c>
      <c r="U704" s="1" t="s">
        <v>771</v>
      </c>
      <c r="V704" s="1"/>
      <c r="W704">
        <v>896.09</v>
      </c>
      <c r="X704">
        <v>0</v>
      </c>
      <c r="Y704">
        <v>57988</v>
      </c>
    </row>
    <row r="705" spans="1:25" ht="15" hidden="1" customHeight="1" x14ac:dyDescent="0.25">
      <c r="A705" s="1" t="s">
        <v>27</v>
      </c>
      <c r="B705" s="1"/>
      <c r="C705" s="1" t="s">
        <v>120</v>
      </c>
      <c r="D705">
        <v>10058</v>
      </c>
      <c r="E705" s="1"/>
      <c r="F705" s="1" t="s">
        <v>120</v>
      </c>
      <c r="G705" s="1" t="s">
        <v>120</v>
      </c>
      <c r="H705" s="1" t="s">
        <v>1405</v>
      </c>
      <c r="I705">
        <v>2015</v>
      </c>
      <c r="J705" s="93">
        <v>57355</v>
      </c>
      <c r="K705">
        <v>5</v>
      </c>
      <c r="L705" s="1" t="s">
        <v>458</v>
      </c>
      <c r="M705">
        <v>0</v>
      </c>
      <c r="N705">
        <v>692</v>
      </c>
      <c r="O705">
        <v>50.411790000000003</v>
      </c>
      <c r="P705">
        <v>1</v>
      </c>
      <c r="Q705" s="1" t="s">
        <v>562</v>
      </c>
      <c r="R705" s="93">
        <v>66431</v>
      </c>
      <c r="S705">
        <v>2523.31</v>
      </c>
      <c r="T705">
        <v>0</v>
      </c>
      <c r="U705" s="1" t="s">
        <v>772</v>
      </c>
      <c r="V705" s="1"/>
      <c r="W705">
        <v>34890</v>
      </c>
      <c r="X705">
        <v>0</v>
      </c>
      <c r="Y705">
        <v>76686</v>
      </c>
    </row>
    <row r="706" spans="1:25" ht="15" hidden="1" customHeight="1" x14ac:dyDescent="0.25">
      <c r="A706" s="1" t="s">
        <v>27</v>
      </c>
      <c r="B706" s="1"/>
      <c r="C706" s="1" t="s">
        <v>120</v>
      </c>
      <c r="D706">
        <v>10058</v>
      </c>
      <c r="E706" s="1"/>
      <c r="F706" s="1" t="s">
        <v>120</v>
      </c>
      <c r="G706" s="1" t="s">
        <v>120</v>
      </c>
      <c r="H706" s="1" t="s">
        <v>1405</v>
      </c>
      <c r="I706">
        <v>2013</v>
      </c>
      <c r="J706" s="93">
        <v>66610</v>
      </c>
      <c r="K706">
        <v>12</v>
      </c>
      <c r="L706" s="1" t="s">
        <v>458</v>
      </c>
      <c r="M706">
        <v>0</v>
      </c>
      <c r="N706">
        <v>692</v>
      </c>
      <c r="O706">
        <v>96.243317000000005</v>
      </c>
      <c r="P706">
        <v>1</v>
      </c>
      <c r="Q706" s="1" t="s">
        <v>562</v>
      </c>
      <c r="R706" s="93">
        <v>69516.69</v>
      </c>
      <c r="S706">
        <v>4449.04</v>
      </c>
      <c r="T706">
        <v>0</v>
      </c>
      <c r="U706" s="1" t="s">
        <v>772</v>
      </c>
      <c r="V706" s="1"/>
      <c r="W706">
        <v>66610</v>
      </c>
      <c r="X706">
        <v>0</v>
      </c>
      <c r="Y706">
        <v>76686</v>
      </c>
    </row>
    <row r="707" spans="1:25" ht="15" hidden="1" customHeight="1" x14ac:dyDescent="0.25">
      <c r="A707" s="1" t="s">
        <v>27</v>
      </c>
      <c r="B707" s="1"/>
      <c r="C707" s="1" t="s">
        <v>120</v>
      </c>
      <c r="D707">
        <v>10058</v>
      </c>
      <c r="E707" s="1"/>
      <c r="F707" s="1" t="s">
        <v>120</v>
      </c>
      <c r="G707" s="1" t="s">
        <v>120</v>
      </c>
      <c r="H707" s="1" t="s">
        <v>1405</v>
      </c>
      <c r="I707">
        <v>2012</v>
      </c>
      <c r="J707" s="93">
        <v>85356.76</v>
      </c>
      <c r="K707">
        <v>7</v>
      </c>
      <c r="L707" s="1" t="s">
        <v>458</v>
      </c>
      <c r="M707">
        <v>0</v>
      </c>
      <c r="N707">
        <v>692</v>
      </c>
      <c r="O707">
        <v>123.330096</v>
      </c>
      <c r="P707">
        <v>1</v>
      </c>
      <c r="Q707" s="1" t="s">
        <v>562</v>
      </c>
      <c r="R707" s="93">
        <v>88499.55</v>
      </c>
      <c r="S707">
        <v>16372.43</v>
      </c>
      <c r="T707">
        <v>0</v>
      </c>
      <c r="U707" s="1" t="s">
        <v>772</v>
      </c>
      <c r="V707" s="1"/>
      <c r="W707">
        <v>85356.769539999994</v>
      </c>
      <c r="X707">
        <v>0</v>
      </c>
      <c r="Y707">
        <v>76686</v>
      </c>
    </row>
    <row r="708" spans="1:25" ht="15" hidden="1" customHeight="1" x14ac:dyDescent="0.25">
      <c r="A708" s="1" t="s">
        <v>27</v>
      </c>
      <c r="B708" s="1"/>
      <c r="C708" s="1" t="s">
        <v>120</v>
      </c>
      <c r="D708">
        <v>10058</v>
      </c>
      <c r="E708" s="1"/>
      <c r="F708" s="1" t="s">
        <v>120</v>
      </c>
      <c r="G708" s="1" t="s">
        <v>120</v>
      </c>
      <c r="H708" s="1" t="s">
        <v>1405</v>
      </c>
      <c r="I708">
        <v>2011</v>
      </c>
      <c r="J708" s="93">
        <v>66438.23</v>
      </c>
      <c r="K708">
        <v>12</v>
      </c>
      <c r="L708" s="1" t="s">
        <v>458</v>
      </c>
      <c r="M708">
        <v>0</v>
      </c>
      <c r="N708">
        <v>692</v>
      </c>
      <c r="O708">
        <v>95.995130000000003</v>
      </c>
      <c r="P708">
        <v>1</v>
      </c>
      <c r="Q708" s="1" t="s">
        <v>562</v>
      </c>
      <c r="R708" s="93">
        <v>72058.75</v>
      </c>
      <c r="S708">
        <v>13330.86</v>
      </c>
      <c r="T708">
        <v>0</v>
      </c>
      <c r="U708" s="1" t="s">
        <v>772</v>
      </c>
      <c r="V708" s="1"/>
      <c r="W708">
        <v>66438.230450000003</v>
      </c>
      <c r="X708">
        <v>0</v>
      </c>
      <c r="Y708">
        <v>76686</v>
      </c>
    </row>
    <row r="709" spans="1:25" ht="15" hidden="1" customHeight="1" x14ac:dyDescent="0.25">
      <c r="A709" s="1" t="s">
        <v>27</v>
      </c>
      <c r="B709" s="1"/>
      <c r="C709" s="1" t="s">
        <v>120</v>
      </c>
      <c r="D709">
        <v>10058</v>
      </c>
      <c r="E709" s="1"/>
      <c r="F709" s="1" t="s">
        <v>120</v>
      </c>
      <c r="G709" s="1" t="s">
        <v>120</v>
      </c>
      <c r="H709" s="1" t="s">
        <v>1405</v>
      </c>
      <c r="I709">
        <v>2010</v>
      </c>
      <c r="J709" s="93">
        <v>71531.58</v>
      </c>
      <c r="K709">
        <v>5</v>
      </c>
      <c r="L709" s="1" t="s">
        <v>458</v>
      </c>
      <c r="M709">
        <v>0</v>
      </c>
      <c r="N709">
        <v>692</v>
      </c>
      <c r="O709">
        <v>103.354399</v>
      </c>
      <c r="P709">
        <v>1</v>
      </c>
      <c r="Q709" s="1" t="s">
        <v>562</v>
      </c>
      <c r="R709" s="93">
        <v>65217.29</v>
      </c>
      <c r="S709">
        <v>12065.2</v>
      </c>
      <c r="T709">
        <v>0</v>
      </c>
      <c r="U709" s="1" t="s">
        <v>772</v>
      </c>
      <c r="V709" s="1"/>
      <c r="W709">
        <v>71531.577529999995</v>
      </c>
      <c r="X709">
        <v>0</v>
      </c>
      <c r="Y709">
        <v>76686</v>
      </c>
    </row>
    <row r="710" spans="1:25" ht="15" hidden="1" customHeight="1" x14ac:dyDescent="0.25">
      <c r="A710" s="1" t="s">
        <v>27</v>
      </c>
      <c r="B710" s="1"/>
      <c r="C710" s="1" t="s">
        <v>120</v>
      </c>
      <c r="D710">
        <v>10058</v>
      </c>
      <c r="E710" s="1"/>
      <c r="F710" s="1" t="s">
        <v>120</v>
      </c>
      <c r="G710" s="1" t="s">
        <v>120</v>
      </c>
      <c r="H710" s="1" t="s">
        <v>1405</v>
      </c>
      <c r="I710">
        <v>2009</v>
      </c>
      <c r="J710" s="93">
        <v>73294.289999999994</v>
      </c>
      <c r="K710">
        <v>4</v>
      </c>
      <c r="L710" s="1" t="s">
        <v>458</v>
      </c>
      <c r="M710">
        <v>0</v>
      </c>
      <c r="N710">
        <v>692</v>
      </c>
      <c r="O710">
        <v>105.90130000000001</v>
      </c>
      <c r="P710">
        <v>1</v>
      </c>
      <c r="Q710" s="1" t="s">
        <v>562</v>
      </c>
      <c r="R710" s="93">
        <v>92307.92</v>
      </c>
      <c r="S710">
        <v>17076.97</v>
      </c>
      <c r="T710">
        <v>0</v>
      </c>
      <c r="U710" s="1" t="s">
        <v>772</v>
      </c>
      <c r="V710" s="1"/>
      <c r="W710">
        <v>73294.286540000001</v>
      </c>
      <c r="X710">
        <v>0</v>
      </c>
      <c r="Y710">
        <v>76686</v>
      </c>
    </row>
    <row r="711" spans="1:25" ht="15" hidden="1" customHeight="1" x14ac:dyDescent="0.25">
      <c r="A711" s="1" t="s">
        <v>27</v>
      </c>
      <c r="B711" s="1"/>
      <c r="C711" s="1" t="s">
        <v>120</v>
      </c>
      <c r="D711">
        <v>10058</v>
      </c>
      <c r="E711" s="1"/>
      <c r="F711" s="1" t="s">
        <v>120</v>
      </c>
      <c r="G711" s="1" t="s">
        <v>120</v>
      </c>
      <c r="H711" s="1" t="s">
        <v>1405</v>
      </c>
      <c r="I711">
        <v>2008</v>
      </c>
      <c r="J711" s="93">
        <v>64822</v>
      </c>
      <c r="K711">
        <v>4</v>
      </c>
      <c r="L711" s="1" t="s">
        <v>458</v>
      </c>
      <c r="M711">
        <v>0</v>
      </c>
      <c r="N711">
        <v>692</v>
      </c>
      <c r="O711">
        <v>93.659875</v>
      </c>
      <c r="P711">
        <v>1</v>
      </c>
      <c r="Q711" s="1" t="s">
        <v>562</v>
      </c>
      <c r="R711" s="93">
        <v>75128.73</v>
      </c>
      <c r="S711">
        <v>13898.82</v>
      </c>
      <c r="T711">
        <v>0</v>
      </c>
      <c r="U711" s="1" t="s">
        <v>772</v>
      </c>
      <c r="V711" s="1"/>
      <c r="W711">
        <v>64821.995929999997</v>
      </c>
      <c r="X711">
        <v>0</v>
      </c>
      <c r="Y711">
        <v>76686</v>
      </c>
    </row>
    <row r="712" spans="1:25" ht="15" hidden="1" customHeight="1" x14ac:dyDescent="0.25">
      <c r="A712" s="1" t="s">
        <v>27</v>
      </c>
      <c r="B712" s="1" t="s">
        <v>54</v>
      </c>
      <c r="C712" s="1" t="s">
        <v>121</v>
      </c>
      <c r="D712">
        <v>5428</v>
      </c>
      <c r="E712" s="1"/>
      <c r="F712" s="1" t="s">
        <v>264</v>
      </c>
      <c r="G712" s="1" t="s">
        <v>121</v>
      </c>
      <c r="H712" s="1" t="s">
        <v>1405</v>
      </c>
      <c r="I712">
        <v>2015</v>
      </c>
      <c r="J712" s="93">
        <v>107438</v>
      </c>
      <c r="K712">
        <v>5</v>
      </c>
      <c r="L712" s="1" t="s">
        <v>472</v>
      </c>
      <c r="M712">
        <v>0</v>
      </c>
      <c r="N712">
        <v>679</v>
      </c>
      <c r="O712">
        <v>91.926432000000005</v>
      </c>
      <c r="P712">
        <v>1</v>
      </c>
      <c r="Q712" s="1" t="s">
        <v>564</v>
      </c>
      <c r="R712" s="93">
        <v>122873</v>
      </c>
      <c r="S712">
        <v>14866.72</v>
      </c>
      <c r="T712">
        <v>0</v>
      </c>
      <c r="U712" s="1" t="s">
        <v>773</v>
      </c>
      <c r="V712" s="1" t="s">
        <v>1191</v>
      </c>
      <c r="W712">
        <v>5780.3</v>
      </c>
      <c r="X712">
        <v>0</v>
      </c>
      <c r="Y712">
        <v>57403</v>
      </c>
    </row>
    <row r="713" spans="1:25" ht="15" hidden="1" customHeight="1" x14ac:dyDescent="0.25">
      <c r="A713" s="1" t="s">
        <v>27</v>
      </c>
      <c r="B713" s="1" t="s">
        <v>54</v>
      </c>
      <c r="C713" s="1" t="s">
        <v>121</v>
      </c>
      <c r="D713">
        <v>5428</v>
      </c>
      <c r="E713" s="1"/>
      <c r="F713" s="1" t="s">
        <v>264</v>
      </c>
      <c r="G713" s="1" t="s">
        <v>121</v>
      </c>
      <c r="H713" s="1" t="s">
        <v>1405</v>
      </c>
      <c r="I713">
        <v>2013</v>
      </c>
      <c r="J713" s="93">
        <v>136911.82</v>
      </c>
      <c r="K713">
        <v>12</v>
      </c>
      <c r="L713" s="1" t="s">
        <v>472</v>
      </c>
      <c r="M713">
        <v>0</v>
      </c>
      <c r="N713">
        <v>679</v>
      </c>
      <c r="O713">
        <v>201.60774499999999</v>
      </c>
      <c r="P713">
        <v>1</v>
      </c>
      <c r="Q713" s="1" t="s">
        <v>564</v>
      </c>
      <c r="R713" s="93">
        <v>142993.72</v>
      </c>
      <c r="S713">
        <v>30240.52</v>
      </c>
      <c r="T713">
        <v>0</v>
      </c>
      <c r="U713" s="1" t="s">
        <v>773</v>
      </c>
      <c r="V713" s="1" t="s">
        <v>1191</v>
      </c>
      <c r="W713">
        <v>12677.02</v>
      </c>
      <c r="X713">
        <v>0</v>
      </c>
      <c r="Y713">
        <v>57403</v>
      </c>
    </row>
    <row r="714" spans="1:25" ht="15" hidden="1" customHeight="1" x14ac:dyDescent="0.25">
      <c r="A714" s="1" t="s">
        <v>27</v>
      </c>
      <c r="B714" s="1" t="s">
        <v>54</v>
      </c>
      <c r="C714" s="1" t="s">
        <v>121</v>
      </c>
      <c r="D714">
        <v>5428</v>
      </c>
      <c r="E714" s="1"/>
      <c r="F714" s="1" t="s">
        <v>264</v>
      </c>
      <c r="G714" s="1" t="s">
        <v>121</v>
      </c>
      <c r="H714" s="1" t="s">
        <v>1405</v>
      </c>
      <c r="I714">
        <v>2012</v>
      </c>
      <c r="J714" s="93">
        <v>145074.03</v>
      </c>
      <c r="K714">
        <v>12</v>
      </c>
      <c r="L714" s="1" t="s">
        <v>472</v>
      </c>
      <c r="M714">
        <v>0</v>
      </c>
      <c r="N714">
        <v>679</v>
      </c>
      <c r="O714">
        <v>213.626903</v>
      </c>
      <c r="P714">
        <v>1</v>
      </c>
      <c r="Q714" s="1" t="s">
        <v>564</v>
      </c>
      <c r="R714" s="93">
        <v>152633.87</v>
      </c>
      <c r="S714">
        <v>32279.23</v>
      </c>
      <c r="T714">
        <v>0</v>
      </c>
      <c r="U714" s="1" t="s">
        <v>773</v>
      </c>
      <c r="V714" s="1" t="s">
        <v>1191</v>
      </c>
      <c r="W714">
        <v>13432.78</v>
      </c>
      <c r="X714">
        <v>0</v>
      </c>
      <c r="Y714">
        <v>57403</v>
      </c>
    </row>
    <row r="715" spans="1:25" ht="15" hidden="1" customHeight="1" x14ac:dyDescent="0.25">
      <c r="A715" s="1" t="s">
        <v>27</v>
      </c>
      <c r="B715" s="1" t="s">
        <v>54</v>
      </c>
      <c r="C715" s="1" t="s">
        <v>121</v>
      </c>
      <c r="D715">
        <v>5428</v>
      </c>
      <c r="E715" s="1"/>
      <c r="F715" s="1" t="s">
        <v>264</v>
      </c>
      <c r="G715" s="1" t="s">
        <v>121</v>
      </c>
      <c r="H715" s="1" t="s">
        <v>1405</v>
      </c>
      <c r="I715">
        <v>2011</v>
      </c>
      <c r="J715" s="93">
        <v>142132.87</v>
      </c>
      <c r="K715">
        <v>12</v>
      </c>
      <c r="L715" s="1" t="s">
        <v>472</v>
      </c>
      <c r="M715">
        <v>0</v>
      </c>
      <c r="N715">
        <v>679</v>
      </c>
      <c r="O715">
        <v>209.29593499999999</v>
      </c>
      <c r="P715">
        <v>1</v>
      </c>
      <c r="Q715" s="1" t="s">
        <v>564</v>
      </c>
      <c r="R715" s="93">
        <v>156279.5</v>
      </c>
      <c r="S715">
        <v>33050.230000000003</v>
      </c>
      <c r="T715">
        <v>0</v>
      </c>
      <c r="U715" s="1" t="s">
        <v>773</v>
      </c>
      <c r="V715" s="1" t="s">
        <v>1191</v>
      </c>
      <c r="W715">
        <v>13160.45</v>
      </c>
      <c r="X715">
        <v>0</v>
      </c>
      <c r="Y715">
        <v>57403</v>
      </c>
    </row>
    <row r="716" spans="1:25" ht="15" hidden="1" customHeight="1" x14ac:dyDescent="0.25">
      <c r="A716" s="1" t="s">
        <v>27</v>
      </c>
      <c r="B716" s="1" t="s">
        <v>54</v>
      </c>
      <c r="C716" s="1" t="s">
        <v>121</v>
      </c>
      <c r="D716">
        <v>5428</v>
      </c>
      <c r="E716" s="1"/>
      <c r="F716" s="1" t="s">
        <v>264</v>
      </c>
      <c r="G716" s="1" t="s">
        <v>121</v>
      </c>
      <c r="H716" s="1" t="s">
        <v>1405</v>
      </c>
      <c r="I716">
        <v>2010</v>
      </c>
      <c r="J716" s="93">
        <v>164258.17000000001</v>
      </c>
      <c r="K716">
        <v>12</v>
      </c>
      <c r="L716" s="1" t="s">
        <v>472</v>
      </c>
      <c r="M716">
        <v>0</v>
      </c>
      <c r="N716">
        <v>679</v>
      </c>
      <c r="O716">
        <v>241.876262</v>
      </c>
      <c r="P716">
        <v>1</v>
      </c>
      <c r="Q716" s="1" t="s">
        <v>564</v>
      </c>
      <c r="R716" s="93">
        <v>150428.35999999999</v>
      </c>
      <c r="S716">
        <v>31812.799999999999</v>
      </c>
      <c r="T716">
        <v>0</v>
      </c>
      <c r="U716" s="1" t="s">
        <v>773</v>
      </c>
      <c r="V716" s="1" t="s">
        <v>1191</v>
      </c>
      <c r="W716">
        <v>15209.09</v>
      </c>
      <c r="X716">
        <v>0</v>
      </c>
      <c r="Y716">
        <v>57403</v>
      </c>
    </row>
    <row r="717" spans="1:25" ht="15" hidden="1" customHeight="1" x14ac:dyDescent="0.25">
      <c r="A717" s="1" t="s">
        <v>27</v>
      </c>
      <c r="B717" s="1" t="s">
        <v>54</v>
      </c>
      <c r="C717" s="1" t="s">
        <v>121</v>
      </c>
      <c r="D717">
        <v>5428</v>
      </c>
      <c r="E717" s="1"/>
      <c r="F717" s="1" t="s">
        <v>264</v>
      </c>
      <c r="G717" s="1" t="s">
        <v>121</v>
      </c>
      <c r="H717" s="1" t="s">
        <v>1405</v>
      </c>
      <c r="I717">
        <v>2009</v>
      </c>
      <c r="J717" s="93">
        <v>138080.16</v>
      </c>
      <c r="K717">
        <v>12</v>
      </c>
      <c r="L717" s="1" t="s">
        <v>472</v>
      </c>
      <c r="M717">
        <v>0</v>
      </c>
      <c r="N717">
        <v>679</v>
      </c>
      <c r="O717">
        <v>203.328169</v>
      </c>
      <c r="P717">
        <v>1</v>
      </c>
      <c r="Q717" s="1" t="s">
        <v>564</v>
      </c>
      <c r="R717" s="93">
        <v>150219.49</v>
      </c>
      <c r="S717">
        <v>31768.62</v>
      </c>
      <c r="T717">
        <v>0</v>
      </c>
      <c r="U717" s="1" t="s">
        <v>773</v>
      </c>
      <c r="V717" s="1" t="s">
        <v>1191</v>
      </c>
      <c r="W717">
        <v>12785.2</v>
      </c>
      <c r="X717">
        <v>0</v>
      </c>
      <c r="Y717">
        <v>57403</v>
      </c>
    </row>
    <row r="718" spans="1:25" ht="15" hidden="1" customHeight="1" x14ac:dyDescent="0.25">
      <c r="A718" s="1" t="s">
        <v>27</v>
      </c>
      <c r="B718" s="1" t="s">
        <v>54</v>
      </c>
      <c r="C718" s="1" t="s">
        <v>121</v>
      </c>
      <c r="D718">
        <v>5428</v>
      </c>
      <c r="E718" s="1"/>
      <c r="F718" s="1" t="s">
        <v>264</v>
      </c>
      <c r="G718" s="1" t="s">
        <v>121</v>
      </c>
      <c r="H718" s="1" t="s">
        <v>1405</v>
      </c>
      <c r="I718">
        <v>2008</v>
      </c>
      <c r="J718" s="93">
        <v>132190.35999999999</v>
      </c>
      <c r="K718">
        <v>12</v>
      </c>
      <c r="L718" s="1" t="s">
        <v>472</v>
      </c>
      <c r="M718">
        <v>0</v>
      </c>
      <c r="N718">
        <v>679</v>
      </c>
      <c r="O718">
        <v>194.65522000000001</v>
      </c>
      <c r="P718">
        <v>1</v>
      </c>
      <c r="Q718" s="1" t="s">
        <v>564</v>
      </c>
      <c r="R718" s="93">
        <v>151792.07999999999</v>
      </c>
      <c r="S718">
        <v>32101.22</v>
      </c>
      <c r="T718">
        <v>0</v>
      </c>
      <c r="U718" s="1" t="s">
        <v>773</v>
      </c>
      <c r="V718" s="1" t="s">
        <v>1191</v>
      </c>
      <c r="W718">
        <v>12239.85</v>
      </c>
      <c r="X718">
        <v>0</v>
      </c>
      <c r="Y718">
        <v>57403</v>
      </c>
    </row>
    <row r="719" spans="1:25" ht="15" hidden="1" customHeight="1" x14ac:dyDescent="0.25">
      <c r="A719" s="1" t="s">
        <v>27</v>
      </c>
      <c r="B719" s="1" t="s">
        <v>55</v>
      </c>
      <c r="C719" s="1" t="s">
        <v>122</v>
      </c>
      <c r="D719">
        <v>5262</v>
      </c>
      <c r="E719" s="1"/>
      <c r="F719" s="1" t="s">
        <v>122</v>
      </c>
      <c r="G719" s="1" t="s">
        <v>122</v>
      </c>
      <c r="H719" s="1" t="s">
        <v>1405</v>
      </c>
      <c r="I719">
        <v>2015</v>
      </c>
      <c r="J719" s="93">
        <v>103594</v>
      </c>
      <c r="K719">
        <v>5</v>
      </c>
      <c r="L719" s="1"/>
      <c r="M719">
        <v>0</v>
      </c>
      <c r="N719">
        <v>874</v>
      </c>
      <c r="O719">
        <v>0</v>
      </c>
      <c r="P719">
        <v>1</v>
      </c>
      <c r="Q719" s="1" t="s">
        <v>562</v>
      </c>
      <c r="R719" s="93">
        <v>142387</v>
      </c>
      <c r="S719">
        <v>0</v>
      </c>
      <c r="T719">
        <v>0</v>
      </c>
      <c r="U719" s="1" t="s">
        <v>774</v>
      </c>
      <c r="V719" s="1"/>
      <c r="W719">
        <v>0</v>
      </c>
      <c r="X719">
        <v>0</v>
      </c>
      <c r="Y719">
        <v>56738</v>
      </c>
    </row>
    <row r="720" spans="1:25" ht="15" hidden="1" customHeight="1" x14ac:dyDescent="0.25">
      <c r="A720" s="1" t="s">
        <v>27</v>
      </c>
      <c r="B720" s="1" t="s">
        <v>55</v>
      </c>
      <c r="C720" s="1" t="s">
        <v>122</v>
      </c>
      <c r="D720">
        <v>5262</v>
      </c>
      <c r="E720" s="1"/>
      <c r="F720" s="1" t="s">
        <v>122</v>
      </c>
      <c r="G720" s="1" t="s">
        <v>122</v>
      </c>
      <c r="H720" s="1" t="s">
        <v>1396</v>
      </c>
      <c r="I720">
        <v>2015</v>
      </c>
      <c r="J720" s="93">
        <v>0</v>
      </c>
      <c r="K720">
        <v>5</v>
      </c>
      <c r="L720" s="1"/>
      <c r="M720">
        <v>0</v>
      </c>
      <c r="N720">
        <v>874</v>
      </c>
      <c r="O720">
        <v>0</v>
      </c>
      <c r="P720">
        <v>1</v>
      </c>
      <c r="Q720" s="1" t="s">
        <v>563</v>
      </c>
      <c r="R720" s="93">
        <v>0</v>
      </c>
      <c r="S720">
        <v>0</v>
      </c>
      <c r="T720">
        <v>1</v>
      </c>
      <c r="U720" s="1" t="s">
        <v>774</v>
      </c>
      <c r="V720" s="1"/>
      <c r="W720">
        <v>0</v>
      </c>
      <c r="X720">
        <v>0</v>
      </c>
      <c r="Y720">
        <v>56997</v>
      </c>
    </row>
    <row r="721" spans="1:25" ht="15" hidden="1" customHeight="1" x14ac:dyDescent="0.25">
      <c r="A721" s="1" t="s">
        <v>27</v>
      </c>
      <c r="B721" s="1" t="s">
        <v>55</v>
      </c>
      <c r="C721" s="1" t="s">
        <v>122</v>
      </c>
      <c r="D721">
        <v>5262</v>
      </c>
      <c r="E721" s="1"/>
      <c r="F721" s="1" t="s">
        <v>122</v>
      </c>
      <c r="G721" s="1" t="s">
        <v>122</v>
      </c>
      <c r="H721" s="1" t="s">
        <v>1396</v>
      </c>
      <c r="I721">
        <v>2013</v>
      </c>
      <c r="J721" s="93">
        <v>240451.42</v>
      </c>
      <c r="K721">
        <v>12</v>
      </c>
      <c r="L721" s="1"/>
      <c r="M721">
        <v>0</v>
      </c>
      <c r="N721">
        <v>874</v>
      </c>
      <c r="O721">
        <v>275.084566</v>
      </c>
      <c r="P721">
        <v>1</v>
      </c>
      <c r="Q721" s="1" t="s">
        <v>563</v>
      </c>
      <c r="R721" s="93">
        <v>253996.49</v>
      </c>
      <c r="S721">
        <v>1346.8</v>
      </c>
      <c r="T721">
        <v>1</v>
      </c>
      <c r="U721" s="1" t="s">
        <v>774</v>
      </c>
      <c r="V721" s="1"/>
      <c r="W721">
        <v>6891.7</v>
      </c>
      <c r="X721">
        <v>0</v>
      </c>
      <c r="Y721">
        <v>56997</v>
      </c>
    </row>
    <row r="722" spans="1:25" ht="15" hidden="1" customHeight="1" x14ac:dyDescent="0.25">
      <c r="A722" s="1" t="s">
        <v>27</v>
      </c>
      <c r="B722" s="1" t="s">
        <v>55</v>
      </c>
      <c r="C722" s="1" t="s">
        <v>122</v>
      </c>
      <c r="D722">
        <v>5262</v>
      </c>
      <c r="E722" s="1"/>
      <c r="F722" s="1" t="s">
        <v>122</v>
      </c>
      <c r="G722" s="1" t="s">
        <v>122</v>
      </c>
      <c r="H722" s="1" t="s">
        <v>1405</v>
      </c>
      <c r="I722">
        <v>2013</v>
      </c>
      <c r="J722" s="93">
        <v>97180</v>
      </c>
      <c r="K722">
        <v>12</v>
      </c>
      <c r="L722" s="1"/>
      <c r="M722">
        <v>0</v>
      </c>
      <c r="N722">
        <v>874</v>
      </c>
      <c r="O722">
        <v>111.17721</v>
      </c>
      <c r="P722">
        <v>1</v>
      </c>
      <c r="Q722" s="1" t="s">
        <v>562</v>
      </c>
      <c r="R722" s="93">
        <v>100974.14</v>
      </c>
      <c r="S722">
        <v>18680.22</v>
      </c>
      <c r="T722">
        <v>0</v>
      </c>
      <c r="U722" s="1" t="s">
        <v>774</v>
      </c>
      <c r="V722" s="1"/>
      <c r="W722">
        <v>97180</v>
      </c>
      <c r="X722">
        <v>0</v>
      </c>
      <c r="Y722">
        <v>56738</v>
      </c>
    </row>
    <row r="723" spans="1:25" ht="15" hidden="1" customHeight="1" x14ac:dyDescent="0.25">
      <c r="A723" s="1" t="s">
        <v>27</v>
      </c>
      <c r="B723" s="1" t="s">
        <v>55</v>
      </c>
      <c r="C723" s="1" t="s">
        <v>122</v>
      </c>
      <c r="D723">
        <v>5262</v>
      </c>
      <c r="E723" s="1"/>
      <c r="F723" s="1" t="s">
        <v>122</v>
      </c>
      <c r="G723" s="1" t="s">
        <v>122</v>
      </c>
      <c r="H723" s="1" t="s">
        <v>1405</v>
      </c>
      <c r="I723">
        <v>2012</v>
      </c>
      <c r="J723" s="93">
        <v>97550</v>
      </c>
      <c r="K723">
        <v>12</v>
      </c>
      <c r="L723" s="1"/>
      <c r="M723">
        <v>0</v>
      </c>
      <c r="N723">
        <v>874</v>
      </c>
      <c r="O723">
        <v>111.600503</v>
      </c>
      <c r="P723">
        <v>1</v>
      </c>
      <c r="Q723" s="1" t="s">
        <v>562</v>
      </c>
      <c r="R723" s="93">
        <v>102997.77</v>
      </c>
      <c r="S723">
        <v>19054.599999999999</v>
      </c>
      <c r="T723">
        <v>0</v>
      </c>
      <c r="U723" s="1" t="s">
        <v>774</v>
      </c>
      <c r="V723" s="1"/>
      <c r="W723">
        <v>97550</v>
      </c>
      <c r="X723">
        <v>0</v>
      </c>
      <c r="Y723">
        <v>56738</v>
      </c>
    </row>
    <row r="724" spans="1:25" ht="15" hidden="1" customHeight="1" x14ac:dyDescent="0.25">
      <c r="A724" s="1" t="s">
        <v>27</v>
      </c>
      <c r="B724" s="1" t="s">
        <v>55</v>
      </c>
      <c r="C724" s="1" t="s">
        <v>122</v>
      </c>
      <c r="D724">
        <v>5262</v>
      </c>
      <c r="E724" s="1"/>
      <c r="F724" s="1" t="s">
        <v>122</v>
      </c>
      <c r="G724" s="1" t="s">
        <v>122</v>
      </c>
      <c r="H724" s="1" t="s">
        <v>1396</v>
      </c>
      <c r="I724">
        <v>2012</v>
      </c>
      <c r="J724" s="93">
        <v>247530.59</v>
      </c>
      <c r="K724">
        <v>12</v>
      </c>
      <c r="L724" s="1"/>
      <c r="M724">
        <v>0</v>
      </c>
      <c r="N724">
        <v>874</v>
      </c>
      <c r="O724">
        <v>283.18337700000001</v>
      </c>
      <c r="P724">
        <v>1</v>
      </c>
      <c r="Q724" s="1" t="s">
        <v>563</v>
      </c>
      <c r="R724" s="93">
        <v>261156.92</v>
      </c>
      <c r="S724">
        <v>1384.75</v>
      </c>
      <c r="T724">
        <v>1</v>
      </c>
      <c r="U724" s="1" t="s">
        <v>774</v>
      </c>
      <c r="V724" s="1"/>
      <c r="W724">
        <v>7094.6</v>
      </c>
      <c r="X724">
        <v>0</v>
      </c>
      <c r="Y724">
        <v>56997</v>
      </c>
    </row>
    <row r="725" spans="1:25" ht="15" hidden="1" customHeight="1" x14ac:dyDescent="0.25">
      <c r="A725" s="1" t="s">
        <v>27</v>
      </c>
      <c r="B725" s="1" t="s">
        <v>55</v>
      </c>
      <c r="C725" s="1" t="s">
        <v>122</v>
      </c>
      <c r="D725">
        <v>5262</v>
      </c>
      <c r="E725" s="1"/>
      <c r="F725" s="1" t="s">
        <v>122</v>
      </c>
      <c r="G725" s="1" t="s">
        <v>122</v>
      </c>
      <c r="H725" s="1" t="s">
        <v>1405</v>
      </c>
      <c r="I725">
        <v>2011</v>
      </c>
      <c r="J725" s="93">
        <v>94420</v>
      </c>
      <c r="K725">
        <v>12</v>
      </c>
      <c r="L725" s="1"/>
      <c r="M725">
        <v>0</v>
      </c>
      <c r="N725">
        <v>874</v>
      </c>
      <c r="O725">
        <v>108.019677</v>
      </c>
      <c r="P725">
        <v>1</v>
      </c>
      <c r="Q725" s="1" t="s">
        <v>562</v>
      </c>
      <c r="R725" s="93">
        <v>102587.96</v>
      </c>
      <c r="S725">
        <v>18978.77</v>
      </c>
      <c r="T725">
        <v>0</v>
      </c>
      <c r="U725" s="1" t="s">
        <v>774</v>
      </c>
      <c r="V725" s="1"/>
      <c r="W725">
        <v>94420</v>
      </c>
      <c r="X725">
        <v>0</v>
      </c>
      <c r="Y725">
        <v>56738</v>
      </c>
    </row>
    <row r="726" spans="1:25" ht="15" hidden="1" customHeight="1" x14ac:dyDescent="0.25">
      <c r="A726" s="1" t="s">
        <v>27</v>
      </c>
      <c r="B726" s="1" t="s">
        <v>55</v>
      </c>
      <c r="C726" s="1" t="s">
        <v>122</v>
      </c>
      <c r="D726">
        <v>5262</v>
      </c>
      <c r="E726" s="1"/>
      <c r="F726" s="1" t="s">
        <v>122</v>
      </c>
      <c r="G726" s="1" t="s">
        <v>122</v>
      </c>
      <c r="H726" s="1" t="s">
        <v>1396</v>
      </c>
      <c r="I726">
        <v>2011</v>
      </c>
      <c r="J726" s="93">
        <v>245018.52</v>
      </c>
      <c r="K726">
        <v>12</v>
      </c>
      <c r="L726" s="1"/>
      <c r="M726">
        <v>0</v>
      </c>
      <c r="N726">
        <v>874</v>
      </c>
      <c r="O726">
        <v>280.309484</v>
      </c>
      <c r="P726">
        <v>1</v>
      </c>
      <c r="Q726" s="1" t="s">
        <v>563</v>
      </c>
      <c r="R726" s="93">
        <v>268911.63</v>
      </c>
      <c r="S726">
        <v>1425.87</v>
      </c>
      <c r="T726">
        <v>1</v>
      </c>
      <c r="U726" s="1" t="s">
        <v>774</v>
      </c>
      <c r="V726" s="1"/>
      <c r="W726">
        <v>7022.6</v>
      </c>
      <c r="X726">
        <v>0</v>
      </c>
      <c r="Y726">
        <v>56997</v>
      </c>
    </row>
    <row r="727" spans="1:25" ht="15" hidden="1" customHeight="1" x14ac:dyDescent="0.25">
      <c r="A727" s="1" t="s">
        <v>27</v>
      </c>
      <c r="B727" s="1" t="s">
        <v>55</v>
      </c>
      <c r="C727" s="1" t="s">
        <v>122</v>
      </c>
      <c r="D727">
        <v>5262</v>
      </c>
      <c r="E727" s="1"/>
      <c r="F727" s="1" t="s">
        <v>122</v>
      </c>
      <c r="G727" s="1" t="s">
        <v>122</v>
      </c>
      <c r="H727" s="1" t="s">
        <v>1405</v>
      </c>
      <c r="I727">
        <v>2010</v>
      </c>
      <c r="J727" s="93">
        <v>110630</v>
      </c>
      <c r="K727">
        <v>12</v>
      </c>
      <c r="L727" s="1"/>
      <c r="M727">
        <v>0</v>
      </c>
      <c r="N727">
        <v>874</v>
      </c>
      <c r="O727">
        <v>126.564466</v>
      </c>
      <c r="P727">
        <v>1</v>
      </c>
      <c r="Q727" s="1" t="s">
        <v>562</v>
      </c>
      <c r="R727" s="93">
        <v>100546.72</v>
      </c>
      <c r="S727">
        <v>18601.14</v>
      </c>
      <c r="T727">
        <v>0</v>
      </c>
      <c r="U727" s="1" t="s">
        <v>774</v>
      </c>
      <c r="V727" s="1"/>
      <c r="W727">
        <v>110630</v>
      </c>
      <c r="X727">
        <v>0</v>
      </c>
      <c r="Y727">
        <v>56738</v>
      </c>
    </row>
    <row r="728" spans="1:25" ht="15" hidden="1" customHeight="1" x14ac:dyDescent="0.25">
      <c r="A728" s="1" t="s">
        <v>27</v>
      </c>
      <c r="B728" s="1" t="s">
        <v>55</v>
      </c>
      <c r="C728" s="1" t="s">
        <v>122</v>
      </c>
      <c r="D728">
        <v>5262</v>
      </c>
      <c r="E728" s="1"/>
      <c r="F728" s="1" t="s">
        <v>122</v>
      </c>
      <c r="G728" s="1" t="s">
        <v>122</v>
      </c>
      <c r="H728" s="1" t="s">
        <v>1396</v>
      </c>
      <c r="I728">
        <v>2010</v>
      </c>
      <c r="J728" s="93">
        <v>223561.15</v>
      </c>
      <c r="K728">
        <v>12</v>
      </c>
      <c r="L728" s="1"/>
      <c r="M728">
        <v>0</v>
      </c>
      <c r="N728">
        <v>874</v>
      </c>
      <c r="O728">
        <v>255.761526</v>
      </c>
      <c r="P728">
        <v>1</v>
      </c>
      <c r="Q728" s="1" t="s">
        <v>563</v>
      </c>
      <c r="R728" s="93">
        <v>203339.42</v>
      </c>
      <c r="S728">
        <v>1078.17</v>
      </c>
      <c r="T728">
        <v>1</v>
      </c>
      <c r="U728" s="1" t="s">
        <v>774</v>
      </c>
      <c r="V728" s="1"/>
      <c r="W728">
        <v>6407.6</v>
      </c>
      <c r="X728">
        <v>0</v>
      </c>
      <c r="Y728">
        <v>56997</v>
      </c>
    </row>
    <row r="729" spans="1:25" ht="15" hidden="1" customHeight="1" x14ac:dyDescent="0.25">
      <c r="A729" s="1" t="s">
        <v>27</v>
      </c>
      <c r="B729" s="1" t="s">
        <v>55</v>
      </c>
      <c r="C729" s="1" t="s">
        <v>122</v>
      </c>
      <c r="D729">
        <v>5262</v>
      </c>
      <c r="E729" s="1"/>
      <c r="F729" s="1" t="s">
        <v>122</v>
      </c>
      <c r="G729" s="1" t="s">
        <v>122</v>
      </c>
      <c r="H729" s="1" t="s">
        <v>1396</v>
      </c>
      <c r="I729">
        <v>2009</v>
      </c>
      <c r="J729" s="93">
        <v>182279.32</v>
      </c>
      <c r="K729">
        <v>12</v>
      </c>
      <c r="L729" s="1"/>
      <c r="M729">
        <v>0</v>
      </c>
      <c r="N729">
        <v>874</v>
      </c>
      <c r="O729">
        <v>208.533714</v>
      </c>
      <c r="P729">
        <v>1</v>
      </c>
      <c r="Q729" s="1" t="s">
        <v>563</v>
      </c>
      <c r="R729" s="93">
        <v>193376.44</v>
      </c>
      <c r="S729">
        <v>1025.3499999999999</v>
      </c>
      <c r="T729">
        <v>1</v>
      </c>
      <c r="U729" s="1" t="s">
        <v>774</v>
      </c>
      <c r="V729" s="1"/>
      <c r="W729">
        <v>5224.3999999999996</v>
      </c>
      <c r="X729">
        <v>0</v>
      </c>
      <c r="Y729">
        <v>56997</v>
      </c>
    </row>
    <row r="730" spans="1:25" ht="15" hidden="1" customHeight="1" x14ac:dyDescent="0.25">
      <c r="A730" s="1" t="s">
        <v>27</v>
      </c>
      <c r="B730" s="1" t="s">
        <v>55</v>
      </c>
      <c r="C730" s="1" t="s">
        <v>122</v>
      </c>
      <c r="D730">
        <v>5262</v>
      </c>
      <c r="E730" s="1"/>
      <c r="F730" s="1" t="s">
        <v>122</v>
      </c>
      <c r="G730" s="1" t="s">
        <v>122</v>
      </c>
      <c r="H730" s="1" t="s">
        <v>1405</v>
      </c>
      <c r="I730">
        <v>2009</v>
      </c>
      <c r="J730" s="93">
        <v>92790</v>
      </c>
      <c r="K730">
        <v>12</v>
      </c>
      <c r="L730" s="1"/>
      <c r="M730">
        <v>0</v>
      </c>
      <c r="N730">
        <v>874</v>
      </c>
      <c r="O730">
        <v>106.15490200000001</v>
      </c>
      <c r="P730">
        <v>1</v>
      </c>
      <c r="Q730" s="1" t="s">
        <v>562</v>
      </c>
      <c r="R730" s="93">
        <v>98139.36</v>
      </c>
      <c r="S730">
        <v>18155.78</v>
      </c>
      <c r="T730">
        <v>0</v>
      </c>
      <c r="U730" s="1" t="s">
        <v>774</v>
      </c>
      <c r="V730" s="1"/>
      <c r="W730">
        <v>92790</v>
      </c>
      <c r="X730">
        <v>0</v>
      </c>
      <c r="Y730">
        <v>56738</v>
      </c>
    </row>
    <row r="731" spans="1:25" ht="15" hidden="1" customHeight="1" x14ac:dyDescent="0.25">
      <c r="A731" s="1" t="s">
        <v>27</v>
      </c>
      <c r="B731" s="1" t="s">
        <v>55</v>
      </c>
      <c r="C731" s="1" t="s">
        <v>122</v>
      </c>
      <c r="D731">
        <v>5262</v>
      </c>
      <c r="E731" s="1"/>
      <c r="F731" s="1" t="s">
        <v>122</v>
      </c>
      <c r="G731" s="1" t="s">
        <v>122</v>
      </c>
      <c r="H731" s="1" t="s">
        <v>1405</v>
      </c>
      <c r="I731">
        <v>2008</v>
      </c>
      <c r="J731" s="93">
        <v>89680</v>
      </c>
      <c r="K731">
        <v>12</v>
      </c>
      <c r="L731" s="1"/>
      <c r="M731">
        <v>0</v>
      </c>
      <c r="N731">
        <v>874</v>
      </c>
      <c r="O731">
        <v>102.59695600000001</v>
      </c>
      <c r="P731">
        <v>1</v>
      </c>
      <c r="Q731" s="1" t="s">
        <v>562</v>
      </c>
      <c r="R731" s="93">
        <v>103198.08</v>
      </c>
      <c r="S731">
        <v>19091.650000000001</v>
      </c>
      <c r="T731">
        <v>0</v>
      </c>
      <c r="U731" s="1" t="s">
        <v>774</v>
      </c>
      <c r="V731" s="1"/>
      <c r="W731">
        <v>89680</v>
      </c>
      <c r="X731">
        <v>0</v>
      </c>
      <c r="Y731">
        <v>56738</v>
      </c>
    </row>
    <row r="732" spans="1:25" ht="15" hidden="1" customHeight="1" x14ac:dyDescent="0.25">
      <c r="A732" s="1" t="s">
        <v>27</v>
      </c>
      <c r="B732" s="1" t="s">
        <v>55</v>
      </c>
      <c r="C732" s="1" t="s">
        <v>122</v>
      </c>
      <c r="D732">
        <v>5262</v>
      </c>
      <c r="E732" s="1"/>
      <c r="F732" s="1" t="s">
        <v>122</v>
      </c>
      <c r="G732" s="1" t="s">
        <v>122</v>
      </c>
      <c r="H732" s="1" t="s">
        <v>1396</v>
      </c>
      <c r="I732">
        <v>2008</v>
      </c>
      <c r="J732" s="93">
        <v>179313.67</v>
      </c>
      <c r="K732">
        <v>12</v>
      </c>
      <c r="L732" s="1"/>
      <c r="M732">
        <v>0</v>
      </c>
      <c r="N732">
        <v>874</v>
      </c>
      <c r="O732">
        <v>205.14090999999999</v>
      </c>
      <c r="P732">
        <v>1</v>
      </c>
      <c r="Q732" s="1" t="s">
        <v>563</v>
      </c>
      <c r="R732" s="93">
        <v>204695.99</v>
      </c>
      <c r="S732">
        <v>1085.3699999999999</v>
      </c>
      <c r="T732">
        <v>1</v>
      </c>
      <c r="U732" s="1" t="s">
        <v>774</v>
      </c>
      <c r="V732" s="1"/>
      <c r="W732">
        <v>5139.3999999999996</v>
      </c>
      <c r="X732">
        <v>0</v>
      </c>
      <c r="Y732">
        <v>56997</v>
      </c>
    </row>
    <row r="733" spans="1:25" ht="15" hidden="1" customHeight="1" x14ac:dyDescent="0.25">
      <c r="A733" s="1" t="s">
        <v>27</v>
      </c>
      <c r="B733" s="1" t="s">
        <v>56</v>
      </c>
      <c r="C733" s="1" t="s">
        <v>123</v>
      </c>
      <c r="D733">
        <v>5264</v>
      </c>
      <c r="E733" s="1"/>
      <c r="F733" s="1" t="s">
        <v>123</v>
      </c>
      <c r="G733" s="1" t="s">
        <v>123</v>
      </c>
      <c r="H733" s="1" t="s">
        <v>1405</v>
      </c>
      <c r="I733">
        <v>2015</v>
      </c>
      <c r="J733" s="93">
        <v>50995</v>
      </c>
      <c r="K733">
        <v>5</v>
      </c>
      <c r="L733" s="1" t="s">
        <v>402</v>
      </c>
      <c r="M733">
        <v>0</v>
      </c>
      <c r="N733">
        <v>333</v>
      </c>
      <c r="O733">
        <v>85.827078</v>
      </c>
      <c r="P733">
        <v>1</v>
      </c>
      <c r="Q733" s="1" t="s">
        <v>562</v>
      </c>
      <c r="R733" s="93">
        <v>58156</v>
      </c>
      <c r="S733">
        <v>5910711.1500000004</v>
      </c>
      <c r="T733">
        <v>0</v>
      </c>
      <c r="U733" s="1" t="s">
        <v>775</v>
      </c>
      <c r="V733" s="1"/>
      <c r="W733">
        <v>28589</v>
      </c>
      <c r="X733">
        <v>0</v>
      </c>
      <c r="Y733">
        <v>56768</v>
      </c>
    </row>
    <row r="734" spans="1:25" ht="15" hidden="1" customHeight="1" x14ac:dyDescent="0.25">
      <c r="A734" s="1" t="s">
        <v>27</v>
      </c>
      <c r="B734" s="1" t="s">
        <v>56</v>
      </c>
      <c r="C734" s="1" t="s">
        <v>123</v>
      </c>
      <c r="D734">
        <v>5264</v>
      </c>
      <c r="E734" s="1"/>
      <c r="F734" s="1" t="s">
        <v>123</v>
      </c>
      <c r="G734" s="1" t="s">
        <v>123</v>
      </c>
      <c r="H734" s="1" t="s">
        <v>1396</v>
      </c>
      <c r="I734">
        <v>2015</v>
      </c>
      <c r="J734" s="93">
        <v>20271.099999999999</v>
      </c>
      <c r="K734">
        <v>5</v>
      </c>
      <c r="L734" s="1" t="s">
        <v>402</v>
      </c>
      <c r="M734">
        <v>0</v>
      </c>
      <c r="N734">
        <v>333</v>
      </c>
      <c r="O734">
        <v>60.855899000000001</v>
      </c>
      <c r="P734">
        <v>1</v>
      </c>
      <c r="Q734" s="1" t="s">
        <v>563</v>
      </c>
      <c r="R734" s="93">
        <v>22695.64</v>
      </c>
      <c r="S734">
        <v>120340.88</v>
      </c>
      <c r="T734">
        <v>1</v>
      </c>
      <c r="U734" s="1" t="s">
        <v>775</v>
      </c>
      <c r="V734" s="1"/>
      <c r="W734">
        <v>581</v>
      </c>
      <c r="X734">
        <v>0</v>
      </c>
      <c r="Y734">
        <v>56998</v>
      </c>
    </row>
    <row r="735" spans="1:25" ht="15" hidden="1" customHeight="1" x14ac:dyDescent="0.25">
      <c r="A735" s="1" t="s">
        <v>27</v>
      </c>
      <c r="B735" s="1" t="s">
        <v>56</v>
      </c>
      <c r="C735" s="1" t="s">
        <v>123</v>
      </c>
      <c r="D735">
        <v>5264</v>
      </c>
      <c r="E735" s="1"/>
      <c r="F735" s="1" t="s">
        <v>123</v>
      </c>
      <c r="G735" s="1" t="s">
        <v>123</v>
      </c>
      <c r="H735" s="1" t="s">
        <v>1405</v>
      </c>
      <c r="I735">
        <v>2013</v>
      </c>
      <c r="J735" s="93">
        <v>53955</v>
      </c>
      <c r="K735">
        <v>12</v>
      </c>
      <c r="L735" s="1" t="s">
        <v>402</v>
      </c>
      <c r="M735">
        <v>0</v>
      </c>
      <c r="N735">
        <v>333</v>
      </c>
      <c r="O735">
        <v>161.97838400000001</v>
      </c>
      <c r="P735">
        <v>1</v>
      </c>
      <c r="Q735" s="1" t="s">
        <v>562</v>
      </c>
      <c r="R735" s="93">
        <v>55991.35</v>
      </c>
      <c r="S735">
        <v>10358.4</v>
      </c>
      <c r="T735">
        <v>0</v>
      </c>
      <c r="U735" s="1" t="s">
        <v>775</v>
      </c>
      <c r="V735" s="1"/>
      <c r="W735">
        <v>53955</v>
      </c>
      <c r="X735">
        <v>0</v>
      </c>
      <c r="Y735">
        <v>56768</v>
      </c>
    </row>
    <row r="736" spans="1:25" ht="15" hidden="1" customHeight="1" x14ac:dyDescent="0.25">
      <c r="A736" s="1" t="s">
        <v>27</v>
      </c>
      <c r="B736" s="1" t="s">
        <v>56</v>
      </c>
      <c r="C736" s="1" t="s">
        <v>123</v>
      </c>
      <c r="D736">
        <v>5264</v>
      </c>
      <c r="E736" s="1"/>
      <c r="F736" s="1" t="s">
        <v>123</v>
      </c>
      <c r="G736" s="1" t="s">
        <v>123</v>
      </c>
      <c r="H736" s="1" t="s">
        <v>1396</v>
      </c>
      <c r="I736">
        <v>2013</v>
      </c>
      <c r="J736" s="93">
        <v>36479.08</v>
      </c>
      <c r="K736">
        <v>12</v>
      </c>
      <c r="L736" s="1" t="s">
        <v>402</v>
      </c>
      <c r="M736">
        <v>0</v>
      </c>
      <c r="N736">
        <v>333</v>
      </c>
      <c r="O736">
        <v>109.51389899999999</v>
      </c>
      <c r="P736">
        <v>1</v>
      </c>
      <c r="Q736" s="1" t="s">
        <v>563</v>
      </c>
      <c r="R736" s="93">
        <v>37709.81</v>
      </c>
      <c r="S736">
        <v>199.93</v>
      </c>
      <c r="T736">
        <v>1</v>
      </c>
      <c r="U736" s="1" t="s">
        <v>775</v>
      </c>
      <c r="V736" s="1"/>
      <c r="W736">
        <v>1045.5450000000001</v>
      </c>
      <c r="X736">
        <v>0</v>
      </c>
      <c r="Y736">
        <v>56998</v>
      </c>
    </row>
    <row r="737" spans="1:25" ht="15" hidden="1" customHeight="1" x14ac:dyDescent="0.25">
      <c r="A737" s="1" t="s">
        <v>27</v>
      </c>
      <c r="B737" s="1" t="s">
        <v>56</v>
      </c>
      <c r="C737" s="1" t="s">
        <v>123</v>
      </c>
      <c r="D737">
        <v>5264</v>
      </c>
      <c r="E737" s="1"/>
      <c r="F737" s="1" t="s">
        <v>123</v>
      </c>
      <c r="G737" s="1" t="s">
        <v>123</v>
      </c>
      <c r="H737" s="1" t="s">
        <v>1405</v>
      </c>
      <c r="I737">
        <v>2012</v>
      </c>
      <c r="J737" s="93">
        <v>55626</v>
      </c>
      <c r="K737">
        <v>12</v>
      </c>
      <c r="L737" s="1" t="s">
        <v>402</v>
      </c>
      <c r="M737">
        <v>0</v>
      </c>
      <c r="N737">
        <v>333</v>
      </c>
      <c r="O737">
        <v>166.99489600000001</v>
      </c>
      <c r="P737">
        <v>1</v>
      </c>
      <c r="Q737" s="1" t="s">
        <v>562</v>
      </c>
      <c r="R737" s="93">
        <v>58348.58</v>
      </c>
      <c r="S737">
        <v>10794.5</v>
      </c>
      <c r="T737">
        <v>0</v>
      </c>
      <c r="U737" s="1" t="s">
        <v>775</v>
      </c>
      <c r="V737" s="1"/>
      <c r="W737">
        <v>55626</v>
      </c>
      <c r="X737">
        <v>0</v>
      </c>
      <c r="Y737">
        <v>56768</v>
      </c>
    </row>
    <row r="738" spans="1:25" ht="15" hidden="1" customHeight="1" x14ac:dyDescent="0.25">
      <c r="A738" s="1" t="s">
        <v>27</v>
      </c>
      <c r="B738" s="1" t="s">
        <v>56</v>
      </c>
      <c r="C738" s="1" t="s">
        <v>123</v>
      </c>
      <c r="D738">
        <v>5264</v>
      </c>
      <c r="E738" s="1"/>
      <c r="F738" s="1" t="s">
        <v>123</v>
      </c>
      <c r="G738" s="1" t="s">
        <v>123</v>
      </c>
      <c r="H738" s="1" t="s">
        <v>1396</v>
      </c>
      <c r="I738">
        <v>2012</v>
      </c>
      <c r="J738" s="93">
        <v>39378.43</v>
      </c>
      <c r="K738">
        <v>12</v>
      </c>
      <c r="L738" s="1" t="s">
        <v>402</v>
      </c>
      <c r="M738">
        <v>0</v>
      </c>
      <c r="N738">
        <v>333</v>
      </c>
      <c r="O738">
        <v>118.218042</v>
      </c>
      <c r="P738">
        <v>1</v>
      </c>
      <c r="Q738" s="1" t="s">
        <v>563</v>
      </c>
      <c r="R738" s="93">
        <v>41212.800000000003</v>
      </c>
      <c r="S738">
        <v>218.52</v>
      </c>
      <c r="T738">
        <v>1</v>
      </c>
      <c r="U738" s="1" t="s">
        <v>775</v>
      </c>
      <c r="V738" s="1"/>
      <c r="W738">
        <v>1128.645</v>
      </c>
      <c r="X738">
        <v>0</v>
      </c>
      <c r="Y738">
        <v>56998</v>
      </c>
    </row>
    <row r="739" spans="1:25" ht="15" hidden="1" customHeight="1" x14ac:dyDescent="0.25">
      <c r="A739" s="1" t="s">
        <v>27</v>
      </c>
      <c r="B739" s="1" t="s">
        <v>56</v>
      </c>
      <c r="C739" s="1" t="s">
        <v>123</v>
      </c>
      <c r="D739">
        <v>5264</v>
      </c>
      <c r="E739" s="1"/>
      <c r="F739" s="1" t="s">
        <v>123</v>
      </c>
      <c r="G739" s="1" t="s">
        <v>123</v>
      </c>
      <c r="H739" s="1" t="s">
        <v>1405</v>
      </c>
      <c r="I739">
        <v>2011</v>
      </c>
      <c r="J739" s="93">
        <v>48171</v>
      </c>
      <c r="K739">
        <v>12</v>
      </c>
      <c r="L739" s="1" t="s">
        <v>402</v>
      </c>
      <c r="M739">
        <v>0</v>
      </c>
      <c r="N739">
        <v>333</v>
      </c>
      <c r="O739">
        <v>144.61422899999999</v>
      </c>
      <c r="P739">
        <v>1</v>
      </c>
      <c r="Q739" s="1" t="s">
        <v>562</v>
      </c>
      <c r="R739" s="93">
        <v>52871.37</v>
      </c>
      <c r="S739">
        <v>9781.2099999999991</v>
      </c>
      <c r="T739">
        <v>0</v>
      </c>
      <c r="U739" s="1" t="s">
        <v>775</v>
      </c>
      <c r="V739" s="1"/>
      <c r="W739">
        <v>48171</v>
      </c>
      <c r="X739">
        <v>0</v>
      </c>
      <c r="Y739">
        <v>56768</v>
      </c>
    </row>
    <row r="740" spans="1:25" ht="15" hidden="1" customHeight="1" x14ac:dyDescent="0.25">
      <c r="A740" s="1" t="s">
        <v>27</v>
      </c>
      <c r="B740" s="1" t="s">
        <v>56</v>
      </c>
      <c r="C740" s="1" t="s">
        <v>123</v>
      </c>
      <c r="D740">
        <v>5264</v>
      </c>
      <c r="E740" s="1"/>
      <c r="F740" s="1" t="s">
        <v>123</v>
      </c>
      <c r="G740" s="1" t="s">
        <v>123</v>
      </c>
      <c r="H740" s="1" t="s">
        <v>1396</v>
      </c>
      <c r="I740">
        <v>2011</v>
      </c>
      <c r="J740" s="93">
        <v>34934.67</v>
      </c>
      <c r="K740">
        <v>12</v>
      </c>
      <c r="L740" s="1" t="s">
        <v>402</v>
      </c>
      <c r="M740">
        <v>0</v>
      </c>
      <c r="N740">
        <v>333</v>
      </c>
      <c r="O740">
        <v>104.877424</v>
      </c>
      <c r="P740">
        <v>1</v>
      </c>
      <c r="Q740" s="1" t="s">
        <v>563</v>
      </c>
      <c r="R740" s="93">
        <v>38122.01</v>
      </c>
      <c r="S740">
        <v>202.14</v>
      </c>
      <c r="T740">
        <v>1</v>
      </c>
      <c r="U740" s="1" t="s">
        <v>775</v>
      </c>
      <c r="V740" s="1"/>
      <c r="W740">
        <v>1001.28</v>
      </c>
      <c r="X740">
        <v>0</v>
      </c>
      <c r="Y740">
        <v>56998</v>
      </c>
    </row>
    <row r="741" spans="1:25" ht="15" hidden="1" customHeight="1" x14ac:dyDescent="0.25">
      <c r="A741" s="1" t="s">
        <v>27</v>
      </c>
      <c r="B741" s="1" t="s">
        <v>56</v>
      </c>
      <c r="C741" s="1" t="s">
        <v>123</v>
      </c>
      <c r="D741">
        <v>5264</v>
      </c>
      <c r="E741" s="1"/>
      <c r="F741" s="1" t="s">
        <v>123</v>
      </c>
      <c r="G741" s="1" t="s">
        <v>123</v>
      </c>
      <c r="H741" s="1" t="s">
        <v>1405</v>
      </c>
      <c r="I741">
        <v>2010</v>
      </c>
      <c r="J741" s="93">
        <v>47197</v>
      </c>
      <c r="K741">
        <v>12</v>
      </c>
      <c r="L741" s="1" t="s">
        <v>402</v>
      </c>
      <c r="M741">
        <v>0</v>
      </c>
      <c r="N741">
        <v>333</v>
      </c>
      <c r="O741">
        <v>141.69018299999999</v>
      </c>
      <c r="P741">
        <v>1</v>
      </c>
      <c r="Q741" s="1" t="s">
        <v>562</v>
      </c>
      <c r="R741" s="93">
        <v>43369.24</v>
      </c>
      <c r="S741">
        <v>8023.31</v>
      </c>
      <c r="T741">
        <v>0</v>
      </c>
      <c r="U741" s="1" t="s">
        <v>775</v>
      </c>
      <c r="V741" s="1"/>
      <c r="W741">
        <v>47197</v>
      </c>
      <c r="X741">
        <v>0</v>
      </c>
      <c r="Y741">
        <v>56768</v>
      </c>
    </row>
    <row r="742" spans="1:25" ht="15" hidden="1" customHeight="1" x14ac:dyDescent="0.25">
      <c r="A742" s="1" t="s">
        <v>27</v>
      </c>
      <c r="B742" s="1" t="s">
        <v>56</v>
      </c>
      <c r="C742" s="1" t="s">
        <v>123</v>
      </c>
      <c r="D742">
        <v>5264</v>
      </c>
      <c r="E742" s="1"/>
      <c r="F742" s="1" t="s">
        <v>123</v>
      </c>
      <c r="G742" s="1" t="s">
        <v>123</v>
      </c>
      <c r="H742" s="1" t="s">
        <v>1396</v>
      </c>
      <c r="I742">
        <v>2010</v>
      </c>
      <c r="J742" s="93">
        <v>40825.14</v>
      </c>
      <c r="K742">
        <v>12</v>
      </c>
      <c r="L742" s="1" t="s">
        <v>402</v>
      </c>
      <c r="M742">
        <v>0</v>
      </c>
      <c r="N742">
        <v>333</v>
      </c>
      <c r="O742">
        <v>122.561212</v>
      </c>
      <c r="P742">
        <v>1</v>
      </c>
      <c r="Q742" s="1" t="s">
        <v>563</v>
      </c>
      <c r="R742" s="93">
        <v>37362.76</v>
      </c>
      <c r="S742">
        <v>198.13</v>
      </c>
      <c r="T742">
        <v>1</v>
      </c>
      <c r="U742" s="1" t="s">
        <v>775</v>
      </c>
      <c r="V742" s="1"/>
      <c r="W742">
        <v>1170.1099999999999</v>
      </c>
      <c r="X742">
        <v>0</v>
      </c>
      <c r="Y742">
        <v>56998</v>
      </c>
    </row>
    <row r="743" spans="1:25" ht="15" hidden="1" customHeight="1" x14ac:dyDescent="0.25">
      <c r="A743" s="1" t="s">
        <v>27</v>
      </c>
      <c r="B743" s="1" t="s">
        <v>56</v>
      </c>
      <c r="C743" s="1" t="s">
        <v>123</v>
      </c>
      <c r="D743">
        <v>5264</v>
      </c>
      <c r="E743" s="1"/>
      <c r="F743" s="1" t="s">
        <v>123</v>
      </c>
      <c r="G743" s="1" t="s">
        <v>123</v>
      </c>
      <c r="H743" s="1" t="s">
        <v>1405</v>
      </c>
      <c r="I743">
        <v>2009</v>
      </c>
      <c r="J743" s="93">
        <v>44027</v>
      </c>
      <c r="K743">
        <v>12</v>
      </c>
      <c r="L743" s="1" t="s">
        <v>402</v>
      </c>
      <c r="M743">
        <v>0</v>
      </c>
      <c r="N743">
        <v>333</v>
      </c>
      <c r="O743">
        <v>132.17352099999999</v>
      </c>
      <c r="P743">
        <v>1</v>
      </c>
      <c r="Q743" s="1" t="s">
        <v>562</v>
      </c>
      <c r="R743" s="93">
        <v>47184.01</v>
      </c>
      <c r="S743">
        <v>8729.0300000000007</v>
      </c>
      <c r="T743">
        <v>0</v>
      </c>
      <c r="U743" s="1" t="s">
        <v>775</v>
      </c>
      <c r="V743" s="1"/>
      <c r="W743">
        <v>44027</v>
      </c>
      <c r="X743">
        <v>0</v>
      </c>
      <c r="Y743">
        <v>56768</v>
      </c>
    </row>
    <row r="744" spans="1:25" ht="15" hidden="1" customHeight="1" x14ac:dyDescent="0.25">
      <c r="A744" s="1" t="s">
        <v>27</v>
      </c>
      <c r="B744" s="1" t="s">
        <v>56</v>
      </c>
      <c r="C744" s="1" t="s">
        <v>123</v>
      </c>
      <c r="D744">
        <v>5264</v>
      </c>
      <c r="E744" s="1"/>
      <c r="F744" s="1" t="s">
        <v>123</v>
      </c>
      <c r="G744" s="1" t="s">
        <v>123</v>
      </c>
      <c r="H744" s="1" t="s">
        <v>1396</v>
      </c>
      <c r="I744">
        <v>2009</v>
      </c>
      <c r="J744" s="93">
        <v>34763.03</v>
      </c>
      <c r="K744">
        <v>12</v>
      </c>
      <c r="L744" s="1" t="s">
        <v>402</v>
      </c>
      <c r="M744">
        <v>0</v>
      </c>
      <c r="N744">
        <v>333</v>
      </c>
      <c r="O744">
        <v>104.362143</v>
      </c>
      <c r="P744">
        <v>1</v>
      </c>
      <c r="Q744" s="1" t="s">
        <v>563</v>
      </c>
      <c r="R744" s="93">
        <v>37123.49</v>
      </c>
      <c r="S744">
        <v>196.85</v>
      </c>
      <c r="T744">
        <v>1</v>
      </c>
      <c r="U744" s="1" t="s">
        <v>775</v>
      </c>
      <c r="V744" s="1"/>
      <c r="W744">
        <v>996.36</v>
      </c>
      <c r="X744">
        <v>0</v>
      </c>
      <c r="Y744">
        <v>56998</v>
      </c>
    </row>
    <row r="745" spans="1:25" ht="15" hidden="1" customHeight="1" x14ac:dyDescent="0.25">
      <c r="A745" s="1" t="s">
        <v>27</v>
      </c>
      <c r="B745" s="1" t="s">
        <v>56</v>
      </c>
      <c r="C745" s="1" t="s">
        <v>123</v>
      </c>
      <c r="D745">
        <v>5264</v>
      </c>
      <c r="E745" s="1"/>
      <c r="F745" s="1" t="s">
        <v>123</v>
      </c>
      <c r="G745" s="1" t="s">
        <v>123</v>
      </c>
      <c r="H745" s="1" t="s">
        <v>1405</v>
      </c>
      <c r="I745">
        <v>2008</v>
      </c>
      <c r="J745" s="93">
        <v>41864</v>
      </c>
      <c r="K745">
        <v>12</v>
      </c>
      <c r="L745" s="1" t="s">
        <v>402</v>
      </c>
      <c r="M745">
        <v>0</v>
      </c>
      <c r="N745">
        <v>333</v>
      </c>
      <c r="O745">
        <v>125.679975</v>
      </c>
      <c r="P745">
        <v>1</v>
      </c>
      <c r="Q745" s="1" t="s">
        <v>562</v>
      </c>
      <c r="R745" s="93">
        <v>47579.3</v>
      </c>
      <c r="S745">
        <v>8802.16</v>
      </c>
      <c r="T745">
        <v>0</v>
      </c>
      <c r="U745" s="1" t="s">
        <v>775</v>
      </c>
      <c r="V745" s="1"/>
      <c r="W745">
        <v>41864</v>
      </c>
      <c r="X745">
        <v>0</v>
      </c>
      <c r="Y745">
        <v>56768</v>
      </c>
    </row>
    <row r="746" spans="1:25" ht="15" hidden="1" customHeight="1" x14ac:dyDescent="0.25">
      <c r="A746" s="1" t="s">
        <v>27</v>
      </c>
      <c r="B746" s="1" t="s">
        <v>56</v>
      </c>
      <c r="C746" s="1" t="s">
        <v>123</v>
      </c>
      <c r="D746">
        <v>5264</v>
      </c>
      <c r="E746" s="1"/>
      <c r="F746" s="1" t="s">
        <v>123</v>
      </c>
      <c r="G746" s="1" t="s">
        <v>123</v>
      </c>
      <c r="H746" s="1" t="s">
        <v>1396</v>
      </c>
      <c r="I746">
        <v>2008</v>
      </c>
      <c r="J746" s="93">
        <v>31220.28</v>
      </c>
      <c r="K746">
        <v>12</v>
      </c>
      <c r="L746" s="1" t="s">
        <v>402</v>
      </c>
      <c r="M746">
        <v>0</v>
      </c>
      <c r="N746">
        <v>333</v>
      </c>
      <c r="O746">
        <v>93.726448000000005</v>
      </c>
      <c r="P746">
        <v>1</v>
      </c>
      <c r="Q746" s="1" t="s">
        <v>563</v>
      </c>
      <c r="R746" s="93">
        <v>35312.01</v>
      </c>
      <c r="S746">
        <v>187.23</v>
      </c>
      <c r="T746">
        <v>1</v>
      </c>
      <c r="U746" s="1" t="s">
        <v>775</v>
      </c>
      <c r="V746" s="1"/>
      <c r="W746">
        <v>894.82</v>
      </c>
      <c r="X746">
        <v>0</v>
      </c>
      <c r="Y746">
        <v>56998</v>
      </c>
    </row>
    <row r="747" spans="1:25" ht="15" hidden="1" customHeight="1" x14ac:dyDescent="0.25">
      <c r="A747" s="1" t="s">
        <v>27</v>
      </c>
      <c r="B747" s="1"/>
      <c r="C747" s="1" t="s">
        <v>124</v>
      </c>
      <c r="D747">
        <v>9957</v>
      </c>
      <c r="E747" s="1"/>
      <c r="F747" s="1" t="s">
        <v>265</v>
      </c>
      <c r="G747" s="1" t="s">
        <v>124</v>
      </c>
      <c r="H747" s="1" t="s">
        <v>1405</v>
      </c>
      <c r="I747">
        <v>2015</v>
      </c>
      <c r="J747" s="93">
        <v>66285</v>
      </c>
      <c r="K747">
        <v>5</v>
      </c>
      <c r="L747" s="1" t="s">
        <v>399</v>
      </c>
      <c r="M747">
        <v>0</v>
      </c>
      <c r="N747">
        <v>646</v>
      </c>
      <c r="O747">
        <v>56.442160000000001</v>
      </c>
      <c r="P747">
        <v>1</v>
      </c>
      <c r="Q747" s="1" t="s">
        <v>564</v>
      </c>
      <c r="R747" s="93">
        <v>74284</v>
      </c>
      <c r="S747">
        <v>8653.7000000000007</v>
      </c>
      <c r="T747">
        <v>0</v>
      </c>
      <c r="U747" s="1" t="s">
        <v>776</v>
      </c>
      <c r="V747" s="1" t="s">
        <v>1192</v>
      </c>
      <c r="W747">
        <v>3376.6</v>
      </c>
      <c r="X747">
        <v>0</v>
      </c>
      <c r="Y747">
        <v>76350</v>
      </c>
    </row>
    <row r="748" spans="1:25" ht="15" hidden="1" customHeight="1" x14ac:dyDescent="0.25">
      <c r="A748" s="1" t="s">
        <v>27</v>
      </c>
      <c r="B748" s="1"/>
      <c r="C748" s="1" t="s">
        <v>124</v>
      </c>
      <c r="D748">
        <v>9957</v>
      </c>
      <c r="E748" s="1"/>
      <c r="F748" s="1" t="s">
        <v>265</v>
      </c>
      <c r="G748" s="1" t="s">
        <v>124</v>
      </c>
      <c r="H748" s="1" t="s">
        <v>1405</v>
      </c>
      <c r="I748">
        <v>2013</v>
      </c>
      <c r="J748" s="93">
        <v>66663.87</v>
      </c>
      <c r="K748">
        <v>12</v>
      </c>
      <c r="L748" s="1" t="s">
        <v>399</v>
      </c>
      <c r="M748">
        <v>0</v>
      </c>
      <c r="N748">
        <v>646</v>
      </c>
      <c r="O748">
        <v>103.178873</v>
      </c>
      <c r="P748">
        <v>1</v>
      </c>
      <c r="Q748" s="1" t="s">
        <v>564</v>
      </c>
      <c r="R748" s="93">
        <v>75166.62</v>
      </c>
      <c r="S748">
        <v>15896.36</v>
      </c>
      <c r="T748">
        <v>0</v>
      </c>
      <c r="U748" s="1" t="s">
        <v>776</v>
      </c>
      <c r="V748" s="1" t="s">
        <v>1192</v>
      </c>
      <c r="W748">
        <v>6172.58</v>
      </c>
      <c r="X748">
        <v>0</v>
      </c>
      <c r="Y748">
        <v>76350</v>
      </c>
    </row>
    <row r="749" spans="1:25" ht="15" hidden="1" customHeight="1" x14ac:dyDescent="0.25">
      <c r="A749" s="1" t="s">
        <v>27</v>
      </c>
      <c r="B749" s="1"/>
      <c r="C749" s="1" t="s">
        <v>124</v>
      </c>
      <c r="D749">
        <v>9957</v>
      </c>
      <c r="E749" s="1"/>
      <c r="F749" s="1" t="s">
        <v>265</v>
      </c>
      <c r="G749" s="1" t="s">
        <v>124</v>
      </c>
      <c r="H749" s="1" t="s">
        <v>1405</v>
      </c>
      <c r="I749">
        <v>2012</v>
      </c>
      <c r="J749" s="93">
        <v>74521.929999999993</v>
      </c>
      <c r="K749">
        <v>12</v>
      </c>
      <c r="L749" s="1" t="s">
        <v>399</v>
      </c>
      <c r="M749">
        <v>0</v>
      </c>
      <c r="N749">
        <v>646</v>
      </c>
      <c r="O749">
        <v>115.34117000000001</v>
      </c>
      <c r="P749">
        <v>1</v>
      </c>
      <c r="Q749" s="1" t="s">
        <v>564</v>
      </c>
      <c r="R749" s="93">
        <v>78813.600000000006</v>
      </c>
      <c r="S749">
        <v>16667.61</v>
      </c>
      <c r="T749">
        <v>0</v>
      </c>
      <c r="U749" s="1" t="s">
        <v>776</v>
      </c>
      <c r="V749" s="1" t="s">
        <v>1192</v>
      </c>
      <c r="W749">
        <v>6900.18</v>
      </c>
      <c r="X749">
        <v>0</v>
      </c>
      <c r="Y749">
        <v>76350</v>
      </c>
    </row>
    <row r="750" spans="1:25" ht="15" hidden="1" customHeight="1" x14ac:dyDescent="0.25">
      <c r="A750" s="1" t="s">
        <v>27</v>
      </c>
      <c r="B750" s="1"/>
      <c r="C750" s="1" t="s">
        <v>124</v>
      </c>
      <c r="D750">
        <v>9957</v>
      </c>
      <c r="E750" s="1"/>
      <c r="F750" s="1" t="s">
        <v>265</v>
      </c>
      <c r="G750" s="1" t="s">
        <v>124</v>
      </c>
      <c r="H750" s="1" t="s">
        <v>1405</v>
      </c>
      <c r="I750">
        <v>2011</v>
      </c>
      <c r="J750" s="93">
        <v>66764.800000000003</v>
      </c>
      <c r="K750">
        <v>6</v>
      </c>
      <c r="L750" s="1" t="s">
        <v>399</v>
      </c>
      <c r="M750">
        <v>0</v>
      </c>
      <c r="N750">
        <v>646</v>
      </c>
      <c r="O750">
        <v>103.335087</v>
      </c>
      <c r="P750">
        <v>1</v>
      </c>
      <c r="Q750" s="1" t="s">
        <v>564</v>
      </c>
      <c r="R750" s="93">
        <v>79340.34</v>
      </c>
      <c r="S750">
        <v>16779.009999999998</v>
      </c>
      <c r="T750">
        <v>0</v>
      </c>
      <c r="U750" s="1" t="s">
        <v>776</v>
      </c>
      <c r="V750" s="1" t="s">
        <v>1192</v>
      </c>
      <c r="W750">
        <v>6181.9270699999997</v>
      </c>
      <c r="X750">
        <v>0</v>
      </c>
      <c r="Y750">
        <v>76350</v>
      </c>
    </row>
    <row r="751" spans="1:25" ht="15" hidden="1" customHeight="1" x14ac:dyDescent="0.25">
      <c r="A751" s="1" t="s">
        <v>27</v>
      </c>
      <c r="B751" s="1"/>
      <c r="C751" s="1" t="s">
        <v>124</v>
      </c>
      <c r="D751">
        <v>9957</v>
      </c>
      <c r="E751" s="1"/>
      <c r="F751" s="1" t="s">
        <v>265</v>
      </c>
      <c r="G751" s="1" t="s">
        <v>124</v>
      </c>
      <c r="H751" s="1" t="s">
        <v>1405</v>
      </c>
      <c r="I751">
        <v>2010</v>
      </c>
      <c r="J751" s="93">
        <v>57378.37</v>
      </c>
      <c r="K751">
        <v>3</v>
      </c>
      <c r="L751" s="1" t="s">
        <v>399</v>
      </c>
      <c r="M751">
        <v>0</v>
      </c>
      <c r="N751">
        <v>646</v>
      </c>
      <c r="O751">
        <v>88.807258000000004</v>
      </c>
      <c r="P751">
        <v>1</v>
      </c>
      <c r="Q751" s="1" t="s">
        <v>564</v>
      </c>
      <c r="R751" s="93">
        <v>67478.44</v>
      </c>
      <c r="S751">
        <v>14270.43</v>
      </c>
      <c r="T751">
        <v>0</v>
      </c>
      <c r="U751" s="1" t="s">
        <v>776</v>
      </c>
      <c r="V751" s="1" t="s">
        <v>1192</v>
      </c>
      <c r="W751">
        <v>5312.8092800000004</v>
      </c>
      <c r="X751">
        <v>0</v>
      </c>
      <c r="Y751">
        <v>76350</v>
      </c>
    </row>
    <row r="752" spans="1:25" ht="15" hidden="1" customHeight="1" x14ac:dyDescent="0.25">
      <c r="A752" s="1" t="s">
        <v>27</v>
      </c>
      <c r="B752" s="1"/>
      <c r="C752" s="1" t="s">
        <v>124</v>
      </c>
      <c r="D752">
        <v>9957</v>
      </c>
      <c r="E752" s="1"/>
      <c r="F752" s="1" t="s">
        <v>265</v>
      </c>
      <c r="G752" s="1" t="s">
        <v>124</v>
      </c>
      <c r="H752" s="1" t="s">
        <v>1405</v>
      </c>
      <c r="I752">
        <v>2009</v>
      </c>
      <c r="J752" s="93">
        <v>56713.21</v>
      </c>
      <c r="K752">
        <v>4</v>
      </c>
      <c r="L752" s="1" t="s">
        <v>399</v>
      </c>
      <c r="M752">
        <v>0</v>
      </c>
      <c r="N752">
        <v>646</v>
      </c>
      <c r="O752">
        <v>87.777758000000006</v>
      </c>
      <c r="P752">
        <v>1</v>
      </c>
      <c r="Q752" s="1" t="s">
        <v>564</v>
      </c>
      <c r="R752" s="93">
        <v>79639.03</v>
      </c>
      <c r="S752">
        <v>16842.169999999998</v>
      </c>
      <c r="T752">
        <v>0</v>
      </c>
      <c r="U752" s="1" t="s">
        <v>776</v>
      </c>
      <c r="V752" s="1" t="s">
        <v>1192</v>
      </c>
      <c r="W752">
        <v>5251.2221200000004</v>
      </c>
      <c r="X752">
        <v>0</v>
      </c>
      <c r="Y752">
        <v>76350</v>
      </c>
    </row>
    <row r="753" spans="1:25" ht="15" hidden="1" customHeight="1" x14ac:dyDescent="0.25">
      <c r="A753" s="1" t="s">
        <v>27</v>
      </c>
      <c r="B753" s="1"/>
      <c r="C753" s="1" t="s">
        <v>124</v>
      </c>
      <c r="D753">
        <v>9957</v>
      </c>
      <c r="E753" s="1"/>
      <c r="F753" s="1" t="s">
        <v>265</v>
      </c>
      <c r="G753" s="1" t="s">
        <v>124</v>
      </c>
      <c r="H753" s="1" t="s">
        <v>1405</v>
      </c>
      <c r="I753">
        <v>2008</v>
      </c>
      <c r="J753" s="93">
        <v>53618.29</v>
      </c>
      <c r="K753">
        <v>7</v>
      </c>
      <c r="L753" s="1" t="s">
        <v>399</v>
      </c>
      <c r="M753">
        <v>0</v>
      </c>
      <c r="N753">
        <v>646</v>
      </c>
      <c r="O753">
        <v>82.987601999999995</v>
      </c>
      <c r="P753">
        <v>1</v>
      </c>
      <c r="Q753" s="1" t="s">
        <v>564</v>
      </c>
      <c r="R753" s="93">
        <v>62191.97</v>
      </c>
      <c r="S753">
        <v>13152.44</v>
      </c>
      <c r="T753">
        <v>0</v>
      </c>
      <c r="U753" s="1" t="s">
        <v>776</v>
      </c>
      <c r="V753" s="1" t="s">
        <v>1192</v>
      </c>
      <c r="W753">
        <v>4964.6577100000004</v>
      </c>
      <c r="X753">
        <v>0</v>
      </c>
      <c r="Y753">
        <v>76350</v>
      </c>
    </row>
    <row r="754" spans="1:25" ht="15" hidden="1" customHeight="1" x14ac:dyDescent="0.25">
      <c r="A754" s="1" t="s">
        <v>27</v>
      </c>
      <c r="B754" s="1" t="s">
        <v>57</v>
      </c>
      <c r="C754" s="1" t="s">
        <v>125</v>
      </c>
      <c r="D754">
        <v>5269</v>
      </c>
      <c r="E754" s="1"/>
      <c r="F754" s="1" t="s">
        <v>266</v>
      </c>
      <c r="G754" s="1" t="s">
        <v>266</v>
      </c>
      <c r="H754" s="1" t="s">
        <v>1396</v>
      </c>
      <c r="I754">
        <v>2015</v>
      </c>
      <c r="J754" s="93">
        <v>23523.18</v>
      </c>
      <c r="K754">
        <v>5</v>
      </c>
      <c r="L754" s="1" t="s">
        <v>393</v>
      </c>
      <c r="M754">
        <v>0</v>
      </c>
      <c r="N754">
        <v>607</v>
      </c>
      <c r="O754">
        <v>38.746796000000003</v>
      </c>
      <c r="P754">
        <v>1</v>
      </c>
      <c r="Q754" s="1" t="s">
        <v>563</v>
      </c>
      <c r="R754" s="93">
        <v>26522.959999999999</v>
      </c>
      <c r="S754">
        <v>140634.79</v>
      </c>
      <c r="T754">
        <v>1</v>
      </c>
      <c r="U754" s="1" t="s">
        <v>777</v>
      </c>
      <c r="V754" s="1"/>
      <c r="W754">
        <v>674.21</v>
      </c>
      <c r="X754">
        <v>0</v>
      </c>
      <c r="Y754">
        <v>57001</v>
      </c>
    </row>
    <row r="755" spans="1:25" ht="15" hidden="1" customHeight="1" x14ac:dyDescent="0.25">
      <c r="A755" s="1" t="s">
        <v>27</v>
      </c>
      <c r="B755" s="1" t="s">
        <v>57</v>
      </c>
      <c r="C755" s="1" t="s">
        <v>125</v>
      </c>
      <c r="D755">
        <v>5269</v>
      </c>
      <c r="E755" s="1"/>
      <c r="F755" s="1" t="s">
        <v>266</v>
      </c>
      <c r="G755" s="1" t="s">
        <v>266</v>
      </c>
      <c r="H755" s="1" t="s">
        <v>1405</v>
      </c>
      <c r="I755">
        <v>2015</v>
      </c>
      <c r="J755" s="93">
        <v>54740</v>
      </c>
      <c r="K755">
        <v>5</v>
      </c>
      <c r="L755" s="1" t="s">
        <v>393</v>
      </c>
      <c r="M755">
        <v>0</v>
      </c>
      <c r="N755">
        <v>607</v>
      </c>
      <c r="O755">
        <v>51.986493000000003</v>
      </c>
      <c r="P755">
        <v>1</v>
      </c>
      <c r="Q755" s="1" t="s">
        <v>562</v>
      </c>
      <c r="R755" s="93">
        <v>62934</v>
      </c>
      <c r="S755">
        <v>6601351.2999999998</v>
      </c>
      <c r="T755">
        <v>0</v>
      </c>
      <c r="U755" s="1" t="s">
        <v>777</v>
      </c>
      <c r="V755" s="1"/>
      <c r="W755">
        <v>31561</v>
      </c>
      <c r="X755">
        <v>0</v>
      </c>
      <c r="Y755">
        <v>56816</v>
      </c>
    </row>
    <row r="756" spans="1:25" ht="15" hidden="1" customHeight="1" x14ac:dyDescent="0.25">
      <c r="A756" s="1" t="s">
        <v>27</v>
      </c>
      <c r="B756" s="1" t="s">
        <v>57</v>
      </c>
      <c r="C756" s="1" t="s">
        <v>125</v>
      </c>
      <c r="D756">
        <v>5269</v>
      </c>
      <c r="E756" s="1"/>
      <c r="F756" s="1" t="s">
        <v>266</v>
      </c>
      <c r="G756" s="1" t="s">
        <v>266</v>
      </c>
      <c r="H756" s="1" t="s">
        <v>1405</v>
      </c>
      <c r="I756">
        <v>2013</v>
      </c>
      <c r="J756" s="93">
        <v>72341</v>
      </c>
      <c r="K756">
        <v>12</v>
      </c>
      <c r="L756" s="1" t="s">
        <v>393</v>
      </c>
      <c r="M756">
        <v>0</v>
      </c>
      <c r="N756">
        <v>607</v>
      </c>
      <c r="O756">
        <v>119.158293</v>
      </c>
      <c r="P756">
        <v>1</v>
      </c>
      <c r="Q756" s="1" t="s">
        <v>562</v>
      </c>
      <c r="R756" s="93">
        <v>75990.58</v>
      </c>
      <c r="S756">
        <v>14058.25</v>
      </c>
      <c r="T756">
        <v>0</v>
      </c>
      <c r="U756" s="1" t="s">
        <v>777</v>
      </c>
      <c r="V756" s="1"/>
      <c r="W756">
        <v>72341</v>
      </c>
      <c r="X756">
        <v>0</v>
      </c>
      <c r="Y756">
        <v>56816</v>
      </c>
    </row>
    <row r="757" spans="1:25" ht="15" hidden="1" customHeight="1" x14ac:dyDescent="0.25">
      <c r="A757" s="1" t="s">
        <v>27</v>
      </c>
      <c r="B757" s="1" t="s">
        <v>57</v>
      </c>
      <c r="C757" s="1" t="s">
        <v>125</v>
      </c>
      <c r="D757">
        <v>5269</v>
      </c>
      <c r="E757" s="1"/>
      <c r="F757" s="1" t="s">
        <v>266</v>
      </c>
      <c r="G757" s="1" t="s">
        <v>266</v>
      </c>
      <c r="H757" s="1" t="s">
        <v>1396</v>
      </c>
      <c r="I757">
        <v>2013</v>
      </c>
      <c r="J757" s="93">
        <v>54975.82</v>
      </c>
      <c r="K757">
        <v>12</v>
      </c>
      <c r="L757" s="1" t="s">
        <v>393</v>
      </c>
      <c r="M757">
        <v>0</v>
      </c>
      <c r="N757">
        <v>607</v>
      </c>
      <c r="O757">
        <v>90.554800999999998</v>
      </c>
      <c r="P757">
        <v>1</v>
      </c>
      <c r="Q757" s="1" t="s">
        <v>563</v>
      </c>
      <c r="R757" s="93">
        <v>57477.74</v>
      </c>
      <c r="S757">
        <v>304.77999999999997</v>
      </c>
      <c r="T757">
        <v>1</v>
      </c>
      <c r="U757" s="1" t="s">
        <v>777</v>
      </c>
      <c r="V757" s="1"/>
      <c r="W757">
        <v>1575.69</v>
      </c>
      <c r="X757">
        <v>0</v>
      </c>
      <c r="Y757">
        <v>57001</v>
      </c>
    </row>
    <row r="758" spans="1:25" ht="15" hidden="1" customHeight="1" x14ac:dyDescent="0.25">
      <c r="A758" s="1" t="s">
        <v>27</v>
      </c>
      <c r="B758" s="1" t="s">
        <v>57</v>
      </c>
      <c r="C758" s="1" t="s">
        <v>125</v>
      </c>
      <c r="D758">
        <v>5269</v>
      </c>
      <c r="E758" s="1"/>
      <c r="F758" s="1" t="s">
        <v>266</v>
      </c>
      <c r="G758" s="1" t="s">
        <v>266</v>
      </c>
      <c r="H758" s="1" t="s">
        <v>1405</v>
      </c>
      <c r="I758">
        <v>2012</v>
      </c>
      <c r="J758" s="93">
        <v>79779</v>
      </c>
      <c r="K758">
        <v>12</v>
      </c>
      <c r="L758" s="1" t="s">
        <v>393</v>
      </c>
      <c r="M758">
        <v>0</v>
      </c>
      <c r="N758">
        <v>607</v>
      </c>
      <c r="O758">
        <v>131.40998099999999</v>
      </c>
      <c r="P758">
        <v>1</v>
      </c>
      <c r="Q758" s="1" t="s">
        <v>562</v>
      </c>
      <c r="R758" s="93">
        <v>84245.01</v>
      </c>
      <c r="S758">
        <v>15585.33</v>
      </c>
      <c r="T758">
        <v>0</v>
      </c>
      <c r="U758" s="1" t="s">
        <v>777</v>
      </c>
      <c r="V758" s="1"/>
      <c r="W758">
        <v>79779</v>
      </c>
      <c r="X758">
        <v>0</v>
      </c>
      <c r="Y758">
        <v>56816</v>
      </c>
    </row>
    <row r="759" spans="1:25" ht="15" hidden="1" customHeight="1" x14ac:dyDescent="0.25">
      <c r="A759" s="1" t="s">
        <v>27</v>
      </c>
      <c r="B759" s="1" t="s">
        <v>57</v>
      </c>
      <c r="C759" s="1" t="s">
        <v>125</v>
      </c>
      <c r="D759">
        <v>5269</v>
      </c>
      <c r="E759" s="1"/>
      <c r="F759" s="1" t="s">
        <v>266</v>
      </c>
      <c r="G759" s="1" t="s">
        <v>266</v>
      </c>
      <c r="H759" s="1" t="s">
        <v>1396</v>
      </c>
      <c r="I759">
        <v>2012</v>
      </c>
      <c r="J759" s="93">
        <v>63907.67</v>
      </c>
      <c r="K759">
        <v>12</v>
      </c>
      <c r="L759" s="1" t="s">
        <v>393</v>
      </c>
      <c r="M759">
        <v>0</v>
      </c>
      <c r="N759">
        <v>607</v>
      </c>
      <c r="O759">
        <v>105.267122</v>
      </c>
      <c r="P759">
        <v>1</v>
      </c>
      <c r="Q759" s="1" t="s">
        <v>563</v>
      </c>
      <c r="R759" s="93">
        <v>68420.429999999993</v>
      </c>
      <c r="S759">
        <v>362.8</v>
      </c>
      <c r="T759">
        <v>1</v>
      </c>
      <c r="U759" s="1" t="s">
        <v>777</v>
      </c>
      <c r="V759" s="1"/>
      <c r="W759">
        <v>1831.69</v>
      </c>
      <c r="X759">
        <v>0</v>
      </c>
      <c r="Y759">
        <v>57001</v>
      </c>
    </row>
    <row r="760" spans="1:25" ht="15" hidden="1" customHeight="1" x14ac:dyDescent="0.25">
      <c r="A760" s="1" t="s">
        <v>27</v>
      </c>
      <c r="B760" s="1" t="s">
        <v>57</v>
      </c>
      <c r="C760" s="1" t="s">
        <v>125</v>
      </c>
      <c r="D760">
        <v>5269</v>
      </c>
      <c r="E760" s="1"/>
      <c r="F760" s="1" t="s">
        <v>266</v>
      </c>
      <c r="G760" s="1" t="s">
        <v>266</v>
      </c>
      <c r="H760" s="1" t="s">
        <v>1405</v>
      </c>
      <c r="I760">
        <v>2011</v>
      </c>
      <c r="J760" s="93">
        <v>71199</v>
      </c>
      <c r="K760">
        <v>12</v>
      </c>
      <c r="L760" s="1" t="s">
        <v>393</v>
      </c>
      <c r="M760">
        <v>0</v>
      </c>
      <c r="N760">
        <v>607</v>
      </c>
      <c r="O760">
        <v>117.277219</v>
      </c>
      <c r="P760">
        <v>1</v>
      </c>
      <c r="Q760" s="1" t="s">
        <v>562</v>
      </c>
      <c r="R760" s="93">
        <v>77754.740000000005</v>
      </c>
      <c r="S760">
        <v>14384.64</v>
      </c>
      <c r="T760">
        <v>0</v>
      </c>
      <c r="U760" s="1" t="s">
        <v>777</v>
      </c>
      <c r="V760" s="1"/>
      <c r="W760">
        <v>71199</v>
      </c>
      <c r="X760">
        <v>0</v>
      </c>
      <c r="Y760">
        <v>56816</v>
      </c>
    </row>
    <row r="761" spans="1:25" ht="15" hidden="1" customHeight="1" x14ac:dyDescent="0.25">
      <c r="A761" s="1" t="s">
        <v>27</v>
      </c>
      <c r="B761" s="1" t="s">
        <v>57</v>
      </c>
      <c r="C761" s="1" t="s">
        <v>125</v>
      </c>
      <c r="D761">
        <v>5269</v>
      </c>
      <c r="E761" s="1"/>
      <c r="F761" s="1" t="s">
        <v>266</v>
      </c>
      <c r="G761" s="1" t="s">
        <v>266</v>
      </c>
      <c r="H761" s="1" t="s">
        <v>1396</v>
      </c>
      <c r="I761">
        <v>2011</v>
      </c>
      <c r="J761" s="93">
        <v>54244.89</v>
      </c>
      <c r="K761">
        <v>12</v>
      </c>
      <c r="L761" s="1" t="s">
        <v>393</v>
      </c>
      <c r="M761">
        <v>0</v>
      </c>
      <c r="N761">
        <v>607</v>
      </c>
      <c r="O761">
        <v>89.350830999999999</v>
      </c>
      <c r="P761">
        <v>1</v>
      </c>
      <c r="Q761" s="1" t="s">
        <v>563</v>
      </c>
      <c r="R761" s="93">
        <v>59121.01</v>
      </c>
      <c r="S761">
        <v>313.49</v>
      </c>
      <c r="T761">
        <v>1</v>
      </c>
      <c r="U761" s="1" t="s">
        <v>777</v>
      </c>
      <c r="V761" s="1"/>
      <c r="W761">
        <v>1554.74</v>
      </c>
      <c r="X761">
        <v>0</v>
      </c>
      <c r="Y761">
        <v>57001</v>
      </c>
    </row>
    <row r="762" spans="1:25" ht="15" hidden="1" customHeight="1" x14ac:dyDescent="0.25">
      <c r="A762" s="1" t="s">
        <v>27</v>
      </c>
      <c r="B762" s="1" t="s">
        <v>57</v>
      </c>
      <c r="C762" s="1" t="s">
        <v>125</v>
      </c>
      <c r="D762">
        <v>5269</v>
      </c>
      <c r="E762" s="1"/>
      <c r="F762" s="1" t="s">
        <v>266</v>
      </c>
      <c r="G762" s="1" t="s">
        <v>266</v>
      </c>
      <c r="H762" s="1" t="s">
        <v>1405</v>
      </c>
      <c r="I762">
        <v>2010</v>
      </c>
      <c r="J762" s="93">
        <v>86983.99</v>
      </c>
      <c r="K762">
        <v>12</v>
      </c>
      <c r="L762" s="1" t="s">
        <v>393</v>
      </c>
      <c r="M762">
        <v>0</v>
      </c>
      <c r="N762">
        <v>607</v>
      </c>
      <c r="O762">
        <v>143.277861</v>
      </c>
      <c r="P762">
        <v>1</v>
      </c>
      <c r="Q762" s="1" t="s">
        <v>562</v>
      </c>
      <c r="R762" s="93">
        <v>79535.649999999994</v>
      </c>
      <c r="S762">
        <v>14714.08</v>
      </c>
      <c r="T762">
        <v>0</v>
      </c>
      <c r="U762" s="1" t="s">
        <v>777</v>
      </c>
      <c r="V762" s="1"/>
      <c r="W762">
        <v>86983.994999999995</v>
      </c>
      <c r="X762">
        <v>0</v>
      </c>
      <c r="Y762">
        <v>56816</v>
      </c>
    </row>
    <row r="763" spans="1:25" ht="15" hidden="1" customHeight="1" x14ac:dyDescent="0.25">
      <c r="A763" s="1" t="s">
        <v>27</v>
      </c>
      <c r="B763" s="1" t="s">
        <v>57</v>
      </c>
      <c r="C763" s="1" t="s">
        <v>125</v>
      </c>
      <c r="D763">
        <v>5269</v>
      </c>
      <c r="E763" s="1"/>
      <c r="F763" s="1" t="s">
        <v>266</v>
      </c>
      <c r="G763" s="1" t="s">
        <v>266</v>
      </c>
      <c r="H763" s="1" t="s">
        <v>1396</v>
      </c>
      <c r="I763">
        <v>2010</v>
      </c>
      <c r="J763" s="93">
        <v>72277.789999999994</v>
      </c>
      <c r="K763">
        <v>12</v>
      </c>
      <c r="L763" s="1" t="s">
        <v>393</v>
      </c>
      <c r="M763">
        <v>0</v>
      </c>
      <c r="N763">
        <v>607</v>
      </c>
      <c r="O763">
        <v>119.054175</v>
      </c>
      <c r="P763">
        <v>1</v>
      </c>
      <c r="Q763" s="1" t="s">
        <v>563</v>
      </c>
      <c r="R763" s="93">
        <v>66207.12</v>
      </c>
      <c r="S763">
        <v>351.06</v>
      </c>
      <c r="T763">
        <v>1</v>
      </c>
      <c r="U763" s="1" t="s">
        <v>777</v>
      </c>
      <c r="V763" s="1"/>
      <c r="W763">
        <v>2071.59</v>
      </c>
      <c r="X763">
        <v>0</v>
      </c>
      <c r="Y763">
        <v>57001</v>
      </c>
    </row>
    <row r="764" spans="1:25" ht="15" hidden="1" customHeight="1" x14ac:dyDescent="0.25">
      <c r="A764" s="1" t="s">
        <v>27</v>
      </c>
      <c r="B764" s="1" t="s">
        <v>57</v>
      </c>
      <c r="C764" s="1" t="s">
        <v>125</v>
      </c>
      <c r="D764">
        <v>5269</v>
      </c>
      <c r="E764" s="1"/>
      <c r="F764" s="1" t="s">
        <v>266</v>
      </c>
      <c r="G764" s="1" t="s">
        <v>266</v>
      </c>
      <c r="H764" s="1" t="s">
        <v>1405</v>
      </c>
      <c r="I764">
        <v>2009</v>
      </c>
      <c r="J764" s="93">
        <v>86158</v>
      </c>
      <c r="K764">
        <v>12</v>
      </c>
      <c r="L764" s="1" t="s">
        <v>393</v>
      </c>
      <c r="M764">
        <v>0</v>
      </c>
      <c r="N764">
        <v>607</v>
      </c>
      <c r="O764">
        <v>141.91731100000001</v>
      </c>
      <c r="P764">
        <v>1</v>
      </c>
      <c r="Q764" s="1" t="s">
        <v>562</v>
      </c>
      <c r="R764" s="93">
        <v>91973.99</v>
      </c>
      <c r="S764">
        <v>17015.21</v>
      </c>
      <c r="T764">
        <v>0</v>
      </c>
      <c r="U764" s="1" t="s">
        <v>777</v>
      </c>
      <c r="V764" s="1"/>
      <c r="W764">
        <v>86158</v>
      </c>
      <c r="X764">
        <v>0</v>
      </c>
      <c r="Y764">
        <v>56816</v>
      </c>
    </row>
    <row r="765" spans="1:25" ht="15" hidden="1" customHeight="1" x14ac:dyDescent="0.25">
      <c r="A765" s="1" t="s">
        <v>27</v>
      </c>
      <c r="B765" s="1" t="s">
        <v>57</v>
      </c>
      <c r="C765" s="1" t="s">
        <v>125</v>
      </c>
      <c r="D765">
        <v>5269</v>
      </c>
      <c r="E765" s="1"/>
      <c r="F765" s="1" t="s">
        <v>266</v>
      </c>
      <c r="G765" s="1" t="s">
        <v>266</v>
      </c>
      <c r="H765" s="1" t="s">
        <v>1396</v>
      </c>
      <c r="I765">
        <v>2009</v>
      </c>
      <c r="J765" s="93">
        <v>128916.12</v>
      </c>
      <c r="K765">
        <v>12</v>
      </c>
      <c r="L765" s="1" t="s">
        <v>393</v>
      </c>
      <c r="M765">
        <v>0</v>
      </c>
      <c r="N765">
        <v>607</v>
      </c>
      <c r="O765">
        <v>212.34742199999999</v>
      </c>
      <c r="P765">
        <v>1</v>
      </c>
      <c r="Q765" s="1" t="s">
        <v>563</v>
      </c>
      <c r="R765" s="93">
        <v>137332.56</v>
      </c>
      <c r="S765">
        <v>728.19</v>
      </c>
      <c r="T765">
        <v>1</v>
      </c>
      <c r="U765" s="1" t="s">
        <v>777</v>
      </c>
      <c r="V765" s="1"/>
      <c r="W765">
        <v>3694.93</v>
      </c>
      <c r="X765">
        <v>0</v>
      </c>
      <c r="Y765">
        <v>57001</v>
      </c>
    </row>
    <row r="766" spans="1:25" ht="15" hidden="1" customHeight="1" x14ac:dyDescent="0.25">
      <c r="A766" s="1" t="s">
        <v>27</v>
      </c>
      <c r="B766" s="1" t="s">
        <v>57</v>
      </c>
      <c r="C766" s="1" t="s">
        <v>125</v>
      </c>
      <c r="D766">
        <v>5269</v>
      </c>
      <c r="E766" s="1"/>
      <c r="F766" s="1" t="s">
        <v>266</v>
      </c>
      <c r="G766" s="1" t="s">
        <v>266</v>
      </c>
      <c r="H766" s="1" t="s">
        <v>1405</v>
      </c>
      <c r="I766">
        <v>2008</v>
      </c>
      <c r="J766" s="93">
        <v>80843</v>
      </c>
      <c r="K766">
        <v>12</v>
      </c>
      <c r="L766" s="1" t="s">
        <v>393</v>
      </c>
      <c r="M766">
        <v>0</v>
      </c>
      <c r="N766">
        <v>607</v>
      </c>
      <c r="O766">
        <v>133.162576</v>
      </c>
      <c r="P766">
        <v>1</v>
      </c>
      <c r="Q766" s="1" t="s">
        <v>562</v>
      </c>
      <c r="R766" s="93">
        <v>91921.87</v>
      </c>
      <c r="S766">
        <v>17005.54</v>
      </c>
      <c r="T766">
        <v>0</v>
      </c>
      <c r="U766" s="1" t="s">
        <v>777</v>
      </c>
      <c r="V766" s="1"/>
      <c r="W766">
        <v>80843</v>
      </c>
      <c r="X766">
        <v>0</v>
      </c>
      <c r="Y766">
        <v>56816</v>
      </c>
    </row>
    <row r="767" spans="1:25" ht="15" hidden="1" customHeight="1" x14ac:dyDescent="0.25">
      <c r="A767" s="1" t="s">
        <v>27</v>
      </c>
      <c r="B767" s="1" t="s">
        <v>57</v>
      </c>
      <c r="C767" s="1" t="s">
        <v>125</v>
      </c>
      <c r="D767">
        <v>5269</v>
      </c>
      <c r="E767" s="1"/>
      <c r="F767" s="1" t="s">
        <v>266</v>
      </c>
      <c r="G767" s="1" t="s">
        <v>266</v>
      </c>
      <c r="H767" s="1" t="s">
        <v>1396</v>
      </c>
      <c r="I767">
        <v>2008</v>
      </c>
      <c r="J767" s="93">
        <v>99257.87</v>
      </c>
      <c r="K767">
        <v>12</v>
      </c>
      <c r="L767" s="1" t="s">
        <v>393</v>
      </c>
      <c r="M767">
        <v>0</v>
      </c>
      <c r="N767">
        <v>607</v>
      </c>
      <c r="O767">
        <v>163.495091</v>
      </c>
      <c r="P767">
        <v>1</v>
      </c>
      <c r="Q767" s="1" t="s">
        <v>563</v>
      </c>
      <c r="R767" s="93">
        <v>110433.52</v>
      </c>
      <c r="S767">
        <v>585.54999999999995</v>
      </c>
      <c r="T767">
        <v>1</v>
      </c>
      <c r="U767" s="1" t="s">
        <v>777</v>
      </c>
      <c r="V767" s="1"/>
      <c r="W767">
        <v>2844.88</v>
      </c>
      <c r="X767">
        <v>0</v>
      </c>
      <c r="Y767">
        <v>57001</v>
      </c>
    </row>
    <row r="768" spans="1:25" ht="15" hidden="1" customHeight="1" x14ac:dyDescent="0.25">
      <c r="A768" s="1" t="s">
        <v>27</v>
      </c>
      <c r="B768" s="1"/>
      <c r="C768" s="1" t="s">
        <v>126</v>
      </c>
      <c r="D768">
        <v>10017</v>
      </c>
      <c r="E768" s="1"/>
      <c r="F768" s="1" t="s">
        <v>267</v>
      </c>
      <c r="G768" s="1" t="s">
        <v>267</v>
      </c>
      <c r="H768" s="1" t="s">
        <v>1405</v>
      </c>
      <c r="I768">
        <v>2015</v>
      </c>
      <c r="J768" s="93">
        <v>71078</v>
      </c>
      <c r="K768">
        <v>5</v>
      </c>
      <c r="L768" s="1" t="s">
        <v>405</v>
      </c>
      <c r="M768">
        <v>0</v>
      </c>
      <c r="N768">
        <v>602</v>
      </c>
      <c r="O768">
        <v>64.603752999999998</v>
      </c>
      <c r="P768">
        <v>1</v>
      </c>
      <c r="Q768" s="1" t="s">
        <v>564</v>
      </c>
      <c r="R768" s="93">
        <v>80409</v>
      </c>
      <c r="S768">
        <v>9222.4699999999993</v>
      </c>
      <c r="T768">
        <v>0</v>
      </c>
      <c r="U768" s="1"/>
      <c r="V768" s="1" t="s">
        <v>1193</v>
      </c>
      <c r="W768">
        <v>3601.66</v>
      </c>
      <c r="X768">
        <v>0</v>
      </c>
      <c r="Y768">
        <v>76521</v>
      </c>
    </row>
    <row r="769" spans="1:25" ht="15" hidden="1" customHeight="1" x14ac:dyDescent="0.25">
      <c r="A769" s="1" t="s">
        <v>27</v>
      </c>
      <c r="B769" s="1"/>
      <c r="C769" s="1" t="s">
        <v>126</v>
      </c>
      <c r="D769">
        <v>10017</v>
      </c>
      <c r="E769" s="1"/>
      <c r="F769" s="1" t="s">
        <v>267</v>
      </c>
      <c r="G769" s="1" t="s">
        <v>267</v>
      </c>
      <c r="H769" s="1" t="s">
        <v>1405</v>
      </c>
      <c r="I769">
        <v>2013</v>
      </c>
      <c r="J769" s="93">
        <v>69490.12</v>
      </c>
      <c r="K769">
        <v>12</v>
      </c>
      <c r="L769" s="1" t="s">
        <v>405</v>
      </c>
      <c r="M769">
        <v>0</v>
      </c>
      <c r="N769">
        <v>602</v>
      </c>
      <c r="O769">
        <v>115.412921</v>
      </c>
      <c r="P769">
        <v>1</v>
      </c>
      <c r="Q769" s="1" t="s">
        <v>564</v>
      </c>
      <c r="R769" s="93">
        <v>73102.44</v>
      </c>
      <c r="S769">
        <v>15459.79</v>
      </c>
      <c r="T769">
        <v>0</v>
      </c>
      <c r="U769" s="1"/>
      <c r="V769" s="1" t="s">
        <v>1193</v>
      </c>
      <c r="W769">
        <v>6434.27</v>
      </c>
      <c r="X769">
        <v>0</v>
      </c>
      <c r="Y769">
        <v>76521</v>
      </c>
    </row>
    <row r="770" spans="1:25" ht="15" hidden="1" customHeight="1" x14ac:dyDescent="0.25">
      <c r="A770" s="1" t="s">
        <v>27</v>
      </c>
      <c r="B770" s="1"/>
      <c r="C770" s="1" t="s">
        <v>126</v>
      </c>
      <c r="D770">
        <v>10017</v>
      </c>
      <c r="E770" s="1"/>
      <c r="F770" s="1" t="s">
        <v>267</v>
      </c>
      <c r="G770" s="1" t="s">
        <v>267</v>
      </c>
      <c r="H770" s="1" t="s">
        <v>1405</v>
      </c>
      <c r="I770">
        <v>2012</v>
      </c>
      <c r="J770" s="93">
        <v>76214.53</v>
      </c>
      <c r="K770">
        <v>12</v>
      </c>
      <c r="L770" s="1" t="s">
        <v>405</v>
      </c>
      <c r="M770">
        <v>0</v>
      </c>
      <c r="N770">
        <v>602</v>
      </c>
      <c r="O770">
        <v>126.581182</v>
      </c>
      <c r="P770">
        <v>1</v>
      </c>
      <c r="Q770" s="1" t="s">
        <v>564</v>
      </c>
      <c r="R770" s="93">
        <v>80100.34</v>
      </c>
      <c r="S770">
        <v>16939.740000000002</v>
      </c>
      <c r="T770">
        <v>0</v>
      </c>
      <c r="U770" s="1"/>
      <c r="V770" s="1" t="s">
        <v>1193</v>
      </c>
      <c r="W770">
        <v>7056.9</v>
      </c>
      <c r="X770">
        <v>0</v>
      </c>
      <c r="Y770">
        <v>76521</v>
      </c>
    </row>
    <row r="771" spans="1:25" ht="15" hidden="1" customHeight="1" x14ac:dyDescent="0.25">
      <c r="A771" s="1" t="s">
        <v>27</v>
      </c>
      <c r="B771" s="1"/>
      <c r="C771" s="1" t="s">
        <v>126</v>
      </c>
      <c r="D771">
        <v>10017</v>
      </c>
      <c r="E771" s="1"/>
      <c r="F771" s="1" t="s">
        <v>267</v>
      </c>
      <c r="G771" s="1" t="s">
        <v>267</v>
      </c>
      <c r="H771" s="1" t="s">
        <v>1405</v>
      </c>
      <c r="I771">
        <v>2011</v>
      </c>
      <c r="J771" s="93">
        <v>73262.66</v>
      </c>
      <c r="K771">
        <v>12</v>
      </c>
      <c r="L771" s="1" t="s">
        <v>405</v>
      </c>
      <c r="M771">
        <v>0</v>
      </c>
      <c r="N771">
        <v>602</v>
      </c>
      <c r="O771">
        <v>121.678558</v>
      </c>
      <c r="P771">
        <v>1</v>
      </c>
      <c r="Q771" s="1" t="s">
        <v>564</v>
      </c>
      <c r="R771" s="93">
        <v>80819.399999999994</v>
      </c>
      <c r="S771">
        <v>17091.82</v>
      </c>
      <c r="T771">
        <v>0</v>
      </c>
      <c r="U771" s="1"/>
      <c r="V771" s="1" t="s">
        <v>1193</v>
      </c>
      <c r="W771">
        <v>6783.58</v>
      </c>
      <c r="X771">
        <v>0</v>
      </c>
      <c r="Y771">
        <v>76521</v>
      </c>
    </row>
    <row r="772" spans="1:25" ht="15" hidden="1" customHeight="1" x14ac:dyDescent="0.25">
      <c r="A772" s="1" t="s">
        <v>27</v>
      </c>
      <c r="B772" s="1"/>
      <c r="C772" s="1" t="s">
        <v>126</v>
      </c>
      <c r="D772">
        <v>10017</v>
      </c>
      <c r="E772" s="1"/>
      <c r="F772" s="1" t="s">
        <v>267</v>
      </c>
      <c r="G772" s="1" t="s">
        <v>267</v>
      </c>
      <c r="H772" s="1" t="s">
        <v>1405</v>
      </c>
      <c r="I772">
        <v>2010</v>
      </c>
      <c r="J772" s="93">
        <v>80934.39</v>
      </c>
      <c r="K772">
        <v>14</v>
      </c>
      <c r="L772" s="1" t="s">
        <v>405</v>
      </c>
      <c r="M772">
        <v>0</v>
      </c>
      <c r="N772">
        <v>602</v>
      </c>
      <c r="O772">
        <v>134.42017899999999</v>
      </c>
      <c r="P772">
        <v>1</v>
      </c>
      <c r="Q772" s="1" t="s">
        <v>564</v>
      </c>
      <c r="R772" s="93">
        <v>74170.28</v>
      </c>
      <c r="S772">
        <v>15685.64</v>
      </c>
      <c r="T772">
        <v>0</v>
      </c>
      <c r="U772" s="1"/>
      <c r="V772" s="1" t="s">
        <v>1193</v>
      </c>
      <c r="W772">
        <v>7493.92479</v>
      </c>
      <c r="X772">
        <v>0</v>
      </c>
      <c r="Y772">
        <v>76521</v>
      </c>
    </row>
    <row r="773" spans="1:25" ht="15" hidden="1" customHeight="1" x14ac:dyDescent="0.25">
      <c r="A773" s="1" t="s">
        <v>27</v>
      </c>
      <c r="B773" s="1"/>
      <c r="C773" s="1" t="s">
        <v>126</v>
      </c>
      <c r="D773">
        <v>10017</v>
      </c>
      <c r="E773" s="1"/>
      <c r="F773" s="1" t="s">
        <v>267</v>
      </c>
      <c r="G773" s="1" t="s">
        <v>267</v>
      </c>
      <c r="H773" s="1" t="s">
        <v>1405</v>
      </c>
      <c r="I773">
        <v>2009</v>
      </c>
      <c r="J773" s="93">
        <v>73894.62</v>
      </c>
      <c r="K773">
        <v>12</v>
      </c>
      <c r="L773" s="1" t="s">
        <v>405</v>
      </c>
      <c r="M773">
        <v>0</v>
      </c>
      <c r="N773">
        <v>602</v>
      </c>
      <c r="O773">
        <v>122.728151</v>
      </c>
      <c r="P773">
        <v>1</v>
      </c>
      <c r="Q773" s="1" t="s">
        <v>564</v>
      </c>
      <c r="R773" s="93">
        <v>79111.77</v>
      </c>
      <c r="S773">
        <v>16730.669999999998</v>
      </c>
      <c r="T773">
        <v>0</v>
      </c>
      <c r="U773" s="1"/>
      <c r="V773" s="1" t="s">
        <v>1193</v>
      </c>
      <c r="W773">
        <v>6842.0951999999997</v>
      </c>
      <c r="X773">
        <v>0</v>
      </c>
      <c r="Y773">
        <v>76521</v>
      </c>
    </row>
    <row r="774" spans="1:25" ht="15" hidden="1" customHeight="1" x14ac:dyDescent="0.25">
      <c r="A774" s="1" t="s">
        <v>27</v>
      </c>
      <c r="B774" s="1"/>
      <c r="C774" s="1" t="s">
        <v>126</v>
      </c>
      <c r="D774">
        <v>10017</v>
      </c>
      <c r="E774" s="1"/>
      <c r="F774" s="1" t="s">
        <v>267</v>
      </c>
      <c r="G774" s="1" t="s">
        <v>267</v>
      </c>
      <c r="H774" s="1" t="s">
        <v>1405</v>
      </c>
      <c r="I774">
        <v>2008</v>
      </c>
      <c r="J774" s="93">
        <v>64529.24</v>
      </c>
      <c r="K774">
        <v>9</v>
      </c>
      <c r="L774" s="1" t="s">
        <v>405</v>
      </c>
      <c r="M774">
        <v>0</v>
      </c>
      <c r="N774">
        <v>602</v>
      </c>
      <c r="O774">
        <v>107.173625</v>
      </c>
      <c r="P774">
        <v>1</v>
      </c>
      <c r="Q774" s="1" t="s">
        <v>564</v>
      </c>
      <c r="R774" s="93">
        <v>73508.98</v>
      </c>
      <c r="S774">
        <v>15545.78</v>
      </c>
      <c r="T774">
        <v>0</v>
      </c>
      <c r="U774" s="1"/>
      <c r="V774" s="1" t="s">
        <v>1193</v>
      </c>
      <c r="W774">
        <v>5974.9293100000004</v>
      </c>
      <c r="X774">
        <v>0</v>
      </c>
      <c r="Y774">
        <v>76521</v>
      </c>
    </row>
    <row r="775" spans="1:25" ht="15" hidden="1" customHeight="1" x14ac:dyDescent="0.25">
      <c r="A775" s="1" t="s">
        <v>27</v>
      </c>
      <c r="B775" s="1"/>
      <c r="C775" s="1" t="s">
        <v>128</v>
      </c>
      <c r="D775">
        <v>10169</v>
      </c>
      <c r="E775" s="1"/>
      <c r="F775" s="1" t="s">
        <v>268</v>
      </c>
      <c r="G775" s="1" t="s">
        <v>268</v>
      </c>
      <c r="H775" s="1" t="s">
        <v>1405</v>
      </c>
      <c r="I775">
        <v>2015</v>
      </c>
      <c r="J775" s="93">
        <v>77418</v>
      </c>
      <c r="K775">
        <v>5</v>
      </c>
      <c r="L775" s="1" t="s">
        <v>473</v>
      </c>
      <c r="M775">
        <v>0</v>
      </c>
      <c r="N775">
        <v>721</v>
      </c>
      <c r="O775">
        <v>62.369295999999999</v>
      </c>
      <c r="P775">
        <v>1</v>
      </c>
      <c r="Q775" s="1" t="s">
        <v>566</v>
      </c>
      <c r="R775" s="93">
        <v>88163</v>
      </c>
      <c r="S775">
        <v>10340.39</v>
      </c>
      <c r="T775">
        <v>0</v>
      </c>
      <c r="U775" s="1" t="s">
        <v>778</v>
      </c>
      <c r="V775" s="1" t="s">
        <v>1194</v>
      </c>
      <c r="W775">
        <v>4015.58</v>
      </c>
      <c r="X775">
        <v>0</v>
      </c>
      <c r="Y775">
        <v>77182</v>
      </c>
    </row>
    <row r="776" spans="1:25" ht="15" hidden="1" customHeight="1" x14ac:dyDescent="0.25">
      <c r="A776" s="1" t="s">
        <v>27</v>
      </c>
      <c r="B776" s="1"/>
      <c r="C776" s="1" t="s">
        <v>128</v>
      </c>
      <c r="D776">
        <v>10169</v>
      </c>
      <c r="E776" s="1"/>
      <c r="F776" s="1" t="s">
        <v>268</v>
      </c>
      <c r="G776" s="1" t="s">
        <v>268</v>
      </c>
      <c r="H776" s="1" t="s">
        <v>1405</v>
      </c>
      <c r="I776">
        <v>2013</v>
      </c>
      <c r="J776" s="93">
        <v>83193.279999999999</v>
      </c>
      <c r="K776">
        <v>4</v>
      </c>
      <c r="L776" s="1" t="s">
        <v>424</v>
      </c>
      <c r="M776">
        <v>0</v>
      </c>
      <c r="N776">
        <v>721</v>
      </c>
      <c r="O776">
        <v>115.369962</v>
      </c>
      <c r="P776">
        <v>1</v>
      </c>
      <c r="Q776" s="1" t="s">
        <v>564</v>
      </c>
      <c r="R776" s="93">
        <v>105409.81</v>
      </c>
      <c r="S776">
        <v>22292.22</v>
      </c>
      <c r="T776">
        <v>1</v>
      </c>
      <c r="U776" s="1" t="s">
        <v>764</v>
      </c>
      <c r="V776" s="1"/>
      <c r="W776">
        <v>7703.0826399999996</v>
      </c>
      <c r="X776">
        <v>0</v>
      </c>
      <c r="Y776">
        <v>94891</v>
      </c>
    </row>
    <row r="777" spans="1:25" ht="15" hidden="1" customHeight="1" x14ac:dyDescent="0.25">
      <c r="A777" s="1" t="s">
        <v>27</v>
      </c>
      <c r="B777" s="1"/>
      <c r="C777" s="1" t="s">
        <v>128</v>
      </c>
      <c r="D777">
        <v>10169</v>
      </c>
      <c r="E777" s="1"/>
      <c r="F777" s="1" t="s">
        <v>268</v>
      </c>
      <c r="G777" s="1" t="s">
        <v>268</v>
      </c>
      <c r="H777" s="1" t="s">
        <v>1405</v>
      </c>
      <c r="I777">
        <v>2013</v>
      </c>
      <c r="J777" s="93">
        <v>44036.73</v>
      </c>
      <c r="K777">
        <v>12</v>
      </c>
      <c r="L777" s="1" t="s">
        <v>473</v>
      </c>
      <c r="M777">
        <v>0</v>
      </c>
      <c r="N777">
        <v>721</v>
      </c>
      <c r="O777">
        <v>61.068824999999997</v>
      </c>
      <c r="P777">
        <v>1</v>
      </c>
      <c r="Q777" s="1" t="s">
        <v>566</v>
      </c>
      <c r="R777" s="93">
        <v>50485</v>
      </c>
      <c r="S777">
        <v>10295.34</v>
      </c>
      <c r="T777">
        <v>0</v>
      </c>
      <c r="U777" s="1" t="s">
        <v>778</v>
      </c>
      <c r="V777" s="1" t="s">
        <v>1194</v>
      </c>
      <c r="W777">
        <v>3931.85</v>
      </c>
      <c r="X777">
        <v>0</v>
      </c>
      <c r="Y777">
        <v>77182</v>
      </c>
    </row>
    <row r="778" spans="1:25" ht="15" hidden="1" customHeight="1" x14ac:dyDescent="0.25">
      <c r="A778" s="1" t="s">
        <v>27</v>
      </c>
      <c r="B778" s="1"/>
      <c r="C778" s="1" t="s">
        <v>128</v>
      </c>
      <c r="D778">
        <v>10169</v>
      </c>
      <c r="E778" s="1"/>
      <c r="F778" s="1" t="s">
        <v>268</v>
      </c>
      <c r="G778" s="1" t="s">
        <v>268</v>
      </c>
      <c r="H778" s="1" t="s">
        <v>1405</v>
      </c>
      <c r="I778">
        <v>2012</v>
      </c>
      <c r="J778" s="93">
        <v>281.95</v>
      </c>
      <c r="K778">
        <v>1</v>
      </c>
      <c r="L778" s="1" t="s">
        <v>424</v>
      </c>
      <c r="M778">
        <v>0</v>
      </c>
      <c r="N778">
        <v>721</v>
      </c>
      <c r="O778">
        <v>0.39099899999999999</v>
      </c>
      <c r="P778">
        <v>1</v>
      </c>
      <c r="Q778" s="1" t="s">
        <v>564</v>
      </c>
      <c r="R778" s="93">
        <v>267.25</v>
      </c>
      <c r="S778">
        <v>56.52</v>
      </c>
      <c r="T778">
        <v>1</v>
      </c>
      <c r="U778" s="1" t="s">
        <v>764</v>
      </c>
      <c r="V778" s="1"/>
      <c r="W778">
        <v>26.106059999999999</v>
      </c>
      <c r="X778">
        <v>0</v>
      </c>
      <c r="Y778">
        <v>94891</v>
      </c>
    </row>
    <row r="779" spans="1:25" ht="15" hidden="1" customHeight="1" x14ac:dyDescent="0.25">
      <c r="A779" s="1" t="s">
        <v>27</v>
      </c>
      <c r="B779" s="1"/>
      <c r="C779" s="1" t="s">
        <v>128</v>
      </c>
      <c r="D779">
        <v>10169</v>
      </c>
      <c r="E779" s="1"/>
      <c r="F779" s="1" t="s">
        <v>268</v>
      </c>
      <c r="G779" s="1" t="s">
        <v>268</v>
      </c>
      <c r="H779" s="1" t="s">
        <v>1405</v>
      </c>
      <c r="I779">
        <v>2012</v>
      </c>
      <c r="J779" s="93">
        <v>87377.01</v>
      </c>
      <c r="K779">
        <v>10</v>
      </c>
      <c r="L779" s="1" t="s">
        <v>473</v>
      </c>
      <c r="M779">
        <v>0</v>
      </c>
      <c r="N779">
        <v>721</v>
      </c>
      <c r="O779">
        <v>121.171834</v>
      </c>
      <c r="P779">
        <v>1</v>
      </c>
      <c r="Q779" s="1" t="s">
        <v>566</v>
      </c>
      <c r="R779" s="93">
        <v>93490.57</v>
      </c>
      <c r="S779">
        <v>19065.400000000001</v>
      </c>
      <c r="T779">
        <v>0</v>
      </c>
      <c r="U779" s="1" t="s">
        <v>778</v>
      </c>
      <c r="V779" s="1" t="s">
        <v>1194</v>
      </c>
      <c r="W779">
        <v>7801.5181000000002</v>
      </c>
      <c r="X779">
        <v>0</v>
      </c>
      <c r="Y779">
        <v>77182</v>
      </c>
    </row>
    <row r="780" spans="1:25" ht="15" hidden="1" customHeight="1" x14ac:dyDescent="0.25">
      <c r="A780" s="1" t="s">
        <v>27</v>
      </c>
      <c r="B780" s="1"/>
      <c r="C780" s="1" t="s">
        <v>128</v>
      </c>
      <c r="D780">
        <v>10169</v>
      </c>
      <c r="E780" s="1"/>
      <c r="F780" s="1" t="s">
        <v>268</v>
      </c>
      <c r="G780" s="1" t="s">
        <v>268</v>
      </c>
      <c r="H780" s="1" t="s">
        <v>1405</v>
      </c>
      <c r="I780">
        <v>2011</v>
      </c>
      <c r="J780" s="93">
        <v>99458.21</v>
      </c>
      <c r="K780">
        <v>7</v>
      </c>
      <c r="L780" s="1" t="s">
        <v>473</v>
      </c>
      <c r="M780">
        <v>0</v>
      </c>
      <c r="N780">
        <v>721</v>
      </c>
      <c r="O780">
        <v>137.92568199999999</v>
      </c>
      <c r="P780">
        <v>1</v>
      </c>
      <c r="Q780" s="1" t="s">
        <v>566</v>
      </c>
      <c r="R780" s="93">
        <v>115842.87</v>
      </c>
      <c r="S780">
        <v>23623.66</v>
      </c>
      <c r="T780">
        <v>0</v>
      </c>
      <c r="U780" s="1" t="s">
        <v>778</v>
      </c>
      <c r="V780" s="1" t="s">
        <v>1194</v>
      </c>
      <c r="W780">
        <v>8880.1985700000005</v>
      </c>
      <c r="X780">
        <v>0</v>
      </c>
      <c r="Y780">
        <v>77182</v>
      </c>
    </row>
    <row r="781" spans="1:25" ht="15" hidden="1" customHeight="1" x14ac:dyDescent="0.25">
      <c r="A781" s="1" t="s">
        <v>27</v>
      </c>
      <c r="B781" s="1"/>
      <c r="C781" s="1" t="s">
        <v>128</v>
      </c>
      <c r="D781">
        <v>10169</v>
      </c>
      <c r="E781" s="1"/>
      <c r="F781" s="1" t="s">
        <v>268</v>
      </c>
      <c r="G781" s="1" t="s">
        <v>268</v>
      </c>
      <c r="H781" s="1" t="s">
        <v>1405</v>
      </c>
      <c r="I781">
        <v>2010</v>
      </c>
      <c r="J781" s="93">
        <v>95307.23</v>
      </c>
      <c r="K781">
        <v>3</v>
      </c>
      <c r="L781" s="1" t="s">
        <v>473</v>
      </c>
      <c r="M781">
        <v>0</v>
      </c>
      <c r="N781">
        <v>721</v>
      </c>
      <c r="O781">
        <v>132.16922700000001</v>
      </c>
      <c r="P781">
        <v>1</v>
      </c>
      <c r="Q781" s="1" t="s">
        <v>566</v>
      </c>
      <c r="R781" s="93">
        <v>97556.68</v>
      </c>
      <c r="S781">
        <v>19894.62</v>
      </c>
      <c r="T781">
        <v>0</v>
      </c>
      <c r="U781" s="1" t="s">
        <v>778</v>
      </c>
      <c r="V781" s="1" t="s">
        <v>1194</v>
      </c>
      <c r="W781">
        <v>8509.5734300000004</v>
      </c>
      <c r="X781">
        <v>0</v>
      </c>
      <c r="Y781">
        <v>77182</v>
      </c>
    </row>
    <row r="782" spans="1:25" ht="15" hidden="1" customHeight="1" x14ac:dyDescent="0.25">
      <c r="A782" s="1" t="s">
        <v>27</v>
      </c>
      <c r="B782" s="1"/>
      <c r="C782" s="1" t="s">
        <v>128</v>
      </c>
      <c r="D782">
        <v>10169</v>
      </c>
      <c r="E782" s="1"/>
      <c r="F782" s="1" t="s">
        <v>268</v>
      </c>
      <c r="G782" s="1" t="s">
        <v>268</v>
      </c>
      <c r="H782" s="1" t="s">
        <v>1405</v>
      </c>
      <c r="I782">
        <v>2009</v>
      </c>
      <c r="J782" s="93">
        <v>104141.8</v>
      </c>
      <c r="K782">
        <v>4</v>
      </c>
      <c r="L782" s="1" t="s">
        <v>473</v>
      </c>
      <c r="M782">
        <v>0</v>
      </c>
      <c r="N782">
        <v>721</v>
      </c>
      <c r="O782">
        <v>144.42074600000001</v>
      </c>
      <c r="P782">
        <v>1</v>
      </c>
      <c r="Q782" s="1" t="s">
        <v>566</v>
      </c>
      <c r="R782" s="93">
        <v>145016.93</v>
      </c>
      <c r="S782">
        <v>29573.09</v>
      </c>
      <c r="T782">
        <v>0</v>
      </c>
      <c r="U782" s="1" t="s">
        <v>778</v>
      </c>
      <c r="V782" s="1" t="s">
        <v>1194</v>
      </c>
      <c r="W782">
        <v>9298.3752899999999</v>
      </c>
      <c r="X782">
        <v>0</v>
      </c>
      <c r="Y782">
        <v>77182</v>
      </c>
    </row>
    <row r="783" spans="1:25" ht="15" hidden="1" customHeight="1" x14ac:dyDescent="0.25">
      <c r="A783" s="1" t="s">
        <v>27</v>
      </c>
      <c r="B783" s="1"/>
      <c r="C783" s="1" t="s">
        <v>128</v>
      </c>
      <c r="D783">
        <v>10169</v>
      </c>
      <c r="E783" s="1"/>
      <c r="F783" s="1" t="s">
        <v>268</v>
      </c>
      <c r="G783" s="1" t="s">
        <v>268</v>
      </c>
      <c r="H783" s="1" t="s">
        <v>1405</v>
      </c>
      <c r="I783">
        <v>2008</v>
      </c>
      <c r="J783" s="93">
        <v>90836.91</v>
      </c>
      <c r="K783">
        <v>6</v>
      </c>
      <c r="L783" s="1" t="s">
        <v>473</v>
      </c>
      <c r="M783">
        <v>0</v>
      </c>
      <c r="N783">
        <v>721</v>
      </c>
      <c r="O783">
        <v>125.96992</v>
      </c>
      <c r="P783">
        <v>1</v>
      </c>
      <c r="Q783" s="1" t="s">
        <v>566</v>
      </c>
      <c r="R783" s="93">
        <v>108381.79</v>
      </c>
      <c r="S783">
        <v>22102.15</v>
      </c>
      <c r="T783">
        <v>0</v>
      </c>
      <c r="U783" s="1" t="s">
        <v>778</v>
      </c>
      <c r="V783" s="1" t="s">
        <v>1194</v>
      </c>
      <c r="W783">
        <v>8110.4395500000001</v>
      </c>
      <c r="X783">
        <v>0</v>
      </c>
      <c r="Y783">
        <v>77182</v>
      </c>
    </row>
    <row r="784" spans="1:25" ht="15" hidden="1" customHeight="1" x14ac:dyDescent="0.25">
      <c r="A784" s="1" t="s">
        <v>27</v>
      </c>
      <c r="B784" s="1" t="s">
        <v>53</v>
      </c>
      <c r="C784" s="1" t="s">
        <v>129</v>
      </c>
      <c r="D784">
        <v>5447</v>
      </c>
      <c r="E784" s="1"/>
      <c r="F784" s="1" t="s">
        <v>269</v>
      </c>
      <c r="G784" s="1" t="s">
        <v>269</v>
      </c>
      <c r="H784" s="1" t="s">
        <v>1405</v>
      </c>
      <c r="I784">
        <v>2015</v>
      </c>
      <c r="J784" s="93">
        <v>40371</v>
      </c>
      <c r="K784">
        <v>5</v>
      </c>
      <c r="L784" s="1" t="s">
        <v>474</v>
      </c>
      <c r="M784">
        <v>0</v>
      </c>
      <c r="N784">
        <v>480</v>
      </c>
      <c r="O784">
        <v>43.851280000000003</v>
      </c>
      <c r="P784">
        <v>1</v>
      </c>
      <c r="Q784" s="1" t="s">
        <v>562</v>
      </c>
      <c r="R784" s="93">
        <v>46544</v>
      </c>
      <c r="S784">
        <v>4320068.2</v>
      </c>
      <c r="T784">
        <v>0</v>
      </c>
      <c r="U784" s="1" t="s">
        <v>779</v>
      </c>
      <c r="V784" s="1"/>
      <c r="W784">
        <v>21053</v>
      </c>
      <c r="X784">
        <v>0</v>
      </c>
      <c r="Y784">
        <v>57508</v>
      </c>
    </row>
    <row r="785" spans="1:25" ht="15" hidden="1" customHeight="1" x14ac:dyDescent="0.25">
      <c r="A785" s="1" t="s">
        <v>27</v>
      </c>
      <c r="B785" s="1" t="s">
        <v>53</v>
      </c>
      <c r="C785" s="1" t="s">
        <v>129</v>
      </c>
      <c r="D785">
        <v>5447</v>
      </c>
      <c r="E785" s="1"/>
      <c r="F785" s="1" t="s">
        <v>269</v>
      </c>
      <c r="G785" s="1" t="s">
        <v>269</v>
      </c>
      <c r="H785" s="1" t="s">
        <v>1396</v>
      </c>
      <c r="I785">
        <v>2015</v>
      </c>
      <c r="J785" s="93">
        <v>22733.97</v>
      </c>
      <c r="K785">
        <v>5</v>
      </c>
      <c r="L785" s="1" t="s">
        <v>474</v>
      </c>
      <c r="M785">
        <v>0</v>
      </c>
      <c r="N785">
        <v>480</v>
      </c>
      <c r="O785">
        <v>47.352572000000002</v>
      </c>
      <c r="P785">
        <v>1</v>
      </c>
      <c r="Q785" s="1" t="s">
        <v>563</v>
      </c>
      <c r="R785" s="93">
        <v>24976.639999999999</v>
      </c>
      <c r="S785">
        <v>132435.60999999999</v>
      </c>
      <c r="T785">
        <v>1</v>
      </c>
      <c r="U785" s="1" t="s">
        <v>779</v>
      </c>
      <c r="V785" s="1"/>
      <c r="W785">
        <v>651.59</v>
      </c>
      <c r="X785">
        <v>0</v>
      </c>
      <c r="Y785">
        <v>57509</v>
      </c>
    </row>
    <row r="786" spans="1:25" ht="15" hidden="1" customHeight="1" x14ac:dyDescent="0.25">
      <c r="A786" s="1" t="s">
        <v>27</v>
      </c>
      <c r="B786" s="1" t="s">
        <v>53</v>
      </c>
      <c r="C786" s="1" t="s">
        <v>129</v>
      </c>
      <c r="D786">
        <v>5447</v>
      </c>
      <c r="E786" s="1"/>
      <c r="F786" s="1" t="s">
        <v>269</v>
      </c>
      <c r="G786" s="1" t="s">
        <v>269</v>
      </c>
      <c r="H786" s="1" t="s">
        <v>1396</v>
      </c>
      <c r="I786">
        <v>2013</v>
      </c>
      <c r="J786" s="93">
        <v>61754.6</v>
      </c>
      <c r="K786">
        <v>12</v>
      </c>
      <c r="L786" s="1" t="s">
        <v>474</v>
      </c>
      <c r="M786">
        <v>0</v>
      </c>
      <c r="N786">
        <v>480</v>
      </c>
      <c r="O786">
        <v>128.62861899999999</v>
      </c>
      <c r="P786">
        <v>1</v>
      </c>
      <c r="Q786" s="1" t="s">
        <v>563</v>
      </c>
      <c r="R786" s="93">
        <v>72468.649999999994</v>
      </c>
      <c r="S786">
        <v>384.26</v>
      </c>
      <c r="T786">
        <v>1</v>
      </c>
      <c r="U786" s="1" t="s">
        <v>779</v>
      </c>
      <c r="V786" s="1"/>
      <c r="W786">
        <v>1769.98</v>
      </c>
      <c r="X786">
        <v>0</v>
      </c>
      <c r="Y786">
        <v>57509</v>
      </c>
    </row>
    <row r="787" spans="1:25" ht="15" hidden="1" customHeight="1" x14ac:dyDescent="0.25">
      <c r="A787" s="1" t="s">
        <v>27</v>
      </c>
      <c r="B787" s="1" t="s">
        <v>53</v>
      </c>
      <c r="C787" s="1" t="s">
        <v>129</v>
      </c>
      <c r="D787">
        <v>5447</v>
      </c>
      <c r="E787" s="1"/>
      <c r="F787" s="1" t="s">
        <v>269</v>
      </c>
      <c r="G787" s="1" t="s">
        <v>269</v>
      </c>
      <c r="H787" s="1" t="s">
        <v>1405</v>
      </c>
      <c r="I787">
        <v>2013</v>
      </c>
      <c r="J787" s="93">
        <v>49588.13</v>
      </c>
      <c r="K787">
        <v>12</v>
      </c>
      <c r="L787" s="1" t="s">
        <v>474</v>
      </c>
      <c r="M787">
        <v>0</v>
      </c>
      <c r="N787">
        <v>480</v>
      </c>
      <c r="O787">
        <v>103.287086</v>
      </c>
      <c r="P787">
        <v>1</v>
      </c>
      <c r="Q787" s="1" t="s">
        <v>562</v>
      </c>
      <c r="R787" s="93">
        <v>52648.22</v>
      </c>
      <c r="S787">
        <v>9739.9</v>
      </c>
      <c r="T787">
        <v>0</v>
      </c>
      <c r="U787" s="1" t="s">
        <v>779</v>
      </c>
      <c r="V787" s="1"/>
      <c r="W787">
        <v>49588.13</v>
      </c>
      <c r="X787">
        <v>0</v>
      </c>
      <c r="Y787">
        <v>57508</v>
      </c>
    </row>
    <row r="788" spans="1:25" ht="15" hidden="1" customHeight="1" x14ac:dyDescent="0.25">
      <c r="A788" s="1" t="s">
        <v>27</v>
      </c>
      <c r="B788" s="1" t="s">
        <v>53</v>
      </c>
      <c r="C788" s="1" t="s">
        <v>129</v>
      </c>
      <c r="D788">
        <v>5447</v>
      </c>
      <c r="E788" s="1"/>
      <c r="F788" s="1" t="s">
        <v>269</v>
      </c>
      <c r="G788" s="1" t="s">
        <v>269</v>
      </c>
      <c r="H788" s="1" t="s">
        <v>1396</v>
      </c>
      <c r="I788">
        <v>2012</v>
      </c>
      <c r="J788" s="93">
        <v>85748.79</v>
      </c>
      <c r="K788">
        <v>12</v>
      </c>
      <c r="L788" s="1" t="s">
        <v>474</v>
      </c>
      <c r="M788">
        <v>0</v>
      </c>
      <c r="N788">
        <v>480</v>
      </c>
      <c r="O788">
        <v>178.60610199999999</v>
      </c>
      <c r="P788">
        <v>1</v>
      </c>
      <c r="Q788" s="1" t="s">
        <v>563</v>
      </c>
      <c r="R788" s="93">
        <v>90711.54</v>
      </c>
      <c r="S788">
        <v>480.99</v>
      </c>
      <c r="T788">
        <v>1</v>
      </c>
      <c r="U788" s="1" t="s">
        <v>779</v>
      </c>
      <c r="V788" s="1"/>
      <c r="W788">
        <v>2457.69</v>
      </c>
      <c r="X788">
        <v>0</v>
      </c>
      <c r="Y788">
        <v>57509</v>
      </c>
    </row>
    <row r="789" spans="1:25" ht="15" hidden="1" customHeight="1" x14ac:dyDescent="0.25">
      <c r="A789" s="1" t="s">
        <v>27</v>
      </c>
      <c r="B789" s="1" t="s">
        <v>53</v>
      </c>
      <c r="C789" s="1" t="s">
        <v>129</v>
      </c>
      <c r="D789">
        <v>5447</v>
      </c>
      <c r="E789" s="1"/>
      <c r="F789" s="1" t="s">
        <v>269</v>
      </c>
      <c r="G789" s="1" t="s">
        <v>269</v>
      </c>
      <c r="H789" s="1" t="s">
        <v>1405</v>
      </c>
      <c r="I789">
        <v>2012</v>
      </c>
      <c r="J789" s="93">
        <v>67154.5</v>
      </c>
      <c r="K789">
        <v>12</v>
      </c>
      <c r="L789" s="1" t="s">
        <v>474</v>
      </c>
      <c r="M789">
        <v>0</v>
      </c>
      <c r="N789">
        <v>480</v>
      </c>
      <c r="O789">
        <v>139.87606700000001</v>
      </c>
      <c r="P789">
        <v>1</v>
      </c>
      <c r="Q789" s="1" t="s">
        <v>562</v>
      </c>
      <c r="R789" s="93">
        <v>70676.649999999994</v>
      </c>
      <c r="S789">
        <v>13075.18</v>
      </c>
      <c r="T789">
        <v>0</v>
      </c>
      <c r="U789" s="1" t="s">
        <v>779</v>
      </c>
      <c r="V789" s="1"/>
      <c r="W789">
        <v>67154.5</v>
      </c>
      <c r="X789">
        <v>0</v>
      </c>
      <c r="Y789">
        <v>57508</v>
      </c>
    </row>
    <row r="790" spans="1:25" ht="15" hidden="1" customHeight="1" x14ac:dyDescent="0.25">
      <c r="A790" s="1" t="s">
        <v>27</v>
      </c>
      <c r="B790" s="1" t="s">
        <v>53</v>
      </c>
      <c r="C790" s="1" t="s">
        <v>129</v>
      </c>
      <c r="D790">
        <v>5447</v>
      </c>
      <c r="E790" s="1"/>
      <c r="F790" s="1" t="s">
        <v>269</v>
      </c>
      <c r="G790" s="1" t="s">
        <v>269</v>
      </c>
      <c r="H790" s="1" t="s">
        <v>1405</v>
      </c>
      <c r="I790">
        <v>2011</v>
      </c>
      <c r="J790" s="93">
        <v>68779.3</v>
      </c>
      <c r="K790">
        <v>12</v>
      </c>
      <c r="L790" s="1" t="s">
        <v>474</v>
      </c>
      <c r="M790">
        <v>0</v>
      </c>
      <c r="N790">
        <v>480</v>
      </c>
      <c r="O790">
        <v>143.26036199999999</v>
      </c>
      <c r="P790">
        <v>1</v>
      </c>
      <c r="Q790" s="1" t="s">
        <v>562</v>
      </c>
      <c r="R790" s="93">
        <v>75698</v>
      </c>
      <c r="S790">
        <v>14004.13</v>
      </c>
      <c r="T790">
        <v>0</v>
      </c>
      <c r="U790" s="1" t="s">
        <v>779</v>
      </c>
      <c r="V790" s="1"/>
      <c r="W790">
        <v>68779.3</v>
      </c>
      <c r="X790">
        <v>0</v>
      </c>
      <c r="Y790">
        <v>57508</v>
      </c>
    </row>
    <row r="791" spans="1:25" ht="15" hidden="1" customHeight="1" x14ac:dyDescent="0.25">
      <c r="A791" s="1" t="s">
        <v>27</v>
      </c>
      <c r="B791" s="1" t="s">
        <v>53</v>
      </c>
      <c r="C791" s="1" t="s">
        <v>129</v>
      </c>
      <c r="D791">
        <v>5447</v>
      </c>
      <c r="E791" s="1"/>
      <c r="F791" s="1" t="s">
        <v>269</v>
      </c>
      <c r="G791" s="1" t="s">
        <v>269</v>
      </c>
      <c r="H791" s="1" t="s">
        <v>1396</v>
      </c>
      <c r="I791">
        <v>2011</v>
      </c>
      <c r="J791" s="93">
        <v>132768.65</v>
      </c>
      <c r="K791">
        <v>12</v>
      </c>
      <c r="L791" s="1" t="s">
        <v>474</v>
      </c>
      <c r="M791">
        <v>0</v>
      </c>
      <c r="N791">
        <v>480</v>
      </c>
      <c r="O791">
        <v>276.54374000000001</v>
      </c>
      <c r="P791">
        <v>1</v>
      </c>
      <c r="Q791" s="1" t="s">
        <v>563</v>
      </c>
      <c r="R791" s="93">
        <v>149251.75</v>
      </c>
      <c r="S791">
        <v>791.39</v>
      </c>
      <c r="T791">
        <v>1</v>
      </c>
      <c r="U791" s="1" t="s">
        <v>779</v>
      </c>
      <c r="V791" s="1"/>
      <c r="W791">
        <v>3805.35</v>
      </c>
      <c r="X791">
        <v>0</v>
      </c>
      <c r="Y791">
        <v>57509</v>
      </c>
    </row>
    <row r="792" spans="1:25" ht="15" hidden="1" customHeight="1" x14ac:dyDescent="0.25">
      <c r="A792" s="1" t="s">
        <v>27</v>
      </c>
      <c r="B792" s="1" t="s">
        <v>53</v>
      </c>
      <c r="C792" s="1" t="s">
        <v>129</v>
      </c>
      <c r="D792">
        <v>5447</v>
      </c>
      <c r="E792" s="1"/>
      <c r="F792" s="1" t="s">
        <v>269</v>
      </c>
      <c r="G792" s="1" t="s">
        <v>269</v>
      </c>
      <c r="H792" s="1" t="s">
        <v>1405</v>
      </c>
      <c r="I792">
        <v>2010</v>
      </c>
      <c r="J792" s="93">
        <v>63711.199999999997</v>
      </c>
      <c r="K792">
        <v>12</v>
      </c>
      <c r="L792" s="1" t="s">
        <v>474</v>
      </c>
      <c r="M792">
        <v>0</v>
      </c>
      <c r="N792">
        <v>480</v>
      </c>
      <c r="O792">
        <v>132.70401899999999</v>
      </c>
      <c r="P792">
        <v>1</v>
      </c>
      <c r="Q792" s="1" t="s">
        <v>562</v>
      </c>
      <c r="R792" s="93">
        <v>58285.63</v>
      </c>
      <c r="S792">
        <v>10782.85</v>
      </c>
      <c r="T792">
        <v>0</v>
      </c>
      <c r="U792" s="1" t="s">
        <v>779</v>
      </c>
      <c r="V792" s="1"/>
      <c r="W792">
        <v>63711.197</v>
      </c>
      <c r="X792">
        <v>0</v>
      </c>
      <c r="Y792">
        <v>57508</v>
      </c>
    </row>
    <row r="793" spans="1:25" ht="15" hidden="1" customHeight="1" x14ac:dyDescent="0.25">
      <c r="A793" s="1" t="s">
        <v>27</v>
      </c>
      <c r="B793" s="1" t="s">
        <v>53</v>
      </c>
      <c r="C793" s="1" t="s">
        <v>129</v>
      </c>
      <c r="D793">
        <v>5447</v>
      </c>
      <c r="E793" s="1"/>
      <c r="F793" s="1" t="s">
        <v>269</v>
      </c>
      <c r="G793" s="1" t="s">
        <v>269</v>
      </c>
      <c r="H793" s="1" t="s">
        <v>1396</v>
      </c>
      <c r="I793">
        <v>2010</v>
      </c>
      <c r="J793" s="93">
        <v>115538.94</v>
      </c>
      <c r="K793">
        <v>12</v>
      </c>
      <c r="L793" s="1" t="s">
        <v>474</v>
      </c>
      <c r="M793">
        <v>0</v>
      </c>
      <c r="N793">
        <v>480</v>
      </c>
      <c r="O793">
        <v>240.65598800000001</v>
      </c>
      <c r="P793">
        <v>1</v>
      </c>
      <c r="Q793" s="1" t="s">
        <v>563</v>
      </c>
      <c r="R793" s="93">
        <v>140997.62</v>
      </c>
      <c r="S793">
        <v>747.62</v>
      </c>
      <c r="T793">
        <v>1</v>
      </c>
      <c r="U793" s="1" t="s">
        <v>779</v>
      </c>
      <c r="V793" s="1"/>
      <c r="W793">
        <v>3311.52</v>
      </c>
      <c r="X793">
        <v>0</v>
      </c>
      <c r="Y793">
        <v>57509</v>
      </c>
    </row>
    <row r="794" spans="1:25" ht="15" hidden="1" customHeight="1" x14ac:dyDescent="0.25">
      <c r="A794" s="1" t="s">
        <v>27</v>
      </c>
      <c r="B794" s="1" t="s">
        <v>53</v>
      </c>
      <c r="C794" s="1" t="s">
        <v>129</v>
      </c>
      <c r="D794">
        <v>5447</v>
      </c>
      <c r="E794" s="1"/>
      <c r="F794" s="1" t="s">
        <v>269</v>
      </c>
      <c r="G794" s="1" t="s">
        <v>269</v>
      </c>
      <c r="H794" s="1" t="s">
        <v>1405</v>
      </c>
      <c r="I794">
        <v>2009</v>
      </c>
      <c r="J794" s="93">
        <v>51270</v>
      </c>
      <c r="K794">
        <v>12</v>
      </c>
      <c r="L794" s="1" t="s">
        <v>474</v>
      </c>
      <c r="M794">
        <v>0</v>
      </c>
      <c r="N794">
        <v>480</v>
      </c>
      <c r="O794">
        <v>106.790252</v>
      </c>
      <c r="P794">
        <v>1</v>
      </c>
      <c r="Q794" s="1" t="s">
        <v>562</v>
      </c>
      <c r="R794" s="93">
        <v>54463.07</v>
      </c>
      <c r="S794">
        <v>10075.68</v>
      </c>
      <c r="T794">
        <v>0</v>
      </c>
      <c r="U794" s="1" t="s">
        <v>779</v>
      </c>
      <c r="V794" s="1"/>
      <c r="W794">
        <v>51270</v>
      </c>
      <c r="X794">
        <v>0</v>
      </c>
      <c r="Y794">
        <v>57508</v>
      </c>
    </row>
    <row r="795" spans="1:25" ht="15" hidden="1" customHeight="1" x14ac:dyDescent="0.25">
      <c r="A795" s="1" t="s">
        <v>27</v>
      </c>
      <c r="B795" s="1" t="s">
        <v>53</v>
      </c>
      <c r="C795" s="1" t="s">
        <v>129</v>
      </c>
      <c r="D795">
        <v>5447</v>
      </c>
      <c r="E795" s="1"/>
      <c r="F795" s="1" t="s">
        <v>269</v>
      </c>
      <c r="G795" s="1" t="s">
        <v>269</v>
      </c>
      <c r="H795" s="1" t="s">
        <v>1396</v>
      </c>
      <c r="I795">
        <v>2009</v>
      </c>
      <c r="J795" s="93">
        <v>104041.28</v>
      </c>
      <c r="K795">
        <v>12</v>
      </c>
      <c r="L795" s="1" t="s">
        <v>474</v>
      </c>
      <c r="M795">
        <v>0</v>
      </c>
      <c r="N795">
        <v>480</v>
      </c>
      <c r="O795">
        <v>216.70751899999999</v>
      </c>
      <c r="P795">
        <v>1</v>
      </c>
      <c r="Q795" s="1" t="s">
        <v>563</v>
      </c>
      <c r="R795" s="93">
        <v>142718.74</v>
      </c>
      <c r="S795">
        <v>756.76</v>
      </c>
      <c r="T795">
        <v>1</v>
      </c>
      <c r="U795" s="1" t="s">
        <v>779</v>
      </c>
      <c r="V795" s="1"/>
      <c r="W795">
        <v>2981.98</v>
      </c>
      <c r="X795">
        <v>0</v>
      </c>
      <c r="Y795">
        <v>57509</v>
      </c>
    </row>
    <row r="796" spans="1:25" ht="15" hidden="1" customHeight="1" x14ac:dyDescent="0.25">
      <c r="A796" s="1" t="s">
        <v>27</v>
      </c>
      <c r="B796" s="1" t="s">
        <v>53</v>
      </c>
      <c r="C796" s="1" t="s">
        <v>129</v>
      </c>
      <c r="D796">
        <v>5447</v>
      </c>
      <c r="E796" s="1"/>
      <c r="F796" s="1" t="s">
        <v>269</v>
      </c>
      <c r="G796" s="1" t="s">
        <v>269</v>
      </c>
      <c r="H796" s="1" t="s">
        <v>1396</v>
      </c>
      <c r="I796">
        <v>2008</v>
      </c>
      <c r="J796" s="93">
        <v>90750.29</v>
      </c>
      <c r="K796">
        <v>12</v>
      </c>
      <c r="L796" s="1" t="s">
        <v>474</v>
      </c>
      <c r="M796">
        <v>0</v>
      </c>
      <c r="N796">
        <v>480</v>
      </c>
      <c r="O796">
        <v>189.02372399999999</v>
      </c>
      <c r="P796">
        <v>1</v>
      </c>
      <c r="Q796" s="1" t="s">
        <v>563</v>
      </c>
      <c r="R796" s="93">
        <v>111910.81</v>
      </c>
      <c r="S796">
        <v>593.39</v>
      </c>
      <c r="T796">
        <v>1</v>
      </c>
      <c r="U796" s="1" t="s">
        <v>779</v>
      </c>
      <c r="V796" s="1"/>
      <c r="W796">
        <v>2601.04</v>
      </c>
      <c r="X796">
        <v>0</v>
      </c>
      <c r="Y796">
        <v>57509</v>
      </c>
    </row>
    <row r="797" spans="1:25" ht="15" hidden="1" customHeight="1" x14ac:dyDescent="0.25">
      <c r="A797" s="1" t="s">
        <v>27</v>
      </c>
      <c r="B797" s="1" t="s">
        <v>53</v>
      </c>
      <c r="C797" s="1" t="s">
        <v>129</v>
      </c>
      <c r="D797">
        <v>5447</v>
      </c>
      <c r="E797" s="1"/>
      <c r="F797" s="1" t="s">
        <v>269</v>
      </c>
      <c r="G797" s="1" t="s">
        <v>269</v>
      </c>
      <c r="H797" s="1" t="s">
        <v>1405</v>
      </c>
      <c r="I797">
        <v>2008</v>
      </c>
      <c r="J797" s="93">
        <v>48162</v>
      </c>
      <c r="K797">
        <v>12</v>
      </c>
      <c r="L797" s="1" t="s">
        <v>474</v>
      </c>
      <c r="M797">
        <v>0</v>
      </c>
      <c r="N797">
        <v>480</v>
      </c>
      <c r="O797">
        <v>100.31659999999999</v>
      </c>
      <c r="P797">
        <v>1</v>
      </c>
      <c r="Q797" s="1" t="s">
        <v>562</v>
      </c>
      <c r="R797" s="93">
        <v>55004.88</v>
      </c>
      <c r="S797">
        <v>10175.9</v>
      </c>
      <c r="T797">
        <v>0</v>
      </c>
      <c r="U797" s="1" t="s">
        <v>779</v>
      </c>
      <c r="V797" s="1"/>
      <c r="W797">
        <v>48162</v>
      </c>
      <c r="X797">
        <v>0</v>
      </c>
      <c r="Y797">
        <v>57508</v>
      </c>
    </row>
    <row r="798" spans="1:25" ht="15" hidden="1" customHeight="1" x14ac:dyDescent="0.25">
      <c r="A798" s="1" t="s">
        <v>27</v>
      </c>
      <c r="B798" s="1" t="s">
        <v>58</v>
      </c>
      <c r="C798" s="1" t="s">
        <v>130</v>
      </c>
      <c r="D798">
        <v>5272</v>
      </c>
      <c r="E798" s="1"/>
      <c r="F798" s="1" t="s">
        <v>270</v>
      </c>
      <c r="G798" s="1" t="s">
        <v>130</v>
      </c>
      <c r="H798" s="1" t="s">
        <v>1396</v>
      </c>
      <c r="I798">
        <v>2015</v>
      </c>
      <c r="J798" s="93">
        <v>42302.03</v>
      </c>
      <c r="K798">
        <v>5</v>
      </c>
      <c r="L798" s="1" t="s">
        <v>475</v>
      </c>
      <c r="M798">
        <v>0</v>
      </c>
      <c r="N798">
        <v>541</v>
      </c>
      <c r="O798">
        <v>78.177841000000001</v>
      </c>
      <c r="P798">
        <v>1</v>
      </c>
      <c r="Q798" s="1" t="s">
        <v>563</v>
      </c>
      <c r="R798" s="93">
        <v>46963.7</v>
      </c>
      <c r="S798">
        <v>249019.33</v>
      </c>
      <c r="T798">
        <v>1</v>
      </c>
      <c r="U798" s="1" t="s">
        <v>780</v>
      </c>
      <c r="V798" s="1"/>
      <c r="W798">
        <v>1212.4399000000001</v>
      </c>
      <c r="X798">
        <v>0</v>
      </c>
      <c r="Y798">
        <v>57003</v>
      </c>
    </row>
    <row r="799" spans="1:25" ht="15" hidden="1" customHeight="1" x14ac:dyDescent="0.25">
      <c r="A799" s="1" t="s">
        <v>27</v>
      </c>
      <c r="B799" s="1" t="s">
        <v>58</v>
      </c>
      <c r="C799" s="1" t="s">
        <v>130</v>
      </c>
      <c r="D799">
        <v>5272</v>
      </c>
      <c r="E799" s="1"/>
      <c r="F799" s="1" t="s">
        <v>270</v>
      </c>
      <c r="G799" s="1" t="s">
        <v>130</v>
      </c>
      <c r="H799" s="1" t="s">
        <v>1405</v>
      </c>
      <c r="I799">
        <v>2015</v>
      </c>
      <c r="J799" s="93">
        <v>84219</v>
      </c>
      <c r="K799">
        <v>5</v>
      </c>
      <c r="L799" s="1" t="s">
        <v>475</v>
      </c>
      <c r="M799">
        <v>0</v>
      </c>
      <c r="N799">
        <v>541</v>
      </c>
      <c r="O799">
        <v>86.684549000000004</v>
      </c>
      <c r="P799">
        <v>1</v>
      </c>
      <c r="Q799" s="1" t="s">
        <v>562</v>
      </c>
      <c r="R799" s="93">
        <v>94730</v>
      </c>
      <c r="S799">
        <v>9649200.4000000004</v>
      </c>
      <c r="T799">
        <v>0</v>
      </c>
      <c r="U799" s="1" t="s">
        <v>780</v>
      </c>
      <c r="V799" s="1"/>
      <c r="W799">
        <v>46905.004000000001</v>
      </c>
      <c r="X799">
        <v>0</v>
      </c>
      <c r="Y799">
        <v>56837</v>
      </c>
    </row>
    <row r="800" spans="1:25" ht="15" hidden="1" customHeight="1" x14ac:dyDescent="0.25">
      <c r="A800" s="1" t="s">
        <v>27</v>
      </c>
      <c r="B800" s="1" t="s">
        <v>58</v>
      </c>
      <c r="C800" s="1" t="s">
        <v>130</v>
      </c>
      <c r="D800">
        <v>5272</v>
      </c>
      <c r="E800" s="1"/>
      <c r="F800" s="1" t="s">
        <v>270</v>
      </c>
      <c r="G800" s="1" t="s">
        <v>130</v>
      </c>
      <c r="H800" s="1" t="s">
        <v>1396</v>
      </c>
      <c r="I800">
        <v>2013</v>
      </c>
      <c r="J800" s="93">
        <v>110109.34</v>
      </c>
      <c r="K800">
        <v>12</v>
      </c>
      <c r="L800" s="1" t="s">
        <v>475</v>
      </c>
      <c r="M800">
        <v>0</v>
      </c>
      <c r="N800">
        <v>541</v>
      </c>
      <c r="O800">
        <v>203.49166500000001</v>
      </c>
      <c r="P800">
        <v>1</v>
      </c>
      <c r="Q800" s="1" t="s">
        <v>563</v>
      </c>
      <c r="R800" s="93">
        <v>117004.46</v>
      </c>
      <c r="S800">
        <v>620.38</v>
      </c>
      <c r="T800">
        <v>1</v>
      </c>
      <c r="U800" s="1" t="s">
        <v>780</v>
      </c>
      <c r="V800" s="1"/>
      <c r="W800">
        <v>3155.8999800000001</v>
      </c>
      <c r="X800">
        <v>0</v>
      </c>
      <c r="Y800">
        <v>57003</v>
      </c>
    </row>
    <row r="801" spans="1:25" ht="15" hidden="1" customHeight="1" x14ac:dyDescent="0.25">
      <c r="A801" s="1" t="s">
        <v>27</v>
      </c>
      <c r="B801" s="1" t="s">
        <v>58</v>
      </c>
      <c r="C801" s="1" t="s">
        <v>130</v>
      </c>
      <c r="D801">
        <v>5272</v>
      </c>
      <c r="E801" s="1"/>
      <c r="F801" s="1" t="s">
        <v>270</v>
      </c>
      <c r="G801" s="1" t="s">
        <v>130</v>
      </c>
      <c r="H801" s="1" t="s">
        <v>1405</v>
      </c>
      <c r="I801">
        <v>2013</v>
      </c>
      <c r="J801" s="93">
        <v>91957</v>
      </c>
      <c r="K801">
        <v>12</v>
      </c>
      <c r="L801" s="1" t="s">
        <v>475</v>
      </c>
      <c r="M801">
        <v>0</v>
      </c>
      <c r="N801">
        <v>541</v>
      </c>
      <c r="O801">
        <v>169.944557</v>
      </c>
      <c r="P801">
        <v>1</v>
      </c>
      <c r="Q801" s="1" t="s">
        <v>562</v>
      </c>
      <c r="R801" s="93">
        <v>95565.3</v>
      </c>
      <c r="S801">
        <v>17679.580000000002</v>
      </c>
      <c r="T801">
        <v>0</v>
      </c>
      <c r="U801" s="1" t="s">
        <v>780</v>
      </c>
      <c r="V801" s="1"/>
      <c r="W801">
        <v>91956.999819999997</v>
      </c>
      <c r="X801">
        <v>0</v>
      </c>
      <c r="Y801">
        <v>56837</v>
      </c>
    </row>
    <row r="802" spans="1:25" ht="15" hidden="1" customHeight="1" x14ac:dyDescent="0.25">
      <c r="A802" s="1" t="s">
        <v>27</v>
      </c>
      <c r="B802" s="1" t="s">
        <v>58</v>
      </c>
      <c r="C802" s="1" t="s">
        <v>130</v>
      </c>
      <c r="D802">
        <v>5272</v>
      </c>
      <c r="E802" s="1"/>
      <c r="F802" s="1" t="s">
        <v>270</v>
      </c>
      <c r="G802" s="1" t="s">
        <v>130</v>
      </c>
      <c r="H802" s="1" t="s">
        <v>1405</v>
      </c>
      <c r="I802">
        <v>2012</v>
      </c>
      <c r="J802" s="93">
        <v>93801</v>
      </c>
      <c r="K802">
        <v>12</v>
      </c>
      <c r="L802" s="1" t="s">
        <v>475</v>
      </c>
      <c r="M802">
        <v>0</v>
      </c>
      <c r="N802">
        <v>541</v>
      </c>
      <c r="O802">
        <v>173.35243</v>
      </c>
      <c r="P802">
        <v>1</v>
      </c>
      <c r="Q802" s="1" t="s">
        <v>562</v>
      </c>
      <c r="R802" s="93">
        <v>98043.87</v>
      </c>
      <c r="S802">
        <v>18138.099999999999</v>
      </c>
      <c r="T802">
        <v>0</v>
      </c>
      <c r="U802" s="1" t="s">
        <v>780</v>
      </c>
      <c r="V802" s="1"/>
      <c r="W802">
        <v>93801</v>
      </c>
      <c r="X802">
        <v>0</v>
      </c>
      <c r="Y802">
        <v>56837</v>
      </c>
    </row>
    <row r="803" spans="1:25" ht="15" hidden="1" customHeight="1" x14ac:dyDescent="0.25">
      <c r="A803" s="1" t="s">
        <v>27</v>
      </c>
      <c r="B803" s="1" t="s">
        <v>58</v>
      </c>
      <c r="C803" s="1" t="s">
        <v>130</v>
      </c>
      <c r="D803">
        <v>5272</v>
      </c>
      <c r="E803" s="1"/>
      <c r="F803" s="1" t="s">
        <v>270</v>
      </c>
      <c r="G803" s="1" t="s">
        <v>130</v>
      </c>
      <c r="H803" s="1" t="s">
        <v>1396</v>
      </c>
      <c r="I803">
        <v>2012</v>
      </c>
      <c r="J803" s="93">
        <v>113767.9</v>
      </c>
      <c r="K803">
        <v>12</v>
      </c>
      <c r="L803" s="1" t="s">
        <v>475</v>
      </c>
      <c r="M803">
        <v>0</v>
      </c>
      <c r="N803">
        <v>541</v>
      </c>
      <c r="O803">
        <v>210.25300300000001</v>
      </c>
      <c r="P803">
        <v>1</v>
      </c>
      <c r="Q803" s="1" t="s">
        <v>563</v>
      </c>
      <c r="R803" s="93">
        <v>120903.84</v>
      </c>
      <c r="S803">
        <v>641.07000000000005</v>
      </c>
      <c r="T803">
        <v>1</v>
      </c>
      <c r="U803" s="1" t="s">
        <v>780</v>
      </c>
      <c r="V803" s="1"/>
      <c r="W803">
        <v>3260.76</v>
      </c>
      <c r="X803">
        <v>0</v>
      </c>
      <c r="Y803">
        <v>57003</v>
      </c>
    </row>
    <row r="804" spans="1:25" ht="15" hidden="1" customHeight="1" x14ac:dyDescent="0.25">
      <c r="A804" s="1" t="s">
        <v>27</v>
      </c>
      <c r="B804" s="1" t="s">
        <v>58</v>
      </c>
      <c r="C804" s="1" t="s">
        <v>130</v>
      </c>
      <c r="D804">
        <v>5272</v>
      </c>
      <c r="E804" s="1"/>
      <c r="F804" s="1" t="s">
        <v>270</v>
      </c>
      <c r="G804" s="1" t="s">
        <v>130</v>
      </c>
      <c r="H804" s="1" t="s">
        <v>1405</v>
      </c>
      <c r="I804">
        <v>2011</v>
      </c>
      <c r="J804" s="93">
        <v>91077.01</v>
      </c>
      <c r="K804">
        <v>12</v>
      </c>
      <c r="L804" s="1" t="s">
        <v>475</v>
      </c>
      <c r="M804">
        <v>0</v>
      </c>
      <c r="N804">
        <v>541</v>
      </c>
      <c r="O804">
        <v>168.31825900000001</v>
      </c>
      <c r="P804">
        <v>1</v>
      </c>
      <c r="Q804" s="1" t="s">
        <v>562</v>
      </c>
      <c r="R804" s="93">
        <v>99421.62</v>
      </c>
      <c r="S804">
        <v>18392.990000000002</v>
      </c>
      <c r="T804">
        <v>0</v>
      </c>
      <c r="U804" s="1" t="s">
        <v>780</v>
      </c>
      <c r="V804" s="1"/>
      <c r="W804">
        <v>91077.004000000001</v>
      </c>
      <c r="X804">
        <v>0</v>
      </c>
      <c r="Y804">
        <v>56837</v>
      </c>
    </row>
    <row r="805" spans="1:25" ht="15" hidden="1" customHeight="1" x14ac:dyDescent="0.25">
      <c r="A805" s="1" t="s">
        <v>27</v>
      </c>
      <c r="B805" s="1" t="s">
        <v>58</v>
      </c>
      <c r="C805" s="1" t="s">
        <v>130</v>
      </c>
      <c r="D805">
        <v>5272</v>
      </c>
      <c r="E805" s="1"/>
      <c r="F805" s="1" t="s">
        <v>270</v>
      </c>
      <c r="G805" s="1" t="s">
        <v>130</v>
      </c>
      <c r="H805" s="1" t="s">
        <v>1396</v>
      </c>
      <c r="I805">
        <v>2011</v>
      </c>
      <c r="J805" s="93">
        <v>97512.67</v>
      </c>
      <c r="K805">
        <v>12</v>
      </c>
      <c r="L805" s="1" t="s">
        <v>475</v>
      </c>
      <c r="M805">
        <v>0</v>
      </c>
      <c r="N805">
        <v>541</v>
      </c>
      <c r="O805">
        <v>180.21191999999999</v>
      </c>
      <c r="P805">
        <v>1</v>
      </c>
      <c r="Q805" s="1" t="s">
        <v>563</v>
      </c>
      <c r="R805" s="93">
        <v>107318.55</v>
      </c>
      <c r="S805">
        <v>569.03</v>
      </c>
      <c r="T805">
        <v>1</v>
      </c>
      <c r="U805" s="1" t="s">
        <v>780</v>
      </c>
      <c r="V805" s="1"/>
      <c r="W805">
        <v>2794.8599899999999</v>
      </c>
      <c r="X805">
        <v>0</v>
      </c>
      <c r="Y805">
        <v>57003</v>
      </c>
    </row>
    <row r="806" spans="1:25" ht="15" hidden="1" customHeight="1" x14ac:dyDescent="0.25">
      <c r="A806" s="1" t="s">
        <v>27</v>
      </c>
      <c r="B806" s="1" t="s">
        <v>58</v>
      </c>
      <c r="C806" s="1" t="s">
        <v>130</v>
      </c>
      <c r="D806">
        <v>5272</v>
      </c>
      <c r="E806" s="1"/>
      <c r="F806" s="1" t="s">
        <v>270</v>
      </c>
      <c r="G806" s="1" t="s">
        <v>130</v>
      </c>
      <c r="H806" s="1" t="s">
        <v>1405</v>
      </c>
      <c r="I806">
        <v>2010</v>
      </c>
      <c r="J806" s="93">
        <v>113056</v>
      </c>
      <c r="K806">
        <v>12</v>
      </c>
      <c r="L806" s="1" t="s">
        <v>475</v>
      </c>
      <c r="M806">
        <v>0</v>
      </c>
      <c r="N806">
        <v>541</v>
      </c>
      <c r="O806">
        <v>208.93734900000001</v>
      </c>
      <c r="P806">
        <v>1</v>
      </c>
      <c r="Q806" s="1" t="s">
        <v>562</v>
      </c>
      <c r="R806" s="93">
        <v>103526.73</v>
      </c>
      <c r="S806">
        <v>19152.439999999999</v>
      </c>
      <c r="T806">
        <v>0</v>
      </c>
      <c r="U806" s="1" t="s">
        <v>780</v>
      </c>
      <c r="V806" s="1"/>
      <c r="W806">
        <v>113056</v>
      </c>
      <c r="X806">
        <v>0</v>
      </c>
      <c r="Y806">
        <v>56837</v>
      </c>
    </row>
    <row r="807" spans="1:25" ht="15" hidden="1" customHeight="1" x14ac:dyDescent="0.25">
      <c r="A807" s="1" t="s">
        <v>27</v>
      </c>
      <c r="B807" s="1" t="s">
        <v>58</v>
      </c>
      <c r="C807" s="1" t="s">
        <v>130</v>
      </c>
      <c r="D807">
        <v>5272</v>
      </c>
      <c r="E807" s="1"/>
      <c r="F807" s="1" t="s">
        <v>270</v>
      </c>
      <c r="G807" s="1" t="s">
        <v>130</v>
      </c>
      <c r="H807" s="1" t="s">
        <v>1396</v>
      </c>
      <c r="I807">
        <v>2010</v>
      </c>
      <c r="J807" s="93">
        <v>121793.67</v>
      </c>
      <c r="K807">
        <v>12</v>
      </c>
      <c r="L807" s="1" t="s">
        <v>475</v>
      </c>
      <c r="M807">
        <v>0</v>
      </c>
      <c r="N807">
        <v>541</v>
      </c>
      <c r="O807">
        <v>225.08532600000001</v>
      </c>
      <c r="P807">
        <v>1</v>
      </c>
      <c r="Q807" s="1" t="s">
        <v>563</v>
      </c>
      <c r="R807" s="93">
        <v>113781.34</v>
      </c>
      <c r="S807">
        <v>603.32000000000005</v>
      </c>
      <c r="T807">
        <v>1</v>
      </c>
      <c r="U807" s="1" t="s">
        <v>780</v>
      </c>
      <c r="V807" s="1"/>
      <c r="W807">
        <v>3490.79</v>
      </c>
      <c r="X807">
        <v>0</v>
      </c>
      <c r="Y807">
        <v>57003</v>
      </c>
    </row>
    <row r="808" spans="1:25" ht="15" hidden="1" customHeight="1" x14ac:dyDescent="0.25">
      <c r="A808" s="1" t="s">
        <v>27</v>
      </c>
      <c r="B808" s="1" t="s">
        <v>58</v>
      </c>
      <c r="C808" s="1" t="s">
        <v>130</v>
      </c>
      <c r="D808">
        <v>5272</v>
      </c>
      <c r="E808" s="1"/>
      <c r="F808" s="1" t="s">
        <v>270</v>
      </c>
      <c r="G808" s="1" t="s">
        <v>130</v>
      </c>
      <c r="H808" s="1" t="s">
        <v>1405</v>
      </c>
      <c r="I808">
        <v>2009</v>
      </c>
      <c r="J808" s="93">
        <v>105672</v>
      </c>
      <c r="K808">
        <v>12</v>
      </c>
      <c r="L808" s="1" t="s">
        <v>475</v>
      </c>
      <c r="M808">
        <v>0</v>
      </c>
      <c r="N808">
        <v>541</v>
      </c>
      <c r="O808">
        <v>195.29107300000001</v>
      </c>
      <c r="P808">
        <v>1</v>
      </c>
      <c r="Q808" s="1" t="s">
        <v>562</v>
      </c>
      <c r="R808" s="93">
        <v>112504.87</v>
      </c>
      <c r="S808">
        <v>20813.400000000001</v>
      </c>
      <c r="T808">
        <v>0</v>
      </c>
      <c r="U808" s="1" t="s">
        <v>780</v>
      </c>
      <c r="V808" s="1"/>
      <c r="W808">
        <v>105672</v>
      </c>
      <c r="X808">
        <v>0</v>
      </c>
      <c r="Y808">
        <v>56837</v>
      </c>
    </row>
    <row r="809" spans="1:25" ht="15" hidden="1" customHeight="1" x14ac:dyDescent="0.25">
      <c r="A809" s="1" t="s">
        <v>27</v>
      </c>
      <c r="B809" s="1" t="s">
        <v>58</v>
      </c>
      <c r="C809" s="1" t="s">
        <v>130</v>
      </c>
      <c r="D809">
        <v>5272</v>
      </c>
      <c r="E809" s="1"/>
      <c r="F809" s="1" t="s">
        <v>270</v>
      </c>
      <c r="G809" s="1" t="s">
        <v>130</v>
      </c>
      <c r="H809" s="1" t="s">
        <v>1396</v>
      </c>
      <c r="I809">
        <v>2009</v>
      </c>
      <c r="J809" s="93">
        <v>113498.22</v>
      </c>
      <c r="K809">
        <v>12</v>
      </c>
      <c r="L809" s="1" t="s">
        <v>475</v>
      </c>
      <c r="M809">
        <v>0</v>
      </c>
      <c r="N809">
        <v>541</v>
      </c>
      <c r="O809">
        <v>209.75461000000001</v>
      </c>
      <c r="P809">
        <v>1</v>
      </c>
      <c r="Q809" s="1" t="s">
        <v>563</v>
      </c>
      <c r="R809" s="93">
        <v>131592.32000000001</v>
      </c>
      <c r="S809">
        <v>697.78</v>
      </c>
      <c r="T809">
        <v>1</v>
      </c>
      <c r="U809" s="1" t="s">
        <v>780</v>
      </c>
      <c r="V809" s="1"/>
      <c r="W809">
        <v>3253.03</v>
      </c>
      <c r="X809">
        <v>0</v>
      </c>
      <c r="Y809">
        <v>57003</v>
      </c>
    </row>
    <row r="810" spans="1:25" ht="15" hidden="1" customHeight="1" x14ac:dyDescent="0.25">
      <c r="A810" s="1" t="s">
        <v>27</v>
      </c>
      <c r="B810" s="1" t="s">
        <v>58</v>
      </c>
      <c r="C810" s="1" t="s">
        <v>130</v>
      </c>
      <c r="D810">
        <v>5272</v>
      </c>
      <c r="E810" s="1"/>
      <c r="F810" s="1" t="s">
        <v>270</v>
      </c>
      <c r="G810" s="1" t="s">
        <v>130</v>
      </c>
      <c r="H810" s="1" t="s">
        <v>1405</v>
      </c>
      <c r="I810">
        <v>2008</v>
      </c>
      <c r="J810" s="93">
        <v>85597</v>
      </c>
      <c r="K810">
        <v>12</v>
      </c>
      <c r="L810" s="1" t="s">
        <v>475</v>
      </c>
      <c r="M810">
        <v>0</v>
      </c>
      <c r="N810">
        <v>541</v>
      </c>
      <c r="O810">
        <v>158.19072199999999</v>
      </c>
      <c r="P810">
        <v>1</v>
      </c>
      <c r="Q810" s="1" t="s">
        <v>562</v>
      </c>
      <c r="R810" s="93">
        <v>96841.81</v>
      </c>
      <c r="S810">
        <v>17915.740000000002</v>
      </c>
      <c r="T810">
        <v>0</v>
      </c>
      <c r="U810" s="1" t="s">
        <v>780</v>
      </c>
      <c r="V810" s="1"/>
      <c r="W810">
        <v>85597</v>
      </c>
      <c r="X810">
        <v>0</v>
      </c>
      <c r="Y810">
        <v>56837</v>
      </c>
    </row>
    <row r="811" spans="1:25" ht="15" hidden="1" customHeight="1" x14ac:dyDescent="0.25">
      <c r="A811" s="1" t="s">
        <v>27</v>
      </c>
      <c r="B811" s="1" t="s">
        <v>58</v>
      </c>
      <c r="C811" s="1" t="s">
        <v>130</v>
      </c>
      <c r="D811">
        <v>5272</v>
      </c>
      <c r="E811" s="1"/>
      <c r="F811" s="1" t="s">
        <v>270</v>
      </c>
      <c r="G811" s="1" t="s">
        <v>130</v>
      </c>
      <c r="H811" s="1" t="s">
        <v>1396</v>
      </c>
      <c r="I811">
        <v>2008</v>
      </c>
      <c r="J811" s="93">
        <v>95901.79</v>
      </c>
      <c r="K811">
        <v>12</v>
      </c>
      <c r="L811" s="1" t="s">
        <v>475</v>
      </c>
      <c r="M811">
        <v>0</v>
      </c>
      <c r="N811">
        <v>541</v>
      </c>
      <c r="O811">
        <v>177.23487299999999</v>
      </c>
      <c r="P811">
        <v>1</v>
      </c>
      <c r="Q811" s="1" t="s">
        <v>563</v>
      </c>
      <c r="R811" s="93">
        <v>111928.26</v>
      </c>
      <c r="S811">
        <v>593.48</v>
      </c>
      <c r="T811">
        <v>1</v>
      </c>
      <c r="U811" s="1" t="s">
        <v>780</v>
      </c>
      <c r="V811" s="1"/>
      <c r="W811">
        <v>2748.69</v>
      </c>
      <c r="X811">
        <v>0</v>
      </c>
      <c r="Y811">
        <v>57003</v>
      </c>
    </row>
    <row r="812" spans="1:25" ht="15" hidden="1" customHeight="1" x14ac:dyDescent="0.25">
      <c r="A812" s="1" t="s">
        <v>27</v>
      </c>
      <c r="B812" s="1"/>
      <c r="C812" s="1" t="s">
        <v>131</v>
      </c>
      <c r="D812">
        <v>9952</v>
      </c>
      <c r="E812" s="1"/>
      <c r="F812" s="1" t="s">
        <v>271</v>
      </c>
      <c r="G812" s="1" t="s">
        <v>271</v>
      </c>
      <c r="H812" s="1" t="s">
        <v>1405</v>
      </c>
      <c r="I812">
        <v>2015</v>
      </c>
      <c r="J812" s="93">
        <v>39925</v>
      </c>
      <c r="K812">
        <v>5</v>
      </c>
      <c r="L812" s="1" t="s">
        <v>405</v>
      </c>
      <c r="M812">
        <v>0</v>
      </c>
      <c r="N812">
        <v>473</v>
      </c>
      <c r="O812">
        <v>47.009087999999998</v>
      </c>
      <c r="P812">
        <v>1</v>
      </c>
      <c r="Q812" s="1" t="s">
        <v>562</v>
      </c>
      <c r="R812" s="93">
        <v>45084</v>
      </c>
      <c r="S812">
        <v>1595.3</v>
      </c>
      <c r="T812">
        <v>0</v>
      </c>
      <c r="U812" s="1" t="s">
        <v>781</v>
      </c>
      <c r="V812" s="1"/>
      <c r="W812">
        <v>22240</v>
      </c>
      <c r="X812">
        <v>0</v>
      </c>
      <c r="Y812">
        <v>76307</v>
      </c>
    </row>
    <row r="813" spans="1:25" ht="15" hidden="1" customHeight="1" x14ac:dyDescent="0.25">
      <c r="A813" s="1" t="s">
        <v>27</v>
      </c>
      <c r="B813" s="1"/>
      <c r="C813" s="1" t="s">
        <v>131</v>
      </c>
      <c r="D813">
        <v>9952</v>
      </c>
      <c r="E813" s="1"/>
      <c r="F813" s="1" t="s">
        <v>271</v>
      </c>
      <c r="G813" s="1" t="s">
        <v>271</v>
      </c>
      <c r="H813" s="1" t="s">
        <v>1405</v>
      </c>
      <c r="I813">
        <v>2013</v>
      </c>
      <c r="J813" s="93">
        <v>40177</v>
      </c>
      <c r="K813">
        <v>12</v>
      </c>
      <c r="L813" s="1" t="s">
        <v>405</v>
      </c>
      <c r="M813">
        <v>0</v>
      </c>
      <c r="N813">
        <v>473</v>
      </c>
      <c r="O813">
        <v>84.922848999999999</v>
      </c>
      <c r="P813">
        <v>1</v>
      </c>
      <c r="Q813" s="1" t="s">
        <v>562</v>
      </c>
      <c r="R813" s="93">
        <v>42025.16</v>
      </c>
      <c r="S813">
        <v>2689.62</v>
      </c>
      <c r="T813">
        <v>0</v>
      </c>
      <c r="U813" s="1" t="s">
        <v>781</v>
      </c>
      <c r="V813" s="1"/>
      <c r="W813">
        <v>40177</v>
      </c>
      <c r="X813">
        <v>0</v>
      </c>
      <c r="Y813">
        <v>76307</v>
      </c>
    </row>
    <row r="814" spans="1:25" ht="15" hidden="1" customHeight="1" x14ac:dyDescent="0.25">
      <c r="A814" s="1" t="s">
        <v>27</v>
      </c>
      <c r="B814" s="1"/>
      <c r="C814" s="1" t="s">
        <v>131</v>
      </c>
      <c r="D814">
        <v>9952</v>
      </c>
      <c r="E814" s="1"/>
      <c r="F814" s="1" t="s">
        <v>271</v>
      </c>
      <c r="G814" s="1" t="s">
        <v>271</v>
      </c>
      <c r="H814" s="1" t="s">
        <v>1405</v>
      </c>
      <c r="I814">
        <v>2012</v>
      </c>
      <c r="J814" s="93">
        <v>45143</v>
      </c>
      <c r="K814">
        <v>12</v>
      </c>
      <c r="L814" s="1" t="s">
        <v>405</v>
      </c>
      <c r="M814">
        <v>0</v>
      </c>
      <c r="N814">
        <v>473</v>
      </c>
      <c r="O814">
        <v>95.419573</v>
      </c>
      <c r="P814">
        <v>1</v>
      </c>
      <c r="Q814" s="1" t="s">
        <v>562</v>
      </c>
      <c r="R814" s="93">
        <v>47372.57</v>
      </c>
      <c r="S814">
        <v>8763.91</v>
      </c>
      <c r="T814">
        <v>0</v>
      </c>
      <c r="U814" s="1" t="s">
        <v>781</v>
      </c>
      <c r="V814" s="1"/>
      <c r="W814">
        <v>45143</v>
      </c>
      <c r="X814">
        <v>0</v>
      </c>
      <c r="Y814">
        <v>76307</v>
      </c>
    </row>
    <row r="815" spans="1:25" ht="15" hidden="1" customHeight="1" x14ac:dyDescent="0.25">
      <c r="A815" s="1" t="s">
        <v>27</v>
      </c>
      <c r="B815" s="1"/>
      <c r="C815" s="1" t="s">
        <v>131</v>
      </c>
      <c r="D815">
        <v>9952</v>
      </c>
      <c r="E815" s="1"/>
      <c r="F815" s="1" t="s">
        <v>271</v>
      </c>
      <c r="G815" s="1" t="s">
        <v>271</v>
      </c>
      <c r="H815" s="1" t="s">
        <v>1405</v>
      </c>
      <c r="I815">
        <v>2011</v>
      </c>
      <c r="J815" s="93">
        <v>44240</v>
      </c>
      <c r="K815">
        <v>12</v>
      </c>
      <c r="L815" s="1" t="s">
        <v>405</v>
      </c>
      <c r="M815">
        <v>0</v>
      </c>
      <c r="N815">
        <v>473</v>
      </c>
      <c r="O815">
        <v>93.510885000000002</v>
      </c>
      <c r="P815">
        <v>1</v>
      </c>
      <c r="Q815" s="1" t="s">
        <v>562</v>
      </c>
      <c r="R815" s="93">
        <v>48805.84</v>
      </c>
      <c r="S815">
        <v>9029.07</v>
      </c>
      <c r="T815">
        <v>0</v>
      </c>
      <c r="U815" s="1" t="s">
        <v>781</v>
      </c>
      <c r="V815" s="1"/>
      <c r="W815">
        <v>44240</v>
      </c>
      <c r="X815">
        <v>0</v>
      </c>
      <c r="Y815">
        <v>76307</v>
      </c>
    </row>
    <row r="816" spans="1:25" ht="15" hidden="1" customHeight="1" x14ac:dyDescent="0.25">
      <c r="A816" s="1" t="s">
        <v>27</v>
      </c>
      <c r="B816" s="1"/>
      <c r="C816" s="1" t="s">
        <v>131</v>
      </c>
      <c r="D816">
        <v>9952</v>
      </c>
      <c r="E816" s="1"/>
      <c r="F816" s="1" t="s">
        <v>271</v>
      </c>
      <c r="G816" s="1" t="s">
        <v>271</v>
      </c>
      <c r="H816" s="1" t="s">
        <v>1405</v>
      </c>
      <c r="I816">
        <v>2010</v>
      </c>
      <c r="J816" s="93">
        <v>43234.41</v>
      </c>
      <c r="K816">
        <v>5</v>
      </c>
      <c r="L816" s="1" t="s">
        <v>405</v>
      </c>
      <c r="M816">
        <v>0</v>
      </c>
      <c r="N816">
        <v>473</v>
      </c>
      <c r="O816">
        <v>91.385351</v>
      </c>
      <c r="P816">
        <v>1</v>
      </c>
      <c r="Q816" s="1" t="s">
        <v>562</v>
      </c>
      <c r="R816" s="93">
        <v>41089.1</v>
      </c>
      <c r="S816">
        <v>7601.49</v>
      </c>
      <c r="T816">
        <v>0</v>
      </c>
      <c r="U816" s="1" t="s">
        <v>781</v>
      </c>
      <c r="V816" s="1"/>
      <c r="W816">
        <v>43234.400009999998</v>
      </c>
      <c r="X816">
        <v>0</v>
      </c>
      <c r="Y816">
        <v>76307</v>
      </c>
    </row>
    <row r="817" spans="1:25" ht="15" hidden="1" customHeight="1" x14ac:dyDescent="0.25">
      <c r="A817" s="1" t="s">
        <v>27</v>
      </c>
      <c r="B817" s="1"/>
      <c r="C817" s="1" t="s">
        <v>131</v>
      </c>
      <c r="D817">
        <v>9952</v>
      </c>
      <c r="E817" s="1"/>
      <c r="F817" s="1" t="s">
        <v>271</v>
      </c>
      <c r="G817" s="1" t="s">
        <v>271</v>
      </c>
      <c r="H817" s="1" t="s">
        <v>1405</v>
      </c>
      <c r="I817">
        <v>2009</v>
      </c>
      <c r="J817" s="93">
        <v>43714.48</v>
      </c>
      <c r="K817">
        <v>8</v>
      </c>
      <c r="L817" s="1" t="s">
        <v>405</v>
      </c>
      <c r="M817">
        <v>0</v>
      </c>
      <c r="N817">
        <v>473</v>
      </c>
      <c r="O817">
        <v>92.400084000000007</v>
      </c>
      <c r="P817">
        <v>1</v>
      </c>
      <c r="Q817" s="1" t="s">
        <v>562</v>
      </c>
      <c r="R817" s="93">
        <v>47490.02</v>
      </c>
      <c r="S817">
        <v>8785.66</v>
      </c>
      <c r="T817">
        <v>0</v>
      </c>
      <c r="U817" s="1" t="s">
        <v>781</v>
      </c>
      <c r="V817" s="1"/>
      <c r="W817">
        <v>43714.474150000002</v>
      </c>
      <c r="X817">
        <v>0</v>
      </c>
      <c r="Y817">
        <v>76307</v>
      </c>
    </row>
    <row r="818" spans="1:25" ht="15" hidden="1" customHeight="1" x14ac:dyDescent="0.25">
      <c r="A818" s="1" t="s">
        <v>27</v>
      </c>
      <c r="B818" s="1"/>
      <c r="C818" s="1" t="s">
        <v>131</v>
      </c>
      <c r="D818">
        <v>9952</v>
      </c>
      <c r="E818" s="1"/>
      <c r="F818" s="1" t="s">
        <v>271</v>
      </c>
      <c r="G818" s="1" t="s">
        <v>271</v>
      </c>
      <c r="H818" s="1" t="s">
        <v>1405</v>
      </c>
      <c r="I818">
        <v>2008</v>
      </c>
      <c r="J818" s="93">
        <v>38484.33</v>
      </c>
      <c r="K818">
        <v>3</v>
      </c>
      <c r="L818" s="1" t="s">
        <v>405</v>
      </c>
      <c r="M818">
        <v>0</v>
      </c>
      <c r="N818">
        <v>473</v>
      </c>
      <c r="O818">
        <v>81.345022</v>
      </c>
      <c r="P818">
        <v>1</v>
      </c>
      <c r="Q818" s="1" t="s">
        <v>562</v>
      </c>
      <c r="R818" s="93">
        <v>45307.07</v>
      </c>
      <c r="S818">
        <v>8381.7800000000007</v>
      </c>
      <c r="T818">
        <v>0</v>
      </c>
      <c r="U818" s="1" t="s">
        <v>781</v>
      </c>
      <c r="V818" s="1"/>
      <c r="W818">
        <v>38484.329940000003</v>
      </c>
      <c r="X818">
        <v>0</v>
      </c>
      <c r="Y818">
        <v>76307</v>
      </c>
    </row>
    <row r="819" spans="1:25" ht="15" hidden="1" customHeight="1" x14ac:dyDescent="0.25">
      <c r="A819" s="1" t="s">
        <v>27</v>
      </c>
      <c r="B819" s="1" t="s">
        <v>59</v>
      </c>
      <c r="C819" s="1" t="s">
        <v>132</v>
      </c>
      <c r="D819">
        <v>5277</v>
      </c>
      <c r="E819" s="1"/>
      <c r="F819" s="1" t="s">
        <v>272</v>
      </c>
      <c r="G819" s="1" t="s">
        <v>132</v>
      </c>
      <c r="H819" s="1" t="s">
        <v>1405</v>
      </c>
      <c r="I819">
        <v>2015</v>
      </c>
      <c r="J819" s="93">
        <v>46882</v>
      </c>
      <c r="K819">
        <v>5</v>
      </c>
      <c r="L819" s="1" t="s">
        <v>469</v>
      </c>
      <c r="M819">
        <v>0</v>
      </c>
      <c r="N819">
        <v>585</v>
      </c>
      <c r="O819">
        <v>43.648947999999997</v>
      </c>
      <c r="P819">
        <v>1</v>
      </c>
      <c r="Q819" s="1" t="s">
        <v>562</v>
      </c>
      <c r="R819" s="93">
        <v>53465</v>
      </c>
      <c r="S819">
        <v>5300612.5999999996</v>
      </c>
      <c r="T819">
        <v>0</v>
      </c>
      <c r="U819" s="1" t="s">
        <v>782</v>
      </c>
      <c r="V819" s="1"/>
      <c r="W819">
        <v>25539</v>
      </c>
      <c r="X819">
        <v>0</v>
      </c>
      <c r="Y819">
        <v>56868</v>
      </c>
    </row>
    <row r="820" spans="1:25" ht="15" hidden="1" customHeight="1" x14ac:dyDescent="0.25">
      <c r="A820" s="1" t="s">
        <v>27</v>
      </c>
      <c r="B820" s="1" t="s">
        <v>59</v>
      </c>
      <c r="C820" s="1" t="s">
        <v>132</v>
      </c>
      <c r="D820">
        <v>5277</v>
      </c>
      <c r="E820" s="1"/>
      <c r="F820" s="1" t="s">
        <v>272</v>
      </c>
      <c r="G820" s="1" t="s">
        <v>132</v>
      </c>
      <c r="H820" s="1" t="s">
        <v>1396</v>
      </c>
      <c r="I820">
        <v>2015</v>
      </c>
      <c r="J820" s="93">
        <v>17031.2</v>
      </c>
      <c r="K820">
        <v>5</v>
      </c>
      <c r="L820" s="1" t="s">
        <v>469</v>
      </c>
      <c r="M820">
        <v>0</v>
      </c>
      <c r="N820">
        <v>585</v>
      </c>
      <c r="O820">
        <v>29.108186</v>
      </c>
      <c r="P820">
        <v>1</v>
      </c>
      <c r="Q820" s="1" t="s">
        <v>563</v>
      </c>
      <c r="R820" s="93">
        <v>19107.28</v>
      </c>
      <c r="S820">
        <v>101314.04</v>
      </c>
      <c r="T820">
        <v>1</v>
      </c>
      <c r="U820" s="1" t="s">
        <v>782</v>
      </c>
      <c r="V820" s="1"/>
      <c r="W820">
        <v>488.14</v>
      </c>
      <c r="X820">
        <v>0</v>
      </c>
      <c r="Y820">
        <v>57007</v>
      </c>
    </row>
    <row r="821" spans="1:25" ht="15" hidden="1" customHeight="1" x14ac:dyDescent="0.25">
      <c r="A821" s="1" t="s">
        <v>27</v>
      </c>
      <c r="B821" s="1" t="s">
        <v>59</v>
      </c>
      <c r="C821" s="1" t="s">
        <v>132</v>
      </c>
      <c r="D821">
        <v>5277</v>
      </c>
      <c r="E821" s="1"/>
      <c r="F821" s="1" t="s">
        <v>272</v>
      </c>
      <c r="G821" s="1" t="s">
        <v>132</v>
      </c>
      <c r="H821" s="1" t="s">
        <v>1396</v>
      </c>
      <c r="I821">
        <v>2013</v>
      </c>
      <c r="J821" s="93">
        <v>34699.5</v>
      </c>
      <c r="K821">
        <v>12</v>
      </c>
      <c r="L821" s="1" t="s">
        <v>469</v>
      </c>
      <c r="M821">
        <v>0</v>
      </c>
      <c r="N821">
        <v>585</v>
      </c>
      <c r="O821">
        <v>59.305245999999997</v>
      </c>
      <c r="P821">
        <v>1</v>
      </c>
      <c r="Q821" s="1" t="s">
        <v>563</v>
      </c>
      <c r="R821" s="93">
        <v>35724.53</v>
      </c>
      <c r="S821">
        <v>189.42</v>
      </c>
      <c r="T821">
        <v>1</v>
      </c>
      <c r="U821" s="1" t="s">
        <v>782</v>
      </c>
      <c r="V821" s="1"/>
      <c r="W821">
        <v>994.54</v>
      </c>
      <c r="X821">
        <v>0</v>
      </c>
      <c r="Y821">
        <v>57007</v>
      </c>
    </row>
    <row r="822" spans="1:25" ht="15" hidden="1" customHeight="1" x14ac:dyDescent="0.25">
      <c r="A822" s="1" t="s">
        <v>27</v>
      </c>
      <c r="B822" s="1" t="s">
        <v>59</v>
      </c>
      <c r="C822" s="1" t="s">
        <v>132</v>
      </c>
      <c r="D822">
        <v>5277</v>
      </c>
      <c r="E822" s="1"/>
      <c r="F822" s="1" t="s">
        <v>272</v>
      </c>
      <c r="G822" s="1" t="s">
        <v>132</v>
      </c>
      <c r="H822" s="1" t="s">
        <v>1405</v>
      </c>
      <c r="I822">
        <v>2013</v>
      </c>
      <c r="J822" s="93">
        <v>47770</v>
      </c>
      <c r="K822">
        <v>12</v>
      </c>
      <c r="L822" s="1" t="s">
        <v>469</v>
      </c>
      <c r="M822">
        <v>0</v>
      </c>
      <c r="N822">
        <v>585</v>
      </c>
      <c r="O822">
        <v>81.644163000000006</v>
      </c>
      <c r="P822">
        <v>1</v>
      </c>
      <c r="Q822" s="1" t="s">
        <v>562</v>
      </c>
      <c r="R822" s="93">
        <v>49439.76</v>
      </c>
      <c r="S822">
        <v>9146.36</v>
      </c>
      <c r="T822">
        <v>0</v>
      </c>
      <c r="U822" s="1" t="s">
        <v>782</v>
      </c>
      <c r="V822" s="1"/>
      <c r="W822">
        <v>47770</v>
      </c>
      <c r="X822">
        <v>0</v>
      </c>
      <c r="Y822">
        <v>56868</v>
      </c>
    </row>
    <row r="823" spans="1:25" ht="15" hidden="1" customHeight="1" x14ac:dyDescent="0.25">
      <c r="A823" s="1" t="s">
        <v>27</v>
      </c>
      <c r="B823" s="1" t="s">
        <v>59</v>
      </c>
      <c r="C823" s="1" t="s">
        <v>132</v>
      </c>
      <c r="D823">
        <v>5277</v>
      </c>
      <c r="E823" s="1"/>
      <c r="F823" s="1" t="s">
        <v>272</v>
      </c>
      <c r="G823" s="1" t="s">
        <v>132</v>
      </c>
      <c r="H823" s="1" t="s">
        <v>1396</v>
      </c>
      <c r="I823">
        <v>2012</v>
      </c>
      <c r="J823" s="93">
        <v>32575.74</v>
      </c>
      <c r="K823">
        <v>12</v>
      </c>
      <c r="L823" s="1" t="s">
        <v>469</v>
      </c>
      <c r="M823">
        <v>0</v>
      </c>
      <c r="N823">
        <v>585</v>
      </c>
      <c r="O823">
        <v>55.675508000000001</v>
      </c>
      <c r="P823">
        <v>1</v>
      </c>
      <c r="Q823" s="1" t="s">
        <v>563</v>
      </c>
      <c r="R823" s="93">
        <v>34059.440000000002</v>
      </c>
      <c r="S823">
        <v>180.59</v>
      </c>
      <c r="T823">
        <v>1</v>
      </c>
      <c r="U823" s="1" t="s">
        <v>782</v>
      </c>
      <c r="V823" s="1"/>
      <c r="W823">
        <v>933.67</v>
      </c>
      <c r="X823">
        <v>0</v>
      </c>
      <c r="Y823">
        <v>57007</v>
      </c>
    </row>
    <row r="824" spans="1:25" ht="15" hidden="1" customHeight="1" x14ac:dyDescent="0.25">
      <c r="A824" s="1" t="s">
        <v>27</v>
      </c>
      <c r="B824" s="1" t="s">
        <v>59</v>
      </c>
      <c r="C824" s="1" t="s">
        <v>132</v>
      </c>
      <c r="D824">
        <v>5277</v>
      </c>
      <c r="E824" s="1"/>
      <c r="F824" s="1" t="s">
        <v>272</v>
      </c>
      <c r="G824" s="1" t="s">
        <v>132</v>
      </c>
      <c r="H824" s="1" t="s">
        <v>1405</v>
      </c>
      <c r="I824">
        <v>2012</v>
      </c>
      <c r="J824" s="93">
        <v>45883</v>
      </c>
      <c r="K824">
        <v>12</v>
      </c>
      <c r="L824" s="1" t="s">
        <v>469</v>
      </c>
      <c r="M824">
        <v>0</v>
      </c>
      <c r="N824">
        <v>585</v>
      </c>
      <c r="O824">
        <v>78.419072999999997</v>
      </c>
      <c r="P824">
        <v>1</v>
      </c>
      <c r="Q824" s="1" t="s">
        <v>562</v>
      </c>
      <c r="R824" s="93">
        <v>48119.89</v>
      </c>
      <c r="S824">
        <v>8902.18</v>
      </c>
      <c r="T824">
        <v>0</v>
      </c>
      <c r="U824" s="1" t="s">
        <v>782</v>
      </c>
      <c r="V824" s="1"/>
      <c r="W824">
        <v>45883</v>
      </c>
      <c r="X824">
        <v>0</v>
      </c>
      <c r="Y824">
        <v>56868</v>
      </c>
    </row>
    <row r="825" spans="1:25" ht="15" hidden="1" customHeight="1" x14ac:dyDescent="0.25">
      <c r="A825" s="1" t="s">
        <v>27</v>
      </c>
      <c r="B825" s="1" t="s">
        <v>59</v>
      </c>
      <c r="C825" s="1" t="s">
        <v>132</v>
      </c>
      <c r="D825">
        <v>5277</v>
      </c>
      <c r="E825" s="1"/>
      <c r="F825" s="1" t="s">
        <v>272</v>
      </c>
      <c r="G825" s="1" t="s">
        <v>132</v>
      </c>
      <c r="H825" s="1" t="s">
        <v>1396</v>
      </c>
      <c r="I825">
        <v>2011</v>
      </c>
      <c r="J825" s="93">
        <v>31558.71</v>
      </c>
      <c r="K825">
        <v>12</v>
      </c>
      <c r="L825" s="1" t="s">
        <v>469</v>
      </c>
      <c r="M825">
        <v>0</v>
      </c>
      <c r="N825">
        <v>585</v>
      </c>
      <c r="O825">
        <v>53.937291999999999</v>
      </c>
      <c r="P825">
        <v>1</v>
      </c>
      <c r="Q825" s="1" t="s">
        <v>563</v>
      </c>
      <c r="R825" s="93">
        <v>34294.269999999997</v>
      </c>
      <c r="S825">
        <v>181.86</v>
      </c>
      <c r="T825">
        <v>1</v>
      </c>
      <c r="U825" s="1" t="s">
        <v>782</v>
      </c>
      <c r="V825" s="1"/>
      <c r="W825">
        <v>904.51999000000001</v>
      </c>
      <c r="X825">
        <v>0</v>
      </c>
      <c r="Y825">
        <v>57007</v>
      </c>
    </row>
    <row r="826" spans="1:25" ht="15" hidden="1" customHeight="1" x14ac:dyDescent="0.25">
      <c r="A826" s="1" t="s">
        <v>27</v>
      </c>
      <c r="B826" s="1" t="s">
        <v>59</v>
      </c>
      <c r="C826" s="1" t="s">
        <v>132</v>
      </c>
      <c r="D826">
        <v>5277</v>
      </c>
      <c r="E826" s="1"/>
      <c r="F826" s="1" t="s">
        <v>272</v>
      </c>
      <c r="G826" s="1" t="s">
        <v>132</v>
      </c>
      <c r="H826" s="1" t="s">
        <v>1405</v>
      </c>
      <c r="I826">
        <v>2011</v>
      </c>
      <c r="J826" s="93">
        <v>44808</v>
      </c>
      <c r="K826">
        <v>12</v>
      </c>
      <c r="L826" s="1" t="s">
        <v>469</v>
      </c>
      <c r="M826">
        <v>0</v>
      </c>
      <c r="N826">
        <v>585</v>
      </c>
      <c r="O826">
        <v>76.581779999999995</v>
      </c>
      <c r="P826">
        <v>1</v>
      </c>
      <c r="Q826" s="1" t="s">
        <v>562</v>
      </c>
      <c r="R826" s="93">
        <v>48856.05</v>
      </c>
      <c r="S826">
        <v>9038.3700000000008</v>
      </c>
      <c r="T826">
        <v>0</v>
      </c>
      <c r="U826" s="1" t="s">
        <v>782</v>
      </c>
      <c r="V826" s="1"/>
      <c r="W826">
        <v>44808.000399999997</v>
      </c>
      <c r="X826">
        <v>0</v>
      </c>
      <c r="Y826">
        <v>56868</v>
      </c>
    </row>
    <row r="827" spans="1:25" ht="15" hidden="1" customHeight="1" x14ac:dyDescent="0.25">
      <c r="A827" s="1" t="s">
        <v>27</v>
      </c>
      <c r="B827" s="1" t="s">
        <v>59</v>
      </c>
      <c r="C827" s="1" t="s">
        <v>132</v>
      </c>
      <c r="D827">
        <v>5277</v>
      </c>
      <c r="E827" s="1"/>
      <c r="F827" s="1" t="s">
        <v>272</v>
      </c>
      <c r="G827" s="1" t="s">
        <v>132</v>
      </c>
      <c r="H827" s="1" t="s">
        <v>1405</v>
      </c>
      <c r="I827">
        <v>2010</v>
      </c>
      <c r="J827" s="93">
        <v>56100</v>
      </c>
      <c r="K827">
        <v>12</v>
      </c>
      <c r="L827" s="1" t="s">
        <v>469</v>
      </c>
      <c r="M827">
        <v>0</v>
      </c>
      <c r="N827">
        <v>585</v>
      </c>
      <c r="O827">
        <v>95.881045</v>
      </c>
      <c r="P827">
        <v>1</v>
      </c>
      <c r="Q827" s="1" t="s">
        <v>562</v>
      </c>
      <c r="R827" s="93">
        <v>50861.69</v>
      </c>
      <c r="S827">
        <v>9409.42</v>
      </c>
      <c r="T827">
        <v>0</v>
      </c>
      <c r="U827" s="1" t="s">
        <v>782</v>
      </c>
      <c r="V827" s="1"/>
      <c r="W827">
        <v>56100</v>
      </c>
      <c r="X827">
        <v>0</v>
      </c>
      <c r="Y827">
        <v>56868</v>
      </c>
    </row>
    <row r="828" spans="1:25" ht="15" hidden="1" customHeight="1" x14ac:dyDescent="0.25">
      <c r="A828" s="1" t="s">
        <v>27</v>
      </c>
      <c r="B828" s="1" t="s">
        <v>59</v>
      </c>
      <c r="C828" s="1" t="s">
        <v>132</v>
      </c>
      <c r="D828">
        <v>5277</v>
      </c>
      <c r="E828" s="1"/>
      <c r="F828" s="1" t="s">
        <v>272</v>
      </c>
      <c r="G828" s="1" t="s">
        <v>132</v>
      </c>
      <c r="H828" s="1" t="s">
        <v>1396</v>
      </c>
      <c r="I828">
        <v>2010</v>
      </c>
      <c r="J828" s="93">
        <v>41762.980000000003</v>
      </c>
      <c r="K828">
        <v>12</v>
      </c>
      <c r="L828" s="1" t="s">
        <v>469</v>
      </c>
      <c r="M828">
        <v>0</v>
      </c>
      <c r="N828">
        <v>585</v>
      </c>
      <c r="O828">
        <v>71.377508000000006</v>
      </c>
      <c r="P828">
        <v>1</v>
      </c>
      <c r="Q828" s="1" t="s">
        <v>563</v>
      </c>
      <c r="R828" s="93">
        <v>37809.57</v>
      </c>
      <c r="S828">
        <v>200.48</v>
      </c>
      <c r="T828">
        <v>1</v>
      </c>
      <c r="U828" s="1" t="s">
        <v>782</v>
      </c>
      <c r="V828" s="1"/>
      <c r="W828">
        <v>1196.99</v>
      </c>
      <c r="X828">
        <v>0</v>
      </c>
      <c r="Y828">
        <v>57007</v>
      </c>
    </row>
    <row r="829" spans="1:25" ht="15" hidden="1" customHeight="1" x14ac:dyDescent="0.25">
      <c r="A829" s="1" t="s">
        <v>27</v>
      </c>
      <c r="B829" s="1" t="s">
        <v>59</v>
      </c>
      <c r="C829" s="1" t="s">
        <v>132</v>
      </c>
      <c r="D829">
        <v>5277</v>
      </c>
      <c r="E829" s="1"/>
      <c r="F829" s="1" t="s">
        <v>272</v>
      </c>
      <c r="G829" s="1" t="s">
        <v>132</v>
      </c>
      <c r="H829" s="1" t="s">
        <v>1396</v>
      </c>
      <c r="I829">
        <v>2009</v>
      </c>
      <c r="J829" s="93">
        <v>31136.880000000001</v>
      </c>
      <c r="K829">
        <v>12</v>
      </c>
      <c r="L829" s="1" t="s">
        <v>469</v>
      </c>
      <c r="M829">
        <v>0</v>
      </c>
      <c r="N829">
        <v>585</v>
      </c>
      <c r="O829">
        <v>53.216338999999998</v>
      </c>
      <c r="P829">
        <v>1</v>
      </c>
      <c r="Q829" s="1" t="s">
        <v>563</v>
      </c>
      <c r="R829" s="93">
        <v>32686.48</v>
      </c>
      <c r="S829">
        <v>173.31</v>
      </c>
      <c r="T829">
        <v>1</v>
      </c>
      <c r="U829" s="1" t="s">
        <v>782</v>
      </c>
      <c r="V829" s="1"/>
      <c r="W829">
        <v>892.43</v>
      </c>
      <c r="X829">
        <v>0</v>
      </c>
      <c r="Y829">
        <v>57007</v>
      </c>
    </row>
    <row r="830" spans="1:25" ht="15" hidden="1" customHeight="1" x14ac:dyDescent="0.25">
      <c r="A830" s="1" t="s">
        <v>27</v>
      </c>
      <c r="B830" s="1" t="s">
        <v>59</v>
      </c>
      <c r="C830" s="1" t="s">
        <v>132</v>
      </c>
      <c r="D830">
        <v>5277</v>
      </c>
      <c r="E830" s="1"/>
      <c r="F830" s="1" t="s">
        <v>272</v>
      </c>
      <c r="G830" s="1" t="s">
        <v>132</v>
      </c>
      <c r="H830" s="1" t="s">
        <v>1405</v>
      </c>
      <c r="I830">
        <v>2009</v>
      </c>
      <c r="J830" s="93">
        <v>41688</v>
      </c>
      <c r="K830">
        <v>12</v>
      </c>
      <c r="L830" s="1" t="s">
        <v>469</v>
      </c>
      <c r="M830">
        <v>0</v>
      </c>
      <c r="N830">
        <v>585</v>
      </c>
      <c r="O830">
        <v>71.249358999999998</v>
      </c>
      <c r="P830">
        <v>1</v>
      </c>
      <c r="Q830" s="1" t="s">
        <v>562</v>
      </c>
      <c r="R830" s="93">
        <v>43921.54</v>
      </c>
      <c r="S830">
        <v>8125.49</v>
      </c>
      <c r="T830">
        <v>0</v>
      </c>
      <c r="U830" s="1" t="s">
        <v>782</v>
      </c>
      <c r="V830" s="1"/>
      <c r="W830">
        <v>41688</v>
      </c>
      <c r="X830">
        <v>0</v>
      </c>
      <c r="Y830">
        <v>56868</v>
      </c>
    </row>
    <row r="831" spans="1:25" ht="15" hidden="1" customHeight="1" x14ac:dyDescent="0.25">
      <c r="A831" s="1" t="s">
        <v>27</v>
      </c>
      <c r="B831" s="1" t="s">
        <v>59</v>
      </c>
      <c r="C831" s="1" t="s">
        <v>132</v>
      </c>
      <c r="D831">
        <v>5277</v>
      </c>
      <c r="E831" s="1"/>
      <c r="F831" s="1" t="s">
        <v>272</v>
      </c>
      <c r="G831" s="1" t="s">
        <v>132</v>
      </c>
      <c r="H831" s="1" t="s">
        <v>1396</v>
      </c>
      <c r="I831">
        <v>2008</v>
      </c>
      <c r="J831" s="93">
        <v>28142.61</v>
      </c>
      <c r="K831">
        <v>12</v>
      </c>
      <c r="L831" s="1" t="s">
        <v>469</v>
      </c>
      <c r="M831">
        <v>0</v>
      </c>
      <c r="N831">
        <v>585</v>
      </c>
      <c r="O831">
        <v>48.098802999999997</v>
      </c>
      <c r="P831">
        <v>1</v>
      </c>
      <c r="Q831" s="1" t="s">
        <v>563</v>
      </c>
      <c r="R831" s="93">
        <v>32010</v>
      </c>
      <c r="S831">
        <v>169.74</v>
      </c>
      <c r="T831">
        <v>1</v>
      </c>
      <c r="U831" s="1" t="s">
        <v>782</v>
      </c>
      <c r="V831" s="1"/>
      <c r="W831">
        <v>806.61</v>
      </c>
      <c r="X831">
        <v>0</v>
      </c>
      <c r="Y831">
        <v>57007</v>
      </c>
    </row>
    <row r="832" spans="1:25" ht="15" hidden="1" customHeight="1" x14ac:dyDescent="0.25">
      <c r="A832" s="1" t="s">
        <v>27</v>
      </c>
      <c r="B832" s="1" t="s">
        <v>59</v>
      </c>
      <c r="C832" s="1" t="s">
        <v>132</v>
      </c>
      <c r="D832">
        <v>5277</v>
      </c>
      <c r="E832" s="1"/>
      <c r="F832" s="1" t="s">
        <v>272</v>
      </c>
      <c r="G832" s="1" t="s">
        <v>132</v>
      </c>
      <c r="H832" s="1" t="s">
        <v>1405</v>
      </c>
      <c r="I832">
        <v>2008</v>
      </c>
      <c r="J832" s="93">
        <v>39186</v>
      </c>
      <c r="K832">
        <v>12</v>
      </c>
      <c r="L832" s="1" t="s">
        <v>469</v>
      </c>
      <c r="M832">
        <v>0</v>
      </c>
      <c r="N832">
        <v>585</v>
      </c>
      <c r="O832">
        <v>66.973166000000006</v>
      </c>
      <c r="P832">
        <v>1</v>
      </c>
      <c r="Q832" s="1" t="s">
        <v>562</v>
      </c>
      <c r="R832" s="93">
        <v>44866.44</v>
      </c>
      <c r="S832">
        <v>8300.2800000000007</v>
      </c>
      <c r="T832">
        <v>0</v>
      </c>
      <c r="U832" s="1" t="s">
        <v>782</v>
      </c>
      <c r="V832" s="1"/>
      <c r="W832">
        <v>39185.9997</v>
      </c>
      <c r="X832">
        <v>0</v>
      </c>
      <c r="Y832">
        <v>56868</v>
      </c>
    </row>
    <row r="833" spans="1:25" ht="15" hidden="1" customHeight="1" x14ac:dyDescent="0.25">
      <c r="A833" s="1" t="s">
        <v>27</v>
      </c>
      <c r="B833" s="1" t="s">
        <v>60</v>
      </c>
      <c r="C833" s="1" t="s">
        <v>133</v>
      </c>
      <c r="D833">
        <v>5274</v>
      </c>
      <c r="E833" s="1"/>
      <c r="F833" s="1" t="s">
        <v>273</v>
      </c>
      <c r="G833" s="1" t="s">
        <v>133</v>
      </c>
      <c r="H833" s="1" t="s">
        <v>1396</v>
      </c>
      <c r="I833">
        <v>2015</v>
      </c>
      <c r="J833" s="93">
        <v>65645.53</v>
      </c>
      <c r="K833">
        <v>5</v>
      </c>
      <c r="L833" s="1" t="s">
        <v>475</v>
      </c>
      <c r="M833">
        <v>0</v>
      </c>
      <c r="N833">
        <v>586</v>
      </c>
      <c r="O833">
        <v>112.003975</v>
      </c>
      <c r="P833">
        <v>1</v>
      </c>
      <c r="Q833" s="1" t="s">
        <v>563</v>
      </c>
      <c r="R833" s="93">
        <v>73062.7</v>
      </c>
      <c r="S833">
        <v>387406.12</v>
      </c>
      <c r="T833">
        <v>1</v>
      </c>
      <c r="U833" s="1" t="s">
        <v>783</v>
      </c>
      <c r="V833" s="1"/>
      <c r="W833">
        <v>1881.5</v>
      </c>
      <c r="X833">
        <v>0</v>
      </c>
      <c r="Y833">
        <v>57005</v>
      </c>
    </row>
    <row r="834" spans="1:25" ht="15" hidden="1" customHeight="1" x14ac:dyDescent="0.25">
      <c r="A834" s="1" t="s">
        <v>27</v>
      </c>
      <c r="B834" s="1" t="s">
        <v>60</v>
      </c>
      <c r="C834" s="1" t="s">
        <v>133</v>
      </c>
      <c r="D834">
        <v>5274</v>
      </c>
      <c r="E834" s="1"/>
      <c r="F834" s="1" t="s">
        <v>273</v>
      </c>
      <c r="G834" s="1" t="s">
        <v>133</v>
      </c>
      <c r="H834" s="1" t="s">
        <v>1396</v>
      </c>
      <c r="I834">
        <v>2013</v>
      </c>
      <c r="J834" s="93">
        <v>177369.76</v>
      </c>
      <c r="K834">
        <v>12</v>
      </c>
      <c r="L834" s="1" t="s">
        <v>475</v>
      </c>
      <c r="M834">
        <v>0</v>
      </c>
      <c r="N834">
        <v>586</v>
      </c>
      <c r="O834">
        <v>302.62712800000003</v>
      </c>
      <c r="P834">
        <v>1</v>
      </c>
      <c r="Q834" s="1" t="s">
        <v>563</v>
      </c>
      <c r="R834" s="93">
        <v>201661.29</v>
      </c>
      <c r="S834">
        <v>1069.3</v>
      </c>
      <c r="T834">
        <v>1</v>
      </c>
      <c r="U834" s="1" t="s">
        <v>783</v>
      </c>
      <c r="V834" s="1"/>
      <c r="W834">
        <v>5083.6850000000004</v>
      </c>
      <c r="X834">
        <v>0</v>
      </c>
      <c r="Y834">
        <v>57005</v>
      </c>
    </row>
    <row r="835" spans="1:25" ht="15" hidden="1" customHeight="1" x14ac:dyDescent="0.25">
      <c r="A835" s="1" t="s">
        <v>27</v>
      </c>
      <c r="B835" s="1" t="s">
        <v>60</v>
      </c>
      <c r="C835" s="1" t="s">
        <v>133</v>
      </c>
      <c r="D835">
        <v>5274</v>
      </c>
      <c r="E835" s="1"/>
      <c r="F835" s="1" t="s">
        <v>273</v>
      </c>
      <c r="G835" s="1" t="s">
        <v>133</v>
      </c>
      <c r="H835" s="1" t="s">
        <v>1396</v>
      </c>
      <c r="I835">
        <v>2012</v>
      </c>
      <c r="J835" s="93">
        <v>219355.53</v>
      </c>
      <c r="K835">
        <v>12</v>
      </c>
      <c r="L835" s="1" t="s">
        <v>475</v>
      </c>
      <c r="M835">
        <v>0</v>
      </c>
      <c r="N835">
        <v>586</v>
      </c>
      <c r="O835">
        <v>374.26297499999998</v>
      </c>
      <c r="P835">
        <v>1</v>
      </c>
      <c r="Q835" s="1" t="s">
        <v>563</v>
      </c>
      <c r="R835" s="93">
        <v>235678.68</v>
      </c>
      <c r="S835">
        <v>1249.6600000000001</v>
      </c>
      <c r="T835">
        <v>1</v>
      </c>
      <c r="U835" s="1" t="s">
        <v>783</v>
      </c>
      <c r="V835" s="1"/>
      <c r="W835">
        <v>6287.06</v>
      </c>
      <c r="X835">
        <v>0</v>
      </c>
      <c r="Y835">
        <v>57005</v>
      </c>
    </row>
    <row r="836" spans="1:25" ht="15" hidden="1" customHeight="1" x14ac:dyDescent="0.25">
      <c r="A836" s="1" t="s">
        <v>27</v>
      </c>
      <c r="B836" s="1" t="s">
        <v>60</v>
      </c>
      <c r="C836" s="1" t="s">
        <v>133</v>
      </c>
      <c r="D836">
        <v>5274</v>
      </c>
      <c r="E836" s="1"/>
      <c r="F836" s="1" t="s">
        <v>273</v>
      </c>
      <c r="G836" s="1" t="s">
        <v>133</v>
      </c>
      <c r="H836" s="1" t="s">
        <v>1396</v>
      </c>
      <c r="I836">
        <v>2011</v>
      </c>
      <c r="J836" s="93">
        <v>238300.1</v>
      </c>
      <c r="K836">
        <v>12</v>
      </c>
      <c r="L836" s="1" t="s">
        <v>475</v>
      </c>
      <c r="M836">
        <v>0</v>
      </c>
      <c r="N836">
        <v>586</v>
      </c>
      <c r="O836">
        <v>406.58607699999999</v>
      </c>
      <c r="P836">
        <v>1</v>
      </c>
      <c r="Q836" s="1" t="s">
        <v>563</v>
      </c>
      <c r="R836" s="93">
        <v>272596.89</v>
      </c>
      <c r="S836">
        <v>1445.41</v>
      </c>
      <c r="T836">
        <v>1</v>
      </c>
      <c r="U836" s="1" t="s">
        <v>783</v>
      </c>
      <c r="V836" s="1"/>
      <c r="W836">
        <v>6830.04</v>
      </c>
      <c r="X836">
        <v>0</v>
      </c>
      <c r="Y836">
        <v>57005</v>
      </c>
    </row>
    <row r="837" spans="1:25" ht="15" hidden="1" customHeight="1" x14ac:dyDescent="0.25">
      <c r="A837" s="1" t="s">
        <v>27</v>
      </c>
      <c r="B837" s="1" t="s">
        <v>60</v>
      </c>
      <c r="C837" s="1" t="s">
        <v>133</v>
      </c>
      <c r="D837">
        <v>5274</v>
      </c>
      <c r="E837" s="1"/>
      <c r="F837" s="1" t="s">
        <v>273</v>
      </c>
      <c r="G837" s="1" t="s">
        <v>133</v>
      </c>
      <c r="H837" s="1" t="s">
        <v>1396</v>
      </c>
      <c r="I837">
        <v>2010</v>
      </c>
      <c r="J837" s="93">
        <v>208973.31</v>
      </c>
      <c r="K837">
        <v>12</v>
      </c>
      <c r="L837" s="1" t="s">
        <v>475</v>
      </c>
      <c r="M837">
        <v>0</v>
      </c>
      <c r="N837">
        <v>586</v>
      </c>
      <c r="O837">
        <v>356.54889900000001</v>
      </c>
      <c r="P837">
        <v>1</v>
      </c>
      <c r="Q837" s="1" t="s">
        <v>563</v>
      </c>
      <c r="R837" s="93">
        <v>202516.86</v>
      </c>
      <c r="S837">
        <v>1073.83</v>
      </c>
      <c r="T837">
        <v>1</v>
      </c>
      <c r="U837" s="1" t="s">
        <v>783</v>
      </c>
      <c r="V837" s="1"/>
      <c r="W837">
        <v>5989.49</v>
      </c>
      <c r="X837">
        <v>0</v>
      </c>
      <c r="Y837">
        <v>57005</v>
      </c>
    </row>
    <row r="838" spans="1:25" ht="15" hidden="1" customHeight="1" x14ac:dyDescent="0.25">
      <c r="A838" s="1" t="s">
        <v>27</v>
      </c>
      <c r="B838" s="1" t="s">
        <v>60</v>
      </c>
      <c r="C838" s="1" t="s">
        <v>133</v>
      </c>
      <c r="D838">
        <v>5274</v>
      </c>
      <c r="E838" s="1"/>
      <c r="F838" s="1" t="s">
        <v>273</v>
      </c>
      <c r="G838" s="1" t="s">
        <v>133</v>
      </c>
      <c r="H838" s="1" t="s">
        <v>1396</v>
      </c>
      <c r="I838">
        <v>2009</v>
      </c>
      <c r="J838" s="93">
        <v>188129.66</v>
      </c>
      <c r="K838">
        <v>12</v>
      </c>
      <c r="L838" s="1" t="s">
        <v>475</v>
      </c>
      <c r="M838">
        <v>0</v>
      </c>
      <c r="N838">
        <v>586</v>
      </c>
      <c r="O838">
        <v>320.98559899999998</v>
      </c>
      <c r="P838">
        <v>1</v>
      </c>
      <c r="Q838" s="1" t="s">
        <v>563</v>
      </c>
      <c r="R838" s="93">
        <v>216123.25</v>
      </c>
      <c r="S838">
        <v>1145.96</v>
      </c>
      <c r="T838">
        <v>1</v>
      </c>
      <c r="U838" s="1" t="s">
        <v>783</v>
      </c>
      <c r="V838" s="1"/>
      <c r="W838">
        <v>5392.08</v>
      </c>
      <c r="X838">
        <v>0</v>
      </c>
      <c r="Y838">
        <v>57005</v>
      </c>
    </row>
    <row r="839" spans="1:25" ht="15" hidden="1" customHeight="1" x14ac:dyDescent="0.25">
      <c r="A839" s="1" t="s">
        <v>27</v>
      </c>
      <c r="B839" s="1" t="s">
        <v>60</v>
      </c>
      <c r="C839" s="1" t="s">
        <v>133</v>
      </c>
      <c r="D839">
        <v>5274</v>
      </c>
      <c r="E839" s="1"/>
      <c r="F839" s="1" t="s">
        <v>273</v>
      </c>
      <c r="G839" s="1" t="s">
        <v>133</v>
      </c>
      <c r="H839" s="1" t="s">
        <v>1396</v>
      </c>
      <c r="I839">
        <v>2008</v>
      </c>
      <c r="J839" s="93">
        <v>108680.95</v>
      </c>
      <c r="K839">
        <v>12</v>
      </c>
      <c r="L839" s="1" t="s">
        <v>475</v>
      </c>
      <c r="M839">
        <v>0</v>
      </c>
      <c r="N839">
        <v>586</v>
      </c>
      <c r="O839">
        <v>185.43072799999999</v>
      </c>
      <c r="P839">
        <v>1</v>
      </c>
      <c r="Q839" s="1" t="s">
        <v>563</v>
      </c>
      <c r="R839" s="93">
        <v>131874.85999999999</v>
      </c>
      <c r="S839">
        <v>699.26</v>
      </c>
      <c r="T839">
        <v>1</v>
      </c>
      <c r="U839" s="1" t="s">
        <v>783</v>
      </c>
      <c r="V839" s="1"/>
      <c r="W839">
        <v>3114.96</v>
      </c>
      <c r="X839">
        <v>0</v>
      </c>
      <c r="Y839">
        <v>57005</v>
      </c>
    </row>
    <row r="840" spans="1:25" ht="15" hidden="1" customHeight="1" x14ac:dyDescent="0.25">
      <c r="A840" s="1" t="s">
        <v>27</v>
      </c>
      <c r="B840" s="1" t="s">
        <v>61</v>
      </c>
      <c r="C840" s="1" t="s">
        <v>134</v>
      </c>
      <c r="D840">
        <v>5247</v>
      </c>
      <c r="E840" s="1"/>
      <c r="F840" s="1" t="s">
        <v>274</v>
      </c>
      <c r="G840" s="1" t="s">
        <v>274</v>
      </c>
      <c r="H840" s="1" t="s">
        <v>1405</v>
      </c>
      <c r="I840">
        <v>2015</v>
      </c>
      <c r="J840" s="93">
        <v>35871</v>
      </c>
      <c r="K840">
        <v>5</v>
      </c>
      <c r="L840" s="1" t="s">
        <v>404</v>
      </c>
      <c r="M840">
        <v>0</v>
      </c>
      <c r="N840">
        <v>284</v>
      </c>
      <c r="O840">
        <v>78.752234999999999</v>
      </c>
      <c r="P840">
        <v>1</v>
      </c>
      <c r="Q840" s="1" t="s">
        <v>564</v>
      </c>
      <c r="R840" s="93">
        <v>41656</v>
      </c>
      <c r="S840">
        <v>5351.9</v>
      </c>
      <c r="T840">
        <v>0</v>
      </c>
      <c r="U840" s="1" t="s">
        <v>784</v>
      </c>
      <c r="V840" s="1" t="s">
        <v>1195</v>
      </c>
      <c r="W840">
        <v>2071.62</v>
      </c>
      <c r="X840">
        <v>0</v>
      </c>
      <c r="Y840">
        <v>56639</v>
      </c>
    </row>
    <row r="841" spans="1:25" ht="15" hidden="1" customHeight="1" x14ac:dyDescent="0.25">
      <c r="A841" s="1" t="s">
        <v>27</v>
      </c>
      <c r="B841" s="1" t="s">
        <v>61</v>
      </c>
      <c r="C841" s="1" t="s">
        <v>134</v>
      </c>
      <c r="D841">
        <v>5247</v>
      </c>
      <c r="E841" s="1"/>
      <c r="F841" s="1" t="s">
        <v>274</v>
      </c>
      <c r="G841" s="1" t="s">
        <v>274</v>
      </c>
      <c r="H841" s="1" t="s">
        <v>1405</v>
      </c>
      <c r="I841">
        <v>2013</v>
      </c>
      <c r="J841" s="93">
        <v>54033.47</v>
      </c>
      <c r="K841">
        <v>12</v>
      </c>
      <c r="L841" s="1" t="s">
        <v>404</v>
      </c>
      <c r="M841">
        <v>0</v>
      </c>
      <c r="N841">
        <v>284</v>
      </c>
      <c r="O841">
        <v>190.19172800000001</v>
      </c>
      <c r="P841">
        <v>1</v>
      </c>
      <c r="Q841" s="1" t="s">
        <v>564</v>
      </c>
      <c r="R841" s="93">
        <v>55929.96</v>
      </c>
      <c r="S841">
        <v>11828.14</v>
      </c>
      <c r="T841">
        <v>0</v>
      </c>
      <c r="U841" s="1" t="s">
        <v>784</v>
      </c>
      <c r="V841" s="1" t="s">
        <v>1195</v>
      </c>
      <c r="W841">
        <v>5003.1000000000004</v>
      </c>
      <c r="X841">
        <v>0</v>
      </c>
      <c r="Y841">
        <v>56639</v>
      </c>
    </row>
    <row r="842" spans="1:25" ht="15" hidden="1" customHeight="1" x14ac:dyDescent="0.25">
      <c r="A842" s="1" t="s">
        <v>27</v>
      </c>
      <c r="B842" s="1" t="s">
        <v>61</v>
      </c>
      <c r="C842" s="1" t="s">
        <v>134</v>
      </c>
      <c r="D842">
        <v>5247</v>
      </c>
      <c r="E842" s="1"/>
      <c r="F842" s="1" t="s">
        <v>274</v>
      </c>
      <c r="G842" s="1" t="s">
        <v>274</v>
      </c>
      <c r="H842" s="1" t="s">
        <v>1405</v>
      </c>
      <c r="I842">
        <v>2012</v>
      </c>
      <c r="J842" s="93">
        <v>60019.39</v>
      </c>
      <c r="K842">
        <v>12</v>
      </c>
      <c r="L842" s="1" t="s">
        <v>404</v>
      </c>
      <c r="M842">
        <v>0</v>
      </c>
      <c r="N842">
        <v>284</v>
      </c>
      <c r="O842">
        <v>211.261492</v>
      </c>
      <c r="P842">
        <v>1</v>
      </c>
      <c r="Q842" s="1" t="s">
        <v>564</v>
      </c>
      <c r="R842" s="93">
        <v>62862.17</v>
      </c>
      <c r="S842">
        <v>13294.19</v>
      </c>
      <c r="T842">
        <v>0</v>
      </c>
      <c r="U842" s="1" t="s">
        <v>784</v>
      </c>
      <c r="V842" s="1" t="s">
        <v>1195</v>
      </c>
      <c r="W842">
        <v>5557.35</v>
      </c>
      <c r="X842">
        <v>0</v>
      </c>
      <c r="Y842">
        <v>56639</v>
      </c>
    </row>
    <row r="843" spans="1:25" ht="15" hidden="1" customHeight="1" x14ac:dyDescent="0.25">
      <c r="A843" s="1" t="s">
        <v>27</v>
      </c>
      <c r="B843" s="1" t="s">
        <v>61</v>
      </c>
      <c r="C843" s="1" t="s">
        <v>134</v>
      </c>
      <c r="D843">
        <v>5247</v>
      </c>
      <c r="E843" s="1"/>
      <c r="F843" s="1" t="s">
        <v>274</v>
      </c>
      <c r="G843" s="1" t="s">
        <v>274</v>
      </c>
      <c r="H843" s="1" t="s">
        <v>1405</v>
      </c>
      <c r="I843">
        <v>2011</v>
      </c>
      <c r="J843" s="93">
        <v>52613.7</v>
      </c>
      <c r="K843">
        <v>12</v>
      </c>
      <c r="L843" s="1" t="s">
        <v>404</v>
      </c>
      <c r="M843">
        <v>0</v>
      </c>
      <c r="N843">
        <v>284</v>
      </c>
      <c r="O843">
        <v>185.19429700000001</v>
      </c>
      <c r="P843">
        <v>1</v>
      </c>
      <c r="Q843" s="1" t="s">
        <v>564</v>
      </c>
      <c r="R843" s="93">
        <v>56393.27</v>
      </c>
      <c r="S843">
        <v>11926.13</v>
      </c>
      <c r="T843">
        <v>0</v>
      </c>
      <c r="U843" s="1" t="s">
        <v>784</v>
      </c>
      <c r="V843" s="1" t="s">
        <v>1195</v>
      </c>
      <c r="W843">
        <v>4871.6400000000003</v>
      </c>
      <c r="X843">
        <v>0</v>
      </c>
      <c r="Y843">
        <v>56639</v>
      </c>
    </row>
    <row r="844" spans="1:25" ht="15" hidden="1" customHeight="1" x14ac:dyDescent="0.25">
      <c r="A844" s="1" t="s">
        <v>27</v>
      </c>
      <c r="B844" s="1" t="s">
        <v>61</v>
      </c>
      <c r="C844" s="1" t="s">
        <v>134</v>
      </c>
      <c r="D844">
        <v>5247</v>
      </c>
      <c r="E844" s="1"/>
      <c r="F844" s="1" t="s">
        <v>274</v>
      </c>
      <c r="G844" s="1" t="s">
        <v>274</v>
      </c>
      <c r="H844" s="1" t="s">
        <v>1405</v>
      </c>
      <c r="I844">
        <v>2010</v>
      </c>
      <c r="J844" s="93">
        <v>72210.100000000006</v>
      </c>
      <c r="K844">
        <v>12</v>
      </c>
      <c r="L844" s="1" t="s">
        <v>404</v>
      </c>
      <c r="M844">
        <v>0</v>
      </c>
      <c r="N844">
        <v>284</v>
      </c>
      <c r="O844">
        <v>254.17141799999999</v>
      </c>
      <c r="P844">
        <v>1</v>
      </c>
      <c r="Q844" s="1" t="s">
        <v>564</v>
      </c>
      <c r="R844" s="93">
        <v>92601.38</v>
      </c>
      <c r="S844">
        <v>19583.48</v>
      </c>
      <c r="T844">
        <v>0</v>
      </c>
      <c r="U844" s="1" t="s">
        <v>784</v>
      </c>
      <c r="V844" s="1" t="s">
        <v>1195</v>
      </c>
      <c r="W844">
        <v>6686.1216999999997</v>
      </c>
      <c r="X844">
        <v>0</v>
      </c>
      <c r="Y844">
        <v>56639</v>
      </c>
    </row>
    <row r="845" spans="1:25" ht="15" hidden="1" customHeight="1" x14ac:dyDescent="0.25">
      <c r="A845" s="1" t="s">
        <v>27</v>
      </c>
      <c r="B845" s="1" t="s">
        <v>61</v>
      </c>
      <c r="C845" s="1" t="s">
        <v>134</v>
      </c>
      <c r="D845">
        <v>5247</v>
      </c>
      <c r="E845" s="1"/>
      <c r="F845" s="1" t="s">
        <v>274</v>
      </c>
      <c r="G845" s="1" t="s">
        <v>274</v>
      </c>
      <c r="H845" s="1" t="s">
        <v>1405</v>
      </c>
      <c r="I845">
        <v>2009</v>
      </c>
      <c r="J845" s="93">
        <v>61125.06</v>
      </c>
      <c r="K845">
        <v>12</v>
      </c>
      <c r="L845" s="1" t="s">
        <v>404</v>
      </c>
      <c r="M845">
        <v>0</v>
      </c>
      <c r="N845">
        <v>284</v>
      </c>
      <c r="O845">
        <v>215.15332599999999</v>
      </c>
      <c r="P845">
        <v>1</v>
      </c>
      <c r="Q845" s="1" t="s">
        <v>564</v>
      </c>
      <c r="R845" s="93">
        <v>65571.48</v>
      </c>
      <c r="S845">
        <v>13867.16</v>
      </c>
      <c r="T845">
        <v>0</v>
      </c>
      <c r="U845" s="1" t="s">
        <v>784</v>
      </c>
      <c r="V845" s="1" t="s">
        <v>1195</v>
      </c>
      <c r="W845">
        <v>5659.7278999999999</v>
      </c>
      <c r="X845">
        <v>0</v>
      </c>
      <c r="Y845">
        <v>56639</v>
      </c>
    </row>
    <row r="846" spans="1:25" ht="15" hidden="1" customHeight="1" x14ac:dyDescent="0.25">
      <c r="A846" s="1" t="s">
        <v>27</v>
      </c>
      <c r="B846" s="1" t="s">
        <v>61</v>
      </c>
      <c r="C846" s="1" t="s">
        <v>134</v>
      </c>
      <c r="D846">
        <v>5247</v>
      </c>
      <c r="E846" s="1"/>
      <c r="F846" s="1" t="s">
        <v>274</v>
      </c>
      <c r="G846" s="1" t="s">
        <v>274</v>
      </c>
      <c r="H846" s="1" t="s">
        <v>1405</v>
      </c>
      <c r="I846">
        <v>2008</v>
      </c>
      <c r="J846" s="93">
        <v>67430.990000000005</v>
      </c>
      <c r="K846">
        <v>12</v>
      </c>
      <c r="L846" s="1" t="s">
        <v>404</v>
      </c>
      <c r="M846">
        <v>0</v>
      </c>
      <c r="N846">
        <v>284</v>
      </c>
      <c r="O846">
        <v>237.34948900000001</v>
      </c>
      <c r="P846">
        <v>1</v>
      </c>
      <c r="Q846" s="1" t="s">
        <v>564</v>
      </c>
      <c r="R846" s="93">
        <v>76422.44</v>
      </c>
      <c r="S846">
        <v>16161.92</v>
      </c>
      <c r="T846">
        <v>0</v>
      </c>
      <c r="U846" s="1" t="s">
        <v>784</v>
      </c>
      <c r="V846" s="1" t="s">
        <v>1195</v>
      </c>
      <c r="W846">
        <v>6243.61</v>
      </c>
      <c r="X846">
        <v>0</v>
      </c>
      <c r="Y846">
        <v>56639</v>
      </c>
    </row>
    <row r="847" spans="1:25" ht="15" hidden="1" customHeight="1" x14ac:dyDescent="0.25">
      <c r="A847" s="1" t="s">
        <v>27</v>
      </c>
      <c r="B847" s="1"/>
      <c r="C847" s="1" t="s">
        <v>135</v>
      </c>
      <c r="D847">
        <v>10019</v>
      </c>
      <c r="E847" s="1"/>
      <c r="F847" s="1" t="s">
        <v>275</v>
      </c>
      <c r="G847" s="1" t="s">
        <v>135</v>
      </c>
      <c r="H847" s="1" t="s">
        <v>1405</v>
      </c>
      <c r="I847">
        <v>2015</v>
      </c>
      <c r="J847" s="93">
        <v>69785</v>
      </c>
      <c r="K847">
        <v>5</v>
      </c>
      <c r="L847" s="1" t="s">
        <v>432</v>
      </c>
      <c r="M847">
        <v>0</v>
      </c>
      <c r="N847">
        <v>598</v>
      </c>
      <c r="O847">
        <v>76.921600999999995</v>
      </c>
      <c r="P847">
        <v>1</v>
      </c>
      <c r="Q847" s="1" t="s">
        <v>564</v>
      </c>
      <c r="R847" s="93">
        <v>80398</v>
      </c>
      <c r="S847">
        <v>11040.26</v>
      </c>
      <c r="T847">
        <v>0</v>
      </c>
      <c r="U847" s="1" t="s">
        <v>785</v>
      </c>
      <c r="V847" s="1" t="s">
        <v>1196</v>
      </c>
      <c r="W847">
        <v>4259.8900000000003</v>
      </c>
      <c r="X847">
        <v>0</v>
      </c>
      <c r="Y847">
        <v>76533</v>
      </c>
    </row>
    <row r="848" spans="1:25" ht="15" hidden="1" customHeight="1" x14ac:dyDescent="0.25">
      <c r="A848" s="1" t="s">
        <v>27</v>
      </c>
      <c r="B848" s="1"/>
      <c r="C848" s="1" t="s">
        <v>135</v>
      </c>
      <c r="D848">
        <v>10019</v>
      </c>
      <c r="E848" s="1"/>
      <c r="F848" s="1" t="s">
        <v>275</v>
      </c>
      <c r="G848" s="1" t="s">
        <v>135</v>
      </c>
      <c r="H848" s="1" t="s">
        <v>1405</v>
      </c>
      <c r="I848">
        <v>2013</v>
      </c>
      <c r="J848" s="93">
        <v>89611.48</v>
      </c>
      <c r="K848">
        <v>12</v>
      </c>
      <c r="L848" s="1" t="s">
        <v>432</v>
      </c>
      <c r="M848">
        <v>0</v>
      </c>
      <c r="N848">
        <v>598</v>
      </c>
      <c r="O848">
        <v>149.82691800000001</v>
      </c>
      <c r="P848">
        <v>1</v>
      </c>
      <c r="Q848" s="1" t="s">
        <v>564</v>
      </c>
      <c r="R848" s="93">
        <v>93561.62</v>
      </c>
      <c r="S848">
        <v>19786.55</v>
      </c>
      <c r="T848">
        <v>0</v>
      </c>
      <c r="U848" s="1" t="s">
        <v>785</v>
      </c>
      <c r="V848" s="1" t="s">
        <v>1196</v>
      </c>
      <c r="W848">
        <v>8297.36</v>
      </c>
      <c r="X848">
        <v>0</v>
      </c>
      <c r="Y848">
        <v>76533</v>
      </c>
    </row>
    <row r="849" spans="1:25" ht="15" hidden="1" customHeight="1" x14ac:dyDescent="0.25">
      <c r="A849" s="1" t="s">
        <v>27</v>
      </c>
      <c r="B849" s="1"/>
      <c r="C849" s="1" t="s">
        <v>135</v>
      </c>
      <c r="D849">
        <v>10019</v>
      </c>
      <c r="E849" s="1"/>
      <c r="F849" s="1" t="s">
        <v>275</v>
      </c>
      <c r="G849" s="1" t="s">
        <v>135</v>
      </c>
      <c r="H849" s="1" t="s">
        <v>1405</v>
      </c>
      <c r="I849">
        <v>2012</v>
      </c>
      <c r="J849" s="93">
        <v>113960.31</v>
      </c>
      <c r="K849">
        <v>12</v>
      </c>
      <c r="L849" s="1" t="s">
        <v>432</v>
      </c>
      <c r="M849">
        <v>0</v>
      </c>
      <c r="N849">
        <v>598</v>
      </c>
      <c r="O849">
        <v>190.537217</v>
      </c>
      <c r="P849">
        <v>1</v>
      </c>
      <c r="Q849" s="1" t="s">
        <v>564</v>
      </c>
      <c r="R849" s="93">
        <v>119933.27</v>
      </c>
      <c r="S849">
        <v>25363.67</v>
      </c>
      <c r="T849">
        <v>0</v>
      </c>
      <c r="U849" s="1" t="s">
        <v>785</v>
      </c>
      <c r="V849" s="1" t="s">
        <v>1196</v>
      </c>
      <c r="W849">
        <v>10551.88</v>
      </c>
      <c r="X849">
        <v>0</v>
      </c>
      <c r="Y849">
        <v>76533</v>
      </c>
    </row>
    <row r="850" spans="1:25" ht="15" hidden="1" customHeight="1" x14ac:dyDescent="0.25">
      <c r="A850" s="1" t="s">
        <v>27</v>
      </c>
      <c r="B850" s="1"/>
      <c r="C850" s="1" t="s">
        <v>135</v>
      </c>
      <c r="D850">
        <v>10019</v>
      </c>
      <c r="E850" s="1"/>
      <c r="F850" s="1" t="s">
        <v>275</v>
      </c>
      <c r="G850" s="1" t="s">
        <v>135</v>
      </c>
      <c r="H850" s="1" t="s">
        <v>1405</v>
      </c>
      <c r="I850">
        <v>2011</v>
      </c>
      <c r="J850" s="93">
        <v>109904.3</v>
      </c>
      <c r="K850">
        <v>9</v>
      </c>
      <c r="L850" s="1" t="s">
        <v>432</v>
      </c>
      <c r="M850">
        <v>0</v>
      </c>
      <c r="N850">
        <v>598</v>
      </c>
      <c r="O850">
        <v>183.75572600000001</v>
      </c>
      <c r="P850">
        <v>1</v>
      </c>
      <c r="Q850" s="1" t="s">
        <v>564</v>
      </c>
      <c r="R850" s="93">
        <v>130424.97</v>
      </c>
      <c r="S850">
        <v>27582.47</v>
      </c>
      <c r="T850">
        <v>0</v>
      </c>
      <c r="U850" s="1" t="s">
        <v>785</v>
      </c>
      <c r="V850" s="1" t="s">
        <v>1196</v>
      </c>
      <c r="W850">
        <v>10176.32476</v>
      </c>
      <c r="X850">
        <v>0</v>
      </c>
      <c r="Y850">
        <v>76533</v>
      </c>
    </row>
    <row r="851" spans="1:25" ht="15" hidden="1" customHeight="1" x14ac:dyDescent="0.25">
      <c r="A851" s="1" t="s">
        <v>27</v>
      </c>
      <c r="B851" s="1"/>
      <c r="C851" s="1" t="s">
        <v>135</v>
      </c>
      <c r="D851">
        <v>10019</v>
      </c>
      <c r="E851" s="1"/>
      <c r="F851" s="1" t="s">
        <v>275</v>
      </c>
      <c r="G851" s="1" t="s">
        <v>135</v>
      </c>
      <c r="H851" s="1" t="s">
        <v>1405</v>
      </c>
      <c r="I851">
        <v>2010</v>
      </c>
      <c r="J851" s="93">
        <v>107738.8</v>
      </c>
      <c r="K851">
        <v>3</v>
      </c>
      <c r="L851" s="1" t="s">
        <v>432</v>
      </c>
      <c r="M851">
        <v>0</v>
      </c>
      <c r="N851">
        <v>598</v>
      </c>
      <c r="O851">
        <v>180.13509400000001</v>
      </c>
      <c r="P851">
        <v>1</v>
      </c>
      <c r="Q851" s="1" t="s">
        <v>564</v>
      </c>
      <c r="R851" s="93">
        <v>134840.21</v>
      </c>
      <c r="S851">
        <v>28516.21</v>
      </c>
      <c r="T851">
        <v>0</v>
      </c>
      <c r="U851" s="1" t="s">
        <v>785</v>
      </c>
      <c r="V851" s="1" t="s">
        <v>1196</v>
      </c>
      <c r="W851">
        <v>9975.8158399999993</v>
      </c>
      <c r="X851">
        <v>0</v>
      </c>
      <c r="Y851">
        <v>76533</v>
      </c>
    </row>
    <row r="852" spans="1:25" ht="15" hidden="1" customHeight="1" x14ac:dyDescent="0.25">
      <c r="A852" s="1" t="s">
        <v>27</v>
      </c>
      <c r="B852" s="1"/>
      <c r="C852" s="1" t="s">
        <v>135</v>
      </c>
      <c r="D852">
        <v>10019</v>
      </c>
      <c r="E852" s="1"/>
      <c r="F852" s="1" t="s">
        <v>275</v>
      </c>
      <c r="G852" s="1" t="s">
        <v>135</v>
      </c>
      <c r="H852" s="1" t="s">
        <v>1405</v>
      </c>
      <c r="I852">
        <v>2009</v>
      </c>
      <c r="J852" s="93">
        <v>115091.24</v>
      </c>
      <c r="K852">
        <v>6</v>
      </c>
      <c r="L852" s="1" t="s">
        <v>432</v>
      </c>
      <c r="M852">
        <v>0</v>
      </c>
      <c r="N852">
        <v>598</v>
      </c>
      <c r="O852">
        <v>192.428088</v>
      </c>
      <c r="P852">
        <v>1</v>
      </c>
      <c r="Q852" s="1" t="s">
        <v>564</v>
      </c>
      <c r="R852" s="93">
        <v>127039.37</v>
      </c>
      <c r="S852">
        <v>26866.47</v>
      </c>
      <c r="T852">
        <v>0</v>
      </c>
      <c r="U852" s="1" t="s">
        <v>785</v>
      </c>
      <c r="V852" s="1" t="s">
        <v>1196</v>
      </c>
      <c r="W852">
        <v>10656.595369999999</v>
      </c>
      <c r="X852">
        <v>0</v>
      </c>
      <c r="Y852">
        <v>76533</v>
      </c>
    </row>
    <row r="853" spans="1:25" ht="15" hidden="1" customHeight="1" x14ac:dyDescent="0.25">
      <c r="A853" s="1" t="s">
        <v>27</v>
      </c>
      <c r="B853" s="1"/>
      <c r="C853" s="1" t="s">
        <v>135</v>
      </c>
      <c r="D853">
        <v>10019</v>
      </c>
      <c r="E853" s="1"/>
      <c r="F853" s="1" t="s">
        <v>275</v>
      </c>
      <c r="G853" s="1" t="s">
        <v>135</v>
      </c>
      <c r="H853" s="1" t="s">
        <v>1405</v>
      </c>
      <c r="I853">
        <v>2008</v>
      </c>
      <c r="J853" s="93">
        <v>100047.19</v>
      </c>
      <c r="K853">
        <v>5</v>
      </c>
      <c r="L853" s="1" t="s">
        <v>432</v>
      </c>
      <c r="M853">
        <v>0</v>
      </c>
      <c r="N853">
        <v>598</v>
      </c>
      <c r="O853">
        <v>167.27502000000001</v>
      </c>
      <c r="P853">
        <v>1</v>
      </c>
      <c r="Q853" s="1" t="s">
        <v>564</v>
      </c>
      <c r="R853" s="93">
        <v>113698</v>
      </c>
      <c r="S853">
        <v>24045.040000000001</v>
      </c>
      <c r="T853">
        <v>0</v>
      </c>
      <c r="U853" s="1" t="s">
        <v>785</v>
      </c>
      <c r="V853" s="1" t="s">
        <v>1196</v>
      </c>
      <c r="W853">
        <v>9263.6292799999992</v>
      </c>
      <c r="X853">
        <v>0</v>
      </c>
      <c r="Y853">
        <v>76533</v>
      </c>
    </row>
    <row r="854" spans="1:25" ht="15" hidden="1" customHeight="1" x14ac:dyDescent="0.25">
      <c r="A854" s="1" t="s">
        <v>27</v>
      </c>
      <c r="B854" s="1"/>
      <c r="C854" s="1" t="s">
        <v>136</v>
      </c>
      <c r="D854">
        <v>10056</v>
      </c>
      <c r="E854" s="1"/>
      <c r="F854" s="1" t="s">
        <v>136</v>
      </c>
      <c r="G854" s="1" t="s">
        <v>136</v>
      </c>
      <c r="H854" s="1" t="s">
        <v>1405</v>
      </c>
      <c r="I854">
        <v>2015</v>
      </c>
      <c r="J854" s="93">
        <v>53509</v>
      </c>
      <c r="K854">
        <v>5</v>
      </c>
      <c r="L854" s="1" t="s">
        <v>426</v>
      </c>
      <c r="M854">
        <v>0</v>
      </c>
      <c r="N854">
        <v>836</v>
      </c>
      <c r="O854">
        <v>37.208466999999999</v>
      </c>
      <c r="P854">
        <v>1</v>
      </c>
      <c r="Q854" s="1" t="s">
        <v>565</v>
      </c>
      <c r="R854" s="93">
        <v>61402</v>
      </c>
      <c r="S854">
        <v>2.2599999999999998</v>
      </c>
      <c r="T854">
        <v>0</v>
      </c>
      <c r="U854" s="1" t="s">
        <v>786</v>
      </c>
      <c r="V854" s="1"/>
      <c r="W854">
        <v>31.11</v>
      </c>
      <c r="X854">
        <v>0</v>
      </c>
      <c r="Y854">
        <v>89456</v>
      </c>
    </row>
    <row r="855" spans="1:25" ht="15" hidden="1" customHeight="1" x14ac:dyDescent="0.25">
      <c r="A855" s="1" t="s">
        <v>27</v>
      </c>
      <c r="B855" s="1"/>
      <c r="C855" s="1" t="s">
        <v>136</v>
      </c>
      <c r="D855">
        <v>10056</v>
      </c>
      <c r="E855" s="1"/>
      <c r="F855" s="1" t="s">
        <v>136</v>
      </c>
      <c r="G855" s="1" t="s">
        <v>136</v>
      </c>
      <c r="H855" s="1" t="s">
        <v>1405</v>
      </c>
      <c r="I855">
        <v>2013</v>
      </c>
      <c r="J855" s="93">
        <v>76155</v>
      </c>
      <c r="K855">
        <v>12</v>
      </c>
      <c r="L855" s="1" t="s">
        <v>426</v>
      </c>
      <c r="M855">
        <v>0</v>
      </c>
      <c r="N855">
        <v>836</v>
      </c>
      <c r="O855">
        <v>91.083601999999999</v>
      </c>
      <c r="P855">
        <v>1</v>
      </c>
      <c r="Q855" s="1" t="s">
        <v>565</v>
      </c>
      <c r="R855" s="93">
        <v>79244.94</v>
      </c>
      <c r="S855">
        <v>5.0599999999999996</v>
      </c>
      <c r="T855">
        <v>0</v>
      </c>
      <c r="U855" s="1" t="s">
        <v>786</v>
      </c>
      <c r="V855" s="1"/>
      <c r="W855">
        <v>76.155000000000001</v>
      </c>
      <c r="X855">
        <v>0</v>
      </c>
      <c r="Y855">
        <v>89456</v>
      </c>
    </row>
    <row r="856" spans="1:25" ht="15" hidden="1" customHeight="1" x14ac:dyDescent="0.25">
      <c r="A856" s="1" t="s">
        <v>27</v>
      </c>
      <c r="B856" s="1"/>
      <c r="C856" s="1" t="s">
        <v>136</v>
      </c>
      <c r="D856">
        <v>10056</v>
      </c>
      <c r="E856" s="1"/>
      <c r="F856" s="1" t="s">
        <v>136</v>
      </c>
      <c r="G856" s="1" t="s">
        <v>136</v>
      </c>
      <c r="H856" s="1" t="s">
        <v>1405</v>
      </c>
      <c r="I856">
        <v>2012</v>
      </c>
      <c r="J856" s="93">
        <v>80880</v>
      </c>
      <c r="K856">
        <v>12</v>
      </c>
      <c r="L856" s="1" t="s">
        <v>426</v>
      </c>
      <c r="M856">
        <v>0</v>
      </c>
      <c r="N856">
        <v>836</v>
      </c>
      <c r="O856">
        <v>96.734840000000005</v>
      </c>
      <c r="P856">
        <v>1</v>
      </c>
      <c r="Q856" s="1" t="s">
        <v>565</v>
      </c>
      <c r="R856" s="93">
        <v>84785.72</v>
      </c>
      <c r="S856">
        <v>15.7</v>
      </c>
      <c r="T856">
        <v>0</v>
      </c>
      <c r="U856" s="1" t="s">
        <v>786</v>
      </c>
      <c r="V856" s="1"/>
      <c r="W856">
        <v>80.88</v>
      </c>
      <c r="X856">
        <v>0</v>
      </c>
      <c r="Y856">
        <v>89456</v>
      </c>
    </row>
    <row r="857" spans="1:25" ht="15" hidden="1" customHeight="1" x14ac:dyDescent="0.25">
      <c r="A857" s="1" t="s">
        <v>27</v>
      </c>
      <c r="B857" s="1"/>
      <c r="C857" s="1" t="s">
        <v>136</v>
      </c>
      <c r="D857">
        <v>10056</v>
      </c>
      <c r="E857" s="1"/>
      <c r="F857" s="1" t="s">
        <v>136</v>
      </c>
      <c r="G857" s="1" t="s">
        <v>136</v>
      </c>
      <c r="H857" s="1" t="s">
        <v>1405</v>
      </c>
      <c r="I857">
        <v>2011</v>
      </c>
      <c r="J857" s="93">
        <v>30880</v>
      </c>
      <c r="K857">
        <v>6</v>
      </c>
      <c r="L857" s="1" t="s">
        <v>426</v>
      </c>
      <c r="M857">
        <v>0</v>
      </c>
      <c r="N857">
        <v>836</v>
      </c>
      <c r="O857">
        <v>36.933380999999997</v>
      </c>
      <c r="P857">
        <v>1</v>
      </c>
      <c r="Q857" s="1" t="s">
        <v>565</v>
      </c>
      <c r="R857" s="93">
        <v>34367.32</v>
      </c>
      <c r="S857">
        <v>6.35</v>
      </c>
      <c r="T857">
        <v>0</v>
      </c>
      <c r="U857" s="1" t="s">
        <v>786</v>
      </c>
      <c r="V857" s="1"/>
      <c r="W857">
        <v>30.88</v>
      </c>
      <c r="X857">
        <v>0</v>
      </c>
      <c r="Y857">
        <v>89456</v>
      </c>
    </row>
    <row r="858" spans="1:25" ht="15" hidden="1" customHeight="1" x14ac:dyDescent="0.25">
      <c r="A858" s="1" t="s">
        <v>27</v>
      </c>
      <c r="B858" s="1"/>
      <c r="C858" s="1" t="s">
        <v>136</v>
      </c>
      <c r="D858">
        <v>10056</v>
      </c>
      <c r="E858" s="1"/>
      <c r="F858" s="1" t="s">
        <v>136</v>
      </c>
      <c r="G858" s="1" t="s">
        <v>136</v>
      </c>
      <c r="H858" s="1" t="s">
        <v>1405</v>
      </c>
      <c r="I858">
        <v>2011</v>
      </c>
      <c r="J858" s="93">
        <v>38730.75</v>
      </c>
      <c r="K858">
        <v>6</v>
      </c>
      <c r="L858" s="1" t="s">
        <v>476</v>
      </c>
      <c r="M858">
        <v>0</v>
      </c>
      <c r="N858">
        <v>836</v>
      </c>
      <c r="O858">
        <v>46.323107</v>
      </c>
      <c r="P858">
        <v>1</v>
      </c>
      <c r="Q858" s="1" t="s">
        <v>567</v>
      </c>
      <c r="R858" s="93">
        <v>41698.269999999997</v>
      </c>
      <c r="S858">
        <v>27.75</v>
      </c>
      <c r="T858">
        <v>0</v>
      </c>
      <c r="U858" s="1" t="s">
        <v>787</v>
      </c>
      <c r="V858" s="1"/>
      <c r="W858">
        <v>139.31926999999999</v>
      </c>
      <c r="X858">
        <v>0</v>
      </c>
      <c r="Y858">
        <v>76679</v>
      </c>
    </row>
    <row r="859" spans="1:25" ht="15" hidden="1" customHeight="1" x14ac:dyDescent="0.25">
      <c r="A859" s="1" t="s">
        <v>27</v>
      </c>
      <c r="B859" s="1"/>
      <c r="C859" s="1" t="s">
        <v>136</v>
      </c>
      <c r="D859">
        <v>10056</v>
      </c>
      <c r="E859" s="1"/>
      <c r="F859" s="1" t="s">
        <v>136</v>
      </c>
      <c r="G859" s="1" t="s">
        <v>136</v>
      </c>
      <c r="H859" s="1" t="s">
        <v>1405</v>
      </c>
      <c r="I859">
        <v>2010</v>
      </c>
      <c r="J859" s="93">
        <v>80900.25</v>
      </c>
      <c r="K859">
        <v>8</v>
      </c>
      <c r="L859" s="1" t="s">
        <v>476</v>
      </c>
      <c r="M859">
        <v>0</v>
      </c>
      <c r="N859">
        <v>836</v>
      </c>
      <c r="O859">
        <v>96.759058999999993</v>
      </c>
      <c r="P859">
        <v>1</v>
      </c>
      <c r="Q859" s="1" t="s">
        <v>567</v>
      </c>
      <c r="R859" s="93">
        <v>74228.289999999994</v>
      </c>
      <c r="S859">
        <v>49.41</v>
      </c>
      <c r="T859">
        <v>0</v>
      </c>
      <c r="U859" s="1" t="s">
        <v>787</v>
      </c>
      <c r="V859" s="1"/>
      <c r="W859">
        <v>291.00812000000002</v>
      </c>
      <c r="X859">
        <v>0</v>
      </c>
      <c r="Y859">
        <v>76679</v>
      </c>
    </row>
    <row r="860" spans="1:25" ht="15" hidden="1" customHeight="1" x14ac:dyDescent="0.25">
      <c r="A860" s="1" t="s">
        <v>27</v>
      </c>
      <c r="B860" s="1"/>
      <c r="C860" s="1" t="s">
        <v>136</v>
      </c>
      <c r="D860">
        <v>10056</v>
      </c>
      <c r="E860" s="1"/>
      <c r="F860" s="1" t="s">
        <v>136</v>
      </c>
      <c r="G860" s="1" t="s">
        <v>136</v>
      </c>
      <c r="H860" s="1" t="s">
        <v>1405</v>
      </c>
      <c r="I860">
        <v>2009</v>
      </c>
      <c r="J860" s="93">
        <v>62001</v>
      </c>
      <c r="K860">
        <v>6</v>
      </c>
      <c r="L860" s="1" t="s">
        <v>476</v>
      </c>
      <c r="M860">
        <v>0</v>
      </c>
      <c r="N860">
        <v>836</v>
      </c>
      <c r="O860">
        <v>74.155005000000003</v>
      </c>
      <c r="P860">
        <v>1</v>
      </c>
      <c r="Q860" s="1" t="s">
        <v>567</v>
      </c>
      <c r="R860" s="93">
        <v>66197.88</v>
      </c>
      <c r="S860">
        <v>44.06</v>
      </c>
      <c r="T860">
        <v>0</v>
      </c>
      <c r="U860" s="1" t="s">
        <v>787</v>
      </c>
      <c r="V860" s="1"/>
      <c r="W860">
        <v>223.02524</v>
      </c>
      <c r="X860">
        <v>0</v>
      </c>
      <c r="Y860">
        <v>76679</v>
      </c>
    </row>
    <row r="861" spans="1:25" ht="15" hidden="1" customHeight="1" x14ac:dyDescent="0.25">
      <c r="A861" s="1" t="s">
        <v>27</v>
      </c>
      <c r="B861" s="1"/>
      <c r="C861" s="1" t="s">
        <v>136</v>
      </c>
      <c r="D861">
        <v>10056</v>
      </c>
      <c r="E861" s="1"/>
      <c r="F861" s="1" t="s">
        <v>136</v>
      </c>
      <c r="G861" s="1" t="s">
        <v>136</v>
      </c>
      <c r="H861" s="1" t="s">
        <v>1405</v>
      </c>
      <c r="I861">
        <v>2008</v>
      </c>
      <c r="J861" s="93">
        <v>45349.67</v>
      </c>
      <c r="K861">
        <v>3</v>
      </c>
      <c r="L861" s="1" t="s">
        <v>476</v>
      </c>
      <c r="M861">
        <v>0</v>
      </c>
      <c r="N861">
        <v>836</v>
      </c>
      <c r="O861">
        <v>54.239528</v>
      </c>
      <c r="P861">
        <v>1</v>
      </c>
      <c r="Q861" s="1" t="s">
        <v>567</v>
      </c>
      <c r="R861" s="93">
        <v>53610.49</v>
      </c>
      <c r="S861">
        <v>35.68</v>
      </c>
      <c r="T861">
        <v>0</v>
      </c>
      <c r="U861" s="1" t="s">
        <v>787</v>
      </c>
      <c r="V861" s="1"/>
      <c r="W861">
        <v>163.12832</v>
      </c>
      <c r="X861">
        <v>0</v>
      </c>
      <c r="Y861">
        <v>76679</v>
      </c>
    </row>
    <row r="862" spans="1:25" ht="15" hidden="1" customHeight="1" x14ac:dyDescent="0.25">
      <c r="A862" s="1" t="s">
        <v>27</v>
      </c>
      <c r="B862" s="1" t="s">
        <v>63</v>
      </c>
      <c r="C862" s="1" t="s">
        <v>139</v>
      </c>
      <c r="D862">
        <v>5279</v>
      </c>
      <c r="E862" s="1"/>
      <c r="F862" s="1" t="s">
        <v>277</v>
      </c>
      <c r="G862" s="1" t="s">
        <v>139</v>
      </c>
      <c r="H862" s="1" t="s">
        <v>1396</v>
      </c>
      <c r="I862">
        <v>2015</v>
      </c>
      <c r="J862" s="93">
        <v>70384.83</v>
      </c>
      <c r="K862">
        <v>5</v>
      </c>
      <c r="L862" s="1" t="s">
        <v>477</v>
      </c>
      <c r="M862">
        <v>0</v>
      </c>
      <c r="N862">
        <v>1603</v>
      </c>
      <c r="O862">
        <v>43.905450999999999</v>
      </c>
      <c r="P862">
        <v>1</v>
      </c>
      <c r="Q862" s="1" t="s">
        <v>563</v>
      </c>
      <c r="R862" s="93">
        <v>70384.83</v>
      </c>
      <c r="S862">
        <v>373207.03</v>
      </c>
      <c r="T862">
        <v>1</v>
      </c>
      <c r="U862" s="1" t="s">
        <v>789</v>
      </c>
      <c r="V862" s="1"/>
      <c r="W862">
        <v>2017.335</v>
      </c>
      <c r="X862">
        <v>0</v>
      </c>
      <c r="Y862">
        <v>57002</v>
      </c>
    </row>
    <row r="863" spans="1:25" ht="15" hidden="1" customHeight="1" x14ac:dyDescent="0.25">
      <c r="A863" s="1" t="s">
        <v>27</v>
      </c>
      <c r="B863" s="1" t="s">
        <v>63</v>
      </c>
      <c r="C863" s="1" t="s">
        <v>139</v>
      </c>
      <c r="D863">
        <v>5279</v>
      </c>
      <c r="E863" s="1"/>
      <c r="F863" s="1" t="s">
        <v>277</v>
      </c>
      <c r="G863" s="1" t="s">
        <v>139</v>
      </c>
      <c r="H863" s="1" t="s">
        <v>1405</v>
      </c>
      <c r="I863">
        <v>2015</v>
      </c>
      <c r="J863" s="93">
        <v>132145</v>
      </c>
      <c r="K863">
        <v>5</v>
      </c>
      <c r="L863" s="1" t="s">
        <v>477</v>
      </c>
      <c r="M863">
        <v>0</v>
      </c>
      <c r="N863">
        <v>1603</v>
      </c>
      <c r="O863">
        <v>42.837314999999997</v>
      </c>
      <c r="P863">
        <v>1</v>
      </c>
      <c r="Q863" s="1" t="s">
        <v>562</v>
      </c>
      <c r="R863" s="93">
        <v>151946</v>
      </c>
      <c r="S863">
        <v>14156351.699999999</v>
      </c>
      <c r="T863">
        <v>0</v>
      </c>
      <c r="U863" s="1" t="s">
        <v>789</v>
      </c>
      <c r="V863" s="1"/>
      <c r="W863">
        <v>68672.5</v>
      </c>
      <c r="X863">
        <v>0</v>
      </c>
      <c r="Y863">
        <v>56882</v>
      </c>
    </row>
    <row r="864" spans="1:25" ht="15" hidden="1" customHeight="1" x14ac:dyDescent="0.25">
      <c r="A864" s="1" t="s">
        <v>27</v>
      </c>
      <c r="B864" s="1" t="s">
        <v>63</v>
      </c>
      <c r="C864" s="1" t="s">
        <v>139</v>
      </c>
      <c r="D864">
        <v>5279</v>
      </c>
      <c r="E864" s="1"/>
      <c r="F864" s="1" t="s">
        <v>277</v>
      </c>
      <c r="G864" s="1" t="s">
        <v>139</v>
      </c>
      <c r="H864" s="1" t="s">
        <v>1405</v>
      </c>
      <c r="I864">
        <v>2013</v>
      </c>
      <c r="J864" s="93">
        <v>144947</v>
      </c>
      <c r="K864">
        <v>12</v>
      </c>
      <c r="L864" s="1" t="s">
        <v>477</v>
      </c>
      <c r="M864">
        <v>0</v>
      </c>
      <c r="N864">
        <v>1603</v>
      </c>
      <c r="O864">
        <v>90.416691999999998</v>
      </c>
      <c r="P864">
        <v>1</v>
      </c>
      <c r="Q864" s="1" t="s">
        <v>562</v>
      </c>
      <c r="R864" s="93">
        <v>152805.20000000001</v>
      </c>
      <c r="S864">
        <v>28268.95</v>
      </c>
      <c r="T864">
        <v>0</v>
      </c>
      <c r="U864" s="1" t="s">
        <v>789</v>
      </c>
      <c r="V864" s="1"/>
      <c r="W864">
        <v>144947.003</v>
      </c>
      <c r="X864">
        <v>0</v>
      </c>
      <c r="Y864">
        <v>56882</v>
      </c>
    </row>
    <row r="865" spans="1:25" ht="15" hidden="1" customHeight="1" x14ac:dyDescent="0.25">
      <c r="A865" s="1" t="s">
        <v>27</v>
      </c>
      <c r="B865" s="1" t="s">
        <v>63</v>
      </c>
      <c r="C865" s="1" t="s">
        <v>139</v>
      </c>
      <c r="D865">
        <v>5279</v>
      </c>
      <c r="E865" s="1"/>
      <c r="F865" s="1" t="s">
        <v>277</v>
      </c>
      <c r="G865" s="1" t="s">
        <v>139</v>
      </c>
      <c r="H865" s="1" t="s">
        <v>1396</v>
      </c>
      <c r="I865">
        <v>2013</v>
      </c>
      <c r="J865" s="93">
        <v>155388.9</v>
      </c>
      <c r="K865">
        <v>12</v>
      </c>
      <c r="L865" s="1" t="s">
        <v>477</v>
      </c>
      <c r="M865">
        <v>0</v>
      </c>
      <c r="N865">
        <v>1603</v>
      </c>
      <c r="O865">
        <v>96.930260000000004</v>
      </c>
      <c r="P865">
        <v>1</v>
      </c>
      <c r="Q865" s="1" t="s">
        <v>563</v>
      </c>
      <c r="R865" s="93">
        <v>155388.9</v>
      </c>
      <c r="S865">
        <v>823.94</v>
      </c>
      <c r="T865">
        <v>1</v>
      </c>
      <c r="U865" s="1" t="s">
        <v>789</v>
      </c>
      <c r="V865" s="1"/>
      <c r="W865">
        <v>4453.68</v>
      </c>
      <c r="X865">
        <v>0</v>
      </c>
      <c r="Y865">
        <v>57002</v>
      </c>
    </row>
    <row r="866" spans="1:25" ht="15" hidden="1" customHeight="1" x14ac:dyDescent="0.25">
      <c r="A866" s="1" t="s">
        <v>27</v>
      </c>
      <c r="B866" s="1" t="s">
        <v>63</v>
      </c>
      <c r="C866" s="1" t="s">
        <v>139</v>
      </c>
      <c r="D866">
        <v>5279</v>
      </c>
      <c r="E866" s="1"/>
      <c r="F866" s="1" t="s">
        <v>277</v>
      </c>
      <c r="G866" s="1" t="s">
        <v>139</v>
      </c>
      <c r="H866" s="1" t="s">
        <v>1396</v>
      </c>
      <c r="I866">
        <v>2012</v>
      </c>
      <c r="J866" s="93">
        <v>175865.5</v>
      </c>
      <c r="K866">
        <v>12</v>
      </c>
      <c r="L866" s="1" t="s">
        <v>477</v>
      </c>
      <c r="M866">
        <v>0</v>
      </c>
      <c r="N866">
        <v>1603</v>
      </c>
      <c r="O866">
        <v>109.70338700000001</v>
      </c>
      <c r="P866">
        <v>1</v>
      </c>
      <c r="Q866" s="1" t="s">
        <v>563</v>
      </c>
      <c r="R866" s="93">
        <v>175865.5</v>
      </c>
      <c r="S866">
        <v>932.5</v>
      </c>
      <c r="T866">
        <v>1</v>
      </c>
      <c r="U866" s="1" t="s">
        <v>789</v>
      </c>
      <c r="V866" s="1"/>
      <c r="W866">
        <v>5040.57</v>
      </c>
      <c r="X866">
        <v>0</v>
      </c>
      <c r="Y866">
        <v>57002</v>
      </c>
    </row>
    <row r="867" spans="1:25" ht="15" hidden="1" customHeight="1" x14ac:dyDescent="0.25">
      <c r="A867" s="1" t="s">
        <v>27</v>
      </c>
      <c r="B867" s="1" t="s">
        <v>63</v>
      </c>
      <c r="C867" s="1" t="s">
        <v>139</v>
      </c>
      <c r="D867">
        <v>5279</v>
      </c>
      <c r="E867" s="1"/>
      <c r="F867" s="1" t="s">
        <v>277</v>
      </c>
      <c r="G867" s="1" t="s">
        <v>139</v>
      </c>
      <c r="H867" s="1" t="s">
        <v>1405</v>
      </c>
      <c r="I867">
        <v>2012</v>
      </c>
      <c r="J867" s="93">
        <v>148180</v>
      </c>
      <c r="K867">
        <v>12</v>
      </c>
      <c r="L867" s="1" t="s">
        <v>477</v>
      </c>
      <c r="M867">
        <v>0</v>
      </c>
      <c r="N867">
        <v>1603</v>
      </c>
      <c r="O867">
        <v>92.433409999999995</v>
      </c>
      <c r="P867">
        <v>1</v>
      </c>
      <c r="Q867" s="1" t="s">
        <v>562</v>
      </c>
      <c r="R867" s="93">
        <v>155533.66</v>
      </c>
      <c r="S867">
        <v>28773.72</v>
      </c>
      <c r="T867">
        <v>0</v>
      </c>
      <c r="U867" s="1" t="s">
        <v>789</v>
      </c>
      <c r="V867" s="1"/>
      <c r="W867">
        <v>148180</v>
      </c>
      <c r="X867">
        <v>0</v>
      </c>
      <c r="Y867">
        <v>56882</v>
      </c>
    </row>
    <row r="868" spans="1:25" ht="15" hidden="1" customHeight="1" x14ac:dyDescent="0.25">
      <c r="A868" s="1" t="s">
        <v>27</v>
      </c>
      <c r="B868" s="1" t="s">
        <v>63</v>
      </c>
      <c r="C868" s="1" t="s">
        <v>139</v>
      </c>
      <c r="D868">
        <v>5279</v>
      </c>
      <c r="E868" s="1"/>
      <c r="F868" s="1" t="s">
        <v>277</v>
      </c>
      <c r="G868" s="1" t="s">
        <v>139</v>
      </c>
      <c r="H868" s="1" t="s">
        <v>1396</v>
      </c>
      <c r="I868">
        <v>2011</v>
      </c>
      <c r="J868" s="93">
        <v>323256.90999999997</v>
      </c>
      <c r="K868">
        <v>12</v>
      </c>
      <c r="L868" s="1" t="s">
        <v>477</v>
      </c>
      <c r="M868">
        <v>0</v>
      </c>
      <c r="N868">
        <v>1603</v>
      </c>
      <c r="O868">
        <v>201.644881</v>
      </c>
      <c r="P868">
        <v>1</v>
      </c>
      <c r="Q868" s="1" t="s">
        <v>563</v>
      </c>
      <c r="R868" s="93">
        <v>323256.90999999997</v>
      </c>
      <c r="S868">
        <v>1714.03</v>
      </c>
      <c r="T868">
        <v>1</v>
      </c>
      <c r="U868" s="1" t="s">
        <v>789</v>
      </c>
      <c r="V868" s="1"/>
      <c r="W868">
        <v>9265.0300000000007</v>
      </c>
      <c r="X868">
        <v>0</v>
      </c>
      <c r="Y868">
        <v>57002</v>
      </c>
    </row>
    <row r="869" spans="1:25" ht="15" hidden="1" customHeight="1" x14ac:dyDescent="0.25">
      <c r="A869" s="1" t="s">
        <v>27</v>
      </c>
      <c r="B869" s="1" t="s">
        <v>63</v>
      </c>
      <c r="C869" s="1" t="s">
        <v>139</v>
      </c>
      <c r="D869">
        <v>5279</v>
      </c>
      <c r="E869" s="1"/>
      <c r="F869" s="1" t="s">
        <v>277</v>
      </c>
      <c r="G869" s="1" t="s">
        <v>139</v>
      </c>
      <c r="H869" s="1" t="s">
        <v>1405</v>
      </c>
      <c r="I869">
        <v>2011</v>
      </c>
      <c r="J869" s="93">
        <v>162692</v>
      </c>
      <c r="K869">
        <v>12</v>
      </c>
      <c r="L869" s="1" t="s">
        <v>477</v>
      </c>
      <c r="M869">
        <v>0</v>
      </c>
      <c r="N869">
        <v>1603</v>
      </c>
      <c r="O869">
        <v>101.485871</v>
      </c>
      <c r="P869">
        <v>1</v>
      </c>
      <c r="Q869" s="1" t="s">
        <v>562</v>
      </c>
      <c r="R869" s="93">
        <v>181796.37</v>
      </c>
      <c r="S869">
        <v>33632.33</v>
      </c>
      <c r="T869">
        <v>0</v>
      </c>
      <c r="U869" s="1" t="s">
        <v>789</v>
      </c>
      <c r="V869" s="1"/>
      <c r="W869">
        <v>162692</v>
      </c>
      <c r="X869">
        <v>0</v>
      </c>
      <c r="Y869">
        <v>56882</v>
      </c>
    </row>
    <row r="870" spans="1:25" ht="15" hidden="1" customHeight="1" x14ac:dyDescent="0.25">
      <c r="A870" s="1" t="s">
        <v>27</v>
      </c>
      <c r="B870" s="1" t="s">
        <v>63</v>
      </c>
      <c r="C870" s="1" t="s">
        <v>139</v>
      </c>
      <c r="D870">
        <v>5279</v>
      </c>
      <c r="E870" s="1"/>
      <c r="F870" s="1" t="s">
        <v>277</v>
      </c>
      <c r="G870" s="1" t="s">
        <v>139</v>
      </c>
      <c r="H870" s="1" t="s">
        <v>1405</v>
      </c>
      <c r="I870">
        <v>2010</v>
      </c>
      <c r="J870" s="93">
        <v>189734.58</v>
      </c>
      <c r="K870">
        <v>13</v>
      </c>
      <c r="L870" s="1" t="s">
        <v>477</v>
      </c>
      <c r="M870">
        <v>0</v>
      </c>
      <c r="N870">
        <v>1603</v>
      </c>
      <c r="O870">
        <v>118.3548</v>
      </c>
      <c r="P870">
        <v>1</v>
      </c>
      <c r="Q870" s="1" t="s">
        <v>562</v>
      </c>
      <c r="R870" s="93">
        <v>180538.64</v>
      </c>
      <c r="S870">
        <v>33399.65</v>
      </c>
      <c r="T870">
        <v>0</v>
      </c>
      <c r="U870" s="1" t="s">
        <v>789</v>
      </c>
      <c r="V870" s="1"/>
      <c r="W870">
        <v>189734.57274999999</v>
      </c>
      <c r="X870">
        <v>0</v>
      </c>
      <c r="Y870">
        <v>56882</v>
      </c>
    </row>
    <row r="871" spans="1:25" ht="15" hidden="1" customHeight="1" x14ac:dyDescent="0.25">
      <c r="A871" s="1" t="s">
        <v>27</v>
      </c>
      <c r="B871" s="1" t="s">
        <v>63</v>
      </c>
      <c r="C871" s="1" t="s">
        <v>139</v>
      </c>
      <c r="D871">
        <v>5279</v>
      </c>
      <c r="E871" s="1"/>
      <c r="F871" s="1" t="s">
        <v>277</v>
      </c>
      <c r="G871" s="1" t="s">
        <v>139</v>
      </c>
      <c r="H871" s="1" t="s">
        <v>1396</v>
      </c>
      <c r="I871">
        <v>2010</v>
      </c>
      <c r="J871" s="93">
        <v>323710.83</v>
      </c>
      <c r="K871">
        <v>13</v>
      </c>
      <c r="L871" s="1" t="s">
        <v>477</v>
      </c>
      <c r="M871">
        <v>0</v>
      </c>
      <c r="N871">
        <v>1603</v>
      </c>
      <c r="O871">
        <v>201.928033</v>
      </c>
      <c r="P871">
        <v>1</v>
      </c>
      <c r="Q871" s="1" t="s">
        <v>563</v>
      </c>
      <c r="R871" s="93">
        <v>323710.83</v>
      </c>
      <c r="S871">
        <v>1716.44</v>
      </c>
      <c r="T871">
        <v>1</v>
      </c>
      <c r="U871" s="1" t="s">
        <v>789</v>
      </c>
      <c r="V871" s="1"/>
      <c r="W871">
        <v>9278.0400000000009</v>
      </c>
      <c r="X871">
        <v>0</v>
      </c>
      <c r="Y871">
        <v>57002</v>
      </c>
    </row>
    <row r="872" spans="1:25" ht="15" hidden="1" customHeight="1" x14ac:dyDescent="0.25">
      <c r="A872" s="1" t="s">
        <v>27</v>
      </c>
      <c r="B872" s="1" t="s">
        <v>63</v>
      </c>
      <c r="C872" s="1" t="s">
        <v>139</v>
      </c>
      <c r="D872">
        <v>5279</v>
      </c>
      <c r="E872" s="1"/>
      <c r="F872" s="1" t="s">
        <v>277</v>
      </c>
      <c r="G872" s="1" t="s">
        <v>139</v>
      </c>
      <c r="H872" s="1" t="s">
        <v>1405</v>
      </c>
      <c r="I872">
        <v>2009</v>
      </c>
      <c r="J872" s="93">
        <v>249210.12</v>
      </c>
      <c r="K872">
        <v>12</v>
      </c>
      <c r="L872" s="1" t="s">
        <v>477</v>
      </c>
      <c r="M872">
        <v>0</v>
      </c>
      <c r="N872">
        <v>1603</v>
      </c>
      <c r="O872">
        <v>155.45513</v>
      </c>
      <c r="P872">
        <v>1</v>
      </c>
      <c r="Q872" s="1" t="s">
        <v>562</v>
      </c>
      <c r="R872" s="93">
        <v>313019.90999999997</v>
      </c>
      <c r="S872">
        <v>57908.67</v>
      </c>
      <c r="T872">
        <v>0</v>
      </c>
      <c r="U872" s="1" t="s">
        <v>789</v>
      </c>
      <c r="V872" s="1"/>
      <c r="W872">
        <v>249210.07832999999</v>
      </c>
      <c r="X872">
        <v>0</v>
      </c>
      <c r="Y872">
        <v>56882</v>
      </c>
    </row>
    <row r="873" spans="1:25" ht="15" hidden="1" customHeight="1" x14ac:dyDescent="0.25">
      <c r="A873" s="1" t="s">
        <v>27</v>
      </c>
      <c r="B873" s="1" t="s">
        <v>63</v>
      </c>
      <c r="C873" s="1" t="s">
        <v>139</v>
      </c>
      <c r="D873">
        <v>5279</v>
      </c>
      <c r="E873" s="1"/>
      <c r="F873" s="1" t="s">
        <v>277</v>
      </c>
      <c r="G873" s="1" t="s">
        <v>139</v>
      </c>
      <c r="H873" s="1" t="s">
        <v>1396</v>
      </c>
      <c r="I873">
        <v>2009</v>
      </c>
      <c r="J873" s="93">
        <v>128235.39</v>
      </c>
      <c r="K873">
        <v>12</v>
      </c>
      <c r="L873" s="1" t="s">
        <v>477</v>
      </c>
      <c r="M873">
        <v>0</v>
      </c>
      <c r="N873">
        <v>1603</v>
      </c>
      <c r="O873">
        <v>79.992132999999995</v>
      </c>
      <c r="P873">
        <v>1</v>
      </c>
      <c r="Q873" s="1" t="s">
        <v>563</v>
      </c>
      <c r="R873" s="93">
        <v>128235.39</v>
      </c>
      <c r="S873">
        <v>679.94</v>
      </c>
      <c r="T873">
        <v>1</v>
      </c>
      <c r="U873" s="1" t="s">
        <v>789</v>
      </c>
      <c r="V873" s="1"/>
      <c r="W873">
        <v>3675.42</v>
      </c>
      <c r="X873">
        <v>0</v>
      </c>
      <c r="Y873">
        <v>57002</v>
      </c>
    </row>
    <row r="874" spans="1:25" ht="15" hidden="1" customHeight="1" x14ac:dyDescent="0.25">
      <c r="A874" s="1" t="s">
        <v>27</v>
      </c>
      <c r="B874" s="1" t="s">
        <v>63</v>
      </c>
      <c r="C874" s="1" t="s">
        <v>139</v>
      </c>
      <c r="D874">
        <v>5279</v>
      </c>
      <c r="E874" s="1"/>
      <c r="F874" s="1" t="s">
        <v>277</v>
      </c>
      <c r="G874" s="1" t="s">
        <v>139</v>
      </c>
      <c r="H874" s="1" t="s">
        <v>1396</v>
      </c>
      <c r="I874">
        <v>2008</v>
      </c>
      <c r="J874" s="93">
        <v>133447.95000000001</v>
      </c>
      <c r="K874">
        <v>12</v>
      </c>
      <c r="L874" s="1" t="s">
        <v>477</v>
      </c>
      <c r="M874">
        <v>0</v>
      </c>
      <c r="N874">
        <v>1603</v>
      </c>
      <c r="O874">
        <v>83.243684000000002</v>
      </c>
      <c r="P874">
        <v>1</v>
      </c>
      <c r="Q874" s="1" t="s">
        <v>563</v>
      </c>
      <c r="R874" s="93">
        <v>133447.95000000001</v>
      </c>
      <c r="S874">
        <v>707.59</v>
      </c>
      <c r="T874">
        <v>1</v>
      </c>
      <c r="U874" s="1" t="s">
        <v>789</v>
      </c>
      <c r="V874" s="1"/>
      <c r="W874">
        <v>3824.82</v>
      </c>
      <c r="X874">
        <v>0</v>
      </c>
      <c r="Y874">
        <v>57002</v>
      </c>
    </row>
    <row r="875" spans="1:25" ht="15" hidden="1" customHeight="1" x14ac:dyDescent="0.25">
      <c r="A875" s="1" t="s">
        <v>27</v>
      </c>
      <c r="B875" s="1" t="s">
        <v>63</v>
      </c>
      <c r="C875" s="1" t="s">
        <v>139</v>
      </c>
      <c r="D875">
        <v>5279</v>
      </c>
      <c r="E875" s="1"/>
      <c r="F875" s="1" t="s">
        <v>277</v>
      </c>
      <c r="G875" s="1" t="s">
        <v>139</v>
      </c>
      <c r="H875" s="1" t="s">
        <v>1405</v>
      </c>
      <c r="I875">
        <v>2008</v>
      </c>
      <c r="J875" s="93">
        <v>249604.18</v>
      </c>
      <c r="K875">
        <v>12</v>
      </c>
      <c r="L875" s="1" t="s">
        <v>477</v>
      </c>
      <c r="M875">
        <v>0</v>
      </c>
      <c r="N875">
        <v>1603</v>
      </c>
      <c r="O875">
        <v>155.700941</v>
      </c>
      <c r="P875">
        <v>1</v>
      </c>
      <c r="Q875" s="1" t="s">
        <v>562</v>
      </c>
      <c r="R875" s="93">
        <v>301288.67</v>
      </c>
      <c r="S875">
        <v>55738.400000000001</v>
      </c>
      <c r="T875">
        <v>0</v>
      </c>
      <c r="U875" s="1" t="s">
        <v>789</v>
      </c>
      <c r="V875" s="1"/>
      <c r="W875">
        <v>249604.14430000001</v>
      </c>
      <c r="X875">
        <v>0</v>
      </c>
      <c r="Y875">
        <v>56882</v>
      </c>
    </row>
    <row r="876" spans="1:25" ht="15" hidden="1" customHeight="1" x14ac:dyDescent="0.25">
      <c r="A876" s="1" t="s">
        <v>27</v>
      </c>
      <c r="B876" s="1"/>
      <c r="C876" s="1" t="s">
        <v>140</v>
      </c>
      <c r="D876">
        <v>10209</v>
      </c>
      <c r="E876" s="1"/>
      <c r="F876" s="1" t="s">
        <v>140</v>
      </c>
      <c r="G876" s="1" t="s">
        <v>140</v>
      </c>
      <c r="H876" s="1" t="s">
        <v>1405</v>
      </c>
      <c r="I876">
        <v>2015</v>
      </c>
      <c r="J876" s="93">
        <v>175597</v>
      </c>
      <c r="K876">
        <v>5</v>
      </c>
      <c r="L876" s="1" t="s">
        <v>426</v>
      </c>
      <c r="M876">
        <v>0</v>
      </c>
      <c r="N876">
        <v>1839</v>
      </c>
      <c r="O876">
        <v>59.915174999999998</v>
      </c>
      <c r="P876">
        <v>1</v>
      </c>
      <c r="Q876" s="1" t="s">
        <v>565</v>
      </c>
      <c r="R876" s="93">
        <v>200546</v>
      </c>
      <c r="S876">
        <v>7974.39</v>
      </c>
      <c r="T876">
        <v>0</v>
      </c>
      <c r="U876" s="1" t="s">
        <v>790</v>
      </c>
      <c r="V876" s="1"/>
      <c r="W876">
        <v>110.19</v>
      </c>
      <c r="X876">
        <v>0</v>
      </c>
      <c r="Y876">
        <v>89457</v>
      </c>
    </row>
    <row r="877" spans="1:25" ht="15" hidden="1" customHeight="1" x14ac:dyDescent="0.25">
      <c r="A877" s="1" t="s">
        <v>27</v>
      </c>
      <c r="B877" s="1"/>
      <c r="C877" s="1" t="s">
        <v>140</v>
      </c>
      <c r="D877">
        <v>10209</v>
      </c>
      <c r="E877" s="1"/>
      <c r="F877" s="1" t="s">
        <v>140</v>
      </c>
      <c r="G877" s="1" t="s">
        <v>140</v>
      </c>
      <c r="H877" s="1" t="s">
        <v>1405</v>
      </c>
      <c r="I877">
        <v>2013</v>
      </c>
      <c r="J877" s="93">
        <v>161930</v>
      </c>
      <c r="K877">
        <v>12</v>
      </c>
      <c r="L877" s="1" t="s">
        <v>426</v>
      </c>
      <c r="M877">
        <v>0</v>
      </c>
      <c r="N877">
        <v>1839</v>
      </c>
      <c r="O877">
        <v>88.048501000000002</v>
      </c>
      <c r="P877">
        <v>1</v>
      </c>
      <c r="Q877" s="1" t="s">
        <v>565</v>
      </c>
      <c r="R877" s="93">
        <v>168485.84</v>
      </c>
      <c r="S877">
        <v>10783.09</v>
      </c>
      <c r="T877">
        <v>0</v>
      </c>
      <c r="U877" s="1" t="s">
        <v>790</v>
      </c>
      <c r="V877" s="1"/>
      <c r="W877">
        <v>161.93</v>
      </c>
      <c r="X877">
        <v>0</v>
      </c>
      <c r="Y877">
        <v>89457</v>
      </c>
    </row>
    <row r="878" spans="1:25" ht="15" hidden="1" customHeight="1" x14ac:dyDescent="0.25">
      <c r="A878" s="1" t="s">
        <v>27</v>
      </c>
      <c r="B878" s="1"/>
      <c r="C878" s="1" t="s">
        <v>140</v>
      </c>
      <c r="D878">
        <v>10209</v>
      </c>
      <c r="E878" s="1"/>
      <c r="F878" s="1" t="s">
        <v>140</v>
      </c>
      <c r="G878" s="1" t="s">
        <v>140</v>
      </c>
      <c r="H878" s="1" t="s">
        <v>1405</v>
      </c>
      <c r="I878">
        <v>2012</v>
      </c>
      <c r="J878" s="93">
        <v>181980</v>
      </c>
      <c r="K878">
        <v>12</v>
      </c>
      <c r="L878" s="1" t="s">
        <v>426</v>
      </c>
      <c r="M878">
        <v>0</v>
      </c>
      <c r="N878">
        <v>1839</v>
      </c>
      <c r="O878">
        <v>98.950573000000006</v>
      </c>
      <c r="P878">
        <v>1</v>
      </c>
      <c r="Q878" s="1" t="s">
        <v>565</v>
      </c>
      <c r="R878" s="93">
        <v>190548.8</v>
      </c>
      <c r="S878">
        <v>35251.53</v>
      </c>
      <c r="T878">
        <v>0</v>
      </c>
      <c r="U878" s="1" t="s">
        <v>790</v>
      </c>
      <c r="V878" s="1"/>
      <c r="W878">
        <v>181.98</v>
      </c>
      <c r="X878">
        <v>0</v>
      </c>
      <c r="Y878">
        <v>89457</v>
      </c>
    </row>
    <row r="879" spans="1:25" ht="15" hidden="1" customHeight="1" x14ac:dyDescent="0.25">
      <c r="A879" s="1" t="s">
        <v>27</v>
      </c>
      <c r="B879" s="1"/>
      <c r="C879" s="1" t="s">
        <v>140</v>
      </c>
      <c r="D879">
        <v>10209</v>
      </c>
      <c r="E879" s="1"/>
      <c r="F879" s="1" t="s">
        <v>140</v>
      </c>
      <c r="G879" s="1" t="s">
        <v>140</v>
      </c>
      <c r="H879" s="1" t="s">
        <v>1405</v>
      </c>
      <c r="I879">
        <v>2011</v>
      </c>
      <c r="J879" s="93">
        <v>127660.29</v>
      </c>
      <c r="K879">
        <v>6</v>
      </c>
      <c r="L879" s="1" t="s">
        <v>478</v>
      </c>
      <c r="M879">
        <v>0</v>
      </c>
      <c r="N879">
        <v>1839</v>
      </c>
      <c r="O879">
        <v>69.414545000000004</v>
      </c>
      <c r="P879">
        <v>1</v>
      </c>
      <c r="Q879" s="1" t="s">
        <v>567</v>
      </c>
      <c r="R879" s="93">
        <v>140668.29</v>
      </c>
      <c r="S879">
        <v>17710.05</v>
      </c>
      <c r="T879">
        <v>0</v>
      </c>
      <c r="U879" s="1" t="s">
        <v>787</v>
      </c>
      <c r="V879" s="1"/>
      <c r="W879">
        <v>459.20963</v>
      </c>
      <c r="X879">
        <v>0</v>
      </c>
      <c r="Y879">
        <v>77422</v>
      </c>
    </row>
    <row r="880" spans="1:25" ht="15" hidden="1" customHeight="1" x14ac:dyDescent="0.25">
      <c r="A880" s="1" t="s">
        <v>27</v>
      </c>
      <c r="B880" s="1"/>
      <c r="C880" s="1" t="s">
        <v>140</v>
      </c>
      <c r="D880">
        <v>10209</v>
      </c>
      <c r="E880" s="1"/>
      <c r="F880" s="1" t="s">
        <v>140</v>
      </c>
      <c r="G880" s="1" t="s">
        <v>140</v>
      </c>
      <c r="H880" s="1" t="s">
        <v>1405</v>
      </c>
      <c r="I880">
        <v>2011</v>
      </c>
      <c r="J880" s="93">
        <v>80810.009999999995</v>
      </c>
      <c r="K880">
        <v>6</v>
      </c>
      <c r="L880" s="1" t="s">
        <v>426</v>
      </c>
      <c r="M880">
        <v>0</v>
      </c>
      <c r="N880">
        <v>1839</v>
      </c>
      <c r="O880">
        <v>43.939976000000001</v>
      </c>
      <c r="P880">
        <v>1</v>
      </c>
      <c r="Q880" s="1" t="s">
        <v>565</v>
      </c>
      <c r="R880" s="93">
        <v>91594.53</v>
      </c>
      <c r="S880">
        <v>16944.990000000002</v>
      </c>
      <c r="T880">
        <v>0</v>
      </c>
      <c r="U880" s="1" t="s">
        <v>790</v>
      </c>
      <c r="V880" s="1"/>
      <c r="W880">
        <v>80.810010000000005</v>
      </c>
      <c r="X880">
        <v>0</v>
      </c>
      <c r="Y880">
        <v>89457</v>
      </c>
    </row>
    <row r="881" spans="1:25" ht="15" hidden="1" customHeight="1" x14ac:dyDescent="0.25">
      <c r="A881" s="1" t="s">
        <v>27</v>
      </c>
      <c r="B881" s="1"/>
      <c r="C881" s="1" t="s">
        <v>140</v>
      </c>
      <c r="D881">
        <v>10209</v>
      </c>
      <c r="E881" s="1"/>
      <c r="F881" s="1" t="s">
        <v>140</v>
      </c>
      <c r="G881" s="1" t="s">
        <v>140</v>
      </c>
      <c r="H881" s="1" t="s">
        <v>1405</v>
      </c>
      <c r="I881">
        <v>2010</v>
      </c>
      <c r="J881" s="93">
        <v>215347.6</v>
      </c>
      <c r="K881">
        <v>3</v>
      </c>
      <c r="L881" s="1" t="s">
        <v>478</v>
      </c>
      <c r="M881">
        <v>0</v>
      </c>
      <c r="N881">
        <v>1839</v>
      </c>
      <c r="O881">
        <v>117.094013</v>
      </c>
      <c r="P881">
        <v>1</v>
      </c>
      <c r="Q881" s="1" t="s">
        <v>567</v>
      </c>
      <c r="R881" s="93">
        <v>226106.9</v>
      </c>
      <c r="S881">
        <v>28466.69</v>
      </c>
      <c r="T881">
        <v>0</v>
      </c>
      <c r="U881" s="1" t="s">
        <v>787</v>
      </c>
      <c r="V881" s="1"/>
      <c r="W881">
        <v>774.63163999999995</v>
      </c>
      <c r="X881">
        <v>0</v>
      </c>
      <c r="Y881">
        <v>77422</v>
      </c>
    </row>
    <row r="882" spans="1:25" ht="15" hidden="1" customHeight="1" x14ac:dyDescent="0.25">
      <c r="A882" s="1" t="s">
        <v>27</v>
      </c>
      <c r="B882" s="1"/>
      <c r="C882" s="1" t="s">
        <v>140</v>
      </c>
      <c r="D882">
        <v>10209</v>
      </c>
      <c r="E882" s="1"/>
      <c r="F882" s="1" t="s">
        <v>140</v>
      </c>
      <c r="G882" s="1" t="s">
        <v>140</v>
      </c>
      <c r="H882" s="1" t="s">
        <v>1405</v>
      </c>
      <c r="I882">
        <v>2009</v>
      </c>
      <c r="J882" s="93">
        <v>224651.84</v>
      </c>
      <c r="K882">
        <v>3</v>
      </c>
      <c r="L882" s="1" t="s">
        <v>478</v>
      </c>
      <c r="M882">
        <v>0</v>
      </c>
      <c r="N882">
        <v>1839</v>
      </c>
      <c r="O882">
        <v>122.15313999999999</v>
      </c>
      <c r="P882">
        <v>1</v>
      </c>
      <c r="Q882" s="1" t="s">
        <v>567</v>
      </c>
      <c r="R882" s="93">
        <v>304370.65999999997</v>
      </c>
      <c r="S882">
        <v>38320.050000000003</v>
      </c>
      <c r="T882">
        <v>0</v>
      </c>
      <c r="U882" s="1" t="s">
        <v>787</v>
      </c>
      <c r="V882" s="1"/>
      <c r="W882">
        <v>808.1001</v>
      </c>
      <c r="X882">
        <v>0</v>
      </c>
      <c r="Y882">
        <v>77422</v>
      </c>
    </row>
    <row r="883" spans="1:25" ht="15" hidden="1" customHeight="1" x14ac:dyDescent="0.25">
      <c r="A883" s="1" t="s">
        <v>27</v>
      </c>
      <c r="B883" s="1"/>
      <c r="C883" s="1" t="s">
        <v>140</v>
      </c>
      <c r="D883">
        <v>10209</v>
      </c>
      <c r="E883" s="1"/>
      <c r="F883" s="1" t="s">
        <v>140</v>
      </c>
      <c r="G883" s="1" t="s">
        <v>140</v>
      </c>
      <c r="H883" s="1" t="s">
        <v>1405</v>
      </c>
      <c r="I883">
        <v>2008</v>
      </c>
      <c r="J883" s="93">
        <v>155031.79</v>
      </c>
      <c r="K883">
        <v>8</v>
      </c>
      <c r="L883" s="1" t="s">
        <v>478</v>
      </c>
      <c r="M883">
        <v>0</v>
      </c>
      <c r="N883">
        <v>1839</v>
      </c>
      <c r="O883">
        <v>84.297640000000001</v>
      </c>
      <c r="P883">
        <v>1</v>
      </c>
      <c r="Q883" s="1" t="s">
        <v>567</v>
      </c>
      <c r="R883" s="93">
        <v>177440.8</v>
      </c>
      <c r="S883">
        <v>22339.67</v>
      </c>
      <c r="T883">
        <v>0</v>
      </c>
      <c r="U883" s="1" t="s">
        <v>787</v>
      </c>
      <c r="V883" s="1"/>
      <c r="W883">
        <v>557.66831000000002</v>
      </c>
      <c r="X883">
        <v>0</v>
      </c>
      <c r="Y883">
        <v>77422</v>
      </c>
    </row>
    <row r="884" spans="1:25" ht="15" hidden="1" customHeight="1" x14ac:dyDescent="0.25">
      <c r="A884" s="1" t="s">
        <v>27</v>
      </c>
      <c r="B884" s="1" t="s">
        <v>56</v>
      </c>
      <c r="C884" s="1" t="s">
        <v>123</v>
      </c>
      <c r="D884">
        <v>5264</v>
      </c>
      <c r="E884" s="1"/>
      <c r="F884" s="1" t="s">
        <v>123</v>
      </c>
      <c r="G884" s="1" t="s">
        <v>123</v>
      </c>
      <c r="H884" s="1" t="s">
        <v>1405</v>
      </c>
      <c r="I884">
        <v>2014</v>
      </c>
      <c r="J884" s="93">
        <v>270.54000000000002</v>
      </c>
      <c r="K884">
        <v>12</v>
      </c>
      <c r="L884" s="1" t="s">
        <v>402</v>
      </c>
      <c r="M884">
        <v>0</v>
      </c>
      <c r="N884">
        <v>333</v>
      </c>
      <c r="O884">
        <v>0.81218800000000002</v>
      </c>
      <c r="P884">
        <v>3</v>
      </c>
      <c r="Q884" s="1" t="s">
        <v>560</v>
      </c>
      <c r="R884" s="93">
        <v>270.54000000000002</v>
      </c>
      <c r="S884">
        <v>216.43</v>
      </c>
      <c r="T884">
        <v>0</v>
      </c>
      <c r="U884" s="1" t="s">
        <v>597</v>
      </c>
      <c r="V884" s="1"/>
      <c r="W884">
        <v>270.54399999999998</v>
      </c>
      <c r="X884">
        <v>0</v>
      </c>
      <c r="Y884">
        <v>56769</v>
      </c>
    </row>
    <row r="885" spans="1:25" ht="15" hidden="1" customHeight="1" x14ac:dyDescent="0.25">
      <c r="A885" s="1" t="s">
        <v>27</v>
      </c>
      <c r="B885" s="1" t="s">
        <v>56</v>
      </c>
      <c r="C885" s="1" t="s">
        <v>123</v>
      </c>
      <c r="D885">
        <v>5264</v>
      </c>
      <c r="E885" s="1"/>
      <c r="F885" s="1" t="s">
        <v>123</v>
      </c>
      <c r="G885" s="1" t="s">
        <v>123</v>
      </c>
      <c r="H885" s="1" t="s">
        <v>1405</v>
      </c>
      <c r="I885">
        <v>2014</v>
      </c>
      <c r="J885" s="93">
        <v>49544</v>
      </c>
      <c r="K885">
        <v>12</v>
      </c>
      <c r="L885" s="1" t="s">
        <v>402</v>
      </c>
      <c r="M885">
        <v>0</v>
      </c>
      <c r="N885">
        <v>333</v>
      </c>
      <c r="O885">
        <v>148.73611500000001</v>
      </c>
      <c r="P885">
        <v>1</v>
      </c>
      <c r="Q885" s="1" t="s">
        <v>562</v>
      </c>
      <c r="R885" s="93">
        <v>59249.89</v>
      </c>
      <c r="S885">
        <v>4338618.8499999996</v>
      </c>
      <c r="T885">
        <v>0</v>
      </c>
      <c r="U885" s="1" t="s">
        <v>775</v>
      </c>
      <c r="V885" s="1"/>
      <c r="W885">
        <v>49544</v>
      </c>
      <c r="X885">
        <v>0</v>
      </c>
      <c r="Y885">
        <v>56768</v>
      </c>
    </row>
    <row r="886" spans="1:25" ht="15" hidden="1" customHeight="1" x14ac:dyDescent="0.25">
      <c r="A886" s="1" t="s">
        <v>27</v>
      </c>
      <c r="B886" s="1" t="s">
        <v>56</v>
      </c>
      <c r="C886" s="1" t="s">
        <v>123</v>
      </c>
      <c r="D886">
        <v>5264</v>
      </c>
      <c r="E886" s="1"/>
      <c r="F886" s="1" t="s">
        <v>123</v>
      </c>
      <c r="G886" s="1" t="s">
        <v>123</v>
      </c>
      <c r="H886" s="1" t="s">
        <v>1405</v>
      </c>
      <c r="I886">
        <v>2014</v>
      </c>
      <c r="J886" s="93">
        <v>10719.77</v>
      </c>
      <c r="K886">
        <v>12</v>
      </c>
      <c r="L886" s="1" t="s">
        <v>402</v>
      </c>
      <c r="M886">
        <v>0</v>
      </c>
      <c r="N886">
        <v>333</v>
      </c>
      <c r="O886">
        <v>32.181837000000002</v>
      </c>
      <c r="P886">
        <v>2</v>
      </c>
      <c r="Q886" s="1" t="s">
        <v>569</v>
      </c>
      <c r="R886" s="93">
        <v>10719.77</v>
      </c>
      <c r="S886">
        <v>4287.8999999999996</v>
      </c>
      <c r="T886">
        <v>0</v>
      </c>
      <c r="U886" s="1" t="s">
        <v>969</v>
      </c>
      <c r="V886" s="1" t="s">
        <v>1258</v>
      </c>
      <c r="W886">
        <v>10719.773999999999</v>
      </c>
      <c r="X886">
        <v>0</v>
      </c>
      <c r="Y886">
        <v>60150</v>
      </c>
    </row>
    <row r="887" spans="1:25" ht="15" hidden="1" customHeight="1" x14ac:dyDescent="0.25">
      <c r="A887" s="1" t="s">
        <v>27</v>
      </c>
      <c r="B887" s="1" t="s">
        <v>56</v>
      </c>
      <c r="C887" s="1" t="s">
        <v>123</v>
      </c>
      <c r="D887">
        <v>5264</v>
      </c>
      <c r="E887" s="1"/>
      <c r="F887" s="1" t="s">
        <v>123</v>
      </c>
      <c r="G887" s="1" t="s">
        <v>123</v>
      </c>
      <c r="H887" s="1" t="s">
        <v>1396</v>
      </c>
      <c r="I887">
        <v>2014</v>
      </c>
      <c r="J887" s="93">
        <v>35422.06</v>
      </c>
      <c r="K887">
        <v>12</v>
      </c>
      <c r="L887" s="1" t="s">
        <v>402</v>
      </c>
      <c r="M887">
        <v>0</v>
      </c>
      <c r="N887">
        <v>333</v>
      </c>
      <c r="O887">
        <v>106.34061800000001</v>
      </c>
      <c r="P887">
        <v>1</v>
      </c>
      <c r="Q887" s="1" t="s">
        <v>563</v>
      </c>
      <c r="R887" s="93">
        <v>42096.15</v>
      </c>
      <c r="S887">
        <v>90690.03</v>
      </c>
      <c r="T887">
        <v>1</v>
      </c>
      <c r="U887" s="1" t="s">
        <v>775</v>
      </c>
      <c r="V887" s="1"/>
      <c r="W887">
        <v>1015.25</v>
      </c>
      <c r="X887">
        <v>0</v>
      </c>
      <c r="Y887">
        <v>56998</v>
      </c>
    </row>
    <row r="888" spans="1:25" ht="15" hidden="1" customHeight="1" x14ac:dyDescent="0.25">
      <c r="A888" s="1" t="s">
        <v>27</v>
      </c>
      <c r="B888" s="1" t="s">
        <v>49</v>
      </c>
      <c r="C888" s="1" t="s">
        <v>111</v>
      </c>
      <c r="D888">
        <v>5251</v>
      </c>
      <c r="E888" s="1"/>
      <c r="F888" s="1" t="s">
        <v>257</v>
      </c>
      <c r="G888" s="1" t="s">
        <v>257</v>
      </c>
      <c r="H888" s="1" t="s">
        <v>1405</v>
      </c>
      <c r="I888">
        <v>2014</v>
      </c>
      <c r="J888" s="93">
        <v>26364.34</v>
      </c>
      <c r="K888">
        <v>2</v>
      </c>
      <c r="L888" s="1" t="s">
        <v>467</v>
      </c>
      <c r="M888">
        <v>0</v>
      </c>
      <c r="N888">
        <v>375</v>
      </c>
      <c r="O888">
        <v>70.286163000000002</v>
      </c>
      <c r="P888">
        <v>1</v>
      </c>
      <c r="Q888" s="1" t="s">
        <v>564</v>
      </c>
      <c r="R888" s="93">
        <v>31128.28</v>
      </c>
      <c r="S888">
        <v>6583.05</v>
      </c>
      <c r="T888">
        <v>1</v>
      </c>
      <c r="U888" s="1" t="s">
        <v>764</v>
      </c>
      <c r="V888" s="1"/>
      <c r="W888">
        <v>2441.1428599999999</v>
      </c>
      <c r="X888">
        <v>0</v>
      </c>
      <c r="Y888">
        <v>94892</v>
      </c>
    </row>
    <row r="889" spans="1:25" ht="15" hidden="1" customHeight="1" x14ac:dyDescent="0.25">
      <c r="A889" s="1" t="s">
        <v>27</v>
      </c>
      <c r="B889" s="1"/>
      <c r="C889" s="1" t="s">
        <v>124</v>
      </c>
      <c r="D889">
        <v>9957</v>
      </c>
      <c r="E889" s="1"/>
      <c r="F889" s="1" t="s">
        <v>265</v>
      </c>
      <c r="G889" s="1" t="s">
        <v>124</v>
      </c>
      <c r="H889" s="1" t="s">
        <v>1405</v>
      </c>
      <c r="I889">
        <v>2014</v>
      </c>
      <c r="J889" s="93">
        <v>406.2</v>
      </c>
      <c r="K889">
        <v>12</v>
      </c>
      <c r="L889" s="1" t="s">
        <v>399</v>
      </c>
      <c r="M889">
        <v>0</v>
      </c>
      <c r="N889">
        <v>646</v>
      </c>
      <c r="O889">
        <v>0.628695</v>
      </c>
      <c r="P889">
        <v>3</v>
      </c>
      <c r="Q889" s="1" t="s">
        <v>560</v>
      </c>
      <c r="R889" s="93">
        <v>406.2</v>
      </c>
      <c r="S889">
        <v>324.95999999999998</v>
      </c>
      <c r="T889">
        <v>0</v>
      </c>
      <c r="U889" s="1"/>
      <c r="V889" s="1"/>
      <c r="W889">
        <v>406.2</v>
      </c>
      <c r="X889">
        <v>0</v>
      </c>
      <c r="Y889">
        <v>76342</v>
      </c>
    </row>
    <row r="890" spans="1:25" ht="15" hidden="1" customHeight="1" x14ac:dyDescent="0.25">
      <c r="A890" s="1" t="s">
        <v>27</v>
      </c>
      <c r="B890" s="1"/>
      <c r="C890" s="1" t="s">
        <v>124</v>
      </c>
      <c r="D890">
        <v>9957</v>
      </c>
      <c r="E890" s="1"/>
      <c r="F890" s="1" t="s">
        <v>265</v>
      </c>
      <c r="G890" s="1" t="s">
        <v>124</v>
      </c>
      <c r="H890" s="1" t="s">
        <v>1405</v>
      </c>
      <c r="I890">
        <v>2014</v>
      </c>
      <c r="J890" s="93">
        <v>20145.169999999998</v>
      </c>
      <c r="K890">
        <v>12</v>
      </c>
      <c r="L890" s="1" t="s">
        <v>399</v>
      </c>
      <c r="M890">
        <v>0</v>
      </c>
      <c r="N890">
        <v>646</v>
      </c>
      <c r="O890">
        <v>31.179646999999999</v>
      </c>
      <c r="P890">
        <v>2</v>
      </c>
      <c r="Q890" s="1" t="s">
        <v>569</v>
      </c>
      <c r="R890" s="93">
        <v>20145.169999999998</v>
      </c>
      <c r="S890">
        <v>6043.54</v>
      </c>
      <c r="T890">
        <v>0</v>
      </c>
      <c r="U890" s="1" t="s">
        <v>970</v>
      </c>
      <c r="V890" s="1" t="s">
        <v>1259</v>
      </c>
      <c r="W890">
        <v>20145.173999999999</v>
      </c>
      <c r="X890">
        <v>0</v>
      </c>
      <c r="Y890">
        <v>76341</v>
      </c>
    </row>
    <row r="891" spans="1:25" ht="15" hidden="1" customHeight="1" x14ac:dyDescent="0.25">
      <c r="A891" s="1" t="s">
        <v>27</v>
      </c>
      <c r="B891" s="1" t="s">
        <v>57</v>
      </c>
      <c r="C891" s="1" t="s">
        <v>125</v>
      </c>
      <c r="D891">
        <v>5269</v>
      </c>
      <c r="E891" s="1"/>
      <c r="F891" s="1" t="s">
        <v>266</v>
      </c>
      <c r="G891" s="1" t="s">
        <v>266</v>
      </c>
      <c r="H891" s="1" t="s">
        <v>1396</v>
      </c>
      <c r="I891">
        <v>2014</v>
      </c>
      <c r="J891" s="93">
        <v>43570.3</v>
      </c>
      <c r="K891">
        <v>12</v>
      </c>
      <c r="L891" s="1" t="s">
        <v>393</v>
      </c>
      <c r="M891">
        <v>0</v>
      </c>
      <c r="N891">
        <v>607</v>
      </c>
      <c r="O891">
        <v>71.767912999999993</v>
      </c>
      <c r="P891">
        <v>1</v>
      </c>
      <c r="Q891" s="1" t="s">
        <v>563</v>
      </c>
      <c r="R891" s="93">
        <v>51346.45</v>
      </c>
      <c r="S891">
        <v>101376.3</v>
      </c>
      <c r="T891">
        <v>1</v>
      </c>
      <c r="U891" s="1" t="s">
        <v>777</v>
      </c>
      <c r="V891" s="1"/>
      <c r="W891">
        <v>1248.79</v>
      </c>
      <c r="X891">
        <v>0</v>
      </c>
      <c r="Y891">
        <v>57001</v>
      </c>
    </row>
    <row r="892" spans="1:25" ht="15" hidden="1" customHeight="1" x14ac:dyDescent="0.25">
      <c r="A892" s="1" t="s">
        <v>27</v>
      </c>
      <c r="B892" s="1" t="s">
        <v>57</v>
      </c>
      <c r="C892" s="1" t="s">
        <v>125</v>
      </c>
      <c r="D892">
        <v>5269</v>
      </c>
      <c r="E892" s="1"/>
      <c r="F892" s="1" t="s">
        <v>266</v>
      </c>
      <c r="G892" s="1" t="s">
        <v>266</v>
      </c>
      <c r="H892" s="1" t="s">
        <v>1405</v>
      </c>
      <c r="I892">
        <v>2014</v>
      </c>
      <c r="J892" s="93">
        <v>322.22000000000003</v>
      </c>
      <c r="K892">
        <v>12</v>
      </c>
      <c r="L892" s="1" t="s">
        <v>393</v>
      </c>
      <c r="M892">
        <v>0</v>
      </c>
      <c r="N892">
        <v>607</v>
      </c>
      <c r="O892">
        <v>0.530752</v>
      </c>
      <c r="P892">
        <v>3</v>
      </c>
      <c r="Q892" s="1" t="s">
        <v>560</v>
      </c>
      <c r="R892" s="93">
        <v>322.22000000000003</v>
      </c>
      <c r="S892">
        <v>257.79000000000002</v>
      </c>
      <c r="T892">
        <v>0</v>
      </c>
      <c r="U892" s="1" t="s">
        <v>598</v>
      </c>
      <c r="V892" s="1"/>
      <c r="W892">
        <v>322.22800000000001</v>
      </c>
      <c r="X892">
        <v>0</v>
      </c>
      <c r="Y892">
        <v>56820</v>
      </c>
    </row>
    <row r="893" spans="1:25" ht="15" hidden="1" customHeight="1" x14ac:dyDescent="0.25">
      <c r="A893" s="1" t="s">
        <v>27</v>
      </c>
      <c r="B893" s="1" t="s">
        <v>57</v>
      </c>
      <c r="C893" s="1" t="s">
        <v>125</v>
      </c>
      <c r="D893">
        <v>5269</v>
      </c>
      <c r="E893" s="1"/>
      <c r="F893" s="1" t="s">
        <v>266</v>
      </c>
      <c r="G893" s="1" t="s">
        <v>266</v>
      </c>
      <c r="H893" s="1" t="s">
        <v>1405</v>
      </c>
      <c r="I893">
        <v>2014</v>
      </c>
      <c r="J893" s="93">
        <v>56577</v>
      </c>
      <c r="K893">
        <v>12</v>
      </c>
      <c r="L893" s="1" t="s">
        <v>393</v>
      </c>
      <c r="M893">
        <v>0</v>
      </c>
      <c r="N893">
        <v>607</v>
      </c>
      <c r="O893">
        <v>93.192224999999993</v>
      </c>
      <c r="P893">
        <v>1</v>
      </c>
      <c r="Q893" s="1" t="s">
        <v>562</v>
      </c>
      <c r="R893" s="93">
        <v>67100.22</v>
      </c>
      <c r="S893">
        <v>4388782.84</v>
      </c>
      <c r="T893">
        <v>0</v>
      </c>
      <c r="U893" s="1" t="s">
        <v>777</v>
      </c>
      <c r="V893" s="1"/>
      <c r="W893">
        <v>56577</v>
      </c>
      <c r="X893">
        <v>0</v>
      </c>
      <c r="Y893">
        <v>56816</v>
      </c>
    </row>
    <row r="894" spans="1:25" ht="15" hidden="1" customHeight="1" x14ac:dyDescent="0.25">
      <c r="A894" s="1" t="s">
        <v>27</v>
      </c>
      <c r="B894" s="1" t="s">
        <v>57</v>
      </c>
      <c r="C894" s="1" t="s">
        <v>125</v>
      </c>
      <c r="D894">
        <v>5269</v>
      </c>
      <c r="E894" s="1"/>
      <c r="F894" s="1" t="s">
        <v>266</v>
      </c>
      <c r="G894" s="1" t="s">
        <v>266</v>
      </c>
      <c r="H894" s="1" t="s">
        <v>1405</v>
      </c>
      <c r="I894">
        <v>2014</v>
      </c>
      <c r="J894" s="93">
        <v>26746.46</v>
      </c>
      <c r="K894">
        <v>12</v>
      </c>
      <c r="L894" s="1" t="s">
        <v>423</v>
      </c>
      <c r="M894">
        <v>0</v>
      </c>
      <c r="N894">
        <v>607</v>
      </c>
      <c r="O894">
        <v>44.056102000000003</v>
      </c>
      <c r="P894">
        <v>2</v>
      </c>
      <c r="Q894" s="1" t="s">
        <v>569</v>
      </c>
      <c r="R894" s="93">
        <v>26746.46</v>
      </c>
      <c r="S894">
        <v>10698.6</v>
      </c>
      <c r="T894">
        <v>0</v>
      </c>
      <c r="U894" s="1" t="s">
        <v>971</v>
      </c>
      <c r="V894" s="1" t="s">
        <v>1260</v>
      </c>
      <c r="W894">
        <v>26746.46</v>
      </c>
      <c r="X894">
        <v>0</v>
      </c>
      <c r="Y894">
        <v>56815</v>
      </c>
    </row>
    <row r="895" spans="1:25" ht="15" hidden="1" customHeight="1" x14ac:dyDescent="0.25">
      <c r="A895" s="1" t="s">
        <v>32</v>
      </c>
      <c r="B895" s="1" t="s">
        <v>69</v>
      </c>
      <c r="C895" s="1" t="s">
        <v>166</v>
      </c>
      <c r="D895">
        <v>13664</v>
      </c>
      <c r="E895" s="1" t="s">
        <v>243</v>
      </c>
      <c r="F895" s="1" t="s">
        <v>298</v>
      </c>
      <c r="G895" s="1" t="s">
        <v>166</v>
      </c>
      <c r="H895" s="1" t="s">
        <v>1405</v>
      </c>
      <c r="I895">
        <v>2014</v>
      </c>
      <c r="J895" s="93">
        <v>26814.15</v>
      </c>
      <c r="K895">
        <v>12</v>
      </c>
      <c r="L895" s="1" t="s">
        <v>422</v>
      </c>
      <c r="M895">
        <v>0</v>
      </c>
      <c r="N895">
        <v>138</v>
      </c>
      <c r="O895">
        <v>194.16473500000001</v>
      </c>
      <c r="P895">
        <v>1</v>
      </c>
      <c r="Q895" s="1" t="s">
        <v>566</v>
      </c>
      <c r="R895" s="93">
        <v>32284.05</v>
      </c>
      <c r="S895">
        <v>6583.66</v>
      </c>
      <c r="T895">
        <v>0</v>
      </c>
      <c r="U895" s="1" t="s">
        <v>822</v>
      </c>
      <c r="V895" s="1" t="s">
        <v>1211</v>
      </c>
      <c r="W895">
        <v>2394.1200199999998</v>
      </c>
      <c r="X895">
        <v>0</v>
      </c>
      <c r="Y895">
        <v>92671</v>
      </c>
    </row>
    <row r="896" spans="1:25" ht="15" hidden="1" customHeight="1" x14ac:dyDescent="0.25">
      <c r="A896" s="1" t="s">
        <v>27</v>
      </c>
      <c r="B896" s="1"/>
      <c r="C896" s="1" t="s">
        <v>126</v>
      </c>
      <c r="D896">
        <v>10017</v>
      </c>
      <c r="E896" s="1"/>
      <c r="F896" s="1" t="s">
        <v>267</v>
      </c>
      <c r="G896" s="1" t="s">
        <v>267</v>
      </c>
      <c r="H896" s="1" t="s">
        <v>1405</v>
      </c>
      <c r="I896">
        <v>2014</v>
      </c>
      <c r="J896" s="93">
        <v>487.5</v>
      </c>
      <c r="K896">
        <v>12</v>
      </c>
      <c r="L896" s="1" t="s">
        <v>405</v>
      </c>
      <c r="M896">
        <v>0</v>
      </c>
      <c r="N896">
        <v>602</v>
      </c>
      <c r="O896">
        <v>0.809666</v>
      </c>
      <c r="P896">
        <v>3</v>
      </c>
      <c r="Q896" s="1" t="s">
        <v>560</v>
      </c>
      <c r="R896" s="93">
        <v>487.5</v>
      </c>
      <c r="S896">
        <v>390</v>
      </c>
      <c r="T896">
        <v>0</v>
      </c>
      <c r="U896" s="1"/>
      <c r="V896" s="1"/>
      <c r="W896">
        <v>487.5</v>
      </c>
      <c r="X896">
        <v>0</v>
      </c>
      <c r="Y896">
        <v>76520</v>
      </c>
    </row>
    <row r="897" spans="1:25" ht="15" hidden="1" customHeight="1" x14ac:dyDescent="0.25">
      <c r="A897" s="1" t="s">
        <v>27</v>
      </c>
      <c r="B897" s="1"/>
      <c r="C897" s="1" t="s">
        <v>126</v>
      </c>
      <c r="D897">
        <v>10017</v>
      </c>
      <c r="E897" s="1"/>
      <c r="F897" s="1" t="s">
        <v>267</v>
      </c>
      <c r="G897" s="1" t="s">
        <v>267</v>
      </c>
      <c r="H897" s="1" t="s">
        <v>1405</v>
      </c>
      <c r="I897">
        <v>2014</v>
      </c>
      <c r="J897" s="93">
        <v>11747.22</v>
      </c>
      <c r="K897">
        <v>12</v>
      </c>
      <c r="L897" s="1"/>
      <c r="M897">
        <v>0</v>
      </c>
      <c r="N897">
        <v>602</v>
      </c>
      <c r="O897">
        <v>19.510413</v>
      </c>
      <c r="P897">
        <v>2</v>
      </c>
      <c r="Q897" s="1" t="s">
        <v>569</v>
      </c>
      <c r="R897" s="93">
        <v>11747.22</v>
      </c>
      <c r="S897">
        <v>3524.17</v>
      </c>
      <c r="T897">
        <v>0</v>
      </c>
      <c r="U897" s="1" t="s">
        <v>972</v>
      </c>
      <c r="V897" s="1" t="s">
        <v>1261</v>
      </c>
      <c r="W897">
        <v>11747.22</v>
      </c>
      <c r="X897">
        <v>0</v>
      </c>
      <c r="Y897">
        <v>90612</v>
      </c>
    </row>
    <row r="898" spans="1:25" ht="15" hidden="1" customHeight="1" x14ac:dyDescent="0.25">
      <c r="A898" s="1" t="s">
        <v>27</v>
      </c>
      <c r="B898" s="1"/>
      <c r="C898" s="1" t="s">
        <v>127</v>
      </c>
      <c r="D898">
        <v>10164</v>
      </c>
      <c r="E898" s="1"/>
      <c r="F898" s="1" t="s">
        <v>127</v>
      </c>
      <c r="G898" s="1" t="s">
        <v>127</v>
      </c>
      <c r="H898" s="1" t="s">
        <v>1405</v>
      </c>
      <c r="I898">
        <v>2014</v>
      </c>
      <c r="J898" s="93">
        <v>171.5</v>
      </c>
      <c r="K898">
        <v>12</v>
      </c>
      <c r="L898" s="1" t="s">
        <v>405</v>
      </c>
      <c r="M898">
        <v>0</v>
      </c>
      <c r="N898">
        <v>219</v>
      </c>
      <c r="O898">
        <v>0.78274699999999997</v>
      </c>
      <c r="P898">
        <v>3</v>
      </c>
      <c r="Q898" s="1" t="s">
        <v>560</v>
      </c>
      <c r="R898" s="93">
        <v>171.5</v>
      </c>
      <c r="S898">
        <v>137.19999999999999</v>
      </c>
      <c r="T898">
        <v>0</v>
      </c>
      <c r="U898" s="1"/>
      <c r="V898" s="1"/>
      <c r="W898">
        <v>171.5</v>
      </c>
      <c r="X898">
        <v>0</v>
      </c>
      <c r="Y898">
        <v>77154</v>
      </c>
    </row>
    <row r="899" spans="1:25" ht="15" hidden="1" customHeight="1" x14ac:dyDescent="0.25">
      <c r="A899" s="1" t="s">
        <v>27</v>
      </c>
      <c r="B899" s="1"/>
      <c r="C899" s="1" t="s">
        <v>127</v>
      </c>
      <c r="D899">
        <v>10164</v>
      </c>
      <c r="E899" s="1"/>
      <c r="F899" s="1" t="s">
        <v>127</v>
      </c>
      <c r="G899" s="1" t="s">
        <v>127</v>
      </c>
      <c r="H899" s="1" t="s">
        <v>1405</v>
      </c>
      <c r="I899">
        <v>2014</v>
      </c>
      <c r="J899" s="93">
        <f>29415.41+1300</f>
        <v>30715.41</v>
      </c>
      <c r="K899">
        <v>11</v>
      </c>
      <c r="L899" s="1" t="s">
        <v>517</v>
      </c>
      <c r="M899">
        <v>0</v>
      </c>
      <c r="N899">
        <v>219</v>
      </c>
      <c r="O899">
        <v>134.25563600000001</v>
      </c>
      <c r="P899">
        <v>2</v>
      </c>
      <c r="Q899" s="1" t="s">
        <v>569</v>
      </c>
      <c r="R899" s="93">
        <f>29415.41+1300</f>
        <v>30715.41</v>
      </c>
      <c r="S899">
        <v>8824.6200000000008</v>
      </c>
      <c r="T899">
        <v>0</v>
      </c>
      <c r="U899" s="1" t="s">
        <v>974</v>
      </c>
      <c r="V899" s="1" t="s">
        <v>1262</v>
      </c>
      <c r="W899">
        <v>29415.413</v>
      </c>
      <c r="X899">
        <v>0</v>
      </c>
      <c r="Y899">
        <v>77153</v>
      </c>
    </row>
    <row r="900" spans="1:25" ht="15" hidden="1" customHeight="1" x14ac:dyDescent="0.25">
      <c r="A900" s="1" t="s">
        <v>35</v>
      </c>
      <c r="B900" s="1" t="s">
        <v>73</v>
      </c>
      <c r="C900" s="1" t="s">
        <v>174</v>
      </c>
      <c r="D900">
        <v>14495</v>
      </c>
      <c r="E900" s="1" t="s">
        <v>243</v>
      </c>
      <c r="F900" s="1" t="s">
        <v>313</v>
      </c>
      <c r="G900" s="1" t="s">
        <v>174</v>
      </c>
      <c r="H900" s="1" t="s">
        <v>1405</v>
      </c>
      <c r="I900">
        <v>2014</v>
      </c>
      <c r="J900" s="93">
        <v>29030</v>
      </c>
      <c r="K900">
        <v>2</v>
      </c>
      <c r="L900" s="1" t="s">
        <v>489</v>
      </c>
      <c r="M900">
        <v>0</v>
      </c>
      <c r="N900">
        <v>878</v>
      </c>
      <c r="O900">
        <v>33.060015</v>
      </c>
      <c r="P900">
        <v>1</v>
      </c>
      <c r="Q900" s="1" t="s">
        <v>564</v>
      </c>
      <c r="R900" s="93">
        <v>34334.26</v>
      </c>
      <c r="S900">
        <v>7261.06</v>
      </c>
      <c r="T900">
        <v>0</v>
      </c>
      <c r="U900" s="1" t="s">
        <v>840</v>
      </c>
      <c r="V900" s="1"/>
      <c r="W900">
        <v>2687.9629500000001</v>
      </c>
      <c r="X900">
        <v>0</v>
      </c>
      <c r="Y900">
        <v>94939</v>
      </c>
    </row>
    <row r="901" spans="1:25" ht="15" hidden="1" customHeight="1" x14ac:dyDescent="0.25">
      <c r="A901" s="1" t="s">
        <v>35</v>
      </c>
      <c r="B901" s="1" t="s">
        <v>75</v>
      </c>
      <c r="C901" s="1" t="s">
        <v>179</v>
      </c>
      <c r="D901">
        <v>5261</v>
      </c>
      <c r="E901" s="1"/>
      <c r="F901" s="1" t="s">
        <v>309</v>
      </c>
      <c r="G901" s="1" t="s">
        <v>179</v>
      </c>
      <c r="H901" s="1" t="s">
        <v>1405</v>
      </c>
      <c r="I901">
        <v>2014</v>
      </c>
      <c r="J901" s="93">
        <v>34795.86</v>
      </c>
      <c r="K901">
        <v>12</v>
      </c>
      <c r="L901" s="1" t="s">
        <v>402</v>
      </c>
      <c r="M901">
        <v>0</v>
      </c>
      <c r="N901">
        <v>309</v>
      </c>
      <c r="O901">
        <v>112.57153</v>
      </c>
      <c r="P901">
        <v>1</v>
      </c>
      <c r="Q901" s="1" t="s">
        <v>564</v>
      </c>
      <c r="R901" s="93">
        <v>40475.97</v>
      </c>
      <c r="S901">
        <v>8559.92</v>
      </c>
      <c r="T901">
        <v>0</v>
      </c>
      <c r="U901" s="1" t="s">
        <v>835</v>
      </c>
      <c r="V901" s="1" t="s">
        <v>1215</v>
      </c>
      <c r="W901">
        <v>3221.84</v>
      </c>
      <c r="X901">
        <v>0</v>
      </c>
      <c r="Y901">
        <v>56735</v>
      </c>
    </row>
    <row r="902" spans="1:25" ht="15" hidden="1" customHeight="1" x14ac:dyDescent="0.25">
      <c r="A902" s="1" t="s">
        <v>27</v>
      </c>
      <c r="B902" s="1"/>
      <c r="C902" s="1" t="s">
        <v>128</v>
      </c>
      <c r="D902">
        <v>10169</v>
      </c>
      <c r="E902" s="1"/>
      <c r="F902" s="1" t="s">
        <v>268</v>
      </c>
      <c r="G902" s="1" t="s">
        <v>268</v>
      </c>
      <c r="H902" s="1" t="s">
        <v>1405</v>
      </c>
      <c r="I902">
        <v>2014</v>
      </c>
      <c r="J902" s="93">
        <v>384.4</v>
      </c>
      <c r="K902">
        <v>12</v>
      </c>
      <c r="L902" s="1" t="s">
        <v>405</v>
      </c>
      <c r="M902">
        <v>0</v>
      </c>
      <c r="N902">
        <v>721</v>
      </c>
      <c r="O902">
        <v>0.53307400000000005</v>
      </c>
      <c r="P902">
        <v>3</v>
      </c>
      <c r="Q902" s="1" t="s">
        <v>560</v>
      </c>
      <c r="R902" s="93">
        <v>384.4</v>
      </c>
      <c r="S902">
        <v>307.52</v>
      </c>
      <c r="T902">
        <v>0</v>
      </c>
      <c r="U902" s="1" t="s">
        <v>599</v>
      </c>
      <c r="V902" s="1"/>
      <c r="W902">
        <v>384.4</v>
      </c>
      <c r="X902">
        <v>0</v>
      </c>
      <c r="Y902">
        <v>77181</v>
      </c>
    </row>
    <row r="903" spans="1:25" ht="15" hidden="1" customHeight="1" x14ac:dyDescent="0.25">
      <c r="A903" s="1" t="s">
        <v>27</v>
      </c>
      <c r="B903" s="1"/>
      <c r="C903" s="1" t="s">
        <v>128</v>
      </c>
      <c r="D903">
        <v>10169</v>
      </c>
      <c r="E903" s="1"/>
      <c r="F903" s="1" t="s">
        <v>268</v>
      </c>
      <c r="G903" s="1" t="s">
        <v>268</v>
      </c>
      <c r="H903" s="1" t="s">
        <v>1405</v>
      </c>
      <c r="I903">
        <v>2014</v>
      </c>
      <c r="J903" s="93">
        <v>13310.79</v>
      </c>
      <c r="K903">
        <v>12</v>
      </c>
      <c r="L903" s="1" t="s">
        <v>403</v>
      </c>
      <c r="M903">
        <v>0</v>
      </c>
      <c r="N903">
        <v>721</v>
      </c>
      <c r="O903">
        <v>18.459007</v>
      </c>
      <c r="P903">
        <v>2</v>
      </c>
      <c r="Q903" s="1" t="s">
        <v>569</v>
      </c>
      <c r="R903" s="93">
        <v>13310.79</v>
      </c>
      <c r="S903">
        <v>3993.25</v>
      </c>
      <c r="T903">
        <v>0</v>
      </c>
      <c r="U903" s="1" t="s">
        <v>975</v>
      </c>
      <c r="V903" s="1" t="s">
        <v>1263</v>
      </c>
      <c r="W903">
        <v>13310.796</v>
      </c>
      <c r="X903">
        <v>0</v>
      </c>
      <c r="Y903">
        <v>77180</v>
      </c>
    </row>
    <row r="904" spans="1:25" ht="15" hidden="1" customHeight="1" x14ac:dyDescent="0.25">
      <c r="A904" s="1" t="s">
        <v>27</v>
      </c>
      <c r="B904" s="1"/>
      <c r="C904" s="1" t="s">
        <v>233</v>
      </c>
      <c r="D904">
        <v>5949</v>
      </c>
      <c r="E904" s="1"/>
      <c r="F904" s="1" t="s">
        <v>374</v>
      </c>
      <c r="G904" s="1" t="s">
        <v>233</v>
      </c>
      <c r="H904" s="1" t="s">
        <v>1405</v>
      </c>
      <c r="I904">
        <v>2014</v>
      </c>
      <c r="J904" s="93">
        <v>31587.33</v>
      </c>
      <c r="K904">
        <v>12</v>
      </c>
      <c r="L904" s="1"/>
      <c r="M904">
        <v>0</v>
      </c>
      <c r="N904">
        <v>687</v>
      </c>
      <c r="O904">
        <v>45.971953999999997</v>
      </c>
      <c r="P904">
        <v>2</v>
      </c>
      <c r="Q904" s="1" t="s">
        <v>569</v>
      </c>
      <c r="R904" s="93">
        <v>31587.33</v>
      </c>
      <c r="S904">
        <v>9476.2000000000007</v>
      </c>
      <c r="T904">
        <v>0</v>
      </c>
      <c r="U904" s="1" t="s">
        <v>976</v>
      </c>
      <c r="V904" s="1" t="s">
        <v>1264</v>
      </c>
      <c r="W904">
        <v>31587.337</v>
      </c>
      <c r="X904">
        <v>0</v>
      </c>
      <c r="Y904">
        <v>91922</v>
      </c>
    </row>
    <row r="905" spans="1:25" ht="15" hidden="1" customHeight="1" x14ac:dyDescent="0.25">
      <c r="A905" s="1" t="s">
        <v>27</v>
      </c>
      <c r="B905" s="1" t="s">
        <v>53</v>
      </c>
      <c r="C905" s="1" t="s">
        <v>129</v>
      </c>
      <c r="D905">
        <v>5447</v>
      </c>
      <c r="E905" s="1"/>
      <c r="F905" s="1" t="s">
        <v>269</v>
      </c>
      <c r="G905" s="1" t="s">
        <v>269</v>
      </c>
      <c r="H905" s="1" t="s">
        <v>1396</v>
      </c>
      <c r="I905">
        <v>2014</v>
      </c>
      <c r="J905" s="93">
        <v>65634.38</v>
      </c>
      <c r="K905">
        <v>12</v>
      </c>
      <c r="L905" s="1" t="s">
        <v>474</v>
      </c>
      <c r="M905">
        <v>0</v>
      </c>
      <c r="N905">
        <v>480</v>
      </c>
      <c r="O905">
        <v>136.70981</v>
      </c>
      <c r="P905">
        <v>1</v>
      </c>
      <c r="Q905" s="1" t="s">
        <v>563</v>
      </c>
      <c r="R905" s="93">
        <v>77998.61</v>
      </c>
      <c r="S905">
        <v>167466.57999999999</v>
      </c>
      <c r="T905">
        <v>1</v>
      </c>
      <c r="U905" s="1" t="s">
        <v>779</v>
      </c>
      <c r="V905" s="1"/>
      <c r="W905">
        <v>1881.18</v>
      </c>
      <c r="X905">
        <v>0</v>
      </c>
      <c r="Y905">
        <v>57509</v>
      </c>
    </row>
    <row r="906" spans="1:25" ht="15" hidden="1" customHeight="1" x14ac:dyDescent="0.25">
      <c r="A906" s="1" t="s">
        <v>27</v>
      </c>
      <c r="B906" s="1" t="s">
        <v>53</v>
      </c>
      <c r="C906" s="1" t="s">
        <v>129</v>
      </c>
      <c r="D906">
        <v>5447</v>
      </c>
      <c r="E906" s="1"/>
      <c r="F906" s="1" t="s">
        <v>269</v>
      </c>
      <c r="G906" s="1" t="s">
        <v>269</v>
      </c>
      <c r="H906" s="1" t="s">
        <v>1405</v>
      </c>
      <c r="I906">
        <v>2014</v>
      </c>
      <c r="J906" s="93">
        <v>336.7</v>
      </c>
      <c r="K906">
        <v>12</v>
      </c>
      <c r="L906" s="1" t="s">
        <v>412</v>
      </c>
      <c r="M906">
        <v>0</v>
      </c>
      <c r="N906">
        <v>480</v>
      </c>
      <c r="O906">
        <v>0.70131200000000005</v>
      </c>
      <c r="P906">
        <v>3</v>
      </c>
      <c r="Q906" s="1" t="s">
        <v>560</v>
      </c>
      <c r="R906" s="93">
        <v>336.7</v>
      </c>
      <c r="S906">
        <v>269.39999999999998</v>
      </c>
      <c r="T906">
        <v>0</v>
      </c>
      <c r="U906" s="1"/>
      <c r="V906" s="1"/>
      <c r="W906">
        <v>336.721</v>
      </c>
      <c r="X906">
        <v>0</v>
      </c>
      <c r="Y906">
        <v>57507</v>
      </c>
    </row>
    <row r="907" spans="1:25" ht="15" hidden="1" customHeight="1" x14ac:dyDescent="0.25">
      <c r="A907" s="1" t="s">
        <v>27</v>
      </c>
      <c r="B907" s="1" t="s">
        <v>53</v>
      </c>
      <c r="C907" s="1" t="s">
        <v>129</v>
      </c>
      <c r="D907">
        <v>5447</v>
      </c>
      <c r="E907" s="1"/>
      <c r="F907" s="1" t="s">
        <v>269</v>
      </c>
      <c r="G907" s="1" t="s">
        <v>269</v>
      </c>
      <c r="H907" s="1" t="s">
        <v>1405</v>
      </c>
      <c r="I907">
        <v>2014</v>
      </c>
      <c r="J907" s="93">
        <v>44656</v>
      </c>
      <c r="K907">
        <v>12</v>
      </c>
      <c r="L907" s="1" t="s">
        <v>474</v>
      </c>
      <c r="M907">
        <v>0</v>
      </c>
      <c r="N907">
        <v>480</v>
      </c>
      <c r="O907">
        <v>93.013954999999996</v>
      </c>
      <c r="P907">
        <v>1</v>
      </c>
      <c r="Q907" s="1" t="s">
        <v>562</v>
      </c>
      <c r="R907" s="93">
        <v>53256.36</v>
      </c>
      <c r="S907">
        <v>3786223.52</v>
      </c>
      <c r="T907">
        <v>0</v>
      </c>
      <c r="U907" s="1" t="s">
        <v>779</v>
      </c>
      <c r="V907" s="1"/>
      <c r="W907">
        <v>44656</v>
      </c>
      <c r="X907">
        <v>0</v>
      </c>
      <c r="Y907">
        <v>57508</v>
      </c>
    </row>
    <row r="908" spans="1:25" ht="15" hidden="1" customHeight="1" x14ac:dyDescent="0.25">
      <c r="A908" s="1" t="s">
        <v>27</v>
      </c>
      <c r="B908" s="1" t="s">
        <v>53</v>
      </c>
      <c r="C908" s="1" t="s">
        <v>129</v>
      </c>
      <c r="D908">
        <v>5447</v>
      </c>
      <c r="E908" s="1"/>
      <c r="F908" s="1" t="s">
        <v>269</v>
      </c>
      <c r="G908" s="1" t="s">
        <v>269</v>
      </c>
      <c r="H908" s="1" t="s">
        <v>1405</v>
      </c>
      <c r="I908">
        <v>2014</v>
      </c>
      <c r="J908" s="93">
        <v>23936.21</v>
      </c>
      <c r="K908">
        <v>12</v>
      </c>
      <c r="L908" s="1" t="s">
        <v>404</v>
      </c>
      <c r="M908">
        <v>0</v>
      </c>
      <c r="N908">
        <v>480</v>
      </c>
      <c r="O908">
        <v>49.856717000000003</v>
      </c>
      <c r="P908">
        <v>2</v>
      </c>
      <c r="Q908" s="1" t="s">
        <v>569</v>
      </c>
      <c r="R908" s="93">
        <v>23936.21</v>
      </c>
      <c r="S908">
        <v>9574.48</v>
      </c>
      <c r="T908">
        <v>0</v>
      </c>
      <c r="U908" s="1" t="s">
        <v>978</v>
      </c>
      <c r="V908" s="1" t="s">
        <v>1265</v>
      </c>
      <c r="W908">
        <v>23936.205999999998</v>
      </c>
      <c r="X908">
        <v>0</v>
      </c>
      <c r="Y908">
        <v>57505</v>
      </c>
    </row>
    <row r="909" spans="1:25" ht="15" hidden="1" customHeight="1" x14ac:dyDescent="0.25">
      <c r="A909" s="1" t="s">
        <v>27</v>
      </c>
      <c r="B909" s="1" t="s">
        <v>58</v>
      </c>
      <c r="C909" s="1" t="s">
        <v>130</v>
      </c>
      <c r="D909">
        <v>5272</v>
      </c>
      <c r="E909" s="1"/>
      <c r="F909" s="1" t="s">
        <v>270</v>
      </c>
      <c r="G909" s="1" t="s">
        <v>270</v>
      </c>
      <c r="H909" s="1" t="s">
        <v>1405</v>
      </c>
      <c r="I909">
        <v>2014</v>
      </c>
      <c r="J909" s="93">
        <v>284.10000000000002</v>
      </c>
      <c r="K909">
        <v>12</v>
      </c>
      <c r="L909" s="1" t="s">
        <v>413</v>
      </c>
      <c r="M909">
        <v>0</v>
      </c>
      <c r="N909">
        <v>541</v>
      </c>
      <c r="O909">
        <v>0.52504099999999998</v>
      </c>
      <c r="P909">
        <v>3</v>
      </c>
      <c r="Q909" s="1" t="s">
        <v>560</v>
      </c>
      <c r="R909" s="93">
        <v>284.10000000000002</v>
      </c>
      <c r="S909">
        <v>227.28</v>
      </c>
      <c r="T909">
        <v>0</v>
      </c>
      <c r="U909" s="1" t="s">
        <v>600</v>
      </c>
      <c r="V909" s="1"/>
      <c r="W909">
        <v>284.11200000000002</v>
      </c>
      <c r="X909">
        <v>0</v>
      </c>
      <c r="Y909">
        <v>56838</v>
      </c>
    </row>
    <row r="910" spans="1:25" ht="15" hidden="1" customHeight="1" x14ac:dyDescent="0.25">
      <c r="A910" s="1" t="s">
        <v>27</v>
      </c>
      <c r="B910" s="1" t="s">
        <v>58</v>
      </c>
      <c r="C910" s="1" t="s">
        <v>130</v>
      </c>
      <c r="D910">
        <v>5272</v>
      </c>
      <c r="E910" s="1"/>
      <c r="F910" s="1" t="s">
        <v>270</v>
      </c>
      <c r="G910" s="1" t="s">
        <v>130</v>
      </c>
      <c r="H910" s="1" t="s">
        <v>1396</v>
      </c>
      <c r="I910">
        <v>2014</v>
      </c>
      <c r="J910" s="93">
        <v>83581.440000000002</v>
      </c>
      <c r="K910">
        <v>12</v>
      </c>
      <c r="L910" s="1" t="s">
        <v>475</v>
      </c>
      <c r="M910">
        <v>0</v>
      </c>
      <c r="N910">
        <v>541</v>
      </c>
      <c r="O910">
        <v>154.465791</v>
      </c>
      <c r="P910">
        <v>1</v>
      </c>
      <c r="Q910" s="1" t="s">
        <v>563</v>
      </c>
      <c r="R910" s="93">
        <v>98992.67</v>
      </c>
      <c r="S910">
        <v>231544.76</v>
      </c>
      <c r="T910">
        <v>1</v>
      </c>
      <c r="U910" s="1" t="s">
        <v>780</v>
      </c>
      <c r="V910" s="1"/>
      <c r="W910">
        <v>2395.5700000000002</v>
      </c>
      <c r="X910">
        <v>0</v>
      </c>
      <c r="Y910">
        <v>57003</v>
      </c>
    </row>
    <row r="911" spans="1:25" ht="15" hidden="1" customHeight="1" x14ac:dyDescent="0.25">
      <c r="A911" s="1" t="s">
        <v>27</v>
      </c>
      <c r="B911" s="1" t="s">
        <v>58</v>
      </c>
      <c r="C911" s="1" t="s">
        <v>130</v>
      </c>
      <c r="D911">
        <v>5272</v>
      </c>
      <c r="E911" s="1"/>
      <c r="F911" s="1" t="s">
        <v>270</v>
      </c>
      <c r="G911" s="1" t="s">
        <v>130</v>
      </c>
      <c r="H911" s="1" t="s">
        <v>1405</v>
      </c>
      <c r="I911">
        <v>2014</v>
      </c>
      <c r="J911" s="93">
        <v>88417</v>
      </c>
      <c r="K911">
        <v>12</v>
      </c>
      <c r="L911" s="1" t="s">
        <v>475</v>
      </c>
      <c r="M911">
        <v>0</v>
      </c>
      <c r="N911">
        <v>541</v>
      </c>
      <c r="O911">
        <v>163.40232800000001</v>
      </c>
      <c r="P911">
        <v>1</v>
      </c>
      <c r="Q911" s="1" t="s">
        <v>562</v>
      </c>
      <c r="R911" s="93">
        <v>105831.62</v>
      </c>
      <c r="S911">
        <v>8330779.6299999999</v>
      </c>
      <c r="T911">
        <v>0</v>
      </c>
      <c r="U911" s="1" t="s">
        <v>780</v>
      </c>
      <c r="V911" s="1"/>
      <c r="W911">
        <v>88417</v>
      </c>
      <c r="X911">
        <v>0</v>
      </c>
      <c r="Y911">
        <v>56837</v>
      </c>
    </row>
    <row r="912" spans="1:25" ht="15" hidden="1" customHeight="1" x14ac:dyDescent="0.25">
      <c r="A912" s="1" t="s">
        <v>27</v>
      </c>
      <c r="B912" s="1" t="s">
        <v>58</v>
      </c>
      <c r="C912" s="1" t="s">
        <v>130</v>
      </c>
      <c r="D912">
        <v>5272</v>
      </c>
      <c r="E912" s="1"/>
      <c r="F912" s="1" t="s">
        <v>270</v>
      </c>
      <c r="G912" s="1" t="s">
        <v>130</v>
      </c>
      <c r="H912" s="1" t="s">
        <v>1405</v>
      </c>
      <c r="I912">
        <v>2014</v>
      </c>
      <c r="J912" s="93">
        <v>29972.89</v>
      </c>
      <c r="K912">
        <v>12</v>
      </c>
      <c r="L912" s="1" t="s">
        <v>413</v>
      </c>
      <c r="M912">
        <v>0</v>
      </c>
      <c r="N912">
        <v>541</v>
      </c>
      <c r="O912">
        <v>55.392515000000003</v>
      </c>
      <c r="P912">
        <v>2</v>
      </c>
      <c r="Q912" s="1" t="s">
        <v>569</v>
      </c>
      <c r="R912" s="93">
        <v>29972.89</v>
      </c>
      <c r="S912">
        <v>11989.17</v>
      </c>
      <c r="T912">
        <v>0</v>
      </c>
      <c r="U912" s="1" t="s">
        <v>979</v>
      </c>
      <c r="V912" s="1" t="s">
        <v>1266</v>
      </c>
      <c r="W912">
        <v>29972.904999999999</v>
      </c>
      <c r="X912">
        <v>0</v>
      </c>
      <c r="Y912">
        <v>56836</v>
      </c>
    </row>
    <row r="913" spans="1:25" ht="15" hidden="1" customHeight="1" x14ac:dyDescent="0.25">
      <c r="A913" s="1" t="s">
        <v>27</v>
      </c>
      <c r="B913" s="1"/>
      <c r="C913" s="1" t="s">
        <v>131</v>
      </c>
      <c r="D913">
        <v>9952</v>
      </c>
      <c r="E913" s="1"/>
      <c r="F913" s="1" t="s">
        <v>271</v>
      </c>
      <c r="G913" s="1" t="s">
        <v>271</v>
      </c>
      <c r="H913" s="1" t="s">
        <v>1405</v>
      </c>
      <c r="I913">
        <v>2014</v>
      </c>
      <c r="J913" s="93">
        <v>265.7</v>
      </c>
      <c r="K913">
        <v>12</v>
      </c>
      <c r="L913" s="1" t="s">
        <v>405</v>
      </c>
      <c r="M913">
        <v>0</v>
      </c>
      <c r="N913">
        <v>473</v>
      </c>
      <c r="O913">
        <v>0.56161399999999995</v>
      </c>
      <c r="P913">
        <v>3</v>
      </c>
      <c r="Q913" s="1" t="s">
        <v>560</v>
      </c>
      <c r="R913" s="93">
        <v>265.7</v>
      </c>
      <c r="S913">
        <v>212.56</v>
      </c>
      <c r="T913">
        <v>0</v>
      </c>
      <c r="U913" s="1" t="s">
        <v>601</v>
      </c>
      <c r="V913" s="1"/>
      <c r="W913">
        <v>265.7</v>
      </c>
      <c r="X913">
        <v>0</v>
      </c>
      <c r="Y913">
        <v>76305</v>
      </c>
    </row>
    <row r="914" spans="1:25" ht="15" hidden="1" customHeight="1" x14ac:dyDescent="0.25">
      <c r="A914" s="1" t="s">
        <v>27</v>
      </c>
      <c r="B914" s="1"/>
      <c r="C914" s="1" t="s">
        <v>131</v>
      </c>
      <c r="D914">
        <v>9952</v>
      </c>
      <c r="E914" s="1"/>
      <c r="F914" s="1" t="s">
        <v>271</v>
      </c>
      <c r="G914" s="1" t="s">
        <v>271</v>
      </c>
      <c r="H914" s="1" t="s">
        <v>1405</v>
      </c>
      <c r="I914">
        <v>2014</v>
      </c>
      <c r="J914" s="93">
        <v>32550</v>
      </c>
      <c r="K914">
        <v>12</v>
      </c>
      <c r="L914" s="1" t="s">
        <v>405</v>
      </c>
      <c r="M914">
        <v>0</v>
      </c>
      <c r="N914">
        <v>473</v>
      </c>
      <c r="O914">
        <v>68.801520999999994</v>
      </c>
      <c r="P914">
        <v>1</v>
      </c>
      <c r="Q914" s="1" t="s">
        <v>562</v>
      </c>
      <c r="R914" s="93">
        <v>38840.92</v>
      </c>
      <c r="S914">
        <v>2485.81</v>
      </c>
      <c r="T914">
        <v>0</v>
      </c>
      <c r="U914" s="1" t="s">
        <v>781</v>
      </c>
      <c r="V914" s="1"/>
      <c r="W914">
        <v>32550</v>
      </c>
      <c r="X914">
        <v>0</v>
      </c>
      <c r="Y914">
        <v>76307</v>
      </c>
    </row>
    <row r="915" spans="1:25" ht="15" hidden="1" customHeight="1" x14ac:dyDescent="0.25">
      <c r="A915" s="1" t="s">
        <v>27</v>
      </c>
      <c r="B915" s="1"/>
      <c r="C915" s="1" t="s">
        <v>131</v>
      </c>
      <c r="D915">
        <v>9952</v>
      </c>
      <c r="E915" s="1"/>
      <c r="F915" s="1" t="s">
        <v>271</v>
      </c>
      <c r="G915" s="1" t="s">
        <v>271</v>
      </c>
      <c r="H915" s="1" t="s">
        <v>1405</v>
      </c>
      <c r="I915">
        <v>2014</v>
      </c>
      <c r="J915" s="93">
        <v>11158.5</v>
      </c>
      <c r="K915">
        <v>12</v>
      </c>
      <c r="L915" s="1" t="s">
        <v>405</v>
      </c>
      <c r="M915">
        <v>0</v>
      </c>
      <c r="N915">
        <v>473</v>
      </c>
      <c r="O915">
        <v>23.585922</v>
      </c>
      <c r="P915">
        <v>2</v>
      </c>
      <c r="Q915" s="1" t="s">
        <v>569</v>
      </c>
      <c r="R915" s="93">
        <v>11158.5</v>
      </c>
      <c r="S915">
        <v>3347.55</v>
      </c>
      <c r="T915">
        <v>0</v>
      </c>
      <c r="U915" s="1" t="s">
        <v>980</v>
      </c>
      <c r="V915" s="1" t="s">
        <v>1267</v>
      </c>
      <c r="W915">
        <v>11158.5002</v>
      </c>
      <c r="X915">
        <v>0</v>
      </c>
      <c r="Y915">
        <v>76304</v>
      </c>
    </row>
    <row r="916" spans="1:25" ht="15" hidden="1" customHeight="1" x14ac:dyDescent="0.25">
      <c r="A916" s="1" t="s">
        <v>27</v>
      </c>
      <c r="B916" s="1" t="s">
        <v>59</v>
      </c>
      <c r="C916" s="1" t="s">
        <v>132</v>
      </c>
      <c r="D916">
        <v>5277</v>
      </c>
      <c r="E916" s="1"/>
      <c r="F916" s="1" t="s">
        <v>272</v>
      </c>
      <c r="G916" s="1" t="s">
        <v>132</v>
      </c>
      <c r="H916" s="1" t="s">
        <v>1396</v>
      </c>
      <c r="I916">
        <v>2014</v>
      </c>
      <c r="J916" s="93">
        <v>26253.66</v>
      </c>
      <c r="K916">
        <v>12</v>
      </c>
      <c r="L916" s="1" t="s">
        <v>469</v>
      </c>
      <c r="M916">
        <v>0</v>
      </c>
      <c r="N916">
        <v>585</v>
      </c>
      <c r="O916">
        <v>44.870381000000002</v>
      </c>
      <c r="P916">
        <v>1</v>
      </c>
      <c r="Q916" s="1" t="s">
        <v>563</v>
      </c>
      <c r="R916" s="93">
        <v>31088.12</v>
      </c>
      <c r="S916">
        <v>60542.31</v>
      </c>
      <c r="T916">
        <v>1</v>
      </c>
      <c r="U916" s="1" t="s">
        <v>782</v>
      </c>
      <c r="V916" s="1"/>
      <c r="W916">
        <v>752.47</v>
      </c>
      <c r="X916">
        <v>0</v>
      </c>
      <c r="Y916">
        <v>57007</v>
      </c>
    </row>
    <row r="917" spans="1:25" ht="15" hidden="1" customHeight="1" x14ac:dyDescent="0.25">
      <c r="A917" s="1" t="s">
        <v>27</v>
      </c>
      <c r="B917" s="1" t="s">
        <v>59</v>
      </c>
      <c r="C917" s="1" t="s">
        <v>132</v>
      </c>
      <c r="D917">
        <v>5277</v>
      </c>
      <c r="E917" s="1"/>
      <c r="F917" s="1" t="s">
        <v>272</v>
      </c>
      <c r="G917" s="1" t="s">
        <v>132</v>
      </c>
      <c r="H917" s="1" t="s">
        <v>1405</v>
      </c>
      <c r="I917">
        <v>2014</v>
      </c>
      <c r="J917" s="93">
        <v>419.53</v>
      </c>
      <c r="K917">
        <v>12</v>
      </c>
      <c r="L917" s="1" t="s">
        <v>404</v>
      </c>
      <c r="M917">
        <v>0</v>
      </c>
      <c r="N917">
        <v>585</v>
      </c>
      <c r="O917">
        <v>0.71702200000000005</v>
      </c>
      <c r="P917">
        <v>3</v>
      </c>
      <c r="Q917" s="1" t="s">
        <v>560</v>
      </c>
      <c r="R917" s="93">
        <v>419.53</v>
      </c>
      <c r="S917">
        <v>335.59</v>
      </c>
      <c r="T917">
        <v>0</v>
      </c>
      <c r="U917" s="1" t="s">
        <v>602</v>
      </c>
      <c r="V917" s="1"/>
      <c r="W917">
        <v>419.51</v>
      </c>
      <c r="X917">
        <v>0</v>
      </c>
      <c r="Y917">
        <v>56869</v>
      </c>
    </row>
    <row r="918" spans="1:25" ht="15" hidden="1" customHeight="1" x14ac:dyDescent="0.25">
      <c r="A918" s="1" t="s">
        <v>27</v>
      </c>
      <c r="B918" s="1" t="s">
        <v>59</v>
      </c>
      <c r="C918" s="1" t="s">
        <v>132</v>
      </c>
      <c r="D918">
        <v>5277</v>
      </c>
      <c r="E918" s="1"/>
      <c r="F918" s="1" t="s">
        <v>272</v>
      </c>
      <c r="G918" s="1" t="s">
        <v>132</v>
      </c>
      <c r="H918" s="1" t="s">
        <v>1405</v>
      </c>
      <c r="I918">
        <v>2014</v>
      </c>
      <c r="J918" s="93">
        <v>36325</v>
      </c>
      <c r="K918">
        <v>12</v>
      </c>
      <c r="L918" s="1" t="s">
        <v>469</v>
      </c>
      <c r="M918">
        <v>0</v>
      </c>
      <c r="N918">
        <v>585</v>
      </c>
      <c r="O918">
        <v>62.083404000000002</v>
      </c>
      <c r="P918">
        <v>1</v>
      </c>
      <c r="Q918" s="1" t="s">
        <v>562</v>
      </c>
      <c r="R918" s="93">
        <v>43183.82</v>
      </c>
      <c r="S918">
        <v>2953727.57</v>
      </c>
      <c r="T918">
        <v>0</v>
      </c>
      <c r="U918" s="1" t="s">
        <v>782</v>
      </c>
      <c r="V918" s="1"/>
      <c r="W918">
        <v>36325</v>
      </c>
      <c r="X918">
        <v>0</v>
      </c>
      <c r="Y918">
        <v>56868</v>
      </c>
    </row>
    <row r="919" spans="1:25" ht="15" hidden="1" customHeight="1" x14ac:dyDescent="0.25">
      <c r="A919" s="1" t="s">
        <v>27</v>
      </c>
      <c r="B919" s="1" t="s">
        <v>59</v>
      </c>
      <c r="C919" s="1" t="s">
        <v>132</v>
      </c>
      <c r="D919">
        <v>5277</v>
      </c>
      <c r="E919" s="1"/>
      <c r="F919" s="1" t="s">
        <v>272</v>
      </c>
      <c r="G919" s="1" t="s">
        <v>132</v>
      </c>
      <c r="H919" s="1" t="s">
        <v>1405</v>
      </c>
      <c r="I919">
        <v>2014</v>
      </c>
      <c r="J919" s="93">
        <v>29563.03</v>
      </c>
      <c r="K919">
        <v>12</v>
      </c>
      <c r="L919" s="1" t="s">
        <v>404</v>
      </c>
      <c r="M919">
        <v>0</v>
      </c>
      <c r="N919">
        <v>585</v>
      </c>
      <c r="O919">
        <v>50.526457000000001</v>
      </c>
      <c r="P919">
        <v>2</v>
      </c>
      <c r="Q919" s="1" t="s">
        <v>569</v>
      </c>
      <c r="R919" s="93">
        <v>29563.03</v>
      </c>
      <c r="S919">
        <v>11825.21</v>
      </c>
      <c r="T919">
        <v>0</v>
      </c>
      <c r="U919" s="1" t="s">
        <v>981</v>
      </c>
      <c r="V919" s="1" t="s">
        <v>1268</v>
      </c>
      <c r="W919">
        <v>29563.024000000001</v>
      </c>
      <c r="X919">
        <v>0</v>
      </c>
      <c r="Y919">
        <v>56867</v>
      </c>
    </row>
    <row r="920" spans="1:25" ht="15" hidden="1" customHeight="1" x14ac:dyDescent="0.25">
      <c r="A920" s="1" t="s">
        <v>27</v>
      </c>
      <c r="B920" s="1" t="s">
        <v>60</v>
      </c>
      <c r="C920" s="1" t="s">
        <v>133</v>
      </c>
      <c r="D920">
        <v>5274</v>
      </c>
      <c r="E920" s="1"/>
      <c r="F920" s="1" t="s">
        <v>273</v>
      </c>
      <c r="G920" s="1" t="s">
        <v>133</v>
      </c>
      <c r="H920" s="1" t="s">
        <v>1396</v>
      </c>
      <c r="I920">
        <v>2014</v>
      </c>
      <c r="J920" s="93">
        <v>133403.5</v>
      </c>
      <c r="K920">
        <v>12</v>
      </c>
      <c r="L920" s="1" t="s">
        <v>475</v>
      </c>
      <c r="M920">
        <v>0</v>
      </c>
      <c r="N920">
        <v>586</v>
      </c>
      <c r="O920">
        <v>227.61218199999999</v>
      </c>
      <c r="P920">
        <v>1</v>
      </c>
      <c r="Q920" s="1" t="s">
        <v>563</v>
      </c>
      <c r="R920" s="93">
        <v>159442.38</v>
      </c>
      <c r="S920">
        <v>377540.7</v>
      </c>
      <c r="T920">
        <v>1</v>
      </c>
      <c r="U920" s="1" t="s">
        <v>783</v>
      </c>
      <c r="V920" s="1"/>
      <c r="W920">
        <v>3823.5450000000001</v>
      </c>
      <c r="X920">
        <v>0</v>
      </c>
      <c r="Y920">
        <v>57005</v>
      </c>
    </row>
    <row r="921" spans="1:25" ht="15" hidden="1" customHeight="1" x14ac:dyDescent="0.25">
      <c r="A921" s="1" t="s">
        <v>27</v>
      </c>
      <c r="B921" s="1" t="s">
        <v>61</v>
      </c>
      <c r="C921" s="1" t="s">
        <v>134</v>
      </c>
      <c r="D921">
        <v>5247</v>
      </c>
      <c r="E921" s="1"/>
      <c r="F921" s="1" t="s">
        <v>274</v>
      </c>
      <c r="G921" s="1" t="s">
        <v>274</v>
      </c>
      <c r="H921" s="1" t="s">
        <v>1405</v>
      </c>
      <c r="I921">
        <v>2014</v>
      </c>
      <c r="J921" s="93">
        <v>41051.99</v>
      </c>
      <c r="K921">
        <v>12</v>
      </c>
      <c r="L921" s="1" t="s">
        <v>404</v>
      </c>
      <c r="M921">
        <v>0</v>
      </c>
      <c r="N921">
        <v>284</v>
      </c>
      <c r="O921">
        <v>144.49838</v>
      </c>
      <c r="P921">
        <v>1</v>
      </c>
      <c r="Q921" s="1" t="s">
        <v>564</v>
      </c>
      <c r="R921" s="93">
        <v>48734.9</v>
      </c>
      <c r="S921">
        <v>10306.540000000001</v>
      </c>
      <c r="T921">
        <v>0</v>
      </c>
      <c r="U921" s="1" t="s">
        <v>784</v>
      </c>
      <c r="V921" s="1" t="s">
        <v>1195</v>
      </c>
      <c r="W921">
        <v>3801.11</v>
      </c>
      <c r="X921">
        <v>0</v>
      </c>
      <c r="Y921">
        <v>56639</v>
      </c>
    </row>
    <row r="922" spans="1:25" ht="15" hidden="1" customHeight="1" x14ac:dyDescent="0.25">
      <c r="A922" s="1" t="s">
        <v>27</v>
      </c>
      <c r="B922" s="1" t="s">
        <v>61</v>
      </c>
      <c r="C922" s="1" t="s">
        <v>134</v>
      </c>
      <c r="D922">
        <v>5247</v>
      </c>
      <c r="E922" s="1"/>
      <c r="F922" s="1" t="s">
        <v>274</v>
      </c>
      <c r="G922" s="1" t="s">
        <v>274</v>
      </c>
      <c r="H922" s="1" t="s">
        <v>1405</v>
      </c>
      <c r="I922">
        <v>2014</v>
      </c>
      <c r="J922" s="93">
        <v>208.99</v>
      </c>
      <c r="K922">
        <v>12</v>
      </c>
      <c r="L922" s="1" t="s">
        <v>404</v>
      </c>
      <c r="M922">
        <v>0</v>
      </c>
      <c r="N922">
        <v>284</v>
      </c>
      <c r="O922">
        <v>0.73562099999999997</v>
      </c>
      <c r="P922">
        <v>3</v>
      </c>
      <c r="Q922" s="1" t="s">
        <v>560</v>
      </c>
      <c r="R922" s="93">
        <v>208.99</v>
      </c>
      <c r="S922">
        <v>167.19</v>
      </c>
      <c r="T922">
        <v>0</v>
      </c>
      <c r="U922" s="1" t="s">
        <v>604</v>
      </c>
      <c r="V922" s="1"/>
      <c r="W922">
        <v>208.99100000000001</v>
      </c>
      <c r="X922">
        <v>0</v>
      </c>
      <c r="Y922">
        <v>56638</v>
      </c>
    </row>
    <row r="923" spans="1:25" ht="15" hidden="1" customHeight="1" x14ac:dyDescent="0.25">
      <c r="A923" s="1" t="s">
        <v>27</v>
      </c>
      <c r="B923" s="1" t="s">
        <v>61</v>
      </c>
      <c r="C923" s="1" t="s">
        <v>134</v>
      </c>
      <c r="D923">
        <v>5247</v>
      </c>
      <c r="E923" s="1"/>
      <c r="F923" s="1" t="s">
        <v>274</v>
      </c>
      <c r="G923" s="1" t="s">
        <v>274</v>
      </c>
      <c r="H923" s="1" t="s">
        <v>1405</v>
      </c>
      <c r="I923">
        <v>2014</v>
      </c>
      <c r="J923" s="93">
        <v>9406.6299999999992</v>
      </c>
      <c r="K923">
        <v>12</v>
      </c>
      <c r="L923" s="1" t="s">
        <v>404</v>
      </c>
      <c r="M923">
        <v>0</v>
      </c>
      <c r="N923">
        <v>284</v>
      </c>
      <c r="O923">
        <v>33.110278000000001</v>
      </c>
      <c r="P923">
        <v>2</v>
      </c>
      <c r="Q923" s="1" t="s">
        <v>569</v>
      </c>
      <c r="R923" s="93">
        <v>9406.6299999999992</v>
      </c>
      <c r="S923">
        <v>3762.65</v>
      </c>
      <c r="T923">
        <v>0</v>
      </c>
      <c r="U923" s="1" t="s">
        <v>984</v>
      </c>
      <c r="V923" s="1" t="s">
        <v>1270</v>
      </c>
      <c r="W923">
        <v>9406.6219999999994</v>
      </c>
      <c r="X923">
        <v>0</v>
      </c>
      <c r="Y923">
        <v>56636</v>
      </c>
    </row>
    <row r="924" spans="1:25" ht="15" hidden="1" customHeight="1" x14ac:dyDescent="0.25">
      <c r="A924" s="1" t="s">
        <v>27</v>
      </c>
      <c r="B924" s="1" t="s">
        <v>48</v>
      </c>
      <c r="C924" s="1" t="s">
        <v>109</v>
      </c>
      <c r="D924">
        <v>5244</v>
      </c>
      <c r="E924" s="1"/>
      <c r="F924" s="1" t="s">
        <v>256</v>
      </c>
      <c r="G924" s="1" t="s">
        <v>256</v>
      </c>
      <c r="H924" s="1" t="s">
        <v>1405</v>
      </c>
      <c r="I924">
        <v>2015</v>
      </c>
      <c r="J924" s="93">
        <v>22978</v>
      </c>
      <c r="K924">
        <v>5</v>
      </c>
      <c r="L924" s="1" t="s">
        <v>402</v>
      </c>
      <c r="M924">
        <v>0</v>
      </c>
      <c r="N924">
        <v>560</v>
      </c>
      <c r="O924">
        <v>11.115872</v>
      </c>
      <c r="P924">
        <v>2</v>
      </c>
      <c r="Q924" s="1" t="s">
        <v>569</v>
      </c>
      <c r="R924" s="93">
        <v>6226</v>
      </c>
      <c r="S924">
        <v>2490.4</v>
      </c>
      <c r="T924">
        <v>0</v>
      </c>
      <c r="U924" s="1" t="s">
        <v>953</v>
      </c>
      <c r="V924" s="1"/>
      <c r="W924">
        <v>6226</v>
      </c>
      <c r="X924">
        <v>0</v>
      </c>
      <c r="Y924">
        <v>57569</v>
      </c>
    </row>
    <row r="925" spans="1:25" ht="15" hidden="1" customHeight="1" x14ac:dyDescent="0.25">
      <c r="A925" s="1" t="s">
        <v>27</v>
      </c>
      <c r="B925" s="1" t="s">
        <v>48</v>
      </c>
      <c r="C925" s="1" t="s">
        <v>109</v>
      </c>
      <c r="D925">
        <v>5244</v>
      </c>
      <c r="E925" s="1"/>
      <c r="F925" s="1" t="s">
        <v>256</v>
      </c>
      <c r="G925" s="1" t="s">
        <v>256</v>
      </c>
      <c r="H925" s="1" t="s">
        <v>1405</v>
      </c>
      <c r="I925">
        <v>2013</v>
      </c>
      <c r="J925" s="93">
        <v>21085</v>
      </c>
      <c r="K925">
        <v>12</v>
      </c>
      <c r="L925" s="1" t="s">
        <v>402</v>
      </c>
      <c r="M925">
        <v>0</v>
      </c>
      <c r="N925">
        <v>560</v>
      </c>
      <c r="O925">
        <v>37.645063</v>
      </c>
      <c r="P925">
        <v>2</v>
      </c>
      <c r="Q925" s="1" t="s">
        <v>569</v>
      </c>
      <c r="R925" s="93">
        <v>21085</v>
      </c>
      <c r="S925">
        <v>8434</v>
      </c>
      <c r="T925">
        <v>0</v>
      </c>
      <c r="U925" s="1" t="s">
        <v>953</v>
      </c>
      <c r="V925" s="1"/>
      <c r="W925">
        <v>21085</v>
      </c>
      <c r="X925">
        <v>0</v>
      </c>
      <c r="Y925">
        <v>57569</v>
      </c>
    </row>
    <row r="926" spans="1:25" ht="15" hidden="1" customHeight="1" x14ac:dyDescent="0.25">
      <c r="A926" s="1" t="s">
        <v>27</v>
      </c>
      <c r="B926" s="1" t="s">
        <v>48</v>
      </c>
      <c r="C926" s="1" t="s">
        <v>109</v>
      </c>
      <c r="D926">
        <v>5244</v>
      </c>
      <c r="E926" s="1"/>
      <c r="F926" s="1" t="s">
        <v>256</v>
      </c>
      <c r="G926" s="1" t="s">
        <v>256</v>
      </c>
      <c r="H926" s="1" t="s">
        <v>1405</v>
      </c>
      <c r="I926">
        <v>2012</v>
      </c>
      <c r="J926" s="93">
        <v>18219</v>
      </c>
      <c r="K926">
        <v>12</v>
      </c>
      <c r="L926" s="1" t="s">
        <v>402</v>
      </c>
      <c r="M926">
        <v>0</v>
      </c>
      <c r="N926">
        <v>560</v>
      </c>
      <c r="O926">
        <v>32.528118999999997</v>
      </c>
      <c r="P926">
        <v>2</v>
      </c>
      <c r="Q926" s="1" t="s">
        <v>569</v>
      </c>
      <c r="R926" s="93">
        <v>18219</v>
      </c>
      <c r="S926">
        <v>7287.6</v>
      </c>
      <c r="T926">
        <v>0</v>
      </c>
      <c r="U926" s="1" t="s">
        <v>953</v>
      </c>
      <c r="V926" s="1"/>
      <c r="W926">
        <v>18219</v>
      </c>
      <c r="X926">
        <v>0</v>
      </c>
      <c r="Y926">
        <v>57569</v>
      </c>
    </row>
    <row r="927" spans="1:25" ht="15" hidden="1" customHeight="1" x14ac:dyDescent="0.25">
      <c r="A927" s="1" t="s">
        <v>27</v>
      </c>
      <c r="B927" s="1" t="s">
        <v>48</v>
      </c>
      <c r="C927" s="1" t="s">
        <v>109</v>
      </c>
      <c r="D927">
        <v>5244</v>
      </c>
      <c r="E927" s="1"/>
      <c r="F927" s="1" t="s">
        <v>256</v>
      </c>
      <c r="G927" s="1" t="s">
        <v>256</v>
      </c>
      <c r="H927" s="1" t="s">
        <v>1405</v>
      </c>
      <c r="I927">
        <v>2011</v>
      </c>
      <c r="J927" s="93">
        <v>22354</v>
      </c>
      <c r="K927">
        <v>12</v>
      </c>
      <c r="L927" s="1" t="s">
        <v>402</v>
      </c>
      <c r="M927">
        <v>0</v>
      </c>
      <c r="N927">
        <v>560</v>
      </c>
      <c r="O927">
        <v>39.910730000000001</v>
      </c>
      <c r="P927">
        <v>2</v>
      </c>
      <c r="Q927" s="1" t="s">
        <v>569</v>
      </c>
      <c r="R927" s="93">
        <v>22354</v>
      </c>
      <c r="S927">
        <v>10484.02</v>
      </c>
      <c r="T927">
        <v>0</v>
      </c>
      <c r="U927" s="1" t="s">
        <v>953</v>
      </c>
      <c r="V927" s="1"/>
      <c r="W927">
        <v>22354</v>
      </c>
      <c r="X927">
        <v>0</v>
      </c>
      <c r="Y927">
        <v>57569</v>
      </c>
    </row>
    <row r="928" spans="1:25" ht="15" hidden="1" customHeight="1" x14ac:dyDescent="0.25">
      <c r="A928" s="1" t="s">
        <v>27</v>
      </c>
      <c r="B928" s="1" t="s">
        <v>48</v>
      </c>
      <c r="C928" s="1" t="s">
        <v>109</v>
      </c>
      <c r="D928">
        <v>5244</v>
      </c>
      <c r="E928" s="1"/>
      <c r="F928" s="1" t="s">
        <v>256</v>
      </c>
      <c r="G928" s="1" t="s">
        <v>256</v>
      </c>
      <c r="H928" s="1" t="s">
        <v>1405</v>
      </c>
      <c r="I928">
        <v>2010</v>
      </c>
      <c r="J928" s="93">
        <v>22052</v>
      </c>
      <c r="K928">
        <v>12</v>
      </c>
      <c r="L928" s="1" t="s">
        <v>402</v>
      </c>
      <c r="M928">
        <v>0</v>
      </c>
      <c r="N928">
        <v>560</v>
      </c>
      <c r="O928">
        <v>39.371540000000003</v>
      </c>
      <c r="P928">
        <v>2</v>
      </c>
      <c r="Q928" s="1" t="s">
        <v>569</v>
      </c>
      <c r="R928" s="93">
        <v>22052</v>
      </c>
      <c r="S928">
        <v>10342.39</v>
      </c>
      <c r="T928">
        <v>0</v>
      </c>
      <c r="U928" s="1" t="s">
        <v>953</v>
      </c>
      <c r="V928" s="1"/>
      <c r="W928">
        <v>22052</v>
      </c>
      <c r="X928">
        <v>0</v>
      </c>
      <c r="Y928">
        <v>57569</v>
      </c>
    </row>
    <row r="929" spans="1:25" ht="15" hidden="1" customHeight="1" x14ac:dyDescent="0.25">
      <c r="A929" s="1" t="s">
        <v>27</v>
      </c>
      <c r="B929" s="1" t="s">
        <v>48</v>
      </c>
      <c r="C929" s="1" t="s">
        <v>109</v>
      </c>
      <c r="D929">
        <v>5244</v>
      </c>
      <c r="E929" s="1"/>
      <c r="F929" s="1" t="s">
        <v>256</v>
      </c>
      <c r="G929" s="1" t="s">
        <v>256</v>
      </c>
      <c r="H929" s="1" t="s">
        <v>1405</v>
      </c>
      <c r="I929">
        <v>2009</v>
      </c>
      <c r="J929" s="93">
        <v>26278</v>
      </c>
      <c r="K929">
        <v>12</v>
      </c>
      <c r="L929" s="1" t="s">
        <v>402</v>
      </c>
      <c r="M929">
        <v>0</v>
      </c>
      <c r="N929">
        <v>560</v>
      </c>
      <c r="O929">
        <v>46.916621999999997</v>
      </c>
      <c r="P929">
        <v>2</v>
      </c>
      <c r="Q929" s="1" t="s">
        <v>569</v>
      </c>
      <c r="R929" s="93">
        <v>26278</v>
      </c>
      <c r="S929">
        <v>12324.38</v>
      </c>
      <c r="T929">
        <v>0</v>
      </c>
      <c r="U929" s="1" t="s">
        <v>953</v>
      </c>
      <c r="V929" s="1"/>
      <c r="W929">
        <v>26278</v>
      </c>
      <c r="X929">
        <v>0</v>
      </c>
      <c r="Y929">
        <v>57569</v>
      </c>
    </row>
    <row r="930" spans="1:25" ht="15" hidden="1" customHeight="1" x14ac:dyDescent="0.25">
      <c r="A930" s="1" t="s">
        <v>27</v>
      </c>
      <c r="B930" s="1" t="s">
        <v>48</v>
      </c>
      <c r="C930" s="1" t="s">
        <v>109</v>
      </c>
      <c r="D930">
        <v>5244</v>
      </c>
      <c r="E930" s="1"/>
      <c r="F930" s="1" t="s">
        <v>256</v>
      </c>
      <c r="G930" s="1" t="s">
        <v>256</v>
      </c>
      <c r="H930" s="1" t="s">
        <v>1405</v>
      </c>
      <c r="I930">
        <v>2008</v>
      </c>
      <c r="J930" s="93">
        <v>22906</v>
      </c>
      <c r="K930">
        <v>12</v>
      </c>
      <c r="L930" s="1" t="s">
        <v>402</v>
      </c>
      <c r="M930">
        <v>0</v>
      </c>
      <c r="N930">
        <v>560</v>
      </c>
      <c r="O930">
        <v>40.896267999999999</v>
      </c>
      <c r="P930">
        <v>2</v>
      </c>
      <c r="Q930" s="1" t="s">
        <v>569</v>
      </c>
      <c r="R930" s="93">
        <v>22906</v>
      </c>
      <c r="S930">
        <v>10742.91</v>
      </c>
      <c r="T930">
        <v>0</v>
      </c>
      <c r="U930" s="1" t="s">
        <v>953</v>
      </c>
      <c r="V930" s="1"/>
      <c r="W930">
        <v>22906</v>
      </c>
      <c r="X930">
        <v>0</v>
      </c>
      <c r="Y930">
        <v>57569</v>
      </c>
    </row>
    <row r="931" spans="1:25" ht="15" hidden="1" customHeight="1" x14ac:dyDescent="0.25">
      <c r="A931" s="1" t="s">
        <v>27</v>
      </c>
      <c r="B931" s="1"/>
      <c r="C931" s="1" t="s">
        <v>110</v>
      </c>
      <c r="D931">
        <v>9965</v>
      </c>
      <c r="E931" s="1"/>
      <c r="F931" s="1" t="s">
        <v>110</v>
      </c>
      <c r="G931" s="1" t="s">
        <v>110</v>
      </c>
      <c r="H931" s="1" t="s">
        <v>1405</v>
      </c>
      <c r="I931">
        <v>2015</v>
      </c>
      <c r="J931" s="93">
        <v>18291</v>
      </c>
      <c r="K931">
        <v>5</v>
      </c>
      <c r="L931" s="1" t="s">
        <v>403</v>
      </c>
      <c r="M931">
        <v>0</v>
      </c>
      <c r="N931">
        <v>715</v>
      </c>
      <c r="O931">
        <v>10.423772</v>
      </c>
      <c r="P931">
        <v>2</v>
      </c>
      <c r="Q931" s="1" t="s">
        <v>569</v>
      </c>
      <c r="R931" s="93">
        <v>7454.04</v>
      </c>
      <c r="S931">
        <v>2236.21</v>
      </c>
      <c r="T931">
        <v>0</v>
      </c>
      <c r="U931" s="1"/>
      <c r="V931" s="1" t="s">
        <v>1246</v>
      </c>
      <c r="W931">
        <v>7454.0309999999999</v>
      </c>
      <c r="X931">
        <v>0</v>
      </c>
      <c r="Y931">
        <v>76372</v>
      </c>
    </row>
    <row r="932" spans="1:25" ht="15" hidden="1" customHeight="1" x14ac:dyDescent="0.25">
      <c r="A932" s="1" t="s">
        <v>27</v>
      </c>
      <c r="B932" s="1"/>
      <c r="C932" s="1" t="s">
        <v>110</v>
      </c>
      <c r="D932">
        <v>9965</v>
      </c>
      <c r="E932" s="1"/>
      <c r="F932" s="1" t="s">
        <v>110</v>
      </c>
      <c r="G932" s="1" t="s">
        <v>110</v>
      </c>
      <c r="H932" s="1" t="s">
        <v>1405</v>
      </c>
      <c r="I932">
        <v>2013</v>
      </c>
      <c r="J932" s="93">
        <v>19393.689999999999</v>
      </c>
      <c r="K932">
        <v>12</v>
      </c>
      <c r="L932" s="1" t="s">
        <v>403</v>
      </c>
      <c r="M932">
        <v>0</v>
      </c>
      <c r="N932">
        <v>715</v>
      </c>
      <c r="O932">
        <v>27.120248</v>
      </c>
      <c r="P932">
        <v>2</v>
      </c>
      <c r="Q932" s="1" t="s">
        <v>569</v>
      </c>
      <c r="R932" s="93">
        <v>19393.689999999999</v>
      </c>
      <c r="S932">
        <v>5818.11</v>
      </c>
      <c r="T932">
        <v>0</v>
      </c>
      <c r="U932" s="1"/>
      <c r="V932" s="1" t="s">
        <v>1246</v>
      </c>
      <c r="W932">
        <v>19393.687000000002</v>
      </c>
      <c r="X932">
        <v>0</v>
      </c>
      <c r="Y932">
        <v>76372</v>
      </c>
    </row>
    <row r="933" spans="1:25" ht="15" hidden="1" customHeight="1" x14ac:dyDescent="0.25">
      <c r="A933" s="1" t="s">
        <v>27</v>
      </c>
      <c r="B933" s="1"/>
      <c r="C933" s="1" t="s">
        <v>110</v>
      </c>
      <c r="D933">
        <v>9965</v>
      </c>
      <c r="E933" s="1"/>
      <c r="F933" s="1" t="s">
        <v>110</v>
      </c>
      <c r="G933" s="1" t="s">
        <v>110</v>
      </c>
      <c r="H933" s="1" t="s">
        <v>1405</v>
      </c>
      <c r="I933">
        <v>2012</v>
      </c>
      <c r="J933" s="93">
        <v>18246.97</v>
      </c>
      <c r="K933">
        <v>12</v>
      </c>
      <c r="L933" s="1" t="s">
        <v>403</v>
      </c>
      <c r="M933">
        <v>0</v>
      </c>
      <c r="N933">
        <v>715</v>
      </c>
      <c r="O933">
        <v>25.516667999999999</v>
      </c>
      <c r="P933">
        <v>2</v>
      </c>
      <c r="Q933" s="1" t="s">
        <v>569</v>
      </c>
      <c r="R933" s="93">
        <v>18246.97</v>
      </c>
      <c r="S933">
        <v>7298.79</v>
      </c>
      <c r="T933">
        <v>0</v>
      </c>
      <c r="U933" s="1"/>
      <c r="V933" s="1" t="s">
        <v>1246</v>
      </c>
      <c r="W933">
        <v>18246.97</v>
      </c>
      <c r="X933">
        <v>0</v>
      </c>
      <c r="Y933">
        <v>76372</v>
      </c>
    </row>
    <row r="934" spans="1:25" ht="15" hidden="1" customHeight="1" x14ac:dyDescent="0.25">
      <c r="A934" s="1" t="s">
        <v>27</v>
      </c>
      <c r="B934" s="1"/>
      <c r="C934" s="1" t="s">
        <v>110</v>
      </c>
      <c r="D934">
        <v>9965</v>
      </c>
      <c r="E934" s="1"/>
      <c r="F934" s="1" t="s">
        <v>110</v>
      </c>
      <c r="G934" s="1" t="s">
        <v>110</v>
      </c>
      <c r="H934" s="1" t="s">
        <v>1405</v>
      </c>
      <c r="I934">
        <v>2011</v>
      </c>
      <c r="J934" s="93">
        <v>19300.71</v>
      </c>
      <c r="K934">
        <v>12</v>
      </c>
      <c r="L934" s="1" t="s">
        <v>403</v>
      </c>
      <c r="M934">
        <v>0</v>
      </c>
      <c r="N934">
        <v>715</v>
      </c>
      <c r="O934">
        <v>26.990224999999999</v>
      </c>
      <c r="P934">
        <v>2</v>
      </c>
      <c r="Q934" s="1" t="s">
        <v>569</v>
      </c>
      <c r="R934" s="93">
        <v>19300.71</v>
      </c>
      <c r="S934">
        <v>9052.07</v>
      </c>
      <c r="T934">
        <v>0</v>
      </c>
      <c r="U934" s="1"/>
      <c r="V934" s="1" t="s">
        <v>1246</v>
      </c>
      <c r="W934">
        <v>19300.716</v>
      </c>
      <c r="X934">
        <v>0</v>
      </c>
      <c r="Y934">
        <v>76372</v>
      </c>
    </row>
    <row r="935" spans="1:25" ht="15" hidden="1" customHeight="1" x14ac:dyDescent="0.25">
      <c r="A935" s="1" t="s">
        <v>27</v>
      </c>
      <c r="B935" s="1"/>
      <c r="C935" s="1" t="s">
        <v>110</v>
      </c>
      <c r="D935">
        <v>9965</v>
      </c>
      <c r="E935" s="1"/>
      <c r="F935" s="1" t="s">
        <v>110</v>
      </c>
      <c r="G935" s="1" t="s">
        <v>110</v>
      </c>
      <c r="H935" s="1" t="s">
        <v>1405</v>
      </c>
      <c r="I935">
        <v>2010</v>
      </c>
      <c r="J935" s="93">
        <v>22489.42</v>
      </c>
      <c r="K935">
        <v>12</v>
      </c>
      <c r="L935" s="1" t="s">
        <v>403</v>
      </c>
      <c r="M935">
        <v>0</v>
      </c>
      <c r="N935">
        <v>715</v>
      </c>
      <c r="O935">
        <v>31.449335000000001</v>
      </c>
      <c r="P935">
        <v>2</v>
      </c>
      <c r="Q935" s="1" t="s">
        <v>569</v>
      </c>
      <c r="R935" s="93">
        <v>22489.42</v>
      </c>
      <c r="S935">
        <v>10547.54</v>
      </c>
      <c r="T935">
        <v>0</v>
      </c>
      <c r="U935" s="1"/>
      <c r="V935" s="1" t="s">
        <v>1246</v>
      </c>
      <c r="W935">
        <v>22489.41113</v>
      </c>
      <c r="X935">
        <v>0</v>
      </c>
      <c r="Y935">
        <v>76372</v>
      </c>
    </row>
    <row r="936" spans="1:25" ht="15" hidden="1" customHeight="1" x14ac:dyDescent="0.25">
      <c r="A936" s="1" t="s">
        <v>27</v>
      </c>
      <c r="B936" s="1"/>
      <c r="C936" s="1" t="s">
        <v>110</v>
      </c>
      <c r="D936">
        <v>9965</v>
      </c>
      <c r="E936" s="1"/>
      <c r="F936" s="1" t="s">
        <v>110</v>
      </c>
      <c r="G936" s="1" t="s">
        <v>110</v>
      </c>
      <c r="H936" s="1" t="s">
        <v>1405</v>
      </c>
      <c r="I936">
        <v>2009</v>
      </c>
      <c r="J936" s="93">
        <v>25297.08</v>
      </c>
      <c r="K936">
        <v>5</v>
      </c>
      <c r="L936" s="1" t="s">
        <v>403</v>
      </c>
      <c r="M936">
        <v>0</v>
      </c>
      <c r="N936">
        <v>715</v>
      </c>
      <c r="O936">
        <v>35.375582999999999</v>
      </c>
      <c r="P936">
        <v>2</v>
      </c>
      <c r="Q936" s="1" t="s">
        <v>569</v>
      </c>
      <c r="R936" s="93">
        <v>25297.08</v>
      </c>
      <c r="S936">
        <v>11864.33</v>
      </c>
      <c r="T936">
        <v>0</v>
      </c>
      <c r="U936" s="1"/>
      <c r="V936" s="1" t="s">
        <v>1246</v>
      </c>
      <c r="W936">
        <v>25297.088199999998</v>
      </c>
      <c r="X936">
        <v>0</v>
      </c>
      <c r="Y936">
        <v>76372</v>
      </c>
    </row>
    <row r="937" spans="1:25" ht="15" hidden="1" customHeight="1" x14ac:dyDescent="0.25">
      <c r="A937" s="1" t="s">
        <v>27</v>
      </c>
      <c r="B937" s="1"/>
      <c r="C937" s="1" t="s">
        <v>110</v>
      </c>
      <c r="D937">
        <v>9965</v>
      </c>
      <c r="E937" s="1"/>
      <c r="F937" s="1" t="s">
        <v>110</v>
      </c>
      <c r="G937" s="1" t="s">
        <v>110</v>
      </c>
      <c r="H937" s="1" t="s">
        <v>1405</v>
      </c>
      <c r="I937">
        <v>2008</v>
      </c>
      <c r="J937" s="93">
        <v>25049.98</v>
      </c>
      <c r="K937">
        <v>5</v>
      </c>
      <c r="L937" s="1" t="s">
        <v>403</v>
      </c>
      <c r="M937">
        <v>0</v>
      </c>
      <c r="N937">
        <v>715</v>
      </c>
      <c r="O937">
        <v>35.030037</v>
      </c>
      <c r="P937">
        <v>2</v>
      </c>
      <c r="Q937" s="1" t="s">
        <v>569</v>
      </c>
      <c r="R937" s="93">
        <v>25049.98</v>
      </c>
      <c r="S937">
        <v>11748.43</v>
      </c>
      <c r="T937">
        <v>0</v>
      </c>
      <c r="U937" s="1"/>
      <c r="V937" s="1" t="s">
        <v>1246</v>
      </c>
      <c r="W937">
        <v>25049.98531</v>
      </c>
      <c r="X937">
        <v>0</v>
      </c>
      <c r="Y937">
        <v>76372</v>
      </c>
    </row>
    <row r="938" spans="1:25" ht="15" hidden="1" customHeight="1" x14ac:dyDescent="0.25">
      <c r="A938" s="1" t="s">
        <v>27</v>
      </c>
      <c r="B938" s="1" t="s">
        <v>49</v>
      </c>
      <c r="C938" s="1" t="s">
        <v>111</v>
      </c>
      <c r="D938">
        <v>5251</v>
      </c>
      <c r="E938" s="1"/>
      <c r="F938" s="1" t="s">
        <v>257</v>
      </c>
      <c r="G938" s="1" t="s">
        <v>257</v>
      </c>
      <c r="H938" s="1" t="s">
        <v>1405</v>
      </c>
      <c r="I938">
        <v>2015</v>
      </c>
      <c r="J938" s="93">
        <v>5824</v>
      </c>
      <c r="K938">
        <v>5</v>
      </c>
      <c r="L938" s="1" t="s">
        <v>404</v>
      </c>
      <c r="M938">
        <v>0</v>
      </c>
      <c r="N938">
        <v>375</v>
      </c>
      <c r="O938">
        <v>6.5073840000000001</v>
      </c>
      <c r="P938">
        <v>2</v>
      </c>
      <c r="Q938" s="1" t="s">
        <v>569</v>
      </c>
      <c r="R938" s="93">
        <v>2440.92</v>
      </c>
      <c r="S938">
        <v>976.37</v>
      </c>
      <c r="T938">
        <v>0</v>
      </c>
      <c r="U938" s="1" t="s">
        <v>954</v>
      </c>
      <c r="V938" s="1" t="s">
        <v>1247</v>
      </c>
      <c r="W938">
        <v>2440.9250999999999</v>
      </c>
      <c r="X938">
        <v>0</v>
      </c>
      <c r="Y938">
        <v>56680</v>
      </c>
    </row>
    <row r="939" spans="1:25" ht="15" hidden="1" customHeight="1" x14ac:dyDescent="0.25">
      <c r="A939" s="1" t="s">
        <v>27</v>
      </c>
      <c r="B939" s="1" t="s">
        <v>49</v>
      </c>
      <c r="C939" s="1" t="s">
        <v>111</v>
      </c>
      <c r="D939">
        <v>5251</v>
      </c>
      <c r="E939" s="1"/>
      <c r="F939" s="1" t="s">
        <v>257</v>
      </c>
      <c r="G939" s="1" t="s">
        <v>257</v>
      </c>
      <c r="H939" s="1" t="s">
        <v>1405</v>
      </c>
      <c r="I939">
        <v>2013</v>
      </c>
      <c r="J939" s="93">
        <v>20665.3</v>
      </c>
      <c r="K939">
        <v>12</v>
      </c>
      <c r="L939" s="1" t="s">
        <v>404</v>
      </c>
      <c r="M939">
        <v>0</v>
      </c>
      <c r="N939">
        <v>375</v>
      </c>
      <c r="O939">
        <v>55.092775000000003</v>
      </c>
      <c r="P939">
        <v>2</v>
      </c>
      <c r="Q939" s="1" t="s">
        <v>569</v>
      </c>
      <c r="R939" s="93">
        <v>20665.3</v>
      </c>
      <c r="S939">
        <v>8266.1</v>
      </c>
      <c r="T939">
        <v>0</v>
      </c>
      <c r="U939" s="1" t="s">
        <v>954</v>
      </c>
      <c r="V939" s="1" t="s">
        <v>1247</v>
      </c>
      <c r="W939">
        <v>20665.312699999999</v>
      </c>
      <c r="X939">
        <v>0</v>
      </c>
      <c r="Y939">
        <v>56680</v>
      </c>
    </row>
    <row r="940" spans="1:25" ht="15" hidden="1" customHeight="1" x14ac:dyDescent="0.25">
      <c r="A940" s="1" t="s">
        <v>27</v>
      </c>
      <c r="B940" s="1" t="s">
        <v>49</v>
      </c>
      <c r="C940" s="1" t="s">
        <v>111</v>
      </c>
      <c r="D940">
        <v>5251</v>
      </c>
      <c r="E940" s="1"/>
      <c r="F940" s="1" t="s">
        <v>257</v>
      </c>
      <c r="G940" s="1" t="s">
        <v>257</v>
      </c>
      <c r="H940" s="1" t="s">
        <v>1405</v>
      </c>
      <c r="I940">
        <v>2012</v>
      </c>
      <c r="J940" s="93">
        <v>16231.31</v>
      </c>
      <c r="K940">
        <v>12</v>
      </c>
      <c r="L940" s="1" t="s">
        <v>404</v>
      </c>
      <c r="M940">
        <v>0</v>
      </c>
      <c r="N940">
        <v>375</v>
      </c>
      <c r="O940">
        <v>43.271954000000001</v>
      </c>
      <c r="P940">
        <v>2</v>
      </c>
      <c r="Q940" s="1" t="s">
        <v>569</v>
      </c>
      <c r="R940" s="93">
        <v>16231.31</v>
      </c>
      <c r="S940">
        <v>6492.52</v>
      </c>
      <c r="T940">
        <v>0</v>
      </c>
      <c r="U940" s="1" t="s">
        <v>954</v>
      </c>
      <c r="V940" s="1" t="s">
        <v>1247</v>
      </c>
      <c r="W940">
        <v>16231.303900000001</v>
      </c>
      <c r="X940">
        <v>0</v>
      </c>
      <c r="Y940">
        <v>56680</v>
      </c>
    </row>
    <row r="941" spans="1:25" ht="15" hidden="1" customHeight="1" x14ac:dyDescent="0.25">
      <c r="A941" s="1" t="s">
        <v>27</v>
      </c>
      <c r="B941" s="1" t="s">
        <v>49</v>
      </c>
      <c r="C941" s="1" t="s">
        <v>111</v>
      </c>
      <c r="D941">
        <v>5251</v>
      </c>
      <c r="E941" s="1"/>
      <c r="F941" s="1" t="s">
        <v>257</v>
      </c>
      <c r="G941" s="1" t="s">
        <v>257</v>
      </c>
      <c r="H941" s="1" t="s">
        <v>1405</v>
      </c>
      <c r="I941">
        <v>2011</v>
      </c>
      <c r="J941" s="93">
        <v>12715.22</v>
      </c>
      <c r="K941">
        <v>12</v>
      </c>
      <c r="L941" s="1" t="s">
        <v>404</v>
      </c>
      <c r="M941">
        <v>0</v>
      </c>
      <c r="N941">
        <v>375</v>
      </c>
      <c r="O941">
        <v>33.898212999999998</v>
      </c>
      <c r="P941">
        <v>2</v>
      </c>
      <c r="Q941" s="1" t="s">
        <v>569</v>
      </c>
      <c r="R941" s="93">
        <v>12715.22</v>
      </c>
      <c r="S941">
        <v>5963.43</v>
      </c>
      <c r="T941">
        <v>0</v>
      </c>
      <c r="U941" s="1" t="s">
        <v>954</v>
      </c>
      <c r="V941" s="1" t="s">
        <v>1247</v>
      </c>
      <c r="W941">
        <v>12715.221100000001</v>
      </c>
      <c r="X941">
        <v>0</v>
      </c>
      <c r="Y941">
        <v>56680</v>
      </c>
    </row>
    <row r="942" spans="1:25" ht="15" hidden="1" customHeight="1" x14ac:dyDescent="0.25">
      <c r="A942" s="1" t="s">
        <v>27</v>
      </c>
      <c r="B942" s="1" t="s">
        <v>49</v>
      </c>
      <c r="C942" s="1" t="s">
        <v>111</v>
      </c>
      <c r="D942">
        <v>5251</v>
      </c>
      <c r="E942" s="1"/>
      <c r="F942" s="1" t="s">
        <v>257</v>
      </c>
      <c r="G942" s="1" t="s">
        <v>257</v>
      </c>
      <c r="H942" s="1" t="s">
        <v>1405</v>
      </c>
      <c r="I942">
        <v>2010</v>
      </c>
      <c r="J942" s="93">
        <v>15744.48</v>
      </c>
      <c r="K942">
        <v>12</v>
      </c>
      <c r="L942" s="1" t="s">
        <v>404</v>
      </c>
      <c r="M942">
        <v>0</v>
      </c>
      <c r="N942">
        <v>375</v>
      </c>
      <c r="O942">
        <v>41.974086</v>
      </c>
      <c r="P942">
        <v>2</v>
      </c>
      <c r="Q942" s="1" t="s">
        <v>569</v>
      </c>
      <c r="R942" s="93">
        <v>15744.48</v>
      </c>
      <c r="S942">
        <v>7384.17</v>
      </c>
      <c r="T942">
        <v>0</v>
      </c>
      <c r="U942" s="1" t="s">
        <v>954</v>
      </c>
      <c r="V942" s="1" t="s">
        <v>1247</v>
      </c>
      <c r="W942">
        <v>15744.4815</v>
      </c>
      <c r="X942">
        <v>0</v>
      </c>
      <c r="Y942">
        <v>56680</v>
      </c>
    </row>
    <row r="943" spans="1:25" ht="15" hidden="1" customHeight="1" x14ac:dyDescent="0.25">
      <c r="A943" s="1" t="s">
        <v>27</v>
      </c>
      <c r="B943" s="1" t="s">
        <v>49</v>
      </c>
      <c r="C943" s="1" t="s">
        <v>111</v>
      </c>
      <c r="D943">
        <v>5251</v>
      </c>
      <c r="E943" s="1"/>
      <c r="F943" s="1" t="s">
        <v>257</v>
      </c>
      <c r="G943" s="1" t="s">
        <v>257</v>
      </c>
      <c r="H943" s="1" t="s">
        <v>1405</v>
      </c>
      <c r="I943">
        <v>2009</v>
      </c>
      <c r="J943" s="93">
        <v>17057.41</v>
      </c>
      <c r="K943">
        <v>12</v>
      </c>
      <c r="L943" s="1" t="s">
        <v>404</v>
      </c>
      <c r="M943">
        <v>0</v>
      </c>
      <c r="N943">
        <v>375</v>
      </c>
      <c r="O943">
        <v>45.474299999999999</v>
      </c>
      <c r="P943">
        <v>2</v>
      </c>
      <c r="Q943" s="1" t="s">
        <v>569</v>
      </c>
      <c r="R943" s="93">
        <v>17057.41</v>
      </c>
      <c r="S943">
        <v>7999.93</v>
      </c>
      <c r="T943">
        <v>0</v>
      </c>
      <c r="U943" s="1" t="s">
        <v>954</v>
      </c>
      <c r="V943" s="1" t="s">
        <v>1247</v>
      </c>
      <c r="W943">
        <v>17057.398000000001</v>
      </c>
      <c r="X943">
        <v>0</v>
      </c>
      <c r="Y943">
        <v>56680</v>
      </c>
    </row>
    <row r="944" spans="1:25" ht="15" hidden="1" customHeight="1" x14ac:dyDescent="0.25">
      <c r="A944" s="1" t="s">
        <v>27</v>
      </c>
      <c r="B944" s="1" t="s">
        <v>49</v>
      </c>
      <c r="C944" s="1" t="s">
        <v>111</v>
      </c>
      <c r="D944">
        <v>5251</v>
      </c>
      <c r="E944" s="1"/>
      <c r="F944" s="1" t="s">
        <v>257</v>
      </c>
      <c r="G944" s="1" t="s">
        <v>257</v>
      </c>
      <c r="H944" s="1" t="s">
        <v>1405</v>
      </c>
      <c r="I944">
        <v>2008</v>
      </c>
      <c r="J944" s="93">
        <v>19899.34</v>
      </c>
      <c r="K944">
        <v>12</v>
      </c>
      <c r="L944" s="1" t="s">
        <v>404</v>
      </c>
      <c r="M944">
        <v>0</v>
      </c>
      <c r="N944">
        <v>375</v>
      </c>
      <c r="O944">
        <v>53.050758999999999</v>
      </c>
      <c r="P944">
        <v>2</v>
      </c>
      <c r="Q944" s="1" t="s">
        <v>569</v>
      </c>
      <c r="R944" s="93">
        <v>19899.34</v>
      </c>
      <c r="S944">
        <v>9332.7999999999993</v>
      </c>
      <c r="T944">
        <v>0</v>
      </c>
      <c r="U944" s="1" t="s">
        <v>954</v>
      </c>
      <c r="V944" s="1" t="s">
        <v>1247</v>
      </c>
      <c r="W944">
        <v>19899.350299999998</v>
      </c>
      <c r="X944">
        <v>0</v>
      </c>
      <c r="Y944">
        <v>56680</v>
      </c>
    </row>
    <row r="945" spans="1:25" ht="15" hidden="1" customHeight="1" x14ac:dyDescent="0.25">
      <c r="A945" s="1" t="s">
        <v>27</v>
      </c>
      <c r="B945" s="1"/>
      <c r="C945" s="1" t="s">
        <v>112</v>
      </c>
      <c r="D945">
        <v>9980</v>
      </c>
      <c r="E945" s="1"/>
      <c r="F945" s="1" t="s">
        <v>258</v>
      </c>
      <c r="G945" s="1" t="s">
        <v>258</v>
      </c>
      <c r="H945" s="1" t="s">
        <v>1405</v>
      </c>
      <c r="I945">
        <v>2015</v>
      </c>
      <c r="J945" s="93">
        <v>23554</v>
      </c>
      <c r="K945">
        <v>5</v>
      </c>
      <c r="L945" s="1" t="s">
        <v>426</v>
      </c>
      <c r="M945">
        <v>0</v>
      </c>
      <c r="N945">
        <v>961</v>
      </c>
      <c r="O945">
        <v>9.3108620000000002</v>
      </c>
      <c r="P945">
        <v>2</v>
      </c>
      <c r="Q945" s="1" t="s">
        <v>569</v>
      </c>
      <c r="R945" s="93">
        <v>8948.67</v>
      </c>
      <c r="S945">
        <v>2684.59</v>
      </c>
      <c r="T945">
        <v>0</v>
      </c>
      <c r="U945" s="1" t="s">
        <v>955</v>
      </c>
      <c r="V945" s="1" t="s">
        <v>1248</v>
      </c>
      <c r="W945">
        <v>8948.66</v>
      </c>
      <c r="X945">
        <v>0</v>
      </c>
      <c r="Y945">
        <v>76420</v>
      </c>
    </row>
    <row r="946" spans="1:25" ht="15" hidden="1" customHeight="1" x14ac:dyDescent="0.25">
      <c r="A946" s="1" t="s">
        <v>27</v>
      </c>
      <c r="B946" s="1"/>
      <c r="C946" s="1" t="s">
        <v>112</v>
      </c>
      <c r="D946">
        <v>9980</v>
      </c>
      <c r="E946" s="1"/>
      <c r="F946" s="1" t="s">
        <v>258</v>
      </c>
      <c r="G946" s="1" t="s">
        <v>258</v>
      </c>
      <c r="H946" s="1" t="s">
        <v>1405</v>
      </c>
      <c r="I946">
        <v>2013</v>
      </c>
      <c r="J946" s="93">
        <v>25179.13</v>
      </c>
      <c r="K946">
        <v>12</v>
      </c>
      <c r="L946" s="1" t="s">
        <v>426</v>
      </c>
      <c r="M946">
        <v>0</v>
      </c>
      <c r="N946">
        <v>961</v>
      </c>
      <c r="O946">
        <v>26.198240999999999</v>
      </c>
      <c r="P946">
        <v>2</v>
      </c>
      <c r="Q946" s="1" t="s">
        <v>569</v>
      </c>
      <c r="R946" s="93">
        <v>25179.13</v>
      </c>
      <c r="S946">
        <v>7553.73</v>
      </c>
      <c r="T946">
        <v>0</v>
      </c>
      <c r="U946" s="1" t="s">
        <v>955</v>
      </c>
      <c r="V946" s="1" t="s">
        <v>1248</v>
      </c>
      <c r="W946">
        <v>25179.124</v>
      </c>
      <c r="X946">
        <v>0</v>
      </c>
      <c r="Y946">
        <v>76420</v>
      </c>
    </row>
    <row r="947" spans="1:25" ht="15" hidden="1" customHeight="1" x14ac:dyDescent="0.25">
      <c r="A947" s="1" t="s">
        <v>27</v>
      </c>
      <c r="B947" s="1"/>
      <c r="C947" s="1" t="s">
        <v>112</v>
      </c>
      <c r="D947">
        <v>9980</v>
      </c>
      <c r="E947" s="1"/>
      <c r="F947" s="1" t="s">
        <v>258</v>
      </c>
      <c r="G947" s="1" t="s">
        <v>258</v>
      </c>
      <c r="H947" s="1" t="s">
        <v>1405</v>
      </c>
      <c r="I947">
        <v>2012</v>
      </c>
      <c r="J947" s="93">
        <v>30812.3</v>
      </c>
      <c r="K947">
        <v>12</v>
      </c>
      <c r="L947" s="1" t="s">
        <v>426</v>
      </c>
      <c r="M947">
        <v>0</v>
      </c>
      <c r="N947">
        <v>961</v>
      </c>
      <c r="O947">
        <v>32.059410999999997</v>
      </c>
      <c r="P947">
        <v>2</v>
      </c>
      <c r="Q947" s="1" t="s">
        <v>569</v>
      </c>
      <c r="R947" s="93">
        <v>30812.3</v>
      </c>
      <c r="S947">
        <v>12324.92</v>
      </c>
      <c r="T947">
        <v>0</v>
      </c>
      <c r="U947" s="1" t="s">
        <v>955</v>
      </c>
      <c r="V947" s="1" t="s">
        <v>1248</v>
      </c>
      <c r="W947">
        <v>30812.291000000001</v>
      </c>
      <c r="X947">
        <v>0</v>
      </c>
      <c r="Y947">
        <v>76420</v>
      </c>
    </row>
    <row r="948" spans="1:25" ht="15" hidden="1" customHeight="1" x14ac:dyDescent="0.25">
      <c r="A948" s="1" t="s">
        <v>27</v>
      </c>
      <c r="B948" s="1"/>
      <c r="C948" s="1" t="s">
        <v>112</v>
      </c>
      <c r="D948">
        <v>9980</v>
      </c>
      <c r="E948" s="1"/>
      <c r="F948" s="1" t="s">
        <v>258</v>
      </c>
      <c r="G948" s="1" t="s">
        <v>258</v>
      </c>
      <c r="H948" s="1" t="s">
        <v>1405</v>
      </c>
      <c r="I948">
        <v>2011</v>
      </c>
      <c r="J948" s="93">
        <v>43239.81</v>
      </c>
      <c r="K948">
        <v>3</v>
      </c>
      <c r="L948" s="1" t="s">
        <v>426</v>
      </c>
      <c r="M948">
        <v>0</v>
      </c>
      <c r="N948">
        <v>961</v>
      </c>
      <c r="O948">
        <v>44.989916999999998</v>
      </c>
      <c r="P948">
        <v>2</v>
      </c>
      <c r="Q948" s="1" t="s">
        <v>569</v>
      </c>
      <c r="R948" s="93">
        <v>43239.81</v>
      </c>
      <c r="S948">
        <v>20279.46</v>
      </c>
      <c r="T948">
        <v>0</v>
      </c>
      <c r="U948" s="1" t="s">
        <v>955</v>
      </c>
      <c r="V948" s="1" t="s">
        <v>1248</v>
      </c>
      <c r="W948">
        <v>43239.833610000001</v>
      </c>
      <c r="X948">
        <v>0</v>
      </c>
      <c r="Y948">
        <v>76420</v>
      </c>
    </row>
    <row r="949" spans="1:25" ht="15" hidden="1" customHeight="1" x14ac:dyDescent="0.25">
      <c r="A949" s="1" t="s">
        <v>27</v>
      </c>
      <c r="B949" s="1"/>
      <c r="C949" s="1" t="s">
        <v>112</v>
      </c>
      <c r="D949">
        <v>9980</v>
      </c>
      <c r="E949" s="1"/>
      <c r="F949" s="1" t="s">
        <v>258</v>
      </c>
      <c r="G949" s="1" t="s">
        <v>258</v>
      </c>
      <c r="H949" s="1" t="s">
        <v>1405</v>
      </c>
      <c r="I949">
        <v>2010</v>
      </c>
      <c r="J949" s="93">
        <v>63828.35</v>
      </c>
      <c r="K949">
        <v>4</v>
      </c>
      <c r="L949" s="1" t="s">
        <v>426</v>
      </c>
      <c r="M949">
        <v>0</v>
      </c>
      <c r="N949">
        <v>961</v>
      </c>
      <c r="O949">
        <v>66.411766999999998</v>
      </c>
      <c r="P949">
        <v>2</v>
      </c>
      <c r="Q949" s="1" t="s">
        <v>569</v>
      </c>
      <c r="R949" s="93">
        <v>63828.35</v>
      </c>
      <c r="S949">
        <v>29935.47</v>
      </c>
      <c r="T949">
        <v>0</v>
      </c>
      <c r="U949" s="1" t="s">
        <v>955</v>
      </c>
      <c r="V949" s="1" t="s">
        <v>1248</v>
      </c>
      <c r="W949">
        <v>63828.349399999999</v>
      </c>
      <c r="X949">
        <v>0</v>
      </c>
      <c r="Y949">
        <v>76420</v>
      </c>
    </row>
    <row r="950" spans="1:25" ht="15" hidden="1" customHeight="1" x14ac:dyDescent="0.25">
      <c r="A950" s="1" t="s">
        <v>27</v>
      </c>
      <c r="B950" s="1"/>
      <c r="C950" s="1" t="s">
        <v>112</v>
      </c>
      <c r="D950">
        <v>9980</v>
      </c>
      <c r="E950" s="1"/>
      <c r="F950" s="1" t="s">
        <v>258</v>
      </c>
      <c r="G950" s="1" t="s">
        <v>258</v>
      </c>
      <c r="H950" s="1" t="s">
        <v>1405</v>
      </c>
      <c r="I950">
        <v>2009</v>
      </c>
      <c r="J950" s="93">
        <v>51140.61</v>
      </c>
      <c r="K950">
        <v>9</v>
      </c>
      <c r="L950" s="1" t="s">
        <v>426</v>
      </c>
      <c r="M950">
        <v>0</v>
      </c>
      <c r="N950">
        <v>961</v>
      </c>
      <c r="O950">
        <v>53.210498000000001</v>
      </c>
      <c r="P950">
        <v>2</v>
      </c>
      <c r="Q950" s="1" t="s">
        <v>569</v>
      </c>
      <c r="R950" s="93">
        <v>51140.61</v>
      </c>
      <c r="S950">
        <v>23984.92</v>
      </c>
      <c r="T950">
        <v>0</v>
      </c>
      <c r="U950" s="1" t="s">
        <v>955</v>
      </c>
      <c r="V950" s="1" t="s">
        <v>1248</v>
      </c>
      <c r="W950">
        <v>51140.588219999998</v>
      </c>
      <c r="X950">
        <v>0</v>
      </c>
      <c r="Y950">
        <v>76420</v>
      </c>
    </row>
    <row r="951" spans="1:25" ht="15" hidden="1" customHeight="1" x14ac:dyDescent="0.25">
      <c r="A951" s="1" t="s">
        <v>27</v>
      </c>
      <c r="B951" s="1"/>
      <c r="C951" s="1" t="s">
        <v>112</v>
      </c>
      <c r="D951">
        <v>9980</v>
      </c>
      <c r="E951" s="1"/>
      <c r="F951" s="1" t="s">
        <v>258</v>
      </c>
      <c r="G951" s="1" t="s">
        <v>258</v>
      </c>
      <c r="H951" s="1" t="s">
        <v>1405</v>
      </c>
      <c r="I951">
        <v>2008</v>
      </c>
      <c r="J951" s="93">
        <v>40861.050000000003</v>
      </c>
      <c r="K951">
        <v>5</v>
      </c>
      <c r="L951" s="1" t="s">
        <v>426</v>
      </c>
      <c r="M951">
        <v>0</v>
      </c>
      <c r="N951">
        <v>961</v>
      </c>
      <c r="O951">
        <v>42.514878000000003</v>
      </c>
      <c r="P951">
        <v>2</v>
      </c>
      <c r="Q951" s="1" t="s">
        <v>569</v>
      </c>
      <c r="R951" s="93">
        <v>40861.050000000003</v>
      </c>
      <c r="S951">
        <v>19163.830000000002</v>
      </c>
      <c r="T951">
        <v>0</v>
      </c>
      <c r="U951" s="1" t="s">
        <v>955</v>
      </c>
      <c r="V951" s="1" t="s">
        <v>1248</v>
      </c>
      <c r="W951">
        <v>40861.057589999997</v>
      </c>
      <c r="X951">
        <v>0</v>
      </c>
      <c r="Y951">
        <v>76420</v>
      </c>
    </row>
    <row r="952" spans="1:25" ht="15" hidden="1" customHeight="1" x14ac:dyDescent="0.25">
      <c r="A952" s="1" t="s">
        <v>27</v>
      </c>
      <c r="B952" s="1" t="s">
        <v>50</v>
      </c>
      <c r="C952" s="1" t="s">
        <v>113</v>
      </c>
      <c r="D952">
        <v>5278</v>
      </c>
      <c r="E952" s="1"/>
      <c r="F952" s="1" t="s">
        <v>113</v>
      </c>
      <c r="G952" s="1" t="s">
        <v>113</v>
      </c>
      <c r="H952" s="1" t="s">
        <v>1405</v>
      </c>
      <c r="I952">
        <v>2015</v>
      </c>
      <c r="J952" s="93">
        <v>28825</v>
      </c>
      <c r="K952">
        <v>5</v>
      </c>
      <c r="L952" s="1" t="s">
        <v>404</v>
      </c>
      <c r="M952">
        <v>0</v>
      </c>
      <c r="N952">
        <v>760</v>
      </c>
      <c r="O952">
        <v>14.902552</v>
      </c>
      <c r="P952">
        <v>2</v>
      </c>
      <c r="Q952" s="1" t="s">
        <v>569</v>
      </c>
      <c r="R952" s="93">
        <v>11327.43</v>
      </c>
      <c r="S952">
        <v>4530.96</v>
      </c>
      <c r="T952">
        <v>0</v>
      </c>
      <c r="U952" s="1" t="s">
        <v>956</v>
      </c>
      <c r="V952" s="1" t="s">
        <v>1249</v>
      </c>
      <c r="W952">
        <v>11327.433000000001</v>
      </c>
      <c r="X952">
        <v>0</v>
      </c>
      <c r="Y952">
        <v>56873</v>
      </c>
    </row>
    <row r="953" spans="1:25" ht="15" hidden="1" customHeight="1" x14ac:dyDescent="0.25">
      <c r="A953" s="1" t="s">
        <v>27</v>
      </c>
      <c r="B953" s="1" t="s">
        <v>50</v>
      </c>
      <c r="C953" s="1" t="s">
        <v>113</v>
      </c>
      <c r="D953">
        <v>5278</v>
      </c>
      <c r="E953" s="1"/>
      <c r="F953" s="1" t="s">
        <v>113</v>
      </c>
      <c r="G953" s="1" t="s">
        <v>113</v>
      </c>
      <c r="H953" s="1" t="s">
        <v>1405</v>
      </c>
      <c r="I953">
        <v>2013</v>
      </c>
      <c r="J953" s="93">
        <v>23875.84</v>
      </c>
      <c r="K953">
        <v>12</v>
      </c>
      <c r="L953" s="1" t="s">
        <v>404</v>
      </c>
      <c r="M953">
        <v>0</v>
      </c>
      <c r="N953">
        <v>760</v>
      </c>
      <c r="O953">
        <v>31.411445000000001</v>
      </c>
      <c r="P953">
        <v>2</v>
      </c>
      <c r="Q953" s="1" t="s">
        <v>569</v>
      </c>
      <c r="R953" s="93">
        <v>23875.84</v>
      </c>
      <c r="S953">
        <v>9550.34</v>
      </c>
      <c r="T953">
        <v>0</v>
      </c>
      <c r="U953" s="1" t="s">
        <v>956</v>
      </c>
      <c r="V953" s="1" t="s">
        <v>1249</v>
      </c>
      <c r="W953">
        <v>23875.848000000002</v>
      </c>
      <c r="X953">
        <v>0</v>
      </c>
      <c r="Y953">
        <v>56873</v>
      </c>
    </row>
    <row r="954" spans="1:25" ht="15" hidden="1" customHeight="1" x14ac:dyDescent="0.25">
      <c r="A954" s="1" t="s">
        <v>27</v>
      </c>
      <c r="B954" s="1" t="s">
        <v>50</v>
      </c>
      <c r="C954" s="1" t="s">
        <v>113</v>
      </c>
      <c r="D954">
        <v>5278</v>
      </c>
      <c r="E954" s="1"/>
      <c r="F954" s="1" t="s">
        <v>113</v>
      </c>
      <c r="G954" s="1" t="s">
        <v>113</v>
      </c>
      <c r="H954" s="1" t="s">
        <v>1405</v>
      </c>
      <c r="I954">
        <v>2012</v>
      </c>
      <c r="J954" s="93">
        <v>27210.83</v>
      </c>
      <c r="K954">
        <v>12</v>
      </c>
      <c r="L954" s="1" t="s">
        <v>404</v>
      </c>
      <c r="M954">
        <v>0</v>
      </c>
      <c r="N954">
        <v>760</v>
      </c>
      <c r="O954">
        <v>35.799013000000002</v>
      </c>
      <c r="P954">
        <v>2</v>
      </c>
      <c r="Q954" s="1" t="s">
        <v>569</v>
      </c>
      <c r="R954" s="93">
        <v>27210.83</v>
      </c>
      <c r="S954">
        <v>10884.33</v>
      </c>
      <c r="T954">
        <v>0</v>
      </c>
      <c r="U954" s="1" t="s">
        <v>956</v>
      </c>
      <c r="V954" s="1" t="s">
        <v>1249</v>
      </c>
      <c r="W954">
        <v>27210.821</v>
      </c>
      <c r="X954">
        <v>0</v>
      </c>
      <c r="Y954">
        <v>56873</v>
      </c>
    </row>
    <row r="955" spans="1:25" ht="15" hidden="1" customHeight="1" x14ac:dyDescent="0.25">
      <c r="A955" s="1" t="s">
        <v>27</v>
      </c>
      <c r="B955" s="1" t="s">
        <v>50</v>
      </c>
      <c r="C955" s="1" t="s">
        <v>113</v>
      </c>
      <c r="D955">
        <v>5278</v>
      </c>
      <c r="E955" s="1"/>
      <c r="F955" s="1" t="s">
        <v>113</v>
      </c>
      <c r="G955" s="1" t="s">
        <v>113</v>
      </c>
      <c r="H955" s="1" t="s">
        <v>1405</v>
      </c>
      <c r="I955">
        <v>2011</v>
      </c>
      <c r="J955" s="93">
        <v>28255.39</v>
      </c>
      <c r="K955">
        <v>12</v>
      </c>
      <c r="L955" s="1" t="s">
        <v>404</v>
      </c>
      <c r="M955">
        <v>0</v>
      </c>
      <c r="N955">
        <v>760</v>
      </c>
      <c r="O955">
        <v>37.173253000000003</v>
      </c>
      <c r="P955">
        <v>2</v>
      </c>
      <c r="Q955" s="1" t="s">
        <v>569</v>
      </c>
      <c r="R955" s="93">
        <v>28255.39</v>
      </c>
      <c r="S955">
        <v>13251.78</v>
      </c>
      <c r="T955">
        <v>0</v>
      </c>
      <c r="U955" s="1" t="s">
        <v>956</v>
      </c>
      <c r="V955" s="1" t="s">
        <v>1249</v>
      </c>
      <c r="W955">
        <v>28255.401000000002</v>
      </c>
      <c r="X955">
        <v>0</v>
      </c>
      <c r="Y955">
        <v>56873</v>
      </c>
    </row>
    <row r="956" spans="1:25" ht="15" hidden="1" customHeight="1" x14ac:dyDescent="0.25">
      <c r="A956" s="1" t="s">
        <v>27</v>
      </c>
      <c r="B956" s="1" t="s">
        <v>50</v>
      </c>
      <c r="C956" s="1" t="s">
        <v>113</v>
      </c>
      <c r="D956">
        <v>5278</v>
      </c>
      <c r="E956" s="1"/>
      <c r="F956" s="1" t="s">
        <v>113</v>
      </c>
      <c r="G956" s="1" t="s">
        <v>113</v>
      </c>
      <c r="H956" s="1" t="s">
        <v>1405</v>
      </c>
      <c r="I956">
        <v>2010</v>
      </c>
      <c r="J956" s="93">
        <v>25014.77</v>
      </c>
      <c r="K956">
        <v>12</v>
      </c>
      <c r="L956" s="1" t="s">
        <v>404</v>
      </c>
      <c r="M956">
        <v>0</v>
      </c>
      <c r="N956">
        <v>760</v>
      </c>
      <c r="O956">
        <v>32.909840000000003</v>
      </c>
      <c r="P956">
        <v>2</v>
      </c>
      <c r="Q956" s="1" t="s">
        <v>569</v>
      </c>
      <c r="R956" s="93">
        <v>25014.77</v>
      </c>
      <c r="S956">
        <v>11731.89</v>
      </c>
      <c r="T956">
        <v>0</v>
      </c>
      <c r="U956" s="1" t="s">
        <v>956</v>
      </c>
      <c r="V956" s="1" t="s">
        <v>1249</v>
      </c>
      <c r="W956">
        <v>25014.75</v>
      </c>
      <c r="X956">
        <v>0</v>
      </c>
      <c r="Y956">
        <v>56873</v>
      </c>
    </row>
    <row r="957" spans="1:25" ht="15" hidden="1" customHeight="1" x14ac:dyDescent="0.25">
      <c r="A957" s="1" t="s">
        <v>27</v>
      </c>
      <c r="B957" s="1" t="s">
        <v>50</v>
      </c>
      <c r="C957" s="1" t="s">
        <v>113</v>
      </c>
      <c r="D957">
        <v>5278</v>
      </c>
      <c r="E957" s="1"/>
      <c r="F957" s="1" t="s">
        <v>113</v>
      </c>
      <c r="G957" s="1" t="s">
        <v>113</v>
      </c>
      <c r="H957" s="1" t="s">
        <v>1405</v>
      </c>
      <c r="I957">
        <v>2009</v>
      </c>
      <c r="J957" s="93">
        <v>20142.21</v>
      </c>
      <c r="K957">
        <v>12</v>
      </c>
      <c r="L957" s="1" t="s">
        <v>404</v>
      </c>
      <c r="M957">
        <v>0</v>
      </c>
      <c r="N957">
        <v>760</v>
      </c>
      <c r="O957">
        <v>26.499421000000002</v>
      </c>
      <c r="P957">
        <v>2</v>
      </c>
      <c r="Q957" s="1" t="s">
        <v>569</v>
      </c>
      <c r="R957" s="93">
        <v>20142.21</v>
      </c>
      <c r="S957">
        <v>9446.69</v>
      </c>
      <c r="T957">
        <v>0</v>
      </c>
      <c r="U957" s="1" t="s">
        <v>956</v>
      </c>
      <c r="V957" s="1" t="s">
        <v>1249</v>
      </c>
      <c r="W957">
        <v>20142.21</v>
      </c>
      <c r="X957">
        <v>0</v>
      </c>
      <c r="Y957">
        <v>56873</v>
      </c>
    </row>
    <row r="958" spans="1:25" ht="15" hidden="1" customHeight="1" x14ac:dyDescent="0.25">
      <c r="A958" s="1" t="s">
        <v>27</v>
      </c>
      <c r="B958" s="1" t="s">
        <v>50</v>
      </c>
      <c r="C958" s="1" t="s">
        <v>113</v>
      </c>
      <c r="D958">
        <v>5278</v>
      </c>
      <c r="E958" s="1"/>
      <c r="F958" s="1" t="s">
        <v>113</v>
      </c>
      <c r="G958" s="1" t="s">
        <v>113</v>
      </c>
      <c r="H958" s="1" t="s">
        <v>1405</v>
      </c>
      <c r="I958">
        <v>2008</v>
      </c>
      <c r="J958" s="93">
        <v>18979.419999999998</v>
      </c>
      <c r="K958">
        <v>12</v>
      </c>
      <c r="L958" s="1" t="s">
        <v>404</v>
      </c>
      <c r="M958">
        <v>0</v>
      </c>
      <c r="N958">
        <v>760</v>
      </c>
      <c r="O958">
        <v>24.969635</v>
      </c>
      <c r="P958">
        <v>2</v>
      </c>
      <c r="Q958" s="1" t="s">
        <v>569</v>
      </c>
      <c r="R958" s="93">
        <v>18979.419999999998</v>
      </c>
      <c r="S958">
        <v>8901.34</v>
      </c>
      <c r="T958">
        <v>0</v>
      </c>
      <c r="U958" s="1" t="s">
        <v>956</v>
      </c>
      <c r="V958" s="1" t="s">
        <v>1249</v>
      </c>
      <c r="W958">
        <v>18979.422999999999</v>
      </c>
      <c r="X958">
        <v>0</v>
      </c>
      <c r="Y958">
        <v>56873</v>
      </c>
    </row>
    <row r="959" spans="1:25" ht="15" hidden="1" customHeight="1" x14ac:dyDescent="0.25">
      <c r="A959" s="1" t="s">
        <v>27</v>
      </c>
      <c r="B959" s="1" t="s">
        <v>51</v>
      </c>
      <c r="C959" s="1" t="s">
        <v>114</v>
      </c>
      <c r="D959">
        <v>5276</v>
      </c>
      <c r="E959" s="1"/>
      <c r="F959" s="1" t="s">
        <v>259</v>
      </c>
      <c r="G959" s="1" t="s">
        <v>114</v>
      </c>
      <c r="H959" s="1" t="s">
        <v>1405</v>
      </c>
      <c r="I959">
        <v>2015</v>
      </c>
      <c r="J959" s="93">
        <v>7293</v>
      </c>
      <c r="K959">
        <v>5</v>
      </c>
      <c r="L959" s="1" t="s">
        <v>407</v>
      </c>
      <c r="M959">
        <v>0</v>
      </c>
      <c r="N959">
        <v>284</v>
      </c>
      <c r="O959">
        <v>9.4336850000000005</v>
      </c>
      <c r="P959">
        <v>2</v>
      </c>
      <c r="Q959" s="1" t="s">
        <v>569</v>
      </c>
      <c r="R959" s="93">
        <v>2680.11</v>
      </c>
      <c r="S959">
        <v>1072.04</v>
      </c>
      <c r="T959">
        <v>0</v>
      </c>
      <c r="U959" s="1" t="s">
        <v>957</v>
      </c>
      <c r="V959" s="1"/>
      <c r="W959">
        <v>2680.11</v>
      </c>
      <c r="X959">
        <v>0</v>
      </c>
      <c r="Y959">
        <v>56861</v>
      </c>
    </row>
    <row r="960" spans="1:25" ht="15" hidden="1" customHeight="1" x14ac:dyDescent="0.25">
      <c r="A960" s="1" t="s">
        <v>27</v>
      </c>
      <c r="B960" s="1" t="s">
        <v>51</v>
      </c>
      <c r="C960" s="1" t="s">
        <v>114</v>
      </c>
      <c r="D960">
        <v>5276</v>
      </c>
      <c r="E960" s="1"/>
      <c r="F960" s="1" t="s">
        <v>259</v>
      </c>
      <c r="G960" s="1" t="s">
        <v>114</v>
      </c>
      <c r="H960" s="1" t="s">
        <v>1405</v>
      </c>
      <c r="I960">
        <v>2013</v>
      </c>
      <c r="J960" s="93">
        <v>7350.73</v>
      </c>
      <c r="K960">
        <v>12</v>
      </c>
      <c r="L960" s="1" t="s">
        <v>407</v>
      </c>
      <c r="M960">
        <v>0</v>
      </c>
      <c r="N960">
        <v>284</v>
      </c>
      <c r="O960">
        <v>25.873740999999999</v>
      </c>
      <c r="P960">
        <v>2</v>
      </c>
      <c r="Q960" s="1" t="s">
        <v>569</v>
      </c>
      <c r="R960" s="93">
        <v>7350.73</v>
      </c>
      <c r="S960">
        <v>2940.29</v>
      </c>
      <c r="T960">
        <v>0</v>
      </c>
      <c r="U960" s="1" t="s">
        <v>957</v>
      </c>
      <c r="V960" s="1"/>
      <c r="W960">
        <v>7350.74</v>
      </c>
      <c r="X960">
        <v>0</v>
      </c>
      <c r="Y960">
        <v>56861</v>
      </c>
    </row>
    <row r="961" spans="1:25" ht="15" hidden="1" customHeight="1" x14ac:dyDescent="0.25">
      <c r="A961" s="1" t="s">
        <v>27</v>
      </c>
      <c r="B961" s="1" t="s">
        <v>51</v>
      </c>
      <c r="C961" s="1" t="s">
        <v>114</v>
      </c>
      <c r="D961">
        <v>5276</v>
      </c>
      <c r="E961" s="1"/>
      <c r="F961" s="1" t="s">
        <v>259</v>
      </c>
      <c r="G961" s="1" t="s">
        <v>114</v>
      </c>
      <c r="H961" s="1" t="s">
        <v>1405</v>
      </c>
      <c r="I961">
        <v>2012</v>
      </c>
      <c r="J961" s="93">
        <v>8131.45</v>
      </c>
      <c r="K961">
        <v>12</v>
      </c>
      <c r="L961" s="1" t="s">
        <v>407</v>
      </c>
      <c r="M961">
        <v>0</v>
      </c>
      <c r="N961">
        <v>284</v>
      </c>
      <c r="O961">
        <v>28.621787999999999</v>
      </c>
      <c r="P961">
        <v>2</v>
      </c>
      <c r="Q961" s="1" t="s">
        <v>569</v>
      </c>
      <c r="R961" s="93">
        <v>8131.45</v>
      </c>
      <c r="S961">
        <v>3252.57</v>
      </c>
      <c r="T961">
        <v>0</v>
      </c>
      <c r="U961" s="1" t="s">
        <v>957</v>
      </c>
      <c r="V961" s="1"/>
      <c r="W961">
        <v>8131.4520000000002</v>
      </c>
      <c r="X961">
        <v>0</v>
      </c>
      <c r="Y961">
        <v>56861</v>
      </c>
    </row>
    <row r="962" spans="1:25" ht="15" hidden="1" customHeight="1" x14ac:dyDescent="0.25">
      <c r="A962" s="1" t="s">
        <v>27</v>
      </c>
      <c r="B962" s="1" t="s">
        <v>51</v>
      </c>
      <c r="C962" s="1" t="s">
        <v>114</v>
      </c>
      <c r="D962">
        <v>5276</v>
      </c>
      <c r="E962" s="1"/>
      <c r="F962" s="1" t="s">
        <v>259</v>
      </c>
      <c r="G962" s="1" t="s">
        <v>114</v>
      </c>
      <c r="H962" s="1" t="s">
        <v>1405</v>
      </c>
      <c r="I962">
        <v>2011</v>
      </c>
      <c r="J962" s="93">
        <v>10308.030000000001</v>
      </c>
      <c r="K962">
        <v>12</v>
      </c>
      <c r="L962" s="1" t="s">
        <v>407</v>
      </c>
      <c r="M962">
        <v>0</v>
      </c>
      <c r="N962">
        <v>284</v>
      </c>
      <c r="O962">
        <v>36.283104000000002</v>
      </c>
      <c r="P962">
        <v>2</v>
      </c>
      <c r="Q962" s="1" t="s">
        <v>569</v>
      </c>
      <c r="R962" s="93">
        <v>10308.030000000001</v>
      </c>
      <c r="S962">
        <v>4834.47</v>
      </c>
      <c r="T962">
        <v>0</v>
      </c>
      <c r="U962" s="1" t="s">
        <v>957</v>
      </c>
      <c r="V962" s="1"/>
      <c r="W962">
        <v>10308.01</v>
      </c>
      <c r="X962">
        <v>0</v>
      </c>
      <c r="Y962">
        <v>56861</v>
      </c>
    </row>
    <row r="963" spans="1:25" ht="15" hidden="1" customHeight="1" x14ac:dyDescent="0.25">
      <c r="A963" s="1" t="s">
        <v>27</v>
      </c>
      <c r="B963" s="1" t="s">
        <v>51</v>
      </c>
      <c r="C963" s="1" t="s">
        <v>114</v>
      </c>
      <c r="D963">
        <v>5276</v>
      </c>
      <c r="E963" s="1"/>
      <c r="F963" s="1" t="s">
        <v>259</v>
      </c>
      <c r="G963" s="1" t="s">
        <v>114</v>
      </c>
      <c r="H963" s="1" t="s">
        <v>1405</v>
      </c>
      <c r="I963">
        <v>2010</v>
      </c>
      <c r="J963" s="93">
        <v>8925.51</v>
      </c>
      <c r="K963">
        <v>12</v>
      </c>
      <c r="L963" s="1" t="s">
        <v>407</v>
      </c>
      <c r="M963">
        <v>0</v>
      </c>
      <c r="N963">
        <v>284</v>
      </c>
      <c r="O963">
        <v>31.416789000000001</v>
      </c>
      <c r="P963">
        <v>2</v>
      </c>
      <c r="Q963" s="1" t="s">
        <v>569</v>
      </c>
      <c r="R963" s="93">
        <v>8925.51</v>
      </c>
      <c r="S963">
        <v>4186.08</v>
      </c>
      <c r="T963">
        <v>0</v>
      </c>
      <c r="U963" s="1" t="s">
        <v>957</v>
      </c>
      <c r="V963" s="1"/>
      <c r="W963">
        <v>8925.5120000000006</v>
      </c>
      <c r="X963">
        <v>0</v>
      </c>
      <c r="Y963">
        <v>56861</v>
      </c>
    </row>
    <row r="964" spans="1:25" ht="15" hidden="1" customHeight="1" x14ac:dyDescent="0.25">
      <c r="A964" s="1" t="s">
        <v>27</v>
      </c>
      <c r="B964" s="1" t="s">
        <v>51</v>
      </c>
      <c r="C964" s="1" t="s">
        <v>114</v>
      </c>
      <c r="D964">
        <v>5276</v>
      </c>
      <c r="E964" s="1"/>
      <c r="F964" s="1" t="s">
        <v>259</v>
      </c>
      <c r="G964" s="1" t="s">
        <v>114</v>
      </c>
      <c r="H964" s="1" t="s">
        <v>1405</v>
      </c>
      <c r="I964">
        <v>2009</v>
      </c>
      <c r="J964" s="93">
        <v>8814.2000000000007</v>
      </c>
      <c r="K964">
        <v>12</v>
      </c>
      <c r="L964" s="1" t="s">
        <v>407</v>
      </c>
      <c r="M964">
        <v>0</v>
      </c>
      <c r="N964">
        <v>284</v>
      </c>
      <c r="O964">
        <v>31.024991</v>
      </c>
      <c r="P964">
        <v>2</v>
      </c>
      <c r="Q964" s="1" t="s">
        <v>569</v>
      </c>
      <c r="R964" s="93">
        <v>8814.2000000000007</v>
      </c>
      <c r="S964">
        <v>4133.8500000000004</v>
      </c>
      <c r="T964">
        <v>0</v>
      </c>
      <c r="U964" s="1" t="s">
        <v>957</v>
      </c>
      <c r="V964" s="1"/>
      <c r="W964">
        <v>8814.1980000000003</v>
      </c>
      <c r="X964">
        <v>0</v>
      </c>
      <c r="Y964">
        <v>56861</v>
      </c>
    </row>
    <row r="965" spans="1:25" ht="15" hidden="1" customHeight="1" x14ac:dyDescent="0.25">
      <c r="A965" s="1" t="s">
        <v>27</v>
      </c>
      <c r="B965" s="1" t="s">
        <v>51</v>
      </c>
      <c r="C965" s="1" t="s">
        <v>114</v>
      </c>
      <c r="D965">
        <v>5276</v>
      </c>
      <c r="E965" s="1"/>
      <c r="F965" s="1" t="s">
        <v>259</v>
      </c>
      <c r="G965" s="1" t="s">
        <v>114</v>
      </c>
      <c r="H965" s="1" t="s">
        <v>1405</v>
      </c>
      <c r="I965">
        <v>2008</v>
      </c>
      <c r="J965" s="93">
        <v>9043.98</v>
      </c>
      <c r="K965">
        <v>12</v>
      </c>
      <c r="L965" s="1" t="s">
        <v>407</v>
      </c>
      <c r="M965">
        <v>0</v>
      </c>
      <c r="N965">
        <v>284</v>
      </c>
      <c r="O965">
        <v>31.83379</v>
      </c>
      <c r="P965">
        <v>2</v>
      </c>
      <c r="Q965" s="1" t="s">
        <v>569</v>
      </c>
      <c r="R965" s="93">
        <v>9043.98</v>
      </c>
      <c r="S965">
        <v>4241.6099999999997</v>
      </c>
      <c r="T965">
        <v>0</v>
      </c>
      <c r="U965" s="1" t="s">
        <v>957</v>
      </c>
      <c r="V965" s="1"/>
      <c r="W965">
        <v>9043.9599999999991</v>
      </c>
      <c r="X965">
        <v>0</v>
      </c>
      <c r="Y965">
        <v>56861</v>
      </c>
    </row>
    <row r="966" spans="1:25" ht="15" hidden="1" customHeight="1" x14ac:dyDescent="0.25">
      <c r="A966" s="1" t="s">
        <v>27</v>
      </c>
      <c r="B966" s="1"/>
      <c r="C966" s="1" t="s">
        <v>115</v>
      </c>
      <c r="D966">
        <v>9970</v>
      </c>
      <c r="E966" s="1"/>
      <c r="F966" s="1" t="s">
        <v>260</v>
      </c>
      <c r="G966" s="1" t="s">
        <v>115</v>
      </c>
      <c r="H966" s="1" t="s">
        <v>1405</v>
      </c>
      <c r="I966">
        <v>2015</v>
      </c>
      <c r="J966" s="93">
        <v>38709</v>
      </c>
      <c r="K966">
        <v>5</v>
      </c>
      <c r="L966" s="1"/>
      <c r="M966">
        <v>0</v>
      </c>
      <c r="N966">
        <v>864</v>
      </c>
      <c r="O966">
        <v>20.411328999999999</v>
      </c>
      <c r="P966">
        <v>2</v>
      </c>
      <c r="Q966" s="1" t="s">
        <v>569</v>
      </c>
      <c r="R966" s="93">
        <v>17637.43</v>
      </c>
      <c r="S966">
        <v>5291.24</v>
      </c>
      <c r="T966">
        <v>0</v>
      </c>
      <c r="U966" s="1" t="s">
        <v>958</v>
      </c>
      <c r="V966" s="1"/>
      <c r="W966">
        <v>17637.444</v>
      </c>
      <c r="X966">
        <v>0</v>
      </c>
      <c r="Y966">
        <v>90986</v>
      </c>
    </row>
    <row r="967" spans="1:25" ht="15" hidden="1" customHeight="1" x14ac:dyDescent="0.25">
      <c r="A967" s="1" t="s">
        <v>27</v>
      </c>
      <c r="B967" s="1"/>
      <c r="C967" s="1" t="s">
        <v>115</v>
      </c>
      <c r="D967">
        <v>9970</v>
      </c>
      <c r="E967" s="1"/>
      <c r="F967" s="1" t="s">
        <v>260</v>
      </c>
      <c r="G967" s="1" t="s">
        <v>115</v>
      </c>
      <c r="H967" s="1" t="s">
        <v>1405</v>
      </c>
      <c r="I967">
        <v>2013</v>
      </c>
      <c r="J967" s="93">
        <v>36069.589999999997</v>
      </c>
      <c r="K967">
        <v>12</v>
      </c>
      <c r="L967" s="1"/>
      <c r="M967">
        <v>0</v>
      </c>
      <c r="N967">
        <v>864</v>
      </c>
      <c r="O967">
        <v>41.742379</v>
      </c>
      <c r="P967">
        <v>2</v>
      </c>
      <c r="Q967" s="1" t="s">
        <v>569</v>
      </c>
      <c r="R967" s="93">
        <v>36069.589999999997</v>
      </c>
      <c r="S967">
        <v>10820.9</v>
      </c>
      <c r="T967">
        <v>0</v>
      </c>
      <c r="U967" s="1" t="s">
        <v>958</v>
      </c>
      <c r="V967" s="1"/>
      <c r="W967">
        <v>36069.593999999997</v>
      </c>
      <c r="X967">
        <v>0</v>
      </c>
      <c r="Y967">
        <v>90986</v>
      </c>
    </row>
    <row r="968" spans="1:25" ht="15" hidden="1" customHeight="1" x14ac:dyDescent="0.25">
      <c r="A968" s="1" t="s">
        <v>27</v>
      </c>
      <c r="B968" s="1"/>
      <c r="C968" s="1" t="s">
        <v>115</v>
      </c>
      <c r="D968">
        <v>9970</v>
      </c>
      <c r="E968" s="1"/>
      <c r="F968" s="1" t="s">
        <v>260</v>
      </c>
      <c r="G968" s="1" t="s">
        <v>115</v>
      </c>
      <c r="H968" s="1" t="s">
        <v>1405</v>
      </c>
      <c r="I968">
        <v>2012</v>
      </c>
      <c r="J968" s="93">
        <v>28976.639999999999</v>
      </c>
      <c r="K968">
        <v>12</v>
      </c>
      <c r="L968" s="1"/>
      <c r="M968">
        <v>0</v>
      </c>
      <c r="N968">
        <v>796</v>
      </c>
      <c r="O968">
        <v>36.398240999999999</v>
      </c>
      <c r="P968">
        <v>2</v>
      </c>
      <c r="Q968" s="1" t="s">
        <v>569</v>
      </c>
      <c r="R968" s="93">
        <v>28976.639999999999</v>
      </c>
      <c r="S968">
        <v>11590.64</v>
      </c>
      <c r="T968">
        <v>0</v>
      </c>
      <c r="U968" s="1" t="s">
        <v>958</v>
      </c>
      <c r="V968" s="1"/>
      <c r="W968">
        <v>28976.639999999999</v>
      </c>
      <c r="X968">
        <v>0</v>
      </c>
      <c r="Y968">
        <v>90986</v>
      </c>
    </row>
    <row r="969" spans="1:25" ht="15" hidden="1" customHeight="1" x14ac:dyDescent="0.25">
      <c r="A969" s="1" t="s">
        <v>27</v>
      </c>
      <c r="B969" s="1"/>
      <c r="C969" s="1" t="s">
        <v>115</v>
      </c>
      <c r="D969">
        <v>9970</v>
      </c>
      <c r="E969" s="1"/>
      <c r="F969" s="1" t="s">
        <v>260</v>
      </c>
      <c r="G969" s="1" t="s">
        <v>115</v>
      </c>
      <c r="H969" s="1" t="s">
        <v>1405</v>
      </c>
      <c r="I969">
        <v>2011</v>
      </c>
      <c r="J969" s="93">
        <v>23841.72</v>
      </c>
      <c r="K969">
        <v>12</v>
      </c>
      <c r="L969" s="1"/>
      <c r="M969">
        <v>0</v>
      </c>
      <c r="N969">
        <v>774</v>
      </c>
      <c r="O969">
        <v>30.799275999999999</v>
      </c>
      <c r="P969">
        <v>2</v>
      </c>
      <c r="Q969" s="1" t="s">
        <v>569</v>
      </c>
      <c r="R969" s="93">
        <v>23841.72</v>
      </c>
      <c r="S969">
        <v>11181.76</v>
      </c>
      <c r="T969">
        <v>0</v>
      </c>
      <c r="U969" s="1" t="s">
        <v>958</v>
      </c>
      <c r="V969" s="1"/>
      <c r="W969">
        <v>23841.707999999999</v>
      </c>
      <c r="X969">
        <v>0</v>
      </c>
      <c r="Y969">
        <v>90986</v>
      </c>
    </row>
    <row r="970" spans="1:25" ht="15" hidden="1" customHeight="1" x14ac:dyDescent="0.25">
      <c r="A970" s="1" t="s">
        <v>27</v>
      </c>
      <c r="B970" s="1"/>
      <c r="C970" s="1" t="s">
        <v>115</v>
      </c>
      <c r="D970">
        <v>9970</v>
      </c>
      <c r="E970" s="1"/>
      <c r="F970" s="1" t="s">
        <v>260</v>
      </c>
      <c r="G970" s="1" t="s">
        <v>115</v>
      </c>
      <c r="H970" s="1" t="s">
        <v>1405</v>
      </c>
      <c r="I970">
        <v>2010</v>
      </c>
      <c r="J970" s="93">
        <v>26984.74</v>
      </c>
      <c r="K970">
        <v>12</v>
      </c>
      <c r="L970" s="1"/>
      <c r="M970">
        <v>0</v>
      </c>
      <c r="N970">
        <v>774</v>
      </c>
      <c r="O970">
        <v>34.859501000000002</v>
      </c>
      <c r="P970">
        <v>2</v>
      </c>
      <c r="Q970" s="1" t="s">
        <v>569</v>
      </c>
      <c r="R970" s="93">
        <v>26984.74</v>
      </c>
      <c r="S970">
        <v>12655.84</v>
      </c>
      <c r="T970">
        <v>0</v>
      </c>
      <c r="U970" s="1" t="s">
        <v>958</v>
      </c>
      <c r="V970" s="1"/>
      <c r="W970">
        <v>26984.726999999999</v>
      </c>
      <c r="X970">
        <v>0</v>
      </c>
      <c r="Y970">
        <v>90986</v>
      </c>
    </row>
    <row r="971" spans="1:25" ht="15" hidden="1" customHeight="1" x14ac:dyDescent="0.25">
      <c r="A971" s="1" t="s">
        <v>27</v>
      </c>
      <c r="B971" s="1"/>
      <c r="C971" s="1" t="s">
        <v>115</v>
      </c>
      <c r="D971">
        <v>9970</v>
      </c>
      <c r="E971" s="1"/>
      <c r="F971" s="1" t="s">
        <v>260</v>
      </c>
      <c r="G971" s="1" t="s">
        <v>115</v>
      </c>
      <c r="H971" s="1" t="s">
        <v>1405</v>
      </c>
      <c r="I971">
        <v>2009</v>
      </c>
      <c r="J971" s="93">
        <v>27666.23</v>
      </c>
      <c r="K971">
        <v>11</v>
      </c>
      <c r="L971" s="1" t="s">
        <v>408</v>
      </c>
      <c r="M971">
        <v>0</v>
      </c>
      <c r="N971">
        <v>774</v>
      </c>
      <c r="O971">
        <v>35.739865000000002</v>
      </c>
      <c r="P971">
        <v>2</v>
      </c>
      <c r="Q971" s="1" t="s">
        <v>569</v>
      </c>
      <c r="R971" s="93">
        <v>27666.23</v>
      </c>
      <c r="S971">
        <v>12975.47</v>
      </c>
      <c r="T971">
        <v>0</v>
      </c>
      <c r="U971" s="1" t="s">
        <v>959</v>
      </c>
      <c r="V971" s="1" t="s">
        <v>1250</v>
      </c>
      <c r="W971">
        <v>27666.235720000001</v>
      </c>
      <c r="X971">
        <v>0</v>
      </c>
      <c r="Y971">
        <v>76387</v>
      </c>
    </row>
    <row r="972" spans="1:25" ht="15" hidden="1" customHeight="1" x14ac:dyDescent="0.25">
      <c r="A972" s="1" t="s">
        <v>27</v>
      </c>
      <c r="B972" s="1"/>
      <c r="C972" s="1" t="s">
        <v>115</v>
      </c>
      <c r="D972">
        <v>9970</v>
      </c>
      <c r="E972" s="1"/>
      <c r="F972" s="1" t="s">
        <v>260</v>
      </c>
      <c r="G972" s="1" t="s">
        <v>115</v>
      </c>
      <c r="H972" s="1" t="s">
        <v>1405</v>
      </c>
      <c r="I972">
        <v>2008</v>
      </c>
      <c r="J972" s="93">
        <v>26956.06</v>
      </c>
      <c r="K972">
        <v>6</v>
      </c>
      <c r="L972" s="1" t="s">
        <v>408</v>
      </c>
      <c r="M972">
        <v>0</v>
      </c>
      <c r="N972">
        <v>774</v>
      </c>
      <c r="O972">
        <v>34.822451000000001</v>
      </c>
      <c r="P972">
        <v>2</v>
      </c>
      <c r="Q972" s="1" t="s">
        <v>569</v>
      </c>
      <c r="R972" s="93">
        <v>26956.06</v>
      </c>
      <c r="S972">
        <v>12642.39</v>
      </c>
      <c r="T972">
        <v>0</v>
      </c>
      <c r="U972" s="1" t="s">
        <v>959</v>
      </c>
      <c r="V972" s="1" t="s">
        <v>1250</v>
      </c>
      <c r="W972">
        <v>26956.052029999999</v>
      </c>
      <c r="X972">
        <v>0</v>
      </c>
      <c r="Y972">
        <v>76387</v>
      </c>
    </row>
    <row r="973" spans="1:25" ht="15" hidden="1" customHeight="1" x14ac:dyDescent="0.25">
      <c r="A973" s="1" t="s">
        <v>27</v>
      </c>
      <c r="B973" s="1" t="s">
        <v>52</v>
      </c>
      <c r="C973" s="1" t="s">
        <v>116</v>
      </c>
      <c r="D973">
        <v>5252</v>
      </c>
      <c r="E973" s="1"/>
      <c r="F973" s="1" t="s">
        <v>116</v>
      </c>
      <c r="G973" s="1" t="s">
        <v>116</v>
      </c>
      <c r="H973" s="1" t="s">
        <v>1405</v>
      </c>
      <c r="I973">
        <v>2015</v>
      </c>
      <c r="J973" s="93">
        <v>17065</v>
      </c>
      <c r="K973">
        <v>5</v>
      </c>
      <c r="L973" s="1" t="s">
        <v>404</v>
      </c>
      <c r="M973">
        <v>0</v>
      </c>
      <c r="N973">
        <v>752</v>
      </c>
      <c r="O973">
        <v>9.3474930000000001</v>
      </c>
      <c r="P973">
        <v>2</v>
      </c>
      <c r="Q973" s="1" t="s">
        <v>569</v>
      </c>
      <c r="R973" s="93">
        <v>7030.25</v>
      </c>
      <c r="S973">
        <v>2812.1</v>
      </c>
      <c r="T973">
        <v>0</v>
      </c>
      <c r="U973" s="1" t="s">
        <v>960</v>
      </c>
      <c r="V973" s="1" t="s">
        <v>1251</v>
      </c>
      <c r="W973">
        <v>7030.2579999999998</v>
      </c>
      <c r="X973">
        <v>0</v>
      </c>
      <c r="Y973">
        <v>56687</v>
      </c>
    </row>
    <row r="974" spans="1:25" ht="15" hidden="1" customHeight="1" x14ac:dyDescent="0.25">
      <c r="A974" s="1" t="s">
        <v>27</v>
      </c>
      <c r="B974" s="1" t="s">
        <v>52</v>
      </c>
      <c r="C974" s="1" t="s">
        <v>116</v>
      </c>
      <c r="D974">
        <v>5252</v>
      </c>
      <c r="E974" s="1"/>
      <c r="F974" s="1" t="s">
        <v>116</v>
      </c>
      <c r="G974" s="1" t="s">
        <v>116</v>
      </c>
      <c r="H974" s="1" t="s">
        <v>1405</v>
      </c>
      <c r="I974">
        <v>2013</v>
      </c>
      <c r="J974" s="93">
        <v>17614.95</v>
      </c>
      <c r="K974">
        <v>12</v>
      </c>
      <c r="L974" s="1" t="s">
        <v>404</v>
      </c>
      <c r="M974">
        <v>0</v>
      </c>
      <c r="N974">
        <v>752</v>
      </c>
      <c r="O974">
        <v>23.421021</v>
      </c>
      <c r="P974">
        <v>2</v>
      </c>
      <c r="Q974" s="1" t="s">
        <v>569</v>
      </c>
      <c r="R974" s="93">
        <v>17614.95</v>
      </c>
      <c r="S974">
        <v>7045.97</v>
      </c>
      <c r="T974">
        <v>0</v>
      </c>
      <c r="U974" s="1" t="s">
        <v>960</v>
      </c>
      <c r="V974" s="1" t="s">
        <v>1251</v>
      </c>
      <c r="W974">
        <v>17614.952000000001</v>
      </c>
      <c r="X974">
        <v>0</v>
      </c>
      <c r="Y974">
        <v>56687</v>
      </c>
    </row>
    <row r="975" spans="1:25" ht="15" hidden="1" customHeight="1" x14ac:dyDescent="0.25">
      <c r="A975" s="1" t="s">
        <v>27</v>
      </c>
      <c r="B975" s="1" t="s">
        <v>52</v>
      </c>
      <c r="C975" s="1" t="s">
        <v>116</v>
      </c>
      <c r="D975">
        <v>5252</v>
      </c>
      <c r="E975" s="1"/>
      <c r="F975" s="1" t="s">
        <v>116</v>
      </c>
      <c r="G975" s="1" t="s">
        <v>116</v>
      </c>
      <c r="H975" s="1" t="s">
        <v>1405</v>
      </c>
      <c r="I975">
        <v>2012</v>
      </c>
      <c r="J975" s="93">
        <v>18524.63</v>
      </c>
      <c r="K975">
        <v>12</v>
      </c>
      <c r="L975" s="1" t="s">
        <v>404</v>
      </c>
      <c r="M975">
        <v>0</v>
      </c>
      <c r="N975">
        <v>752</v>
      </c>
      <c r="O975">
        <v>24.630541000000001</v>
      </c>
      <c r="P975">
        <v>2</v>
      </c>
      <c r="Q975" s="1" t="s">
        <v>569</v>
      </c>
      <c r="R975" s="93">
        <v>18524.63</v>
      </c>
      <c r="S975">
        <v>7409.85</v>
      </c>
      <c r="T975">
        <v>0</v>
      </c>
      <c r="U975" s="1" t="s">
        <v>960</v>
      </c>
      <c r="V975" s="1" t="s">
        <v>1251</v>
      </c>
      <c r="W975">
        <v>18524.637999999999</v>
      </c>
      <c r="X975">
        <v>0</v>
      </c>
      <c r="Y975">
        <v>56687</v>
      </c>
    </row>
    <row r="976" spans="1:25" ht="15" hidden="1" customHeight="1" x14ac:dyDescent="0.25">
      <c r="A976" s="1" t="s">
        <v>27</v>
      </c>
      <c r="B976" s="1" t="s">
        <v>52</v>
      </c>
      <c r="C976" s="1" t="s">
        <v>116</v>
      </c>
      <c r="D976">
        <v>5252</v>
      </c>
      <c r="E976" s="1"/>
      <c r="F976" s="1" t="s">
        <v>116</v>
      </c>
      <c r="G976" s="1" t="s">
        <v>116</v>
      </c>
      <c r="H976" s="1" t="s">
        <v>1405</v>
      </c>
      <c r="I976">
        <v>2011</v>
      </c>
      <c r="J976" s="93">
        <v>19365.59</v>
      </c>
      <c r="K976">
        <v>12</v>
      </c>
      <c r="L976" s="1" t="s">
        <v>404</v>
      </c>
      <c r="M976">
        <v>0</v>
      </c>
      <c r="N976">
        <v>752</v>
      </c>
      <c r="O976">
        <v>25.74869</v>
      </c>
      <c r="P976">
        <v>2</v>
      </c>
      <c r="Q976" s="1" t="s">
        <v>569</v>
      </c>
      <c r="R976" s="93">
        <v>19365.59</v>
      </c>
      <c r="S976">
        <v>9082.4699999999993</v>
      </c>
      <c r="T976">
        <v>0</v>
      </c>
      <c r="U976" s="1" t="s">
        <v>960</v>
      </c>
      <c r="V976" s="1" t="s">
        <v>1251</v>
      </c>
      <c r="W976">
        <v>19365.59</v>
      </c>
      <c r="X976">
        <v>0</v>
      </c>
      <c r="Y976">
        <v>56687</v>
      </c>
    </row>
    <row r="977" spans="1:25" ht="15" hidden="1" customHeight="1" x14ac:dyDescent="0.25">
      <c r="A977" s="1" t="s">
        <v>27</v>
      </c>
      <c r="B977" s="1" t="s">
        <v>52</v>
      </c>
      <c r="C977" s="1" t="s">
        <v>116</v>
      </c>
      <c r="D977">
        <v>5252</v>
      </c>
      <c r="E977" s="1"/>
      <c r="F977" s="1" t="s">
        <v>116</v>
      </c>
      <c r="G977" s="1" t="s">
        <v>116</v>
      </c>
      <c r="H977" s="1" t="s">
        <v>1405</v>
      </c>
      <c r="I977">
        <v>2010</v>
      </c>
      <c r="J977" s="93">
        <v>20125.650000000001</v>
      </c>
      <c r="K977">
        <v>12</v>
      </c>
      <c r="L977" s="1" t="s">
        <v>404</v>
      </c>
      <c r="M977">
        <v>0</v>
      </c>
      <c r="N977">
        <v>752</v>
      </c>
      <c r="O977">
        <v>26.759274000000001</v>
      </c>
      <c r="P977">
        <v>2</v>
      </c>
      <c r="Q977" s="1" t="s">
        <v>569</v>
      </c>
      <c r="R977" s="93">
        <v>20125.650000000001</v>
      </c>
      <c r="S977">
        <v>9438.93</v>
      </c>
      <c r="T977">
        <v>0</v>
      </c>
      <c r="U977" s="1" t="s">
        <v>960</v>
      </c>
      <c r="V977" s="1" t="s">
        <v>1251</v>
      </c>
      <c r="W977">
        <v>20125.644</v>
      </c>
      <c r="X977">
        <v>0</v>
      </c>
      <c r="Y977">
        <v>56687</v>
      </c>
    </row>
    <row r="978" spans="1:25" ht="15" hidden="1" customHeight="1" x14ac:dyDescent="0.25">
      <c r="A978" s="1" t="s">
        <v>27</v>
      </c>
      <c r="B978" s="1" t="s">
        <v>52</v>
      </c>
      <c r="C978" s="1" t="s">
        <v>116</v>
      </c>
      <c r="D978">
        <v>5252</v>
      </c>
      <c r="E978" s="1"/>
      <c r="F978" s="1" t="s">
        <v>116</v>
      </c>
      <c r="G978" s="1" t="s">
        <v>116</v>
      </c>
      <c r="H978" s="1" t="s">
        <v>1405</v>
      </c>
      <c r="I978">
        <v>2009</v>
      </c>
      <c r="J978" s="93">
        <v>18499.88</v>
      </c>
      <c r="K978">
        <v>12</v>
      </c>
      <c r="L978" s="1" t="s">
        <v>404</v>
      </c>
      <c r="M978">
        <v>0</v>
      </c>
      <c r="N978">
        <v>752</v>
      </c>
      <c r="O978">
        <v>24.597632999999998</v>
      </c>
      <c r="P978">
        <v>2</v>
      </c>
      <c r="Q978" s="1" t="s">
        <v>569</v>
      </c>
      <c r="R978" s="93">
        <v>18499.88</v>
      </c>
      <c r="S978">
        <v>8676.4500000000007</v>
      </c>
      <c r="T978">
        <v>0</v>
      </c>
      <c r="U978" s="1" t="s">
        <v>960</v>
      </c>
      <c r="V978" s="1" t="s">
        <v>1251</v>
      </c>
      <c r="W978">
        <v>18499.900000000001</v>
      </c>
      <c r="X978">
        <v>0</v>
      </c>
      <c r="Y978">
        <v>56687</v>
      </c>
    </row>
    <row r="979" spans="1:25" ht="15" hidden="1" customHeight="1" x14ac:dyDescent="0.25">
      <c r="A979" s="1" t="s">
        <v>27</v>
      </c>
      <c r="B979" s="1" t="s">
        <v>52</v>
      </c>
      <c r="C979" s="1" t="s">
        <v>116</v>
      </c>
      <c r="D979">
        <v>5252</v>
      </c>
      <c r="E979" s="1"/>
      <c r="F979" s="1" t="s">
        <v>116</v>
      </c>
      <c r="G979" s="1" t="s">
        <v>116</v>
      </c>
      <c r="H979" s="1" t="s">
        <v>1405</v>
      </c>
      <c r="I979">
        <v>2008</v>
      </c>
      <c r="J979" s="93">
        <v>19422.48</v>
      </c>
      <c r="K979">
        <v>12</v>
      </c>
      <c r="L979" s="1" t="s">
        <v>404</v>
      </c>
      <c r="M979">
        <v>0</v>
      </c>
      <c r="N979">
        <v>752</v>
      </c>
      <c r="O979">
        <v>25.824331000000001</v>
      </c>
      <c r="P979">
        <v>2</v>
      </c>
      <c r="Q979" s="1" t="s">
        <v>569</v>
      </c>
      <c r="R979" s="93">
        <v>19422.48</v>
      </c>
      <c r="S979">
        <v>9109.15</v>
      </c>
      <c r="T979">
        <v>0</v>
      </c>
      <c r="U979" s="1" t="s">
        <v>960</v>
      </c>
      <c r="V979" s="1" t="s">
        <v>1251</v>
      </c>
      <c r="W979">
        <v>19422.490000000002</v>
      </c>
      <c r="X979">
        <v>0</v>
      </c>
      <c r="Y979">
        <v>56687</v>
      </c>
    </row>
    <row r="980" spans="1:25" ht="15" hidden="1" customHeight="1" x14ac:dyDescent="0.25">
      <c r="A980" s="1" t="s">
        <v>27</v>
      </c>
      <c r="B980" s="1"/>
      <c r="C980" s="1" t="s">
        <v>117</v>
      </c>
      <c r="D980">
        <v>9977</v>
      </c>
      <c r="E980" s="1"/>
      <c r="F980" s="1" t="s">
        <v>261</v>
      </c>
      <c r="G980" s="1" t="s">
        <v>117</v>
      </c>
      <c r="H980" s="1" t="s">
        <v>1405</v>
      </c>
      <c r="I980">
        <v>2015</v>
      </c>
      <c r="J980" s="93">
        <v>18300</v>
      </c>
      <c r="K980">
        <v>5</v>
      </c>
      <c r="L980" s="1" t="s">
        <v>514</v>
      </c>
      <c r="M980">
        <v>0</v>
      </c>
      <c r="N980">
        <v>487</v>
      </c>
      <c r="O980">
        <v>14.345143999999999</v>
      </c>
      <c r="P980">
        <v>2</v>
      </c>
      <c r="Q980" s="1" t="s">
        <v>569</v>
      </c>
      <c r="R980" s="93">
        <v>6987.52</v>
      </c>
      <c r="S980">
        <v>2096.2600000000002</v>
      </c>
      <c r="T980">
        <v>0</v>
      </c>
      <c r="U980" s="1"/>
      <c r="V980" s="1" t="s">
        <v>1252</v>
      </c>
      <c r="W980">
        <v>6987.5290000000005</v>
      </c>
      <c r="X980">
        <v>0</v>
      </c>
      <c r="Y980">
        <v>76402</v>
      </c>
    </row>
    <row r="981" spans="1:25" ht="15" hidden="1" customHeight="1" x14ac:dyDescent="0.25">
      <c r="A981" s="1" t="s">
        <v>27</v>
      </c>
      <c r="B981" s="1"/>
      <c r="C981" s="1" t="s">
        <v>117</v>
      </c>
      <c r="D981">
        <v>9977</v>
      </c>
      <c r="E981" s="1"/>
      <c r="F981" s="1" t="s">
        <v>261</v>
      </c>
      <c r="G981" s="1" t="s">
        <v>117</v>
      </c>
      <c r="H981" s="1" t="s">
        <v>1405</v>
      </c>
      <c r="I981">
        <v>2013</v>
      </c>
      <c r="J981" s="93">
        <v>21659.93</v>
      </c>
      <c r="K981">
        <v>12</v>
      </c>
      <c r="L981" s="1" t="s">
        <v>514</v>
      </c>
      <c r="M981">
        <v>0</v>
      </c>
      <c r="N981">
        <v>487</v>
      </c>
      <c r="O981">
        <v>44.467111000000003</v>
      </c>
      <c r="P981">
        <v>2</v>
      </c>
      <c r="Q981" s="1" t="s">
        <v>569</v>
      </c>
      <c r="R981" s="93">
        <v>21659.93</v>
      </c>
      <c r="S981">
        <v>6497.97</v>
      </c>
      <c r="T981">
        <v>0</v>
      </c>
      <c r="U981" s="1"/>
      <c r="V981" s="1" t="s">
        <v>1252</v>
      </c>
      <c r="W981">
        <v>21659.922999999999</v>
      </c>
      <c r="X981">
        <v>0</v>
      </c>
      <c r="Y981">
        <v>76402</v>
      </c>
    </row>
    <row r="982" spans="1:25" ht="15" hidden="1" customHeight="1" x14ac:dyDescent="0.25">
      <c r="A982" s="1" t="s">
        <v>27</v>
      </c>
      <c r="B982" s="1"/>
      <c r="C982" s="1" t="s">
        <v>117</v>
      </c>
      <c r="D982">
        <v>9977</v>
      </c>
      <c r="E982" s="1"/>
      <c r="F982" s="1" t="s">
        <v>261</v>
      </c>
      <c r="G982" s="1" t="s">
        <v>117</v>
      </c>
      <c r="H982" s="1" t="s">
        <v>1405</v>
      </c>
      <c r="I982">
        <v>2012</v>
      </c>
      <c r="J982" s="93">
        <v>16582.62</v>
      </c>
      <c r="K982">
        <v>12</v>
      </c>
      <c r="L982" s="1" t="s">
        <v>514</v>
      </c>
      <c r="M982">
        <v>0</v>
      </c>
      <c r="N982">
        <v>487</v>
      </c>
      <c r="O982">
        <v>34.043562999999999</v>
      </c>
      <c r="P982">
        <v>2</v>
      </c>
      <c r="Q982" s="1" t="s">
        <v>569</v>
      </c>
      <c r="R982" s="93">
        <v>16582.62</v>
      </c>
      <c r="S982">
        <v>6633.06</v>
      </c>
      <c r="T982">
        <v>0</v>
      </c>
      <c r="U982" s="1"/>
      <c r="V982" s="1" t="s">
        <v>1252</v>
      </c>
      <c r="W982">
        <v>16582.616999999998</v>
      </c>
      <c r="X982">
        <v>0</v>
      </c>
      <c r="Y982">
        <v>76402</v>
      </c>
    </row>
    <row r="983" spans="1:25" ht="15" hidden="1" customHeight="1" x14ac:dyDescent="0.25">
      <c r="A983" s="1" t="s">
        <v>27</v>
      </c>
      <c r="B983" s="1"/>
      <c r="C983" s="1" t="s">
        <v>117</v>
      </c>
      <c r="D983">
        <v>9977</v>
      </c>
      <c r="E983" s="1"/>
      <c r="F983" s="1" t="s">
        <v>261</v>
      </c>
      <c r="G983" s="1" t="s">
        <v>117</v>
      </c>
      <c r="H983" s="1" t="s">
        <v>1405</v>
      </c>
      <c r="I983">
        <v>2011</v>
      </c>
      <c r="J983" s="93">
        <v>17003.560000000001</v>
      </c>
      <c r="K983">
        <v>12</v>
      </c>
      <c r="L983" s="1" t="s">
        <v>514</v>
      </c>
      <c r="M983">
        <v>0</v>
      </c>
      <c r="N983">
        <v>487</v>
      </c>
      <c r="O983">
        <v>34.907738999999999</v>
      </c>
      <c r="P983">
        <v>2</v>
      </c>
      <c r="Q983" s="1" t="s">
        <v>569</v>
      </c>
      <c r="R983" s="93">
        <v>17003.560000000001</v>
      </c>
      <c r="S983">
        <v>7974.66</v>
      </c>
      <c r="T983">
        <v>0</v>
      </c>
      <c r="U983" s="1"/>
      <c r="V983" s="1" t="s">
        <v>1252</v>
      </c>
      <c r="W983">
        <v>17003.550999999999</v>
      </c>
      <c r="X983">
        <v>0</v>
      </c>
      <c r="Y983">
        <v>76402</v>
      </c>
    </row>
    <row r="984" spans="1:25" ht="15" hidden="1" customHeight="1" x14ac:dyDescent="0.25">
      <c r="A984" s="1" t="s">
        <v>27</v>
      </c>
      <c r="B984" s="1"/>
      <c r="C984" s="1" t="s">
        <v>117</v>
      </c>
      <c r="D984">
        <v>9977</v>
      </c>
      <c r="E984" s="1"/>
      <c r="F984" s="1" t="s">
        <v>261</v>
      </c>
      <c r="G984" s="1" t="s">
        <v>117</v>
      </c>
      <c r="H984" s="1" t="s">
        <v>1405</v>
      </c>
      <c r="I984">
        <v>2010</v>
      </c>
      <c r="J984" s="93">
        <v>16946.39</v>
      </c>
      <c r="K984">
        <v>8</v>
      </c>
      <c r="L984" s="1" t="s">
        <v>514</v>
      </c>
      <c r="M984">
        <v>0</v>
      </c>
      <c r="N984">
        <v>487</v>
      </c>
      <c r="O984">
        <v>34.790371</v>
      </c>
      <c r="P984">
        <v>2</v>
      </c>
      <c r="Q984" s="1" t="s">
        <v>569</v>
      </c>
      <c r="R984" s="93">
        <v>16946.39</v>
      </c>
      <c r="S984">
        <v>7947.88</v>
      </c>
      <c r="T984">
        <v>0</v>
      </c>
      <c r="U984" s="1"/>
      <c r="V984" s="1" t="s">
        <v>1252</v>
      </c>
      <c r="W984">
        <v>16946.397850000001</v>
      </c>
      <c r="X984">
        <v>0</v>
      </c>
      <c r="Y984">
        <v>76402</v>
      </c>
    </row>
    <row r="985" spans="1:25" ht="15" hidden="1" customHeight="1" x14ac:dyDescent="0.25">
      <c r="A985" s="1" t="s">
        <v>27</v>
      </c>
      <c r="B985" s="1"/>
      <c r="C985" s="1" t="s">
        <v>117</v>
      </c>
      <c r="D985">
        <v>9977</v>
      </c>
      <c r="E985" s="1"/>
      <c r="F985" s="1" t="s">
        <v>261</v>
      </c>
      <c r="G985" s="1" t="s">
        <v>117</v>
      </c>
      <c r="H985" s="1" t="s">
        <v>1405</v>
      </c>
      <c r="I985">
        <v>2009</v>
      </c>
      <c r="J985" s="93">
        <v>20296.59</v>
      </c>
      <c r="K985">
        <v>6</v>
      </c>
      <c r="L985" s="1" t="s">
        <v>514</v>
      </c>
      <c r="M985">
        <v>0</v>
      </c>
      <c r="N985">
        <v>487</v>
      </c>
      <c r="O985">
        <v>41.668219999999998</v>
      </c>
      <c r="P985">
        <v>2</v>
      </c>
      <c r="Q985" s="1" t="s">
        <v>569</v>
      </c>
      <c r="R985" s="93">
        <v>20296.59</v>
      </c>
      <c r="S985">
        <v>9519.1200000000008</v>
      </c>
      <c r="T985">
        <v>0</v>
      </c>
      <c r="U985" s="1"/>
      <c r="V985" s="1" t="s">
        <v>1252</v>
      </c>
      <c r="W985">
        <v>20296.592509999999</v>
      </c>
      <c r="X985">
        <v>0</v>
      </c>
      <c r="Y985">
        <v>76402</v>
      </c>
    </row>
    <row r="986" spans="1:25" ht="15" hidden="1" customHeight="1" x14ac:dyDescent="0.25">
      <c r="A986" s="1" t="s">
        <v>27</v>
      </c>
      <c r="B986" s="1"/>
      <c r="C986" s="1" t="s">
        <v>117</v>
      </c>
      <c r="D986">
        <v>9977</v>
      </c>
      <c r="E986" s="1"/>
      <c r="F986" s="1" t="s">
        <v>261</v>
      </c>
      <c r="G986" s="1" t="s">
        <v>117</v>
      </c>
      <c r="H986" s="1" t="s">
        <v>1405</v>
      </c>
      <c r="I986">
        <v>2008</v>
      </c>
      <c r="J986" s="93">
        <v>23406.3</v>
      </c>
      <c r="K986">
        <v>9</v>
      </c>
      <c r="L986" s="1" t="s">
        <v>514</v>
      </c>
      <c r="M986">
        <v>0</v>
      </c>
      <c r="N986">
        <v>487</v>
      </c>
      <c r="O986">
        <v>48.052349999999997</v>
      </c>
      <c r="P986">
        <v>2</v>
      </c>
      <c r="Q986" s="1" t="s">
        <v>569</v>
      </c>
      <c r="R986" s="93">
        <v>23406.3</v>
      </c>
      <c r="S986">
        <v>10977.55</v>
      </c>
      <c r="T986">
        <v>0</v>
      </c>
      <c r="U986" s="1"/>
      <c r="V986" s="1" t="s">
        <v>1252</v>
      </c>
      <c r="W986">
        <v>23406.309089999999</v>
      </c>
      <c r="X986">
        <v>0</v>
      </c>
      <c r="Y986">
        <v>76402</v>
      </c>
    </row>
    <row r="987" spans="1:25" ht="15" hidden="1" customHeight="1" x14ac:dyDescent="0.25">
      <c r="A987" s="1" t="s">
        <v>27</v>
      </c>
      <c r="B987" s="1"/>
      <c r="C987" s="1" t="s">
        <v>118</v>
      </c>
      <c r="D987">
        <v>10018</v>
      </c>
      <c r="E987" s="1"/>
      <c r="F987" s="1" t="s">
        <v>262</v>
      </c>
      <c r="G987" s="1" t="s">
        <v>118</v>
      </c>
      <c r="H987" s="1" t="s">
        <v>1405</v>
      </c>
      <c r="I987">
        <v>2015</v>
      </c>
      <c r="J987" s="93">
        <v>23732</v>
      </c>
      <c r="K987">
        <v>5</v>
      </c>
      <c r="L987" s="1"/>
      <c r="M987">
        <v>0</v>
      </c>
      <c r="N987">
        <v>838</v>
      </c>
      <c r="O987">
        <v>6.7477739999999997</v>
      </c>
      <c r="P987">
        <v>2</v>
      </c>
      <c r="Q987" s="1" t="s">
        <v>569</v>
      </c>
      <c r="R987" s="93">
        <v>5655.31</v>
      </c>
      <c r="S987">
        <v>1696.59</v>
      </c>
      <c r="T987">
        <v>0</v>
      </c>
      <c r="U987" s="1" t="s">
        <v>961</v>
      </c>
      <c r="V987" s="1" t="s">
        <v>1253</v>
      </c>
      <c r="W987">
        <v>5655.3010000000004</v>
      </c>
      <c r="X987">
        <v>0</v>
      </c>
      <c r="Y987">
        <v>90991</v>
      </c>
    </row>
    <row r="988" spans="1:25" ht="15" hidden="1" customHeight="1" x14ac:dyDescent="0.25">
      <c r="A988" s="1" t="s">
        <v>27</v>
      </c>
      <c r="B988" s="1"/>
      <c r="C988" s="1" t="s">
        <v>118</v>
      </c>
      <c r="D988">
        <v>10018</v>
      </c>
      <c r="E988" s="1"/>
      <c r="F988" s="1" t="s">
        <v>262</v>
      </c>
      <c r="G988" s="1" t="s">
        <v>118</v>
      </c>
      <c r="H988" s="1" t="s">
        <v>1405</v>
      </c>
      <c r="I988">
        <v>2013</v>
      </c>
      <c r="J988" s="93">
        <v>20987</v>
      </c>
      <c r="K988">
        <v>12</v>
      </c>
      <c r="L988" s="1"/>
      <c r="M988">
        <v>0</v>
      </c>
      <c r="N988">
        <v>838</v>
      </c>
      <c r="O988">
        <v>25.041163999999998</v>
      </c>
      <c r="P988">
        <v>2</v>
      </c>
      <c r="Q988" s="1" t="s">
        <v>569</v>
      </c>
      <c r="R988" s="93">
        <v>20987</v>
      </c>
      <c r="S988">
        <v>6296.1</v>
      </c>
      <c r="T988">
        <v>0</v>
      </c>
      <c r="U988" s="1" t="s">
        <v>961</v>
      </c>
      <c r="V988" s="1" t="s">
        <v>1253</v>
      </c>
      <c r="W988">
        <v>20987</v>
      </c>
      <c r="X988">
        <v>0</v>
      </c>
      <c r="Y988">
        <v>90991</v>
      </c>
    </row>
    <row r="989" spans="1:25" ht="15" hidden="1" customHeight="1" x14ac:dyDescent="0.25">
      <c r="A989" s="1" t="s">
        <v>27</v>
      </c>
      <c r="B989" s="1"/>
      <c r="C989" s="1" t="s">
        <v>118</v>
      </c>
      <c r="D989">
        <v>10018</v>
      </c>
      <c r="E989" s="1"/>
      <c r="F989" s="1" t="s">
        <v>262</v>
      </c>
      <c r="G989" s="1" t="s">
        <v>118</v>
      </c>
      <c r="H989" s="1" t="s">
        <v>1405</v>
      </c>
      <c r="I989">
        <v>2012</v>
      </c>
      <c r="J989" s="93">
        <v>19878.73</v>
      </c>
      <c r="K989">
        <v>12</v>
      </c>
      <c r="L989" s="1"/>
      <c r="M989">
        <v>0</v>
      </c>
      <c r="N989">
        <v>838</v>
      </c>
      <c r="O989">
        <v>23.718803999999999</v>
      </c>
      <c r="P989">
        <v>2</v>
      </c>
      <c r="Q989" s="1" t="s">
        <v>569</v>
      </c>
      <c r="R989" s="93">
        <v>19878.73</v>
      </c>
      <c r="S989">
        <v>7951.49</v>
      </c>
      <c r="T989">
        <v>0</v>
      </c>
      <c r="U989" s="1" t="s">
        <v>961</v>
      </c>
      <c r="V989" s="1" t="s">
        <v>1253</v>
      </c>
      <c r="W989">
        <v>19878.733</v>
      </c>
      <c r="X989">
        <v>0</v>
      </c>
      <c r="Y989">
        <v>90991</v>
      </c>
    </row>
    <row r="990" spans="1:25" ht="15" hidden="1" customHeight="1" x14ac:dyDescent="0.25">
      <c r="A990" s="1" t="s">
        <v>27</v>
      </c>
      <c r="B990" s="1"/>
      <c r="C990" s="1" t="s">
        <v>118</v>
      </c>
      <c r="D990">
        <v>10018</v>
      </c>
      <c r="E990" s="1"/>
      <c r="F990" s="1" t="s">
        <v>262</v>
      </c>
      <c r="G990" s="1" t="s">
        <v>118</v>
      </c>
      <c r="H990" s="1" t="s">
        <v>1405</v>
      </c>
      <c r="I990">
        <v>2011</v>
      </c>
      <c r="J990" s="93">
        <v>15676.4</v>
      </c>
      <c r="K990">
        <v>1</v>
      </c>
      <c r="L990" s="1" t="s">
        <v>515</v>
      </c>
      <c r="M990">
        <v>0</v>
      </c>
      <c r="N990">
        <v>838</v>
      </c>
      <c r="O990">
        <v>18.704688999999998</v>
      </c>
      <c r="P990">
        <v>2</v>
      </c>
      <c r="Q990" s="1" t="s">
        <v>569</v>
      </c>
      <c r="R990" s="93">
        <v>15676.4</v>
      </c>
      <c r="S990">
        <v>7352.23</v>
      </c>
      <c r="T990">
        <v>0</v>
      </c>
      <c r="U990" s="1" t="s">
        <v>962</v>
      </c>
      <c r="V990" s="1"/>
      <c r="W990">
        <v>15676.4162</v>
      </c>
      <c r="X990">
        <v>0</v>
      </c>
      <c r="Y990">
        <v>76528</v>
      </c>
    </row>
    <row r="991" spans="1:25" ht="15" hidden="1" customHeight="1" x14ac:dyDescent="0.25">
      <c r="A991" s="1" t="s">
        <v>27</v>
      </c>
      <c r="B991" s="1"/>
      <c r="C991" s="1" t="s">
        <v>118</v>
      </c>
      <c r="D991">
        <v>10018</v>
      </c>
      <c r="E991" s="1"/>
      <c r="F991" s="1" t="s">
        <v>262</v>
      </c>
      <c r="G991" s="1" t="s">
        <v>118</v>
      </c>
      <c r="H991" s="1" t="s">
        <v>1405</v>
      </c>
      <c r="I991">
        <v>2011</v>
      </c>
      <c r="J991" s="93">
        <v>5267.14</v>
      </c>
      <c r="K991">
        <v>3</v>
      </c>
      <c r="L991" s="1"/>
      <c r="M991">
        <v>0</v>
      </c>
      <c r="N991">
        <v>838</v>
      </c>
      <c r="O991">
        <v>6.2846190000000002</v>
      </c>
      <c r="P991">
        <v>2</v>
      </c>
      <c r="Q991" s="1" t="s">
        <v>569</v>
      </c>
      <c r="R991" s="93">
        <v>5267.14</v>
      </c>
      <c r="S991">
        <v>2470.29</v>
      </c>
      <c r="T991">
        <v>0</v>
      </c>
      <c r="U991" s="1" t="s">
        <v>961</v>
      </c>
      <c r="V991" s="1" t="s">
        <v>1253</v>
      </c>
      <c r="W991">
        <v>5267.134</v>
      </c>
      <c r="X991">
        <v>0</v>
      </c>
      <c r="Y991">
        <v>90991</v>
      </c>
    </row>
    <row r="992" spans="1:25" ht="15" hidden="1" customHeight="1" x14ac:dyDescent="0.25">
      <c r="A992" s="1" t="s">
        <v>27</v>
      </c>
      <c r="B992" s="1"/>
      <c r="C992" s="1" t="s">
        <v>118</v>
      </c>
      <c r="D992">
        <v>10018</v>
      </c>
      <c r="E992" s="1"/>
      <c r="F992" s="1" t="s">
        <v>262</v>
      </c>
      <c r="G992" s="1" t="s">
        <v>118</v>
      </c>
      <c r="H992" s="1" t="s">
        <v>1405</v>
      </c>
      <c r="I992">
        <v>2010</v>
      </c>
      <c r="J992" s="93">
        <v>21863.7</v>
      </c>
      <c r="K992">
        <v>3</v>
      </c>
      <c r="L992" s="1" t="s">
        <v>515</v>
      </c>
      <c r="M992">
        <v>0</v>
      </c>
      <c r="N992">
        <v>838</v>
      </c>
      <c r="O992">
        <v>26.087221</v>
      </c>
      <c r="P992">
        <v>2</v>
      </c>
      <c r="Q992" s="1" t="s">
        <v>569</v>
      </c>
      <c r="R992" s="93">
        <v>21863.7</v>
      </c>
      <c r="S992">
        <v>10254.06</v>
      </c>
      <c r="T992">
        <v>0</v>
      </c>
      <c r="U992" s="1" t="s">
        <v>962</v>
      </c>
      <c r="V992" s="1"/>
      <c r="W992">
        <v>21863.678670000001</v>
      </c>
      <c r="X992">
        <v>0</v>
      </c>
      <c r="Y992">
        <v>76528</v>
      </c>
    </row>
    <row r="993" spans="1:25" ht="15" hidden="1" customHeight="1" x14ac:dyDescent="0.25">
      <c r="A993" s="1" t="s">
        <v>27</v>
      </c>
      <c r="B993" s="1"/>
      <c r="C993" s="1" t="s">
        <v>118</v>
      </c>
      <c r="D993">
        <v>10018</v>
      </c>
      <c r="E993" s="1"/>
      <c r="F993" s="1" t="s">
        <v>262</v>
      </c>
      <c r="G993" s="1" t="s">
        <v>118</v>
      </c>
      <c r="H993" s="1" t="s">
        <v>1405</v>
      </c>
      <c r="I993">
        <v>2009</v>
      </c>
      <c r="J993" s="93">
        <v>24376.89</v>
      </c>
      <c r="K993">
        <v>2</v>
      </c>
      <c r="L993" s="1" t="s">
        <v>515</v>
      </c>
      <c r="M993">
        <v>0</v>
      </c>
      <c r="N993">
        <v>838</v>
      </c>
      <c r="O993">
        <v>29.085896000000002</v>
      </c>
      <c r="P993">
        <v>2</v>
      </c>
      <c r="Q993" s="1" t="s">
        <v>569</v>
      </c>
      <c r="R993" s="93">
        <v>24376.89</v>
      </c>
      <c r="S993">
        <v>11432.78</v>
      </c>
      <c r="T993">
        <v>0</v>
      </c>
      <c r="U993" s="1" t="s">
        <v>962</v>
      </c>
      <c r="V993" s="1"/>
      <c r="W993">
        <v>24376.905119999999</v>
      </c>
      <c r="X993">
        <v>0</v>
      </c>
      <c r="Y993">
        <v>76528</v>
      </c>
    </row>
    <row r="994" spans="1:25" ht="15" hidden="1" customHeight="1" x14ac:dyDescent="0.25">
      <c r="A994" s="1" t="s">
        <v>27</v>
      </c>
      <c r="B994" s="1"/>
      <c r="C994" s="1" t="s">
        <v>118</v>
      </c>
      <c r="D994">
        <v>10018</v>
      </c>
      <c r="E994" s="1"/>
      <c r="F994" s="1" t="s">
        <v>262</v>
      </c>
      <c r="G994" s="1" t="s">
        <v>118</v>
      </c>
      <c r="H994" s="1" t="s">
        <v>1405</v>
      </c>
      <c r="I994">
        <v>2008</v>
      </c>
      <c r="J994" s="93">
        <v>25730.91</v>
      </c>
      <c r="K994">
        <v>5</v>
      </c>
      <c r="L994" s="1" t="s">
        <v>515</v>
      </c>
      <c r="M994">
        <v>0</v>
      </c>
      <c r="N994">
        <v>838</v>
      </c>
      <c r="O994">
        <v>30.701478999999999</v>
      </c>
      <c r="P994">
        <v>2</v>
      </c>
      <c r="Q994" s="1" t="s">
        <v>569</v>
      </c>
      <c r="R994" s="93">
        <v>25730.91</v>
      </c>
      <c r="S994">
        <v>12067.78</v>
      </c>
      <c r="T994">
        <v>0</v>
      </c>
      <c r="U994" s="1" t="s">
        <v>962</v>
      </c>
      <c r="V994" s="1"/>
      <c r="W994">
        <v>25730.91001</v>
      </c>
      <c r="X994">
        <v>0</v>
      </c>
      <c r="Y994">
        <v>76528</v>
      </c>
    </row>
    <row r="995" spans="1:25" ht="15" hidden="1" customHeight="1" x14ac:dyDescent="0.25">
      <c r="A995" s="1" t="s">
        <v>27</v>
      </c>
      <c r="B995" s="1" t="s">
        <v>53</v>
      </c>
      <c r="C995" s="1" t="s">
        <v>119</v>
      </c>
      <c r="D995">
        <v>5486</v>
      </c>
      <c r="E995" s="1"/>
      <c r="F995" s="1" t="s">
        <v>263</v>
      </c>
      <c r="G995" s="1" t="s">
        <v>119</v>
      </c>
      <c r="H995" s="1" t="s">
        <v>1405</v>
      </c>
      <c r="I995">
        <v>2015</v>
      </c>
      <c r="J995" s="93">
        <v>12244</v>
      </c>
      <c r="K995">
        <v>5</v>
      </c>
      <c r="L995" s="1" t="s">
        <v>404</v>
      </c>
      <c r="M995">
        <v>0</v>
      </c>
      <c r="N995">
        <v>417</v>
      </c>
      <c r="O995">
        <v>12.198848999999999</v>
      </c>
      <c r="P995">
        <v>2</v>
      </c>
      <c r="Q995" s="1" t="s">
        <v>569</v>
      </c>
      <c r="R995" s="93">
        <v>5088.1400000000003</v>
      </c>
      <c r="S995">
        <v>2035.25</v>
      </c>
      <c r="T995">
        <v>0</v>
      </c>
      <c r="U995" s="1" t="s">
        <v>963</v>
      </c>
      <c r="V995" s="1" t="s">
        <v>1254</v>
      </c>
      <c r="W995">
        <v>5088.1274000000003</v>
      </c>
      <c r="X995">
        <v>0</v>
      </c>
      <c r="Y995">
        <v>57981</v>
      </c>
    </row>
    <row r="996" spans="1:25" ht="15" hidden="1" customHeight="1" x14ac:dyDescent="0.25">
      <c r="A996" s="1" t="s">
        <v>27</v>
      </c>
      <c r="B996" s="1" t="s">
        <v>53</v>
      </c>
      <c r="C996" s="1" t="s">
        <v>119</v>
      </c>
      <c r="D996">
        <v>5486</v>
      </c>
      <c r="E996" s="1"/>
      <c r="F996" s="1" t="s">
        <v>263</v>
      </c>
      <c r="G996" s="1" t="s">
        <v>119</v>
      </c>
      <c r="H996" s="1" t="s">
        <v>1405</v>
      </c>
      <c r="I996">
        <v>2013</v>
      </c>
      <c r="J996" s="93">
        <v>12096.39</v>
      </c>
      <c r="K996">
        <v>12</v>
      </c>
      <c r="L996" s="1" t="s">
        <v>404</v>
      </c>
      <c r="M996">
        <v>0</v>
      </c>
      <c r="N996">
        <v>417</v>
      </c>
      <c r="O996">
        <v>29.001173999999999</v>
      </c>
      <c r="P996">
        <v>2</v>
      </c>
      <c r="Q996" s="1" t="s">
        <v>569</v>
      </c>
      <c r="R996" s="93">
        <v>12096.39</v>
      </c>
      <c r="S996">
        <v>4838.57</v>
      </c>
      <c r="T996">
        <v>0</v>
      </c>
      <c r="U996" s="1" t="s">
        <v>963</v>
      </c>
      <c r="V996" s="1" t="s">
        <v>1254</v>
      </c>
      <c r="W996">
        <v>12096.3907</v>
      </c>
      <c r="X996">
        <v>0</v>
      </c>
      <c r="Y996">
        <v>57981</v>
      </c>
    </row>
    <row r="997" spans="1:25" ht="15" hidden="1" customHeight="1" x14ac:dyDescent="0.25">
      <c r="A997" s="1" t="s">
        <v>27</v>
      </c>
      <c r="B997" s="1" t="s">
        <v>53</v>
      </c>
      <c r="C997" s="1" t="s">
        <v>119</v>
      </c>
      <c r="D997">
        <v>5486</v>
      </c>
      <c r="E997" s="1"/>
      <c r="F997" s="1" t="s">
        <v>263</v>
      </c>
      <c r="G997" s="1" t="s">
        <v>119</v>
      </c>
      <c r="H997" s="1" t="s">
        <v>1405</v>
      </c>
      <c r="I997">
        <v>2012</v>
      </c>
      <c r="J997" s="93">
        <v>15383.12</v>
      </c>
      <c r="K997">
        <v>12</v>
      </c>
      <c r="L997" s="1" t="s">
        <v>404</v>
      </c>
      <c r="M997">
        <v>0</v>
      </c>
      <c r="N997">
        <v>417</v>
      </c>
      <c r="O997">
        <v>36.881131000000003</v>
      </c>
      <c r="P997">
        <v>2</v>
      </c>
      <c r="Q997" s="1" t="s">
        <v>569</v>
      </c>
      <c r="R997" s="93">
        <v>15383.12</v>
      </c>
      <c r="S997">
        <v>6153.25</v>
      </c>
      <c r="T997">
        <v>0</v>
      </c>
      <c r="U997" s="1" t="s">
        <v>963</v>
      </c>
      <c r="V997" s="1" t="s">
        <v>1254</v>
      </c>
      <c r="W997">
        <v>15383.117</v>
      </c>
      <c r="X997">
        <v>0</v>
      </c>
      <c r="Y997">
        <v>57981</v>
      </c>
    </row>
    <row r="998" spans="1:25" ht="15" hidden="1" customHeight="1" x14ac:dyDescent="0.25">
      <c r="A998" s="1" t="s">
        <v>27</v>
      </c>
      <c r="B998" s="1" t="s">
        <v>53</v>
      </c>
      <c r="C998" s="1" t="s">
        <v>119</v>
      </c>
      <c r="D998">
        <v>5486</v>
      </c>
      <c r="E998" s="1"/>
      <c r="F998" s="1" t="s">
        <v>263</v>
      </c>
      <c r="G998" s="1" t="s">
        <v>119</v>
      </c>
      <c r="H998" s="1" t="s">
        <v>1405</v>
      </c>
      <c r="I998">
        <v>2011</v>
      </c>
      <c r="J998" s="93">
        <v>17141.59</v>
      </c>
      <c r="K998">
        <v>12</v>
      </c>
      <c r="L998" s="1" t="s">
        <v>404</v>
      </c>
      <c r="M998">
        <v>0</v>
      </c>
      <c r="N998">
        <v>417</v>
      </c>
      <c r="O998">
        <v>41.097074999999997</v>
      </c>
      <c r="P998">
        <v>2</v>
      </c>
      <c r="Q998" s="1" t="s">
        <v>569</v>
      </c>
      <c r="R998" s="93">
        <v>17141.59</v>
      </c>
      <c r="S998">
        <v>8039.42</v>
      </c>
      <c r="T998">
        <v>0</v>
      </c>
      <c r="U998" s="1" t="s">
        <v>963</v>
      </c>
      <c r="V998" s="1" t="s">
        <v>1254</v>
      </c>
      <c r="W998">
        <v>17141.598000000002</v>
      </c>
      <c r="X998">
        <v>0</v>
      </c>
      <c r="Y998">
        <v>57981</v>
      </c>
    </row>
    <row r="999" spans="1:25" ht="15" hidden="1" customHeight="1" x14ac:dyDescent="0.25">
      <c r="A999" s="1" t="s">
        <v>27</v>
      </c>
      <c r="B999" s="1" t="s">
        <v>53</v>
      </c>
      <c r="C999" s="1" t="s">
        <v>119</v>
      </c>
      <c r="D999">
        <v>5486</v>
      </c>
      <c r="E999" s="1"/>
      <c r="F999" s="1" t="s">
        <v>263</v>
      </c>
      <c r="G999" s="1" t="s">
        <v>119</v>
      </c>
      <c r="H999" s="1" t="s">
        <v>1405</v>
      </c>
      <c r="I999">
        <v>2010</v>
      </c>
      <c r="J999" s="93">
        <v>16777.88</v>
      </c>
      <c r="K999">
        <v>12</v>
      </c>
      <c r="L999" s="1" t="s">
        <v>404</v>
      </c>
      <c r="M999">
        <v>0</v>
      </c>
      <c r="N999">
        <v>417</v>
      </c>
      <c r="O999">
        <v>40.225076999999999</v>
      </c>
      <c r="P999">
        <v>2</v>
      </c>
      <c r="Q999" s="1" t="s">
        <v>569</v>
      </c>
      <c r="R999" s="93">
        <v>16777.88</v>
      </c>
      <c r="S999">
        <v>7868.83</v>
      </c>
      <c r="T999">
        <v>0</v>
      </c>
      <c r="U999" s="1" t="s">
        <v>963</v>
      </c>
      <c r="V999" s="1" t="s">
        <v>1254</v>
      </c>
      <c r="W999">
        <v>16777.882000000001</v>
      </c>
      <c r="X999">
        <v>0</v>
      </c>
      <c r="Y999">
        <v>57981</v>
      </c>
    </row>
    <row r="1000" spans="1:25" ht="15" hidden="1" customHeight="1" x14ac:dyDescent="0.25">
      <c r="A1000" s="1" t="s">
        <v>27</v>
      </c>
      <c r="B1000" s="1" t="s">
        <v>53</v>
      </c>
      <c r="C1000" s="1" t="s">
        <v>119</v>
      </c>
      <c r="D1000">
        <v>5486</v>
      </c>
      <c r="E1000" s="1"/>
      <c r="F1000" s="1" t="s">
        <v>263</v>
      </c>
      <c r="G1000" s="1" t="s">
        <v>119</v>
      </c>
      <c r="H1000" s="1" t="s">
        <v>1405</v>
      </c>
      <c r="I1000">
        <v>2009</v>
      </c>
      <c r="J1000" s="93">
        <v>16581.240000000002</v>
      </c>
      <c r="K1000">
        <v>12</v>
      </c>
      <c r="L1000" s="1" t="s">
        <v>404</v>
      </c>
      <c r="M1000">
        <v>0</v>
      </c>
      <c r="N1000">
        <v>417</v>
      </c>
      <c r="O1000">
        <v>39.753632000000003</v>
      </c>
      <c r="P1000">
        <v>2</v>
      </c>
      <c r="Q1000" s="1" t="s">
        <v>569</v>
      </c>
      <c r="R1000" s="93">
        <v>16581.240000000002</v>
      </c>
      <c r="S1000">
        <v>7776.6</v>
      </c>
      <c r="T1000">
        <v>0</v>
      </c>
      <c r="U1000" s="1" t="s">
        <v>963</v>
      </c>
      <c r="V1000" s="1" t="s">
        <v>1254</v>
      </c>
      <c r="W1000">
        <v>16581.235000000001</v>
      </c>
      <c r="X1000">
        <v>0</v>
      </c>
      <c r="Y1000">
        <v>57981</v>
      </c>
    </row>
    <row r="1001" spans="1:25" ht="15" hidden="1" customHeight="1" x14ac:dyDescent="0.25">
      <c r="A1001" s="1" t="s">
        <v>27</v>
      </c>
      <c r="B1001" s="1" t="s">
        <v>53</v>
      </c>
      <c r="C1001" s="1" t="s">
        <v>119</v>
      </c>
      <c r="D1001">
        <v>5486</v>
      </c>
      <c r="E1001" s="1"/>
      <c r="F1001" s="1" t="s">
        <v>263</v>
      </c>
      <c r="G1001" s="1" t="s">
        <v>119</v>
      </c>
      <c r="H1001" s="1" t="s">
        <v>1405</v>
      </c>
      <c r="I1001">
        <v>2008</v>
      </c>
      <c r="J1001" s="93">
        <v>17098.05</v>
      </c>
      <c r="K1001">
        <v>12</v>
      </c>
      <c r="L1001" s="1" t="s">
        <v>404</v>
      </c>
      <c r="M1001">
        <v>0</v>
      </c>
      <c r="N1001">
        <v>417</v>
      </c>
      <c r="O1001">
        <v>40.992686999999997</v>
      </c>
      <c r="P1001">
        <v>2</v>
      </c>
      <c r="Q1001" s="1" t="s">
        <v>569</v>
      </c>
      <c r="R1001" s="93">
        <v>17098.05</v>
      </c>
      <c r="S1001">
        <v>8018.98</v>
      </c>
      <c r="T1001">
        <v>0</v>
      </c>
      <c r="U1001" s="1" t="s">
        <v>963</v>
      </c>
      <c r="V1001" s="1" t="s">
        <v>1254</v>
      </c>
      <c r="W1001">
        <v>17098.044999999998</v>
      </c>
      <c r="X1001">
        <v>0</v>
      </c>
      <c r="Y1001">
        <v>57981</v>
      </c>
    </row>
    <row r="1002" spans="1:25" ht="15" hidden="1" customHeight="1" x14ac:dyDescent="0.25">
      <c r="A1002" s="1" t="s">
        <v>27</v>
      </c>
      <c r="B1002" s="1"/>
      <c r="C1002" s="1" t="s">
        <v>120</v>
      </c>
      <c r="D1002">
        <v>10058</v>
      </c>
      <c r="E1002" s="1"/>
      <c r="F1002" s="1" t="s">
        <v>120</v>
      </c>
      <c r="G1002" s="1" t="s">
        <v>120</v>
      </c>
      <c r="H1002" s="1" t="s">
        <v>1405</v>
      </c>
      <c r="I1002">
        <v>2015</v>
      </c>
      <c r="J1002" s="93">
        <v>17382</v>
      </c>
      <c r="K1002">
        <v>5</v>
      </c>
      <c r="L1002" s="1" t="s">
        <v>405</v>
      </c>
      <c r="M1002">
        <v>0</v>
      </c>
      <c r="N1002">
        <v>692</v>
      </c>
      <c r="O1002">
        <v>10.457981999999999</v>
      </c>
      <c r="P1002">
        <v>2</v>
      </c>
      <c r="Q1002" s="1" t="s">
        <v>569</v>
      </c>
      <c r="R1002" s="93">
        <v>7237.97</v>
      </c>
      <c r="S1002">
        <v>2171.39</v>
      </c>
      <c r="T1002">
        <v>0</v>
      </c>
      <c r="U1002" s="1"/>
      <c r="V1002" s="1" t="s">
        <v>1255</v>
      </c>
      <c r="W1002">
        <v>7237.9669999999996</v>
      </c>
      <c r="X1002">
        <v>0</v>
      </c>
      <c r="Y1002">
        <v>76684</v>
      </c>
    </row>
    <row r="1003" spans="1:25" ht="15" hidden="1" customHeight="1" x14ac:dyDescent="0.25">
      <c r="A1003" s="1" t="s">
        <v>27</v>
      </c>
      <c r="B1003" s="1"/>
      <c r="C1003" s="1" t="s">
        <v>120</v>
      </c>
      <c r="D1003">
        <v>10058</v>
      </c>
      <c r="E1003" s="1"/>
      <c r="F1003" s="1" t="s">
        <v>120</v>
      </c>
      <c r="G1003" s="1" t="s">
        <v>120</v>
      </c>
      <c r="H1003" s="1" t="s">
        <v>1405</v>
      </c>
      <c r="I1003">
        <v>2013</v>
      </c>
      <c r="J1003" s="93">
        <v>18965.349999999999</v>
      </c>
      <c r="K1003">
        <v>12</v>
      </c>
      <c r="L1003" s="1" t="s">
        <v>405</v>
      </c>
      <c r="M1003">
        <v>0</v>
      </c>
      <c r="N1003">
        <v>692</v>
      </c>
      <c r="O1003">
        <v>27.402615000000001</v>
      </c>
      <c r="P1003">
        <v>2</v>
      </c>
      <c r="Q1003" s="1" t="s">
        <v>569</v>
      </c>
      <c r="R1003" s="93">
        <v>18965.349999999999</v>
      </c>
      <c r="S1003">
        <v>5689.61</v>
      </c>
      <c r="T1003">
        <v>0</v>
      </c>
      <c r="U1003" s="1"/>
      <c r="V1003" s="1" t="s">
        <v>1255</v>
      </c>
      <c r="W1003">
        <v>18965.341</v>
      </c>
      <c r="X1003">
        <v>0</v>
      </c>
      <c r="Y1003">
        <v>76684</v>
      </c>
    </row>
    <row r="1004" spans="1:25" ht="15" hidden="1" customHeight="1" x14ac:dyDescent="0.25">
      <c r="A1004" s="1" t="s">
        <v>27</v>
      </c>
      <c r="B1004" s="1"/>
      <c r="C1004" s="1" t="s">
        <v>120</v>
      </c>
      <c r="D1004">
        <v>10058</v>
      </c>
      <c r="E1004" s="1"/>
      <c r="F1004" s="1" t="s">
        <v>120</v>
      </c>
      <c r="G1004" s="1" t="s">
        <v>120</v>
      </c>
      <c r="H1004" s="1" t="s">
        <v>1405</v>
      </c>
      <c r="I1004">
        <v>2012</v>
      </c>
      <c r="J1004" s="93">
        <v>18135.84</v>
      </c>
      <c r="K1004">
        <v>12</v>
      </c>
      <c r="L1004" s="1" t="s">
        <v>405</v>
      </c>
      <c r="M1004">
        <v>0</v>
      </c>
      <c r="N1004">
        <v>692</v>
      </c>
      <c r="O1004">
        <v>26.204073999999999</v>
      </c>
      <c r="P1004">
        <v>2</v>
      </c>
      <c r="Q1004" s="1" t="s">
        <v>569</v>
      </c>
      <c r="R1004" s="93">
        <v>18135.84</v>
      </c>
      <c r="S1004">
        <v>7254.33</v>
      </c>
      <c r="T1004">
        <v>0</v>
      </c>
      <c r="U1004" s="1"/>
      <c r="V1004" s="1" t="s">
        <v>1255</v>
      </c>
      <c r="W1004">
        <v>18135.843000000001</v>
      </c>
      <c r="X1004">
        <v>0</v>
      </c>
      <c r="Y1004">
        <v>76684</v>
      </c>
    </row>
    <row r="1005" spans="1:25" ht="15" hidden="1" customHeight="1" x14ac:dyDescent="0.25">
      <c r="A1005" s="1" t="s">
        <v>27</v>
      </c>
      <c r="B1005" s="1"/>
      <c r="C1005" s="1" t="s">
        <v>120</v>
      </c>
      <c r="D1005">
        <v>10058</v>
      </c>
      <c r="E1005" s="1"/>
      <c r="F1005" s="1" t="s">
        <v>120</v>
      </c>
      <c r="G1005" s="1" t="s">
        <v>120</v>
      </c>
      <c r="H1005" s="1" t="s">
        <v>1405</v>
      </c>
      <c r="I1005">
        <v>2011</v>
      </c>
      <c r="J1005" s="93">
        <v>18099.32</v>
      </c>
      <c r="K1005">
        <v>12</v>
      </c>
      <c r="L1005" s="1" t="s">
        <v>405</v>
      </c>
      <c r="M1005">
        <v>0</v>
      </c>
      <c r="N1005">
        <v>692</v>
      </c>
      <c r="O1005">
        <v>26.151306999999999</v>
      </c>
      <c r="P1005">
        <v>2</v>
      </c>
      <c r="Q1005" s="1" t="s">
        <v>569</v>
      </c>
      <c r="R1005" s="93">
        <v>18099.32</v>
      </c>
      <c r="S1005">
        <v>8488.57</v>
      </c>
      <c r="T1005">
        <v>0</v>
      </c>
      <c r="U1005" s="1"/>
      <c r="V1005" s="1" t="s">
        <v>1255</v>
      </c>
      <c r="W1005">
        <v>18099.311000000002</v>
      </c>
      <c r="X1005">
        <v>0</v>
      </c>
      <c r="Y1005">
        <v>76684</v>
      </c>
    </row>
    <row r="1006" spans="1:25" ht="15" hidden="1" customHeight="1" x14ac:dyDescent="0.25">
      <c r="A1006" s="1" t="s">
        <v>27</v>
      </c>
      <c r="B1006" s="1"/>
      <c r="C1006" s="1" t="s">
        <v>120</v>
      </c>
      <c r="D1006">
        <v>10058</v>
      </c>
      <c r="E1006" s="1"/>
      <c r="F1006" s="1" t="s">
        <v>120</v>
      </c>
      <c r="G1006" s="1" t="s">
        <v>120</v>
      </c>
      <c r="H1006" s="1" t="s">
        <v>1405</v>
      </c>
      <c r="I1006">
        <v>2010</v>
      </c>
      <c r="J1006" s="93">
        <v>17306.2</v>
      </c>
      <c r="K1006">
        <v>6</v>
      </c>
      <c r="L1006" s="1" t="s">
        <v>405</v>
      </c>
      <c r="M1006">
        <v>0</v>
      </c>
      <c r="N1006">
        <v>692</v>
      </c>
      <c r="O1006">
        <v>25.005345999999999</v>
      </c>
      <c r="P1006">
        <v>2</v>
      </c>
      <c r="Q1006" s="1" t="s">
        <v>569</v>
      </c>
      <c r="R1006" s="93">
        <v>17306.2</v>
      </c>
      <c r="S1006">
        <v>8116.62</v>
      </c>
      <c r="T1006">
        <v>0</v>
      </c>
      <c r="U1006" s="1"/>
      <c r="V1006" s="1" t="s">
        <v>1255</v>
      </c>
      <c r="W1006">
        <v>17306.206480000001</v>
      </c>
      <c r="X1006">
        <v>0</v>
      </c>
      <c r="Y1006">
        <v>76684</v>
      </c>
    </row>
    <row r="1007" spans="1:25" ht="15" hidden="1" customHeight="1" x14ac:dyDescent="0.25">
      <c r="A1007" s="1" t="s">
        <v>27</v>
      </c>
      <c r="B1007" s="1"/>
      <c r="C1007" s="1" t="s">
        <v>120</v>
      </c>
      <c r="D1007">
        <v>10058</v>
      </c>
      <c r="E1007" s="1"/>
      <c r="F1007" s="1" t="s">
        <v>120</v>
      </c>
      <c r="G1007" s="1" t="s">
        <v>120</v>
      </c>
      <c r="H1007" s="1" t="s">
        <v>1405</v>
      </c>
      <c r="I1007">
        <v>2009</v>
      </c>
      <c r="J1007" s="93">
        <v>19062.84</v>
      </c>
      <c r="K1007">
        <v>4</v>
      </c>
      <c r="L1007" s="1" t="s">
        <v>405</v>
      </c>
      <c r="M1007">
        <v>0</v>
      </c>
      <c r="N1007">
        <v>692</v>
      </c>
      <c r="O1007">
        <v>27.543475999999998</v>
      </c>
      <c r="P1007">
        <v>2</v>
      </c>
      <c r="Q1007" s="1" t="s">
        <v>569</v>
      </c>
      <c r="R1007" s="93">
        <v>19062.84</v>
      </c>
      <c r="S1007">
        <v>8940.4599999999991</v>
      </c>
      <c r="T1007">
        <v>0</v>
      </c>
      <c r="U1007" s="1"/>
      <c r="V1007" s="1" t="s">
        <v>1255</v>
      </c>
      <c r="W1007">
        <v>19062.849450000002</v>
      </c>
      <c r="X1007">
        <v>0</v>
      </c>
      <c r="Y1007">
        <v>76684</v>
      </c>
    </row>
    <row r="1008" spans="1:25" ht="15" hidden="1" customHeight="1" x14ac:dyDescent="0.25">
      <c r="A1008" s="1" t="s">
        <v>27</v>
      </c>
      <c r="B1008" s="1"/>
      <c r="C1008" s="1" t="s">
        <v>120</v>
      </c>
      <c r="D1008">
        <v>10058</v>
      </c>
      <c r="E1008" s="1"/>
      <c r="F1008" s="1" t="s">
        <v>120</v>
      </c>
      <c r="G1008" s="1" t="s">
        <v>120</v>
      </c>
      <c r="H1008" s="1" t="s">
        <v>1405</v>
      </c>
      <c r="I1008">
        <v>2008</v>
      </c>
      <c r="J1008" s="93">
        <v>17530.96</v>
      </c>
      <c r="K1008">
        <v>4</v>
      </c>
      <c r="L1008" s="1" t="s">
        <v>405</v>
      </c>
      <c r="M1008">
        <v>0</v>
      </c>
      <c r="N1008">
        <v>692</v>
      </c>
      <c r="O1008">
        <v>25.330096000000001</v>
      </c>
      <c r="P1008">
        <v>2</v>
      </c>
      <c r="Q1008" s="1" t="s">
        <v>569</v>
      </c>
      <c r="R1008" s="93">
        <v>17530.96</v>
      </c>
      <c r="S1008">
        <v>8222.0300000000007</v>
      </c>
      <c r="T1008">
        <v>0</v>
      </c>
      <c r="U1008" s="1"/>
      <c r="V1008" s="1" t="s">
        <v>1255</v>
      </c>
      <c r="W1008">
        <v>17530.967089999998</v>
      </c>
      <c r="X1008">
        <v>0</v>
      </c>
      <c r="Y1008">
        <v>76684</v>
      </c>
    </row>
    <row r="1009" spans="1:25" ht="15" hidden="1" customHeight="1" x14ac:dyDescent="0.25">
      <c r="A1009" s="1" t="s">
        <v>27</v>
      </c>
      <c r="B1009" s="1" t="s">
        <v>54</v>
      </c>
      <c r="C1009" s="1" t="s">
        <v>121</v>
      </c>
      <c r="D1009">
        <v>5428</v>
      </c>
      <c r="E1009" s="1"/>
      <c r="F1009" s="1" t="s">
        <v>264</v>
      </c>
      <c r="G1009" s="1" t="s">
        <v>121</v>
      </c>
      <c r="H1009" s="1" t="s">
        <v>1405</v>
      </c>
      <c r="I1009">
        <v>2015</v>
      </c>
      <c r="J1009" s="93">
        <v>28802</v>
      </c>
      <c r="K1009">
        <v>5</v>
      </c>
      <c r="L1009" s="1" t="s">
        <v>404</v>
      </c>
      <c r="M1009">
        <v>0</v>
      </c>
      <c r="N1009">
        <v>679</v>
      </c>
      <c r="O1009">
        <v>12.485127</v>
      </c>
      <c r="P1009">
        <v>2</v>
      </c>
      <c r="Q1009" s="1" t="s">
        <v>569</v>
      </c>
      <c r="R1009" s="93">
        <v>8478.65</v>
      </c>
      <c r="S1009">
        <v>3391.47</v>
      </c>
      <c r="T1009">
        <v>0</v>
      </c>
      <c r="U1009" s="1" t="s">
        <v>964</v>
      </c>
      <c r="V1009" s="1"/>
      <c r="W1009">
        <v>8478.652</v>
      </c>
      <c r="X1009">
        <v>0</v>
      </c>
      <c r="Y1009">
        <v>57402</v>
      </c>
    </row>
    <row r="1010" spans="1:25" ht="15" hidden="1" customHeight="1" x14ac:dyDescent="0.25">
      <c r="A1010" s="1" t="s">
        <v>27</v>
      </c>
      <c r="B1010" s="1" t="s">
        <v>54</v>
      </c>
      <c r="C1010" s="1" t="s">
        <v>121</v>
      </c>
      <c r="D1010">
        <v>5428</v>
      </c>
      <c r="E1010" s="1"/>
      <c r="F1010" s="1" t="s">
        <v>264</v>
      </c>
      <c r="G1010" s="1" t="s">
        <v>121</v>
      </c>
      <c r="H1010" s="1" t="s">
        <v>1405</v>
      </c>
      <c r="I1010">
        <v>2015</v>
      </c>
      <c r="J1010" s="93">
        <v>0</v>
      </c>
      <c r="K1010">
        <v>5</v>
      </c>
      <c r="L1010" s="1" t="s">
        <v>404</v>
      </c>
      <c r="M1010">
        <v>0</v>
      </c>
      <c r="N1010">
        <v>679</v>
      </c>
      <c r="O1010">
        <v>4.103637</v>
      </c>
      <c r="P1010">
        <v>2</v>
      </c>
      <c r="Q1010" s="1" t="s">
        <v>569</v>
      </c>
      <c r="R1010" s="93">
        <v>2786.78</v>
      </c>
      <c r="S1010">
        <v>1114.71</v>
      </c>
      <c r="T1010">
        <v>0</v>
      </c>
      <c r="U1010" s="1" t="s">
        <v>965</v>
      </c>
      <c r="V1010" s="1"/>
      <c r="W1010">
        <v>2786.7779999999998</v>
      </c>
      <c r="X1010">
        <v>0</v>
      </c>
      <c r="Y1010">
        <v>57563</v>
      </c>
    </row>
    <row r="1011" spans="1:25" ht="15" hidden="1" customHeight="1" x14ac:dyDescent="0.25">
      <c r="A1011" s="1" t="s">
        <v>27</v>
      </c>
      <c r="B1011" s="1" t="s">
        <v>54</v>
      </c>
      <c r="C1011" s="1" t="s">
        <v>121</v>
      </c>
      <c r="D1011">
        <v>5428</v>
      </c>
      <c r="E1011" s="1"/>
      <c r="F1011" s="1" t="s">
        <v>264</v>
      </c>
      <c r="G1011" s="1" t="s">
        <v>121</v>
      </c>
      <c r="H1011" s="1" t="s">
        <v>1405</v>
      </c>
      <c r="I1011">
        <v>2015</v>
      </c>
      <c r="J1011" s="93">
        <v>0</v>
      </c>
      <c r="K1011">
        <v>5</v>
      </c>
      <c r="L1011" s="1" t="s">
        <v>404</v>
      </c>
      <c r="M1011">
        <v>0</v>
      </c>
      <c r="N1011">
        <v>679</v>
      </c>
      <c r="O1011">
        <v>1.1060220000000001</v>
      </c>
      <c r="P1011">
        <v>2</v>
      </c>
      <c r="Q1011" s="1" t="s">
        <v>569</v>
      </c>
      <c r="R1011" s="93">
        <v>751.1</v>
      </c>
      <c r="S1011">
        <v>300.44</v>
      </c>
      <c r="T1011">
        <v>0</v>
      </c>
      <c r="U1011" s="1" t="s">
        <v>966</v>
      </c>
      <c r="V1011" s="1"/>
      <c r="W1011">
        <v>751.10799999999995</v>
      </c>
      <c r="X1011">
        <v>0</v>
      </c>
      <c r="Y1011">
        <v>57564</v>
      </c>
    </row>
    <row r="1012" spans="1:25" ht="15" hidden="1" customHeight="1" x14ac:dyDescent="0.25">
      <c r="A1012" s="1" t="s">
        <v>27</v>
      </c>
      <c r="B1012" s="1" t="s">
        <v>54</v>
      </c>
      <c r="C1012" s="1" t="s">
        <v>121</v>
      </c>
      <c r="D1012">
        <v>5428</v>
      </c>
      <c r="E1012" s="1"/>
      <c r="F1012" s="1" t="s">
        <v>264</v>
      </c>
      <c r="G1012" s="1" t="s">
        <v>121</v>
      </c>
      <c r="H1012" s="1" t="s">
        <v>1405</v>
      </c>
      <c r="I1012">
        <v>2013</v>
      </c>
      <c r="J1012" s="93">
        <v>15079.56</v>
      </c>
      <c r="K1012">
        <v>12</v>
      </c>
      <c r="L1012" s="1" t="s">
        <v>404</v>
      </c>
      <c r="M1012">
        <v>0</v>
      </c>
      <c r="N1012">
        <v>679</v>
      </c>
      <c r="O1012">
        <v>22.205212</v>
      </c>
      <c r="P1012">
        <v>2</v>
      </c>
      <c r="Q1012" s="1" t="s">
        <v>569</v>
      </c>
      <c r="R1012" s="93">
        <v>15079.56</v>
      </c>
      <c r="S1012">
        <v>6031.83</v>
      </c>
      <c r="T1012">
        <v>0</v>
      </c>
      <c r="U1012" s="1" t="s">
        <v>964</v>
      </c>
      <c r="V1012" s="1"/>
      <c r="W1012">
        <v>15079.556</v>
      </c>
      <c r="X1012">
        <v>0</v>
      </c>
      <c r="Y1012">
        <v>57402</v>
      </c>
    </row>
    <row r="1013" spans="1:25" ht="15" hidden="1" customHeight="1" x14ac:dyDescent="0.25">
      <c r="A1013" s="1" t="s">
        <v>27</v>
      </c>
      <c r="B1013" s="1" t="s">
        <v>54</v>
      </c>
      <c r="C1013" s="1" t="s">
        <v>121</v>
      </c>
      <c r="D1013">
        <v>5428</v>
      </c>
      <c r="E1013" s="1"/>
      <c r="F1013" s="1" t="s">
        <v>264</v>
      </c>
      <c r="G1013" s="1" t="s">
        <v>121</v>
      </c>
      <c r="H1013" s="1" t="s">
        <v>1405</v>
      </c>
      <c r="I1013">
        <v>2013</v>
      </c>
      <c r="J1013" s="93">
        <v>1680</v>
      </c>
      <c r="K1013">
        <v>12</v>
      </c>
      <c r="L1013" s="1" t="s">
        <v>404</v>
      </c>
      <c r="M1013">
        <v>0</v>
      </c>
      <c r="N1013">
        <v>679</v>
      </c>
      <c r="O1013">
        <v>2.473862</v>
      </c>
      <c r="P1013">
        <v>2</v>
      </c>
      <c r="Q1013" s="1" t="s">
        <v>569</v>
      </c>
      <c r="R1013" s="93">
        <v>1680</v>
      </c>
      <c r="S1013">
        <v>672</v>
      </c>
      <c r="T1013">
        <v>0</v>
      </c>
      <c r="U1013" s="1" t="s">
        <v>966</v>
      </c>
      <c r="V1013" s="1"/>
      <c r="W1013">
        <v>1679.99</v>
      </c>
      <c r="X1013">
        <v>0</v>
      </c>
      <c r="Y1013">
        <v>57564</v>
      </c>
    </row>
    <row r="1014" spans="1:25" ht="15" hidden="1" customHeight="1" x14ac:dyDescent="0.25">
      <c r="A1014" s="1" t="s">
        <v>27</v>
      </c>
      <c r="B1014" s="1" t="s">
        <v>54</v>
      </c>
      <c r="C1014" s="1" t="s">
        <v>121</v>
      </c>
      <c r="D1014">
        <v>5428</v>
      </c>
      <c r="E1014" s="1"/>
      <c r="F1014" s="1" t="s">
        <v>264</v>
      </c>
      <c r="G1014" s="1" t="s">
        <v>121</v>
      </c>
      <c r="H1014" s="1" t="s">
        <v>1405</v>
      </c>
      <c r="I1014">
        <v>2013</v>
      </c>
      <c r="J1014" s="93">
        <v>8065.16</v>
      </c>
      <c r="K1014">
        <v>12</v>
      </c>
      <c r="L1014" s="1" t="s">
        <v>404</v>
      </c>
      <c r="M1014">
        <v>0</v>
      </c>
      <c r="N1014">
        <v>679</v>
      </c>
      <c r="O1014">
        <v>11.876246999999999</v>
      </c>
      <c r="P1014">
        <v>2</v>
      </c>
      <c r="Q1014" s="1" t="s">
        <v>569</v>
      </c>
      <c r="R1014" s="93">
        <v>8065.16</v>
      </c>
      <c r="S1014">
        <v>3226.07</v>
      </c>
      <c r="T1014">
        <v>0</v>
      </c>
      <c r="U1014" s="1" t="s">
        <v>965</v>
      </c>
      <c r="V1014" s="1"/>
      <c r="W1014">
        <v>8065.1779999999999</v>
      </c>
      <c r="X1014">
        <v>0</v>
      </c>
      <c r="Y1014">
        <v>57563</v>
      </c>
    </row>
    <row r="1015" spans="1:25" ht="15" hidden="1" customHeight="1" x14ac:dyDescent="0.25">
      <c r="A1015" s="1" t="s">
        <v>27</v>
      </c>
      <c r="B1015" s="1" t="s">
        <v>54</v>
      </c>
      <c r="C1015" s="1" t="s">
        <v>121</v>
      </c>
      <c r="D1015">
        <v>5428</v>
      </c>
      <c r="E1015" s="1"/>
      <c r="F1015" s="1" t="s">
        <v>264</v>
      </c>
      <c r="G1015" s="1" t="s">
        <v>121</v>
      </c>
      <c r="H1015" s="1" t="s">
        <v>1405</v>
      </c>
      <c r="I1015">
        <v>2012</v>
      </c>
      <c r="J1015" s="93">
        <v>14018.63</v>
      </c>
      <c r="K1015">
        <v>12</v>
      </c>
      <c r="L1015" s="1" t="s">
        <v>404</v>
      </c>
      <c r="M1015">
        <v>0</v>
      </c>
      <c r="N1015">
        <v>679</v>
      </c>
      <c r="O1015">
        <v>20.642952999999999</v>
      </c>
      <c r="P1015">
        <v>2</v>
      </c>
      <c r="Q1015" s="1" t="s">
        <v>569</v>
      </c>
      <c r="R1015" s="93">
        <v>14018.63</v>
      </c>
      <c r="S1015">
        <v>5607.45</v>
      </c>
      <c r="T1015">
        <v>0</v>
      </c>
      <c r="U1015" s="1" t="s">
        <v>964</v>
      </c>
      <c r="V1015" s="1"/>
      <c r="W1015">
        <v>14018.644</v>
      </c>
      <c r="X1015">
        <v>0</v>
      </c>
      <c r="Y1015">
        <v>57402</v>
      </c>
    </row>
    <row r="1016" spans="1:25" ht="15" hidden="1" customHeight="1" x14ac:dyDescent="0.25">
      <c r="A1016" s="1" t="s">
        <v>27</v>
      </c>
      <c r="B1016" s="1" t="s">
        <v>54</v>
      </c>
      <c r="C1016" s="1" t="s">
        <v>121</v>
      </c>
      <c r="D1016">
        <v>5428</v>
      </c>
      <c r="E1016" s="1"/>
      <c r="F1016" s="1" t="s">
        <v>264</v>
      </c>
      <c r="G1016" s="1" t="s">
        <v>121</v>
      </c>
      <c r="H1016" s="1" t="s">
        <v>1405</v>
      </c>
      <c r="I1016">
        <v>2012</v>
      </c>
      <c r="J1016" s="93">
        <v>1534.67</v>
      </c>
      <c r="K1016">
        <v>12</v>
      </c>
      <c r="L1016" s="1" t="s">
        <v>404</v>
      </c>
      <c r="M1016">
        <v>0</v>
      </c>
      <c r="N1016">
        <v>679</v>
      </c>
      <c r="O1016">
        <v>2.2598579999999999</v>
      </c>
      <c r="P1016">
        <v>2</v>
      </c>
      <c r="Q1016" s="1" t="s">
        <v>569</v>
      </c>
      <c r="R1016" s="93">
        <v>1534.67</v>
      </c>
      <c r="S1016">
        <v>613.85</v>
      </c>
      <c r="T1016">
        <v>0</v>
      </c>
      <c r="U1016" s="1" t="s">
        <v>966</v>
      </c>
      <c r="V1016" s="1"/>
      <c r="W1016">
        <v>1534.65</v>
      </c>
      <c r="X1016">
        <v>0</v>
      </c>
      <c r="Y1016">
        <v>57564</v>
      </c>
    </row>
    <row r="1017" spans="1:25" ht="15" hidden="1" customHeight="1" x14ac:dyDescent="0.25">
      <c r="A1017" s="1" t="s">
        <v>27</v>
      </c>
      <c r="B1017" s="1" t="s">
        <v>54</v>
      </c>
      <c r="C1017" s="1" t="s">
        <v>121</v>
      </c>
      <c r="D1017">
        <v>5428</v>
      </c>
      <c r="E1017" s="1"/>
      <c r="F1017" s="1" t="s">
        <v>264</v>
      </c>
      <c r="G1017" s="1" t="s">
        <v>121</v>
      </c>
      <c r="H1017" s="1" t="s">
        <v>1405</v>
      </c>
      <c r="I1017">
        <v>2012</v>
      </c>
      <c r="J1017" s="93">
        <v>11463.35</v>
      </c>
      <c r="K1017">
        <v>12</v>
      </c>
      <c r="L1017" s="1" t="s">
        <v>404</v>
      </c>
      <c r="M1017">
        <v>0</v>
      </c>
      <c r="N1017">
        <v>679</v>
      </c>
      <c r="O1017">
        <v>16.880209000000001</v>
      </c>
      <c r="P1017">
        <v>2</v>
      </c>
      <c r="Q1017" s="1" t="s">
        <v>569</v>
      </c>
      <c r="R1017" s="93">
        <v>11463.35</v>
      </c>
      <c r="S1017">
        <v>4585.3500000000004</v>
      </c>
      <c r="T1017">
        <v>0</v>
      </c>
      <c r="U1017" s="1" t="s">
        <v>965</v>
      </c>
      <c r="V1017" s="1"/>
      <c r="W1017">
        <v>11463.35</v>
      </c>
      <c r="X1017">
        <v>0</v>
      </c>
      <c r="Y1017">
        <v>57563</v>
      </c>
    </row>
    <row r="1018" spans="1:25" ht="15" hidden="1" customHeight="1" x14ac:dyDescent="0.25">
      <c r="A1018" s="1" t="s">
        <v>27</v>
      </c>
      <c r="B1018" s="1" t="s">
        <v>54</v>
      </c>
      <c r="C1018" s="1" t="s">
        <v>121</v>
      </c>
      <c r="D1018">
        <v>5428</v>
      </c>
      <c r="E1018" s="1"/>
      <c r="F1018" s="1" t="s">
        <v>264</v>
      </c>
      <c r="G1018" s="1" t="s">
        <v>121</v>
      </c>
      <c r="H1018" s="1" t="s">
        <v>1405</v>
      </c>
      <c r="I1018">
        <v>2011</v>
      </c>
      <c r="J1018" s="93">
        <v>15090.33</v>
      </c>
      <c r="K1018">
        <v>12</v>
      </c>
      <c r="L1018" s="1" t="s">
        <v>404</v>
      </c>
      <c r="M1018">
        <v>0</v>
      </c>
      <c r="N1018">
        <v>679</v>
      </c>
      <c r="O1018">
        <v>22.221071999999999</v>
      </c>
      <c r="P1018">
        <v>2</v>
      </c>
      <c r="Q1018" s="1" t="s">
        <v>569</v>
      </c>
      <c r="R1018" s="93">
        <v>15090.33</v>
      </c>
      <c r="S1018">
        <v>7077.37</v>
      </c>
      <c r="T1018">
        <v>0</v>
      </c>
      <c r="U1018" s="1" t="s">
        <v>964</v>
      </c>
      <c r="V1018" s="1"/>
      <c r="W1018">
        <v>15090.334000000001</v>
      </c>
      <c r="X1018">
        <v>0</v>
      </c>
      <c r="Y1018">
        <v>57402</v>
      </c>
    </row>
    <row r="1019" spans="1:25" ht="15" hidden="1" customHeight="1" x14ac:dyDescent="0.25">
      <c r="A1019" s="1" t="s">
        <v>27</v>
      </c>
      <c r="B1019" s="1" t="s">
        <v>54</v>
      </c>
      <c r="C1019" s="1" t="s">
        <v>121</v>
      </c>
      <c r="D1019">
        <v>5428</v>
      </c>
      <c r="E1019" s="1"/>
      <c r="F1019" s="1" t="s">
        <v>264</v>
      </c>
      <c r="G1019" s="1" t="s">
        <v>121</v>
      </c>
      <c r="H1019" s="1" t="s">
        <v>1405</v>
      </c>
      <c r="I1019">
        <v>2011</v>
      </c>
      <c r="J1019" s="93">
        <v>10016.83</v>
      </c>
      <c r="K1019">
        <v>12</v>
      </c>
      <c r="L1019" s="1" t="s">
        <v>404</v>
      </c>
      <c r="M1019">
        <v>0</v>
      </c>
      <c r="N1019">
        <v>679</v>
      </c>
      <c r="O1019">
        <v>14.750154</v>
      </c>
      <c r="P1019">
        <v>2</v>
      </c>
      <c r="Q1019" s="1" t="s">
        <v>569</v>
      </c>
      <c r="R1019" s="93">
        <v>10016.83</v>
      </c>
      <c r="S1019">
        <v>4697.8900000000003</v>
      </c>
      <c r="T1019">
        <v>0</v>
      </c>
      <c r="U1019" s="1" t="s">
        <v>965</v>
      </c>
      <c r="V1019" s="1"/>
      <c r="W1019">
        <v>10016.828</v>
      </c>
      <c r="X1019">
        <v>0</v>
      </c>
      <c r="Y1019">
        <v>57563</v>
      </c>
    </row>
    <row r="1020" spans="1:25" ht="15" hidden="1" customHeight="1" x14ac:dyDescent="0.25">
      <c r="A1020" s="1" t="s">
        <v>27</v>
      </c>
      <c r="B1020" s="1" t="s">
        <v>54</v>
      </c>
      <c r="C1020" s="1" t="s">
        <v>121</v>
      </c>
      <c r="D1020">
        <v>5428</v>
      </c>
      <c r="E1020" s="1"/>
      <c r="F1020" s="1" t="s">
        <v>264</v>
      </c>
      <c r="G1020" s="1" t="s">
        <v>121</v>
      </c>
      <c r="H1020" s="1" t="s">
        <v>1405</v>
      </c>
      <c r="I1020">
        <v>2011</v>
      </c>
      <c r="J1020" s="93">
        <v>1844.06</v>
      </c>
      <c r="K1020">
        <v>12</v>
      </c>
      <c r="L1020" s="1" t="s">
        <v>404</v>
      </c>
      <c r="M1020">
        <v>0</v>
      </c>
      <c r="N1020">
        <v>679</v>
      </c>
      <c r="O1020">
        <v>2.715446</v>
      </c>
      <c r="P1020">
        <v>2</v>
      </c>
      <c r="Q1020" s="1" t="s">
        <v>569</v>
      </c>
      <c r="R1020" s="93">
        <v>1844.06</v>
      </c>
      <c r="S1020">
        <v>864.87</v>
      </c>
      <c r="T1020">
        <v>0</v>
      </c>
      <c r="U1020" s="1" t="s">
        <v>966</v>
      </c>
      <c r="V1020" s="1"/>
      <c r="W1020">
        <v>1844.056</v>
      </c>
      <c r="X1020">
        <v>0</v>
      </c>
      <c r="Y1020">
        <v>57564</v>
      </c>
    </row>
    <row r="1021" spans="1:25" ht="15" hidden="1" customHeight="1" x14ac:dyDescent="0.25">
      <c r="A1021" s="1" t="s">
        <v>27</v>
      </c>
      <c r="B1021" s="1" t="s">
        <v>54</v>
      </c>
      <c r="C1021" s="1" t="s">
        <v>121</v>
      </c>
      <c r="D1021">
        <v>5428</v>
      </c>
      <c r="E1021" s="1"/>
      <c r="F1021" s="1" t="s">
        <v>264</v>
      </c>
      <c r="G1021" s="1" t="s">
        <v>121</v>
      </c>
      <c r="H1021" s="1" t="s">
        <v>1405</v>
      </c>
      <c r="I1021">
        <v>2010</v>
      </c>
      <c r="J1021" s="93">
        <v>1639.49</v>
      </c>
      <c r="K1021">
        <v>12</v>
      </c>
      <c r="L1021" s="1" t="s">
        <v>404</v>
      </c>
      <c r="M1021">
        <v>0</v>
      </c>
      <c r="N1021">
        <v>679</v>
      </c>
      <c r="O1021">
        <v>2.414209</v>
      </c>
      <c r="P1021">
        <v>2</v>
      </c>
      <c r="Q1021" s="1" t="s">
        <v>569</v>
      </c>
      <c r="R1021" s="93">
        <v>1639.49</v>
      </c>
      <c r="S1021">
        <v>768.91</v>
      </c>
      <c r="T1021">
        <v>0</v>
      </c>
      <c r="U1021" s="1" t="s">
        <v>966</v>
      </c>
      <c r="V1021" s="1"/>
      <c r="W1021">
        <v>1639.4780000000001</v>
      </c>
      <c r="X1021">
        <v>0</v>
      </c>
      <c r="Y1021">
        <v>57564</v>
      </c>
    </row>
    <row r="1022" spans="1:25" ht="15" hidden="1" customHeight="1" x14ac:dyDescent="0.25">
      <c r="A1022" s="1" t="s">
        <v>27</v>
      </c>
      <c r="B1022" s="1" t="s">
        <v>54</v>
      </c>
      <c r="C1022" s="1" t="s">
        <v>121</v>
      </c>
      <c r="D1022">
        <v>5428</v>
      </c>
      <c r="E1022" s="1"/>
      <c r="F1022" s="1" t="s">
        <v>264</v>
      </c>
      <c r="G1022" s="1" t="s">
        <v>121</v>
      </c>
      <c r="H1022" s="1" t="s">
        <v>1405</v>
      </c>
      <c r="I1022">
        <v>2010</v>
      </c>
      <c r="J1022" s="93">
        <v>13843.63</v>
      </c>
      <c r="K1022">
        <v>12</v>
      </c>
      <c r="L1022" s="1" t="s">
        <v>404</v>
      </c>
      <c r="M1022">
        <v>0</v>
      </c>
      <c r="N1022">
        <v>679</v>
      </c>
      <c r="O1022">
        <v>20.385259000000001</v>
      </c>
      <c r="P1022">
        <v>2</v>
      </c>
      <c r="Q1022" s="1" t="s">
        <v>569</v>
      </c>
      <c r="R1022" s="93">
        <v>13843.63</v>
      </c>
      <c r="S1022">
        <v>6492.67</v>
      </c>
      <c r="T1022">
        <v>0</v>
      </c>
      <c r="U1022" s="1" t="s">
        <v>964</v>
      </c>
      <c r="V1022" s="1"/>
      <c r="W1022">
        <v>13843.636</v>
      </c>
      <c r="X1022">
        <v>0</v>
      </c>
      <c r="Y1022">
        <v>57402</v>
      </c>
    </row>
    <row r="1023" spans="1:25" ht="15" hidden="1" customHeight="1" x14ac:dyDescent="0.25">
      <c r="A1023" s="1" t="s">
        <v>27</v>
      </c>
      <c r="B1023" s="1" t="s">
        <v>54</v>
      </c>
      <c r="C1023" s="1" t="s">
        <v>121</v>
      </c>
      <c r="D1023">
        <v>5428</v>
      </c>
      <c r="E1023" s="1"/>
      <c r="F1023" s="1" t="s">
        <v>264</v>
      </c>
      <c r="G1023" s="1" t="s">
        <v>121</v>
      </c>
      <c r="H1023" s="1" t="s">
        <v>1405</v>
      </c>
      <c r="I1023">
        <v>2010</v>
      </c>
      <c r="J1023" s="93">
        <v>13211.14</v>
      </c>
      <c r="K1023">
        <v>12</v>
      </c>
      <c r="L1023" s="1" t="s">
        <v>404</v>
      </c>
      <c r="M1023">
        <v>0</v>
      </c>
      <c r="N1023">
        <v>679</v>
      </c>
      <c r="O1023">
        <v>19.453893999999998</v>
      </c>
      <c r="P1023">
        <v>2</v>
      </c>
      <c r="Q1023" s="1" t="s">
        <v>569</v>
      </c>
      <c r="R1023" s="93">
        <v>13211.14</v>
      </c>
      <c r="S1023">
        <v>6196.02</v>
      </c>
      <c r="T1023">
        <v>0</v>
      </c>
      <c r="U1023" s="1" t="s">
        <v>965</v>
      </c>
      <c r="V1023" s="1"/>
      <c r="W1023">
        <v>13211.128000000001</v>
      </c>
      <c r="X1023">
        <v>0</v>
      </c>
      <c r="Y1023">
        <v>57563</v>
      </c>
    </row>
    <row r="1024" spans="1:25" ht="15" hidden="1" customHeight="1" x14ac:dyDescent="0.25">
      <c r="A1024" s="1" t="s">
        <v>27</v>
      </c>
      <c r="B1024" s="1" t="s">
        <v>54</v>
      </c>
      <c r="C1024" s="1" t="s">
        <v>121</v>
      </c>
      <c r="D1024">
        <v>5428</v>
      </c>
      <c r="E1024" s="1"/>
      <c r="F1024" s="1" t="s">
        <v>264</v>
      </c>
      <c r="G1024" s="1" t="s">
        <v>121</v>
      </c>
      <c r="H1024" s="1" t="s">
        <v>1405</v>
      </c>
      <c r="I1024">
        <v>2009</v>
      </c>
      <c r="J1024" s="93">
        <v>13483.75</v>
      </c>
      <c r="K1024">
        <v>12</v>
      </c>
      <c r="L1024" s="1" t="s">
        <v>404</v>
      </c>
      <c r="M1024">
        <v>0</v>
      </c>
      <c r="N1024">
        <v>679</v>
      </c>
      <c r="O1024">
        <v>19.855322999999999</v>
      </c>
      <c r="P1024">
        <v>2</v>
      </c>
      <c r="Q1024" s="1" t="s">
        <v>569</v>
      </c>
      <c r="R1024" s="93">
        <v>13483.75</v>
      </c>
      <c r="S1024">
        <v>6323.89</v>
      </c>
      <c r="T1024">
        <v>0</v>
      </c>
      <c r="U1024" s="1" t="s">
        <v>964</v>
      </c>
      <c r="V1024" s="1"/>
      <c r="W1024">
        <v>13483.75</v>
      </c>
      <c r="X1024">
        <v>0</v>
      </c>
      <c r="Y1024">
        <v>57402</v>
      </c>
    </row>
    <row r="1025" spans="1:25" ht="15" hidden="1" customHeight="1" x14ac:dyDescent="0.25">
      <c r="A1025" s="1" t="s">
        <v>27</v>
      </c>
      <c r="B1025" s="1" t="s">
        <v>54</v>
      </c>
      <c r="C1025" s="1" t="s">
        <v>121</v>
      </c>
      <c r="D1025">
        <v>5428</v>
      </c>
      <c r="E1025" s="1"/>
      <c r="F1025" s="1" t="s">
        <v>264</v>
      </c>
      <c r="G1025" s="1" t="s">
        <v>121</v>
      </c>
      <c r="H1025" s="1" t="s">
        <v>1405</v>
      </c>
      <c r="I1025">
        <v>2009</v>
      </c>
      <c r="J1025" s="93">
        <v>1415.92</v>
      </c>
      <c r="K1025">
        <v>12</v>
      </c>
      <c r="L1025" s="1" t="s">
        <v>404</v>
      </c>
      <c r="M1025">
        <v>0</v>
      </c>
      <c r="N1025">
        <v>679</v>
      </c>
      <c r="O1025">
        <v>2.084994</v>
      </c>
      <c r="P1025">
        <v>2</v>
      </c>
      <c r="Q1025" s="1" t="s">
        <v>569</v>
      </c>
      <c r="R1025" s="93">
        <v>1415.92</v>
      </c>
      <c r="S1025">
        <v>664.07</v>
      </c>
      <c r="T1025">
        <v>0</v>
      </c>
      <c r="U1025" s="1" t="s">
        <v>966</v>
      </c>
      <c r="V1025" s="1"/>
      <c r="W1025">
        <v>1415.932</v>
      </c>
      <c r="X1025">
        <v>0</v>
      </c>
      <c r="Y1025">
        <v>57564</v>
      </c>
    </row>
    <row r="1026" spans="1:25" ht="15" hidden="1" customHeight="1" x14ac:dyDescent="0.25">
      <c r="A1026" s="1" t="s">
        <v>27</v>
      </c>
      <c r="B1026" s="1" t="s">
        <v>54</v>
      </c>
      <c r="C1026" s="1" t="s">
        <v>121</v>
      </c>
      <c r="D1026">
        <v>5428</v>
      </c>
      <c r="E1026" s="1"/>
      <c r="F1026" s="1" t="s">
        <v>264</v>
      </c>
      <c r="G1026" s="1" t="s">
        <v>121</v>
      </c>
      <c r="H1026" s="1" t="s">
        <v>1405</v>
      </c>
      <c r="I1026">
        <v>2009</v>
      </c>
      <c r="J1026" s="93">
        <v>12173.12</v>
      </c>
      <c r="K1026">
        <v>12</v>
      </c>
      <c r="L1026" s="1" t="s">
        <v>404</v>
      </c>
      <c r="M1026">
        <v>0</v>
      </c>
      <c r="N1026">
        <v>679</v>
      </c>
      <c r="O1026">
        <v>17.925370999999998</v>
      </c>
      <c r="P1026">
        <v>2</v>
      </c>
      <c r="Q1026" s="1" t="s">
        <v>569</v>
      </c>
      <c r="R1026" s="93">
        <v>12173.12</v>
      </c>
      <c r="S1026">
        <v>5709.18</v>
      </c>
      <c r="T1026">
        <v>0</v>
      </c>
      <c r="U1026" s="1" t="s">
        <v>965</v>
      </c>
      <c r="V1026" s="1"/>
      <c r="W1026">
        <v>12173.116</v>
      </c>
      <c r="X1026">
        <v>0</v>
      </c>
      <c r="Y1026">
        <v>57563</v>
      </c>
    </row>
    <row r="1027" spans="1:25" ht="15" hidden="1" customHeight="1" x14ac:dyDescent="0.25">
      <c r="A1027" s="1" t="s">
        <v>27</v>
      </c>
      <c r="B1027" s="1" t="s">
        <v>54</v>
      </c>
      <c r="C1027" s="1" t="s">
        <v>121</v>
      </c>
      <c r="D1027">
        <v>5428</v>
      </c>
      <c r="E1027" s="1"/>
      <c r="F1027" s="1" t="s">
        <v>264</v>
      </c>
      <c r="G1027" s="1" t="s">
        <v>121</v>
      </c>
      <c r="H1027" s="1" t="s">
        <v>1405</v>
      </c>
      <c r="I1027">
        <v>2008</v>
      </c>
      <c r="J1027" s="93">
        <v>12524.95</v>
      </c>
      <c r="K1027">
        <v>12</v>
      </c>
      <c r="L1027" s="1" t="s">
        <v>404</v>
      </c>
      <c r="M1027">
        <v>0</v>
      </c>
      <c r="N1027">
        <v>679</v>
      </c>
      <c r="O1027">
        <v>18.443453999999999</v>
      </c>
      <c r="P1027">
        <v>2</v>
      </c>
      <c r="Q1027" s="1" t="s">
        <v>569</v>
      </c>
      <c r="R1027" s="93">
        <v>12524.95</v>
      </c>
      <c r="S1027">
        <v>5874.2</v>
      </c>
      <c r="T1027">
        <v>0</v>
      </c>
      <c r="U1027" s="1" t="s">
        <v>964</v>
      </c>
      <c r="V1027" s="1"/>
      <c r="W1027">
        <v>12524.94</v>
      </c>
      <c r="X1027">
        <v>0</v>
      </c>
      <c r="Y1027">
        <v>57402</v>
      </c>
    </row>
    <row r="1028" spans="1:25" ht="15" hidden="1" customHeight="1" x14ac:dyDescent="0.25">
      <c r="A1028" s="1" t="s">
        <v>27</v>
      </c>
      <c r="B1028" s="1" t="s">
        <v>54</v>
      </c>
      <c r="C1028" s="1" t="s">
        <v>121</v>
      </c>
      <c r="D1028">
        <v>5428</v>
      </c>
      <c r="E1028" s="1"/>
      <c r="F1028" s="1" t="s">
        <v>264</v>
      </c>
      <c r="G1028" s="1" t="s">
        <v>121</v>
      </c>
      <c r="H1028" s="1" t="s">
        <v>1405</v>
      </c>
      <c r="I1028">
        <v>2008</v>
      </c>
      <c r="J1028" s="93">
        <v>1988.29</v>
      </c>
      <c r="K1028">
        <v>12</v>
      </c>
      <c r="L1028" s="1" t="s">
        <v>404</v>
      </c>
      <c r="M1028">
        <v>0</v>
      </c>
      <c r="N1028">
        <v>679</v>
      </c>
      <c r="O1028">
        <v>2.9278300000000002</v>
      </c>
      <c r="P1028">
        <v>2</v>
      </c>
      <c r="Q1028" s="1" t="s">
        <v>569</v>
      </c>
      <c r="R1028" s="93">
        <v>1988.29</v>
      </c>
      <c r="S1028">
        <v>932.5</v>
      </c>
      <c r="T1028">
        <v>0</v>
      </c>
      <c r="U1028" s="1" t="s">
        <v>966</v>
      </c>
      <c r="V1028" s="1"/>
      <c r="W1028">
        <v>1988.3019999999999</v>
      </c>
      <c r="X1028">
        <v>0</v>
      </c>
      <c r="Y1028">
        <v>57564</v>
      </c>
    </row>
    <row r="1029" spans="1:25" ht="15" hidden="1" customHeight="1" x14ac:dyDescent="0.25">
      <c r="A1029" s="1" t="s">
        <v>27</v>
      </c>
      <c r="B1029" s="1" t="s">
        <v>54</v>
      </c>
      <c r="C1029" s="1" t="s">
        <v>121</v>
      </c>
      <c r="D1029">
        <v>5428</v>
      </c>
      <c r="E1029" s="1"/>
      <c r="F1029" s="1" t="s">
        <v>264</v>
      </c>
      <c r="G1029" s="1" t="s">
        <v>121</v>
      </c>
      <c r="H1029" s="1" t="s">
        <v>1405</v>
      </c>
      <c r="I1029">
        <v>2008</v>
      </c>
      <c r="J1029" s="93">
        <v>14503.17</v>
      </c>
      <c r="K1029">
        <v>12</v>
      </c>
      <c r="L1029" s="1" t="s">
        <v>404</v>
      </c>
      <c r="M1029">
        <v>0</v>
      </c>
      <c r="N1029">
        <v>679</v>
      </c>
      <c r="O1029">
        <v>21.356456999999999</v>
      </c>
      <c r="P1029">
        <v>2</v>
      </c>
      <c r="Q1029" s="1" t="s">
        <v>569</v>
      </c>
      <c r="R1029" s="93">
        <v>14503.17</v>
      </c>
      <c r="S1029">
        <v>6801.99</v>
      </c>
      <c r="T1029">
        <v>0</v>
      </c>
      <c r="U1029" s="1" t="s">
        <v>965</v>
      </c>
      <c r="V1029" s="1"/>
      <c r="W1029">
        <v>14503.146000000001</v>
      </c>
      <c r="X1029">
        <v>0</v>
      </c>
      <c r="Y1029">
        <v>57563</v>
      </c>
    </row>
    <row r="1030" spans="1:25" ht="15" hidden="1" customHeight="1" x14ac:dyDescent="0.25">
      <c r="A1030" s="1" t="s">
        <v>27</v>
      </c>
      <c r="B1030" s="1" t="s">
        <v>55</v>
      </c>
      <c r="C1030" s="1" t="s">
        <v>122</v>
      </c>
      <c r="D1030">
        <v>5262</v>
      </c>
      <c r="E1030" s="1"/>
      <c r="F1030" s="1" t="s">
        <v>122</v>
      </c>
      <c r="G1030" s="1" t="s">
        <v>122</v>
      </c>
      <c r="H1030" s="1" t="s">
        <v>1405</v>
      </c>
      <c r="I1030">
        <v>2015</v>
      </c>
      <c r="J1030" s="93">
        <v>19685</v>
      </c>
      <c r="K1030">
        <v>5</v>
      </c>
      <c r="L1030" s="1" t="s">
        <v>516</v>
      </c>
      <c r="M1030">
        <v>0</v>
      </c>
      <c r="N1030">
        <v>874</v>
      </c>
      <c r="O1030">
        <v>6.2423289999999998</v>
      </c>
      <c r="P1030">
        <v>2</v>
      </c>
      <c r="Q1030" s="1" t="s">
        <v>569</v>
      </c>
      <c r="R1030" s="93">
        <v>5456.42</v>
      </c>
      <c r="S1030">
        <v>2182.58</v>
      </c>
      <c r="T1030">
        <v>0</v>
      </c>
      <c r="U1030" s="1" t="s">
        <v>967</v>
      </c>
      <c r="V1030" s="1" t="s">
        <v>1256</v>
      </c>
      <c r="W1030">
        <v>5456.4278999999997</v>
      </c>
      <c r="X1030">
        <v>0</v>
      </c>
      <c r="Y1030">
        <v>56737</v>
      </c>
    </row>
    <row r="1031" spans="1:25" ht="15" hidden="1" customHeight="1" x14ac:dyDescent="0.25">
      <c r="A1031" s="1" t="s">
        <v>27</v>
      </c>
      <c r="B1031" s="1" t="s">
        <v>55</v>
      </c>
      <c r="C1031" s="1" t="s">
        <v>122</v>
      </c>
      <c r="D1031">
        <v>5262</v>
      </c>
      <c r="E1031" s="1"/>
      <c r="F1031" s="1" t="s">
        <v>122</v>
      </c>
      <c r="G1031" s="1" t="s">
        <v>122</v>
      </c>
      <c r="H1031" s="1" t="s">
        <v>1405</v>
      </c>
      <c r="I1031">
        <v>2015</v>
      </c>
      <c r="J1031" s="93">
        <v>0</v>
      </c>
      <c r="K1031">
        <v>5</v>
      </c>
      <c r="L1031" s="1" t="s">
        <v>397</v>
      </c>
      <c r="M1031">
        <v>0</v>
      </c>
      <c r="N1031">
        <v>874</v>
      </c>
      <c r="O1031">
        <v>3.3611819999999999</v>
      </c>
      <c r="P1031">
        <v>2</v>
      </c>
      <c r="Q1031" s="1" t="s">
        <v>569</v>
      </c>
      <c r="R1031" s="93">
        <v>2938.01</v>
      </c>
      <c r="S1031">
        <v>1175.2</v>
      </c>
      <c r="T1031">
        <v>0</v>
      </c>
      <c r="U1031" s="1" t="s">
        <v>968</v>
      </c>
      <c r="V1031" s="1" t="s">
        <v>1257</v>
      </c>
      <c r="W1031">
        <v>2938.0079999999998</v>
      </c>
      <c r="X1031">
        <v>0</v>
      </c>
      <c r="Y1031">
        <v>56759</v>
      </c>
    </row>
    <row r="1032" spans="1:25" ht="15" hidden="1" customHeight="1" x14ac:dyDescent="0.25">
      <c r="A1032" s="1" t="s">
        <v>27</v>
      </c>
      <c r="B1032" s="1" t="s">
        <v>55</v>
      </c>
      <c r="C1032" s="1" t="s">
        <v>122</v>
      </c>
      <c r="D1032">
        <v>5262</v>
      </c>
      <c r="E1032" s="1"/>
      <c r="F1032" s="1" t="s">
        <v>122</v>
      </c>
      <c r="G1032" s="1" t="s">
        <v>122</v>
      </c>
      <c r="H1032" s="1" t="s">
        <v>1405</v>
      </c>
      <c r="I1032">
        <v>2013</v>
      </c>
      <c r="J1032" s="93">
        <v>7478.9</v>
      </c>
      <c r="K1032">
        <v>12</v>
      </c>
      <c r="L1032" s="1" t="s">
        <v>397</v>
      </c>
      <c r="M1032">
        <v>0</v>
      </c>
      <c r="N1032">
        <v>874</v>
      </c>
      <c r="O1032">
        <v>8.5561140000000009</v>
      </c>
      <c r="P1032">
        <v>2</v>
      </c>
      <c r="Q1032" s="1" t="s">
        <v>569</v>
      </c>
      <c r="R1032" s="93">
        <v>7478.9</v>
      </c>
      <c r="S1032">
        <v>2991.54</v>
      </c>
      <c r="T1032">
        <v>0</v>
      </c>
      <c r="U1032" s="1" t="s">
        <v>968</v>
      </c>
      <c r="V1032" s="1" t="s">
        <v>1257</v>
      </c>
      <c r="W1032">
        <v>7478.8919999999998</v>
      </c>
      <c r="X1032">
        <v>0</v>
      </c>
      <c r="Y1032">
        <v>56759</v>
      </c>
    </row>
    <row r="1033" spans="1:25" ht="15" hidden="1" customHeight="1" x14ac:dyDescent="0.25">
      <c r="A1033" s="1" t="s">
        <v>27</v>
      </c>
      <c r="B1033" s="1" t="s">
        <v>55</v>
      </c>
      <c r="C1033" s="1" t="s">
        <v>122</v>
      </c>
      <c r="D1033">
        <v>5262</v>
      </c>
      <c r="E1033" s="1"/>
      <c r="F1033" s="1" t="s">
        <v>122</v>
      </c>
      <c r="G1033" s="1" t="s">
        <v>122</v>
      </c>
      <c r="H1033" s="1" t="s">
        <v>1405</v>
      </c>
      <c r="I1033">
        <v>2013</v>
      </c>
      <c r="J1033" s="93">
        <v>12378.82</v>
      </c>
      <c r="K1033">
        <v>12</v>
      </c>
      <c r="L1033" s="1" t="s">
        <v>516</v>
      </c>
      <c r="M1033">
        <v>0</v>
      </c>
      <c r="N1033">
        <v>874</v>
      </c>
      <c r="O1033">
        <v>14.161789000000001</v>
      </c>
      <c r="P1033">
        <v>2</v>
      </c>
      <c r="Q1033" s="1" t="s">
        <v>569</v>
      </c>
      <c r="R1033" s="93">
        <v>12378.82</v>
      </c>
      <c r="S1033">
        <v>4951.51</v>
      </c>
      <c r="T1033">
        <v>0</v>
      </c>
      <c r="U1033" s="1" t="s">
        <v>967</v>
      </c>
      <c r="V1033" s="1" t="s">
        <v>1256</v>
      </c>
      <c r="W1033">
        <v>12378.806500000001</v>
      </c>
      <c r="X1033">
        <v>0</v>
      </c>
      <c r="Y1033">
        <v>56737</v>
      </c>
    </row>
    <row r="1034" spans="1:25" ht="15" hidden="1" customHeight="1" x14ac:dyDescent="0.25">
      <c r="A1034" s="1" t="s">
        <v>27</v>
      </c>
      <c r="B1034" s="1" t="s">
        <v>55</v>
      </c>
      <c r="C1034" s="1" t="s">
        <v>122</v>
      </c>
      <c r="D1034">
        <v>5262</v>
      </c>
      <c r="E1034" s="1"/>
      <c r="F1034" s="1" t="s">
        <v>122</v>
      </c>
      <c r="G1034" s="1" t="s">
        <v>122</v>
      </c>
      <c r="H1034" s="1" t="s">
        <v>1405</v>
      </c>
      <c r="I1034">
        <v>2012</v>
      </c>
      <c r="J1034" s="93">
        <v>14887.3</v>
      </c>
      <c r="K1034">
        <v>12</v>
      </c>
      <c r="L1034" s="1" t="s">
        <v>516</v>
      </c>
      <c r="M1034">
        <v>0</v>
      </c>
      <c r="N1034">
        <v>874</v>
      </c>
      <c r="O1034">
        <v>17.031575</v>
      </c>
      <c r="P1034">
        <v>2</v>
      </c>
      <c r="Q1034" s="1" t="s">
        <v>569</v>
      </c>
      <c r="R1034" s="93">
        <v>14887.3</v>
      </c>
      <c r="S1034">
        <v>5954.91</v>
      </c>
      <c r="T1034">
        <v>0</v>
      </c>
      <c r="U1034" s="1" t="s">
        <v>967</v>
      </c>
      <c r="V1034" s="1" t="s">
        <v>1256</v>
      </c>
      <c r="W1034">
        <v>14887.2953</v>
      </c>
      <c r="X1034">
        <v>0</v>
      </c>
      <c r="Y1034">
        <v>56737</v>
      </c>
    </row>
    <row r="1035" spans="1:25" ht="15" hidden="1" customHeight="1" x14ac:dyDescent="0.25">
      <c r="A1035" s="1" t="s">
        <v>27</v>
      </c>
      <c r="B1035" s="1" t="s">
        <v>55</v>
      </c>
      <c r="C1035" s="1" t="s">
        <v>122</v>
      </c>
      <c r="D1035">
        <v>5262</v>
      </c>
      <c r="E1035" s="1"/>
      <c r="F1035" s="1" t="s">
        <v>122</v>
      </c>
      <c r="G1035" s="1" t="s">
        <v>122</v>
      </c>
      <c r="H1035" s="1" t="s">
        <v>1405</v>
      </c>
      <c r="I1035">
        <v>2012</v>
      </c>
      <c r="J1035" s="93">
        <v>10139.19</v>
      </c>
      <c r="K1035">
        <v>12</v>
      </c>
      <c r="L1035" s="1" t="s">
        <v>397</v>
      </c>
      <c r="M1035">
        <v>0</v>
      </c>
      <c r="N1035">
        <v>874</v>
      </c>
      <c r="O1035">
        <v>11.599576000000001</v>
      </c>
      <c r="P1035">
        <v>2</v>
      </c>
      <c r="Q1035" s="1" t="s">
        <v>569</v>
      </c>
      <c r="R1035" s="93">
        <v>10139.19</v>
      </c>
      <c r="S1035">
        <v>4055.68</v>
      </c>
      <c r="T1035">
        <v>0</v>
      </c>
      <c r="U1035" s="1" t="s">
        <v>968</v>
      </c>
      <c r="V1035" s="1" t="s">
        <v>1257</v>
      </c>
      <c r="W1035">
        <v>10139.18073</v>
      </c>
      <c r="X1035">
        <v>0</v>
      </c>
      <c r="Y1035">
        <v>56759</v>
      </c>
    </row>
    <row r="1036" spans="1:25" ht="15" hidden="1" customHeight="1" x14ac:dyDescent="0.25">
      <c r="A1036" s="1" t="s">
        <v>27</v>
      </c>
      <c r="B1036" s="1" t="s">
        <v>55</v>
      </c>
      <c r="C1036" s="1" t="s">
        <v>122</v>
      </c>
      <c r="D1036">
        <v>5262</v>
      </c>
      <c r="E1036" s="1"/>
      <c r="F1036" s="1" t="s">
        <v>122</v>
      </c>
      <c r="G1036" s="1" t="s">
        <v>122</v>
      </c>
      <c r="H1036" s="1" t="s">
        <v>1405</v>
      </c>
      <c r="I1036">
        <v>2011</v>
      </c>
      <c r="J1036" s="93">
        <v>15332.08</v>
      </c>
      <c r="K1036">
        <v>12</v>
      </c>
      <c r="L1036" s="1" t="s">
        <v>516</v>
      </c>
      <c r="M1036">
        <v>0</v>
      </c>
      <c r="N1036">
        <v>874</v>
      </c>
      <c r="O1036">
        <v>17.540417999999999</v>
      </c>
      <c r="P1036">
        <v>2</v>
      </c>
      <c r="Q1036" s="1" t="s">
        <v>569</v>
      </c>
      <c r="R1036" s="93">
        <v>15332.08</v>
      </c>
      <c r="S1036">
        <v>7190.76</v>
      </c>
      <c r="T1036">
        <v>0</v>
      </c>
      <c r="U1036" s="1" t="s">
        <v>967</v>
      </c>
      <c r="V1036" s="1" t="s">
        <v>1256</v>
      </c>
      <c r="W1036">
        <v>15332.093999999999</v>
      </c>
      <c r="X1036">
        <v>0</v>
      </c>
      <c r="Y1036">
        <v>56737</v>
      </c>
    </row>
    <row r="1037" spans="1:25" ht="15" hidden="1" customHeight="1" x14ac:dyDescent="0.25">
      <c r="A1037" s="1" t="s">
        <v>27</v>
      </c>
      <c r="B1037" s="1" t="s">
        <v>55</v>
      </c>
      <c r="C1037" s="1" t="s">
        <v>122</v>
      </c>
      <c r="D1037">
        <v>5262</v>
      </c>
      <c r="E1037" s="1"/>
      <c r="F1037" s="1" t="s">
        <v>122</v>
      </c>
      <c r="G1037" s="1" t="s">
        <v>122</v>
      </c>
      <c r="H1037" s="1" t="s">
        <v>1405</v>
      </c>
      <c r="I1037">
        <v>2011</v>
      </c>
      <c r="J1037" s="93">
        <v>12025.53</v>
      </c>
      <c r="K1037">
        <v>2</v>
      </c>
      <c r="L1037" s="1" t="s">
        <v>397</v>
      </c>
      <c r="M1037">
        <v>0</v>
      </c>
      <c r="N1037">
        <v>874</v>
      </c>
      <c r="O1037">
        <v>13.757612999999999</v>
      </c>
      <c r="P1037">
        <v>2</v>
      </c>
      <c r="Q1037" s="1" t="s">
        <v>569</v>
      </c>
      <c r="R1037" s="93">
        <v>12025.53</v>
      </c>
      <c r="S1037">
        <v>5639.99</v>
      </c>
      <c r="T1037">
        <v>0</v>
      </c>
      <c r="U1037" s="1" t="s">
        <v>968</v>
      </c>
      <c r="V1037" s="1" t="s">
        <v>1257</v>
      </c>
      <c r="W1037">
        <v>12025.51298</v>
      </c>
      <c r="X1037">
        <v>0</v>
      </c>
      <c r="Y1037">
        <v>56759</v>
      </c>
    </row>
    <row r="1038" spans="1:25" ht="15" hidden="1" customHeight="1" x14ac:dyDescent="0.25">
      <c r="A1038" s="1" t="s">
        <v>27</v>
      </c>
      <c r="B1038" s="1" t="s">
        <v>55</v>
      </c>
      <c r="C1038" s="1" t="s">
        <v>122</v>
      </c>
      <c r="D1038">
        <v>5262</v>
      </c>
      <c r="E1038" s="1"/>
      <c r="F1038" s="1" t="s">
        <v>122</v>
      </c>
      <c r="G1038" s="1" t="s">
        <v>122</v>
      </c>
      <c r="H1038" s="1" t="s">
        <v>1405</v>
      </c>
      <c r="I1038">
        <v>2010</v>
      </c>
      <c r="J1038" s="93">
        <v>13283.65</v>
      </c>
      <c r="K1038">
        <v>1</v>
      </c>
      <c r="L1038" s="1" t="s">
        <v>397</v>
      </c>
      <c r="M1038">
        <v>0</v>
      </c>
      <c r="N1038">
        <v>874</v>
      </c>
      <c r="O1038">
        <v>15.196944999999999</v>
      </c>
      <c r="P1038">
        <v>2</v>
      </c>
      <c r="Q1038" s="1" t="s">
        <v>569</v>
      </c>
      <c r="R1038" s="93">
        <v>13283.65</v>
      </c>
      <c r="S1038">
        <v>6230.05</v>
      </c>
      <c r="T1038">
        <v>0</v>
      </c>
      <c r="U1038" s="1" t="s">
        <v>968</v>
      </c>
      <c r="V1038" s="1" t="s">
        <v>1257</v>
      </c>
      <c r="W1038">
        <v>13283.65336</v>
      </c>
      <c r="X1038">
        <v>0</v>
      </c>
      <c r="Y1038">
        <v>56759</v>
      </c>
    </row>
    <row r="1039" spans="1:25" ht="15" hidden="1" customHeight="1" x14ac:dyDescent="0.25">
      <c r="A1039" s="1" t="s">
        <v>27</v>
      </c>
      <c r="B1039" s="1" t="s">
        <v>55</v>
      </c>
      <c r="C1039" s="1" t="s">
        <v>122</v>
      </c>
      <c r="D1039">
        <v>5262</v>
      </c>
      <c r="E1039" s="1"/>
      <c r="F1039" s="1" t="s">
        <v>122</v>
      </c>
      <c r="G1039" s="1" t="s">
        <v>122</v>
      </c>
      <c r="H1039" s="1" t="s">
        <v>1405</v>
      </c>
      <c r="I1039">
        <v>2010</v>
      </c>
      <c r="J1039" s="93">
        <v>15591.93</v>
      </c>
      <c r="K1039">
        <v>12</v>
      </c>
      <c r="L1039" s="1" t="s">
        <v>516</v>
      </c>
      <c r="M1039">
        <v>0</v>
      </c>
      <c r="N1039">
        <v>874</v>
      </c>
      <c r="O1039">
        <v>17.837695</v>
      </c>
      <c r="P1039">
        <v>2</v>
      </c>
      <c r="Q1039" s="1" t="s">
        <v>569</v>
      </c>
      <c r="R1039" s="93">
        <v>15591.93</v>
      </c>
      <c r="S1039">
        <v>7312.63</v>
      </c>
      <c r="T1039">
        <v>0</v>
      </c>
      <c r="U1039" s="1" t="s">
        <v>967</v>
      </c>
      <c r="V1039" s="1" t="s">
        <v>1256</v>
      </c>
      <c r="W1039">
        <v>15591.938</v>
      </c>
      <c r="X1039">
        <v>0</v>
      </c>
      <c r="Y1039">
        <v>56737</v>
      </c>
    </row>
    <row r="1040" spans="1:25" ht="15" hidden="1" customHeight="1" x14ac:dyDescent="0.25">
      <c r="A1040" s="1" t="s">
        <v>27</v>
      </c>
      <c r="B1040" s="1" t="s">
        <v>55</v>
      </c>
      <c r="C1040" s="1" t="s">
        <v>122</v>
      </c>
      <c r="D1040">
        <v>5262</v>
      </c>
      <c r="E1040" s="1"/>
      <c r="F1040" s="1" t="s">
        <v>122</v>
      </c>
      <c r="G1040" s="1" t="s">
        <v>122</v>
      </c>
      <c r="H1040" s="1" t="s">
        <v>1405</v>
      </c>
      <c r="I1040">
        <v>2009</v>
      </c>
      <c r="J1040" s="93">
        <v>11277.91</v>
      </c>
      <c r="K1040">
        <v>1</v>
      </c>
      <c r="L1040" s="1" t="s">
        <v>397</v>
      </c>
      <c r="M1040">
        <v>0</v>
      </c>
      <c r="N1040">
        <v>874</v>
      </c>
      <c r="O1040">
        <v>12.90231</v>
      </c>
      <c r="P1040">
        <v>2</v>
      </c>
      <c r="Q1040" s="1" t="s">
        <v>569</v>
      </c>
      <c r="R1040" s="93">
        <v>11277.91</v>
      </c>
      <c r="S1040">
        <v>5289.32</v>
      </c>
      <c r="T1040">
        <v>0</v>
      </c>
      <c r="U1040" s="1" t="s">
        <v>968</v>
      </c>
      <c r="V1040" s="1" t="s">
        <v>1257</v>
      </c>
      <c r="W1040">
        <v>11277.903469999999</v>
      </c>
      <c r="X1040">
        <v>0</v>
      </c>
      <c r="Y1040">
        <v>56759</v>
      </c>
    </row>
    <row r="1041" spans="1:25" ht="15" hidden="1" customHeight="1" x14ac:dyDescent="0.25">
      <c r="A1041" s="1" t="s">
        <v>27</v>
      </c>
      <c r="B1041" s="1" t="s">
        <v>55</v>
      </c>
      <c r="C1041" s="1" t="s">
        <v>122</v>
      </c>
      <c r="D1041">
        <v>5262</v>
      </c>
      <c r="E1041" s="1"/>
      <c r="F1041" s="1" t="s">
        <v>122</v>
      </c>
      <c r="G1041" s="1" t="s">
        <v>122</v>
      </c>
      <c r="H1041" s="1" t="s">
        <v>1405</v>
      </c>
      <c r="I1041">
        <v>2009</v>
      </c>
      <c r="J1041" s="93">
        <v>14686.82</v>
      </c>
      <c r="K1041">
        <v>12</v>
      </c>
      <c r="L1041" s="1" t="s">
        <v>516</v>
      </c>
      <c r="M1041">
        <v>0</v>
      </c>
      <c r="N1041">
        <v>874</v>
      </c>
      <c r="O1041">
        <v>16.802219000000001</v>
      </c>
      <c r="P1041">
        <v>2</v>
      </c>
      <c r="Q1041" s="1" t="s">
        <v>569</v>
      </c>
      <c r="R1041" s="93">
        <v>14686.82</v>
      </c>
      <c r="S1041">
        <v>6888.14</v>
      </c>
      <c r="T1041">
        <v>0</v>
      </c>
      <c r="U1041" s="1" t="s">
        <v>967</v>
      </c>
      <c r="V1041" s="1" t="s">
        <v>1256</v>
      </c>
      <c r="W1041">
        <v>14686.815000000001</v>
      </c>
      <c r="X1041">
        <v>0</v>
      </c>
      <c r="Y1041">
        <v>56737</v>
      </c>
    </row>
    <row r="1042" spans="1:25" ht="15" hidden="1" customHeight="1" x14ac:dyDescent="0.25">
      <c r="A1042" s="1" t="s">
        <v>27</v>
      </c>
      <c r="B1042" s="1" t="s">
        <v>55</v>
      </c>
      <c r="C1042" s="1" t="s">
        <v>122</v>
      </c>
      <c r="D1042">
        <v>5262</v>
      </c>
      <c r="E1042" s="1"/>
      <c r="F1042" s="1" t="s">
        <v>122</v>
      </c>
      <c r="G1042" s="1" t="s">
        <v>122</v>
      </c>
      <c r="H1042" s="1" t="s">
        <v>1405</v>
      </c>
      <c r="I1042">
        <v>2008</v>
      </c>
      <c r="J1042" s="93">
        <v>14514.92</v>
      </c>
      <c r="K1042">
        <v>12</v>
      </c>
      <c r="L1042" s="1" t="s">
        <v>516</v>
      </c>
      <c r="M1042">
        <v>0</v>
      </c>
      <c r="N1042">
        <v>874</v>
      </c>
      <c r="O1042">
        <v>16.605560000000001</v>
      </c>
      <c r="P1042">
        <v>2</v>
      </c>
      <c r="Q1042" s="1" t="s">
        <v>569</v>
      </c>
      <c r="R1042" s="93">
        <v>14514.92</v>
      </c>
      <c r="S1042">
        <v>6807.49</v>
      </c>
      <c r="T1042">
        <v>0</v>
      </c>
      <c r="U1042" s="1" t="s">
        <v>967</v>
      </c>
      <c r="V1042" s="1" t="s">
        <v>1256</v>
      </c>
      <c r="W1042">
        <v>14514.921</v>
      </c>
      <c r="X1042">
        <v>0</v>
      </c>
      <c r="Y1042">
        <v>56737</v>
      </c>
    </row>
    <row r="1043" spans="1:25" ht="15" hidden="1" customHeight="1" x14ac:dyDescent="0.25">
      <c r="A1043" s="1" t="s">
        <v>27</v>
      </c>
      <c r="B1043" s="1" t="s">
        <v>55</v>
      </c>
      <c r="C1043" s="1" t="s">
        <v>122</v>
      </c>
      <c r="D1043">
        <v>5262</v>
      </c>
      <c r="E1043" s="1"/>
      <c r="F1043" s="1" t="s">
        <v>122</v>
      </c>
      <c r="G1043" s="1" t="s">
        <v>122</v>
      </c>
      <c r="H1043" s="1" t="s">
        <v>1405</v>
      </c>
      <c r="I1043">
        <v>2008</v>
      </c>
      <c r="J1043" s="93">
        <v>11229.53</v>
      </c>
      <c r="K1043">
        <v>1</v>
      </c>
      <c r="L1043" s="1" t="s">
        <v>397</v>
      </c>
      <c r="M1043">
        <v>0</v>
      </c>
      <c r="N1043">
        <v>874</v>
      </c>
      <c r="O1043">
        <v>12.846962</v>
      </c>
      <c r="P1043">
        <v>2</v>
      </c>
      <c r="Q1043" s="1" t="s">
        <v>569</v>
      </c>
      <c r="R1043" s="93">
        <v>11229.53</v>
      </c>
      <c r="S1043">
        <v>5266.64</v>
      </c>
      <c r="T1043">
        <v>0</v>
      </c>
      <c r="U1043" s="1" t="s">
        <v>968</v>
      </c>
      <c r="V1043" s="1" t="s">
        <v>1257</v>
      </c>
      <c r="W1043">
        <v>11229.50798</v>
      </c>
      <c r="X1043">
        <v>0</v>
      </c>
      <c r="Y1043">
        <v>56759</v>
      </c>
    </row>
    <row r="1044" spans="1:25" ht="15" hidden="1" customHeight="1" x14ac:dyDescent="0.25">
      <c r="A1044" s="1" t="s">
        <v>27</v>
      </c>
      <c r="B1044" s="1" t="s">
        <v>56</v>
      </c>
      <c r="C1044" s="1" t="s">
        <v>123</v>
      </c>
      <c r="D1044">
        <v>5264</v>
      </c>
      <c r="E1044" s="1"/>
      <c r="F1044" s="1" t="s">
        <v>123</v>
      </c>
      <c r="G1044" s="1" t="s">
        <v>123</v>
      </c>
      <c r="H1044" s="1" t="s">
        <v>1405</v>
      </c>
      <c r="I1044">
        <v>2015</v>
      </c>
      <c r="J1044" s="93">
        <v>10626</v>
      </c>
      <c r="K1044">
        <v>5</v>
      </c>
      <c r="L1044" s="1" t="s">
        <v>402</v>
      </c>
      <c r="M1044">
        <v>0</v>
      </c>
      <c r="N1044">
        <v>333</v>
      </c>
      <c r="O1044">
        <v>13.093995</v>
      </c>
      <c r="P1044">
        <v>2</v>
      </c>
      <c r="Q1044" s="1" t="s">
        <v>569</v>
      </c>
      <c r="R1044" s="93">
        <v>4361.6099999999997</v>
      </c>
      <c r="S1044">
        <v>1744.64</v>
      </c>
      <c r="T1044">
        <v>0</v>
      </c>
      <c r="U1044" s="1" t="s">
        <v>969</v>
      </c>
      <c r="V1044" s="1" t="s">
        <v>1258</v>
      </c>
      <c r="W1044">
        <v>4361.6059999999998</v>
      </c>
      <c r="X1044">
        <v>0</v>
      </c>
      <c r="Y1044">
        <v>60150</v>
      </c>
    </row>
    <row r="1045" spans="1:25" ht="15" hidden="1" customHeight="1" x14ac:dyDescent="0.25">
      <c r="A1045" s="1" t="s">
        <v>34</v>
      </c>
      <c r="B1045" s="1"/>
      <c r="C1045" s="1" t="s">
        <v>178</v>
      </c>
      <c r="D1045">
        <v>10190</v>
      </c>
      <c r="E1045" s="1"/>
      <c r="F1045" s="1" t="s">
        <v>308</v>
      </c>
      <c r="G1045" s="1" t="s">
        <v>178</v>
      </c>
      <c r="H1045" s="1" t="s">
        <v>1405</v>
      </c>
      <c r="I1045">
        <v>2014</v>
      </c>
      <c r="J1045" s="93">
        <v>42736.35</v>
      </c>
      <c r="K1045">
        <v>12</v>
      </c>
      <c r="L1045" s="1" t="s">
        <v>399</v>
      </c>
      <c r="M1045">
        <v>0</v>
      </c>
      <c r="N1045">
        <v>475</v>
      </c>
      <c r="O1045">
        <v>89.952325000000002</v>
      </c>
      <c r="P1045">
        <v>1</v>
      </c>
      <c r="Q1045" s="1" t="s">
        <v>564</v>
      </c>
      <c r="R1045" s="93">
        <v>49397.73</v>
      </c>
      <c r="S1045">
        <v>10446.700000000001</v>
      </c>
      <c r="T1045">
        <v>0</v>
      </c>
      <c r="U1045" s="1"/>
      <c r="V1045" s="1" t="s">
        <v>1214</v>
      </c>
      <c r="W1045">
        <v>3957.07</v>
      </c>
      <c r="X1045">
        <v>0</v>
      </c>
      <c r="Y1045">
        <v>77253</v>
      </c>
    </row>
    <row r="1046" spans="1:25" ht="15" hidden="1" customHeight="1" x14ac:dyDescent="0.25">
      <c r="A1046" s="1" t="s">
        <v>27</v>
      </c>
      <c r="B1046" s="1" t="s">
        <v>56</v>
      </c>
      <c r="C1046" s="1" t="s">
        <v>123</v>
      </c>
      <c r="D1046">
        <v>5264</v>
      </c>
      <c r="E1046" s="1"/>
      <c r="F1046" s="1" t="s">
        <v>123</v>
      </c>
      <c r="G1046" s="1" t="s">
        <v>123</v>
      </c>
      <c r="H1046" s="1" t="s">
        <v>1405</v>
      </c>
      <c r="I1046">
        <v>2013</v>
      </c>
      <c r="J1046" s="93">
        <v>10641.25</v>
      </c>
      <c r="K1046">
        <v>12</v>
      </c>
      <c r="L1046" s="1" t="s">
        <v>402</v>
      </c>
      <c r="M1046">
        <v>0</v>
      </c>
      <c r="N1046">
        <v>333</v>
      </c>
      <c r="O1046">
        <v>31.946111999999999</v>
      </c>
      <c r="P1046">
        <v>2</v>
      </c>
      <c r="Q1046" s="1" t="s">
        <v>569</v>
      </c>
      <c r="R1046" s="93">
        <v>10641.25</v>
      </c>
      <c r="S1046">
        <v>4256.4799999999996</v>
      </c>
      <c r="T1046">
        <v>0</v>
      </c>
      <c r="U1046" s="1" t="s">
        <v>969</v>
      </c>
      <c r="V1046" s="1" t="s">
        <v>1258</v>
      </c>
      <c r="W1046">
        <v>10641.244000000001</v>
      </c>
      <c r="X1046">
        <v>0</v>
      </c>
      <c r="Y1046">
        <v>60150</v>
      </c>
    </row>
    <row r="1047" spans="1:25" ht="15" hidden="1" customHeight="1" x14ac:dyDescent="0.25">
      <c r="A1047" s="1" t="s">
        <v>27</v>
      </c>
      <c r="B1047" s="1" t="s">
        <v>56</v>
      </c>
      <c r="C1047" s="1" t="s">
        <v>123</v>
      </c>
      <c r="D1047">
        <v>5264</v>
      </c>
      <c r="E1047" s="1"/>
      <c r="F1047" s="1" t="s">
        <v>123</v>
      </c>
      <c r="G1047" s="1" t="s">
        <v>123</v>
      </c>
      <c r="H1047" s="1" t="s">
        <v>1405</v>
      </c>
      <c r="I1047">
        <v>2012</v>
      </c>
      <c r="J1047" s="93">
        <v>10942.42</v>
      </c>
      <c r="K1047">
        <v>12</v>
      </c>
      <c r="L1047" s="1" t="s">
        <v>402</v>
      </c>
      <c r="M1047">
        <v>0</v>
      </c>
      <c r="N1047">
        <v>333</v>
      </c>
      <c r="O1047">
        <v>32.850254999999997</v>
      </c>
      <c r="P1047">
        <v>2</v>
      </c>
      <c r="Q1047" s="1" t="s">
        <v>569</v>
      </c>
      <c r="R1047" s="93">
        <v>10942.42</v>
      </c>
      <c r="S1047">
        <v>4376.96</v>
      </c>
      <c r="T1047">
        <v>0</v>
      </c>
      <c r="U1047" s="1" t="s">
        <v>969</v>
      </c>
      <c r="V1047" s="1" t="s">
        <v>1258</v>
      </c>
      <c r="W1047">
        <v>10942.402</v>
      </c>
      <c r="X1047">
        <v>0</v>
      </c>
      <c r="Y1047">
        <v>60150</v>
      </c>
    </row>
    <row r="1048" spans="1:25" ht="15" hidden="1" customHeight="1" x14ac:dyDescent="0.25">
      <c r="A1048" s="1" t="s">
        <v>27</v>
      </c>
      <c r="B1048" s="1" t="s">
        <v>56</v>
      </c>
      <c r="C1048" s="1" t="s">
        <v>123</v>
      </c>
      <c r="D1048">
        <v>5264</v>
      </c>
      <c r="E1048" s="1"/>
      <c r="F1048" s="1" t="s">
        <v>123</v>
      </c>
      <c r="G1048" s="1" t="s">
        <v>123</v>
      </c>
      <c r="H1048" s="1" t="s">
        <v>1405</v>
      </c>
      <c r="I1048">
        <v>2011</v>
      </c>
      <c r="J1048" s="93">
        <v>12106.04</v>
      </c>
      <c r="K1048">
        <v>12</v>
      </c>
      <c r="L1048" s="1" t="s">
        <v>402</v>
      </c>
      <c r="M1048">
        <v>0</v>
      </c>
      <c r="N1048">
        <v>333</v>
      </c>
      <c r="O1048">
        <v>36.343559999999997</v>
      </c>
      <c r="P1048">
        <v>2</v>
      </c>
      <c r="Q1048" s="1" t="s">
        <v>569</v>
      </c>
      <c r="R1048" s="93">
        <v>12106.04</v>
      </c>
      <c r="S1048">
        <v>5677.73</v>
      </c>
      <c r="T1048">
        <v>0</v>
      </c>
      <c r="U1048" s="1" t="s">
        <v>969</v>
      </c>
      <c r="V1048" s="1" t="s">
        <v>1258</v>
      </c>
      <c r="W1048">
        <v>12106.0275</v>
      </c>
      <c r="X1048">
        <v>0</v>
      </c>
      <c r="Y1048">
        <v>60150</v>
      </c>
    </row>
    <row r="1049" spans="1:25" ht="15" hidden="1" customHeight="1" x14ac:dyDescent="0.25">
      <c r="A1049" s="1" t="s">
        <v>27</v>
      </c>
      <c r="B1049" s="1" t="s">
        <v>56</v>
      </c>
      <c r="C1049" s="1" t="s">
        <v>123</v>
      </c>
      <c r="D1049">
        <v>5264</v>
      </c>
      <c r="E1049" s="1"/>
      <c r="F1049" s="1" t="s">
        <v>123</v>
      </c>
      <c r="G1049" s="1" t="s">
        <v>123</v>
      </c>
      <c r="H1049" s="1" t="s">
        <v>1405</v>
      </c>
      <c r="I1049">
        <v>2010</v>
      </c>
      <c r="J1049" s="93">
        <v>11263.68</v>
      </c>
      <c r="K1049">
        <v>12</v>
      </c>
      <c r="L1049" s="1" t="s">
        <v>402</v>
      </c>
      <c r="M1049">
        <v>0</v>
      </c>
      <c r="N1049">
        <v>333</v>
      </c>
      <c r="O1049">
        <v>33.814709999999998</v>
      </c>
      <c r="P1049">
        <v>2</v>
      </c>
      <c r="Q1049" s="1" t="s">
        <v>569</v>
      </c>
      <c r="R1049" s="93">
        <v>11263.68</v>
      </c>
      <c r="S1049">
        <v>5282.67</v>
      </c>
      <c r="T1049">
        <v>0</v>
      </c>
      <c r="U1049" s="1" t="s">
        <v>969</v>
      </c>
      <c r="V1049" s="1" t="s">
        <v>1258</v>
      </c>
      <c r="W1049">
        <v>11263.683999999999</v>
      </c>
      <c r="X1049">
        <v>0</v>
      </c>
      <c r="Y1049">
        <v>60150</v>
      </c>
    </row>
    <row r="1050" spans="1:25" ht="15" hidden="1" customHeight="1" x14ac:dyDescent="0.25">
      <c r="A1050" s="1" t="s">
        <v>27</v>
      </c>
      <c r="B1050" s="1" t="s">
        <v>56</v>
      </c>
      <c r="C1050" s="1" t="s">
        <v>123</v>
      </c>
      <c r="D1050">
        <v>5264</v>
      </c>
      <c r="E1050" s="1"/>
      <c r="F1050" s="1" t="s">
        <v>123</v>
      </c>
      <c r="G1050" s="1" t="s">
        <v>123</v>
      </c>
      <c r="H1050" s="1" t="s">
        <v>1405</v>
      </c>
      <c r="I1050">
        <v>2009</v>
      </c>
      <c r="J1050" s="93">
        <v>11132.55</v>
      </c>
      <c r="K1050">
        <v>12</v>
      </c>
      <c r="L1050" s="1" t="s">
        <v>402</v>
      </c>
      <c r="M1050">
        <v>0</v>
      </c>
      <c r="N1050">
        <v>333</v>
      </c>
      <c r="O1050">
        <v>33.421044000000002</v>
      </c>
      <c r="P1050">
        <v>2</v>
      </c>
      <c r="Q1050" s="1" t="s">
        <v>569</v>
      </c>
      <c r="R1050" s="93">
        <v>11132.55</v>
      </c>
      <c r="S1050">
        <v>5221.17</v>
      </c>
      <c r="T1050">
        <v>0</v>
      </c>
      <c r="U1050" s="1" t="s">
        <v>969</v>
      </c>
      <c r="V1050" s="1" t="s">
        <v>1258</v>
      </c>
      <c r="W1050">
        <v>11132.558000000001</v>
      </c>
      <c r="X1050">
        <v>0</v>
      </c>
      <c r="Y1050">
        <v>60150</v>
      </c>
    </row>
    <row r="1051" spans="1:25" ht="15" hidden="1" customHeight="1" x14ac:dyDescent="0.25">
      <c r="A1051" s="1" t="s">
        <v>27</v>
      </c>
      <c r="B1051" s="1" t="s">
        <v>56</v>
      </c>
      <c r="C1051" s="1" t="s">
        <v>123</v>
      </c>
      <c r="D1051">
        <v>5264</v>
      </c>
      <c r="E1051" s="1"/>
      <c r="F1051" s="1" t="s">
        <v>123</v>
      </c>
      <c r="G1051" s="1" t="s">
        <v>123</v>
      </c>
      <c r="H1051" s="1" t="s">
        <v>1405</v>
      </c>
      <c r="I1051">
        <v>2008</v>
      </c>
      <c r="J1051" s="93">
        <v>11183.22</v>
      </c>
      <c r="K1051">
        <v>12</v>
      </c>
      <c r="L1051" s="1" t="s">
        <v>402</v>
      </c>
      <c r="M1051">
        <v>0</v>
      </c>
      <c r="N1051">
        <v>333</v>
      </c>
      <c r="O1051">
        <v>33.573160999999999</v>
      </c>
      <c r="P1051">
        <v>2</v>
      </c>
      <c r="Q1051" s="1" t="s">
        <v>569</v>
      </c>
      <c r="R1051" s="93">
        <v>11183.22</v>
      </c>
      <c r="S1051">
        <v>5244.93</v>
      </c>
      <c r="T1051">
        <v>0</v>
      </c>
      <c r="U1051" s="1" t="s">
        <v>969</v>
      </c>
      <c r="V1051" s="1" t="s">
        <v>1258</v>
      </c>
      <c r="W1051">
        <v>11183.214</v>
      </c>
      <c r="X1051">
        <v>0</v>
      </c>
      <c r="Y1051">
        <v>60150</v>
      </c>
    </row>
    <row r="1052" spans="1:25" ht="15" hidden="1" customHeight="1" x14ac:dyDescent="0.25">
      <c r="A1052" s="1" t="s">
        <v>27</v>
      </c>
      <c r="B1052" s="1"/>
      <c r="C1052" s="1" t="s">
        <v>124</v>
      </c>
      <c r="D1052">
        <v>9957</v>
      </c>
      <c r="E1052" s="1"/>
      <c r="F1052" s="1" t="s">
        <v>265</v>
      </c>
      <c r="G1052" s="1" t="s">
        <v>124</v>
      </c>
      <c r="H1052" s="1" t="s">
        <v>1405</v>
      </c>
      <c r="I1052">
        <v>2015</v>
      </c>
      <c r="J1052" s="93">
        <v>19616</v>
      </c>
      <c r="K1052">
        <v>5</v>
      </c>
      <c r="L1052" s="1" t="s">
        <v>399</v>
      </c>
      <c r="M1052">
        <v>0</v>
      </c>
      <c r="N1052">
        <v>646</v>
      </c>
      <c r="O1052">
        <v>14.905556000000001</v>
      </c>
      <c r="P1052">
        <v>2</v>
      </c>
      <c r="Q1052" s="1" t="s">
        <v>569</v>
      </c>
      <c r="R1052" s="93">
        <v>9630.48</v>
      </c>
      <c r="S1052">
        <v>2889.14</v>
      </c>
      <c r="T1052">
        <v>0</v>
      </c>
      <c r="U1052" s="1" t="s">
        <v>970</v>
      </c>
      <c r="V1052" s="1" t="s">
        <v>1259</v>
      </c>
      <c r="W1052">
        <v>9630.4920000000002</v>
      </c>
      <c r="X1052">
        <v>0</v>
      </c>
      <c r="Y1052">
        <v>76341</v>
      </c>
    </row>
    <row r="1053" spans="1:25" ht="15" hidden="1" customHeight="1" x14ac:dyDescent="0.25">
      <c r="A1053" s="1" t="s">
        <v>27</v>
      </c>
      <c r="B1053" s="1"/>
      <c r="C1053" s="1" t="s">
        <v>124</v>
      </c>
      <c r="D1053">
        <v>9957</v>
      </c>
      <c r="E1053" s="1"/>
      <c r="F1053" s="1" t="s">
        <v>265</v>
      </c>
      <c r="G1053" s="1" t="s">
        <v>124</v>
      </c>
      <c r="H1053" s="1" t="s">
        <v>1405</v>
      </c>
      <c r="I1053">
        <v>2013</v>
      </c>
      <c r="J1053" s="93">
        <v>22189.57</v>
      </c>
      <c r="K1053">
        <v>12</v>
      </c>
      <c r="L1053" s="1" t="s">
        <v>399</v>
      </c>
      <c r="M1053">
        <v>0</v>
      </c>
      <c r="N1053">
        <v>646</v>
      </c>
      <c r="O1053">
        <v>34.343862999999999</v>
      </c>
      <c r="P1053">
        <v>2</v>
      </c>
      <c r="Q1053" s="1" t="s">
        <v>569</v>
      </c>
      <c r="R1053" s="93">
        <v>22189.57</v>
      </c>
      <c r="S1053">
        <v>6656.88</v>
      </c>
      <c r="T1053">
        <v>0</v>
      </c>
      <c r="U1053" s="1" t="s">
        <v>970</v>
      </c>
      <c r="V1053" s="1" t="s">
        <v>1259</v>
      </c>
      <c r="W1053">
        <v>22189.580999999998</v>
      </c>
      <c r="X1053">
        <v>0</v>
      </c>
      <c r="Y1053">
        <v>76341</v>
      </c>
    </row>
    <row r="1054" spans="1:25" ht="15" hidden="1" customHeight="1" x14ac:dyDescent="0.25">
      <c r="A1054" s="1" t="s">
        <v>27</v>
      </c>
      <c r="B1054" s="1"/>
      <c r="C1054" s="1" t="s">
        <v>124</v>
      </c>
      <c r="D1054">
        <v>9957</v>
      </c>
      <c r="E1054" s="1"/>
      <c r="F1054" s="1" t="s">
        <v>265</v>
      </c>
      <c r="G1054" s="1" t="s">
        <v>124</v>
      </c>
      <c r="H1054" s="1" t="s">
        <v>1405</v>
      </c>
      <c r="I1054">
        <v>2012</v>
      </c>
      <c r="J1054" s="93">
        <v>23472.01</v>
      </c>
      <c r="K1054">
        <v>12</v>
      </c>
      <c r="L1054" s="1" t="s">
        <v>399</v>
      </c>
      <c r="M1054">
        <v>0</v>
      </c>
      <c r="N1054">
        <v>646</v>
      </c>
      <c r="O1054">
        <v>36.328757000000003</v>
      </c>
      <c r="P1054">
        <v>2</v>
      </c>
      <c r="Q1054" s="1" t="s">
        <v>569</v>
      </c>
      <c r="R1054" s="93">
        <v>23472.01</v>
      </c>
      <c r="S1054">
        <v>9388.7999999999993</v>
      </c>
      <c r="T1054">
        <v>0</v>
      </c>
      <c r="U1054" s="1" t="s">
        <v>970</v>
      </c>
      <c r="V1054" s="1" t="s">
        <v>1259</v>
      </c>
      <c r="W1054">
        <v>23472.005000000001</v>
      </c>
      <c r="X1054">
        <v>0</v>
      </c>
      <c r="Y1054">
        <v>76341</v>
      </c>
    </row>
    <row r="1055" spans="1:25" ht="15" hidden="1" customHeight="1" x14ac:dyDescent="0.25">
      <c r="A1055" s="1" t="s">
        <v>27</v>
      </c>
      <c r="B1055" s="1"/>
      <c r="C1055" s="1" t="s">
        <v>124</v>
      </c>
      <c r="D1055">
        <v>9957</v>
      </c>
      <c r="E1055" s="1"/>
      <c r="F1055" s="1" t="s">
        <v>265</v>
      </c>
      <c r="G1055" s="1" t="s">
        <v>124</v>
      </c>
      <c r="H1055" s="1" t="s">
        <v>1405</v>
      </c>
      <c r="I1055">
        <v>2011</v>
      </c>
      <c r="J1055" s="93">
        <v>25990.66</v>
      </c>
      <c r="K1055">
        <v>8</v>
      </c>
      <c r="L1055" s="1" t="s">
        <v>399</v>
      </c>
      <c r="M1055">
        <v>0</v>
      </c>
      <c r="N1055">
        <v>646</v>
      </c>
      <c r="O1055">
        <v>40.226992000000003</v>
      </c>
      <c r="P1055">
        <v>2</v>
      </c>
      <c r="Q1055" s="1" t="s">
        <v>569</v>
      </c>
      <c r="R1055" s="93">
        <v>25990.66</v>
      </c>
      <c r="S1055">
        <v>12189.6</v>
      </c>
      <c r="T1055">
        <v>0</v>
      </c>
      <c r="U1055" s="1" t="s">
        <v>970</v>
      </c>
      <c r="V1055" s="1" t="s">
        <v>1259</v>
      </c>
      <c r="W1055">
        <v>25990.647059999999</v>
      </c>
      <c r="X1055">
        <v>0</v>
      </c>
      <c r="Y1055">
        <v>76341</v>
      </c>
    </row>
    <row r="1056" spans="1:25" ht="15" hidden="1" customHeight="1" x14ac:dyDescent="0.25">
      <c r="A1056" s="1" t="s">
        <v>27</v>
      </c>
      <c r="B1056" s="1"/>
      <c r="C1056" s="1" t="s">
        <v>124</v>
      </c>
      <c r="D1056">
        <v>9957</v>
      </c>
      <c r="E1056" s="1"/>
      <c r="F1056" s="1" t="s">
        <v>265</v>
      </c>
      <c r="G1056" s="1" t="s">
        <v>124</v>
      </c>
      <c r="H1056" s="1" t="s">
        <v>1405</v>
      </c>
      <c r="I1056">
        <v>2010</v>
      </c>
      <c r="J1056" s="93">
        <v>30344.27</v>
      </c>
      <c r="K1056">
        <v>3</v>
      </c>
      <c r="L1056" s="1" t="s">
        <v>399</v>
      </c>
      <c r="M1056">
        <v>0</v>
      </c>
      <c r="N1056">
        <v>646</v>
      </c>
      <c r="O1056">
        <v>46.965283999999997</v>
      </c>
      <c r="P1056">
        <v>2</v>
      </c>
      <c r="Q1056" s="1" t="s">
        <v>569</v>
      </c>
      <c r="R1056" s="93">
        <v>30344.27</v>
      </c>
      <c r="S1056">
        <v>14231.47</v>
      </c>
      <c r="T1056">
        <v>0</v>
      </c>
      <c r="U1056" s="1" t="s">
        <v>970</v>
      </c>
      <c r="V1056" s="1" t="s">
        <v>1259</v>
      </c>
      <c r="W1056">
        <v>30344.272570000001</v>
      </c>
      <c r="X1056">
        <v>0</v>
      </c>
      <c r="Y1056">
        <v>76341</v>
      </c>
    </row>
    <row r="1057" spans="1:25" ht="15" hidden="1" customHeight="1" x14ac:dyDescent="0.25">
      <c r="A1057" s="1" t="s">
        <v>27</v>
      </c>
      <c r="B1057" s="1"/>
      <c r="C1057" s="1" t="s">
        <v>124</v>
      </c>
      <c r="D1057">
        <v>9957</v>
      </c>
      <c r="E1057" s="1"/>
      <c r="F1057" s="1" t="s">
        <v>265</v>
      </c>
      <c r="G1057" s="1" t="s">
        <v>124</v>
      </c>
      <c r="H1057" s="1" t="s">
        <v>1405</v>
      </c>
      <c r="I1057">
        <v>2009</v>
      </c>
      <c r="J1057" s="93">
        <v>29250.16</v>
      </c>
      <c r="K1057">
        <v>4</v>
      </c>
      <c r="L1057" s="1" t="s">
        <v>399</v>
      </c>
      <c r="M1057">
        <v>0</v>
      </c>
      <c r="N1057">
        <v>646</v>
      </c>
      <c r="O1057">
        <v>45.271877000000003</v>
      </c>
      <c r="P1057">
        <v>2</v>
      </c>
      <c r="Q1057" s="1" t="s">
        <v>569</v>
      </c>
      <c r="R1057" s="93">
        <v>29250.16</v>
      </c>
      <c r="S1057">
        <v>13718.32</v>
      </c>
      <c r="T1057">
        <v>0</v>
      </c>
      <c r="U1057" s="1" t="s">
        <v>970</v>
      </c>
      <c r="V1057" s="1" t="s">
        <v>1259</v>
      </c>
      <c r="W1057">
        <v>29250.183799999999</v>
      </c>
      <c r="X1057">
        <v>0</v>
      </c>
      <c r="Y1057">
        <v>76341</v>
      </c>
    </row>
    <row r="1058" spans="1:25" ht="15" hidden="1" customHeight="1" x14ac:dyDescent="0.25">
      <c r="A1058" s="1" t="s">
        <v>27</v>
      </c>
      <c r="B1058" s="1"/>
      <c r="C1058" s="1" t="s">
        <v>124</v>
      </c>
      <c r="D1058">
        <v>9957</v>
      </c>
      <c r="E1058" s="1"/>
      <c r="F1058" s="1" t="s">
        <v>265</v>
      </c>
      <c r="G1058" s="1" t="s">
        <v>124</v>
      </c>
      <c r="H1058" s="1" t="s">
        <v>1405</v>
      </c>
      <c r="I1058">
        <v>2008</v>
      </c>
      <c r="J1058" s="93">
        <v>25123.45</v>
      </c>
      <c r="K1058">
        <v>5</v>
      </c>
      <c r="L1058" s="1" t="s">
        <v>399</v>
      </c>
      <c r="M1058">
        <v>0</v>
      </c>
      <c r="N1058">
        <v>646</v>
      </c>
      <c r="O1058">
        <v>38.884770000000003</v>
      </c>
      <c r="P1058">
        <v>2</v>
      </c>
      <c r="Q1058" s="1" t="s">
        <v>569</v>
      </c>
      <c r="R1058" s="93">
        <v>25123.45</v>
      </c>
      <c r="S1058">
        <v>11782.9</v>
      </c>
      <c r="T1058">
        <v>0</v>
      </c>
      <c r="U1058" s="1" t="s">
        <v>970</v>
      </c>
      <c r="V1058" s="1" t="s">
        <v>1259</v>
      </c>
      <c r="W1058">
        <v>25123.442019999999</v>
      </c>
      <c r="X1058">
        <v>0</v>
      </c>
      <c r="Y1058">
        <v>76341</v>
      </c>
    </row>
    <row r="1059" spans="1:25" ht="15" hidden="1" customHeight="1" x14ac:dyDescent="0.25">
      <c r="A1059" s="1" t="s">
        <v>27</v>
      </c>
      <c r="B1059" s="1" t="s">
        <v>57</v>
      </c>
      <c r="C1059" s="1" t="s">
        <v>125</v>
      </c>
      <c r="D1059">
        <v>5269</v>
      </c>
      <c r="E1059" s="1"/>
      <c r="F1059" s="1" t="s">
        <v>266</v>
      </c>
      <c r="G1059" s="1" t="s">
        <v>266</v>
      </c>
      <c r="H1059" s="1" t="s">
        <v>1405</v>
      </c>
      <c r="I1059">
        <v>2015</v>
      </c>
      <c r="J1059" s="93">
        <v>26831</v>
      </c>
      <c r="K1059">
        <v>5</v>
      </c>
      <c r="L1059" s="1" t="s">
        <v>423</v>
      </c>
      <c r="M1059">
        <v>0</v>
      </c>
      <c r="N1059">
        <v>607</v>
      </c>
      <c r="O1059">
        <v>17.031756999999999</v>
      </c>
      <c r="P1059">
        <v>2</v>
      </c>
      <c r="Q1059" s="1" t="s">
        <v>569</v>
      </c>
      <c r="R1059" s="93">
        <v>10339.98</v>
      </c>
      <c r="S1059">
        <v>4135.99</v>
      </c>
      <c r="T1059">
        <v>0</v>
      </c>
      <c r="U1059" s="1" t="s">
        <v>971</v>
      </c>
      <c r="V1059" s="1" t="s">
        <v>1260</v>
      </c>
      <c r="W1059">
        <v>10339.98</v>
      </c>
      <c r="X1059">
        <v>0</v>
      </c>
      <c r="Y1059">
        <v>56815</v>
      </c>
    </row>
    <row r="1060" spans="1:25" ht="15" hidden="1" customHeight="1" x14ac:dyDescent="0.25">
      <c r="A1060" s="1" t="s">
        <v>27</v>
      </c>
      <c r="B1060" s="1"/>
      <c r="C1060" s="1" t="s">
        <v>135</v>
      </c>
      <c r="D1060">
        <v>10019</v>
      </c>
      <c r="E1060" s="1"/>
      <c r="F1060" s="1" t="s">
        <v>275</v>
      </c>
      <c r="G1060" s="1" t="s">
        <v>135</v>
      </c>
      <c r="H1060" s="1" t="s">
        <v>1405</v>
      </c>
      <c r="I1060">
        <v>2014</v>
      </c>
      <c r="J1060" s="93">
        <v>479.7</v>
      </c>
      <c r="K1060">
        <v>12</v>
      </c>
      <c r="L1060" s="1" t="s">
        <v>405</v>
      </c>
      <c r="M1060">
        <v>0</v>
      </c>
      <c r="N1060">
        <v>598</v>
      </c>
      <c r="O1060">
        <v>0.80203899999999995</v>
      </c>
      <c r="P1060">
        <v>3</v>
      </c>
      <c r="Q1060" s="1" t="s">
        <v>560</v>
      </c>
      <c r="R1060" s="93">
        <v>479.7</v>
      </c>
      <c r="S1060">
        <v>383.76</v>
      </c>
      <c r="T1060">
        <v>0</v>
      </c>
      <c r="U1060" s="1" t="s">
        <v>605</v>
      </c>
      <c r="V1060" s="1"/>
      <c r="W1060">
        <v>479.70001000000002</v>
      </c>
      <c r="X1060">
        <v>0</v>
      </c>
      <c r="Y1060">
        <v>76532</v>
      </c>
    </row>
    <row r="1061" spans="1:25" ht="15" hidden="1" customHeight="1" x14ac:dyDescent="0.25">
      <c r="A1061" s="1" t="s">
        <v>27</v>
      </c>
      <c r="B1061" s="1" t="s">
        <v>57</v>
      </c>
      <c r="C1061" s="1" t="s">
        <v>125</v>
      </c>
      <c r="D1061">
        <v>5269</v>
      </c>
      <c r="E1061" s="1"/>
      <c r="F1061" s="1" t="s">
        <v>266</v>
      </c>
      <c r="G1061" s="1" t="s">
        <v>266</v>
      </c>
      <c r="H1061" s="1" t="s">
        <v>1405</v>
      </c>
      <c r="I1061">
        <v>2013</v>
      </c>
      <c r="J1061" s="93">
        <v>33772.78</v>
      </c>
      <c r="K1061">
        <v>12</v>
      </c>
      <c r="L1061" s="1" t="s">
        <v>423</v>
      </c>
      <c r="M1061">
        <v>0</v>
      </c>
      <c r="N1061">
        <v>607</v>
      </c>
      <c r="O1061">
        <v>55.629682000000003</v>
      </c>
      <c r="P1061">
        <v>2</v>
      </c>
      <c r="Q1061" s="1" t="s">
        <v>569</v>
      </c>
      <c r="R1061" s="93">
        <v>33772.78</v>
      </c>
      <c r="S1061">
        <v>13509.12</v>
      </c>
      <c r="T1061">
        <v>0</v>
      </c>
      <c r="U1061" s="1" t="s">
        <v>971</v>
      </c>
      <c r="V1061" s="1" t="s">
        <v>1260</v>
      </c>
      <c r="W1061">
        <v>33772.78</v>
      </c>
      <c r="X1061">
        <v>0</v>
      </c>
      <c r="Y1061">
        <v>56815</v>
      </c>
    </row>
    <row r="1062" spans="1:25" ht="15" hidden="1" customHeight="1" x14ac:dyDescent="0.25">
      <c r="A1062" s="1" t="s">
        <v>27</v>
      </c>
      <c r="B1062" s="1" t="s">
        <v>57</v>
      </c>
      <c r="C1062" s="1" t="s">
        <v>125</v>
      </c>
      <c r="D1062">
        <v>5269</v>
      </c>
      <c r="E1062" s="1"/>
      <c r="F1062" s="1" t="s">
        <v>266</v>
      </c>
      <c r="G1062" s="1" t="s">
        <v>266</v>
      </c>
      <c r="H1062" s="1" t="s">
        <v>1405</v>
      </c>
      <c r="I1062">
        <v>2012</v>
      </c>
      <c r="J1062" s="93">
        <v>32840.6</v>
      </c>
      <c r="K1062">
        <v>12</v>
      </c>
      <c r="L1062" s="1" t="s">
        <v>423</v>
      </c>
      <c r="M1062">
        <v>0</v>
      </c>
      <c r="N1062">
        <v>607</v>
      </c>
      <c r="O1062">
        <v>54.094217999999998</v>
      </c>
      <c r="P1062">
        <v>2</v>
      </c>
      <c r="Q1062" s="1" t="s">
        <v>569</v>
      </c>
      <c r="R1062" s="93">
        <v>32840.6</v>
      </c>
      <c r="S1062">
        <v>13136.26</v>
      </c>
      <c r="T1062">
        <v>0</v>
      </c>
      <c r="U1062" s="1" t="s">
        <v>971</v>
      </c>
      <c r="V1062" s="1" t="s">
        <v>1260</v>
      </c>
      <c r="W1062">
        <v>32840.6</v>
      </c>
      <c r="X1062">
        <v>0</v>
      </c>
      <c r="Y1062">
        <v>56815</v>
      </c>
    </row>
    <row r="1063" spans="1:25" ht="15" hidden="1" customHeight="1" x14ac:dyDescent="0.25">
      <c r="A1063" s="1" t="s">
        <v>27</v>
      </c>
      <c r="B1063" s="1" t="s">
        <v>57</v>
      </c>
      <c r="C1063" s="1" t="s">
        <v>125</v>
      </c>
      <c r="D1063">
        <v>5269</v>
      </c>
      <c r="E1063" s="1"/>
      <c r="F1063" s="1" t="s">
        <v>266</v>
      </c>
      <c r="G1063" s="1" t="s">
        <v>266</v>
      </c>
      <c r="H1063" s="1" t="s">
        <v>1405</v>
      </c>
      <c r="I1063">
        <v>2011</v>
      </c>
      <c r="J1063" s="93">
        <v>33024.47</v>
      </c>
      <c r="K1063">
        <v>5</v>
      </c>
      <c r="L1063" s="1" t="s">
        <v>423</v>
      </c>
      <c r="M1063">
        <v>0</v>
      </c>
      <c r="N1063">
        <v>607</v>
      </c>
      <c r="O1063">
        <v>54.397084</v>
      </c>
      <c r="P1063">
        <v>2</v>
      </c>
      <c r="Q1063" s="1" t="s">
        <v>569</v>
      </c>
      <c r="R1063" s="93">
        <v>33024.47</v>
      </c>
      <c r="S1063">
        <v>15488.48</v>
      </c>
      <c r="T1063">
        <v>0</v>
      </c>
      <c r="U1063" s="1" t="s">
        <v>971</v>
      </c>
      <c r="V1063" s="1" t="s">
        <v>1260</v>
      </c>
      <c r="W1063">
        <v>33024.474179999997</v>
      </c>
      <c r="X1063">
        <v>0</v>
      </c>
      <c r="Y1063">
        <v>56815</v>
      </c>
    </row>
    <row r="1064" spans="1:25" ht="15" hidden="1" customHeight="1" x14ac:dyDescent="0.25">
      <c r="A1064" s="1" t="s">
        <v>27</v>
      </c>
      <c r="B1064" s="1" t="s">
        <v>57</v>
      </c>
      <c r="C1064" s="1" t="s">
        <v>125</v>
      </c>
      <c r="D1064">
        <v>5269</v>
      </c>
      <c r="E1064" s="1"/>
      <c r="F1064" s="1" t="s">
        <v>266</v>
      </c>
      <c r="G1064" s="1" t="s">
        <v>266</v>
      </c>
      <c r="H1064" s="1" t="s">
        <v>1405</v>
      </c>
      <c r="I1064">
        <v>2010</v>
      </c>
      <c r="J1064" s="93">
        <v>30342.21</v>
      </c>
      <c r="K1064">
        <v>0</v>
      </c>
      <c r="L1064" s="1" t="s">
        <v>423</v>
      </c>
      <c r="M1064">
        <v>0</v>
      </c>
      <c r="N1064">
        <v>607</v>
      </c>
      <c r="O1064">
        <v>49.978932</v>
      </c>
      <c r="P1064">
        <v>2</v>
      </c>
      <c r="Q1064" s="1" t="s">
        <v>569</v>
      </c>
      <c r="R1064" s="93">
        <v>30342.21</v>
      </c>
      <c r="S1064">
        <v>14230.51</v>
      </c>
      <c r="T1064">
        <v>0</v>
      </c>
      <c r="U1064" s="1" t="s">
        <v>971</v>
      </c>
      <c r="V1064" s="1" t="s">
        <v>1260</v>
      </c>
      <c r="W1064">
        <v>30342.211439999999</v>
      </c>
      <c r="X1064">
        <v>0</v>
      </c>
      <c r="Y1064">
        <v>56815</v>
      </c>
    </row>
    <row r="1065" spans="1:25" ht="15" hidden="1" customHeight="1" x14ac:dyDescent="0.25">
      <c r="A1065" s="1" t="s">
        <v>27</v>
      </c>
      <c r="B1065" s="1" t="s">
        <v>57</v>
      </c>
      <c r="C1065" s="1" t="s">
        <v>125</v>
      </c>
      <c r="D1065">
        <v>5269</v>
      </c>
      <c r="E1065" s="1"/>
      <c r="F1065" s="1" t="s">
        <v>266</v>
      </c>
      <c r="G1065" s="1" t="s">
        <v>266</v>
      </c>
      <c r="H1065" s="1" t="s">
        <v>1405</v>
      </c>
      <c r="I1065">
        <v>2009</v>
      </c>
      <c r="J1065" s="93">
        <v>24048.1</v>
      </c>
      <c r="K1065">
        <v>2</v>
      </c>
      <c r="L1065" s="1" t="s">
        <v>423</v>
      </c>
      <c r="M1065">
        <v>0</v>
      </c>
      <c r="N1065">
        <v>607</v>
      </c>
      <c r="O1065">
        <v>39.611431000000003</v>
      </c>
      <c r="P1065">
        <v>2</v>
      </c>
      <c r="Q1065" s="1" t="s">
        <v>569</v>
      </c>
      <c r="R1065" s="93">
        <v>24048.1</v>
      </c>
      <c r="S1065">
        <v>11278.54</v>
      </c>
      <c r="T1065">
        <v>0</v>
      </c>
      <c r="U1065" s="1" t="s">
        <v>971</v>
      </c>
      <c r="V1065" s="1" t="s">
        <v>1260</v>
      </c>
      <c r="W1065">
        <v>24048.094400000002</v>
      </c>
      <c r="X1065">
        <v>0</v>
      </c>
      <c r="Y1065">
        <v>56815</v>
      </c>
    </row>
    <row r="1066" spans="1:25" ht="15" hidden="1" customHeight="1" x14ac:dyDescent="0.25">
      <c r="A1066" s="1" t="s">
        <v>27</v>
      </c>
      <c r="B1066" s="1" t="s">
        <v>57</v>
      </c>
      <c r="C1066" s="1" t="s">
        <v>125</v>
      </c>
      <c r="D1066">
        <v>5269</v>
      </c>
      <c r="E1066" s="1"/>
      <c r="F1066" s="1" t="s">
        <v>266</v>
      </c>
      <c r="G1066" s="1" t="s">
        <v>266</v>
      </c>
      <c r="H1066" s="1" t="s">
        <v>1405</v>
      </c>
      <c r="I1066">
        <v>2008</v>
      </c>
      <c r="J1066" s="93">
        <v>24467.63</v>
      </c>
      <c r="K1066">
        <v>3</v>
      </c>
      <c r="L1066" s="1" t="s">
        <v>423</v>
      </c>
      <c r="M1066">
        <v>0</v>
      </c>
      <c r="N1066">
        <v>607</v>
      </c>
      <c r="O1066">
        <v>40.30247</v>
      </c>
      <c r="P1066">
        <v>2</v>
      </c>
      <c r="Q1066" s="1" t="s">
        <v>569</v>
      </c>
      <c r="R1066" s="93">
        <v>24467.63</v>
      </c>
      <c r="S1066">
        <v>11475.32</v>
      </c>
      <c r="T1066">
        <v>0</v>
      </c>
      <c r="U1066" s="1" t="s">
        <v>971</v>
      </c>
      <c r="V1066" s="1" t="s">
        <v>1260</v>
      </c>
      <c r="W1066">
        <v>24467.626769999999</v>
      </c>
      <c r="X1066">
        <v>0</v>
      </c>
      <c r="Y1066">
        <v>56815</v>
      </c>
    </row>
    <row r="1067" spans="1:25" ht="15" hidden="1" customHeight="1" x14ac:dyDescent="0.25">
      <c r="A1067" s="1" t="s">
        <v>27</v>
      </c>
      <c r="B1067" s="1"/>
      <c r="C1067" s="1" t="s">
        <v>126</v>
      </c>
      <c r="D1067">
        <v>10017</v>
      </c>
      <c r="E1067" s="1"/>
      <c r="F1067" s="1" t="s">
        <v>267</v>
      </c>
      <c r="G1067" s="1" t="s">
        <v>267</v>
      </c>
      <c r="H1067" s="1" t="s">
        <v>1405</v>
      </c>
      <c r="I1067">
        <v>2015</v>
      </c>
      <c r="J1067" s="93">
        <v>13471</v>
      </c>
      <c r="K1067">
        <v>5</v>
      </c>
      <c r="L1067" s="1"/>
      <c r="M1067">
        <v>0</v>
      </c>
      <c r="N1067">
        <v>602</v>
      </c>
      <c r="O1067">
        <v>9.1622979999999998</v>
      </c>
      <c r="P1067">
        <v>2</v>
      </c>
      <c r="Q1067" s="1" t="s">
        <v>569</v>
      </c>
      <c r="R1067" s="93">
        <v>5516.62</v>
      </c>
      <c r="S1067">
        <v>1654.99</v>
      </c>
      <c r="T1067">
        <v>0</v>
      </c>
      <c r="U1067" s="1" t="s">
        <v>972</v>
      </c>
      <c r="V1067" s="1" t="s">
        <v>1261</v>
      </c>
      <c r="W1067">
        <v>5516.6279999999997</v>
      </c>
      <c r="X1067">
        <v>0</v>
      </c>
      <c r="Y1067">
        <v>90612</v>
      </c>
    </row>
    <row r="1068" spans="1:25" ht="15" hidden="1" customHeight="1" x14ac:dyDescent="0.25">
      <c r="A1068" s="1" t="s">
        <v>27</v>
      </c>
      <c r="B1068" s="1"/>
      <c r="C1068" s="1" t="s">
        <v>135</v>
      </c>
      <c r="D1068">
        <v>10019</v>
      </c>
      <c r="E1068" s="1"/>
      <c r="F1068" s="1" t="s">
        <v>275</v>
      </c>
      <c r="G1068" s="1" t="s">
        <v>135</v>
      </c>
      <c r="H1068" s="1" t="s">
        <v>1405</v>
      </c>
      <c r="I1068">
        <v>2014</v>
      </c>
      <c r="J1068" s="93">
        <v>26480.69</v>
      </c>
      <c r="K1068">
        <v>12</v>
      </c>
      <c r="L1068" s="1" t="s">
        <v>403</v>
      </c>
      <c r="M1068">
        <v>0</v>
      </c>
      <c r="N1068">
        <v>598</v>
      </c>
      <c r="O1068">
        <v>44.274686000000003</v>
      </c>
      <c r="P1068">
        <v>2</v>
      </c>
      <c r="Q1068" s="1" t="s">
        <v>569</v>
      </c>
      <c r="R1068" s="93">
        <v>26480.69</v>
      </c>
      <c r="S1068">
        <v>7944.21</v>
      </c>
      <c r="T1068">
        <v>0</v>
      </c>
      <c r="U1068" s="1" t="s">
        <v>985</v>
      </c>
      <c r="V1068" s="1" t="s">
        <v>1271</v>
      </c>
      <c r="W1068">
        <v>26480.686000000002</v>
      </c>
      <c r="X1068">
        <v>0</v>
      </c>
      <c r="Y1068">
        <v>76531</v>
      </c>
    </row>
    <row r="1069" spans="1:25" ht="15" hidden="1" customHeight="1" x14ac:dyDescent="0.25">
      <c r="A1069" s="1" t="s">
        <v>27</v>
      </c>
      <c r="B1069" s="1"/>
      <c r="C1069" s="1" t="s">
        <v>126</v>
      </c>
      <c r="D1069">
        <v>10017</v>
      </c>
      <c r="E1069" s="1"/>
      <c r="F1069" s="1" t="s">
        <v>267</v>
      </c>
      <c r="G1069" s="1" t="s">
        <v>267</v>
      </c>
      <c r="H1069" s="1" t="s">
        <v>1405</v>
      </c>
      <c r="I1069">
        <v>2013</v>
      </c>
      <c r="J1069" s="93">
        <v>11211.51</v>
      </c>
      <c r="K1069">
        <v>12</v>
      </c>
      <c r="L1069" s="1"/>
      <c r="M1069">
        <v>0</v>
      </c>
      <c r="N1069">
        <v>602</v>
      </c>
      <c r="O1069">
        <v>18.620677000000001</v>
      </c>
      <c r="P1069">
        <v>2</v>
      </c>
      <c r="Q1069" s="1" t="s">
        <v>569</v>
      </c>
      <c r="R1069" s="93">
        <v>11211.51</v>
      </c>
      <c r="S1069">
        <v>3363.44</v>
      </c>
      <c r="T1069">
        <v>0</v>
      </c>
      <c r="U1069" s="1" t="s">
        <v>972</v>
      </c>
      <c r="V1069" s="1" t="s">
        <v>1261</v>
      </c>
      <c r="W1069">
        <v>11211.516</v>
      </c>
      <c r="X1069">
        <v>0</v>
      </c>
      <c r="Y1069">
        <v>90612</v>
      </c>
    </row>
    <row r="1070" spans="1:25" ht="15" hidden="1" customHeight="1" x14ac:dyDescent="0.25">
      <c r="A1070" s="1" t="s">
        <v>27</v>
      </c>
      <c r="B1070" s="1"/>
      <c r="C1070" s="1" t="s">
        <v>126</v>
      </c>
      <c r="D1070">
        <v>10017</v>
      </c>
      <c r="E1070" s="1"/>
      <c r="F1070" s="1" t="s">
        <v>267</v>
      </c>
      <c r="G1070" s="1" t="s">
        <v>267</v>
      </c>
      <c r="H1070" s="1" t="s">
        <v>1405</v>
      </c>
      <c r="I1070">
        <v>2012</v>
      </c>
      <c r="J1070" s="93">
        <v>12190.41</v>
      </c>
      <c r="K1070">
        <v>12</v>
      </c>
      <c r="L1070" s="1"/>
      <c r="M1070">
        <v>0</v>
      </c>
      <c r="N1070">
        <v>602</v>
      </c>
      <c r="O1070">
        <v>20.246486999999998</v>
      </c>
      <c r="P1070">
        <v>2</v>
      </c>
      <c r="Q1070" s="1" t="s">
        <v>569</v>
      </c>
      <c r="R1070" s="93">
        <v>12190.41</v>
      </c>
      <c r="S1070">
        <v>4876.16</v>
      </c>
      <c r="T1070">
        <v>0</v>
      </c>
      <c r="U1070" s="1" t="s">
        <v>972</v>
      </c>
      <c r="V1070" s="1" t="s">
        <v>1261</v>
      </c>
      <c r="W1070">
        <v>12190.415999999999</v>
      </c>
      <c r="X1070">
        <v>0</v>
      </c>
      <c r="Y1070">
        <v>90612</v>
      </c>
    </row>
    <row r="1071" spans="1:25" ht="15" hidden="1" customHeight="1" x14ac:dyDescent="0.25">
      <c r="A1071" s="1" t="s">
        <v>27</v>
      </c>
      <c r="B1071" s="1"/>
      <c r="C1071" s="1" t="s">
        <v>126</v>
      </c>
      <c r="D1071">
        <v>10017</v>
      </c>
      <c r="E1071" s="1"/>
      <c r="F1071" s="1" t="s">
        <v>267</v>
      </c>
      <c r="G1071" s="1" t="s">
        <v>267</v>
      </c>
      <c r="H1071" s="1" t="s">
        <v>1405</v>
      </c>
      <c r="I1071">
        <v>2011</v>
      </c>
      <c r="J1071" s="93">
        <v>12807.59</v>
      </c>
      <c r="K1071">
        <v>12</v>
      </c>
      <c r="L1071" s="1"/>
      <c r="M1071">
        <v>0</v>
      </c>
      <c r="N1071">
        <v>602</v>
      </c>
      <c r="O1071">
        <v>21.271532000000001</v>
      </c>
      <c r="P1071">
        <v>2</v>
      </c>
      <c r="Q1071" s="1" t="s">
        <v>569</v>
      </c>
      <c r="R1071" s="93">
        <v>12807.59</v>
      </c>
      <c r="S1071">
        <v>6006.76</v>
      </c>
      <c r="T1071">
        <v>0</v>
      </c>
      <c r="U1071" s="1" t="s">
        <v>972</v>
      </c>
      <c r="V1071" s="1" t="s">
        <v>1261</v>
      </c>
      <c r="W1071">
        <v>12807.588</v>
      </c>
      <c r="X1071">
        <v>0</v>
      </c>
      <c r="Y1071">
        <v>90612</v>
      </c>
    </row>
    <row r="1072" spans="1:25" ht="15" hidden="1" customHeight="1" x14ac:dyDescent="0.25">
      <c r="A1072" s="1" t="s">
        <v>27</v>
      </c>
      <c r="B1072" s="1"/>
      <c r="C1072" s="1" t="s">
        <v>126</v>
      </c>
      <c r="D1072">
        <v>10017</v>
      </c>
      <c r="E1072" s="1"/>
      <c r="F1072" s="1" t="s">
        <v>267</v>
      </c>
      <c r="G1072" s="1" t="s">
        <v>267</v>
      </c>
      <c r="H1072" s="1" t="s">
        <v>1405</v>
      </c>
      <c r="I1072">
        <v>2010</v>
      </c>
      <c r="J1072" s="93">
        <v>10692.38</v>
      </c>
      <c r="K1072">
        <v>13</v>
      </c>
      <c r="L1072" s="1" t="s">
        <v>405</v>
      </c>
      <c r="M1072">
        <v>0</v>
      </c>
      <c r="N1072">
        <v>602</v>
      </c>
      <c r="O1072">
        <v>17.758478</v>
      </c>
      <c r="P1072">
        <v>2</v>
      </c>
      <c r="Q1072" s="1" t="s">
        <v>569</v>
      </c>
      <c r="R1072" s="93">
        <v>10692.38</v>
      </c>
      <c r="S1072">
        <v>5014.74</v>
      </c>
      <c r="T1072">
        <v>0</v>
      </c>
      <c r="U1072" s="1" t="s">
        <v>973</v>
      </c>
      <c r="V1072" s="1" t="s">
        <v>1261</v>
      </c>
      <c r="W1072">
        <v>10692.380279999999</v>
      </c>
      <c r="X1072">
        <v>0</v>
      </c>
      <c r="Y1072">
        <v>76519</v>
      </c>
    </row>
    <row r="1073" spans="1:25" ht="15" hidden="1" customHeight="1" x14ac:dyDescent="0.25">
      <c r="A1073" s="1" t="s">
        <v>27</v>
      </c>
      <c r="B1073" s="1"/>
      <c r="C1073" s="1" t="s">
        <v>126</v>
      </c>
      <c r="D1073">
        <v>10017</v>
      </c>
      <c r="E1073" s="1"/>
      <c r="F1073" s="1" t="s">
        <v>267</v>
      </c>
      <c r="G1073" s="1" t="s">
        <v>267</v>
      </c>
      <c r="H1073" s="1" t="s">
        <v>1405</v>
      </c>
      <c r="I1073">
        <v>2010</v>
      </c>
      <c r="J1073" s="93">
        <v>2481.4899999999998</v>
      </c>
      <c r="K1073">
        <v>2</v>
      </c>
      <c r="L1073" s="1"/>
      <c r="M1073">
        <v>0</v>
      </c>
      <c r="N1073">
        <v>602</v>
      </c>
      <c r="O1073">
        <v>4.121391</v>
      </c>
      <c r="P1073">
        <v>2</v>
      </c>
      <c r="Q1073" s="1" t="s">
        <v>569</v>
      </c>
      <c r="R1073" s="93">
        <v>2481.4899999999998</v>
      </c>
      <c r="S1073">
        <v>1163.82</v>
      </c>
      <c r="T1073">
        <v>0</v>
      </c>
      <c r="U1073" s="1" t="s">
        <v>972</v>
      </c>
      <c r="V1073" s="1" t="s">
        <v>1261</v>
      </c>
      <c r="W1073">
        <v>2481.4920000000002</v>
      </c>
      <c r="X1073">
        <v>0</v>
      </c>
      <c r="Y1073">
        <v>90612</v>
      </c>
    </row>
    <row r="1074" spans="1:25" ht="15" hidden="1" customHeight="1" x14ac:dyDescent="0.25">
      <c r="A1074" s="1" t="s">
        <v>27</v>
      </c>
      <c r="B1074" s="1"/>
      <c r="C1074" s="1" t="s">
        <v>126</v>
      </c>
      <c r="D1074">
        <v>10017</v>
      </c>
      <c r="E1074" s="1"/>
      <c r="F1074" s="1" t="s">
        <v>267</v>
      </c>
      <c r="G1074" s="1" t="s">
        <v>267</v>
      </c>
      <c r="H1074" s="1" t="s">
        <v>1405</v>
      </c>
      <c r="I1074">
        <v>2009</v>
      </c>
      <c r="J1074" s="93">
        <v>13756.1</v>
      </c>
      <c r="K1074">
        <v>11</v>
      </c>
      <c r="L1074" s="1" t="s">
        <v>405</v>
      </c>
      <c r="M1074">
        <v>0</v>
      </c>
      <c r="N1074">
        <v>602</v>
      </c>
      <c r="O1074">
        <v>22.846869000000002</v>
      </c>
      <c r="P1074">
        <v>2</v>
      </c>
      <c r="Q1074" s="1" t="s">
        <v>569</v>
      </c>
      <c r="R1074" s="93">
        <v>13756.1</v>
      </c>
      <c r="S1074">
        <v>6451.62</v>
      </c>
      <c r="T1074">
        <v>0</v>
      </c>
      <c r="U1074" s="1" t="s">
        <v>973</v>
      </c>
      <c r="V1074" s="1" t="s">
        <v>1261</v>
      </c>
      <c r="W1074">
        <v>13756.119710000001</v>
      </c>
      <c r="X1074">
        <v>0</v>
      </c>
      <c r="Y1074">
        <v>76519</v>
      </c>
    </row>
    <row r="1075" spans="1:25" ht="15" hidden="1" customHeight="1" x14ac:dyDescent="0.25">
      <c r="A1075" s="1" t="s">
        <v>27</v>
      </c>
      <c r="B1075" s="1"/>
      <c r="C1075" s="1" t="s">
        <v>126</v>
      </c>
      <c r="D1075">
        <v>10017</v>
      </c>
      <c r="E1075" s="1"/>
      <c r="F1075" s="1" t="s">
        <v>267</v>
      </c>
      <c r="G1075" s="1" t="s">
        <v>267</v>
      </c>
      <c r="H1075" s="1" t="s">
        <v>1405</v>
      </c>
      <c r="I1075">
        <v>2008</v>
      </c>
      <c r="J1075" s="93">
        <v>14550.12</v>
      </c>
      <c r="K1075">
        <v>9</v>
      </c>
      <c r="L1075" s="1" t="s">
        <v>405</v>
      </c>
      <c r="M1075">
        <v>0</v>
      </c>
      <c r="N1075">
        <v>602</v>
      </c>
      <c r="O1075">
        <v>24.165620000000001</v>
      </c>
      <c r="P1075">
        <v>2</v>
      </c>
      <c r="Q1075" s="1" t="s">
        <v>569</v>
      </c>
      <c r="R1075" s="93">
        <v>14550.12</v>
      </c>
      <c r="S1075">
        <v>6823.98</v>
      </c>
      <c r="T1075">
        <v>0</v>
      </c>
      <c r="U1075" s="1" t="s">
        <v>973</v>
      </c>
      <c r="V1075" s="1" t="s">
        <v>1261</v>
      </c>
      <c r="W1075">
        <v>14550.10606</v>
      </c>
      <c r="X1075">
        <v>0</v>
      </c>
      <c r="Y1075">
        <v>76519</v>
      </c>
    </row>
    <row r="1076" spans="1:25" ht="15" hidden="1" customHeight="1" x14ac:dyDescent="0.25">
      <c r="A1076" s="1" t="s">
        <v>27</v>
      </c>
      <c r="B1076" s="1"/>
      <c r="C1076" s="1" t="s">
        <v>127</v>
      </c>
      <c r="D1076">
        <v>10164</v>
      </c>
      <c r="E1076" s="1"/>
      <c r="F1076" s="1" t="s">
        <v>127</v>
      </c>
      <c r="G1076" s="1" t="s">
        <v>127</v>
      </c>
      <c r="H1076" s="1" t="s">
        <v>1405</v>
      </c>
      <c r="I1076">
        <v>2015</v>
      </c>
      <c r="J1076" s="93">
        <v>28946</v>
      </c>
      <c r="K1076">
        <v>5</v>
      </c>
      <c r="L1076" s="1" t="s">
        <v>517</v>
      </c>
      <c r="M1076">
        <v>0</v>
      </c>
      <c r="N1076">
        <v>219</v>
      </c>
      <c r="O1076">
        <v>72.795207000000005</v>
      </c>
      <c r="P1076">
        <v>2</v>
      </c>
      <c r="Q1076" s="1" t="s">
        <v>569</v>
      </c>
      <c r="R1076" s="93">
        <v>15949.43</v>
      </c>
      <c r="S1076">
        <v>4784.83</v>
      </c>
      <c r="T1076">
        <v>0</v>
      </c>
      <c r="U1076" s="1" t="s">
        <v>974</v>
      </c>
      <c r="V1076" s="1" t="s">
        <v>1262</v>
      </c>
      <c r="W1076">
        <v>15949.433000000001</v>
      </c>
      <c r="X1076">
        <v>0</v>
      </c>
      <c r="Y1076">
        <v>77153</v>
      </c>
    </row>
    <row r="1077" spans="1:25" ht="15" hidden="1" customHeight="1" x14ac:dyDescent="0.25">
      <c r="A1077" s="1" t="s">
        <v>27</v>
      </c>
      <c r="B1077" s="1"/>
      <c r="C1077" s="1" t="s">
        <v>127</v>
      </c>
      <c r="D1077">
        <v>10164</v>
      </c>
      <c r="E1077" s="1"/>
      <c r="F1077" s="1" t="s">
        <v>127</v>
      </c>
      <c r="G1077" s="1" t="s">
        <v>127</v>
      </c>
      <c r="H1077" s="1" t="s">
        <v>1405</v>
      </c>
      <c r="I1077">
        <v>2013</v>
      </c>
      <c r="J1077" s="93">
        <v>28610.93</v>
      </c>
      <c r="K1077">
        <v>12</v>
      </c>
      <c r="L1077" s="1" t="s">
        <v>517</v>
      </c>
      <c r="M1077">
        <v>0</v>
      </c>
      <c r="N1077">
        <v>219</v>
      </c>
      <c r="O1077">
        <v>130.583888</v>
      </c>
      <c r="P1077">
        <v>2</v>
      </c>
      <c r="Q1077" s="1" t="s">
        <v>569</v>
      </c>
      <c r="R1077" s="93">
        <v>28610.93</v>
      </c>
      <c r="S1077">
        <v>8583.2900000000009</v>
      </c>
      <c r="T1077">
        <v>0</v>
      </c>
      <c r="U1077" s="1" t="s">
        <v>974</v>
      </c>
      <c r="V1077" s="1" t="s">
        <v>1262</v>
      </c>
      <c r="W1077">
        <v>28610.914700000001</v>
      </c>
      <c r="X1077">
        <v>0</v>
      </c>
      <c r="Y1077">
        <v>77153</v>
      </c>
    </row>
    <row r="1078" spans="1:25" ht="15" hidden="1" customHeight="1" x14ac:dyDescent="0.25">
      <c r="A1078" s="1" t="s">
        <v>27</v>
      </c>
      <c r="B1078" s="1"/>
      <c r="C1078" s="1" t="s">
        <v>127</v>
      </c>
      <c r="D1078">
        <v>10164</v>
      </c>
      <c r="E1078" s="1"/>
      <c r="F1078" s="1" t="s">
        <v>127</v>
      </c>
      <c r="G1078" s="1" t="s">
        <v>127</v>
      </c>
      <c r="H1078" s="1" t="s">
        <v>1405</v>
      </c>
      <c r="I1078">
        <v>2012</v>
      </c>
      <c r="J1078" s="93">
        <v>27144.05</v>
      </c>
      <c r="K1078">
        <v>12</v>
      </c>
      <c r="L1078" s="1" t="s">
        <v>517</v>
      </c>
      <c r="M1078">
        <v>0</v>
      </c>
      <c r="N1078">
        <v>219</v>
      </c>
      <c r="O1078">
        <v>123.888863</v>
      </c>
      <c r="P1078">
        <v>2</v>
      </c>
      <c r="Q1078" s="1" t="s">
        <v>569</v>
      </c>
      <c r="R1078" s="93">
        <v>27144.05</v>
      </c>
      <c r="S1078">
        <v>10857.63</v>
      </c>
      <c r="T1078">
        <v>0</v>
      </c>
      <c r="U1078" s="1" t="s">
        <v>974</v>
      </c>
      <c r="V1078" s="1" t="s">
        <v>1262</v>
      </c>
      <c r="W1078">
        <v>27144.049200000001</v>
      </c>
      <c r="X1078">
        <v>0</v>
      </c>
      <c r="Y1078">
        <v>77153</v>
      </c>
    </row>
    <row r="1079" spans="1:25" ht="15" hidden="1" customHeight="1" x14ac:dyDescent="0.25">
      <c r="A1079" s="1" t="s">
        <v>27</v>
      </c>
      <c r="B1079" s="1"/>
      <c r="C1079" s="1" t="s">
        <v>127</v>
      </c>
      <c r="D1079">
        <v>10164</v>
      </c>
      <c r="E1079" s="1"/>
      <c r="F1079" s="1" t="s">
        <v>127</v>
      </c>
      <c r="G1079" s="1" t="s">
        <v>127</v>
      </c>
      <c r="H1079" s="1" t="s">
        <v>1405</v>
      </c>
      <c r="I1079">
        <v>2011</v>
      </c>
      <c r="J1079" s="93">
        <v>29574.99</v>
      </c>
      <c r="K1079">
        <v>12</v>
      </c>
      <c r="L1079" s="1" t="s">
        <v>517</v>
      </c>
      <c r="M1079">
        <v>0</v>
      </c>
      <c r="N1079">
        <v>219</v>
      </c>
      <c r="O1079">
        <v>134.98397900000001</v>
      </c>
      <c r="P1079">
        <v>2</v>
      </c>
      <c r="Q1079" s="1" t="s">
        <v>569</v>
      </c>
      <c r="R1079" s="93">
        <v>29574.99</v>
      </c>
      <c r="S1079">
        <v>13870.66</v>
      </c>
      <c r="T1079">
        <v>0</v>
      </c>
      <c r="U1079" s="1" t="s">
        <v>974</v>
      </c>
      <c r="V1079" s="1" t="s">
        <v>1262</v>
      </c>
      <c r="W1079">
        <v>29574.984</v>
      </c>
      <c r="X1079">
        <v>0</v>
      </c>
      <c r="Y1079">
        <v>77153</v>
      </c>
    </row>
    <row r="1080" spans="1:25" ht="15" hidden="1" customHeight="1" x14ac:dyDescent="0.25">
      <c r="A1080" s="1" t="s">
        <v>27</v>
      </c>
      <c r="B1080" s="1"/>
      <c r="C1080" s="1" t="s">
        <v>127</v>
      </c>
      <c r="D1080">
        <v>10164</v>
      </c>
      <c r="E1080" s="1"/>
      <c r="F1080" s="1" t="s">
        <v>127</v>
      </c>
      <c r="G1080" s="1" t="s">
        <v>127</v>
      </c>
      <c r="H1080" s="1" t="s">
        <v>1405</v>
      </c>
      <c r="I1080">
        <v>2010</v>
      </c>
      <c r="J1080" s="93">
        <v>38538.370000000003</v>
      </c>
      <c r="K1080">
        <v>12</v>
      </c>
      <c r="L1080" s="1" t="s">
        <v>517</v>
      </c>
      <c r="M1080">
        <v>0</v>
      </c>
      <c r="N1080">
        <v>219</v>
      </c>
      <c r="O1080">
        <v>175.89397500000001</v>
      </c>
      <c r="P1080">
        <v>2</v>
      </c>
      <c r="Q1080" s="1" t="s">
        <v>569</v>
      </c>
      <c r="R1080" s="93">
        <v>38538.370000000003</v>
      </c>
      <c r="S1080">
        <v>18074.52</v>
      </c>
      <c r="T1080">
        <v>0</v>
      </c>
      <c r="U1080" s="1" t="s">
        <v>974</v>
      </c>
      <c r="V1080" s="1" t="s">
        <v>1262</v>
      </c>
      <c r="W1080">
        <v>38538.3874</v>
      </c>
      <c r="X1080">
        <v>0</v>
      </c>
      <c r="Y1080">
        <v>77153</v>
      </c>
    </row>
    <row r="1081" spans="1:25" ht="15" hidden="1" customHeight="1" x14ac:dyDescent="0.25">
      <c r="A1081" s="1" t="s">
        <v>27</v>
      </c>
      <c r="B1081" s="1"/>
      <c r="C1081" s="1" t="s">
        <v>127</v>
      </c>
      <c r="D1081">
        <v>10164</v>
      </c>
      <c r="E1081" s="1"/>
      <c r="F1081" s="1" t="s">
        <v>127</v>
      </c>
      <c r="G1081" s="1" t="s">
        <v>127</v>
      </c>
      <c r="H1081" s="1" t="s">
        <v>1405</v>
      </c>
      <c r="I1081">
        <v>2009</v>
      </c>
      <c r="J1081" s="93">
        <v>34533.25</v>
      </c>
      <c r="K1081">
        <v>12</v>
      </c>
      <c r="L1081" s="1" t="s">
        <v>517</v>
      </c>
      <c r="M1081">
        <v>0</v>
      </c>
      <c r="N1081">
        <v>219</v>
      </c>
      <c r="O1081">
        <v>157.614103</v>
      </c>
      <c r="P1081">
        <v>2</v>
      </c>
      <c r="Q1081" s="1" t="s">
        <v>569</v>
      </c>
      <c r="R1081" s="93">
        <v>34533.25</v>
      </c>
      <c r="S1081">
        <v>16196.09</v>
      </c>
      <c r="T1081">
        <v>0</v>
      </c>
      <c r="U1081" s="1" t="s">
        <v>974</v>
      </c>
      <c r="V1081" s="1" t="s">
        <v>1262</v>
      </c>
      <c r="W1081">
        <v>34533.248890000003</v>
      </c>
      <c r="X1081">
        <v>0</v>
      </c>
      <c r="Y1081">
        <v>77153</v>
      </c>
    </row>
    <row r="1082" spans="1:25" ht="15" hidden="1" customHeight="1" x14ac:dyDescent="0.25">
      <c r="A1082" s="1" t="s">
        <v>27</v>
      </c>
      <c r="B1082" s="1"/>
      <c r="C1082" s="1" t="s">
        <v>127</v>
      </c>
      <c r="D1082">
        <v>10164</v>
      </c>
      <c r="E1082" s="1"/>
      <c r="F1082" s="1" t="s">
        <v>127</v>
      </c>
      <c r="G1082" s="1" t="s">
        <v>127</v>
      </c>
      <c r="H1082" s="1" t="s">
        <v>1405</v>
      </c>
      <c r="I1082">
        <v>2008</v>
      </c>
      <c r="J1082" s="93">
        <v>30841.75</v>
      </c>
      <c r="K1082">
        <v>4</v>
      </c>
      <c r="L1082" s="1" t="s">
        <v>517</v>
      </c>
      <c r="M1082">
        <v>0</v>
      </c>
      <c r="N1082">
        <v>219</v>
      </c>
      <c r="O1082">
        <v>140.76563200000001</v>
      </c>
      <c r="P1082">
        <v>2</v>
      </c>
      <c r="Q1082" s="1" t="s">
        <v>569</v>
      </c>
      <c r="R1082" s="93">
        <v>30841.75</v>
      </c>
      <c r="S1082">
        <v>14464.78</v>
      </c>
      <c r="T1082">
        <v>0</v>
      </c>
      <c r="U1082" s="1" t="s">
        <v>974</v>
      </c>
      <c r="V1082" s="1" t="s">
        <v>1262</v>
      </c>
      <c r="W1082">
        <v>30841.749</v>
      </c>
      <c r="X1082">
        <v>0</v>
      </c>
      <c r="Y1082">
        <v>77153</v>
      </c>
    </row>
    <row r="1083" spans="1:25" ht="15" hidden="1" customHeight="1" x14ac:dyDescent="0.25">
      <c r="A1083" s="1" t="s">
        <v>27</v>
      </c>
      <c r="B1083" s="1"/>
      <c r="C1083" s="1" t="s">
        <v>128</v>
      </c>
      <c r="D1083">
        <v>10169</v>
      </c>
      <c r="E1083" s="1"/>
      <c r="F1083" s="1" t="s">
        <v>268</v>
      </c>
      <c r="G1083" s="1" t="s">
        <v>268</v>
      </c>
      <c r="H1083" s="1" t="s">
        <v>1405</v>
      </c>
      <c r="I1083">
        <v>2015</v>
      </c>
      <c r="J1083" s="93">
        <v>14154</v>
      </c>
      <c r="K1083">
        <v>5</v>
      </c>
      <c r="L1083" s="1" t="s">
        <v>403</v>
      </c>
      <c r="M1083">
        <v>0</v>
      </c>
      <c r="N1083">
        <v>721</v>
      </c>
      <c r="O1083">
        <v>8.1318809999999999</v>
      </c>
      <c r="P1083">
        <v>2</v>
      </c>
      <c r="Q1083" s="1" t="s">
        <v>569</v>
      </c>
      <c r="R1083" s="93">
        <v>5863.9</v>
      </c>
      <c r="S1083">
        <v>1759.17</v>
      </c>
      <c r="T1083">
        <v>0</v>
      </c>
      <c r="U1083" s="1" t="s">
        <v>975</v>
      </c>
      <c r="V1083" s="1" t="s">
        <v>1263</v>
      </c>
      <c r="W1083">
        <v>5863.8959999999997</v>
      </c>
      <c r="X1083">
        <v>0</v>
      </c>
      <c r="Y1083">
        <v>77180</v>
      </c>
    </row>
    <row r="1084" spans="1:25" ht="15" hidden="1" customHeight="1" x14ac:dyDescent="0.25">
      <c r="A1084" s="1" t="s">
        <v>27</v>
      </c>
      <c r="B1084" s="1"/>
      <c r="C1084" s="1" t="s">
        <v>128</v>
      </c>
      <c r="D1084">
        <v>10169</v>
      </c>
      <c r="E1084" s="1"/>
      <c r="F1084" s="1" t="s">
        <v>268</v>
      </c>
      <c r="G1084" s="1" t="s">
        <v>268</v>
      </c>
      <c r="H1084" s="1" t="s">
        <v>1405</v>
      </c>
      <c r="I1084">
        <v>2013</v>
      </c>
      <c r="J1084" s="93">
        <v>11531.39</v>
      </c>
      <c r="K1084">
        <v>12</v>
      </c>
      <c r="L1084" s="1" t="s">
        <v>403</v>
      </c>
      <c r="M1084">
        <v>0</v>
      </c>
      <c r="N1084">
        <v>721</v>
      </c>
      <c r="O1084">
        <v>15.991388000000001</v>
      </c>
      <c r="P1084">
        <v>2</v>
      </c>
      <c r="Q1084" s="1" t="s">
        <v>569</v>
      </c>
      <c r="R1084" s="93">
        <v>11531.39</v>
      </c>
      <c r="S1084">
        <v>3459.41</v>
      </c>
      <c r="T1084">
        <v>0</v>
      </c>
      <c r="U1084" s="1" t="s">
        <v>975</v>
      </c>
      <c r="V1084" s="1" t="s">
        <v>1263</v>
      </c>
      <c r="W1084">
        <v>11531.388000000001</v>
      </c>
      <c r="X1084">
        <v>0</v>
      </c>
      <c r="Y1084">
        <v>77180</v>
      </c>
    </row>
    <row r="1085" spans="1:25" ht="15" hidden="1" customHeight="1" x14ac:dyDescent="0.25">
      <c r="A1085" s="1" t="s">
        <v>27</v>
      </c>
      <c r="B1085" s="1"/>
      <c r="C1085" s="1" t="s">
        <v>128</v>
      </c>
      <c r="D1085">
        <v>10169</v>
      </c>
      <c r="E1085" s="1"/>
      <c r="F1085" s="1" t="s">
        <v>268</v>
      </c>
      <c r="G1085" s="1" t="s">
        <v>268</v>
      </c>
      <c r="H1085" s="1" t="s">
        <v>1405</v>
      </c>
      <c r="I1085">
        <v>2012</v>
      </c>
      <c r="J1085" s="93">
        <v>12713.38</v>
      </c>
      <c r="K1085">
        <v>12</v>
      </c>
      <c r="L1085" s="1" t="s">
        <v>403</v>
      </c>
      <c r="M1085">
        <v>0</v>
      </c>
      <c r="N1085">
        <v>721</v>
      </c>
      <c r="O1085">
        <v>17.630535999999999</v>
      </c>
      <c r="P1085">
        <v>2</v>
      </c>
      <c r="Q1085" s="1" t="s">
        <v>569</v>
      </c>
      <c r="R1085" s="93">
        <v>12713.38</v>
      </c>
      <c r="S1085">
        <v>5085.3599999999997</v>
      </c>
      <c r="T1085">
        <v>0</v>
      </c>
      <c r="U1085" s="1" t="s">
        <v>975</v>
      </c>
      <c r="V1085" s="1" t="s">
        <v>1263</v>
      </c>
      <c r="W1085">
        <v>12713.394</v>
      </c>
      <c r="X1085">
        <v>0</v>
      </c>
      <c r="Y1085">
        <v>77180</v>
      </c>
    </row>
    <row r="1086" spans="1:25" ht="15" hidden="1" customHeight="1" x14ac:dyDescent="0.25">
      <c r="A1086" s="1" t="s">
        <v>27</v>
      </c>
      <c r="B1086" s="1"/>
      <c r="C1086" s="1" t="s">
        <v>128</v>
      </c>
      <c r="D1086">
        <v>10169</v>
      </c>
      <c r="E1086" s="1"/>
      <c r="F1086" s="1" t="s">
        <v>268</v>
      </c>
      <c r="G1086" s="1" t="s">
        <v>268</v>
      </c>
      <c r="H1086" s="1" t="s">
        <v>1405</v>
      </c>
      <c r="I1086">
        <v>2011</v>
      </c>
      <c r="J1086" s="93">
        <v>14083.03</v>
      </c>
      <c r="K1086">
        <v>12</v>
      </c>
      <c r="L1086" s="1" t="s">
        <v>403</v>
      </c>
      <c r="M1086">
        <v>0</v>
      </c>
      <c r="N1086">
        <v>721</v>
      </c>
      <c r="O1086">
        <v>19.529926</v>
      </c>
      <c r="P1086">
        <v>2</v>
      </c>
      <c r="Q1086" s="1" t="s">
        <v>569</v>
      </c>
      <c r="R1086" s="93">
        <v>14083.03</v>
      </c>
      <c r="S1086">
        <v>6604.93</v>
      </c>
      <c r="T1086">
        <v>0</v>
      </c>
      <c r="U1086" s="1" t="s">
        <v>975</v>
      </c>
      <c r="V1086" s="1" t="s">
        <v>1263</v>
      </c>
      <c r="W1086">
        <v>14083.018</v>
      </c>
      <c r="X1086">
        <v>0</v>
      </c>
      <c r="Y1086">
        <v>77180</v>
      </c>
    </row>
    <row r="1087" spans="1:25" ht="15" hidden="1" customHeight="1" x14ac:dyDescent="0.25">
      <c r="A1087" s="1" t="s">
        <v>27</v>
      </c>
      <c r="B1087" s="1"/>
      <c r="C1087" s="1" t="s">
        <v>128</v>
      </c>
      <c r="D1087">
        <v>10169</v>
      </c>
      <c r="E1087" s="1"/>
      <c r="F1087" s="1" t="s">
        <v>268</v>
      </c>
      <c r="G1087" s="1" t="s">
        <v>268</v>
      </c>
      <c r="H1087" s="1" t="s">
        <v>1405</v>
      </c>
      <c r="I1087">
        <v>2010</v>
      </c>
      <c r="J1087" s="93">
        <v>14720.11</v>
      </c>
      <c r="K1087">
        <v>12</v>
      </c>
      <c r="L1087" s="1" t="s">
        <v>403</v>
      </c>
      <c r="M1087">
        <v>0</v>
      </c>
      <c r="N1087">
        <v>721</v>
      </c>
      <c r="O1087">
        <v>20.413409999999999</v>
      </c>
      <c r="P1087">
        <v>2</v>
      </c>
      <c r="Q1087" s="1" t="s">
        <v>569</v>
      </c>
      <c r="R1087" s="93">
        <v>14720.11</v>
      </c>
      <c r="S1087">
        <v>6903.75</v>
      </c>
      <c r="T1087">
        <v>0</v>
      </c>
      <c r="U1087" s="1" t="s">
        <v>975</v>
      </c>
      <c r="V1087" s="1" t="s">
        <v>1263</v>
      </c>
      <c r="W1087">
        <v>14720.108920000001</v>
      </c>
      <c r="X1087">
        <v>0</v>
      </c>
      <c r="Y1087">
        <v>77180</v>
      </c>
    </row>
    <row r="1088" spans="1:25" ht="15" hidden="1" customHeight="1" x14ac:dyDescent="0.25">
      <c r="A1088" s="1" t="s">
        <v>27</v>
      </c>
      <c r="B1088" s="1"/>
      <c r="C1088" s="1" t="s">
        <v>128</v>
      </c>
      <c r="D1088">
        <v>10169</v>
      </c>
      <c r="E1088" s="1"/>
      <c r="F1088" s="1" t="s">
        <v>268</v>
      </c>
      <c r="G1088" s="1" t="s">
        <v>268</v>
      </c>
      <c r="H1088" s="1" t="s">
        <v>1405</v>
      </c>
      <c r="I1088">
        <v>2009</v>
      </c>
      <c r="J1088" s="93">
        <v>14437.23</v>
      </c>
      <c r="K1088">
        <v>4</v>
      </c>
      <c r="L1088" s="1" t="s">
        <v>403</v>
      </c>
      <c r="M1088">
        <v>0</v>
      </c>
      <c r="N1088">
        <v>721</v>
      </c>
      <c r="O1088">
        <v>20.02112</v>
      </c>
      <c r="P1088">
        <v>2</v>
      </c>
      <c r="Q1088" s="1" t="s">
        <v>569</v>
      </c>
      <c r="R1088" s="93">
        <v>14437.23</v>
      </c>
      <c r="S1088">
        <v>6771.08</v>
      </c>
      <c r="T1088">
        <v>0</v>
      </c>
      <c r="U1088" s="1" t="s">
        <v>975</v>
      </c>
      <c r="V1088" s="1" t="s">
        <v>1263</v>
      </c>
      <c r="W1088">
        <v>14437.25361</v>
      </c>
      <c r="X1088">
        <v>0</v>
      </c>
      <c r="Y1088">
        <v>77180</v>
      </c>
    </row>
    <row r="1089" spans="1:25" ht="15" hidden="1" customHeight="1" x14ac:dyDescent="0.25">
      <c r="A1089" s="1" t="s">
        <v>27</v>
      </c>
      <c r="B1089" s="1"/>
      <c r="C1089" s="1" t="s">
        <v>128</v>
      </c>
      <c r="D1089">
        <v>10169</v>
      </c>
      <c r="E1089" s="1"/>
      <c r="F1089" s="1" t="s">
        <v>268</v>
      </c>
      <c r="G1089" s="1" t="s">
        <v>268</v>
      </c>
      <c r="H1089" s="1" t="s">
        <v>1405</v>
      </c>
      <c r="I1089">
        <v>2008</v>
      </c>
      <c r="J1089" s="93">
        <v>12727.53</v>
      </c>
      <c r="K1089">
        <v>6</v>
      </c>
      <c r="L1089" s="1" t="s">
        <v>403</v>
      </c>
      <c r="M1089">
        <v>0</v>
      </c>
      <c r="N1089">
        <v>721</v>
      </c>
      <c r="O1089">
        <v>17.650158999999999</v>
      </c>
      <c r="P1089">
        <v>2</v>
      </c>
      <c r="Q1089" s="1" t="s">
        <v>569</v>
      </c>
      <c r="R1089" s="93">
        <v>12727.53</v>
      </c>
      <c r="S1089">
        <v>5969.21</v>
      </c>
      <c r="T1089">
        <v>0</v>
      </c>
      <c r="U1089" s="1" t="s">
        <v>975</v>
      </c>
      <c r="V1089" s="1" t="s">
        <v>1263</v>
      </c>
      <c r="W1089">
        <v>12727.54578</v>
      </c>
      <c r="X1089">
        <v>0</v>
      </c>
      <c r="Y1089">
        <v>77180</v>
      </c>
    </row>
    <row r="1090" spans="1:25" ht="15" hidden="1" customHeight="1" x14ac:dyDescent="0.25">
      <c r="A1090" s="1" t="s">
        <v>27</v>
      </c>
      <c r="B1090" s="1"/>
      <c r="C1090" s="1" t="s">
        <v>233</v>
      </c>
      <c r="D1090">
        <v>5949</v>
      </c>
      <c r="E1090" s="1"/>
      <c r="F1090" s="1" t="s">
        <v>374</v>
      </c>
      <c r="G1090" s="1" t="s">
        <v>233</v>
      </c>
      <c r="H1090" s="1" t="s">
        <v>1405</v>
      </c>
      <c r="I1090">
        <v>2015</v>
      </c>
      <c r="J1090" s="93">
        <v>34855</v>
      </c>
      <c r="K1090">
        <v>5</v>
      </c>
      <c r="L1090" s="1"/>
      <c r="M1090">
        <v>0</v>
      </c>
      <c r="N1090">
        <v>687</v>
      </c>
      <c r="O1090">
        <v>22.353645</v>
      </c>
      <c r="P1090">
        <v>2</v>
      </c>
      <c r="Q1090" s="1" t="s">
        <v>569</v>
      </c>
      <c r="R1090" s="93">
        <v>15359.19</v>
      </c>
      <c r="S1090">
        <v>4607.75</v>
      </c>
      <c r="T1090">
        <v>0</v>
      </c>
      <c r="U1090" s="1" t="s">
        <v>976</v>
      </c>
      <c r="V1090" s="1" t="s">
        <v>1264</v>
      </c>
      <c r="W1090">
        <v>15359.183000000001</v>
      </c>
      <c r="X1090">
        <v>0</v>
      </c>
      <c r="Y1090">
        <v>91922</v>
      </c>
    </row>
    <row r="1091" spans="1:25" ht="15" hidden="1" customHeight="1" x14ac:dyDescent="0.25">
      <c r="A1091" s="1" t="s">
        <v>27</v>
      </c>
      <c r="B1091" s="1"/>
      <c r="C1091" s="1" t="s">
        <v>233</v>
      </c>
      <c r="D1091">
        <v>5949</v>
      </c>
      <c r="E1091" s="1"/>
      <c r="F1091" s="1" t="s">
        <v>374</v>
      </c>
      <c r="G1091" s="1" t="s">
        <v>233</v>
      </c>
      <c r="H1091" s="1" t="s">
        <v>1405</v>
      </c>
      <c r="I1091">
        <v>2013</v>
      </c>
      <c r="J1091" s="93">
        <v>32002.53</v>
      </c>
      <c r="K1091">
        <v>12</v>
      </c>
      <c r="L1091" s="1"/>
      <c r="M1091">
        <v>0</v>
      </c>
      <c r="N1091">
        <v>687</v>
      </c>
      <c r="O1091">
        <v>46.576233000000002</v>
      </c>
      <c r="P1091">
        <v>2</v>
      </c>
      <c r="Q1091" s="1" t="s">
        <v>569</v>
      </c>
      <c r="R1091" s="93">
        <v>32002.53</v>
      </c>
      <c r="S1091">
        <v>9600.74</v>
      </c>
      <c r="T1091">
        <v>0</v>
      </c>
      <c r="U1091" s="1" t="s">
        <v>976</v>
      </c>
      <c r="V1091" s="1" t="s">
        <v>1264</v>
      </c>
      <c r="W1091">
        <v>32002.527999999998</v>
      </c>
      <c r="X1091">
        <v>0</v>
      </c>
      <c r="Y1091">
        <v>91922</v>
      </c>
    </row>
    <row r="1092" spans="1:25" ht="15" hidden="1" customHeight="1" x14ac:dyDescent="0.25">
      <c r="A1092" s="1" t="s">
        <v>27</v>
      </c>
      <c r="B1092" s="1"/>
      <c r="C1092" s="1" t="s">
        <v>233</v>
      </c>
      <c r="D1092">
        <v>5949</v>
      </c>
      <c r="E1092" s="1"/>
      <c r="F1092" s="1" t="s">
        <v>374</v>
      </c>
      <c r="G1092" s="1" t="s">
        <v>233</v>
      </c>
      <c r="H1092" s="1" t="s">
        <v>1405</v>
      </c>
      <c r="I1092">
        <v>2012</v>
      </c>
      <c r="J1092" s="93">
        <v>7065.66</v>
      </c>
      <c r="K1092">
        <v>3</v>
      </c>
      <c r="L1092" s="1" t="s">
        <v>459</v>
      </c>
      <c r="M1092">
        <v>0</v>
      </c>
      <c r="N1092">
        <v>687</v>
      </c>
      <c r="O1092">
        <v>10.283306</v>
      </c>
      <c r="P1092">
        <v>2</v>
      </c>
      <c r="Q1092" s="1" t="s">
        <v>569</v>
      </c>
      <c r="R1092" s="93">
        <v>7065.66</v>
      </c>
      <c r="S1092">
        <v>2826.27</v>
      </c>
      <c r="T1092">
        <v>0</v>
      </c>
      <c r="U1092" s="1" t="s">
        <v>976</v>
      </c>
      <c r="V1092" s="1" t="s">
        <v>1264</v>
      </c>
      <c r="W1092">
        <v>7065.6637199999996</v>
      </c>
      <c r="X1092">
        <v>0</v>
      </c>
      <c r="Y1092">
        <v>77230</v>
      </c>
    </row>
    <row r="1093" spans="1:25" ht="15" hidden="1" customHeight="1" x14ac:dyDescent="0.25">
      <c r="A1093" s="1" t="s">
        <v>27</v>
      </c>
      <c r="B1093" s="1"/>
      <c r="C1093" s="1" t="s">
        <v>233</v>
      </c>
      <c r="D1093">
        <v>5949</v>
      </c>
      <c r="E1093" s="1"/>
      <c r="F1093" s="1" t="s">
        <v>374</v>
      </c>
      <c r="G1093" s="1" t="s">
        <v>233</v>
      </c>
      <c r="H1093" s="1" t="s">
        <v>1405</v>
      </c>
      <c r="I1093">
        <v>2012</v>
      </c>
      <c r="J1093" s="93">
        <v>25335.62</v>
      </c>
      <c r="K1093">
        <v>10</v>
      </c>
      <c r="L1093" s="1"/>
      <c r="M1093">
        <v>0</v>
      </c>
      <c r="N1093">
        <v>687</v>
      </c>
      <c r="O1093">
        <v>36.873263999999999</v>
      </c>
      <c r="P1093">
        <v>2</v>
      </c>
      <c r="Q1093" s="1" t="s">
        <v>569</v>
      </c>
      <c r="R1093" s="93">
        <v>25335.62</v>
      </c>
      <c r="S1093">
        <v>10134.25</v>
      </c>
      <c r="T1093">
        <v>0</v>
      </c>
      <c r="U1093" s="1" t="s">
        <v>976</v>
      </c>
      <c r="V1093" s="1" t="s">
        <v>1264</v>
      </c>
      <c r="W1093">
        <v>25335.62</v>
      </c>
      <c r="X1093">
        <v>0</v>
      </c>
      <c r="Y1093">
        <v>91922</v>
      </c>
    </row>
    <row r="1094" spans="1:25" ht="15" hidden="1" customHeight="1" x14ac:dyDescent="0.25">
      <c r="A1094" s="1" t="s">
        <v>27</v>
      </c>
      <c r="B1094" s="1"/>
      <c r="C1094" s="1" t="s">
        <v>233</v>
      </c>
      <c r="D1094">
        <v>5949</v>
      </c>
      <c r="E1094" s="1"/>
      <c r="F1094" s="1" t="s">
        <v>374</v>
      </c>
      <c r="G1094" s="1" t="s">
        <v>233</v>
      </c>
      <c r="H1094" s="1" t="s">
        <v>1405</v>
      </c>
      <c r="I1094">
        <v>2011</v>
      </c>
      <c r="J1094" s="93">
        <v>33510.11</v>
      </c>
      <c r="K1094">
        <v>5</v>
      </c>
      <c r="L1094" s="1" t="s">
        <v>459</v>
      </c>
      <c r="M1094">
        <v>0</v>
      </c>
      <c r="N1094">
        <v>687</v>
      </c>
      <c r="O1094">
        <v>48.770353</v>
      </c>
      <c r="P1094">
        <v>2</v>
      </c>
      <c r="Q1094" s="1" t="s">
        <v>569</v>
      </c>
      <c r="R1094" s="93">
        <v>33510.11</v>
      </c>
      <c r="S1094">
        <v>15716.27</v>
      </c>
      <c r="T1094">
        <v>0</v>
      </c>
      <c r="U1094" s="1" t="s">
        <v>976</v>
      </c>
      <c r="V1094" s="1" t="s">
        <v>1264</v>
      </c>
      <c r="W1094">
        <v>33510.125749999999</v>
      </c>
      <c r="X1094">
        <v>0</v>
      </c>
      <c r="Y1094">
        <v>77230</v>
      </c>
    </row>
    <row r="1095" spans="1:25" ht="15" hidden="1" customHeight="1" x14ac:dyDescent="0.25">
      <c r="A1095" s="1" t="s">
        <v>27</v>
      </c>
      <c r="B1095" s="1"/>
      <c r="C1095" s="1" t="s">
        <v>233</v>
      </c>
      <c r="D1095">
        <v>5949</v>
      </c>
      <c r="E1095" s="1"/>
      <c r="F1095" s="1" t="s">
        <v>374</v>
      </c>
      <c r="G1095" s="1" t="s">
        <v>233</v>
      </c>
      <c r="H1095" s="1" t="s">
        <v>1405</v>
      </c>
      <c r="I1095">
        <v>2010</v>
      </c>
      <c r="J1095" s="93">
        <v>36074.47</v>
      </c>
      <c r="K1095">
        <v>7</v>
      </c>
      <c r="L1095" s="1" t="s">
        <v>459</v>
      </c>
      <c r="M1095">
        <v>0</v>
      </c>
      <c r="N1095">
        <v>687</v>
      </c>
      <c r="O1095">
        <v>52.502502999999997</v>
      </c>
      <c r="P1095">
        <v>2</v>
      </c>
      <c r="Q1095" s="1" t="s">
        <v>569</v>
      </c>
      <c r="R1095" s="93">
        <v>36074.47</v>
      </c>
      <c r="S1095">
        <v>16918.93</v>
      </c>
      <c r="T1095">
        <v>0</v>
      </c>
      <c r="U1095" s="1" t="s">
        <v>976</v>
      </c>
      <c r="V1095" s="1" t="s">
        <v>1264</v>
      </c>
      <c r="W1095">
        <v>36074.462639999998</v>
      </c>
      <c r="X1095">
        <v>0</v>
      </c>
      <c r="Y1095">
        <v>77230</v>
      </c>
    </row>
    <row r="1096" spans="1:25" ht="15" hidden="1" customHeight="1" x14ac:dyDescent="0.25">
      <c r="A1096" s="1" t="s">
        <v>27</v>
      </c>
      <c r="B1096" s="1"/>
      <c r="C1096" s="1" t="s">
        <v>233</v>
      </c>
      <c r="D1096">
        <v>5949</v>
      </c>
      <c r="E1096" s="1"/>
      <c r="F1096" s="1" t="s">
        <v>374</v>
      </c>
      <c r="G1096" s="1" t="s">
        <v>233</v>
      </c>
      <c r="H1096" s="1" t="s">
        <v>1405</v>
      </c>
      <c r="I1096">
        <v>2009</v>
      </c>
      <c r="J1096" s="93">
        <v>36044.35</v>
      </c>
      <c r="K1096">
        <v>2</v>
      </c>
      <c r="L1096" s="1" t="s">
        <v>459</v>
      </c>
      <c r="M1096">
        <v>0</v>
      </c>
      <c r="N1096">
        <v>687</v>
      </c>
      <c r="O1096">
        <v>52.458666000000001</v>
      </c>
      <c r="P1096">
        <v>2</v>
      </c>
      <c r="Q1096" s="1" t="s">
        <v>569</v>
      </c>
      <c r="R1096" s="93">
        <v>36044.35</v>
      </c>
      <c r="S1096">
        <v>16904.82</v>
      </c>
      <c r="T1096">
        <v>0</v>
      </c>
      <c r="U1096" s="1" t="s">
        <v>976</v>
      </c>
      <c r="V1096" s="1" t="s">
        <v>1264</v>
      </c>
      <c r="W1096">
        <v>36044.333550000003</v>
      </c>
      <c r="X1096">
        <v>0</v>
      </c>
      <c r="Y1096">
        <v>77230</v>
      </c>
    </row>
    <row r="1097" spans="1:25" ht="15" hidden="1" customHeight="1" x14ac:dyDescent="0.25">
      <c r="A1097" s="1" t="s">
        <v>27</v>
      </c>
      <c r="B1097" s="1"/>
      <c r="C1097" s="1" t="s">
        <v>233</v>
      </c>
      <c r="D1097">
        <v>5949</v>
      </c>
      <c r="E1097" s="1"/>
      <c r="F1097" s="1" t="s">
        <v>374</v>
      </c>
      <c r="G1097" s="1" t="s">
        <v>233</v>
      </c>
      <c r="H1097" s="1" t="s">
        <v>1405</v>
      </c>
      <c r="I1097">
        <v>2008</v>
      </c>
      <c r="J1097" s="93">
        <v>27045.41</v>
      </c>
      <c r="K1097">
        <v>3</v>
      </c>
      <c r="L1097" s="1" t="s">
        <v>459</v>
      </c>
      <c r="M1097">
        <v>0</v>
      </c>
      <c r="N1097">
        <v>687</v>
      </c>
      <c r="O1097">
        <v>39.361679000000002</v>
      </c>
      <c r="P1097">
        <v>2</v>
      </c>
      <c r="Q1097" s="1" t="s">
        <v>569</v>
      </c>
      <c r="R1097" s="93">
        <v>27045.41</v>
      </c>
      <c r="S1097">
        <v>12684.31</v>
      </c>
      <c r="T1097">
        <v>0</v>
      </c>
      <c r="U1097" s="1" t="s">
        <v>976</v>
      </c>
      <c r="V1097" s="1" t="s">
        <v>1264</v>
      </c>
      <c r="W1097">
        <v>27045.414369999999</v>
      </c>
      <c r="X1097">
        <v>0</v>
      </c>
      <c r="Y1097">
        <v>77230</v>
      </c>
    </row>
    <row r="1098" spans="1:25" ht="15" hidden="1" customHeight="1" x14ac:dyDescent="0.25">
      <c r="A1098" s="1" t="s">
        <v>27</v>
      </c>
      <c r="B1098" s="1"/>
      <c r="C1098" s="1" t="s">
        <v>233</v>
      </c>
      <c r="D1098">
        <v>5949</v>
      </c>
      <c r="E1098" s="1"/>
      <c r="F1098" s="1" t="s">
        <v>374</v>
      </c>
      <c r="G1098" s="1" t="s">
        <v>233</v>
      </c>
      <c r="H1098" s="1" t="s">
        <v>1405</v>
      </c>
      <c r="I1098">
        <v>2008</v>
      </c>
      <c r="J1098" s="93">
        <v>9701.6299999999992</v>
      </c>
      <c r="K1098">
        <v>3</v>
      </c>
      <c r="L1098" s="1" t="s">
        <v>518</v>
      </c>
      <c r="M1098">
        <v>0</v>
      </c>
      <c r="N1098">
        <v>687</v>
      </c>
      <c r="O1098">
        <v>14.119676</v>
      </c>
      <c r="P1098">
        <v>2</v>
      </c>
      <c r="Q1098" s="1" t="s">
        <v>569</v>
      </c>
      <c r="R1098" s="93">
        <v>9701.6299999999992</v>
      </c>
      <c r="S1098">
        <v>4550.0600000000004</v>
      </c>
      <c r="T1098">
        <v>0</v>
      </c>
      <c r="U1098" s="1" t="s">
        <v>977</v>
      </c>
      <c r="V1098" s="1"/>
      <c r="W1098">
        <v>9701.6279099999992</v>
      </c>
      <c r="X1098">
        <v>0</v>
      </c>
      <c r="Y1098">
        <v>59965</v>
      </c>
    </row>
    <row r="1099" spans="1:25" ht="15" hidden="1" customHeight="1" x14ac:dyDescent="0.25">
      <c r="A1099" s="1" t="s">
        <v>27</v>
      </c>
      <c r="B1099" s="1" t="s">
        <v>53</v>
      </c>
      <c r="C1099" s="1" t="s">
        <v>129</v>
      </c>
      <c r="D1099">
        <v>5447</v>
      </c>
      <c r="E1099" s="1"/>
      <c r="F1099" s="1" t="s">
        <v>269</v>
      </c>
      <c r="G1099" s="1" t="s">
        <v>269</v>
      </c>
      <c r="H1099" s="1" t="s">
        <v>1405</v>
      </c>
      <c r="I1099">
        <v>2015</v>
      </c>
      <c r="J1099" s="93">
        <v>20402</v>
      </c>
      <c r="K1099">
        <v>5</v>
      </c>
      <c r="L1099" s="1" t="s">
        <v>404</v>
      </c>
      <c r="M1099">
        <v>0</v>
      </c>
      <c r="N1099">
        <v>480</v>
      </c>
      <c r="O1099">
        <v>18.615663000000001</v>
      </c>
      <c r="P1099">
        <v>2</v>
      </c>
      <c r="Q1099" s="1" t="s">
        <v>569</v>
      </c>
      <c r="R1099" s="93">
        <v>8937.3799999999992</v>
      </c>
      <c r="S1099">
        <v>3574.96</v>
      </c>
      <c r="T1099">
        <v>0</v>
      </c>
      <c r="U1099" s="1" t="s">
        <v>978</v>
      </c>
      <c r="V1099" s="1" t="s">
        <v>1265</v>
      </c>
      <c r="W1099">
        <v>8937.3880000000008</v>
      </c>
      <c r="X1099">
        <v>0</v>
      </c>
      <c r="Y1099">
        <v>57505</v>
      </c>
    </row>
    <row r="1100" spans="1:25" ht="15" hidden="1" customHeight="1" x14ac:dyDescent="0.25">
      <c r="A1100" s="1" t="s">
        <v>27</v>
      </c>
      <c r="B1100" s="1"/>
      <c r="C1100" s="1" t="s">
        <v>136</v>
      </c>
      <c r="D1100">
        <v>10056</v>
      </c>
      <c r="E1100" s="1"/>
      <c r="F1100" s="1" t="s">
        <v>136</v>
      </c>
      <c r="G1100" s="1" t="s">
        <v>136</v>
      </c>
      <c r="H1100" s="1" t="s">
        <v>1405</v>
      </c>
      <c r="I1100">
        <v>2014</v>
      </c>
      <c r="J1100" s="93">
        <v>65675</v>
      </c>
      <c r="K1100">
        <v>12</v>
      </c>
      <c r="L1100" s="1" t="s">
        <v>426</v>
      </c>
      <c r="M1100">
        <v>0</v>
      </c>
      <c r="N1100">
        <v>836</v>
      </c>
      <c r="O1100">
        <v>78.549216000000001</v>
      </c>
      <c r="P1100">
        <v>1</v>
      </c>
      <c r="Q1100" s="1" t="s">
        <v>565</v>
      </c>
      <c r="R1100" s="93">
        <v>77726.320000000007</v>
      </c>
      <c r="S1100">
        <v>4.9800000000000004</v>
      </c>
      <c r="T1100">
        <v>0</v>
      </c>
      <c r="U1100" s="1" t="s">
        <v>786</v>
      </c>
      <c r="V1100" s="1"/>
      <c r="W1100">
        <v>65.674999999999997</v>
      </c>
      <c r="X1100">
        <v>0</v>
      </c>
      <c r="Y1100">
        <v>89456</v>
      </c>
    </row>
    <row r="1101" spans="1:25" ht="15" hidden="1" customHeight="1" x14ac:dyDescent="0.25">
      <c r="A1101" s="1" t="s">
        <v>27</v>
      </c>
      <c r="B1101" s="1" t="s">
        <v>53</v>
      </c>
      <c r="C1101" s="1" t="s">
        <v>129</v>
      </c>
      <c r="D1101">
        <v>5447</v>
      </c>
      <c r="E1101" s="1"/>
      <c r="F1101" s="1" t="s">
        <v>269</v>
      </c>
      <c r="G1101" s="1" t="s">
        <v>269</v>
      </c>
      <c r="H1101" s="1" t="s">
        <v>1405</v>
      </c>
      <c r="I1101">
        <v>2013</v>
      </c>
      <c r="J1101" s="93">
        <v>22894.16</v>
      </c>
      <c r="K1101">
        <v>12</v>
      </c>
      <c r="L1101" s="1" t="s">
        <v>404</v>
      </c>
      <c r="M1101">
        <v>0</v>
      </c>
      <c r="N1101">
        <v>480</v>
      </c>
      <c r="O1101">
        <v>47.686231999999997</v>
      </c>
      <c r="P1101">
        <v>2</v>
      </c>
      <c r="Q1101" s="1" t="s">
        <v>569</v>
      </c>
      <c r="R1101" s="93">
        <v>22894.16</v>
      </c>
      <c r="S1101">
        <v>9157.67</v>
      </c>
      <c r="T1101">
        <v>0</v>
      </c>
      <c r="U1101" s="1" t="s">
        <v>978</v>
      </c>
      <c r="V1101" s="1" t="s">
        <v>1265</v>
      </c>
      <c r="W1101">
        <v>22894.141</v>
      </c>
      <c r="X1101">
        <v>0</v>
      </c>
      <c r="Y1101">
        <v>57505</v>
      </c>
    </row>
    <row r="1102" spans="1:25" ht="15" hidden="1" customHeight="1" x14ac:dyDescent="0.25">
      <c r="A1102" s="1" t="s">
        <v>27</v>
      </c>
      <c r="B1102" s="1" t="s">
        <v>53</v>
      </c>
      <c r="C1102" s="1" t="s">
        <v>129</v>
      </c>
      <c r="D1102">
        <v>5447</v>
      </c>
      <c r="E1102" s="1"/>
      <c r="F1102" s="1" t="s">
        <v>269</v>
      </c>
      <c r="G1102" s="1" t="s">
        <v>269</v>
      </c>
      <c r="H1102" s="1" t="s">
        <v>1405</v>
      </c>
      <c r="I1102">
        <v>2012</v>
      </c>
      <c r="J1102" s="93">
        <v>26278.82</v>
      </c>
      <c r="K1102">
        <v>12</v>
      </c>
      <c r="L1102" s="1" t="s">
        <v>404</v>
      </c>
      <c r="M1102">
        <v>0</v>
      </c>
      <c r="N1102">
        <v>480</v>
      </c>
      <c r="O1102">
        <v>54.736137999999997</v>
      </c>
      <c r="P1102">
        <v>2</v>
      </c>
      <c r="Q1102" s="1" t="s">
        <v>569</v>
      </c>
      <c r="R1102" s="93">
        <v>26278.82</v>
      </c>
      <c r="S1102">
        <v>10511.53</v>
      </c>
      <c r="T1102">
        <v>0</v>
      </c>
      <c r="U1102" s="1" t="s">
        <v>978</v>
      </c>
      <c r="V1102" s="1" t="s">
        <v>1265</v>
      </c>
      <c r="W1102">
        <v>26278.821</v>
      </c>
      <c r="X1102">
        <v>0</v>
      </c>
      <c r="Y1102">
        <v>57505</v>
      </c>
    </row>
    <row r="1103" spans="1:25" ht="15" hidden="1" customHeight="1" x14ac:dyDescent="0.25">
      <c r="A1103" s="1" t="s">
        <v>27</v>
      </c>
      <c r="B1103" s="1" t="s">
        <v>53</v>
      </c>
      <c r="C1103" s="1" t="s">
        <v>129</v>
      </c>
      <c r="D1103">
        <v>5447</v>
      </c>
      <c r="E1103" s="1"/>
      <c r="F1103" s="1" t="s">
        <v>269</v>
      </c>
      <c r="G1103" s="1" t="s">
        <v>269</v>
      </c>
      <c r="H1103" s="1" t="s">
        <v>1405</v>
      </c>
      <c r="I1103">
        <v>2011</v>
      </c>
      <c r="J1103" s="93">
        <v>24208.6</v>
      </c>
      <c r="K1103">
        <v>12</v>
      </c>
      <c r="L1103" s="1" t="s">
        <v>404</v>
      </c>
      <c r="M1103">
        <v>0</v>
      </c>
      <c r="N1103">
        <v>480</v>
      </c>
      <c r="O1103">
        <v>50.424078000000002</v>
      </c>
      <c r="P1103">
        <v>2</v>
      </c>
      <c r="Q1103" s="1" t="s">
        <v>569</v>
      </c>
      <c r="R1103" s="93">
        <v>24208.6</v>
      </c>
      <c r="S1103">
        <v>11353.82</v>
      </c>
      <c r="T1103">
        <v>0</v>
      </c>
      <c r="U1103" s="1" t="s">
        <v>978</v>
      </c>
      <c r="V1103" s="1" t="s">
        <v>1265</v>
      </c>
      <c r="W1103">
        <v>24208.607</v>
      </c>
      <c r="X1103">
        <v>0</v>
      </c>
      <c r="Y1103">
        <v>57505</v>
      </c>
    </row>
    <row r="1104" spans="1:25" ht="15" hidden="1" customHeight="1" x14ac:dyDescent="0.25">
      <c r="A1104" s="1" t="s">
        <v>27</v>
      </c>
      <c r="B1104" s="1" t="s">
        <v>53</v>
      </c>
      <c r="C1104" s="1" t="s">
        <v>129</v>
      </c>
      <c r="D1104">
        <v>5447</v>
      </c>
      <c r="E1104" s="1"/>
      <c r="F1104" s="1" t="s">
        <v>269</v>
      </c>
      <c r="G1104" s="1" t="s">
        <v>269</v>
      </c>
      <c r="H1104" s="1" t="s">
        <v>1405</v>
      </c>
      <c r="I1104">
        <v>2010</v>
      </c>
      <c r="J1104" s="93">
        <v>23328.880000000001</v>
      </c>
      <c r="K1104">
        <v>12</v>
      </c>
      <c r="L1104" s="1" t="s">
        <v>404</v>
      </c>
      <c r="M1104">
        <v>0</v>
      </c>
      <c r="N1104">
        <v>480</v>
      </c>
      <c r="O1104">
        <v>48.591709999999999</v>
      </c>
      <c r="P1104">
        <v>2</v>
      </c>
      <c r="Q1104" s="1" t="s">
        <v>569</v>
      </c>
      <c r="R1104" s="93">
        <v>23328.880000000001</v>
      </c>
      <c r="S1104">
        <v>10941.24</v>
      </c>
      <c r="T1104">
        <v>0</v>
      </c>
      <c r="U1104" s="1" t="s">
        <v>978</v>
      </c>
      <c r="V1104" s="1" t="s">
        <v>1265</v>
      </c>
      <c r="W1104">
        <v>23328.89</v>
      </c>
      <c r="X1104">
        <v>0</v>
      </c>
      <c r="Y1104">
        <v>57505</v>
      </c>
    </row>
    <row r="1105" spans="1:25" ht="15" hidden="1" customHeight="1" x14ac:dyDescent="0.25">
      <c r="A1105" s="1" t="s">
        <v>27</v>
      </c>
      <c r="B1105" s="1" t="s">
        <v>53</v>
      </c>
      <c r="C1105" s="1" t="s">
        <v>129</v>
      </c>
      <c r="D1105">
        <v>5447</v>
      </c>
      <c r="E1105" s="1"/>
      <c r="F1105" s="1" t="s">
        <v>269</v>
      </c>
      <c r="G1105" s="1" t="s">
        <v>269</v>
      </c>
      <c r="H1105" s="1" t="s">
        <v>1405</v>
      </c>
      <c r="I1105">
        <v>2009</v>
      </c>
      <c r="J1105" s="93">
        <v>22078.639999999999</v>
      </c>
      <c r="K1105">
        <v>12</v>
      </c>
      <c r="L1105" s="1" t="s">
        <v>404</v>
      </c>
      <c r="M1105">
        <v>0</v>
      </c>
      <c r="N1105">
        <v>480</v>
      </c>
      <c r="O1105">
        <v>45.987585000000003</v>
      </c>
      <c r="P1105">
        <v>2</v>
      </c>
      <c r="Q1105" s="1" t="s">
        <v>569</v>
      </c>
      <c r="R1105" s="93">
        <v>22078.639999999999</v>
      </c>
      <c r="S1105">
        <v>10354.879999999999</v>
      </c>
      <c r="T1105">
        <v>0</v>
      </c>
      <c r="U1105" s="1" t="s">
        <v>978</v>
      </c>
      <c r="V1105" s="1" t="s">
        <v>1265</v>
      </c>
      <c r="W1105">
        <v>22078.634999999998</v>
      </c>
      <c r="X1105">
        <v>0</v>
      </c>
      <c r="Y1105">
        <v>57505</v>
      </c>
    </row>
    <row r="1106" spans="1:25" ht="15" hidden="1" customHeight="1" x14ac:dyDescent="0.25">
      <c r="A1106" s="1" t="s">
        <v>27</v>
      </c>
      <c r="B1106" s="1" t="s">
        <v>53</v>
      </c>
      <c r="C1106" s="1" t="s">
        <v>129</v>
      </c>
      <c r="D1106">
        <v>5447</v>
      </c>
      <c r="E1106" s="1"/>
      <c r="F1106" s="1" t="s">
        <v>269</v>
      </c>
      <c r="G1106" s="1" t="s">
        <v>269</v>
      </c>
      <c r="H1106" s="1" t="s">
        <v>1405</v>
      </c>
      <c r="I1106">
        <v>2008</v>
      </c>
      <c r="J1106" s="93">
        <v>22232.46</v>
      </c>
      <c r="K1106">
        <v>12</v>
      </c>
      <c r="L1106" s="1" t="s">
        <v>404</v>
      </c>
      <c r="M1106">
        <v>0</v>
      </c>
      <c r="N1106">
        <v>480</v>
      </c>
      <c r="O1106">
        <v>46.307977000000001</v>
      </c>
      <c r="P1106">
        <v>2</v>
      </c>
      <c r="Q1106" s="1" t="s">
        <v>569</v>
      </c>
      <c r="R1106" s="93">
        <v>22232.46</v>
      </c>
      <c r="S1106">
        <v>10427.030000000001</v>
      </c>
      <c r="T1106">
        <v>0</v>
      </c>
      <c r="U1106" s="1" t="s">
        <v>978</v>
      </c>
      <c r="V1106" s="1" t="s">
        <v>1265</v>
      </c>
      <c r="W1106">
        <v>22232.455999999998</v>
      </c>
      <c r="X1106">
        <v>0</v>
      </c>
      <c r="Y1106">
        <v>57505</v>
      </c>
    </row>
    <row r="1107" spans="1:25" ht="15" hidden="1" customHeight="1" x14ac:dyDescent="0.25">
      <c r="A1107" s="1" t="s">
        <v>27</v>
      </c>
      <c r="B1107" s="1" t="s">
        <v>58</v>
      </c>
      <c r="C1107" s="1" t="s">
        <v>130</v>
      </c>
      <c r="D1107">
        <v>5272</v>
      </c>
      <c r="E1107" s="1"/>
      <c r="F1107" s="1" t="s">
        <v>270</v>
      </c>
      <c r="G1107" s="1" t="s">
        <v>130</v>
      </c>
      <c r="H1107" s="1" t="s">
        <v>1405</v>
      </c>
      <c r="I1107">
        <v>2015</v>
      </c>
      <c r="J1107" s="93">
        <v>24497</v>
      </c>
      <c r="K1107">
        <v>5</v>
      </c>
      <c r="L1107" s="1" t="s">
        <v>413</v>
      </c>
      <c r="M1107">
        <v>0</v>
      </c>
      <c r="N1107">
        <v>541</v>
      </c>
      <c r="O1107">
        <v>18.599131</v>
      </c>
      <c r="P1107">
        <v>2</v>
      </c>
      <c r="Q1107" s="1" t="s">
        <v>569</v>
      </c>
      <c r="R1107" s="93">
        <v>10063.99</v>
      </c>
      <c r="S1107">
        <v>4025.6</v>
      </c>
      <c r="T1107">
        <v>0</v>
      </c>
      <c r="U1107" s="1" t="s">
        <v>979</v>
      </c>
      <c r="V1107" s="1" t="s">
        <v>1266</v>
      </c>
      <c r="W1107">
        <v>10063.995999999999</v>
      </c>
      <c r="X1107">
        <v>0</v>
      </c>
      <c r="Y1107">
        <v>56836</v>
      </c>
    </row>
    <row r="1108" spans="1:25" ht="15" hidden="1" customHeight="1" x14ac:dyDescent="0.25">
      <c r="A1108" s="1" t="s">
        <v>27</v>
      </c>
      <c r="B1108" s="1"/>
      <c r="C1108" s="1" t="s">
        <v>136</v>
      </c>
      <c r="D1108">
        <v>10056</v>
      </c>
      <c r="E1108" s="1"/>
      <c r="F1108" s="1" t="s">
        <v>136</v>
      </c>
      <c r="G1108" s="1" t="s">
        <v>136</v>
      </c>
      <c r="H1108" s="1" t="s">
        <v>1405</v>
      </c>
      <c r="I1108">
        <v>2015</v>
      </c>
      <c r="J1108" s="93">
        <v>1693.5</v>
      </c>
      <c r="K1108">
        <v>5</v>
      </c>
      <c r="L1108" s="1"/>
      <c r="M1108">
        <v>0</v>
      </c>
      <c r="N1108">
        <v>836</v>
      </c>
      <c r="P1108">
        <v>3</v>
      </c>
      <c r="Q1108" s="1" t="s">
        <v>560</v>
      </c>
      <c r="T1108">
        <v>0</v>
      </c>
      <c r="U1108" s="1" t="s">
        <v>606</v>
      </c>
      <c r="V1108" s="1"/>
      <c r="X1108">
        <v>0</v>
      </c>
      <c r="Y1108">
        <v>83881</v>
      </c>
    </row>
    <row r="1109" spans="1:25" ht="15" hidden="1" customHeight="1" x14ac:dyDescent="0.25">
      <c r="A1109" s="1" t="s">
        <v>27</v>
      </c>
      <c r="B1109" s="1"/>
      <c r="C1109" s="1" t="s">
        <v>136</v>
      </c>
      <c r="D1109">
        <v>10056</v>
      </c>
      <c r="E1109" s="1"/>
      <c r="F1109" s="1" t="s">
        <v>136</v>
      </c>
      <c r="G1109" s="1" t="s">
        <v>136</v>
      </c>
      <c r="H1109" s="1" t="s">
        <v>1405</v>
      </c>
      <c r="I1109">
        <v>2014</v>
      </c>
      <c r="J1109" s="93">
        <v>452.15</v>
      </c>
      <c r="K1109">
        <v>5</v>
      </c>
      <c r="L1109" s="1" t="s">
        <v>414</v>
      </c>
      <c r="M1109">
        <v>0</v>
      </c>
      <c r="N1109">
        <v>836</v>
      </c>
      <c r="O1109">
        <v>0.54078400000000004</v>
      </c>
      <c r="P1109">
        <v>3</v>
      </c>
      <c r="Q1109" s="1" t="s">
        <v>560</v>
      </c>
      <c r="R1109" s="93">
        <v>452.15</v>
      </c>
      <c r="S1109">
        <v>361.72</v>
      </c>
      <c r="T1109">
        <v>0</v>
      </c>
      <c r="U1109" s="1" t="s">
        <v>606</v>
      </c>
      <c r="V1109" s="1"/>
      <c r="W1109">
        <v>452.14150000000001</v>
      </c>
      <c r="X1109">
        <v>0</v>
      </c>
      <c r="Y1109">
        <v>83881</v>
      </c>
    </row>
    <row r="1110" spans="1:25" ht="15" hidden="1" customHeight="1" x14ac:dyDescent="0.25">
      <c r="A1110" s="1" t="s">
        <v>27</v>
      </c>
      <c r="B1110" s="1" t="s">
        <v>58</v>
      </c>
      <c r="C1110" s="1" t="s">
        <v>130</v>
      </c>
      <c r="D1110">
        <v>5272</v>
      </c>
      <c r="E1110" s="1"/>
      <c r="F1110" s="1" t="s">
        <v>270</v>
      </c>
      <c r="G1110" s="1" t="s">
        <v>130</v>
      </c>
      <c r="H1110" s="1" t="s">
        <v>1405</v>
      </c>
      <c r="I1110">
        <v>2013</v>
      </c>
      <c r="J1110" s="93">
        <v>25050.89</v>
      </c>
      <c r="K1110">
        <v>12</v>
      </c>
      <c r="L1110" s="1" t="s">
        <v>413</v>
      </c>
      <c r="M1110">
        <v>0</v>
      </c>
      <c r="N1110">
        <v>541</v>
      </c>
      <c r="O1110">
        <v>46.296228999999997</v>
      </c>
      <c r="P1110">
        <v>2</v>
      </c>
      <c r="Q1110" s="1" t="s">
        <v>569</v>
      </c>
      <c r="R1110" s="93">
        <v>25050.89</v>
      </c>
      <c r="S1110">
        <v>10020.35</v>
      </c>
      <c r="T1110">
        <v>0</v>
      </c>
      <c r="U1110" s="1" t="s">
        <v>979</v>
      </c>
      <c r="V1110" s="1" t="s">
        <v>1266</v>
      </c>
      <c r="W1110">
        <v>25050.886999999999</v>
      </c>
      <c r="X1110">
        <v>0</v>
      </c>
      <c r="Y1110">
        <v>56836</v>
      </c>
    </row>
    <row r="1111" spans="1:25" ht="15" hidden="1" customHeight="1" x14ac:dyDescent="0.25">
      <c r="A1111" s="1" t="s">
        <v>27</v>
      </c>
      <c r="B1111" s="1" t="s">
        <v>58</v>
      </c>
      <c r="C1111" s="1" t="s">
        <v>130</v>
      </c>
      <c r="D1111">
        <v>5272</v>
      </c>
      <c r="E1111" s="1"/>
      <c r="F1111" s="1" t="s">
        <v>270</v>
      </c>
      <c r="G1111" s="1" t="s">
        <v>130</v>
      </c>
      <c r="H1111" s="1" t="s">
        <v>1405</v>
      </c>
      <c r="I1111">
        <v>2012</v>
      </c>
      <c r="J1111" s="93">
        <v>25248.49</v>
      </c>
      <c r="K1111">
        <v>12</v>
      </c>
      <c r="L1111" s="1" t="s">
        <v>413</v>
      </c>
      <c r="M1111">
        <v>0</v>
      </c>
      <c r="N1111">
        <v>541</v>
      </c>
      <c r="O1111">
        <v>46.661411000000001</v>
      </c>
      <c r="P1111">
        <v>2</v>
      </c>
      <c r="Q1111" s="1" t="s">
        <v>569</v>
      </c>
      <c r="R1111" s="93">
        <v>25248.49</v>
      </c>
      <c r="S1111">
        <v>10099.41</v>
      </c>
      <c r="T1111">
        <v>0</v>
      </c>
      <c r="U1111" s="1" t="s">
        <v>979</v>
      </c>
      <c r="V1111" s="1" t="s">
        <v>1266</v>
      </c>
      <c r="W1111">
        <v>25248.502</v>
      </c>
      <c r="X1111">
        <v>0</v>
      </c>
      <c r="Y1111">
        <v>56836</v>
      </c>
    </row>
    <row r="1112" spans="1:25" ht="15" hidden="1" customHeight="1" x14ac:dyDescent="0.25">
      <c r="A1112" s="1" t="s">
        <v>27</v>
      </c>
      <c r="B1112" s="1" t="s">
        <v>58</v>
      </c>
      <c r="C1112" s="1" t="s">
        <v>130</v>
      </c>
      <c r="D1112">
        <v>5272</v>
      </c>
      <c r="E1112" s="1"/>
      <c r="F1112" s="1" t="s">
        <v>270</v>
      </c>
      <c r="G1112" s="1" t="s">
        <v>130</v>
      </c>
      <c r="H1112" s="1" t="s">
        <v>1405</v>
      </c>
      <c r="I1112">
        <v>2011</v>
      </c>
      <c r="J1112" s="93">
        <v>26910.55</v>
      </c>
      <c r="K1112">
        <v>12</v>
      </c>
      <c r="L1112" s="1" t="s">
        <v>413</v>
      </c>
      <c r="M1112">
        <v>0</v>
      </c>
      <c r="N1112">
        <v>541</v>
      </c>
      <c r="O1112">
        <v>49.733043000000002</v>
      </c>
      <c r="P1112">
        <v>2</v>
      </c>
      <c r="Q1112" s="1" t="s">
        <v>569</v>
      </c>
      <c r="R1112" s="93">
        <v>26910.55</v>
      </c>
      <c r="S1112">
        <v>12621.04</v>
      </c>
      <c r="T1112">
        <v>0</v>
      </c>
      <c r="U1112" s="1" t="s">
        <v>979</v>
      </c>
      <c r="V1112" s="1" t="s">
        <v>1266</v>
      </c>
      <c r="W1112">
        <v>26910.531999999999</v>
      </c>
      <c r="X1112">
        <v>0</v>
      </c>
      <c r="Y1112">
        <v>56836</v>
      </c>
    </row>
    <row r="1113" spans="1:25" ht="15" hidden="1" customHeight="1" x14ac:dyDescent="0.25">
      <c r="A1113" s="1" t="s">
        <v>27</v>
      </c>
      <c r="B1113" s="1" t="s">
        <v>58</v>
      </c>
      <c r="C1113" s="1" t="s">
        <v>130</v>
      </c>
      <c r="D1113">
        <v>5272</v>
      </c>
      <c r="E1113" s="1"/>
      <c r="F1113" s="1" t="s">
        <v>270</v>
      </c>
      <c r="G1113" s="1" t="s">
        <v>130</v>
      </c>
      <c r="H1113" s="1" t="s">
        <v>1405</v>
      </c>
      <c r="I1113">
        <v>2010</v>
      </c>
      <c r="J1113" s="93">
        <v>28415.11</v>
      </c>
      <c r="K1113">
        <v>12</v>
      </c>
      <c r="L1113" s="1" t="s">
        <v>413</v>
      </c>
      <c r="M1113">
        <v>0</v>
      </c>
      <c r="N1113">
        <v>541</v>
      </c>
      <c r="O1113">
        <v>52.513601000000001</v>
      </c>
      <c r="P1113">
        <v>2</v>
      </c>
      <c r="Q1113" s="1" t="s">
        <v>569</v>
      </c>
      <c r="R1113" s="93">
        <v>28415.11</v>
      </c>
      <c r="S1113">
        <v>13326.67</v>
      </c>
      <c r="T1113">
        <v>0</v>
      </c>
      <c r="U1113" s="1" t="s">
        <v>979</v>
      </c>
      <c r="V1113" s="1" t="s">
        <v>1266</v>
      </c>
      <c r="W1113">
        <v>28415.095000000001</v>
      </c>
      <c r="X1113">
        <v>0</v>
      </c>
      <c r="Y1113">
        <v>56836</v>
      </c>
    </row>
    <row r="1114" spans="1:25" ht="15" hidden="1" customHeight="1" x14ac:dyDescent="0.25">
      <c r="A1114" s="1" t="s">
        <v>27</v>
      </c>
      <c r="B1114" s="1" t="s">
        <v>58</v>
      </c>
      <c r="C1114" s="1" t="s">
        <v>130</v>
      </c>
      <c r="D1114">
        <v>5272</v>
      </c>
      <c r="E1114" s="1"/>
      <c r="F1114" s="1" t="s">
        <v>270</v>
      </c>
      <c r="G1114" s="1" t="s">
        <v>130</v>
      </c>
      <c r="H1114" s="1" t="s">
        <v>1405</v>
      </c>
      <c r="I1114">
        <v>2009</v>
      </c>
      <c r="J1114" s="93">
        <v>29909.25</v>
      </c>
      <c r="K1114">
        <v>12</v>
      </c>
      <c r="L1114" s="1" t="s">
        <v>413</v>
      </c>
      <c r="M1114">
        <v>0</v>
      </c>
      <c r="N1114">
        <v>541</v>
      </c>
      <c r="O1114">
        <v>55.274901999999997</v>
      </c>
      <c r="P1114">
        <v>2</v>
      </c>
      <c r="Q1114" s="1" t="s">
        <v>569</v>
      </c>
      <c r="R1114" s="93">
        <v>29909.25</v>
      </c>
      <c r="S1114">
        <v>14027.46</v>
      </c>
      <c r="T1114">
        <v>0</v>
      </c>
      <c r="U1114" s="1" t="s">
        <v>979</v>
      </c>
      <c r="V1114" s="1" t="s">
        <v>1266</v>
      </c>
      <c r="W1114">
        <v>29909.274000000001</v>
      </c>
      <c r="X1114">
        <v>0</v>
      </c>
      <c r="Y1114">
        <v>56836</v>
      </c>
    </row>
    <row r="1115" spans="1:25" ht="15" hidden="1" customHeight="1" x14ac:dyDescent="0.25">
      <c r="A1115" s="1" t="s">
        <v>27</v>
      </c>
      <c r="B1115" s="1" t="s">
        <v>58</v>
      </c>
      <c r="C1115" s="1" t="s">
        <v>130</v>
      </c>
      <c r="D1115">
        <v>5272</v>
      </c>
      <c r="E1115" s="1"/>
      <c r="F1115" s="1" t="s">
        <v>270</v>
      </c>
      <c r="G1115" s="1" t="s">
        <v>130</v>
      </c>
      <c r="H1115" s="1" t="s">
        <v>1405</v>
      </c>
      <c r="I1115">
        <v>2008</v>
      </c>
      <c r="J1115" s="93">
        <v>29314.07</v>
      </c>
      <c r="K1115">
        <v>12</v>
      </c>
      <c r="L1115" s="1" t="s">
        <v>413</v>
      </c>
      <c r="M1115">
        <v>0</v>
      </c>
      <c r="N1115">
        <v>541</v>
      </c>
      <c r="O1115">
        <v>54.174957999999997</v>
      </c>
      <c r="P1115">
        <v>2</v>
      </c>
      <c r="Q1115" s="1" t="s">
        <v>569</v>
      </c>
      <c r="R1115" s="93">
        <v>29314.07</v>
      </c>
      <c r="S1115">
        <v>13748.29</v>
      </c>
      <c r="T1115">
        <v>0</v>
      </c>
      <c r="U1115" s="1" t="s">
        <v>979</v>
      </c>
      <c r="V1115" s="1" t="s">
        <v>1266</v>
      </c>
      <c r="W1115">
        <v>29314.066999999999</v>
      </c>
      <c r="X1115">
        <v>0</v>
      </c>
      <c r="Y1115">
        <v>56836</v>
      </c>
    </row>
    <row r="1116" spans="1:25" ht="15" hidden="1" customHeight="1" x14ac:dyDescent="0.25">
      <c r="A1116" s="1" t="s">
        <v>27</v>
      </c>
      <c r="B1116" s="1"/>
      <c r="C1116" s="1" t="s">
        <v>131</v>
      </c>
      <c r="D1116">
        <v>9952</v>
      </c>
      <c r="E1116" s="1"/>
      <c r="F1116" s="1" t="s">
        <v>271</v>
      </c>
      <c r="G1116" s="1" t="s">
        <v>271</v>
      </c>
      <c r="H1116" s="1" t="s">
        <v>1405</v>
      </c>
      <c r="I1116">
        <v>2015</v>
      </c>
      <c r="J1116" s="93">
        <v>11484</v>
      </c>
      <c r="K1116">
        <v>5</v>
      </c>
      <c r="L1116" s="1" t="s">
        <v>405</v>
      </c>
      <c r="M1116">
        <v>0</v>
      </c>
      <c r="N1116">
        <v>473</v>
      </c>
      <c r="O1116">
        <v>9.4862179999999992</v>
      </c>
      <c r="P1116">
        <v>2</v>
      </c>
      <c r="Q1116" s="1" t="s">
        <v>569</v>
      </c>
      <c r="R1116" s="93">
        <v>4487.93</v>
      </c>
      <c r="S1116">
        <v>1346.38</v>
      </c>
      <c r="T1116">
        <v>0</v>
      </c>
      <c r="U1116" s="1" t="s">
        <v>980</v>
      </c>
      <c r="V1116" s="1" t="s">
        <v>1267</v>
      </c>
      <c r="W1116">
        <v>4487.9219999999996</v>
      </c>
      <c r="X1116">
        <v>0</v>
      </c>
      <c r="Y1116">
        <v>76304</v>
      </c>
    </row>
    <row r="1117" spans="1:25" ht="15" hidden="1" customHeight="1" x14ac:dyDescent="0.25">
      <c r="A1117" s="1" t="s">
        <v>27</v>
      </c>
      <c r="B1117" s="1"/>
      <c r="C1117" s="1" t="s">
        <v>136</v>
      </c>
      <c r="D1117">
        <v>10056</v>
      </c>
      <c r="E1117" s="1"/>
      <c r="F1117" s="1" t="s">
        <v>136</v>
      </c>
      <c r="G1117" s="1" t="s">
        <v>136</v>
      </c>
      <c r="H1117" s="1" t="s">
        <v>1405</v>
      </c>
      <c r="I1117">
        <v>2014</v>
      </c>
      <c r="J1117" s="93">
        <v>29030.31</v>
      </c>
      <c r="K1117">
        <v>12</v>
      </c>
      <c r="L1117" s="1"/>
      <c r="M1117">
        <v>0</v>
      </c>
      <c r="N1117">
        <v>836</v>
      </c>
      <c r="O1117">
        <v>34.721097</v>
      </c>
      <c r="P1117">
        <v>2</v>
      </c>
      <c r="Q1117" s="1" t="s">
        <v>569</v>
      </c>
      <c r="R1117" s="93">
        <v>29030.31</v>
      </c>
      <c r="S1117">
        <v>8709.09</v>
      </c>
      <c r="T1117">
        <v>0</v>
      </c>
      <c r="U1117" s="1" t="s">
        <v>986</v>
      </c>
      <c r="V1117" s="1" t="s">
        <v>1272</v>
      </c>
      <c r="W1117">
        <v>29030.326000000001</v>
      </c>
      <c r="X1117">
        <v>0</v>
      </c>
      <c r="Y1117">
        <v>90613</v>
      </c>
    </row>
    <row r="1118" spans="1:25" ht="15" hidden="1" customHeight="1" x14ac:dyDescent="0.25">
      <c r="A1118" s="1" t="s">
        <v>27</v>
      </c>
      <c r="B1118" s="1"/>
      <c r="C1118" s="1" t="s">
        <v>131</v>
      </c>
      <c r="D1118">
        <v>9952</v>
      </c>
      <c r="E1118" s="1"/>
      <c r="F1118" s="1" t="s">
        <v>271</v>
      </c>
      <c r="G1118" s="1" t="s">
        <v>271</v>
      </c>
      <c r="H1118" s="1" t="s">
        <v>1405</v>
      </c>
      <c r="I1118">
        <v>2013</v>
      </c>
      <c r="J1118" s="93">
        <v>10375.9</v>
      </c>
      <c r="K1118">
        <v>12</v>
      </c>
      <c r="L1118" s="1" t="s">
        <v>405</v>
      </c>
      <c r="M1118">
        <v>0</v>
      </c>
      <c r="N1118">
        <v>473</v>
      </c>
      <c r="O1118">
        <v>21.931726000000001</v>
      </c>
      <c r="P1118">
        <v>2</v>
      </c>
      <c r="Q1118" s="1" t="s">
        <v>569</v>
      </c>
      <c r="R1118" s="93">
        <v>10375.9</v>
      </c>
      <c r="S1118">
        <v>3112.76</v>
      </c>
      <c r="T1118">
        <v>0</v>
      </c>
      <c r="U1118" s="1" t="s">
        <v>980</v>
      </c>
      <c r="V1118" s="1" t="s">
        <v>1267</v>
      </c>
      <c r="W1118">
        <v>10375.894</v>
      </c>
      <c r="X1118">
        <v>0</v>
      </c>
      <c r="Y1118">
        <v>76304</v>
      </c>
    </row>
    <row r="1119" spans="1:25" ht="15" hidden="1" customHeight="1" x14ac:dyDescent="0.25">
      <c r="A1119" s="1" t="s">
        <v>27</v>
      </c>
      <c r="B1119" s="1"/>
      <c r="C1119" s="1" t="s">
        <v>131</v>
      </c>
      <c r="D1119">
        <v>9952</v>
      </c>
      <c r="E1119" s="1"/>
      <c r="F1119" s="1" t="s">
        <v>271</v>
      </c>
      <c r="G1119" s="1" t="s">
        <v>271</v>
      </c>
      <c r="H1119" s="1" t="s">
        <v>1405</v>
      </c>
      <c r="I1119">
        <v>2012</v>
      </c>
      <c r="J1119" s="93">
        <v>10323.9</v>
      </c>
      <c r="K1119">
        <v>12</v>
      </c>
      <c r="L1119" s="1" t="s">
        <v>405</v>
      </c>
      <c r="M1119">
        <v>0</v>
      </c>
      <c r="N1119">
        <v>473</v>
      </c>
      <c r="O1119">
        <v>21.821812999999999</v>
      </c>
      <c r="P1119">
        <v>2</v>
      </c>
      <c r="Q1119" s="1" t="s">
        <v>569</v>
      </c>
      <c r="R1119" s="93">
        <v>10323.9</v>
      </c>
      <c r="S1119">
        <v>4129.54</v>
      </c>
      <c r="T1119">
        <v>0</v>
      </c>
      <c r="U1119" s="1" t="s">
        <v>980</v>
      </c>
      <c r="V1119" s="1" t="s">
        <v>1267</v>
      </c>
      <c r="W1119">
        <v>10323.885</v>
      </c>
      <c r="X1119">
        <v>0</v>
      </c>
      <c r="Y1119">
        <v>76304</v>
      </c>
    </row>
    <row r="1120" spans="1:25" ht="15" hidden="1" customHeight="1" x14ac:dyDescent="0.25">
      <c r="A1120" s="1" t="s">
        <v>27</v>
      </c>
      <c r="B1120" s="1"/>
      <c r="C1120" s="1" t="s">
        <v>131</v>
      </c>
      <c r="D1120">
        <v>9952</v>
      </c>
      <c r="E1120" s="1"/>
      <c r="F1120" s="1" t="s">
        <v>271</v>
      </c>
      <c r="G1120" s="1" t="s">
        <v>271</v>
      </c>
      <c r="H1120" s="1" t="s">
        <v>1405</v>
      </c>
      <c r="I1120">
        <v>2011</v>
      </c>
      <c r="J1120" s="93">
        <v>10788.5</v>
      </c>
      <c r="K1120">
        <v>12</v>
      </c>
      <c r="L1120" s="1" t="s">
        <v>405</v>
      </c>
      <c r="M1120">
        <v>0</v>
      </c>
      <c r="N1120">
        <v>473</v>
      </c>
      <c r="O1120">
        <v>22.803846</v>
      </c>
      <c r="P1120">
        <v>2</v>
      </c>
      <c r="Q1120" s="1" t="s">
        <v>569</v>
      </c>
      <c r="R1120" s="93">
        <v>10788.5</v>
      </c>
      <c r="S1120">
        <v>5059.8100000000004</v>
      </c>
      <c r="T1120">
        <v>0</v>
      </c>
      <c r="U1120" s="1" t="s">
        <v>980</v>
      </c>
      <c r="V1120" s="1" t="s">
        <v>1267</v>
      </c>
      <c r="W1120">
        <v>10788.512000000001</v>
      </c>
      <c r="X1120">
        <v>0</v>
      </c>
      <c r="Y1120">
        <v>76304</v>
      </c>
    </row>
    <row r="1121" spans="1:25" ht="15" hidden="1" customHeight="1" x14ac:dyDescent="0.25">
      <c r="A1121" s="1" t="s">
        <v>27</v>
      </c>
      <c r="B1121" s="1"/>
      <c r="C1121" s="1" t="s">
        <v>131</v>
      </c>
      <c r="D1121">
        <v>9952</v>
      </c>
      <c r="E1121" s="1"/>
      <c r="F1121" s="1" t="s">
        <v>271</v>
      </c>
      <c r="G1121" s="1" t="s">
        <v>271</v>
      </c>
      <c r="H1121" s="1" t="s">
        <v>1405</v>
      </c>
      <c r="I1121">
        <v>2010</v>
      </c>
      <c r="J1121" s="93">
        <v>12031.31</v>
      </c>
      <c r="K1121">
        <v>5</v>
      </c>
      <c r="L1121" s="1" t="s">
        <v>405</v>
      </c>
      <c r="M1121">
        <v>0</v>
      </c>
      <c r="N1121">
        <v>473</v>
      </c>
      <c r="O1121">
        <v>25.430796000000001</v>
      </c>
      <c r="P1121">
        <v>2</v>
      </c>
      <c r="Q1121" s="1" t="s">
        <v>569</v>
      </c>
      <c r="R1121" s="93">
        <v>12031.31</v>
      </c>
      <c r="S1121">
        <v>5642.68</v>
      </c>
      <c r="T1121">
        <v>0</v>
      </c>
      <c r="U1121" s="1" t="s">
        <v>980</v>
      </c>
      <c r="V1121" s="1" t="s">
        <v>1267</v>
      </c>
      <c r="W1121">
        <v>12031.316339999999</v>
      </c>
      <c r="X1121">
        <v>0</v>
      </c>
      <c r="Y1121">
        <v>76304</v>
      </c>
    </row>
    <row r="1122" spans="1:25" ht="15" hidden="1" customHeight="1" x14ac:dyDescent="0.25">
      <c r="A1122" s="1" t="s">
        <v>27</v>
      </c>
      <c r="B1122" s="1"/>
      <c r="C1122" s="1" t="s">
        <v>131</v>
      </c>
      <c r="D1122">
        <v>9952</v>
      </c>
      <c r="E1122" s="1"/>
      <c r="F1122" s="1" t="s">
        <v>271</v>
      </c>
      <c r="G1122" s="1" t="s">
        <v>271</v>
      </c>
      <c r="H1122" s="1" t="s">
        <v>1405</v>
      </c>
      <c r="I1122">
        <v>2009</v>
      </c>
      <c r="J1122" s="93">
        <v>12804.3</v>
      </c>
      <c r="K1122">
        <v>7</v>
      </c>
      <c r="L1122" s="1" t="s">
        <v>405</v>
      </c>
      <c r="M1122">
        <v>0</v>
      </c>
      <c r="N1122">
        <v>473</v>
      </c>
      <c r="O1122">
        <v>27.064679000000002</v>
      </c>
      <c r="P1122">
        <v>2</v>
      </c>
      <c r="Q1122" s="1" t="s">
        <v>569</v>
      </c>
      <c r="R1122" s="93">
        <v>12804.3</v>
      </c>
      <c r="S1122">
        <v>6005.2</v>
      </c>
      <c r="T1122">
        <v>0</v>
      </c>
      <c r="U1122" s="1" t="s">
        <v>980</v>
      </c>
      <c r="V1122" s="1" t="s">
        <v>1267</v>
      </c>
      <c r="W1122">
        <v>12804.29473</v>
      </c>
      <c r="X1122">
        <v>0</v>
      </c>
      <c r="Y1122">
        <v>76304</v>
      </c>
    </row>
    <row r="1123" spans="1:25" ht="15" hidden="1" customHeight="1" x14ac:dyDescent="0.25">
      <c r="A1123" s="1" t="s">
        <v>27</v>
      </c>
      <c r="B1123" s="1"/>
      <c r="C1123" s="1" t="s">
        <v>131</v>
      </c>
      <c r="D1123">
        <v>9952</v>
      </c>
      <c r="E1123" s="1"/>
      <c r="F1123" s="1" t="s">
        <v>271</v>
      </c>
      <c r="G1123" s="1" t="s">
        <v>271</v>
      </c>
      <c r="H1123" s="1" t="s">
        <v>1405</v>
      </c>
      <c r="I1123">
        <v>2008</v>
      </c>
      <c r="J1123" s="93">
        <v>12969.62</v>
      </c>
      <c r="K1123">
        <v>3</v>
      </c>
      <c r="L1123" s="1" t="s">
        <v>405</v>
      </c>
      <c r="M1123">
        <v>0</v>
      </c>
      <c r="N1123">
        <v>473</v>
      </c>
      <c r="O1123">
        <v>27.414118999999999</v>
      </c>
      <c r="P1123">
        <v>2</v>
      </c>
      <c r="Q1123" s="1" t="s">
        <v>569</v>
      </c>
      <c r="R1123" s="93">
        <v>12969.62</v>
      </c>
      <c r="S1123">
        <v>6082.76</v>
      </c>
      <c r="T1123">
        <v>0</v>
      </c>
      <c r="U1123" s="1" t="s">
        <v>980</v>
      </c>
      <c r="V1123" s="1" t="s">
        <v>1267</v>
      </c>
      <c r="W1123">
        <v>12969.6198</v>
      </c>
      <c r="X1123">
        <v>0</v>
      </c>
      <c r="Y1123">
        <v>76304</v>
      </c>
    </row>
    <row r="1124" spans="1:25" ht="15" hidden="1" customHeight="1" x14ac:dyDescent="0.25">
      <c r="A1124" s="1" t="s">
        <v>27</v>
      </c>
      <c r="B1124" s="1" t="s">
        <v>59</v>
      </c>
      <c r="C1124" s="1" t="s">
        <v>132</v>
      </c>
      <c r="D1124">
        <v>5277</v>
      </c>
      <c r="E1124" s="1"/>
      <c r="F1124" s="1" t="s">
        <v>272</v>
      </c>
      <c r="G1124" s="1" t="s">
        <v>132</v>
      </c>
      <c r="H1124" s="1" t="s">
        <v>1405</v>
      </c>
      <c r="I1124">
        <v>2015</v>
      </c>
      <c r="J1124" s="93">
        <v>21968</v>
      </c>
      <c r="K1124">
        <v>5</v>
      </c>
      <c r="L1124" s="1" t="s">
        <v>404</v>
      </c>
      <c r="M1124">
        <v>0</v>
      </c>
      <c r="N1124">
        <v>585</v>
      </c>
      <c r="O1124">
        <v>15.088616999999999</v>
      </c>
      <c r="P1124">
        <v>2</v>
      </c>
      <c r="Q1124" s="1" t="s">
        <v>569</v>
      </c>
      <c r="R1124" s="93">
        <v>8828.35</v>
      </c>
      <c r="S1124">
        <v>3531.34</v>
      </c>
      <c r="T1124">
        <v>0</v>
      </c>
      <c r="U1124" s="1" t="s">
        <v>981</v>
      </c>
      <c r="V1124" s="1" t="s">
        <v>1268</v>
      </c>
      <c r="W1124">
        <v>8828.3529999999992</v>
      </c>
      <c r="X1124">
        <v>0</v>
      </c>
      <c r="Y1124">
        <v>56867</v>
      </c>
    </row>
    <row r="1125" spans="1:25" ht="15" hidden="1" customHeight="1" x14ac:dyDescent="0.25">
      <c r="A1125" s="1" t="s">
        <v>27</v>
      </c>
      <c r="B1125" s="1" t="s">
        <v>59</v>
      </c>
      <c r="C1125" s="1" t="s">
        <v>132</v>
      </c>
      <c r="D1125">
        <v>5277</v>
      </c>
      <c r="E1125" s="1"/>
      <c r="F1125" s="1" t="s">
        <v>272</v>
      </c>
      <c r="G1125" s="1" t="s">
        <v>132</v>
      </c>
      <c r="H1125" s="1" t="s">
        <v>1405</v>
      </c>
      <c r="I1125">
        <v>2013</v>
      </c>
      <c r="J1125" s="93">
        <v>31097.33</v>
      </c>
      <c r="K1125">
        <v>12</v>
      </c>
      <c r="L1125" s="1" t="s">
        <v>404</v>
      </c>
      <c r="M1125">
        <v>0</v>
      </c>
      <c r="N1125">
        <v>585</v>
      </c>
      <c r="O1125">
        <v>53.148743000000003</v>
      </c>
      <c r="P1125">
        <v>2</v>
      </c>
      <c r="Q1125" s="1" t="s">
        <v>569</v>
      </c>
      <c r="R1125" s="93">
        <v>31097.33</v>
      </c>
      <c r="S1125">
        <v>12438.93</v>
      </c>
      <c r="T1125">
        <v>0</v>
      </c>
      <c r="U1125" s="1" t="s">
        <v>981</v>
      </c>
      <c r="V1125" s="1" t="s">
        <v>1268</v>
      </c>
      <c r="W1125">
        <v>31097.335999999999</v>
      </c>
      <c r="X1125">
        <v>0</v>
      </c>
      <c r="Y1125">
        <v>56867</v>
      </c>
    </row>
    <row r="1126" spans="1:25" ht="15" hidden="1" customHeight="1" x14ac:dyDescent="0.25">
      <c r="A1126" s="1" t="s">
        <v>27</v>
      </c>
      <c r="B1126" s="1" t="s">
        <v>59</v>
      </c>
      <c r="C1126" s="1" t="s">
        <v>132</v>
      </c>
      <c r="D1126">
        <v>5277</v>
      </c>
      <c r="E1126" s="1"/>
      <c r="F1126" s="1" t="s">
        <v>272</v>
      </c>
      <c r="G1126" s="1" t="s">
        <v>132</v>
      </c>
      <c r="H1126" s="1" t="s">
        <v>1405</v>
      </c>
      <c r="I1126">
        <v>2012</v>
      </c>
      <c r="J1126" s="93">
        <v>23652.01</v>
      </c>
      <c r="K1126">
        <v>12</v>
      </c>
      <c r="L1126" s="1" t="s">
        <v>404</v>
      </c>
      <c r="M1126">
        <v>0</v>
      </c>
      <c r="N1126">
        <v>585</v>
      </c>
      <c r="O1126">
        <v>40.423876</v>
      </c>
      <c r="P1126">
        <v>2</v>
      </c>
      <c r="Q1126" s="1" t="s">
        <v>569</v>
      </c>
      <c r="R1126" s="93">
        <v>23652.01</v>
      </c>
      <c r="S1126">
        <v>9460.7900000000009</v>
      </c>
      <c r="T1126">
        <v>0</v>
      </c>
      <c r="U1126" s="1" t="s">
        <v>981</v>
      </c>
      <c r="V1126" s="1" t="s">
        <v>1268</v>
      </c>
      <c r="W1126">
        <v>23652.01</v>
      </c>
      <c r="X1126">
        <v>0</v>
      </c>
      <c r="Y1126">
        <v>56867</v>
      </c>
    </row>
    <row r="1127" spans="1:25" ht="15" hidden="1" customHeight="1" x14ac:dyDescent="0.25">
      <c r="A1127" s="1" t="s">
        <v>27</v>
      </c>
      <c r="B1127" s="1" t="s">
        <v>59</v>
      </c>
      <c r="C1127" s="1" t="s">
        <v>132</v>
      </c>
      <c r="D1127">
        <v>5277</v>
      </c>
      <c r="E1127" s="1"/>
      <c r="F1127" s="1" t="s">
        <v>272</v>
      </c>
      <c r="G1127" s="1" t="s">
        <v>132</v>
      </c>
      <c r="H1127" s="1" t="s">
        <v>1405</v>
      </c>
      <c r="I1127">
        <v>2011</v>
      </c>
      <c r="J1127" s="93">
        <v>25426.71</v>
      </c>
      <c r="K1127">
        <v>12</v>
      </c>
      <c r="L1127" s="1" t="s">
        <v>404</v>
      </c>
      <c r="M1127">
        <v>0</v>
      </c>
      <c r="N1127">
        <v>585</v>
      </c>
      <c r="O1127">
        <v>43.457031999999998</v>
      </c>
      <c r="P1127">
        <v>2</v>
      </c>
      <c r="Q1127" s="1" t="s">
        <v>569</v>
      </c>
      <c r="R1127" s="93">
        <v>25426.71</v>
      </c>
      <c r="S1127">
        <v>11925.09</v>
      </c>
      <c r="T1127">
        <v>0</v>
      </c>
      <c r="U1127" s="1" t="s">
        <v>981</v>
      </c>
      <c r="V1127" s="1" t="s">
        <v>1268</v>
      </c>
      <c r="W1127">
        <v>25426.698</v>
      </c>
      <c r="X1127">
        <v>0</v>
      </c>
      <c r="Y1127">
        <v>56867</v>
      </c>
    </row>
    <row r="1128" spans="1:25" ht="15" hidden="1" customHeight="1" x14ac:dyDescent="0.25">
      <c r="A1128" s="1" t="s">
        <v>27</v>
      </c>
      <c r="B1128" s="1" t="s">
        <v>59</v>
      </c>
      <c r="C1128" s="1" t="s">
        <v>132</v>
      </c>
      <c r="D1128">
        <v>5277</v>
      </c>
      <c r="E1128" s="1"/>
      <c r="F1128" s="1" t="s">
        <v>272</v>
      </c>
      <c r="G1128" s="1" t="s">
        <v>132</v>
      </c>
      <c r="H1128" s="1" t="s">
        <v>1405</v>
      </c>
      <c r="I1128">
        <v>2010</v>
      </c>
      <c r="J1128" s="93">
        <v>31330.09</v>
      </c>
      <c r="K1128">
        <v>12</v>
      </c>
      <c r="L1128" s="1" t="s">
        <v>404</v>
      </c>
      <c r="M1128">
        <v>0</v>
      </c>
      <c r="N1128">
        <v>585</v>
      </c>
      <c r="O1128">
        <v>53.546556000000002</v>
      </c>
      <c r="P1128">
        <v>2</v>
      </c>
      <c r="Q1128" s="1" t="s">
        <v>569</v>
      </c>
      <c r="R1128" s="93">
        <v>31330.09</v>
      </c>
      <c r="S1128">
        <v>14693.82</v>
      </c>
      <c r="T1128">
        <v>0</v>
      </c>
      <c r="U1128" s="1" t="s">
        <v>981</v>
      </c>
      <c r="V1128" s="1" t="s">
        <v>1268</v>
      </c>
      <c r="W1128">
        <v>31330.082999999999</v>
      </c>
      <c r="X1128">
        <v>0</v>
      </c>
      <c r="Y1128">
        <v>56867</v>
      </c>
    </row>
    <row r="1129" spans="1:25" ht="15" hidden="1" customHeight="1" x14ac:dyDescent="0.25">
      <c r="A1129" s="1" t="s">
        <v>27</v>
      </c>
      <c r="B1129" s="1" t="s">
        <v>59</v>
      </c>
      <c r="C1129" s="1" t="s">
        <v>132</v>
      </c>
      <c r="D1129">
        <v>5277</v>
      </c>
      <c r="E1129" s="1"/>
      <c r="F1129" s="1" t="s">
        <v>272</v>
      </c>
      <c r="G1129" s="1" t="s">
        <v>132</v>
      </c>
      <c r="H1129" s="1" t="s">
        <v>1405</v>
      </c>
      <c r="I1129">
        <v>2009</v>
      </c>
      <c r="J1129" s="93">
        <v>27805.31</v>
      </c>
      <c r="K1129">
        <v>12</v>
      </c>
      <c r="L1129" s="1" t="s">
        <v>404</v>
      </c>
      <c r="M1129">
        <v>0</v>
      </c>
      <c r="N1129">
        <v>585</v>
      </c>
      <c r="O1129">
        <v>47.522320000000001</v>
      </c>
      <c r="P1129">
        <v>2</v>
      </c>
      <c r="Q1129" s="1" t="s">
        <v>569</v>
      </c>
      <c r="R1129" s="93">
        <v>27805.31</v>
      </c>
      <c r="S1129">
        <v>13040.7</v>
      </c>
      <c r="T1129">
        <v>0</v>
      </c>
      <c r="U1129" s="1" t="s">
        <v>981</v>
      </c>
      <c r="V1129" s="1" t="s">
        <v>1268</v>
      </c>
      <c r="W1129">
        <v>27805.31</v>
      </c>
      <c r="X1129">
        <v>0</v>
      </c>
      <c r="Y1129">
        <v>56867</v>
      </c>
    </row>
    <row r="1130" spans="1:25" ht="15" hidden="1" customHeight="1" x14ac:dyDescent="0.25">
      <c r="A1130" s="1" t="s">
        <v>27</v>
      </c>
      <c r="B1130" s="1" t="s">
        <v>59</v>
      </c>
      <c r="C1130" s="1" t="s">
        <v>132</v>
      </c>
      <c r="D1130">
        <v>5277</v>
      </c>
      <c r="E1130" s="1"/>
      <c r="F1130" s="1" t="s">
        <v>272</v>
      </c>
      <c r="G1130" s="1" t="s">
        <v>132</v>
      </c>
      <c r="H1130" s="1" t="s">
        <v>1405</v>
      </c>
      <c r="I1130">
        <v>2008</v>
      </c>
      <c r="J1130" s="93">
        <v>29113.47</v>
      </c>
      <c r="K1130">
        <v>12</v>
      </c>
      <c r="L1130" s="1" t="s">
        <v>404</v>
      </c>
      <c r="M1130">
        <v>0</v>
      </c>
      <c r="N1130">
        <v>585</v>
      </c>
      <c r="O1130">
        <v>49.758108999999997</v>
      </c>
      <c r="P1130">
        <v>2</v>
      </c>
      <c r="Q1130" s="1" t="s">
        <v>569</v>
      </c>
      <c r="R1130" s="93">
        <v>29113.47</v>
      </c>
      <c r="S1130">
        <v>13654.21</v>
      </c>
      <c r="T1130">
        <v>0</v>
      </c>
      <c r="U1130" s="1" t="s">
        <v>981</v>
      </c>
      <c r="V1130" s="1" t="s">
        <v>1268</v>
      </c>
      <c r="W1130">
        <v>29113.467000000001</v>
      </c>
      <c r="X1130">
        <v>0</v>
      </c>
      <c r="Y1130">
        <v>56867</v>
      </c>
    </row>
    <row r="1131" spans="1:25" ht="15" hidden="1" customHeight="1" x14ac:dyDescent="0.25">
      <c r="A1131" s="1" t="s">
        <v>27</v>
      </c>
      <c r="B1131" s="1" t="s">
        <v>61</v>
      </c>
      <c r="C1131" s="1" t="s">
        <v>134</v>
      </c>
      <c r="D1131">
        <v>5247</v>
      </c>
      <c r="E1131" s="1"/>
      <c r="F1131" s="1" t="s">
        <v>274</v>
      </c>
      <c r="G1131" s="1" t="s">
        <v>274</v>
      </c>
      <c r="H1131" s="1" t="s">
        <v>1405</v>
      </c>
      <c r="I1131">
        <v>2015</v>
      </c>
      <c r="J1131" s="93">
        <v>9977</v>
      </c>
      <c r="K1131">
        <v>5</v>
      </c>
      <c r="L1131" s="1" t="s">
        <v>404</v>
      </c>
      <c r="M1131">
        <v>0</v>
      </c>
      <c r="N1131">
        <v>284</v>
      </c>
      <c r="O1131">
        <v>13.734669999999999</v>
      </c>
      <c r="P1131">
        <v>2</v>
      </c>
      <c r="Q1131" s="1" t="s">
        <v>569</v>
      </c>
      <c r="R1131" s="93">
        <v>3902.02</v>
      </c>
      <c r="S1131">
        <v>1560.81</v>
      </c>
      <c r="T1131">
        <v>0</v>
      </c>
      <c r="U1131" s="1" t="s">
        <v>984</v>
      </c>
      <c r="V1131" s="1" t="s">
        <v>1270</v>
      </c>
      <c r="W1131">
        <v>3902.0239999999999</v>
      </c>
      <c r="X1131">
        <v>0</v>
      </c>
      <c r="Y1131">
        <v>56636</v>
      </c>
    </row>
    <row r="1132" spans="1:25" ht="15" hidden="1" customHeight="1" x14ac:dyDescent="0.25">
      <c r="A1132" s="1" t="s">
        <v>27</v>
      </c>
      <c r="B1132" s="1" t="s">
        <v>61</v>
      </c>
      <c r="C1132" s="1" t="s">
        <v>134</v>
      </c>
      <c r="D1132">
        <v>5247</v>
      </c>
      <c r="E1132" s="1"/>
      <c r="F1132" s="1" t="s">
        <v>274</v>
      </c>
      <c r="G1132" s="1" t="s">
        <v>274</v>
      </c>
      <c r="H1132" s="1" t="s">
        <v>1405</v>
      </c>
      <c r="I1132">
        <v>2013</v>
      </c>
      <c r="J1132" s="93">
        <v>9511.19</v>
      </c>
      <c r="K1132">
        <v>12</v>
      </c>
      <c r="L1132" s="1" t="s">
        <v>404</v>
      </c>
      <c r="M1132">
        <v>0</v>
      </c>
      <c r="N1132">
        <v>284</v>
      </c>
      <c r="O1132">
        <v>33.478316999999997</v>
      </c>
      <c r="P1132">
        <v>2</v>
      </c>
      <c r="Q1132" s="1" t="s">
        <v>569</v>
      </c>
      <c r="R1132" s="93">
        <v>9511.19</v>
      </c>
      <c r="S1132">
        <v>3804.45</v>
      </c>
      <c r="T1132">
        <v>0</v>
      </c>
      <c r="U1132" s="1" t="s">
        <v>984</v>
      </c>
      <c r="V1132" s="1" t="s">
        <v>1270</v>
      </c>
      <c r="W1132">
        <v>9511.18</v>
      </c>
      <c r="X1132">
        <v>0</v>
      </c>
      <c r="Y1132">
        <v>56636</v>
      </c>
    </row>
    <row r="1133" spans="1:25" ht="15" hidden="1" customHeight="1" x14ac:dyDescent="0.25">
      <c r="A1133" s="1" t="s">
        <v>27</v>
      </c>
      <c r="B1133" s="1" t="s">
        <v>61</v>
      </c>
      <c r="C1133" s="1" t="s">
        <v>134</v>
      </c>
      <c r="D1133">
        <v>5247</v>
      </c>
      <c r="E1133" s="1"/>
      <c r="F1133" s="1" t="s">
        <v>274</v>
      </c>
      <c r="G1133" s="1" t="s">
        <v>274</v>
      </c>
      <c r="H1133" s="1" t="s">
        <v>1405</v>
      </c>
      <c r="I1133">
        <v>2012</v>
      </c>
      <c r="J1133" s="93">
        <v>10187.25</v>
      </c>
      <c r="K1133">
        <v>12</v>
      </c>
      <c r="L1133" s="1" t="s">
        <v>404</v>
      </c>
      <c r="M1133">
        <v>0</v>
      </c>
      <c r="N1133">
        <v>284</v>
      </c>
      <c r="O1133">
        <v>35.857971999999997</v>
      </c>
      <c r="P1133">
        <v>2</v>
      </c>
      <c r="Q1133" s="1" t="s">
        <v>569</v>
      </c>
      <c r="R1133" s="93">
        <v>10187.25</v>
      </c>
      <c r="S1133">
        <v>4074.89</v>
      </c>
      <c r="T1133">
        <v>0</v>
      </c>
      <c r="U1133" s="1" t="s">
        <v>984</v>
      </c>
      <c r="V1133" s="1" t="s">
        <v>1270</v>
      </c>
      <c r="W1133">
        <v>10187.248</v>
      </c>
      <c r="X1133">
        <v>0</v>
      </c>
      <c r="Y1133">
        <v>56636</v>
      </c>
    </row>
    <row r="1134" spans="1:25" ht="15" hidden="1" customHeight="1" x14ac:dyDescent="0.25">
      <c r="A1134" s="1" t="s">
        <v>27</v>
      </c>
      <c r="B1134" s="1" t="s">
        <v>61</v>
      </c>
      <c r="C1134" s="1" t="s">
        <v>134</v>
      </c>
      <c r="D1134">
        <v>5247</v>
      </c>
      <c r="E1134" s="1"/>
      <c r="F1134" s="1" t="s">
        <v>274</v>
      </c>
      <c r="G1134" s="1" t="s">
        <v>274</v>
      </c>
      <c r="H1134" s="1" t="s">
        <v>1405</v>
      </c>
      <c r="I1134">
        <v>2011</v>
      </c>
      <c r="J1134" s="93">
        <v>12867.66</v>
      </c>
      <c r="K1134">
        <v>12</v>
      </c>
      <c r="L1134" s="1" t="s">
        <v>404</v>
      </c>
      <c r="M1134">
        <v>0</v>
      </c>
      <c r="N1134">
        <v>284</v>
      </c>
      <c r="O1134">
        <v>45.292712999999999</v>
      </c>
      <c r="P1134">
        <v>2</v>
      </c>
      <c r="Q1134" s="1" t="s">
        <v>569</v>
      </c>
      <c r="R1134" s="93">
        <v>12867.66</v>
      </c>
      <c r="S1134">
        <v>6034.93</v>
      </c>
      <c r="T1134">
        <v>0</v>
      </c>
      <c r="U1134" s="1" t="s">
        <v>984</v>
      </c>
      <c r="V1134" s="1" t="s">
        <v>1270</v>
      </c>
      <c r="W1134">
        <v>12867.665999999999</v>
      </c>
      <c r="X1134">
        <v>0</v>
      </c>
      <c r="Y1134">
        <v>56636</v>
      </c>
    </row>
    <row r="1135" spans="1:25" ht="15" hidden="1" customHeight="1" x14ac:dyDescent="0.25">
      <c r="A1135" s="1" t="s">
        <v>27</v>
      </c>
      <c r="B1135" s="1" t="s">
        <v>61</v>
      </c>
      <c r="C1135" s="1" t="s">
        <v>134</v>
      </c>
      <c r="D1135">
        <v>5247</v>
      </c>
      <c r="E1135" s="1"/>
      <c r="F1135" s="1" t="s">
        <v>274</v>
      </c>
      <c r="G1135" s="1" t="s">
        <v>274</v>
      </c>
      <c r="H1135" s="1" t="s">
        <v>1405</v>
      </c>
      <c r="I1135">
        <v>2010</v>
      </c>
      <c r="J1135" s="93">
        <v>11690</v>
      </c>
      <c r="K1135">
        <v>12</v>
      </c>
      <c r="L1135" s="1" t="s">
        <v>404</v>
      </c>
      <c r="M1135">
        <v>0</v>
      </c>
      <c r="N1135">
        <v>284</v>
      </c>
      <c r="O1135">
        <v>41.147483000000001</v>
      </c>
      <c r="P1135">
        <v>2</v>
      </c>
      <c r="Q1135" s="1" t="s">
        <v>569</v>
      </c>
      <c r="R1135" s="93">
        <v>11690</v>
      </c>
      <c r="S1135">
        <v>5482.6</v>
      </c>
      <c r="T1135">
        <v>0</v>
      </c>
      <c r="U1135" s="1" t="s">
        <v>984</v>
      </c>
      <c r="V1135" s="1" t="s">
        <v>1270</v>
      </c>
      <c r="W1135">
        <v>11690.007799999999</v>
      </c>
      <c r="X1135">
        <v>0</v>
      </c>
      <c r="Y1135">
        <v>56636</v>
      </c>
    </row>
    <row r="1136" spans="1:25" ht="15" hidden="1" customHeight="1" x14ac:dyDescent="0.25">
      <c r="A1136" s="1" t="s">
        <v>27</v>
      </c>
      <c r="B1136" s="1" t="s">
        <v>61</v>
      </c>
      <c r="C1136" s="1" t="s">
        <v>134</v>
      </c>
      <c r="D1136">
        <v>5247</v>
      </c>
      <c r="E1136" s="1"/>
      <c r="F1136" s="1" t="s">
        <v>274</v>
      </c>
      <c r="G1136" s="1" t="s">
        <v>274</v>
      </c>
      <c r="H1136" s="1" t="s">
        <v>1405</v>
      </c>
      <c r="I1136">
        <v>2009</v>
      </c>
      <c r="J1136" s="93">
        <v>12166.63</v>
      </c>
      <c r="K1136">
        <v>12</v>
      </c>
      <c r="L1136" s="1" t="s">
        <v>404</v>
      </c>
      <c r="M1136">
        <v>0</v>
      </c>
      <c r="N1136">
        <v>284</v>
      </c>
      <c r="O1136">
        <v>42.825167</v>
      </c>
      <c r="P1136">
        <v>2</v>
      </c>
      <c r="Q1136" s="1" t="s">
        <v>569</v>
      </c>
      <c r="R1136" s="93">
        <v>12166.63</v>
      </c>
      <c r="S1136">
        <v>5706.14</v>
      </c>
      <c r="T1136">
        <v>0</v>
      </c>
      <c r="U1136" s="1" t="s">
        <v>984</v>
      </c>
      <c r="V1136" s="1" t="s">
        <v>1270</v>
      </c>
      <c r="W1136">
        <v>12166.6343</v>
      </c>
      <c r="X1136">
        <v>0</v>
      </c>
      <c r="Y1136">
        <v>56636</v>
      </c>
    </row>
    <row r="1137" spans="1:25" ht="15" hidden="1" customHeight="1" x14ac:dyDescent="0.25">
      <c r="A1137" s="1" t="s">
        <v>27</v>
      </c>
      <c r="B1137" s="1" t="s">
        <v>61</v>
      </c>
      <c r="C1137" s="1" t="s">
        <v>134</v>
      </c>
      <c r="D1137">
        <v>5247</v>
      </c>
      <c r="E1137" s="1"/>
      <c r="F1137" s="1" t="s">
        <v>274</v>
      </c>
      <c r="G1137" s="1" t="s">
        <v>274</v>
      </c>
      <c r="H1137" s="1" t="s">
        <v>1405</v>
      </c>
      <c r="I1137">
        <v>2008</v>
      </c>
      <c r="J1137" s="93">
        <v>11708.72</v>
      </c>
      <c r="K1137">
        <v>12</v>
      </c>
      <c r="L1137" s="1" t="s">
        <v>404</v>
      </c>
      <c r="M1137">
        <v>0</v>
      </c>
      <c r="N1137">
        <v>284</v>
      </c>
      <c r="O1137">
        <v>41.213374999999999</v>
      </c>
      <c r="P1137">
        <v>2</v>
      </c>
      <c r="Q1137" s="1" t="s">
        <v>569</v>
      </c>
      <c r="R1137" s="93">
        <v>11708.72</v>
      </c>
      <c r="S1137">
        <v>5491.39</v>
      </c>
      <c r="T1137">
        <v>0</v>
      </c>
      <c r="U1137" s="1" t="s">
        <v>984</v>
      </c>
      <c r="V1137" s="1" t="s">
        <v>1270</v>
      </c>
      <c r="W1137">
        <v>11708.727999999999</v>
      </c>
      <c r="X1137">
        <v>0</v>
      </c>
      <c r="Y1137">
        <v>56636</v>
      </c>
    </row>
    <row r="1138" spans="1:25" ht="15" hidden="1" customHeight="1" x14ac:dyDescent="0.25">
      <c r="A1138" s="1" t="s">
        <v>27</v>
      </c>
      <c r="B1138" s="1"/>
      <c r="C1138" s="1" t="s">
        <v>135</v>
      </c>
      <c r="D1138">
        <v>10019</v>
      </c>
      <c r="E1138" s="1"/>
      <c r="F1138" s="1" t="s">
        <v>275</v>
      </c>
      <c r="G1138" s="1" t="s">
        <v>135</v>
      </c>
      <c r="H1138" s="1" t="s">
        <v>1405</v>
      </c>
      <c r="I1138">
        <v>2015</v>
      </c>
      <c r="J1138" s="93">
        <v>23428</v>
      </c>
      <c r="K1138">
        <v>5</v>
      </c>
      <c r="L1138" s="1" t="s">
        <v>403</v>
      </c>
      <c r="M1138">
        <v>0</v>
      </c>
      <c r="N1138">
        <v>598</v>
      </c>
      <c r="O1138">
        <v>18.110299000000001</v>
      </c>
      <c r="P1138">
        <v>2</v>
      </c>
      <c r="Q1138" s="1" t="s">
        <v>569</v>
      </c>
      <c r="R1138" s="93">
        <v>10831.77</v>
      </c>
      <c r="S1138">
        <v>3249.53</v>
      </c>
      <c r="T1138">
        <v>0</v>
      </c>
      <c r="U1138" s="1" t="s">
        <v>985</v>
      </c>
      <c r="V1138" s="1" t="s">
        <v>1271</v>
      </c>
      <c r="W1138">
        <v>10831.77</v>
      </c>
      <c r="X1138">
        <v>0</v>
      </c>
      <c r="Y1138">
        <v>76531</v>
      </c>
    </row>
    <row r="1139" spans="1:25" ht="15" hidden="1" customHeight="1" x14ac:dyDescent="0.25">
      <c r="A1139" s="1" t="s">
        <v>27</v>
      </c>
      <c r="B1139" s="1"/>
      <c r="C1139" s="1" t="s">
        <v>135</v>
      </c>
      <c r="D1139">
        <v>10019</v>
      </c>
      <c r="E1139" s="1"/>
      <c r="F1139" s="1" t="s">
        <v>275</v>
      </c>
      <c r="G1139" s="1" t="s">
        <v>135</v>
      </c>
      <c r="H1139" s="1" t="s">
        <v>1405</v>
      </c>
      <c r="I1139">
        <v>2013</v>
      </c>
      <c r="J1139" s="93">
        <v>28552.16</v>
      </c>
      <c r="K1139">
        <v>12</v>
      </c>
      <c r="L1139" s="1" t="s">
        <v>403</v>
      </c>
      <c r="M1139">
        <v>0</v>
      </c>
      <c r="N1139">
        <v>598</v>
      </c>
      <c r="O1139">
        <v>47.738103000000002</v>
      </c>
      <c r="P1139">
        <v>2</v>
      </c>
      <c r="Q1139" s="1" t="s">
        <v>569</v>
      </c>
      <c r="R1139" s="93">
        <v>28552.16</v>
      </c>
      <c r="S1139">
        <v>8565.64</v>
      </c>
      <c r="T1139">
        <v>0</v>
      </c>
      <c r="U1139" s="1" t="s">
        <v>985</v>
      </c>
      <c r="V1139" s="1" t="s">
        <v>1271</v>
      </c>
      <c r="W1139">
        <v>28552.151000000002</v>
      </c>
      <c r="X1139">
        <v>0</v>
      </c>
      <c r="Y1139">
        <v>76531</v>
      </c>
    </row>
    <row r="1140" spans="1:25" ht="15" hidden="1" customHeight="1" x14ac:dyDescent="0.25">
      <c r="A1140" s="1" t="s">
        <v>27</v>
      </c>
      <c r="B1140" s="1"/>
      <c r="C1140" s="1" t="s">
        <v>135</v>
      </c>
      <c r="D1140">
        <v>10019</v>
      </c>
      <c r="E1140" s="1"/>
      <c r="F1140" s="1" t="s">
        <v>275</v>
      </c>
      <c r="G1140" s="1" t="s">
        <v>135</v>
      </c>
      <c r="H1140" s="1" t="s">
        <v>1405</v>
      </c>
      <c r="I1140">
        <v>2012</v>
      </c>
      <c r="J1140" s="93">
        <v>29762.29</v>
      </c>
      <c r="K1140">
        <v>12</v>
      </c>
      <c r="L1140" s="1" t="s">
        <v>403</v>
      </c>
      <c r="M1140">
        <v>0</v>
      </c>
      <c r="N1140">
        <v>598</v>
      </c>
      <c r="O1140">
        <v>49.761394000000003</v>
      </c>
      <c r="P1140">
        <v>2</v>
      </c>
      <c r="Q1140" s="1" t="s">
        <v>569</v>
      </c>
      <c r="R1140" s="93">
        <v>29762.29</v>
      </c>
      <c r="S1140">
        <v>11904.91</v>
      </c>
      <c r="T1140">
        <v>0</v>
      </c>
      <c r="U1140" s="1" t="s">
        <v>985</v>
      </c>
      <c r="V1140" s="1" t="s">
        <v>1271</v>
      </c>
      <c r="W1140">
        <v>29762.277999999998</v>
      </c>
      <c r="X1140">
        <v>0</v>
      </c>
      <c r="Y1140">
        <v>76531</v>
      </c>
    </row>
    <row r="1141" spans="1:25" ht="15" hidden="1" customHeight="1" x14ac:dyDescent="0.25">
      <c r="A1141" s="1" t="s">
        <v>27</v>
      </c>
      <c r="B1141" s="1"/>
      <c r="C1141" s="1" t="s">
        <v>135</v>
      </c>
      <c r="D1141">
        <v>10019</v>
      </c>
      <c r="E1141" s="1"/>
      <c r="F1141" s="1" t="s">
        <v>275</v>
      </c>
      <c r="G1141" s="1" t="s">
        <v>135</v>
      </c>
      <c r="H1141" s="1" t="s">
        <v>1405</v>
      </c>
      <c r="I1141">
        <v>2011</v>
      </c>
      <c r="J1141" s="93">
        <v>29981.06</v>
      </c>
      <c r="K1141">
        <v>12</v>
      </c>
      <c r="L1141" s="1" t="s">
        <v>403</v>
      </c>
      <c r="M1141">
        <v>0</v>
      </c>
      <c r="N1141">
        <v>598</v>
      </c>
      <c r="O1141">
        <v>50.127169000000002</v>
      </c>
      <c r="P1141">
        <v>2</v>
      </c>
      <c r="Q1141" s="1" t="s">
        <v>569</v>
      </c>
      <c r="R1141" s="93">
        <v>29981.06</v>
      </c>
      <c r="S1141">
        <v>14061.13</v>
      </c>
      <c r="T1141">
        <v>0</v>
      </c>
      <c r="U1141" s="1" t="s">
        <v>985</v>
      </c>
      <c r="V1141" s="1" t="s">
        <v>1271</v>
      </c>
      <c r="W1141">
        <v>29981.069</v>
      </c>
      <c r="X1141">
        <v>0</v>
      </c>
      <c r="Y1141">
        <v>76531</v>
      </c>
    </row>
    <row r="1142" spans="1:25" ht="15" hidden="1" customHeight="1" x14ac:dyDescent="0.25">
      <c r="A1142" s="1" t="s">
        <v>27</v>
      </c>
      <c r="B1142" s="1"/>
      <c r="C1142" s="1" t="s">
        <v>135</v>
      </c>
      <c r="D1142">
        <v>10019</v>
      </c>
      <c r="E1142" s="1"/>
      <c r="F1142" s="1" t="s">
        <v>275</v>
      </c>
      <c r="G1142" s="1" t="s">
        <v>135</v>
      </c>
      <c r="H1142" s="1" t="s">
        <v>1405</v>
      </c>
      <c r="I1142">
        <v>2010</v>
      </c>
      <c r="J1142" s="93">
        <v>28781.26</v>
      </c>
      <c r="K1142">
        <v>12</v>
      </c>
      <c r="L1142" s="1" t="s">
        <v>403</v>
      </c>
      <c r="M1142">
        <v>0</v>
      </c>
      <c r="N1142">
        <v>598</v>
      </c>
      <c r="O1142">
        <v>48.12115</v>
      </c>
      <c r="P1142">
        <v>2</v>
      </c>
      <c r="Q1142" s="1" t="s">
        <v>569</v>
      </c>
      <c r="R1142" s="93">
        <v>28781.26</v>
      </c>
      <c r="S1142">
        <v>13498.42</v>
      </c>
      <c r="T1142">
        <v>0</v>
      </c>
      <c r="U1142" s="1" t="s">
        <v>985</v>
      </c>
      <c r="V1142" s="1" t="s">
        <v>1271</v>
      </c>
      <c r="W1142">
        <v>28781.25116</v>
      </c>
      <c r="X1142">
        <v>0</v>
      </c>
      <c r="Y1142">
        <v>76531</v>
      </c>
    </row>
    <row r="1143" spans="1:25" ht="15" hidden="1" customHeight="1" x14ac:dyDescent="0.25">
      <c r="A1143" s="1" t="s">
        <v>27</v>
      </c>
      <c r="B1143" s="1"/>
      <c r="C1143" s="1" t="s">
        <v>135</v>
      </c>
      <c r="D1143">
        <v>10019</v>
      </c>
      <c r="E1143" s="1"/>
      <c r="F1143" s="1" t="s">
        <v>275</v>
      </c>
      <c r="G1143" s="1" t="s">
        <v>135</v>
      </c>
      <c r="H1143" s="1" t="s">
        <v>1405</v>
      </c>
      <c r="I1143">
        <v>2009</v>
      </c>
      <c r="J1143" s="93">
        <v>32927.99</v>
      </c>
      <c r="K1143">
        <v>6</v>
      </c>
      <c r="L1143" s="1" t="s">
        <v>403</v>
      </c>
      <c r="M1143">
        <v>0</v>
      </c>
      <c r="N1143">
        <v>598</v>
      </c>
      <c r="O1143">
        <v>55.054321999999999</v>
      </c>
      <c r="P1143">
        <v>2</v>
      </c>
      <c r="Q1143" s="1" t="s">
        <v>569</v>
      </c>
      <c r="R1143" s="93">
        <v>32927.99</v>
      </c>
      <c r="S1143">
        <v>15443.23</v>
      </c>
      <c r="T1143">
        <v>0</v>
      </c>
      <c r="U1143" s="1" t="s">
        <v>985</v>
      </c>
      <c r="V1143" s="1" t="s">
        <v>1271</v>
      </c>
      <c r="W1143">
        <v>32927.986830000002</v>
      </c>
      <c r="X1143">
        <v>0</v>
      </c>
      <c r="Y1143">
        <v>76531</v>
      </c>
    </row>
    <row r="1144" spans="1:25" ht="15" hidden="1" customHeight="1" x14ac:dyDescent="0.25">
      <c r="A1144" s="1" t="s">
        <v>27</v>
      </c>
      <c r="B1144" s="1"/>
      <c r="C1144" s="1" t="s">
        <v>135</v>
      </c>
      <c r="D1144">
        <v>10019</v>
      </c>
      <c r="E1144" s="1"/>
      <c r="F1144" s="1" t="s">
        <v>275</v>
      </c>
      <c r="G1144" s="1" t="s">
        <v>135</v>
      </c>
      <c r="H1144" s="1" t="s">
        <v>1405</v>
      </c>
      <c r="I1144">
        <v>2008</v>
      </c>
      <c r="J1144" s="93">
        <v>32153.61</v>
      </c>
      <c r="K1144">
        <v>5</v>
      </c>
      <c r="L1144" s="1" t="s">
        <v>403</v>
      </c>
      <c r="M1144">
        <v>0</v>
      </c>
      <c r="N1144">
        <v>598</v>
      </c>
      <c r="O1144">
        <v>53.759588000000001</v>
      </c>
      <c r="P1144">
        <v>2</v>
      </c>
      <c r="Q1144" s="1" t="s">
        <v>569</v>
      </c>
      <c r="R1144" s="93">
        <v>32153.61</v>
      </c>
      <c r="S1144">
        <v>15080.05</v>
      </c>
      <c r="T1144">
        <v>0</v>
      </c>
      <c r="U1144" s="1" t="s">
        <v>985</v>
      </c>
      <c r="V1144" s="1" t="s">
        <v>1271</v>
      </c>
      <c r="W1144">
        <v>32153.599999999999</v>
      </c>
      <c r="X1144">
        <v>0</v>
      </c>
      <c r="Y1144">
        <v>76531</v>
      </c>
    </row>
    <row r="1145" spans="1:25" ht="15" hidden="1" customHeight="1" x14ac:dyDescent="0.25">
      <c r="A1145" s="1" t="s">
        <v>27</v>
      </c>
      <c r="B1145" s="1"/>
      <c r="C1145" s="1" t="s">
        <v>136</v>
      </c>
      <c r="D1145">
        <v>10056</v>
      </c>
      <c r="E1145" s="1"/>
      <c r="F1145" s="1" t="s">
        <v>136</v>
      </c>
      <c r="G1145" s="1" t="s">
        <v>136</v>
      </c>
      <c r="H1145" s="1" t="s">
        <v>1405</v>
      </c>
      <c r="I1145">
        <v>2015</v>
      </c>
      <c r="J1145" s="93">
        <v>28698</v>
      </c>
      <c r="K1145">
        <v>5</v>
      </c>
      <c r="L1145" s="1"/>
      <c r="M1145">
        <v>0</v>
      </c>
      <c r="N1145">
        <v>836</v>
      </c>
      <c r="O1145">
        <v>14.548654000000001</v>
      </c>
      <c r="P1145">
        <v>2</v>
      </c>
      <c r="Q1145" s="1" t="s">
        <v>569</v>
      </c>
      <c r="R1145" s="93">
        <v>12164.13</v>
      </c>
      <c r="S1145">
        <v>3649.25</v>
      </c>
      <c r="T1145">
        <v>0</v>
      </c>
      <c r="U1145" s="1" t="s">
        <v>986</v>
      </c>
      <c r="V1145" s="1" t="s">
        <v>1272</v>
      </c>
      <c r="W1145">
        <v>12164.135</v>
      </c>
      <c r="X1145">
        <v>0</v>
      </c>
      <c r="Y1145">
        <v>90613</v>
      </c>
    </row>
    <row r="1146" spans="1:25" ht="15" hidden="1" customHeight="1" x14ac:dyDescent="0.25">
      <c r="A1146" s="1" t="s">
        <v>27</v>
      </c>
      <c r="B1146" s="1"/>
      <c r="C1146" s="1" t="s">
        <v>136</v>
      </c>
      <c r="D1146">
        <v>10056</v>
      </c>
      <c r="E1146" s="1"/>
      <c r="F1146" s="1" t="s">
        <v>136</v>
      </c>
      <c r="G1146" s="1" t="s">
        <v>136</v>
      </c>
      <c r="H1146" s="1" t="s">
        <v>1405</v>
      </c>
      <c r="I1146">
        <v>2013</v>
      </c>
      <c r="J1146" s="93">
        <v>29597.45</v>
      </c>
      <c r="K1146">
        <v>12</v>
      </c>
      <c r="L1146" s="1"/>
      <c r="M1146">
        <v>0</v>
      </c>
      <c r="N1146">
        <v>836</v>
      </c>
      <c r="O1146">
        <v>35.399413000000003</v>
      </c>
      <c r="P1146">
        <v>2</v>
      </c>
      <c r="Q1146" s="1" t="s">
        <v>569</v>
      </c>
      <c r="R1146" s="93">
        <v>29597.45</v>
      </c>
      <c r="S1146">
        <v>8879.23</v>
      </c>
      <c r="T1146">
        <v>0</v>
      </c>
      <c r="U1146" s="1" t="s">
        <v>986</v>
      </c>
      <c r="V1146" s="1" t="s">
        <v>1272</v>
      </c>
      <c r="W1146">
        <v>29597.43</v>
      </c>
      <c r="X1146">
        <v>0</v>
      </c>
      <c r="Y1146">
        <v>90613</v>
      </c>
    </row>
    <row r="1147" spans="1:25" ht="15" hidden="1" customHeight="1" x14ac:dyDescent="0.25">
      <c r="A1147" s="1" t="s">
        <v>27</v>
      </c>
      <c r="B1147" s="1"/>
      <c r="C1147" s="1" t="s">
        <v>136</v>
      </c>
      <c r="D1147">
        <v>10056</v>
      </c>
      <c r="E1147" s="1"/>
      <c r="F1147" s="1" t="s">
        <v>136</v>
      </c>
      <c r="G1147" s="1" t="s">
        <v>136</v>
      </c>
      <c r="H1147" s="1" t="s">
        <v>1405</v>
      </c>
      <c r="I1147">
        <v>2012</v>
      </c>
      <c r="J1147" s="93">
        <v>32745.46</v>
      </c>
      <c r="K1147">
        <v>12</v>
      </c>
      <c r="L1147" s="1"/>
      <c r="M1147">
        <v>0</v>
      </c>
      <c r="N1147">
        <v>836</v>
      </c>
      <c r="O1147">
        <v>39.164524999999998</v>
      </c>
      <c r="P1147">
        <v>2</v>
      </c>
      <c r="Q1147" s="1" t="s">
        <v>569</v>
      </c>
      <c r="R1147" s="93">
        <v>32745.46</v>
      </c>
      <c r="S1147">
        <v>13098.18</v>
      </c>
      <c r="T1147">
        <v>0</v>
      </c>
      <c r="U1147" s="1" t="s">
        <v>986</v>
      </c>
      <c r="V1147" s="1" t="s">
        <v>1272</v>
      </c>
      <c r="W1147">
        <v>32745.45</v>
      </c>
      <c r="X1147">
        <v>0</v>
      </c>
      <c r="Y1147">
        <v>90613</v>
      </c>
    </row>
    <row r="1148" spans="1:25" ht="15" hidden="1" customHeight="1" x14ac:dyDescent="0.25">
      <c r="A1148" s="1" t="s">
        <v>27</v>
      </c>
      <c r="B1148" s="1"/>
      <c r="C1148" s="1" t="s">
        <v>136</v>
      </c>
      <c r="D1148">
        <v>10056</v>
      </c>
      <c r="E1148" s="1"/>
      <c r="F1148" s="1" t="s">
        <v>136</v>
      </c>
      <c r="G1148" s="1" t="s">
        <v>136</v>
      </c>
      <c r="H1148" s="1" t="s">
        <v>1405</v>
      </c>
      <c r="I1148">
        <v>2011</v>
      </c>
      <c r="J1148" s="93">
        <v>33037.65</v>
      </c>
      <c r="K1148">
        <v>12</v>
      </c>
      <c r="L1148" s="1"/>
      <c r="M1148">
        <v>0</v>
      </c>
      <c r="N1148">
        <v>836</v>
      </c>
      <c r="O1148">
        <v>39.513992999999999</v>
      </c>
      <c r="P1148">
        <v>2</v>
      </c>
      <c r="Q1148" s="1" t="s">
        <v>569</v>
      </c>
      <c r="R1148" s="93">
        <v>33037.65</v>
      </c>
      <c r="S1148">
        <v>15494.65</v>
      </c>
      <c r="T1148">
        <v>0</v>
      </c>
      <c r="U1148" s="1" t="s">
        <v>986</v>
      </c>
      <c r="V1148" s="1" t="s">
        <v>1272</v>
      </c>
      <c r="W1148">
        <v>33037.665000000001</v>
      </c>
      <c r="X1148">
        <v>0</v>
      </c>
      <c r="Y1148">
        <v>90613</v>
      </c>
    </row>
    <row r="1149" spans="1:25" ht="15" hidden="1" customHeight="1" x14ac:dyDescent="0.25">
      <c r="A1149" s="1" t="s">
        <v>27</v>
      </c>
      <c r="B1149" s="1"/>
      <c r="C1149" s="1" t="s">
        <v>136</v>
      </c>
      <c r="D1149">
        <v>10056</v>
      </c>
      <c r="E1149" s="1"/>
      <c r="F1149" s="1" t="s">
        <v>136</v>
      </c>
      <c r="G1149" s="1" t="s">
        <v>136</v>
      </c>
      <c r="H1149" s="1" t="s">
        <v>1405</v>
      </c>
      <c r="I1149">
        <v>2010</v>
      </c>
      <c r="J1149" s="93">
        <v>6479.08</v>
      </c>
      <c r="K1149">
        <v>2</v>
      </c>
      <c r="L1149" s="1"/>
      <c r="M1149">
        <v>0</v>
      </c>
      <c r="N1149">
        <v>836</v>
      </c>
      <c r="O1149">
        <v>7.7491680000000001</v>
      </c>
      <c r="P1149">
        <v>2</v>
      </c>
      <c r="Q1149" s="1" t="s">
        <v>569</v>
      </c>
      <c r="R1149" s="93">
        <v>6479.08</v>
      </c>
      <c r="S1149">
        <v>3038.69</v>
      </c>
      <c r="T1149">
        <v>0</v>
      </c>
      <c r="U1149" s="1" t="s">
        <v>986</v>
      </c>
      <c r="V1149" s="1" t="s">
        <v>1272</v>
      </c>
      <c r="W1149">
        <v>6479.085</v>
      </c>
      <c r="X1149">
        <v>0</v>
      </c>
      <c r="Y1149">
        <v>90613</v>
      </c>
    </row>
    <row r="1150" spans="1:25" ht="15" hidden="1" customHeight="1" x14ac:dyDescent="0.25">
      <c r="A1150" s="1" t="s">
        <v>27</v>
      </c>
      <c r="B1150" s="1"/>
      <c r="C1150" s="1" t="s">
        <v>136</v>
      </c>
      <c r="D1150">
        <v>10056</v>
      </c>
      <c r="E1150" s="1"/>
      <c r="F1150" s="1" t="s">
        <v>136</v>
      </c>
      <c r="G1150" s="1" t="s">
        <v>136</v>
      </c>
      <c r="H1150" s="1" t="s">
        <v>1405</v>
      </c>
      <c r="I1150">
        <v>2010</v>
      </c>
      <c r="J1150" s="93">
        <v>25155.53</v>
      </c>
      <c r="K1150">
        <v>8</v>
      </c>
      <c r="L1150" s="1" t="s">
        <v>405</v>
      </c>
      <c r="M1150">
        <v>0</v>
      </c>
      <c r="N1150">
        <v>836</v>
      </c>
      <c r="O1150">
        <v>30.086746999999999</v>
      </c>
      <c r="P1150">
        <v>2</v>
      </c>
      <c r="Q1150" s="1" t="s">
        <v>569</v>
      </c>
      <c r="R1150" s="93">
        <v>25155.53</v>
      </c>
      <c r="S1150">
        <v>11797.96</v>
      </c>
      <c r="T1150">
        <v>0</v>
      </c>
      <c r="U1150" s="1" t="s">
        <v>810</v>
      </c>
      <c r="V1150" s="1"/>
      <c r="W1150">
        <v>25155.534250000001</v>
      </c>
      <c r="X1150">
        <v>0</v>
      </c>
      <c r="Y1150">
        <v>76676</v>
      </c>
    </row>
    <row r="1151" spans="1:25" ht="15" hidden="1" customHeight="1" x14ac:dyDescent="0.25">
      <c r="A1151" s="1" t="s">
        <v>27</v>
      </c>
      <c r="B1151" s="1"/>
      <c r="C1151" s="1" t="s">
        <v>136</v>
      </c>
      <c r="D1151">
        <v>10056</v>
      </c>
      <c r="E1151" s="1"/>
      <c r="F1151" s="1" t="s">
        <v>136</v>
      </c>
      <c r="G1151" s="1" t="s">
        <v>136</v>
      </c>
      <c r="H1151" s="1" t="s">
        <v>1405</v>
      </c>
      <c r="I1151">
        <v>2009</v>
      </c>
      <c r="J1151" s="93">
        <v>28972.52</v>
      </c>
      <c r="K1151">
        <v>6</v>
      </c>
      <c r="L1151" s="1" t="s">
        <v>405</v>
      </c>
      <c r="M1151">
        <v>0</v>
      </c>
      <c r="N1151">
        <v>836</v>
      </c>
      <c r="O1151">
        <v>34.651978999999997</v>
      </c>
      <c r="P1151">
        <v>2</v>
      </c>
      <c r="Q1151" s="1" t="s">
        <v>569</v>
      </c>
      <c r="R1151" s="93">
        <v>28972.52</v>
      </c>
      <c r="S1151">
        <v>13588.12</v>
      </c>
      <c r="T1151">
        <v>0</v>
      </c>
      <c r="U1151" s="1" t="s">
        <v>810</v>
      </c>
      <c r="V1151" s="1"/>
      <c r="W1151">
        <v>28972.518390000001</v>
      </c>
      <c r="X1151">
        <v>0</v>
      </c>
      <c r="Y1151">
        <v>76676</v>
      </c>
    </row>
    <row r="1152" spans="1:25" ht="15" hidden="1" customHeight="1" x14ac:dyDescent="0.25">
      <c r="A1152" s="1" t="s">
        <v>27</v>
      </c>
      <c r="B1152" s="1"/>
      <c r="C1152" s="1" t="s">
        <v>136</v>
      </c>
      <c r="D1152">
        <v>10056</v>
      </c>
      <c r="E1152" s="1"/>
      <c r="F1152" s="1" t="s">
        <v>136</v>
      </c>
      <c r="G1152" s="1" t="s">
        <v>136</v>
      </c>
      <c r="H1152" s="1" t="s">
        <v>1405</v>
      </c>
      <c r="I1152">
        <v>2008</v>
      </c>
      <c r="J1152" s="93">
        <v>25485.09</v>
      </c>
      <c r="K1152">
        <v>5</v>
      </c>
      <c r="L1152" s="1" t="s">
        <v>405</v>
      </c>
      <c r="M1152">
        <v>0</v>
      </c>
      <c r="N1152">
        <v>836</v>
      </c>
      <c r="O1152">
        <v>30.480910999999999</v>
      </c>
      <c r="P1152">
        <v>2</v>
      </c>
      <c r="Q1152" s="1" t="s">
        <v>569</v>
      </c>
      <c r="R1152" s="93">
        <v>25485.09</v>
      </c>
      <c r="S1152">
        <v>11952.52</v>
      </c>
      <c r="T1152">
        <v>0</v>
      </c>
      <c r="U1152" s="1" t="s">
        <v>810</v>
      </c>
      <c r="V1152" s="1"/>
      <c r="W1152">
        <v>25485.090230000002</v>
      </c>
      <c r="X1152">
        <v>0</v>
      </c>
      <c r="Y1152">
        <v>76676</v>
      </c>
    </row>
    <row r="1153" spans="1:25" ht="15" hidden="1" customHeight="1" x14ac:dyDescent="0.25">
      <c r="A1153" s="1" t="s">
        <v>27</v>
      </c>
      <c r="B1153" s="1"/>
      <c r="C1153" s="1" t="s">
        <v>137</v>
      </c>
      <c r="D1153">
        <v>5950</v>
      </c>
      <c r="E1153" s="1"/>
      <c r="F1153" s="1" t="s">
        <v>137</v>
      </c>
      <c r="G1153" s="1" t="s">
        <v>137</v>
      </c>
      <c r="H1153" s="1" t="s">
        <v>1405</v>
      </c>
      <c r="I1153">
        <v>2015</v>
      </c>
      <c r="J1153" s="93">
        <v>79733</v>
      </c>
      <c r="K1153">
        <v>5</v>
      </c>
      <c r="L1153" s="1" t="s">
        <v>520</v>
      </c>
      <c r="M1153">
        <v>0</v>
      </c>
      <c r="N1153">
        <v>500</v>
      </c>
      <c r="O1153">
        <v>76.987222000000003</v>
      </c>
      <c r="P1153">
        <v>2</v>
      </c>
      <c r="Q1153" s="1" t="s">
        <v>569</v>
      </c>
      <c r="R1153" s="93">
        <v>38501.31</v>
      </c>
      <c r="S1153">
        <v>15400.54</v>
      </c>
      <c r="T1153">
        <v>0</v>
      </c>
      <c r="U1153" s="1" t="s">
        <v>987</v>
      </c>
      <c r="V1153" s="1"/>
      <c r="W1153">
        <v>38501.32</v>
      </c>
      <c r="X1153">
        <v>0</v>
      </c>
      <c r="Y1153">
        <v>59968</v>
      </c>
    </row>
    <row r="1154" spans="1:25" ht="15" hidden="1" customHeight="1" x14ac:dyDescent="0.25">
      <c r="A1154" s="1" t="s">
        <v>27</v>
      </c>
      <c r="B1154" s="1"/>
      <c r="C1154" s="1" t="s">
        <v>137</v>
      </c>
      <c r="D1154">
        <v>5950</v>
      </c>
      <c r="E1154" s="1"/>
      <c r="F1154" s="1" t="s">
        <v>137</v>
      </c>
      <c r="G1154" s="1" t="s">
        <v>137</v>
      </c>
      <c r="H1154" s="1" t="s">
        <v>1405</v>
      </c>
      <c r="I1154">
        <v>2013</v>
      </c>
      <c r="J1154" s="93">
        <v>85541.8</v>
      </c>
      <c r="K1154">
        <v>12</v>
      </c>
      <c r="L1154" s="1" t="s">
        <v>520</v>
      </c>
      <c r="M1154">
        <v>0</v>
      </c>
      <c r="N1154">
        <v>500</v>
      </c>
      <c r="O1154">
        <v>171.04938999999999</v>
      </c>
      <c r="P1154">
        <v>2</v>
      </c>
      <c r="Q1154" s="1" t="s">
        <v>569</v>
      </c>
      <c r="R1154" s="93">
        <v>85541.8</v>
      </c>
      <c r="S1154">
        <v>34216.720000000001</v>
      </c>
      <c r="T1154">
        <v>0</v>
      </c>
      <c r="U1154" s="1" t="s">
        <v>987</v>
      </c>
      <c r="V1154" s="1"/>
      <c r="W1154">
        <v>85541.8</v>
      </c>
      <c r="X1154">
        <v>0</v>
      </c>
      <c r="Y1154">
        <v>59968</v>
      </c>
    </row>
    <row r="1155" spans="1:25" ht="15" hidden="1" customHeight="1" x14ac:dyDescent="0.25">
      <c r="A1155" s="1" t="s">
        <v>27</v>
      </c>
      <c r="B1155" s="1"/>
      <c r="C1155" s="1" t="s">
        <v>137</v>
      </c>
      <c r="D1155">
        <v>5950</v>
      </c>
      <c r="E1155" s="1"/>
      <c r="F1155" s="1" t="s">
        <v>137</v>
      </c>
      <c r="G1155" s="1" t="s">
        <v>137</v>
      </c>
      <c r="H1155" s="1" t="s">
        <v>1405</v>
      </c>
      <c r="I1155">
        <v>2012</v>
      </c>
      <c r="J1155" s="93">
        <v>92596</v>
      </c>
      <c r="K1155">
        <v>12</v>
      </c>
      <c r="L1155" s="1" t="s">
        <v>520</v>
      </c>
      <c r="M1155">
        <v>0</v>
      </c>
      <c r="N1155">
        <v>500</v>
      </c>
      <c r="O1155">
        <v>185.15496899999999</v>
      </c>
      <c r="P1155">
        <v>2</v>
      </c>
      <c r="Q1155" s="1" t="s">
        <v>569</v>
      </c>
      <c r="R1155" s="93">
        <v>92596</v>
      </c>
      <c r="S1155">
        <v>37038.400000000001</v>
      </c>
      <c r="T1155">
        <v>0</v>
      </c>
      <c r="U1155" s="1" t="s">
        <v>987</v>
      </c>
      <c r="V1155" s="1"/>
      <c r="W1155">
        <v>92596</v>
      </c>
      <c r="X1155">
        <v>0</v>
      </c>
      <c r="Y1155">
        <v>59968</v>
      </c>
    </row>
    <row r="1156" spans="1:25" ht="15" hidden="1" customHeight="1" x14ac:dyDescent="0.25">
      <c r="A1156" s="1" t="s">
        <v>27</v>
      </c>
      <c r="B1156" s="1"/>
      <c r="C1156" s="1" t="s">
        <v>137</v>
      </c>
      <c r="D1156">
        <v>5950</v>
      </c>
      <c r="E1156" s="1"/>
      <c r="F1156" s="1" t="s">
        <v>137</v>
      </c>
      <c r="G1156" s="1" t="s">
        <v>137</v>
      </c>
      <c r="H1156" s="1" t="s">
        <v>1405</v>
      </c>
      <c r="I1156">
        <v>2011</v>
      </c>
      <c r="J1156" s="93">
        <v>69031.789999999994</v>
      </c>
      <c r="K1156">
        <v>5</v>
      </c>
      <c r="L1156" s="1" t="s">
        <v>520</v>
      </c>
      <c r="M1156">
        <v>0</v>
      </c>
      <c r="N1156">
        <v>500</v>
      </c>
      <c r="O1156">
        <v>138.03597199999999</v>
      </c>
      <c r="P1156">
        <v>2</v>
      </c>
      <c r="Q1156" s="1" t="s">
        <v>569</v>
      </c>
      <c r="R1156" s="93">
        <v>69031.789999999994</v>
      </c>
      <c r="S1156">
        <v>32375.91</v>
      </c>
      <c r="T1156">
        <v>0</v>
      </c>
      <c r="U1156" s="1" t="s">
        <v>987</v>
      </c>
      <c r="V1156" s="1"/>
      <c r="W1156">
        <v>69031.800019999995</v>
      </c>
      <c r="X1156">
        <v>0</v>
      </c>
      <c r="Y1156">
        <v>59968</v>
      </c>
    </row>
    <row r="1157" spans="1:25" ht="15" hidden="1" customHeight="1" x14ac:dyDescent="0.25">
      <c r="A1157" s="1" t="s">
        <v>27</v>
      </c>
      <c r="B1157" s="1"/>
      <c r="C1157" s="1" t="s">
        <v>137</v>
      </c>
      <c r="D1157">
        <v>5950</v>
      </c>
      <c r="E1157" s="1"/>
      <c r="F1157" s="1" t="s">
        <v>137</v>
      </c>
      <c r="G1157" s="1" t="s">
        <v>137</v>
      </c>
      <c r="H1157" s="1" t="s">
        <v>1405</v>
      </c>
      <c r="I1157">
        <v>2010</v>
      </c>
      <c r="J1157" s="93">
        <v>54069.17</v>
      </c>
      <c r="K1157">
        <v>3</v>
      </c>
      <c r="L1157" s="1" t="s">
        <v>520</v>
      </c>
      <c r="M1157">
        <v>0</v>
      </c>
      <c r="N1157">
        <v>500</v>
      </c>
      <c r="O1157">
        <v>108.116716</v>
      </c>
      <c r="P1157">
        <v>2</v>
      </c>
      <c r="Q1157" s="1" t="s">
        <v>569</v>
      </c>
      <c r="R1157" s="93">
        <v>54069.17</v>
      </c>
      <c r="S1157">
        <v>25358.43</v>
      </c>
      <c r="T1157">
        <v>0</v>
      </c>
      <c r="U1157" s="1" t="s">
        <v>987</v>
      </c>
      <c r="V1157" s="1"/>
      <c r="W1157">
        <v>54069.173909999998</v>
      </c>
      <c r="X1157">
        <v>0</v>
      </c>
      <c r="Y1157">
        <v>59968</v>
      </c>
    </row>
    <row r="1158" spans="1:25" ht="15" hidden="1" customHeight="1" x14ac:dyDescent="0.25">
      <c r="A1158" s="1" t="s">
        <v>27</v>
      </c>
      <c r="B1158" s="1"/>
      <c r="C1158" s="1" t="s">
        <v>137</v>
      </c>
      <c r="D1158">
        <v>5950</v>
      </c>
      <c r="E1158" s="1"/>
      <c r="F1158" s="1" t="s">
        <v>137</v>
      </c>
      <c r="G1158" s="1" t="s">
        <v>137</v>
      </c>
      <c r="H1158" s="1" t="s">
        <v>1405</v>
      </c>
      <c r="I1158">
        <v>2009</v>
      </c>
      <c r="J1158" s="93">
        <v>64875.519999999997</v>
      </c>
      <c r="K1158">
        <v>6</v>
      </c>
      <c r="L1158" s="1" t="s">
        <v>520</v>
      </c>
      <c r="M1158">
        <v>0</v>
      </c>
      <c r="N1158">
        <v>500</v>
      </c>
      <c r="O1158">
        <v>129.72509400000001</v>
      </c>
      <c r="P1158">
        <v>2</v>
      </c>
      <c r="Q1158" s="1" t="s">
        <v>569</v>
      </c>
      <c r="R1158" s="93">
        <v>64875.519999999997</v>
      </c>
      <c r="S1158">
        <v>30426.61</v>
      </c>
      <c r="T1158">
        <v>0</v>
      </c>
      <c r="U1158" s="1" t="s">
        <v>987</v>
      </c>
      <c r="V1158" s="1"/>
      <c r="W1158">
        <v>64875.540359999999</v>
      </c>
      <c r="X1158">
        <v>0</v>
      </c>
      <c r="Y1158">
        <v>59968</v>
      </c>
    </row>
    <row r="1159" spans="1:25" ht="15" hidden="1" customHeight="1" x14ac:dyDescent="0.25">
      <c r="A1159" s="1" t="s">
        <v>27</v>
      </c>
      <c r="B1159" s="1"/>
      <c r="C1159" s="1" t="s">
        <v>137</v>
      </c>
      <c r="D1159">
        <v>5950</v>
      </c>
      <c r="E1159" s="1"/>
      <c r="F1159" s="1" t="s">
        <v>137</v>
      </c>
      <c r="G1159" s="1" t="s">
        <v>137</v>
      </c>
      <c r="H1159" s="1" t="s">
        <v>1405</v>
      </c>
      <c r="I1159">
        <v>2008</v>
      </c>
      <c r="J1159" s="93">
        <v>71773.2</v>
      </c>
      <c r="K1159">
        <v>12</v>
      </c>
      <c r="L1159" s="1" t="s">
        <v>520</v>
      </c>
      <c r="M1159">
        <v>0</v>
      </c>
      <c r="N1159">
        <v>500</v>
      </c>
      <c r="O1159">
        <v>143.517696</v>
      </c>
      <c r="P1159">
        <v>2</v>
      </c>
      <c r="Q1159" s="1" t="s">
        <v>569</v>
      </c>
      <c r="R1159" s="93">
        <v>71773.2</v>
      </c>
      <c r="S1159">
        <v>33661.629999999997</v>
      </c>
      <c r="T1159">
        <v>0</v>
      </c>
      <c r="U1159" s="1" t="s">
        <v>987</v>
      </c>
      <c r="V1159" s="1"/>
      <c r="W1159">
        <v>71773.191959999996</v>
      </c>
      <c r="X1159">
        <v>0</v>
      </c>
      <c r="Y1159">
        <v>59968</v>
      </c>
    </row>
    <row r="1160" spans="1:25" ht="15" hidden="1" customHeight="1" x14ac:dyDescent="0.25">
      <c r="A1160" s="1" t="s">
        <v>27</v>
      </c>
      <c r="B1160" s="1" t="s">
        <v>63</v>
      </c>
      <c r="C1160" s="1" t="s">
        <v>139</v>
      </c>
      <c r="D1160">
        <v>5279</v>
      </c>
      <c r="E1160" s="1"/>
      <c r="F1160" s="1" t="s">
        <v>277</v>
      </c>
      <c r="G1160" s="1" t="s">
        <v>139</v>
      </c>
      <c r="H1160" s="1" t="s">
        <v>1405</v>
      </c>
      <c r="I1160">
        <v>2015</v>
      </c>
      <c r="J1160" s="93">
        <v>90878</v>
      </c>
      <c r="K1160">
        <v>5</v>
      </c>
      <c r="L1160" s="1" t="s">
        <v>404</v>
      </c>
      <c r="M1160">
        <v>0</v>
      </c>
      <c r="N1160">
        <v>1603</v>
      </c>
      <c r="O1160">
        <v>32.093798999999997</v>
      </c>
      <c r="P1160">
        <v>2</v>
      </c>
      <c r="Q1160" s="1" t="s">
        <v>569</v>
      </c>
      <c r="R1160" s="93">
        <v>51449.57</v>
      </c>
      <c r="S1160">
        <v>20579.830000000002</v>
      </c>
      <c r="T1160">
        <v>0</v>
      </c>
      <c r="U1160" s="1" t="s">
        <v>989</v>
      </c>
      <c r="V1160" s="1" t="s">
        <v>1274</v>
      </c>
      <c r="W1160">
        <v>51449.57</v>
      </c>
      <c r="X1160">
        <v>0</v>
      </c>
      <c r="Y1160">
        <v>56881</v>
      </c>
    </row>
    <row r="1161" spans="1:25" ht="15" hidden="1" customHeight="1" x14ac:dyDescent="0.25">
      <c r="A1161" s="1" t="s">
        <v>27</v>
      </c>
      <c r="B1161" s="1" t="s">
        <v>63</v>
      </c>
      <c r="C1161" s="1" t="s">
        <v>139</v>
      </c>
      <c r="D1161">
        <v>5279</v>
      </c>
      <c r="E1161" s="1"/>
      <c r="F1161" s="1" t="s">
        <v>277</v>
      </c>
      <c r="G1161" s="1" t="s">
        <v>139</v>
      </c>
      <c r="H1161" s="1" t="s">
        <v>1405</v>
      </c>
      <c r="I1161">
        <v>2013</v>
      </c>
      <c r="J1161" s="93">
        <v>94328.45</v>
      </c>
      <c r="K1161">
        <v>12</v>
      </c>
      <c r="L1161" s="1" t="s">
        <v>404</v>
      </c>
      <c r="M1161">
        <v>0</v>
      </c>
      <c r="N1161">
        <v>1603</v>
      </c>
      <c r="O1161">
        <v>58.841276000000001</v>
      </c>
      <c r="P1161">
        <v>2</v>
      </c>
      <c r="Q1161" s="1" t="s">
        <v>569</v>
      </c>
      <c r="R1161" s="93">
        <v>94328.45</v>
      </c>
      <c r="S1161">
        <v>37731.370000000003</v>
      </c>
      <c r="T1161">
        <v>0</v>
      </c>
      <c r="U1161" s="1" t="s">
        <v>989</v>
      </c>
      <c r="V1161" s="1" t="s">
        <v>1274</v>
      </c>
      <c r="W1161">
        <v>94328.452000000005</v>
      </c>
      <c r="X1161">
        <v>0</v>
      </c>
      <c r="Y1161">
        <v>56881</v>
      </c>
    </row>
    <row r="1162" spans="1:25" ht="15" hidden="1" customHeight="1" x14ac:dyDescent="0.25">
      <c r="A1162" s="1" t="s">
        <v>27</v>
      </c>
      <c r="B1162" s="1" t="s">
        <v>63</v>
      </c>
      <c r="C1162" s="1" t="s">
        <v>139</v>
      </c>
      <c r="D1162">
        <v>5279</v>
      </c>
      <c r="E1162" s="1"/>
      <c r="F1162" s="1" t="s">
        <v>277</v>
      </c>
      <c r="G1162" s="1" t="s">
        <v>139</v>
      </c>
      <c r="H1162" s="1" t="s">
        <v>1405</v>
      </c>
      <c r="I1162">
        <v>2012</v>
      </c>
      <c r="J1162" s="93">
        <v>109093.75999999999</v>
      </c>
      <c r="K1162">
        <v>12</v>
      </c>
      <c r="L1162" s="1" t="s">
        <v>404</v>
      </c>
      <c r="M1162">
        <v>0</v>
      </c>
      <c r="N1162">
        <v>1603</v>
      </c>
      <c r="O1162">
        <v>68.051749000000001</v>
      </c>
      <c r="P1162">
        <v>2</v>
      </c>
      <c r="Q1162" s="1" t="s">
        <v>569</v>
      </c>
      <c r="R1162" s="93">
        <v>109093.75999999999</v>
      </c>
      <c r="S1162">
        <v>43637.5</v>
      </c>
      <c r="T1162">
        <v>0</v>
      </c>
      <c r="U1162" s="1" t="s">
        <v>989</v>
      </c>
      <c r="V1162" s="1" t="s">
        <v>1274</v>
      </c>
      <c r="W1162">
        <v>109093.745</v>
      </c>
      <c r="X1162">
        <v>0</v>
      </c>
      <c r="Y1162">
        <v>56881</v>
      </c>
    </row>
    <row r="1163" spans="1:25" ht="15" hidden="1" customHeight="1" x14ac:dyDescent="0.25">
      <c r="A1163" s="1" t="s">
        <v>27</v>
      </c>
      <c r="B1163" s="1" t="s">
        <v>63</v>
      </c>
      <c r="C1163" s="1" t="s">
        <v>139</v>
      </c>
      <c r="D1163">
        <v>5279</v>
      </c>
      <c r="E1163" s="1"/>
      <c r="F1163" s="1" t="s">
        <v>277</v>
      </c>
      <c r="G1163" s="1" t="s">
        <v>139</v>
      </c>
      <c r="H1163" s="1" t="s">
        <v>1405</v>
      </c>
      <c r="I1163">
        <v>2011</v>
      </c>
      <c r="J1163" s="93">
        <v>112098.68</v>
      </c>
      <c r="K1163">
        <v>12</v>
      </c>
      <c r="L1163" s="1" t="s">
        <v>404</v>
      </c>
      <c r="M1163">
        <v>0</v>
      </c>
      <c r="N1163">
        <v>1603</v>
      </c>
      <c r="O1163">
        <v>69.926192999999998</v>
      </c>
      <c r="P1163">
        <v>2</v>
      </c>
      <c r="Q1163" s="1" t="s">
        <v>569</v>
      </c>
      <c r="R1163" s="93">
        <v>112098.68</v>
      </c>
      <c r="S1163">
        <v>52574.26</v>
      </c>
      <c r="T1163">
        <v>0</v>
      </c>
      <c r="U1163" s="1" t="s">
        <v>989</v>
      </c>
      <c r="V1163" s="1" t="s">
        <v>1274</v>
      </c>
      <c r="W1163">
        <v>112098.675</v>
      </c>
      <c r="X1163">
        <v>0</v>
      </c>
      <c r="Y1163">
        <v>56881</v>
      </c>
    </row>
    <row r="1164" spans="1:25" ht="15" hidden="1" customHeight="1" x14ac:dyDescent="0.25">
      <c r="A1164" s="1" t="s">
        <v>27</v>
      </c>
      <c r="B1164" s="1" t="s">
        <v>63</v>
      </c>
      <c r="C1164" s="1" t="s">
        <v>139</v>
      </c>
      <c r="D1164">
        <v>5279</v>
      </c>
      <c r="E1164" s="1"/>
      <c r="F1164" s="1" t="s">
        <v>277</v>
      </c>
      <c r="G1164" s="1" t="s">
        <v>139</v>
      </c>
      <c r="H1164" s="1" t="s">
        <v>1405</v>
      </c>
      <c r="I1164">
        <v>2010</v>
      </c>
      <c r="J1164" s="93">
        <v>130942.79</v>
      </c>
      <c r="K1164">
        <v>12</v>
      </c>
      <c r="L1164" s="1" t="s">
        <v>404</v>
      </c>
      <c r="M1164">
        <v>0</v>
      </c>
      <c r="N1164">
        <v>1603</v>
      </c>
      <c r="O1164">
        <v>81.680986000000004</v>
      </c>
      <c r="P1164">
        <v>2</v>
      </c>
      <c r="Q1164" s="1" t="s">
        <v>569</v>
      </c>
      <c r="R1164" s="93">
        <v>130942.79</v>
      </c>
      <c r="S1164">
        <v>61412.17</v>
      </c>
      <c r="T1164">
        <v>0</v>
      </c>
      <c r="U1164" s="1" t="s">
        <v>989</v>
      </c>
      <c r="V1164" s="1" t="s">
        <v>1274</v>
      </c>
      <c r="W1164">
        <v>130942.78</v>
      </c>
      <c r="X1164">
        <v>0</v>
      </c>
      <c r="Y1164">
        <v>56881</v>
      </c>
    </row>
    <row r="1165" spans="1:25" ht="15" hidden="1" customHeight="1" x14ac:dyDescent="0.25">
      <c r="A1165" s="1" t="s">
        <v>27</v>
      </c>
      <c r="B1165" s="1" t="s">
        <v>63</v>
      </c>
      <c r="C1165" s="1" t="s">
        <v>139</v>
      </c>
      <c r="D1165">
        <v>5279</v>
      </c>
      <c r="E1165" s="1"/>
      <c r="F1165" s="1" t="s">
        <v>277</v>
      </c>
      <c r="G1165" s="1" t="s">
        <v>139</v>
      </c>
      <c r="H1165" s="1" t="s">
        <v>1405</v>
      </c>
      <c r="I1165">
        <v>2009</v>
      </c>
      <c r="J1165" s="93">
        <v>130679.94</v>
      </c>
      <c r="K1165">
        <v>12</v>
      </c>
      <c r="L1165" s="1" t="s">
        <v>404</v>
      </c>
      <c r="M1165">
        <v>0</v>
      </c>
      <c r="N1165">
        <v>1603</v>
      </c>
      <c r="O1165">
        <v>81.517022999999995</v>
      </c>
      <c r="P1165">
        <v>2</v>
      </c>
      <c r="Q1165" s="1" t="s">
        <v>569</v>
      </c>
      <c r="R1165" s="93">
        <v>130679.94</v>
      </c>
      <c r="S1165">
        <v>61288.91</v>
      </c>
      <c r="T1165">
        <v>0</v>
      </c>
      <c r="U1165" s="1" t="s">
        <v>989</v>
      </c>
      <c r="V1165" s="1" t="s">
        <v>1274</v>
      </c>
      <c r="W1165">
        <v>130679.94</v>
      </c>
      <c r="X1165">
        <v>0</v>
      </c>
      <c r="Y1165">
        <v>56881</v>
      </c>
    </row>
    <row r="1166" spans="1:25" ht="15" hidden="1" customHeight="1" x14ac:dyDescent="0.25">
      <c r="A1166" s="1" t="s">
        <v>27</v>
      </c>
      <c r="B1166" s="1" t="s">
        <v>63</v>
      </c>
      <c r="C1166" s="1" t="s">
        <v>139</v>
      </c>
      <c r="D1166">
        <v>5279</v>
      </c>
      <c r="E1166" s="1"/>
      <c r="F1166" s="1" t="s">
        <v>277</v>
      </c>
      <c r="G1166" s="1" t="s">
        <v>139</v>
      </c>
      <c r="H1166" s="1" t="s">
        <v>1405</v>
      </c>
      <c r="I1166">
        <v>2008</v>
      </c>
      <c r="J1166" s="93">
        <v>152560.51</v>
      </c>
      <c r="K1166">
        <v>12</v>
      </c>
      <c r="L1166" s="1" t="s">
        <v>404</v>
      </c>
      <c r="M1166">
        <v>0</v>
      </c>
      <c r="N1166">
        <v>1603</v>
      </c>
      <c r="O1166">
        <v>95.165933999999993</v>
      </c>
      <c r="P1166">
        <v>2</v>
      </c>
      <c r="Q1166" s="1" t="s">
        <v>569</v>
      </c>
      <c r="R1166" s="93">
        <v>152560.51</v>
      </c>
      <c r="S1166">
        <v>71550.86</v>
      </c>
      <c r="T1166">
        <v>0</v>
      </c>
      <c r="U1166" s="1" t="s">
        <v>989</v>
      </c>
      <c r="V1166" s="1" t="s">
        <v>1274</v>
      </c>
      <c r="W1166">
        <v>152560.505</v>
      </c>
      <c r="X1166">
        <v>0</v>
      </c>
      <c r="Y1166">
        <v>56881</v>
      </c>
    </row>
    <row r="1167" spans="1:25" ht="15" hidden="1" customHeight="1" x14ac:dyDescent="0.25">
      <c r="A1167" s="1" t="s">
        <v>27</v>
      </c>
      <c r="B1167" s="1"/>
      <c r="C1167" s="1" t="s">
        <v>140</v>
      </c>
      <c r="D1167">
        <v>10209</v>
      </c>
      <c r="E1167" s="1"/>
      <c r="F1167" s="1" t="s">
        <v>140</v>
      </c>
      <c r="G1167" s="1" t="s">
        <v>140</v>
      </c>
      <c r="H1167" s="1" t="s">
        <v>1405</v>
      </c>
      <c r="I1167">
        <v>2015</v>
      </c>
      <c r="J1167" s="93">
        <v>53286</v>
      </c>
      <c r="K1167">
        <v>5</v>
      </c>
      <c r="L1167" s="1"/>
      <c r="M1167">
        <v>0</v>
      </c>
      <c r="N1167">
        <v>1839</v>
      </c>
      <c r="O1167">
        <v>15.024397</v>
      </c>
      <c r="P1167">
        <v>2</v>
      </c>
      <c r="Q1167" s="1" t="s">
        <v>569</v>
      </c>
      <c r="R1167" s="93">
        <v>27631.37</v>
      </c>
      <c r="S1167">
        <v>8289.41</v>
      </c>
      <c r="T1167">
        <v>0</v>
      </c>
      <c r="U1167" s="1" t="s">
        <v>992</v>
      </c>
      <c r="V1167" s="1" t="s">
        <v>1275</v>
      </c>
      <c r="W1167">
        <v>27631.366999999998</v>
      </c>
      <c r="X1167">
        <v>0</v>
      </c>
      <c r="Y1167">
        <v>90611</v>
      </c>
    </row>
    <row r="1168" spans="1:25" ht="15" hidden="1" customHeight="1" x14ac:dyDescent="0.25">
      <c r="A1168" s="1" t="s">
        <v>27</v>
      </c>
      <c r="B1168" s="1"/>
      <c r="C1168" s="1" t="s">
        <v>140</v>
      </c>
      <c r="D1168">
        <v>10209</v>
      </c>
      <c r="E1168" s="1"/>
      <c r="F1168" s="1" t="s">
        <v>140</v>
      </c>
      <c r="G1168" s="1" t="s">
        <v>140</v>
      </c>
      <c r="H1168" s="1" t="s">
        <v>1405</v>
      </c>
      <c r="I1168">
        <v>2013</v>
      </c>
      <c r="J1168" s="93">
        <v>47998.04</v>
      </c>
      <c r="K1168">
        <v>12</v>
      </c>
      <c r="L1168" s="1"/>
      <c r="M1168">
        <v>0</v>
      </c>
      <c r="N1168">
        <v>1839</v>
      </c>
      <c r="O1168">
        <v>26.098655999999998</v>
      </c>
      <c r="P1168">
        <v>2</v>
      </c>
      <c r="Q1168" s="1" t="s">
        <v>569</v>
      </c>
      <c r="R1168" s="93">
        <v>47998.04</v>
      </c>
      <c r="S1168">
        <v>14399.41</v>
      </c>
      <c r="T1168">
        <v>0</v>
      </c>
      <c r="U1168" s="1" t="s">
        <v>992</v>
      </c>
      <c r="V1168" s="1" t="s">
        <v>1275</v>
      </c>
      <c r="W1168">
        <v>47998.034</v>
      </c>
      <c r="X1168">
        <v>0</v>
      </c>
      <c r="Y1168">
        <v>90611</v>
      </c>
    </row>
    <row r="1169" spans="1:25" ht="15" hidden="1" customHeight="1" x14ac:dyDescent="0.25">
      <c r="A1169" s="1" t="s">
        <v>27</v>
      </c>
      <c r="B1169" s="1"/>
      <c r="C1169" s="1" t="s">
        <v>140</v>
      </c>
      <c r="D1169">
        <v>10209</v>
      </c>
      <c r="E1169" s="1"/>
      <c r="F1169" s="1" t="s">
        <v>140</v>
      </c>
      <c r="G1169" s="1" t="s">
        <v>140</v>
      </c>
      <c r="H1169" s="1" t="s">
        <v>1405</v>
      </c>
      <c r="I1169">
        <v>2012</v>
      </c>
      <c r="J1169" s="93">
        <v>54145.37</v>
      </c>
      <c r="K1169">
        <v>12</v>
      </c>
      <c r="L1169" s="1"/>
      <c r="M1169">
        <v>0</v>
      </c>
      <c r="N1169">
        <v>1839</v>
      </c>
      <c r="O1169">
        <v>29.441231999999999</v>
      </c>
      <c r="P1169">
        <v>2</v>
      </c>
      <c r="Q1169" s="1" t="s">
        <v>569</v>
      </c>
      <c r="R1169" s="93">
        <v>54145.37</v>
      </c>
      <c r="S1169">
        <v>21658.15</v>
      </c>
      <c r="T1169">
        <v>0</v>
      </c>
      <c r="U1169" s="1" t="s">
        <v>992</v>
      </c>
      <c r="V1169" s="1" t="s">
        <v>1275</v>
      </c>
      <c r="W1169">
        <v>54145.366999999998</v>
      </c>
      <c r="X1169">
        <v>0</v>
      </c>
      <c r="Y1169">
        <v>90611</v>
      </c>
    </row>
    <row r="1170" spans="1:25" ht="15" hidden="1" customHeight="1" x14ac:dyDescent="0.25">
      <c r="A1170" s="1" t="s">
        <v>27</v>
      </c>
      <c r="B1170" s="1"/>
      <c r="C1170" s="1" t="s">
        <v>140</v>
      </c>
      <c r="D1170">
        <v>10209</v>
      </c>
      <c r="E1170" s="1"/>
      <c r="F1170" s="1" t="s">
        <v>140</v>
      </c>
      <c r="G1170" s="1" t="s">
        <v>140</v>
      </c>
      <c r="H1170" s="1" t="s">
        <v>1405</v>
      </c>
      <c r="I1170">
        <v>2011</v>
      </c>
      <c r="J1170" s="93">
        <v>58568.639999999999</v>
      </c>
      <c r="K1170">
        <v>12</v>
      </c>
      <c r="L1170" s="1"/>
      <c r="M1170">
        <v>0</v>
      </c>
      <c r="N1170">
        <v>1839</v>
      </c>
      <c r="O1170">
        <v>31.846359</v>
      </c>
      <c r="P1170">
        <v>2</v>
      </c>
      <c r="Q1170" s="1" t="s">
        <v>569</v>
      </c>
      <c r="R1170" s="93">
        <v>58568.639999999999</v>
      </c>
      <c r="S1170">
        <v>27468.69</v>
      </c>
      <c r="T1170">
        <v>0</v>
      </c>
      <c r="U1170" s="1" t="s">
        <v>992</v>
      </c>
      <c r="V1170" s="1" t="s">
        <v>1275</v>
      </c>
      <c r="W1170">
        <v>58568.633999999998</v>
      </c>
      <c r="X1170">
        <v>0</v>
      </c>
      <c r="Y1170">
        <v>90611</v>
      </c>
    </row>
    <row r="1171" spans="1:25" ht="15" hidden="1" customHeight="1" x14ac:dyDescent="0.25">
      <c r="A1171" s="1" t="s">
        <v>27</v>
      </c>
      <c r="B1171" s="1"/>
      <c r="C1171" s="1" t="s">
        <v>140</v>
      </c>
      <c r="D1171">
        <v>10209</v>
      </c>
      <c r="E1171" s="1"/>
      <c r="F1171" s="1" t="s">
        <v>140</v>
      </c>
      <c r="G1171" s="1" t="s">
        <v>140</v>
      </c>
      <c r="H1171" s="1" t="s">
        <v>1405</v>
      </c>
      <c r="I1171">
        <v>2010</v>
      </c>
      <c r="J1171" s="93">
        <v>53852.54</v>
      </c>
      <c r="K1171">
        <v>4</v>
      </c>
      <c r="L1171" s="1" t="s">
        <v>405</v>
      </c>
      <c r="M1171">
        <v>0</v>
      </c>
      <c r="N1171">
        <v>1839</v>
      </c>
      <c r="O1171">
        <v>29.282007</v>
      </c>
      <c r="P1171">
        <v>2</v>
      </c>
      <c r="Q1171" s="1" t="s">
        <v>569</v>
      </c>
      <c r="R1171" s="93">
        <v>53852.54</v>
      </c>
      <c r="S1171">
        <v>25256.85</v>
      </c>
      <c r="T1171">
        <v>0</v>
      </c>
      <c r="U1171" s="1" t="s">
        <v>993</v>
      </c>
      <c r="V1171" s="1" t="s">
        <v>1275</v>
      </c>
      <c r="W1171">
        <v>53852.559439999997</v>
      </c>
      <c r="X1171">
        <v>0</v>
      </c>
      <c r="Y1171">
        <v>77416</v>
      </c>
    </row>
    <row r="1172" spans="1:25" ht="15" hidden="1" customHeight="1" x14ac:dyDescent="0.25">
      <c r="A1172" s="1" t="s">
        <v>27</v>
      </c>
      <c r="B1172" s="1"/>
      <c r="C1172" s="1" t="s">
        <v>140</v>
      </c>
      <c r="D1172">
        <v>10209</v>
      </c>
      <c r="E1172" s="1"/>
      <c r="F1172" s="1" t="s">
        <v>140</v>
      </c>
      <c r="G1172" s="1" t="s">
        <v>140</v>
      </c>
      <c r="H1172" s="1" t="s">
        <v>1405</v>
      </c>
      <c r="I1172">
        <v>2010</v>
      </c>
      <c r="J1172" s="93">
        <v>10362.83</v>
      </c>
      <c r="K1172">
        <v>2</v>
      </c>
      <c r="L1172" s="1"/>
      <c r="M1172">
        <v>0</v>
      </c>
      <c r="N1172">
        <v>1839</v>
      </c>
      <c r="O1172">
        <v>5.634728</v>
      </c>
      <c r="P1172">
        <v>2</v>
      </c>
      <c r="Q1172" s="1" t="s">
        <v>569</v>
      </c>
      <c r="R1172" s="93">
        <v>10362.83</v>
      </c>
      <c r="S1172">
        <v>4860.16</v>
      </c>
      <c r="T1172">
        <v>0</v>
      </c>
      <c r="U1172" s="1" t="s">
        <v>992</v>
      </c>
      <c r="V1172" s="1" t="s">
        <v>1275</v>
      </c>
      <c r="W1172">
        <v>10362.833000000001</v>
      </c>
      <c r="X1172">
        <v>0</v>
      </c>
      <c r="Y1172">
        <v>90611</v>
      </c>
    </row>
    <row r="1173" spans="1:25" ht="15" hidden="1" customHeight="1" x14ac:dyDescent="0.25">
      <c r="A1173" s="1" t="s">
        <v>27</v>
      </c>
      <c r="B1173" s="1"/>
      <c r="C1173" s="1" t="s">
        <v>140</v>
      </c>
      <c r="D1173">
        <v>10209</v>
      </c>
      <c r="E1173" s="1"/>
      <c r="F1173" s="1" t="s">
        <v>140</v>
      </c>
      <c r="G1173" s="1" t="s">
        <v>140</v>
      </c>
      <c r="H1173" s="1" t="s">
        <v>1405</v>
      </c>
      <c r="I1173">
        <v>2009</v>
      </c>
      <c r="J1173" s="93">
        <v>67972.899999999994</v>
      </c>
      <c r="K1173">
        <v>3</v>
      </c>
      <c r="L1173" s="1" t="s">
        <v>405</v>
      </c>
      <c r="M1173">
        <v>0</v>
      </c>
      <c r="N1173">
        <v>1839</v>
      </c>
      <c r="O1173">
        <v>36.959871</v>
      </c>
      <c r="P1173">
        <v>2</v>
      </c>
      <c r="Q1173" s="1" t="s">
        <v>569</v>
      </c>
      <c r="R1173" s="93">
        <v>67972.899999999994</v>
      </c>
      <c r="S1173">
        <v>31879.33</v>
      </c>
      <c r="T1173">
        <v>0</v>
      </c>
      <c r="U1173" s="1" t="s">
        <v>993</v>
      </c>
      <c r="V1173" s="1" t="s">
        <v>1275</v>
      </c>
      <c r="W1173">
        <v>67972.888819999993</v>
      </c>
      <c r="X1173">
        <v>0</v>
      </c>
      <c r="Y1173">
        <v>77416</v>
      </c>
    </row>
    <row r="1174" spans="1:25" ht="15" hidden="1" customHeight="1" x14ac:dyDescent="0.25">
      <c r="A1174" s="1" t="s">
        <v>27</v>
      </c>
      <c r="B1174" s="1"/>
      <c r="C1174" s="1" t="s">
        <v>140</v>
      </c>
      <c r="D1174">
        <v>10209</v>
      </c>
      <c r="E1174" s="1"/>
      <c r="F1174" s="1" t="s">
        <v>140</v>
      </c>
      <c r="G1174" s="1" t="s">
        <v>140</v>
      </c>
      <c r="H1174" s="1" t="s">
        <v>1405</v>
      </c>
      <c r="I1174">
        <v>2008</v>
      </c>
      <c r="J1174" s="93">
        <v>44548.54</v>
      </c>
      <c r="K1174">
        <v>9</v>
      </c>
      <c r="L1174" s="1" t="s">
        <v>405</v>
      </c>
      <c r="M1174">
        <v>0</v>
      </c>
      <c r="N1174">
        <v>1839</v>
      </c>
      <c r="O1174">
        <v>24.223011</v>
      </c>
      <c r="P1174">
        <v>2</v>
      </c>
      <c r="Q1174" s="1" t="s">
        <v>569</v>
      </c>
      <c r="R1174" s="93">
        <v>44548.54</v>
      </c>
      <c r="S1174">
        <v>20893.27</v>
      </c>
      <c r="T1174">
        <v>0</v>
      </c>
      <c r="U1174" s="1" t="s">
        <v>993</v>
      </c>
      <c r="V1174" s="1" t="s">
        <v>1275</v>
      </c>
      <c r="W1174">
        <v>44548.551729999999</v>
      </c>
      <c r="X1174">
        <v>0</v>
      </c>
      <c r="Y1174">
        <v>77416</v>
      </c>
    </row>
    <row r="1175" spans="1:25" ht="15" hidden="1" customHeight="1" x14ac:dyDescent="0.25">
      <c r="A1175" s="1" t="s">
        <v>27</v>
      </c>
      <c r="B1175" s="1"/>
      <c r="C1175" s="1" t="s">
        <v>137</v>
      </c>
      <c r="D1175">
        <v>5950</v>
      </c>
      <c r="E1175" s="1"/>
      <c r="F1175" s="1" t="s">
        <v>137</v>
      </c>
      <c r="G1175" s="1" t="s">
        <v>137</v>
      </c>
      <c r="H1175" s="1" t="s">
        <v>1405</v>
      </c>
      <c r="I1175">
        <v>2014</v>
      </c>
      <c r="J1175" s="93">
        <v>364.22</v>
      </c>
      <c r="K1175">
        <v>12</v>
      </c>
      <c r="L1175" s="1"/>
      <c r="M1175">
        <v>0</v>
      </c>
      <c r="N1175">
        <v>500</v>
      </c>
      <c r="O1175">
        <v>0.728294</v>
      </c>
      <c r="P1175">
        <v>3</v>
      </c>
      <c r="Q1175" s="1" t="s">
        <v>560</v>
      </c>
      <c r="R1175" s="93">
        <v>364.22</v>
      </c>
      <c r="S1175">
        <v>291.39</v>
      </c>
      <c r="T1175">
        <v>0</v>
      </c>
      <c r="U1175" s="1" t="s">
        <v>607</v>
      </c>
      <c r="V1175" s="1"/>
      <c r="W1175">
        <v>364.23700000000002</v>
      </c>
      <c r="X1175">
        <v>0</v>
      </c>
      <c r="Y1175">
        <v>90554</v>
      </c>
    </row>
    <row r="1176" spans="1:25" ht="15" hidden="1" customHeight="1" x14ac:dyDescent="0.25">
      <c r="A1176" s="1" t="s">
        <v>27</v>
      </c>
      <c r="B1176" s="1"/>
      <c r="C1176" s="1" t="s">
        <v>137</v>
      </c>
      <c r="D1176">
        <v>5950</v>
      </c>
      <c r="E1176" s="1"/>
      <c r="F1176" s="1" t="s">
        <v>137</v>
      </c>
      <c r="G1176" s="1" t="s">
        <v>137</v>
      </c>
      <c r="H1176" s="1" t="s">
        <v>1405</v>
      </c>
      <c r="I1176">
        <v>2014</v>
      </c>
      <c r="J1176" s="93">
        <v>80405.679999999993</v>
      </c>
      <c r="K1176">
        <v>12</v>
      </c>
      <c r="L1176" s="1" t="s">
        <v>520</v>
      </c>
      <c r="M1176">
        <v>0</v>
      </c>
      <c r="N1176">
        <v>500</v>
      </c>
      <c r="O1176">
        <v>160.77920399999999</v>
      </c>
      <c r="P1176">
        <v>2</v>
      </c>
      <c r="Q1176" s="1" t="s">
        <v>569</v>
      </c>
      <c r="R1176" s="93">
        <v>80405.679999999993</v>
      </c>
      <c r="S1176">
        <v>32162.28</v>
      </c>
      <c r="T1176">
        <v>0</v>
      </c>
      <c r="U1176" s="1" t="s">
        <v>987</v>
      </c>
      <c r="V1176" s="1"/>
      <c r="W1176">
        <v>80405.682000000001</v>
      </c>
      <c r="X1176">
        <v>0</v>
      </c>
      <c r="Y1176">
        <v>59968</v>
      </c>
    </row>
    <row r="1177" spans="1:25" ht="15" hidden="1" customHeight="1" x14ac:dyDescent="0.25">
      <c r="A1177" s="1" t="s">
        <v>27</v>
      </c>
      <c r="B1177" s="1" t="s">
        <v>63</v>
      </c>
      <c r="C1177" s="1" t="s">
        <v>139</v>
      </c>
      <c r="D1177">
        <v>5279</v>
      </c>
      <c r="E1177" s="1"/>
      <c r="F1177" s="1" t="s">
        <v>277</v>
      </c>
      <c r="G1177" s="1" t="s">
        <v>139</v>
      </c>
      <c r="H1177" s="1" t="s">
        <v>1396</v>
      </c>
      <c r="I1177">
        <v>2014</v>
      </c>
      <c r="J1177" s="93">
        <v>131494.65</v>
      </c>
      <c r="K1177">
        <v>12</v>
      </c>
      <c r="L1177" s="1" t="s">
        <v>477</v>
      </c>
      <c r="M1177">
        <v>0</v>
      </c>
      <c r="N1177">
        <v>1603</v>
      </c>
      <c r="O1177">
        <v>82.025232000000003</v>
      </c>
      <c r="P1177">
        <v>1</v>
      </c>
      <c r="Q1177" s="1" t="s">
        <v>563</v>
      </c>
      <c r="R1177" s="93">
        <v>131494.65</v>
      </c>
      <c r="S1177">
        <v>320304.3</v>
      </c>
      <c r="T1177">
        <v>1</v>
      </c>
      <c r="U1177" s="1" t="s">
        <v>789</v>
      </c>
      <c r="V1177" s="1"/>
      <c r="W1177">
        <v>3768.835</v>
      </c>
      <c r="X1177">
        <v>0</v>
      </c>
      <c r="Y1177">
        <v>57002</v>
      </c>
    </row>
    <row r="1178" spans="1:25" ht="15" hidden="1" customHeight="1" x14ac:dyDescent="0.25">
      <c r="A1178" s="1" t="s">
        <v>27</v>
      </c>
      <c r="B1178" s="1" t="s">
        <v>63</v>
      </c>
      <c r="C1178" s="1" t="s">
        <v>139</v>
      </c>
      <c r="D1178">
        <v>5279</v>
      </c>
      <c r="E1178" s="1"/>
      <c r="F1178" s="1" t="s">
        <v>277</v>
      </c>
      <c r="G1178" s="1" t="s">
        <v>139</v>
      </c>
      <c r="H1178" s="1" t="s">
        <v>1405</v>
      </c>
      <c r="I1178">
        <v>2014</v>
      </c>
      <c r="J1178" s="93">
        <v>891.85</v>
      </c>
      <c r="K1178">
        <v>12</v>
      </c>
      <c r="L1178" s="1" t="s">
        <v>404</v>
      </c>
      <c r="M1178">
        <v>0</v>
      </c>
      <c r="N1178">
        <v>1603</v>
      </c>
      <c r="O1178">
        <v>0.55632800000000004</v>
      </c>
      <c r="P1178">
        <v>3</v>
      </c>
      <c r="Q1178" s="1" t="s">
        <v>560</v>
      </c>
      <c r="R1178" s="93">
        <v>891.85</v>
      </c>
      <c r="S1178">
        <v>713.44</v>
      </c>
      <c r="T1178">
        <v>0</v>
      </c>
      <c r="U1178" s="1" t="s">
        <v>609</v>
      </c>
      <c r="V1178" s="1"/>
      <c r="W1178">
        <v>891.83100000000002</v>
      </c>
      <c r="X1178">
        <v>0</v>
      </c>
      <c r="Y1178">
        <v>56883</v>
      </c>
    </row>
    <row r="1179" spans="1:25" ht="15" hidden="1" customHeight="1" x14ac:dyDescent="0.25">
      <c r="A1179" s="1" t="s">
        <v>27</v>
      </c>
      <c r="B1179" s="1" t="s">
        <v>63</v>
      </c>
      <c r="C1179" s="1" t="s">
        <v>139</v>
      </c>
      <c r="D1179">
        <v>5279</v>
      </c>
      <c r="E1179" s="1"/>
      <c r="F1179" s="1" t="s">
        <v>277</v>
      </c>
      <c r="G1179" s="1" t="s">
        <v>139</v>
      </c>
      <c r="H1179" s="1" t="s">
        <v>1405</v>
      </c>
      <c r="I1179">
        <v>2014</v>
      </c>
      <c r="J1179" s="93">
        <v>121713.5</v>
      </c>
      <c r="K1179">
        <v>12</v>
      </c>
      <c r="L1179" s="1" t="s">
        <v>477</v>
      </c>
      <c r="M1179">
        <v>0</v>
      </c>
      <c r="N1179">
        <v>1603</v>
      </c>
      <c r="O1179">
        <v>75.923834999999997</v>
      </c>
      <c r="P1179">
        <v>1</v>
      </c>
      <c r="Q1179" s="1" t="s">
        <v>562</v>
      </c>
      <c r="R1179" s="93">
        <v>145047.82999999999</v>
      </c>
      <c r="S1179">
        <v>11480704.66</v>
      </c>
      <c r="T1179">
        <v>0</v>
      </c>
      <c r="U1179" s="1" t="s">
        <v>789</v>
      </c>
      <c r="V1179" s="1"/>
      <c r="W1179">
        <v>121713.5</v>
      </c>
      <c r="X1179">
        <v>0</v>
      </c>
      <c r="Y1179">
        <v>56882</v>
      </c>
    </row>
    <row r="1180" spans="1:25" ht="15" hidden="1" customHeight="1" x14ac:dyDescent="0.25">
      <c r="A1180" s="1" t="s">
        <v>27</v>
      </c>
      <c r="B1180" s="1" t="s">
        <v>63</v>
      </c>
      <c r="C1180" s="1" t="s">
        <v>139</v>
      </c>
      <c r="D1180">
        <v>5279</v>
      </c>
      <c r="E1180" s="1"/>
      <c r="F1180" s="1" t="s">
        <v>277</v>
      </c>
      <c r="G1180" s="1" t="s">
        <v>139</v>
      </c>
      <c r="H1180" s="1" t="s">
        <v>1405</v>
      </c>
      <c r="I1180">
        <v>2014</v>
      </c>
      <c r="J1180" s="93">
        <v>99227.41</v>
      </c>
      <c r="K1180">
        <v>12</v>
      </c>
      <c r="L1180" s="1" t="s">
        <v>404</v>
      </c>
      <c r="M1180">
        <v>0</v>
      </c>
      <c r="N1180">
        <v>1603</v>
      </c>
      <c r="O1180">
        <v>61.897205</v>
      </c>
      <c r="P1180">
        <v>2</v>
      </c>
      <c r="Q1180" s="1" t="s">
        <v>569</v>
      </c>
      <c r="R1180" s="93">
        <v>99227.41</v>
      </c>
      <c r="S1180">
        <v>39690.97</v>
      </c>
      <c r="T1180">
        <v>0</v>
      </c>
      <c r="U1180" s="1" t="s">
        <v>989</v>
      </c>
      <c r="V1180" s="1" t="s">
        <v>1274</v>
      </c>
      <c r="W1180">
        <v>99227.43</v>
      </c>
      <c r="X1180">
        <v>0</v>
      </c>
      <c r="Y1180">
        <v>56881</v>
      </c>
    </row>
    <row r="1181" spans="1:25" ht="15" hidden="1" customHeight="1" x14ac:dyDescent="0.25">
      <c r="A1181" s="1" t="s">
        <v>27</v>
      </c>
      <c r="B1181" s="1" t="s">
        <v>63</v>
      </c>
      <c r="C1181" s="1" t="s">
        <v>139</v>
      </c>
      <c r="D1181">
        <v>5279</v>
      </c>
      <c r="E1181" s="1"/>
      <c r="F1181" s="1" t="s">
        <v>277</v>
      </c>
      <c r="G1181" s="1" t="s">
        <v>139</v>
      </c>
      <c r="H1181" s="1" t="s">
        <v>1405</v>
      </c>
      <c r="I1181">
        <v>2014</v>
      </c>
      <c r="J1181" s="93">
        <v>711.2</v>
      </c>
      <c r="K1181">
        <v>2</v>
      </c>
      <c r="L1181" s="1" t="s">
        <v>521</v>
      </c>
      <c r="M1181">
        <v>0</v>
      </c>
      <c r="N1181">
        <v>1603</v>
      </c>
      <c r="O1181">
        <v>0.44363999999999998</v>
      </c>
      <c r="P1181">
        <v>2</v>
      </c>
      <c r="Q1181" s="1" t="s">
        <v>569</v>
      </c>
      <c r="R1181" s="93">
        <v>711.2</v>
      </c>
      <c r="S1181">
        <v>213.36</v>
      </c>
      <c r="T1181">
        <v>1</v>
      </c>
      <c r="U1181" s="1" t="s">
        <v>990</v>
      </c>
      <c r="V1181" s="1"/>
      <c r="W1181">
        <v>711.2</v>
      </c>
      <c r="X1181">
        <v>0</v>
      </c>
      <c r="Y1181">
        <v>96387</v>
      </c>
    </row>
    <row r="1182" spans="1:25" ht="15" hidden="1" customHeight="1" x14ac:dyDescent="0.25">
      <c r="A1182" s="1" t="s">
        <v>27</v>
      </c>
      <c r="B1182" s="1" t="s">
        <v>63</v>
      </c>
      <c r="C1182" s="1" t="s">
        <v>139</v>
      </c>
      <c r="D1182">
        <v>5279</v>
      </c>
      <c r="E1182" s="1"/>
      <c r="F1182" s="1" t="s">
        <v>277</v>
      </c>
      <c r="G1182" s="1" t="s">
        <v>139</v>
      </c>
      <c r="H1182" s="1" t="s">
        <v>1405</v>
      </c>
      <c r="I1182">
        <v>2014</v>
      </c>
      <c r="J1182" s="93">
        <v>881.3</v>
      </c>
      <c r="K1182">
        <v>2</v>
      </c>
      <c r="L1182" s="1" t="s">
        <v>521</v>
      </c>
      <c r="M1182">
        <v>0</v>
      </c>
      <c r="N1182">
        <v>1603</v>
      </c>
      <c r="O1182">
        <v>0.54974699999999999</v>
      </c>
      <c r="P1182">
        <v>2</v>
      </c>
      <c r="Q1182" s="1" t="s">
        <v>569</v>
      </c>
      <c r="R1182" s="93">
        <v>881.3</v>
      </c>
      <c r="S1182">
        <v>264.39</v>
      </c>
      <c r="T1182">
        <v>1</v>
      </c>
      <c r="U1182" s="1" t="s">
        <v>991</v>
      </c>
      <c r="V1182" s="1"/>
      <c r="W1182">
        <v>881.3</v>
      </c>
      <c r="X1182">
        <v>0</v>
      </c>
      <c r="Y1182">
        <v>96388</v>
      </c>
    </row>
    <row r="1183" spans="1:25" ht="15" hidden="1" customHeight="1" x14ac:dyDescent="0.25">
      <c r="A1183" s="1" t="s">
        <v>27</v>
      </c>
      <c r="B1183" s="1"/>
      <c r="C1183" s="1" t="s">
        <v>140</v>
      </c>
      <c r="D1183">
        <v>10209</v>
      </c>
      <c r="E1183" s="1"/>
      <c r="F1183" s="1" t="s">
        <v>140</v>
      </c>
      <c r="G1183" s="1" t="s">
        <v>140</v>
      </c>
      <c r="H1183" s="1" t="s">
        <v>1405</v>
      </c>
      <c r="I1183">
        <v>2014</v>
      </c>
      <c r="J1183" s="93">
        <v>155870.01</v>
      </c>
      <c r="K1183">
        <v>12</v>
      </c>
      <c r="L1183" s="1" t="s">
        <v>426</v>
      </c>
      <c r="M1183">
        <v>0</v>
      </c>
      <c r="N1183">
        <v>1839</v>
      </c>
      <c r="O1183">
        <v>84.753416999999999</v>
      </c>
      <c r="P1183">
        <v>1</v>
      </c>
      <c r="Q1183" s="1" t="s">
        <v>565</v>
      </c>
      <c r="R1183" s="93">
        <v>185502.3</v>
      </c>
      <c r="S1183">
        <v>11872.16</v>
      </c>
      <c r="T1183">
        <v>0</v>
      </c>
      <c r="U1183" s="1" t="s">
        <v>790</v>
      </c>
      <c r="V1183" s="1"/>
      <c r="W1183">
        <v>155.87001000000001</v>
      </c>
      <c r="X1183">
        <v>0</v>
      </c>
      <c r="Y1183">
        <v>89457</v>
      </c>
    </row>
    <row r="1184" spans="1:25" ht="15" hidden="1" customHeight="1" x14ac:dyDescent="0.25">
      <c r="A1184" s="1" t="s">
        <v>27</v>
      </c>
      <c r="B1184" s="1"/>
      <c r="C1184" s="1" t="s">
        <v>140</v>
      </c>
      <c r="D1184">
        <v>10209</v>
      </c>
      <c r="E1184" s="1"/>
      <c r="F1184" s="1" t="s">
        <v>140</v>
      </c>
      <c r="G1184" s="1" t="s">
        <v>140</v>
      </c>
      <c r="H1184" s="1" t="s">
        <v>1405</v>
      </c>
      <c r="I1184">
        <v>2014</v>
      </c>
      <c r="J1184" s="93">
        <v>1071.4000000000001</v>
      </c>
      <c r="K1184">
        <v>12</v>
      </c>
      <c r="L1184" s="1" t="s">
        <v>416</v>
      </c>
      <c r="M1184">
        <v>0</v>
      </c>
      <c r="N1184">
        <v>1839</v>
      </c>
      <c r="O1184">
        <v>0.58256699999999995</v>
      </c>
      <c r="P1184">
        <v>3</v>
      </c>
      <c r="Q1184" s="1" t="s">
        <v>560</v>
      </c>
      <c r="R1184" s="93">
        <v>1071.4000000000001</v>
      </c>
      <c r="S1184">
        <v>857.12</v>
      </c>
      <c r="T1184">
        <v>0</v>
      </c>
      <c r="U1184" s="1" t="s">
        <v>610</v>
      </c>
      <c r="V1184" s="1"/>
      <c r="W1184">
        <v>1071.4000000000001</v>
      </c>
      <c r="X1184">
        <v>0</v>
      </c>
      <c r="Y1184">
        <v>77417</v>
      </c>
    </row>
    <row r="1185" spans="1:25" ht="15" hidden="1" customHeight="1" x14ac:dyDescent="0.25">
      <c r="A1185" s="1" t="s">
        <v>27</v>
      </c>
      <c r="B1185" s="1"/>
      <c r="C1185" s="1" t="s">
        <v>140</v>
      </c>
      <c r="D1185">
        <v>10209</v>
      </c>
      <c r="E1185" s="1"/>
      <c r="F1185" s="1" t="s">
        <v>140</v>
      </c>
      <c r="G1185" s="1" t="s">
        <v>140</v>
      </c>
      <c r="H1185" s="1" t="s">
        <v>1405</v>
      </c>
      <c r="I1185">
        <v>2014</v>
      </c>
      <c r="J1185" s="93">
        <f>52196.98+3000</f>
        <v>55196.98</v>
      </c>
      <c r="K1185">
        <v>11</v>
      </c>
      <c r="L1185" s="1"/>
      <c r="M1185">
        <v>0</v>
      </c>
      <c r="N1185">
        <v>1839</v>
      </c>
      <c r="O1185">
        <v>28.381806000000001</v>
      </c>
      <c r="P1185">
        <v>2</v>
      </c>
      <c r="Q1185" s="1" t="s">
        <v>569</v>
      </c>
      <c r="R1185" s="93">
        <f>52196.98+3000</f>
        <v>55196.98</v>
      </c>
      <c r="S1185">
        <v>15659.1</v>
      </c>
      <c r="T1185">
        <v>0</v>
      </c>
      <c r="U1185" s="1" t="s">
        <v>992</v>
      </c>
      <c r="V1185" s="1" t="s">
        <v>1275</v>
      </c>
      <c r="W1185">
        <v>52196.998</v>
      </c>
      <c r="X1185">
        <v>0</v>
      </c>
      <c r="Y1185">
        <v>90611</v>
      </c>
    </row>
    <row r="1186" spans="1:25" ht="15" hidden="1" customHeight="1" x14ac:dyDescent="0.25">
      <c r="A1186" s="1" t="s">
        <v>28</v>
      </c>
      <c r="B1186" s="1"/>
      <c r="C1186" s="1" t="s">
        <v>141</v>
      </c>
      <c r="D1186">
        <v>9979</v>
      </c>
      <c r="E1186" s="1"/>
      <c r="F1186" s="1" t="s">
        <v>278</v>
      </c>
      <c r="G1186" s="1" t="s">
        <v>141</v>
      </c>
      <c r="H1186" s="1" t="s">
        <v>1405</v>
      </c>
      <c r="I1186">
        <v>2015</v>
      </c>
      <c r="J1186" s="93">
        <v>225</v>
      </c>
      <c r="K1186">
        <v>1</v>
      </c>
      <c r="L1186" s="1" t="s">
        <v>418</v>
      </c>
      <c r="M1186">
        <v>0</v>
      </c>
      <c r="N1186">
        <v>290</v>
      </c>
      <c r="O1186">
        <v>1.8269000000000001E-2</v>
      </c>
      <c r="P1186">
        <v>3</v>
      </c>
      <c r="Q1186" s="1" t="s">
        <v>560</v>
      </c>
      <c r="R1186" s="93">
        <v>5.3</v>
      </c>
      <c r="S1186">
        <v>4.24</v>
      </c>
      <c r="T1186">
        <v>0</v>
      </c>
      <c r="U1186" s="1"/>
      <c r="V1186" s="1"/>
      <c r="W1186">
        <v>5.3028599999999999</v>
      </c>
      <c r="X1186">
        <v>0</v>
      </c>
      <c r="Y1186">
        <v>76412</v>
      </c>
    </row>
    <row r="1187" spans="1:25" ht="15" hidden="1" customHeight="1" x14ac:dyDescent="0.25">
      <c r="A1187" s="1" t="s">
        <v>28</v>
      </c>
      <c r="B1187" s="1"/>
      <c r="C1187" s="1" t="s">
        <v>141</v>
      </c>
      <c r="D1187">
        <v>9979</v>
      </c>
      <c r="E1187" s="1"/>
      <c r="F1187" s="1" t="s">
        <v>278</v>
      </c>
      <c r="G1187" s="1" t="s">
        <v>141</v>
      </c>
      <c r="H1187" s="1" t="s">
        <v>1405</v>
      </c>
      <c r="I1187">
        <v>2013</v>
      </c>
      <c r="J1187" s="93">
        <v>44.99</v>
      </c>
      <c r="K1187">
        <v>0</v>
      </c>
      <c r="L1187" s="1" t="s">
        <v>418</v>
      </c>
      <c r="M1187">
        <v>0</v>
      </c>
      <c r="N1187">
        <v>290</v>
      </c>
      <c r="O1187">
        <v>0.155084</v>
      </c>
      <c r="P1187">
        <v>3</v>
      </c>
      <c r="Q1187" s="1" t="s">
        <v>560</v>
      </c>
      <c r="R1187" s="93">
        <v>44.99</v>
      </c>
      <c r="S1187">
        <v>36.020000000000003</v>
      </c>
      <c r="T1187">
        <v>0</v>
      </c>
      <c r="U1187" s="1"/>
      <c r="V1187" s="1"/>
      <c r="W1187">
        <v>45.012590000000003</v>
      </c>
      <c r="X1187">
        <v>0</v>
      </c>
      <c r="Y1187">
        <v>76412</v>
      </c>
    </row>
    <row r="1188" spans="1:25" ht="15" hidden="1" customHeight="1" x14ac:dyDescent="0.25">
      <c r="A1188" s="1" t="s">
        <v>28</v>
      </c>
      <c r="B1188" s="1"/>
      <c r="C1188" s="1" t="s">
        <v>141</v>
      </c>
      <c r="D1188">
        <v>9979</v>
      </c>
      <c r="E1188" s="1"/>
      <c r="F1188" s="1" t="s">
        <v>278</v>
      </c>
      <c r="G1188" s="1" t="s">
        <v>141</v>
      </c>
      <c r="H1188" s="1" t="s">
        <v>1405</v>
      </c>
      <c r="I1188">
        <v>2012</v>
      </c>
      <c r="J1188" s="93">
        <v>45.12</v>
      </c>
      <c r="K1188">
        <v>0</v>
      </c>
      <c r="L1188" s="1" t="s">
        <v>418</v>
      </c>
      <c r="M1188">
        <v>0</v>
      </c>
      <c r="N1188">
        <v>290</v>
      </c>
      <c r="O1188">
        <v>0.155532</v>
      </c>
      <c r="P1188">
        <v>3</v>
      </c>
      <c r="Q1188" s="1" t="s">
        <v>560</v>
      </c>
      <c r="R1188" s="93">
        <v>45.12</v>
      </c>
      <c r="S1188">
        <v>36.119999999999997</v>
      </c>
      <c r="T1188">
        <v>0</v>
      </c>
      <c r="U1188" s="1"/>
      <c r="V1188" s="1"/>
      <c r="W1188">
        <v>45.135910000000003</v>
      </c>
      <c r="X1188">
        <v>0</v>
      </c>
      <c r="Y1188">
        <v>76412</v>
      </c>
    </row>
    <row r="1189" spans="1:25" ht="15" hidden="1" customHeight="1" x14ac:dyDescent="0.25">
      <c r="A1189" s="1" t="s">
        <v>28</v>
      </c>
      <c r="B1189" s="1"/>
      <c r="C1189" s="1" t="s">
        <v>141</v>
      </c>
      <c r="D1189">
        <v>9979</v>
      </c>
      <c r="E1189" s="1"/>
      <c r="F1189" s="1" t="s">
        <v>278</v>
      </c>
      <c r="G1189" s="1" t="s">
        <v>141</v>
      </c>
      <c r="H1189" s="1" t="s">
        <v>1405</v>
      </c>
      <c r="I1189">
        <v>2011</v>
      </c>
      <c r="J1189" s="93">
        <v>217.54</v>
      </c>
      <c r="K1189">
        <v>3</v>
      </c>
      <c r="L1189" s="1" t="s">
        <v>418</v>
      </c>
      <c r="M1189">
        <v>0</v>
      </c>
      <c r="N1189">
        <v>290</v>
      </c>
      <c r="O1189">
        <v>0.74987899999999996</v>
      </c>
      <c r="P1189">
        <v>3</v>
      </c>
      <c r="Q1189" s="1" t="s">
        <v>560</v>
      </c>
      <c r="R1189" s="93">
        <v>217.54</v>
      </c>
      <c r="S1189">
        <v>174.03</v>
      </c>
      <c r="T1189">
        <v>0</v>
      </c>
      <c r="U1189" s="1"/>
      <c r="V1189" s="1"/>
      <c r="W1189">
        <v>217.53609</v>
      </c>
      <c r="X1189">
        <v>0</v>
      </c>
      <c r="Y1189">
        <v>76412</v>
      </c>
    </row>
    <row r="1190" spans="1:25" ht="15" hidden="1" customHeight="1" x14ac:dyDescent="0.25">
      <c r="A1190" s="1" t="s">
        <v>28</v>
      </c>
      <c r="B1190" s="1"/>
      <c r="C1190" s="1" t="s">
        <v>141</v>
      </c>
      <c r="D1190">
        <v>9979</v>
      </c>
      <c r="E1190" s="1"/>
      <c r="F1190" s="1" t="s">
        <v>278</v>
      </c>
      <c r="G1190" s="1" t="s">
        <v>141</v>
      </c>
      <c r="H1190" s="1" t="s">
        <v>1405</v>
      </c>
      <c r="I1190">
        <v>2010</v>
      </c>
      <c r="J1190" s="93">
        <v>8.24</v>
      </c>
      <c r="K1190">
        <v>4</v>
      </c>
      <c r="L1190" s="1" t="s">
        <v>418</v>
      </c>
      <c r="M1190">
        <v>0</v>
      </c>
      <c r="N1190">
        <v>290</v>
      </c>
      <c r="O1190">
        <v>2.8403000000000001E-2</v>
      </c>
      <c r="P1190">
        <v>3</v>
      </c>
      <c r="Q1190" s="1" t="s">
        <v>560</v>
      </c>
      <c r="R1190" s="93">
        <v>8.24</v>
      </c>
      <c r="S1190">
        <v>6.59</v>
      </c>
      <c r="T1190">
        <v>0</v>
      </c>
      <c r="U1190" s="1"/>
      <c r="V1190" s="1"/>
      <c r="W1190">
        <v>8.2372800000000002</v>
      </c>
      <c r="X1190">
        <v>0</v>
      </c>
      <c r="Y1190">
        <v>76412</v>
      </c>
    </row>
    <row r="1191" spans="1:25" ht="15" hidden="1" customHeight="1" x14ac:dyDescent="0.25">
      <c r="A1191" s="1" t="s">
        <v>28</v>
      </c>
      <c r="B1191" s="1"/>
      <c r="C1191" s="1" t="s">
        <v>141</v>
      </c>
      <c r="D1191">
        <v>9979</v>
      </c>
      <c r="E1191" s="1"/>
      <c r="F1191" s="1" t="s">
        <v>278</v>
      </c>
      <c r="G1191" s="1" t="s">
        <v>141</v>
      </c>
      <c r="H1191" s="1" t="s">
        <v>1405</v>
      </c>
      <c r="I1191">
        <v>2009</v>
      </c>
      <c r="J1191" s="93">
        <v>87.75</v>
      </c>
      <c r="K1191">
        <v>6</v>
      </c>
      <c r="L1191" s="1" t="s">
        <v>418</v>
      </c>
      <c r="M1191">
        <v>0</v>
      </c>
      <c r="N1191">
        <v>290</v>
      </c>
      <c r="O1191">
        <v>0.302481</v>
      </c>
      <c r="P1191">
        <v>3</v>
      </c>
      <c r="Q1191" s="1" t="s">
        <v>560</v>
      </c>
      <c r="R1191" s="93">
        <v>87.75</v>
      </c>
      <c r="S1191">
        <v>70.22</v>
      </c>
      <c r="T1191">
        <v>0</v>
      </c>
      <c r="U1191" s="1"/>
      <c r="V1191" s="1"/>
      <c r="W1191">
        <v>87.762730000000005</v>
      </c>
      <c r="X1191">
        <v>0</v>
      </c>
      <c r="Y1191">
        <v>76412</v>
      </c>
    </row>
    <row r="1192" spans="1:25" ht="15" hidden="1" customHeight="1" x14ac:dyDescent="0.25">
      <c r="A1192" s="1" t="s">
        <v>28</v>
      </c>
      <c r="B1192" s="1"/>
      <c r="C1192" s="1" t="s">
        <v>141</v>
      </c>
      <c r="D1192">
        <v>9979</v>
      </c>
      <c r="E1192" s="1"/>
      <c r="F1192" s="1" t="s">
        <v>278</v>
      </c>
      <c r="G1192" s="1" t="s">
        <v>141</v>
      </c>
      <c r="H1192" s="1" t="s">
        <v>1405</v>
      </c>
      <c r="I1192">
        <v>2008</v>
      </c>
      <c r="J1192" s="93">
        <v>186.58</v>
      </c>
      <c r="K1192">
        <v>7</v>
      </c>
      <c r="L1192" s="1" t="s">
        <v>418</v>
      </c>
      <c r="M1192">
        <v>0</v>
      </c>
      <c r="N1192">
        <v>290</v>
      </c>
      <c r="O1192">
        <v>0.64315699999999998</v>
      </c>
      <c r="P1192">
        <v>3</v>
      </c>
      <c r="Q1192" s="1" t="s">
        <v>560</v>
      </c>
      <c r="R1192" s="93">
        <v>186.58</v>
      </c>
      <c r="S1192">
        <v>149.24</v>
      </c>
      <c r="T1192">
        <v>0</v>
      </c>
      <c r="U1192" s="1"/>
      <c r="V1192" s="1"/>
      <c r="W1192">
        <v>186.55208999999999</v>
      </c>
      <c r="X1192">
        <v>0</v>
      </c>
      <c r="Y1192">
        <v>76412</v>
      </c>
    </row>
    <row r="1193" spans="1:25" ht="15" hidden="1" customHeight="1" x14ac:dyDescent="0.25">
      <c r="A1193" s="1" t="s">
        <v>28</v>
      </c>
      <c r="B1193" s="1"/>
      <c r="C1193" s="1" t="s">
        <v>142</v>
      </c>
      <c r="D1193">
        <v>10271</v>
      </c>
      <c r="E1193" s="1"/>
      <c r="F1193" s="1" t="s">
        <v>279</v>
      </c>
      <c r="G1193" s="1" t="s">
        <v>142</v>
      </c>
      <c r="H1193" s="1" t="s">
        <v>1405</v>
      </c>
      <c r="I1193">
        <v>2015</v>
      </c>
      <c r="J1193" s="93">
        <v>113</v>
      </c>
      <c r="K1193">
        <v>1</v>
      </c>
      <c r="L1193" s="1" t="s">
        <v>419</v>
      </c>
      <c r="M1193">
        <v>0</v>
      </c>
      <c r="N1193">
        <v>123</v>
      </c>
      <c r="O1193">
        <v>1.0154E-2</v>
      </c>
      <c r="P1193">
        <v>3</v>
      </c>
      <c r="Q1193" s="1" t="s">
        <v>560</v>
      </c>
      <c r="R1193" s="93">
        <v>1.25</v>
      </c>
      <c r="S1193">
        <v>1</v>
      </c>
      <c r="T1193">
        <v>0</v>
      </c>
      <c r="U1193" s="1" t="s">
        <v>612</v>
      </c>
      <c r="V1193" s="1"/>
      <c r="W1193">
        <v>1.24752</v>
      </c>
      <c r="X1193">
        <v>0</v>
      </c>
      <c r="Y1193">
        <v>77654</v>
      </c>
    </row>
    <row r="1194" spans="1:25" ht="15" hidden="1" customHeight="1" x14ac:dyDescent="0.25">
      <c r="A1194" s="1" t="s">
        <v>28</v>
      </c>
      <c r="B1194" s="1"/>
      <c r="C1194" s="1" t="s">
        <v>142</v>
      </c>
      <c r="D1194">
        <v>10271</v>
      </c>
      <c r="E1194" s="1"/>
      <c r="F1194" s="1" t="s">
        <v>279</v>
      </c>
      <c r="G1194" s="1" t="s">
        <v>142</v>
      </c>
      <c r="H1194" s="1" t="s">
        <v>1405</v>
      </c>
      <c r="I1194">
        <v>2013</v>
      </c>
      <c r="J1194" s="93">
        <v>11.38</v>
      </c>
      <c r="K1194">
        <v>7</v>
      </c>
      <c r="L1194" s="1" t="s">
        <v>419</v>
      </c>
      <c r="M1194">
        <v>0</v>
      </c>
      <c r="N1194">
        <v>123</v>
      </c>
      <c r="O1194">
        <v>9.2444999999999999E-2</v>
      </c>
      <c r="P1194">
        <v>3</v>
      </c>
      <c r="Q1194" s="1" t="s">
        <v>560</v>
      </c>
      <c r="R1194" s="93">
        <v>11.38</v>
      </c>
      <c r="S1194">
        <v>9.11</v>
      </c>
      <c r="T1194">
        <v>0</v>
      </c>
      <c r="U1194" s="1" t="s">
        <v>612</v>
      </c>
      <c r="V1194" s="1"/>
      <c r="W1194">
        <v>11.382350000000001</v>
      </c>
      <c r="X1194">
        <v>0</v>
      </c>
      <c r="Y1194">
        <v>77654</v>
      </c>
    </row>
    <row r="1195" spans="1:25" ht="15" hidden="1" customHeight="1" x14ac:dyDescent="0.25">
      <c r="A1195" s="1" t="s">
        <v>28</v>
      </c>
      <c r="B1195" s="1"/>
      <c r="C1195" s="1" t="s">
        <v>142</v>
      </c>
      <c r="D1195">
        <v>10271</v>
      </c>
      <c r="E1195" s="1"/>
      <c r="F1195" s="1" t="s">
        <v>279</v>
      </c>
      <c r="G1195" s="1" t="s">
        <v>142</v>
      </c>
      <c r="H1195" s="1" t="s">
        <v>1405</v>
      </c>
      <c r="I1195">
        <v>2012</v>
      </c>
      <c r="J1195" s="93">
        <v>77.66</v>
      </c>
      <c r="K1195">
        <v>3</v>
      </c>
      <c r="L1195" s="1" t="s">
        <v>419</v>
      </c>
      <c r="M1195">
        <v>0</v>
      </c>
      <c r="N1195">
        <v>123</v>
      </c>
      <c r="O1195">
        <v>0.63086900000000001</v>
      </c>
      <c r="P1195">
        <v>3</v>
      </c>
      <c r="Q1195" s="1" t="s">
        <v>560</v>
      </c>
      <c r="R1195" s="93">
        <v>77.66</v>
      </c>
      <c r="S1195">
        <v>62.13</v>
      </c>
      <c r="T1195">
        <v>0</v>
      </c>
      <c r="U1195" s="1" t="s">
        <v>612</v>
      </c>
      <c r="V1195" s="1"/>
      <c r="W1195">
        <v>77.666430000000005</v>
      </c>
      <c r="X1195">
        <v>0</v>
      </c>
      <c r="Y1195">
        <v>77654</v>
      </c>
    </row>
    <row r="1196" spans="1:25" ht="15" hidden="1" customHeight="1" x14ac:dyDescent="0.25">
      <c r="A1196" s="1" t="s">
        <v>28</v>
      </c>
      <c r="B1196" s="1"/>
      <c r="C1196" s="1" t="s">
        <v>142</v>
      </c>
      <c r="D1196">
        <v>10271</v>
      </c>
      <c r="E1196" s="1"/>
      <c r="F1196" s="1" t="s">
        <v>279</v>
      </c>
      <c r="G1196" s="1" t="s">
        <v>142</v>
      </c>
      <c r="H1196" s="1" t="s">
        <v>1405</v>
      </c>
      <c r="I1196">
        <v>2011</v>
      </c>
      <c r="J1196" s="93">
        <v>32.520000000000003</v>
      </c>
      <c r="K1196">
        <v>3</v>
      </c>
      <c r="L1196" s="1" t="s">
        <v>419</v>
      </c>
      <c r="M1196">
        <v>0</v>
      </c>
      <c r="N1196">
        <v>123</v>
      </c>
      <c r="O1196">
        <v>0.26417499999999999</v>
      </c>
      <c r="P1196">
        <v>3</v>
      </c>
      <c r="Q1196" s="1" t="s">
        <v>560</v>
      </c>
      <c r="R1196" s="93">
        <v>32.520000000000003</v>
      </c>
      <c r="S1196">
        <v>26.02</v>
      </c>
      <c r="T1196">
        <v>0</v>
      </c>
      <c r="U1196" s="1" t="s">
        <v>612</v>
      </c>
      <c r="V1196" s="1"/>
      <c r="W1196">
        <v>32.506779999999999</v>
      </c>
      <c r="X1196">
        <v>0</v>
      </c>
      <c r="Y1196">
        <v>77654</v>
      </c>
    </row>
    <row r="1197" spans="1:25" ht="15" hidden="1" customHeight="1" x14ac:dyDescent="0.25">
      <c r="A1197" s="1" t="s">
        <v>28</v>
      </c>
      <c r="B1197" s="1"/>
      <c r="C1197" s="1" t="s">
        <v>142</v>
      </c>
      <c r="D1197">
        <v>10271</v>
      </c>
      <c r="E1197" s="1"/>
      <c r="F1197" s="1" t="s">
        <v>279</v>
      </c>
      <c r="G1197" s="1" t="s">
        <v>142</v>
      </c>
      <c r="H1197" s="1" t="s">
        <v>1405</v>
      </c>
      <c r="I1197">
        <v>2010</v>
      </c>
      <c r="J1197" s="93">
        <v>180.56</v>
      </c>
      <c r="K1197">
        <v>4</v>
      </c>
      <c r="L1197" s="1" t="s">
        <v>419</v>
      </c>
      <c r="M1197">
        <v>0</v>
      </c>
      <c r="N1197">
        <v>123</v>
      </c>
      <c r="O1197">
        <v>1.466774</v>
      </c>
      <c r="P1197">
        <v>3</v>
      </c>
      <c r="Q1197" s="1" t="s">
        <v>560</v>
      </c>
      <c r="R1197" s="93">
        <v>180.56</v>
      </c>
      <c r="S1197">
        <v>144.44</v>
      </c>
      <c r="T1197">
        <v>0</v>
      </c>
      <c r="U1197" s="1" t="s">
        <v>612</v>
      </c>
      <c r="V1197" s="1"/>
      <c r="W1197">
        <v>180.54544999999999</v>
      </c>
      <c r="X1197">
        <v>0</v>
      </c>
      <c r="Y1197">
        <v>77654</v>
      </c>
    </row>
    <row r="1198" spans="1:25" ht="15" hidden="1" customHeight="1" x14ac:dyDescent="0.25">
      <c r="A1198" s="1" t="s">
        <v>28</v>
      </c>
      <c r="B1198" s="1"/>
      <c r="C1198" s="1" t="s">
        <v>142</v>
      </c>
      <c r="D1198">
        <v>10271</v>
      </c>
      <c r="E1198" s="1"/>
      <c r="F1198" s="1" t="s">
        <v>279</v>
      </c>
      <c r="G1198" s="1" t="s">
        <v>142</v>
      </c>
      <c r="H1198" s="1" t="s">
        <v>1405</v>
      </c>
      <c r="I1198">
        <v>2009</v>
      </c>
      <c r="J1198" s="93">
        <v>12.13</v>
      </c>
      <c r="K1198">
        <v>3</v>
      </c>
      <c r="L1198" s="1" t="s">
        <v>419</v>
      </c>
      <c r="M1198">
        <v>0</v>
      </c>
      <c r="N1198">
        <v>123</v>
      </c>
      <c r="O1198">
        <v>9.8537E-2</v>
      </c>
      <c r="P1198">
        <v>3</v>
      </c>
      <c r="Q1198" s="1" t="s">
        <v>560</v>
      </c>
      <c r="R1198" s="93">
        <v>12.13</v>
      </c>
      <c r="S1198">
        <v>9.73</v>
      </c>
      <c r="T1198">
        <v>0</v>
      </c>
      <c r="U1198" s="1" t="s">
        <v>612</v>
      </c>
      <c r="V1198" s="1"/>
      <c r="W1198">
        <v>12.124779999999999</v>
      </c>
      <c r="X1198">
        <v>0</v>
      </c>
      <c r="Y1198">
        <v>77654</v>
      </c>
    </row>
    <row r="1199" spans="1:25" ht="15" hidden="1" customHeight="1" x14ac:dyDescent="0.25">
      <c r="A1199" s="1" t="s">
        <v>28</v>
      </c>
      <c r="B1199" s="1"/>
      <c r="C1199" s="1" t="s">
        <v>142</v>
      </c>
      <c r="D1199">
        <v>10271</v>
      </c>
      <c r="E1199" s="1"/>
      <c r="F1199" s="1" t="s">
        <v>279</v>
      </c>
      <c r="G1199" s="1" t="s">
        <v>142</v>
      </c>
      <c r="H1199" s="1" t="s">
        <v>1405</v>
      </c>
      <c r="I1199">
        <v>2008</v>
      </c>
      <c r="J1199" s="93">
        <v>111.25</v>
      </c>
      <c r="K1199">
        <v>2</v>
      </c>
      <c r="L1199" s="1" t="s">
        <v>419</v>
      </c>
      <c r="M1199">
        <v>0</v>
      </c>
      <c r="N1199">
        <v>123</v>
      </c>
      <c r="O1199">
        <v>0.90373599999999998</v>
      </c>
      <c r="P1199">
        <v>3</v>
      </c>
      <c r="Q1199" s="1" t="s">
        <v>560</v>
      </c>
      <c r="R1199" s="93">
        <v>111.25</v>
      </c>
      <c r="S1199">
        <v>89.01</v>
      </c>
      <c r="T1199">
        <v>0</v>
      </c>
      <c r="U1199" s="1" t="s">
        <v>612</v>
      </c>
      <c r="V1199" s="1"/>
      <c r="W1199">
        <v>111.25619</v>
      </c>
      <c r="X1199">
        <v>0</v>
      </c>
      <c r="Y1199">
        <v>77654</v>
      </c>
    </row>
    <row r="1200" spans="1:25" ht="15" hidden="1" customHeight="1" x14ac:dyDescent="0.25">
      <c r="A1200" s="1" t="s">
        <v>28</v>
      </c>
      <c r="B1200" s="1"/>
      <c r="C1200" s="1" t="s">
        <v>143</v>
      </c>
      <c r="D1200">
        <v>13961</v>
      </c>
      <c r="E1200" s="1" t="s">
        <v>243</v>
      </c>
      <c r="F1200" s="1" t="s">
        <v>143</v>
      </c>
      <c r="G1200" s="1" t="s">
        <v>143</v>
      </c>
      <c r="H1200" s="1" t="s">
        <v>1405</v>
      </c>
      <c r="I1200">
        <v>2013</v>
      </c>
      <c r="J1200" s="93">
        <v>1.57</v>
      </c>
      <c r="K1200">
        <v>5</v>
      </c>
      <c r="L1200" s="1" t="s">
        <v>414</v>
      </c>
      <c r="M1200">
        <v>0</v>
      </c>
      <c r="N1200">
        <v>214</v>
      </c>
      <c r="O1200">
        <v>7.3330000000000001E-3</v>
      </c>
      <c r="P1200">
        <v>3</v>
      </c>
      <c r="Q1200" s="1" t="s">
        <v>560</v>
      </c>
      <c r="R1200" s="93">
        <v>1.57</v>
      </c>
      <c r="S1200">
        <v>1.25</v>
      </c>
      <c r="T1200">
        <v>0</v>
      </c>
      <c r="U1200" s="1" t="s">
        <v>613</v>
      </c>
      <c r="V1200" s="1"/>
      <c r="W1200">
        <v>1.5628899999999999</v>
      </c>
      <c r="X1200">
        <v>0</v>
      </c>
      <c r="Y1200">
        <v>92681</v>
      </c>
    </row>
    <row r="1201" spans="1:25" ht="15" hidden="1" customHeight="1" x14ac:dyDescent="0.25">
      <c r="A1201" s="1" t="s">
        <v>28</v>
      </c>
      <c r="B1201" s="1"/>
      <c r="C1201" s="1" t="s">
        <v>143</v>
      </c>
      <c r="D1201">
        <v>13961</v>
      </c>
      <c r="E1201" s="1" t="s">
        <v>243</v>
      </c>
      <c r="F1201" s="1" t="s">
        <v>143</v>
      </c>
      <c r="G1201" s="1" t="s">
        <v>143</v>
      </c>
      <c r="H1201" s="1" t="s">
        <v>1405</v>
      </c>
      <c r="I1201">
        <v>2012</v>
      </c>
      <c r="J1201" s="93">
        <v>0</v>
      </c>
      <c r="K1201">
        <v>1</v>
      </c>
      <c r="L1201" s="1" t="s">
        <v>414</v>
      </c>
      <c r="M1201">
        <v>0</v>
      </c>
      <c r="N1201">
        <v>214</v>
      </c>
      <c r="O1201">
        <v>0</v>
      </c>
      <c r="P1201">
        <v>3</v>
      </c>
      <c r="Q1201" s="1" t="s">
        <v>560</v>
      </c>
      <c r="R1201" s="93">
        <v>0</v>
      </c>
      <c r="S1201">
        <v>0</v>
      </c>
      <c r="T1201">
        <v>0</v>
      </c>
      <c r="U1201" s="1" t="s">
        <v>613</v>
      </c>
      <c r="V1201" s="1"/>
      <c r="W1201">
        <v>0</v>
      </c>
      <c r="X1201">
        <v>0</v>
      </c>
      <c r="Y1201">
        <v>92681</v>
      </c>
    </row>
    <row r="1202" spans="1:25" ht="15" hidden="1" customHeight="1" x14ac:dyDescent="0.25">
      <c r="A1202" s="1" t="s">
        <v>28</v>
      </c>
      <c r="B1202" s="1"/>
      <c r="C1202" s="1" t="s">
        <v>141</v>
      </c>
      <c r="D1202">
        <v>9979</v>
      </c>
      <c r="E1202" s="1"/>
      <c r="F1202" s="1" t="s">
        <v>278</v>
      </c>
      <c r="G1202" s="1" t="s">
        <v>141</v>
      </c>
      <c r="H1202" s="1" t="s">
        <v>1405</v>
      </c>
      <c r="I1202">
        <v>2014</v>
      </c>
      <c r="J1202" s="93">
        <v>44.99</v>
      </c>
      <c r="K1202">
        <v>0</v>
      </c>
      <c r="L1202" s="1" t="s">
        <v>418</v>
      </c>
      <c r="M1202">
        <v>0</v>
      </c>
      <c r="N1202">
        <v>290</v>
      </c>
      <c r="O1202">
        <v>0.155084</v>
      </c>
      <c r="P1202">
        <v>3</v>
      </c>
      <c r="Q1202" s="1" t="s">
        <v>560</v>
      </c>
      <c r="R1202" s="93">
        <v>44.99</v>
      </c>
      <c r="S1202">
        <v>36.020000000000003</v>
      </c>
      <c r="T1202">
        <v>0</v>
      </c>
      <c r="U1202" s="1"/>
      <c r="V1202" s="1"/>
      <c r="W1202">
        <v>45.012590000000003</v>
      </c>
      <c r="X1202">
        <v>0</v>
      </c>
      <c r="Y1202">
        <v>76412</v>
      </c>
    </row>
    <row r="1203" spans="1:25" ht="15" hidden="1" customHeight="1" x14ac:dyDescent="0.25">
      <c r="A1203" s="1" t="s">
        <v>28</v>
      </c>
      <c r="B1203" s="1"/>
      <c r="C1203" s="1" t="s">
        <v>141</v>
      </c>
      <c r="D1203">
        <v>9979</v>
      </c>
      <c r="E1203" s="1"/>
      <c r="F1203" s="1" t="s">
        <v>278</v>
      </c>
      <c r="G1203" s="1" t="s">
        <v>141</v>
      </c>
      <c r="H1203" s="1" t="s">
        <v>1405</v>
      </c>
      <c r="I1203">
        <v>2014</v>
      </c>
      <c r="J1203" s="93">
        <v>7530.55</v>
      </c>
      <c r="K1203">
        <v>0</v>
      </c>
      <c r="L1203" s="1" t="s">
        <v>418</v>
      </c>
      <c r="M1203">
        <v>0</v>
      </c>
      <c r="N1203">
        <v>290</v>
      </c>
      <c r="O1203">
        <v>25.958462000000001</v>
      </c>
      <c r="P1203">
        <v>2</v>
      </c>
      <c r="Q1203" s="1" t="s">
        <v>569</v>
      </c>
      <c r="R1203" s="93">
        <v>7530.55</v>
      </c>
      <c r="S1203">
        <v>2259.16</v>
      </c>
      <c r="T1203">
        <v>0</v>
      </c>
      <c r="U1203" s="1"/>
      <c r="V1203" s="1" t="s">
        <v>1276</v>
      </c>
      <c r="W1203">
        <v>7530.5746300000001</v>
      </c>
      <c r="X1203">
        <v>0</v>
      </c>
      <c r="Y1203">
        <v>76411</v>
      </c>
    </row>
    <row r="1204" spans="1:25" ht="15" hidden="1" customHeight="1" x14ac:dyDescent="0.25">
      <c r="A1204" s="1" t="s">
        <v>28</v>
      </c>
      <c r="B1204" s="1"/>
      <c r="C1204" s="1" t="s">
        <v>141</v>
      </c>
      <c r="D1204">
        <v>9979</v>
      </c>
      <c r="E1204" s="1"/>
      <c r="F1204" s="1" t="s">
        <v>278</v>
      </c>
      <c r="G1204" s="1" t="s">
        <v>141</v>
      </c>
      <c r="H1204" s="1" t="s">
        <v>1405</v>
      </c>
      <c r="I1204">
        <v>2014</v>
      </c>
      <c r="J1204" s="93">
        <v>61750.78</v>
      </c>
      <c r="K1204">
        <v>1</v>
      </c>
      <c r="L1204" s="1" t="s">
        <v>418</v>
      </c>
      <c r="M1204">
        <v>0</v>
      </c>
      <c r="N1204">
        <v>290</v>
      </c>
      <c r="O1204">
        <v>212.86032399999999</v>
      </c>
      <c r="P1204">
        <v>1</v>
      </c>
      <c r="Q1204" s="1" t="s">
        <v>565</v>
      </c>
      <c r="R1204" s="93">
        <v>73185.47</v>
      </c>
      <c r="S1204">
        <v>9221.36</v>
      </c>
      <c r="T1204">
        <v>0</v>
      </c>
      <c r="U1204" s="1"/>
      <c r="V1204" s="1"/>
      <c r="W1204">
        <v>61.750779999999999</v>
      </c>
      <c r="X1204">
        <v>0</v>
      </c>
      <c r="Y1204">
        <v>97163</v>
      </c>
    </row>
    <row r="1205" spans="1:25" ht="15" hidden="1" customHeight="1" x14ac:dyDescent="0.25">
      <c r="A1205" s="1" t="s">
        <v>28</v>
      </c>
      <c r="B1205" s="1"/>
      <c r="C1205" s="1" t="s">
        <v>141</v>
      </c>
      <c r="D1205">
        <v>9979</v>
      </c>
      <c r="E1205" s="1"/>
      <c r="F1205" s="1" t="s">
        <v>278</v>
      </c>
      <c r="G1205" s="1" t="s">
        <v>141</v>
      </c>
      <c r="H1205" s="1" t="s">
        <v>1405</v>
      </c>
      <c r="I1205">
        <v>2015</v>
      </c>
      <c r="J1205" s="93">
        <v>54136</v>
      </c>
      <c r="K1205">
        <v>1</v>
      </c>
      <c r="L1205" s="1" t="s">
        <v>418</v>
      </c>
      <c r="M1205">
        <v>0</v>
      </c>
      <c r="N1205">
        <v>290</v>
      </c>
      <c r="O1205">
        <v>28.425439000000001</v>
      </c>
      <c r="P1205">
        <v>1</v>
      </c>
      <c r="Q1205" s="1" t="s">
        <v>565</v>
      </c>
      <c r="R1205" s="93">
        <v>76569</v>
      </c>
      <c r="S1205">
        <v>1200.96</v>
      </c>
      <c r="T1205">
        <v>0</v>
      </c>
      <c r="U1205" s="1"/>
      <c r="V1205" s="1"/>
      <c r="W1205">
        <v>8.2462199999999992</v>
      </c>
      <c r="X1205">
        <v>0</v>
      </c>
      <c r="Y1205">
        <v>97163</v>
      </c>
    </row>
    <row r="1206" spans="1:25" ht="15" hidden="1" customHeight="1" x14ac:dyDescent="0.25">
      <c r="A1206" s="1" t="s">
        <v>28</v>
      </c>
      <c r="B1206" s="1"/>
      <c r="C1206" s="1" t="s">
        <v>141</v>
      </c>
      <c r="D1206">
        <v>9979</v>
      </c>
      <c r="E1206" s="1"/>
      <c r="F1206" s="1" t="s">
        <v>278</v>
      </c>
      <c r="G1206" s="1" t="s">
        <v>141</v>
      </c>
      <c r="H1206" s="1" t="s">
        <v>1405</v>
      </c>
      <c r="I1206">
        <v>2011</v>
      </c>
      <c r="J1206" s="93">
        <v>12264.96</v>
      </c>
      <c r="K1206">
        <v>3</v>
      </c>
      <c r="L1206" s="1" t="s">
        <v>479</v>
      </c>
      <c r="M1206">
        <v>0</v>
      </c>
      <c r="N1206">
        <v>290</v>
      </c>
      <c r="O1206">
        <v>42.278385999999998</v>
      </c>
      <c r="P1206">
        <v>1</v>
      </c>
      <c r="Q1206" s="1" t="s">
        <v>564</v>
      </c>
      <c r="R1206" s="93">
        <v>12809.04</v>
      </c>
      <c r="S1206">
        <v>2708.88</v>
      </c>
      <c r="T1206">
        <v>0</v>
      </c>
      <c r="U1206" s="1"/>
      <c r="V1206" s="1" t="s">
        <v>1198</v>
      </c>
      <c r="W1206">
        <v>1135.64517</v>
      </c>
      <c r="X1206">
        <v>0</v>
      </c>
      <c r="Y1206">
        <v>76413</v>
      </c>
    </row>
    <row r="1207" spans="1:25" ht="15" hidden="1" customHeight="1" x14ac:dyDescent="0.25">
      <c r="A1207" s="1" t="s">
        <v>28</v>
      </c>
      <c r="B1207" s="1"/>
      <c r="C1207" s="1" t="s">
        <v>141</v>
      </c>
      <c r="D1207">
        <v>9979</v>
      </c>
      <c r="E1207" s="1"/>
      <c r="F1207" s="1" t="s">
        <v>278</v>
      </c>
      <c r="G1207" s="1" t="s">
        <v>141</v>
      </c>
      <c r="H1207" s="1" t="s">
        <v>1405</v>
      </c>
      <c r="I1207">
        <v>2010</v>
      </c>
      <c r="J1207" s="93">
        <v>48211.86</v>
      </c>
      <c r="K1207">
        <v>3</v>
      </c>
      <c r="L1207" s="1" t="s">
        <v>479</v>
      </c>
      <c r="M1207">
        <v>0</v>
      </c>
      <c r="N1207">
        <v>290</v>
      </c>
      <c r="O1207">
        <v>166.19048599999999</v>
      </c>
      <c r="P1207">
        <v>1</v>
      </c>
      <c r="Q1207" s="1" t="s">
        <v>564</v>
      </c>
      <c r="R1207" s="93">
        <v>59578.47</v>
      </c>
      <c r="S1207">
        <v>12599.74</v>
      </c>
      <c r="T1207">
        <v>0</v>
      </c>
      <c r="U1207" s="1"/>
      <c r="V1207" s="1" t="s">
        <v>1198</v>
      </c>
      <c r="W1207">
        <v>4464.0622599999997</v>
      </c>
      <c r="X1207">
        <v>0</v>
      </c>
      <c r="Y1207">
        <v>76413</v>
      </c>
    </row>
    <row r="1208" spans="1:25" ht="15" hidden="1" customHeight="1" x14ac:dyDescent="0.25">
      <c r="A1208" s="1" t="s">
        <v>28</v>
      </c>
      <c r="B1208" s="1"/>
      <c r="C1208" s="1" t="s">
        <v>141</v>
      </c>
      <c r="D1208">
        <v>9979</v>
      </c>
      <c r="E1208" s="1"/>
      <c r="F1208" s="1" t="s">
        <v>278</v>
      </c>
      <c r="G1208" s="1" t="s">
        <v>141</v>
      </c>
      <c r="H1208" s="1" t="s">
        <v>1405</v>
      </c>
      <c r="I1208">
        <v>2009</v>
      </c>
      <c r="J1208" s="93">
        <v>23925.22</v>
      </c>
      <c r="K1208">
        <v>4</v>
      </c>
      <c r="L1208" s="1" t="s">
        <v>479</v>
      </c>
      <c r="M1208">
        <v>0</v>
      </c>
      <c r="N1208">
        <v>290</v>
      </c>
      <c r="O1208">
        <v>82.472318999999999</v>
      </c>
      <c r="P1208">
        <v>1</v>
      </c>
      <c r="Q1208" s="1" t="s">
        <v>564</v>
      </c>
      <c r="R1208" s="93">
        <v>26883.26</v>
      </c>
      <c r="S1208">
        <v>5685.31</v>
      </c>
      <c r="T1208">
        <v>0</v>
      </c>
      <c r="U1208" s="1"/>
      <c r="V1208" s="1" t="s">
        <v>1198</v>
      </c>
      <c r="W1208">
        <v>2215.2983300000001</v>
      </c>
      <c r="X1208">
        <v>0</v>
      </c>
      <c r="Y1208">
        <v>76413</v>
      </c>
    </row>
    <row r="1209" spans="1:25" ht="15" hidden="1" customHeight="1" x14ac:dyDescent="0.25">
      <c r="A1209" s="1" t="s">
        <v>28</v>
      </c>
      <c r="B1209" s="1"/>
      <c r="C1209" s="1" t="s">
        <v>141</v>
      </c>
      <c r="D1209">
        <v>9979</v>
      </c>
      <c r="E1209" s="1"/>
      <c r="F1209" s="1" t="s">
        <v>278</v>
      </c>
      <c r="G1209" s="1" t="s">
        <v>141</v>
      </c>
      <c r="H1209" s="1" t="s">
        <v>1405</v>
      </c>
      <c r="I1209">
        <v>2008</v>
      </c>
      <c r="J1209" s="93">
        <v>40391.589999999997</v>
      </c>
      <c r="K1209">
        <v>7</v>
      </c>
      <c r="L1209" s="1" t="s">
        <v>479</v>
      </c>
      <c r="M1209">
        <v>0</v>
      </c>
      <c r="N1209">
        <v>290</v>
      </c>
      <c r="O1209">
        <v>139.23333299999999</v>
      </c>
      <c r="P1209">
        <v>1</v>
      </c>
      <c r="Q1209" s="1" t="s">
        <v>564</v>
      </c>
      <c r="R1209" s="93">
        <v>46856.22</v>
      </c>
      <c r="S1209">
        <v>9909.2199999999993</v>
      </c>
      <c r="T1209">
        <v>0</v>
      </c>
      <c r="U1209" s="1"/>
      <c r="V1209" s="1" t="s">
        <v>1198</v>
      </c>
      <c r="W1209">
        <v>3739.9630400000001</v>
      </c>
      <c r="X1209">
        <v>0</v>
      </c>
      <c r="Y1209">
        <v>76413</v>
      </c>
    </row>
    <row r="1210" spans="1:25" ht="15" hidden="1" customHeight="1" x14ac:dyDescent="0.25">
      <c r="A1210" s="1" t="s">
        <v>28</v>
      </c>
      <c r="B1210" s="1"/>
      <c r="C1210" s="1" t="s">
        <v>142</v>
      </c>
      <c r="D1210">
        <v>10271</v>
      </c>
      <c r="E1210" s="1"/>
      <c r="F1210" s="1" t="s">
        <v>279</v>
      </c>
      <c r="G1210" s="1" t="s">
        <v>142</v>
      </c>
      <c r="H1210" s="1" t="s">
        <v>1405</v>
      </c>
      <c r="I1210">
        <v>2015</v>
      </c>
      <c r="J1210" s="93">
        <v>28331</v>
      </c>
      <c r="K1210">
        <v>1</v>
      </c>
      <c r="L1210" s="1" t="s">
        <v>419</v>
      </c>
      <c r="M1210">
        <v>0</v>
      </c>
      <c r="N1210">
        <v>123</v>
      </c>
      <c r="O1210">
        <v>16.308042</v>
      </c>
      <c r="P1210">
        <v>1</v>
      </c>
      <c r="Q1210" s="1" t="s">
        <v>564</v>
      </c>
      <c r="R1210" s="93">
        <v>41003</v>
      </c>
      <c r="S1210">
        <v>493.39</v>
      </c>
      <c r="T1210">
        <v>0</v>
      </c>
      <c r="U1210" s="1" t="s">
        <v>791</v>
      </c>
      <c r="V1210" s="1" t="s">
        <v>1199</v>
      </c>
      <c r="W1210">
        <v>185.88119</v>
      </c>
      <c r="X1210">
        <v>0</v>
      </c>
      <c r="Y1210">
        <v>77658</v>
      </c>
    </row>
    <row r="1211" spans="1:25" ht="15" hidden="1" customHeight="1" x14ac:dyDescent="0.25">
      <c r="A1211" s="1" t="s">
        <v>28</v>
      </c>
      <c r="B1211" s="1"/>
      <c r="C1211" s="1" t="s">
        <v>142</v>
      </c>
      <c r="D1211">
        <v>10271</v>
      </c>
      <c r="E1211" s="1"/>
      <c r="F1211" s="1" t="s">
        <v>279</v>
      </c>
      <c r="G1211" s="1" t="s">
        <v>142</v>
      </c>
      <c r="H1211" s="1" t="s">
        <v>1405</v>
      </c>
      <c r="I1211">
        <v>2013</v>
      </c>
      <c r="J1211" s="93">
        <v>14871.83</v>
      </c>
      <c r="K1211">
        <v>8</v>
      </c>
      <c r="L1211" s="1" t="s">
        <v>419</v>
      </c>
      <c r="M1211">
        <v>0</v>
      </c>
      <c r="N1211">
        <v>123</v>
      </c>
      <c r="O1211">
        <v>120.81096599999999</v>
      </c>
      <c r="P1211">
        <v>1</v>
      </c>
      <c r="Q1211" s="1" t="s">
        <v>564</v>
      </c>
      <c r="R1211" s="93">
        <v>15422.87</v>
      </c>
      <c r="S1211">
        <v>3261.65</v>
      </c>
      <c r="T1211">
        <v>0</v>
      </c>
      <c r="U1211" s="1" t="s">
        <v>791</v>
      </c>
      <c r="V1211" s="1" t="s">
        <v>1199</v>
      </c>
      <c r="W1211">
        <v>1377.0208299999999</v>
      </c>
      <c r="X1211">
        <v>0</v>
      </c>
      <c r="Y1211">
        <v>77658</v>
      </c>
    </row>
    <row r="1212" spans="1:25" ht="15" hidden="1" customHeight="1" x14ac:dyDescent="0.25">
      <c r="A1212" s="1" t="s">
        <v>28</v>
      </c>
      <c r="B1212" s="1"/>
      <c r="C1212" s="1" t="s">
        <v>142</v>
      </c>
      <c r="D1212">
        <v>10271</v>
      </c>
      <c r="E1212" s="1"/>
      <c r="F1212" s="1" t="s">
        <v>279</v>
      </c>
      <c r="G1212" s="1" t="s">
        <v>142</v>
      </c>
      <c r="H1212" s="1" t="s">
        <v>1405</v>
      </c>
      <c r="I1212">
        <v>2012</v>
      </c>
      <c r="J1212" s="93">
        <v>23764.32</v>
      </c>
      <c r="K1212">
        <v>2</v>
      </c>
      <c r="L1212" s="1" t="s">
        <v>419</v>
      </c>
      <c r="M1212">
        <v>0</v>
      </c>
      <c r="N1212">
        <v>123</v>
      </c>
      <c r="O1212">
        <v>193.048903</v>
      </c>
      <c r="P1212">
        <v>1</v>
      </c>
      <c r="Q1212" s="1" t="s">
        <v>564</v>
      </c>
      <c r="R1212" s="93">
        <v>25990.69</v>
      </c>
      <c r="S1212">
        <v>5496.55</v>
      </c>
      <c r="T1212">
        <v>0</v>
      </c>
      <c r="U1212" s="1" t="s">
        <v>791</v>
      </c>
      <c r="V1212" s="1" t="s">
        <v>1199</v>
      </c>
      <c r="W1212">
        <v>2200.4007799999999</v>
      </c>
      <c r="X1212">
        <v>0</v>
      </c>
      <c r="Y1212">
        <v>77658</v>
      </c>
    </row>
    <row r="1213" spans="1:25" ht="15" hidden="1" customHeight="1" x14ac:dyDescent="0.25">
      <c r="A1213" s="1" t="s">
        <v>28</v>
      </c>
      <c r="B1213" s="1"/>
      <c r="C1213" s="1" t="s">
        <v>142</v>
      </c>
      <c r="D1213">
        <v>10271</v>
      </c>
      <c r="E1213" s="1"/>
      <c r="F1213" s="1" t="s">
        <v>279</v>
      </c>
      <c r="G1213" s="1" t="s">
        <v>142</v>
      </c>
      <c r="H1213" s="1" t="s">
        <v>1405</v>
      </c>
      <c r="I1213">
        <v>2011</v>
      </c>
      <c r="J1213" s="93">
        <v>25405.279999999999</v>
      </c>
      <c r="K1213">
        <v>2</v>
      </c>
      <c r="L1213" s="1" t="s">
        <v>419</v>
      </c>
      <c r="M1213">
        <v>0</v>
      </c>
      <c r="N1213">
        <v>123</v>
      </c>
      <c r="O1213">
        <v>206.37920299999999</v>
      </c>
      <c r="P1213">
        <v>1</v>
      </c>
      <c r="Q1213" s="1" t="s">
        <v>564</v>
      </c>
      <c r="R1213" s="93">
        <v>29462.17</v>
      </c>
      <c r="S1213">
        <v>6230.7</v>
      </c>
      <c r="T1213">
        <v>0</v>
      </c>
      <c r="U1213" s="1" t="s">
        <v>791</v>
      </c>
      <c r="V1213" s="1" t="s">
        <v>1199</v>
      </c>
      <c r="W1213">
        <v>2352.33997</v>
      </c>
      <c r="X1213">
        <v>0</v>
      </c>
      <c r="Y1213">
        <v>77658</v>
      </c>
    </row>
    <row r="1214" spans="1:25" ht="15" hidden="1" customHeight="1" x14ac:dyDescent="0.25">
      <c r="A1214" s="1" t="s">
        <v>28</v>
      </c>
      <c r="B1214" s="1"/>
      <c r="C1214" s="1" t="s">
        <v>142</v>
      </c>
      <c r="D1214">
        <v>10271</v>
      </c>
      <c r="E1214" s="1"/>
      <c r="F1214" s="1" t="s">
        <v>279</v>
      </c>
      <c r="G1214" s="1" t="s">
        <v>142</v>
      </c>
      <c r="H1214" s="1" t="s">
        <v>1405</v>
      </c>
      <c r="I1214">
        <v>2010</v>
      </c>
      <c r="J1214" s="93">
        <v>23882.3</v>
      </c>
      <c r="K1214">
        <v>4</v>
      </c>
      <c r="L1214" s="1" t="s">
        <v>419</v>
      </c>
      <c r="M1214">
        <v>0</v>
      </c>
      <c r="N1214">
        <v>123</v>
      </c>
      <c r="O1214">
        <v>194.00731099999999</v>
      </c>
      <c r="P1214">
        <v>1</v>
      </c>
      <c r="Q1214" s="1" t="s">
        <v>564</v>
      </c>
      <c r="R1214" s="93">
        <v>27819.53</v>
      </c>
      <c r="S1214">
        <v>5883.32</v>
      </c>
      <c r="T1214">
        <v>0</v>
      </c>
      <c r="U1214" s="1" t="s">
        <v>791</v>
      </c>
      <c r="V1214" s="1" t="s">
        <v>1199</v>
      </c>
      <c r="W1214">
        <v>2211.3231000000001</v>
      </c>
      <c r="X1214">
        <v>0</v>
      </c>
      <c r="Y1214">
        <v>77658</v>
      </c>
    </row>
    <row r="1215" spans="1:25" ht="15" hidden="1" customHeight="1" x14ac:dyDescent="0.25">
      <c r="A1215" s="1" t="s">
        <v>28</v>
      </c>
      <c r="B1215" s="1"/>
      <c r="C1215" s="1" t="s">
        <v>142</v>
      </c>
      <c r="D1215">
        <v>10271</v>
      </c>
      <c r="E1215" s="1"/>
      <c r="F1215" s="1" t="s">
        <v>279</v>
      </c>
      <c r="G1215" s="1" t="s">
        <v>142</v>
      </c>
      <c r="H1215" s="1" t="s">
        <v>1405</v>
      </c>
      <c r="I1215">
        <v>2009</v>
      </c>
      <c r="J1215" s="93">
        <v>21850.18</v>
      </c>
      <c r="K1215">
        <v>2</v>
      </c>
      <c r="L1215" s="1" t="s">
        <v>419</v>
      </c>
      <c r="M1215">
        <v>0</v>
      </c>
      <c r="N1215">
        <v>123</v>
      </c>
      <c r="O1215">
        <v>177.49943099999999</v>
      </c>
      <c r="P1215">
        <v>1</v>
      </c>
      <c r="Q1215" s="1" t="s">
        <v>564</v>
      </c>
      <c r="R1215" s="93">
        <v>30659.68</v>
      </c>
      <c r="S1215">
        <v>6483.96</v>
      </c>
      <c r="T1215">
        <v>0</v>
      </c>
      <c r="U1215" s="1" t="s">
        <v>791</v>
      </c>
      <c r="V1215" s="1" t="s">
        <v>1199</v>
      </c>
      <c r="W1215">
        <v>2023.16281</v>
      </c>
      <c r="X1215">
        <v>0</v>
      </c>
      <c r="Y1215">
        <v>77658</v>
      </c>
    </row>
    <row r="1216" spans="1:25" ht="15" hidden="1" customHeight="1" x14ac:dyDescent="0.25">
      <c r="A1216" s="1" t="s">
        <v>28</v>
      </c>
      <c r="B1216" s="1"/>
      <c r="C1216" s="1" t="s">
        <v>142</v>
      </c>
      <c r="D1216">
        <v>10271</v>
      </c>
      <c r="E1216" s="1"/>
      <c r="F1216" s="1" t="s">
        <v>279</v>
      </c>
      <c r="G1216" s="1" t="s">
        <v>142</v>
      </c>
      <c r="H1216" s="1" t="s">
        <v>1405</v>
      </c>
      <c r="I1216">
        <v>2008</v>
      </c>
      <c r="J1216" s="93">
        <v>14380.14</v>
      </c>
      <c r="K1216">
        <v>3</v>
      </c>
      <c r="L1216" s="1" t="s">
        <v>419</v>
      </c>
      <c r="M1216">
        <v>0</v>
      </c>
      <c r="N1216">
        <v>123</v>
      </c>
      <c r="O1216">
        <v>116.816734</v>
      </c>
      <c r="P1216">
        <v>1</v>
      </c>
      <c r="Q1216" s="1" t="s">
        <v>564</v>
      </c>
      <c r="R1216" s="93">
        <v>16480.25</v>
      </c>
      <c r="S1216">
        <v>3485.25</v>
      </c>
      <c r="T1216">
        <v>0</v>
      </c>
      <c r="U1216" s="1" t="s">
        <v>791</v>
      </c>
      <c r="V1216" s="1" t="s">
        <v>1199</v>
      </c>
      <c r="W1216">
        <v>1331.4932100000001</v>
      </c>
      <c r="X1216">
        <v>0</v>
      </c>
      <c r="Y1216">
        <v>77658</v>
      </c>
    </row>
    <row r="1217" spans="1:25" ht="15" hidden="1" customHeight="1" x14ac:dyDescent="0.25">
      <c r="A1217" s="1" t="s">
        <v>28</v>
      </c>
      <c r="B1217" s="1"/>
      <c r="C1217" s="1" t="s">
        <v>143</v>
      </c>
      <c r="D1217">
        <v>13961</v>
      </c>
      <c r="E1217" s="1" t="s">
        <v>243</v>
      </c>
      <c r="F1217" s="1" t="s">
        <v>143</v>
      </c>
      <c r="G1217" s="1" t="s">
        <v>143</v>
      </c>
      <c r="H1217" s="1" t="s">
        <v>1405</v>
      </c>
      <c r="I1217">
        <v>2013</v>
      </c>
      <c r="J1217" s="93">
        <v>18038.3</v>
      </c>
      <c r="K1217">
        <v>8</v>
      </c>
      <c r="L1217" s="1" t="s">
        <v>480</v>
      </c>
      <c r="M1217">
        <v>0</v>
      </c>
      <c r="N1217">
        <v>214</v>
      </c>
      <c r="O1217">
        <v>84.251750999999999</v>
      </c>
      <c r="P1217">
        <v>1</v>
      </c>
      <c r="Q1217" s="1" t="s">
        <v>564</v>
      </c>
      <c r="R1217" s="93">
        <v>19690.490000000002</v>
      </c>
      <c r="S1217">
        <v>4164.18</v>
      </c>
      <c r="T1217">
        <v>0</v>
      </c>
      <c r="U1217" s="1" t="s">
        <v>792</v>
      </c>
      <c r="V1217" s="1" t="s">
        <v>1200</v>
      </c>
      <c r="W1217">
        <v>1670.2144599999999</v>
      </c>
      <c r="X1217">
        <v>0</v>
      </c>
      <c r="Y1217">
        <v>92684</v>
      </c>
    </row>
    <row r="1218" spans="1:25" ht="15" hidden="1" customHeight="1" x14ac:dyDescent="0.25">
      <c r="A1218" s="1" t="s">
        <v>28</v>
      </c>
      <c r="B1218" s="1"/>
      <c r="C1218" s="1" t="s">
        <v>143</v>
      </c>
      <c r="D1218">
        <v>13961</v>
      </c>
      <c r="E1218" s="1" t="s">
        <v>243</v>
      </c>
      <c r="F1218" s="1" t="s">
        <v>143</v>
      </c>
      <c r="G1218" s="1" t="s">
        <v>143</v>
      </c>
      <c r="H1218" s="1" t="s">
        <v>1405</v>
      </c>
      <c r="I1218">
        <v>2012</v>
      </c>
      <c r="J1218" s="93">
        <v>7910.84</v>
      </c>
      <c r="K1218">
        <v>1</v>
      </c>
      <c r="L1218" s="1" t="s">
        <v>480</v>
      </c>
      <c r="M1218">
        <v>0</v>
      </c>
      <c r="N1218">
        <v>214</v>
      </c>
      <c r="O1218">
        <v>36.949275999999998</v>
      </c>
      <c r="P1218">
        <v>1</v>
      </c>
      <c r="Q1218" s="1" t="s">
        <v>564</v>
      </c>
      <c r="R1218" s="93">
        <v>8917.9599999999991</v>
      </c>
      <c r="S1218">
        <v>1885.98</v>
      </c>
      <c r="T1218">
        <v>0</v>
      </c>
      <c r="U1218" s="1" t="s">
        <v>792</v>
      </c>
      <c r="V1218" s="1" t="s">
        <v>1200</v>
      </c>
      <c r="W1218">
        <v>732.48554999999999</v>
      </c>
      <c r="X1218">
        <v>0</v>
      </c>
      <c r="Y1218">
        <v>92684</v>
      </c>
    </row>
    <row r="1219" spans="1:25" ht="15" hidden="1" customHeight="1" x14ac:dyDescent="0.25">
      <c r="A1219" s="1" t="s">
        <v>32</v>
      </c>
      <c r="B1219" s="1"/>
      <c r="C1219" s="1" t="s">
        <v>165</v>
      </c>
      <c r="D1219">
        <v>10204</v>
      </c>
      <c r="E1219" s="1"/>
      <c r="F1219" s="1" t="s">
        <v>297</v>
      </c>
      <c r="G1219" s="1" t="s">
        <v>165</v>
      </c>
      <c r="H1219" s="1" t="s">
        <v>1405</v>
      </c>
      <c r="I1219">
        <v>2014</v>
      </c>
      <c r="J1219" s="93">
        <v>45767.38</v>
      </c>
      <c r="K1219">
        <v>12</v>
      </c>
      <c r="L1219" s="1" t="s">
        <v>486</v>
      </c>
      <c r="M1219">
        <v>0</v>
      </c>
      <c r="N1219">
        <v>445</v>
      </c>
      <c r="O1219">
        <v>102.824938</v>
      </c>
      <c r="P1219">
        <v>1</v>
      </c>
      <c r="Q1219" s="1" t="s">
        <v>564</v>
      </c>
      <c r="R1219" s="93">
        <v>54390.28</v>
      </c>
      <c r="S1219">
        <v>11502.54</v>
      </c>
      <c r="T1219">
        <v>0</v>
      </c>
      <c r="U1219" s="1" t="s">
        <v>821</v>
      </c>
      <c r="V1219" s="1" t="s">
        <v>1210</v>
      </c>
      <c r="W1219">
        <v>4237.72</v>
      </c>
      <c r="X1219">
        <v>0</v>
      </c>
      <c r="Y1219">
        <v>77388</v>
      </c>
    </row>
    <row r="1220" spans="1:25" ht="15" hidden="1" customHeight="1" x14ac:dyDescent="0.25">
      <c r="A1220" s="1" t="s">
        <v>28</v>
      </c>
      <c r="B1220" s="1"/>
      <c r="C1220" s="1" t="s">
        <v>142</v>
      </c>
      <c r="D1220">
        <v>10271</v>
      </c>
      <c r="E1220" s="1"/>
      <c r="F1220" s="1" t="s">
        <v>279</v>
      </c>
      <c r="G1220" s="1" t="s">
        <v>142</v>
      </c>
      <c r="H1220" s="1" t="s">
        <v>1405</v>
      </c>
      <c r="I1220">
        <v>2014</v>
      </c>
      <c r="J1220" s="93">
        <v>2.75</v>
      </c>
      <c r="K1220">
        <v>4</v>
      </c>
      <c r="L1220" s="1" t="s">
        <v>419</v>
      </c>
      <c r="M1220">
        <v>0</v>
      </c>
      <c r="N1220">
        <v>123</v>
      </c>
      <c r="O1220">
        <v>2.2339000000000001E-2</v>
      </c>
      <c r="P1220">
        <v>3</v>
      </c>
      <c r="Q1220" s="1" t="s">
        <v>560</v>
      </c>
      <c r="R1220" s="93">
        <v>2.75</v>
      </c>
      <c r="S1220">
        <v>2.2000000000000002</v>
      </c>
      <c r="T1220">
        <v>0</v>
      </c>
      <c r="U1220" s="1" t="s">
        <v>612</v>
      </c>
      <c r="V1220" s="1"/>
      <c r="W1220">
        <v>2.7524700000000002</v>
      </c>
      <c r="X1220">
        <v>0</v>
      </c>
      <c r="Y1220">
        <v>77654</v>
      </c>
    </row>
    <row r="1221" spans="1:25" ht="15" hidden="1" customHeight="1" x14ac:dyDescent="0.25">
      <c r="A1221" s="1" t="s">
        <v>28</v>
      </c>
      <c r="B1221" s="1"/>
      <c r="C1221" s="1" t="s">
        <v>142</v>
      </c>
      <c r="D1221">
        <v>10271</v>
      </c>
      <c r="E1221" s="1"/>
      <c r="F1221" s="1" t="s">
        <v>279</v>
      </c>
      <c r="G1221" s="1" t="s">
        <v>142</v>
      </c>
      <c r="H1221" s="1" t="s">
        <v>1405</v>
      </c>
      <c r="I1221">
        <v>2014</v>
      </c>
      <c r="J1221" s="93">
        <v>411.77</v>
      </c>
      <c r="K1221">
        <v>4</v>
      </c>
      <c r="L1221" s="1" t="s">
        <v>419</v>
      </c>
      <c r="M1221">
        <v>0</v>
      </c>
      <c r="N1221">
        <v>123</v>
      </c>
      <c r="O1221">
        <v>3.3450039999999999</v>
      </c>
      <c r="P1221">
        <v>2</v>
      </c>
      <c r="Q1221" s="1" t="s">
        <v>569</v>
      </c>
      <c r="R1221" s="93">
        <v>411.77</v>
      </c>
      <c r="S1221">
        <v>123.52</v>
      </c>
      <c r="T1221">
        <v>0</v>
      </c>
      <c r="U1221" s="1" t="s">
        <v>994</v>
      </c>
      <c r="V1221" s="1" t="s">
        <v>1277</v>
      </c>
      <c r="W1221">
        <v>411.77659999999997</v>
      </c>
      <c r="X1221">
        <v>0</v>
      </c>
      <c r="Y1221">
        <v>77653</v>
      </c>
    </row>
    <row r="1222" spans="1:25" ht="15" hidden="1" customHeight="1" x14ac:dyDescent="0.25">
      <c r="A1222" s="1" t="s">
        <v>28</v>
      </c>
      <c r="B1222" s="1"/>
      <c r="C1222" s="1" t="s">
        <v>143</v>
      </c>
      <c r="D1222">
        <v>13961</v>
      </c>
      <c r="E1222" s="1" t="s">
        <v>243</v>
      </c>
      <c r="F1222" s="1" t="s">
        <v>143</v>
      </c>
      <c r="G1222" s="1" t="s">
        <v>143</v>
      </c>
      <c r="H1222" s="1" t="s">
        <v>1405</v>
      </c>
      <c r="I1222">
        <v>2015</v>
      </c>
      <c r="J1222" s="93">
        <v>66086</v>
      </c>
      <c r="K1222">
        <v>3</v>
      </c>
      <c r="L1222" s="1" t="s">
        <v>480</v>
      </c>
      <c r="M1222">
        <v>0</v>
      </c>
      <c r="N1222">
        <v>214</v>
      </c>
      <c r="O1222">
        <v>19.014665999999998</v>
      </c>
      <c r="P1222">
        <v>1</v>
      </c>
      <c r="Q1222" s="1" t="s">
        <v>564</v>
      </c>
      <c r="R1222" s="93">
        <v>91483</v>
      </c>
      <c r="S1222">
        <v>1021.86</v>
      </c>
      <c r="T1222">
        <v>0</v>
      </c>
      <c r="U1222" s="1" t="s">
        <v>792</v>
      </c>
      <c r="V1222" s="1" t="s">
        <v>1200</v>
      </c>
      <c r="W1222">
        <v>376.94700999999998</v>
      </c>
      <c r="X1222">
        <v>0</v>
      </c>
      <c r="Y1222">
        <v>92684</v>
      </c>
    </row>
    <row r="1223" spans="1:25" ht="15" hidden="1" customHeight="1" x14ac:dyDescent="0.25">
      <c r="A1223" s="1" t="s">
        <v>26</v>
      </c>
      <c r="B1223" s="1"/>
      <c r="C1223" s="1" t="s">
        <v>107</v>
      </c>
      <c r="D1223">
        <v>10123</v>
      </c>
      <c r="E1223" s="1"/>
      <c r="F1223" s="1" t="s">
        <v>255</v>
      </c>
      <c r="G1223" s="1" t="s">
        <v>107</v>
      </c>
      <c r="H1223" s="1" t="s">
        <v>1405</v>
      </c>
      <c r="I1223">
        <v>2014</v>
      </c>
      <c r="J1223" s="93">
        <v>46159.64</v>
      </c>
      <c r="K1223">
        <v>12</v>
      </c>
      <c r="L1223" s="1" t="s">
        <v>465</v>
      </c>
      <c r="M1223">
        <v>0</v>
      </c>
      <c r="N1223">
        <v>1413</v>
      </c>
      <c r="O1223">
        <v>32.665514999999999</v>
      </c>
      <c r="P1223">
        <v>1</v>
      </c>
      <c r="Q1223" s="1" t="s">
        <v>564</v>
      </c>
      <c r="R1223" s="93">
        <v>57138.86</v>
      </c>
      <c r="S1223">
        <v>12083.82</v>
      </c>
      <c r="T1223">
        <v>0</v>
      </c>
      <c r="U1223" s="1" t="s">
        <v>761</v>
      </c>
      <c r="V1223" s="1" t="s">
        <v>1185</v>
      </c>
      <c r="W1223">
        <v>4274.04</v>
      </c>
      <c r="X1223">
        <v>0</v>
      </c>
      <c r="Y1223">
        <v>77798</v>
      </c>
    </row>
    <row r="1224" spans="1:25" ht="15" hidden="1" customHeight="1" x14ac:dyDescent="0.25">
      <c r="A1224" s="1" t="s">
        <v>28</v>
      </c>
      <c r="B1224" s="1"/>
      <c r="C1224" s="1" t="s">
        <v>143</v>
      </c>
      <c r="D1224">
        <v>13961</v>
      </c>
      <c r="E1224" s="1" t="s">
        <v>243</v>
      </c>
      <c r="F1224" s="1" t="s">
        <v>143</v>
      </c>
      <c r="G1224" s="1" t="s">
        <v>143</v>
      </c>
      <c r="H1224" s="1" t="s">
        <v>1405</v>
      </c>
      <c r="I1224">
        <v>2015</v>
      </c>
      <c r="J1224" s="93">
        <v>167</v>
      </c>
      <c r="L1224" s="1"/>
      <c r="N1224">
        <v>214</v>
      </c>
      <c r="P1224">
        <v>3</v>
      </c>
      <c r="Q1224" s="1" t="s">
        <v>560</v>
      </c>
      <c r="T1224">
        <v>0</v>
      </c>
      <c r="U1224" s="1" t="s">
        <v>613</v>
      </c>
      <c r="V1224" s="1"/>
      <c r="X1224">
        <v>0</v>
      </c>
      <c r="Y1224">
        <v>92681</v>
      </c>
    </row>
    <row r="1225" spans="1:25" ht="15" hidden="1" customHeight="1" x14ac:dyDescent="0.25">
      <c r="A1225" s="1" t="s">
        <v>28</v>
      </c>
      <c r="B1225" s="1"/>
      <c r="C1225" s="1" t="s">
        <v>143</v>
      </c>
      <c r="D1225">
        <v>13961</v>
      </c>
      <c r="E1225" s="1" t="s">
        <v>243</v>
      </c>
      <c r="F1225" s="1" t="s">
        <v>143</v>
      </c>
      <c r="G1225" s="1" t="s">
        <v>143</v>
      </c>
      <c r="H1225" s="1" t="s">
        <v>1405</v>
      </c>
      <c r="I1225">
        <v>2014</v>
      </c>
      <c r="J1225" s="93">
        <v>0.13</v>
      </c>
      <c r="K1225">
        <v>4</v>
      </c>
      <c r="L1225" s="1" t="s">
        <v>414</v>
      </c>
      <c r="M1225">
        <v>0</v>
      </c>
      <c r="N1225">
        <v>214</v>
      </c>
      <c r="O1225">
        <v>6.0700000000000001E-4</v>
      </c>
      <c r="P1225">
        <v>3</v>
      </c>
      <c r="Q1225" s="1" t="s">
        <v>560</v>
      </c>
      <c r="R1225" s="93">
        <v>0.13</v>
      </c>
      <c r="S1225">
        <v>0.11</v>
      </c>
      <c r="T1225">
        <v>0</v>
      </c>
      <c r="U1225" s="1" t="s">
        <v>613</v>
      </c>
      <c r="V1225" s="1"/>
      <c r="W1225">
        <v>0.13711999999999999</v>
      </c>
      <c r="X1225">
        <v>0</v>
      </c>
      <c r="Y1225">
        <v>92681</v>
      </c>
    </row>
    <row r="1226" spans="1:25" ht="15" hidden="1" customHeight="1" x14ac:dyDescent="0.25">
      <c r="A1226" s="1" t="s">
        <v>28</v>
      </c>
      <c r="B1226" s="1"/>
      <c r="C1226" s="1" t="s">
        <v>143</v>
      </c>
      <c r="D1226">
        <v>13961</v>
      </c>
      <c r="E1226" s="1" t="s">
        <v>243</v>
      </c>
      <c r="F1226" s="1" t="s">
        <v>143</v>
      </c>
      <c r="G1226" s="1" t="s">
        <v>143</v>
      </c>
      <c r="H1226" s="1" t="s">
        <v>1405</v>
      </c>
      <c r="I1226">
        <v>2015</v>
      </c>
      <c r="J1226" s="93">
        <v>4979</v>
      </c>
      <c r="K1226">
        <v>3</v>
      </c>
      <c r="L1226" s="1"/>
      <c r="M1226">
        <v>0</v>
      </c>
      <c r="N1226">
        <v>214</v>
      </c>
      <c r="P1226">
        <v>2</v>
      </c>
      <c r="Q1226" s="1" t="s">
        <v>569</v>
      </c>
      <c r="T1226">
        <v>0</v>
      </c>
      <c r="U1226" s="1" t="s">
        <v>995</v>
      </c>
      <c r="V1226" s="1" t="s">
        <v>1278</v>
      </c>
      <c r="X1226">
        <v>0</v>
      </c>
      <c r="Y1226">
        <v>92680</v>
      </c>
    </row>
    <row r="1227" spans="1:25" ht="15" hidden="1" customHeight="1" x14ac:dyDescent="0.25">
      <c r="A1227" s="1" t="s">
        <v>28</v>
      </c>
      <c r="B1227" s="1"/>
      <c r="C1227" s="1" t="s">
        <v>143</v>
      </c>
      <c r="D1227">
        <v>13961</v>
      </c>
      <c r="E1227" s="1" t="s">
        <v>243</v>
      </c>
      <c r="F1227" s="1" t="s">
        <v>143</v>
      </c>
      <c r="G1227" s="1" t="s">
        <v>143</v>
      </c>
      <c r="H1227" s="1" t="s">
        <v>1405</v>
      </c>
      <c r="I1227">
        <v>2014</v>
      </c>
      <c r="J1227" s="93">
        <v>122.53</v>
      </c>
      <c r="K1227">
        <v>3</v>
      </c>
      <c r="L1227" s="1" t="s">
        <v>480</v>
      </c>
      <c r="M1227">
        <v>0</v>
      </c>
      <c r="N1227">
        <v>214</v>
      </c>
      <c r="O1227">
        <v>0.57230199999999998</v>
      </c>
      <c r="P1227">
        <v>2</v>
      </c>
      <c r="Q1227" s="1" t="s">
        <v>569</v>
      </c>
      <c r="R1227" s="93">
        <v>122.53</v>
      </c>
      <c r="S1227">
        <v>36.75</v>
      </c>
      <c r="T1227">
        <v>0</v>
      </c>
      <c r="U1227" s="1" t="s">
        <v>995</v>
      </c>
      <c r="V1227" s="1" t="s">
        <v>1278</v>
      </c>
      <c r="W1227">
        <v>122.53256</v>
      </c>
      <c r="X1227">
        <v>0</v>
      </c>
      <c r="Y1227">
        <v>92680</v>
      </c>
    </row>
    <row r="1228" spans="1:25" ht="15" hidden="1" customHeight="1" x14ac:dyDescent="0.25">
      <c r="A1228" s="1" t="s">
        <v>28</v>
      </c>
      <c r="B1228" s="1"/>
      <c r="C1228" s="1" t="s">
        <v>141</v>
      </c>
      <c r="D1228">
        <v>9979</v>
      </c>
      <c r="E1228" s="1"/>
      <c r="F1228" s="1" t="s">
        <v>278</v>
      </c>
      <c r="G1228" s="1" t="s">
        <v>141</v>
      </c>
      <c r="H1228" s="1" t="s">
        <v>1405</v>
      </c>
      <c r="I1228">
        <v>2015</v>
      </c>
      <c r="J1228" s="93">
        <v>3515</v>
      </c>
      <c r="K1228">
        <v>1</v>
      </c>
      <c r="L1228" s="1" t="s">
        <v>418</v>
      </c>
      <c r="M1228">
        <v>0</v>
      </c>
      <c r="N1228">
        <v>290</v>
      </c>
      <c r="O1228">
        <v>3.0581170000000002</v>
      </c>
      <c r="P1228">
        <v>2</v>
      </c>
      <c r="Q1228" s="1" t="s">
        <v>569</v>
      </c>
      <c r="R1228" s="93">
        <v>887.16</v>
      </c>
      <c r="S1228">
        <v>266.14</v>
      </c>
      <c r="T1228">
        <v>0</v>
      </c>
      <c r="U1228" s="1"/>
      <c r="V1228" s="1" t="s">
        <v>1276</v>
      </c>
      <c r="W1228">
        <v>887.16359</v>
      </c>
      <c r="X1228">
        <v>0</v>
      </c>
      <c r="Y1228">
        <v>76411</v>
      </c>
    </row>
    <row r="1229" spans="1:25" ht="15" hidden="1" customHeight="1" x14ac:dyDescent="0.25">
      <c r="A1229" s="1" t="s">
        <v>28</v>
      </c>
      <c r="B1229" s="1"/>
      <c r="C1229" s="1" t="s">
        <v>141</v>
      </c>
      <c r="D1229">
        <v>9979</v>
      </c>
      <c r="E1229" s="1"/>
      <c r="F1229" s="1" t="s">
        <v>278</v>
      </c>
      <c r="G1229" s="1" t="s">
        <v>141</v>
      </c>
      <c r="H1229" s="1" t="s">
        <v>1405</v>
      </c>
      <c r="I1229">
        <v>2013</v>
      </c>
      <c r="J1229" s="93">
        <v>7530.55</v>
      </c>
      <c r="K1229">
        <v>0</v>
      </c>
      <c r="L1229" s="1" t="s">
        <v>418</v>
      </c>
      <c r="M1229">
        <v>0</v>
      </c>
      <c r="N1229">
        <v>290</v>
      </c>
      <c r="O1229">
        <v>25.958462000000001</v>
      </c>
      <c r="P1229">
        <v>2</v>
      </c>
      <c r="Q1229" s="1" t="s">
        <v>569</v>
      </c>
      <c r="R1229" s="93">
        <v>7530.55</v>
      </c>
      <c r="S1229">
        <v>2259.16</v>
      </c>
      <c r="T1229">
        <v>0</v>
      </c>
      <c r="U1229" s="1"/>
      <c r="V1229" s="1" t="s">
        <v>1276</v>
      </c>
      <c r="W1229">
        <v>7530.5746300000001</v>
      </c>
      <c r="X1229">
        <v>0</v>
      </c>
      <c r="Y1229">
        <v>76411</v>
      </c>
    </row>
    <row r="1230" spans="1:25" ht="15" hidden="1" customHeight="1" x14ac:dyDescent="0.25">
      <c r="A1230" s="1" t="s">
        <v>28</v>
      </c>
      <c r="B1230" s="1"/>
      <c r="C1230" s="1" t="s">
        <v>141</v>
      </c>
      <c r="D1230">
        <v>9979</v>
      </c>
      <c r="E1230" s="1"/>
      <c r="F1230" s="1" t="s">
        <v>278</v>
      </c>
      <c r="G1230" s="1" t="s">
        <v>141</v>
      </c>
      <c r="H1230" s="1" t="s">
        <v>1405</v>
      </c>
      <c r="I1230">
        <v>2012</v>
      </c>
      <c r="J1230" s="93">
        <v>7551.18</v>
      </c>
      <c r="K1230">
        <v>0</v>
      </c>
      <c r="L1230" s="1" t="s">
        <v>418</v>
      </c>
      <c r="M1230">
        <v>0</v>
      </c>
      <c r="N1230">
        <v>290</v>
      </c>
      <c r="O1230">
        <v>26.029575999999999</v>
      </c>
      <c r="P1230">
        <v>2</v>
      </c>
      <c r="Q1230" s="1" t="s">
        <v>569</v>
      </c>
      <c r="R1230" s="93">
        <v>7551.18</v>
      </c>
      <c r="S1230">
        <v>3020.46</v>
      </c>
      <c r="T1230">
        <v>0</v>
      </c>
      <c r="U1230" s="1"/>
      <c r="V1230" s="1" t="s">
        <v>1276</v>
      </c>
      <c r="W1230">
        <v>7551.2063399999997</v>
      </c>
      <c r="X1230">
        <v>0</v>
      </c>
      <c r="Y1230">
        <v>76411</v>
      </c>
    </row>
    <row r="1231" spans="1:25" ht="15" hidden="1" customHeight="1" x14ac:dyDescent="0.25">
      <c r="A1231" s="1" t="s">
        <v>28</v>
      </c>
      <c r="B1231" s="1"/>
      <c r="C1231" s="1" t="s">
        <v>141</v>
      </c>
      <c r="D1231">
        <v>9979</v>
      </c>
      <c r="E1231" s="1"/>
      <c r="F1231" s="1" t="s">
        <v>278</v>
      </c>
      <c r="G1231" s="1" t="s">
        <v>141</v>
      </c>
      <c r="H1231" s="1" t="s">
        <v>1405</v>
      </c>
      <c r="I1231">
        <v>2011</v>
      </c>
      <c r="J1231" s="93">
        <v>13218.23</v>
      </c>
      <c r="K1231">
        <v>3</v>
      </c>
      <c r="L1231" s="1" t="s">
        <v>418</v>
      </c>
      <c r="M1231">
        <v>0</v>
      </c>
      <c r="N1231">
        <v>290</v>
      </c>
      <c r="O1231">
        <v>45.564391000000001</v>
      </c>
      <c r="P1231">
        <v>2</v>
      </c>
      <c r="Q1231" s="1" t="s">
        <v>569</v>
      </c>
      <c r="R1231" s="93">
        <v>13218.23</v>
      </c>
      <c r="S1231">
        <v>6199.34</v>
      </c>
      <c r="T1231">
        <v>0</v>
      </c>
      <c r="U1231" s="1"/>
      <c r="V1231" s="1" t="s">
        <v>1276</v>
      </c>
      <c r="W1231">
        <v>13218.22265</v>
      </c>
      <c r="X1231">
        <v>0</v>
      </c>
      <c r="Y1231">
        <v>76411</v>
      </c>
    </row>
    <row r="1232" spans="1:25" ht="15" hidden="1" customHeight="1" x14ac:dyDescent="0.25">
      <c r="A1232" s="1" t="s">
        <v>28</v>
      </c>
      <c r="B1232" s="1"/>
      <c r="C1232" s="1" t="s">
        <v>141</v>
      </c>
      <c r="D1232">
        <v>9979</v>
      </c>
      <c r="E1232" s="1"/>
      <c r="F1232" s="1" t="s">
        <v>278</v>
      </c>
      <c r="G1232" s="1" t="s">
        <v>141</v>
      </c>
      <c r="H1232" s="1" t="s">
        <v>1405</v>
      </c>
      <c r="I1232">
        <v>2010</v>
      </c>
      <c r="J1232" s="93">
        <v>3510.71</v>
      </c>
      <c r="K1232">
        <v>3</v>
      </c>
      <c r="L1232" s="1" t="s">
        <v>418</v>
      </c>
      <c r="M1232">
        <v>0</v>
      </c>
      <c r="N1232">
        <v>290</v>
      </c>
      <c r="O1232">
        <v>12.101723</v>
      </c>
      <c r="P1232">
        <v>2</v>
      </c>
      <c r="Q1232" s="1" t="s">
        <v>569</v>
      </c>
      <c r="R1232" s="93">
        <v>3510.71</v>
      </c>
      <c r="S1232">
        <v>1646.51</v>
      </c>
      <c r="T1232">
        <v>0</v>
      </c>
      <c r="U1232" s="1"/>
      <c r="V1232" s="1" t="s">
        <v>1276</v>
      </c>
      <c r="W1232">
        <v>3510.71569</v>
      </c>
      <c r="X1232">
        <v>0</v>
      </c>
      <c r="Y1232">
        <v>76411</v>
      </c>
    </row>
    <row r="1233" spans="1:25" ht="15" hidden="1" customHeight="1" x14ac:dyDescent="0.25">
      <c r="A1233" s="1" t="s">
        <v>28</v>
      </c>
      <c r="B1233" s="1"/>
      <c r="C1233" s="1" t="s">
        <v>141</v>
      </c>
      <c r="D1233">
        <v>9979</v>
      </c>
      <c r="E1233" s="1"/>
      <c r="F1233" s="1" t="s">
        <v>278</v>
      </c>
      <c r="G1233" s="1" t="s">
        <v>141</v>
      </c>
      <c r="H1233" s="1" t="s">
        <v>1405</v>
      </c>
      <c r="I1233">
        <v>2009</v>
      </c>
      <c r="J1233" s="93">
        <v>4290.55</v>
      </c>
      <c r="K1233">
        <v>5</v>
      </c>
      <c r="L1233" s="1" t="s">
        <v>418</v>
      </c>
      <c r="M1233">
        <v>0</v>
      </c>
      <c r="N1233">
        <v>290</v>
      </c>
      <c r="O1233">
        <v>14.789899999999999</v>
      </c>
      <c r="P1233">
        <v>2</v>
      </c>
      <c r="Q1233" s="1" t="s">
        <v>569</v>
      </c>
      <c r="R1233" s="93">
        <v>4290.55</v>
      </c>
      <c r="S1233">
        <v>2012.28</v>
      </c>
      <c r="T1233">
        <v>0</v>
      </c>
      <c r="U1233" s="1"/>
      <c r="V1233" s="1" t="s">
        <v>1276</v>
      </c>
      <c r="W1233">
        <v>4290.5423600000004</v>
      </c>
      <c r="X1233">
        <v>0</v>
      </c>
      <c r="Y1233">
        <v>76411</v>
      </c>
    </row>
    <row r="1234" spans="1:25" ht="15" hidden="1" customHeight="1" x14ac:dyDescent="0.25">
      <c r="A1234" s="1" t="s">
        <v>28</v>
      </c>
      <c r="B1234" s="1"/>
      <c r="C1234" s="1" t="s">
        <v>141</v>
      </c>
      <c r="D1234">
        <v>9979</v>
      </c>
      <c r="E1234" s="1"/>
      <c r="F1234" s="1" t="s">
        <v>278</v>
      </c>
      <c r="G1234" s="1" t="s">
        <v>141</v>
      </c>
      <c r="H1234" s="1" t="s">
        <v>1405</v>
      </c>
      <c r="I1234">
        <v>2008</v>
      </c>
      <c r="J1234" s="93">
        <v>7001.98</v>
      </c>
      <c r="K1234">
        <v>7</v>
      </c>
      <c r="L1234" s="1" t="s">
        <v>418</v>
      </c>
      <c r="M1234">
        <v>0</v>
      </c>
      <c r="N1234">
        <v>290</v>
      </c>
      <c r="O1234">
        <v>24.136434999999999</v>
      </c>
      <c r="P1234">
        <v>2</v>
      </c>
      <c r="Q1234" s="1" t="s">
        <v>569</v>
      </c>
      <c r="R1234" s="93">
        <v>7001.98</v>
      </c>
      <c r="S1234">
        <v>3283.93</v>
      </c>
      <c r="T1234">
        <v>0</v>
      </c>
      <c r="U1234" s="1"/>
      <c r="V1234" s="1" t="s">
        <v>1276</v>
      </c>
      <c r="W1234">
        <v>7001.9791599999999</v>
      </c>
      <c r="X1234">
        <v>0</v>
      </c>
      <c r="Y1234">
        <v>76411</v>
      </c>
    </row>
    <row r="1235" spans="1:25" ht="15" hidden="1" customHeight="1" x14ac:dyDescent="0.25">
      <c r="A1235" s="1" t="s">
        <v>28</v>
      </c>
      <c r="B1235" s="1"/>
      <c r="C1235" s="1" t="s">
        <v>142</v>
      </c>
      <c r="D1235">
        <v>10271</v>
      </c>
      <c r="E1235" s="1"/>
      <c r="F1235" s="1" t="s">
        <v>279</v>
      </c>
      <c r="G1235" s="1" t="s">
        <v>142</v>
      </c>
      <c r="H1235" s="1" t="s">
        <v>1405</v>
      </c>
      <c r="I1235">
        <v>2015</v>
      </c>
      <c r="J1235" s="93">
        <v>1244</v>
      </c>
      <c r="K1235">
        <v>1</v>
      </c>
      <c r="L1235" s="1" t="s">
        <v>419</v>
      </c>
      <c r="M1235">
        <v>0</v>
      </c>
      <c r="N1235">
        <v>123</v>
      </c>
      <c r="O1235">
        <v>1.3883829999999999</v>
      </c>
      <c r="P1235">
        <v>2</v>
      </c>
      <c r="Q1235" s="1" t="s">
        <v>569</v>
      </c>
      <c r="R1235" s="93">
        <v>170.91</v>
      </c>
      <c r="S1235">
        <v>51.27</v>
      </c>
      <c r="T1235">
        <v>0</v>
      </c>
      <c r="U1235" s="1" t="s">
        <v>994</v>
      </c>
      <c r="V1235" s="1" t="s">
        <v>1277</v>
      </c>
      <c r="W1235">
        <v>170.91088999999999</v>
      </c>
      <c r="X1235">
        <v>0</v>
      </c>
      <c r="Y1235">
        <v>77653</v>
      </c>
    </row>
    <row r="1236" spans="1:25" ht="15" hidden="1" customHeight="1" x14ac:dyDescent="0.25">
      <c r="A1236" s="1" t="s">
        <v>28</v>
      </c>
      <c r="B1236" s="1"/>
      <c r="C1236" s="1" t="s">
        <v>142</v>
      </c>
      <c r="D1236">
        <v>10271</v>
      </c>
      <c r="E1236" s="1"/>
      <c r="F1236" s="1" t="s">
        <v>279</v>
      </c>
      <c r="G1236" s="1" t="s">
        <v>142</v>
      </c>
      <c r="H1236" s="1" t="s">
        <v>1405</v>
      </c>
      <c r="I1236">
        <v>2013</v>
      </c>
      <c r="J1236" s="93">
        <v>1058.8800000000001</v>
      </c>
      <c r="K1236">
        <v>7</v>
      </c>
      <c r="L1236" s="1" t="s">
        <v>419</v>
      </c>
      <c r="M1236">
        <v>0</v>
      </c>
      <c r="N1236">
        <v>123</v>
      </c>
      <c r="O1236">
        <v>8.6017869999999998</v>
      </c>
      <c r="P1236">
        <v>2</v>
      </c>
      <c r="Q1236" s="1" t="s">
        <v>569</v>
      </c>
      <c r="R1236" s="93">
        <v>1058.8800000000001</v>
      </c>
      <c r="S1236">
        <v>317.67</v>
      </c>
      <c r="T1236">
        <v>0</v>
      </c>
      <c r="U1236" s="1" t="s">
        <v>994</v>
      </c>
      <c r="V1236" s="1" t="s">
        <v>1277</v>
      </c>
      <c r="W1236">
        <v>1058.89048</v>
      </c>
      <c r="X1236">
        <v>0</v>
      </c>
      <c r="Y1236">
        <v>77653</v>
      </c>
    </row>
    <row r="1237" spans="1:25" ht="15" hidden="1" customHeight="1" x14ac:dyDescent="0.25">
      <c r="A1237" s="1" t="s">
        <v>28</v>
      </c>
      <c r="B1237" s="1"/>
      <c r="C1237" s="1" t="s">
        <v>142</v>
      </c>
      <c r="D1237">
        <v>10271</v>
      </c>
      <c r="E1237" s="1"/>
      <c r="F1237" s="1" t="s">
        <v>279</v>
      </c>
      <c r="G1237" s="1" t="s">
        <v>142</v>
      </c>
      <c r="H1237" s="1" t="s">
        <v>1405</v>
      </c>
      <c r="I1237">
        <v>2012</v>
      </c>
      <c r="J1237" s="93">
        <v>2236.41</v>
      </c>
      <c r="K1237">
        <v>3</v>
      </c>
      <c r="L1237" s="1" t="s">
        <v>419</v>
      </c>
      <c r="M1237">
        <v>0</v>
      </c>
      <c r="N1237">
        <v>123</v>
      </c>
      <c r="O1237">
        <v>18.167424</v>
      </c>
      <c r="P1237">
        <v>2</v>
      </c>
      <c r="Q1237" s="1" t="s">
        <v>569</v>
      </c>
      <c r="R1237" s="93">
        <v>2236.41</v>
      </c>
      <c r="S1237">
        <v>894.55</v>
      </c>
      <c r="T1237">
        <v>0</v>
      </c>
      <c r="U1237" s="1" t="s">
        <v>994</v>
      </c>
      <c r="V1237" s="1" t="s">
        <v>1277</v>
      </c>
      <c r="W1237">
        <v>2236.42202</v>
      </c>
      <c r="X1237">
        <v>0</v>
      </c>
      <c r="Y1237">
        <v>77653</v>
      </c>
    </row>
    <row r="1238" spans="1:25" ht="15" hidden="1" customHeight="1" x14ac:dyDescent="0.25">
      <c r="A1238" s="1" t="s">
        <v>28</v>
      </c>
      <c r="B1238" s="1"/>
      <c r="C1238" s="1" t="s">
        <v>142</v>
      </c>
      <c r="D1238">
        <v>10271</v>
      </c>
      <c r="E1238" s="1"/>
      <c r="F1238" s="1" t="s">
        <v>279</v>
      </c>
      <c r="G1238" s="1" t="s">
        <v>142</v>
      </c>
      <c r="H1238" s="1" t="s">
        <v>1405</v>
      </c>
      <c r="I1238">
        <v>2011</v>
      </c>
      <c r="J1238" s="93">
        <v>2701.55</v>
      </c>
      <c r="K1238">
        <v>2</v>
      </c>
      <c r="L1238" s="1" t="s">
        <v>419</v>
      </c>
      <c r="M1238">
        <v>0</v>
      </c>
      <c r="N1238">
        <v>123</v>
      </c>
      <c r="O1238">
        <v>21.945978</v>
      </c>
      <c r="P1238">
        <v>2</v>
      </c>
      <c r="Q1238" s="1" t="s">
        <v>569</v>
      </c>
      <c r="R1238" s="93">
        <v>2701.55</v>
      </c>
      <c r="S1238">
        <v>1267.02</v>
      </c>
      <c r="T1238">
        <v>0</v>
      </c>
      <c r="U1238" s="1" t="s">
        <v>994</v>
      </c>
      <c r="V1238" s="1" t="s">
        <v>1277</v>
      </c>
      <c r="W1238">
        <v>2701.55557</v>
      </c>
      <c r="X1238">
        <v>0</v>
      </c>
      <c r="Y1238">
        <v>77653</v>
      </c>
    </row>
    <row r="1239" spans="1:25" ht="15" hidden="1" customHeight="1" x14ac:dyDescent="0.25">
      <c r="A1239" s="1" t="s">
        <v>28</v>
      </c>
      <c r="B1239" s="1"/>
      <c r="C1239" s="1" t="s">
        <v>142</v>
      </c>
      <c r="D1239">
        <v>10271</v>
      </c>
      <c r="E1239" s="1"/>
      <c r="F1239" s="1" t="s">
        <v>279</v>
      </c>
      <c r="G1239" s="1" t="s">
        <v>142</v>
      </c>
      <c r="H1239" s="1" t="s">
        <v>1405</v>
      </c>
      <c r="I1239">
        <v>2010</v>
      </c>
      <c r="J1239" s="93">
        <v>3605.69</v>
      </c>
      <c r="K1239">
        <v>4</v>
      </c>
      <c r="L1239" s="1" t="s">
        <v>419</v>
      </c>
      <c r="M1239">
        <v>0</v>
      </c>
      <c r="N1239">
        <v>123</v>
      </c>
      <c r="O1239">
        <v>29.290738999999999</v>
      </c>
      <c r="P1239">
        <v>2</v>
      </c>
      <c r="Q1239" s="1" t="s">
        <v>569</v>
      </c>
      <c r="R1239" s="93">
        <v>3605.69</v>
      </c>
      <c r="S1239">
        <v>1691.09</v>
      </c>
      <c r="T1239">
        <v>0</v>
      </c>
      <c r="U1239" s="1" t="s">
        <v>994</v>
      </c>
      <c r="V1239" s="1" t="s">
        <v>1277</v>
      </c>
      <c r="W1239">
        <v>3605.69976</v>
      </c>
      <c r="X1239">
        <v>0</v>
      </c>
      <c r="Y1239">
        <v>77653</v>
      </c>
    </row>
    <row r="1240" spans="1:25" ht="15" hidden="1" customHeight="1" x14ac:dyDescent="0.25">
      <c r="A1240" s="1" t="s">
        <v>28</v>
      </c>
      <c r="B1240" s="1"/>
      <c r="C1240" s="1" t="s">
        <v>142</v>
      </c>
      <c r="D1240">
        <v>10271</v>
      </c>
      <c r="E1240" s="1"/>
      <c r="F1240" s="1" t="s">
        <v>279</v>
      </c>
      <c r="G1240" s="1" t="s">
        <v>142</v>
      </c>
      <c r="H1240" s="1" t="s">
        <v>1405</v>
      </c>
      <c r="I1240">
        <v>2009</v>
      </c>
      <c r="J1240" s="93">
        <v>1626.98</v>
      </c>
      <c r="K1240">
        <v>3</v>
      </c>
      <c r="L1240" s="1" t="s">
        <v>419</v>
      </c>
      <c r="M1240">
        <v>0</v>
      </c>
      <c r="N1240">
        <v>123</v>
      </c>
      <c r="O1240">
        <v>13.216734000000001</v>
      </c>
      <c r="P1240">
        <v>2</v>
      </c>
      <c r="Q1240" s="1" t="s">
        <v>569</v>
      </c>
      <c r="R1240" s="93">
        <v>1626.98</v>
      </c>
      <c r="S1240">
        <v>763.05</v>
      </c>
      <c r="T1240">
        <v>0</v>
      </c>
      <c r="U1240" s="1" t="s">
        <v>994</v>
      </c>
      <c r="V1240" s="1" t="s">
        <v>1277</v>
      </c>
      <c r="W1240">
        <v>1626.9754600000001</v>
      </c>
      <c r="X1240">
        <v>0</v>
      </c>
      <c r="Y1240">
        <v>77653</v>
      </c>
    </row>
    <row r="1241" spans="1:25" ht="15" hidden="1" customHeight="1" x14ac:dyDescent="0.25">
      <c r="A1241" s="1" t="s">
        <v>28</v>
      </c>
      <c r="B1241" s="1"/>
      <c r="C1241" s="1" t="s">
        <v>142</v>
      </c>
      <c r="D1241">
        <v>10271</v>
      </c>
      <c r="E1241" s="1"/>
      <c r="F1241" s="1" t="s">
        <v>279</v>
      </c>
      <c r="G1241" s="1" t="s">
        <v>142</v>
      </c>
      <c r="H1241" s="1" t="s">
        <v>1405</v>
      </c>
      <c r="I1241">
        <v>2008</v>
      </c>
      <c r="J1241" s="93">
        <v>4827.3900000000003</v>
      </c>
      <c r="K1241">
        <v>2</v>
      </c>
      <c r="L1241" s="1" t="s">
        <v>419</v>
      </c>
      <c r="M1241">
        <v>0</v>
      </c>
      <c r="N1241">
        <v>123</v>
      </c>
      <c r="O1241">
        <v>39.21519</v>
      </c>
      <c r="P1241">
        <v>2</v>
      </c>
      <c r="Q1241" s="1" t="s">
        <v>569</v>
      </c>
      <c r="R1241" s="93">
        <v>4827.3900000000003</v>
      </c>
      <c r="S1241">
        <v>2264.0500000000002</v>
      </c>
      <c r="T1241">
        <v>0</v>
      </c>
      <c r="U1241" s="1" t="s">
        <v>994</v>
      </c>
      <c r="V1241" s="1" t="s">
        <v>1277</v>
      </c>
      <c r="W1241">
        <v>4827.3867099999998</v>
      </c>
      <c r="X1241">
        <v>0</v>
      </c>
      <c r="Y1241">
        <v>77653</v>
      </c>
    </row>
    <row r="1242" spans="1:25" ht="15" hidden="1" customHeight="1" x14ac:dyDescent="0.25">
      <c r="A1242" s="1" t="s">
        <v>28</v>
      </c>
      <c r="B1242" s="1"/>
      <c r="C1242" s="1" t="s">
        <v>143</v>
      </c>
      <c r="D1242">
        <v>13961</v>
      </c>
      <c r="E1242" s="1" t="s">
        <v>243</v>
      </c>
      <c r="F1242" s="1" t="s">
        <v>143</v>
      </c>
      <c r="G1242" s="1" t="s">
        <v>143</v>
      </c>
      <c r="H1242" s="1" t="s">
        <v>1405</v>
      </c>
      <c r="I1242">
        <v>2013</v>
      </c>
      <c r="J1242" s="93">
        <v>1219.8800000000001</v>
      </c>
      <c r="K1242">
        <v>3</v>
      </c>
      <c r="L1242" s="1" t="s">
        <v>480</v>
      </c>
      <c r="M1242">
        <v>0</v>
      </c>
      <c r="N1242">
        <v>214</v>
      </c>
      <c r="O1242">
        <v>5.697711</v>
      </c>
      <c r="P1242">
        <v>2</v>
      </c>
      <c r="Q1242" s="1" t="s">
        <v>569</v>
      </c>
      <c r="R1242" s="93">
        <v>1219.8800000000001</v>
      </c>
      <c r="S1242">
        <v>365.96</v>
      </c>
      <c r="T1242">
        <v>0</v>
      </c>
      <c r="U1242" s="1" t="s">
        <v>995</v>
      </c>
      <c r="V1242" s="1" t="s">
        <v>1278</v>
      </c>
      <c r="W1242">
        <v>1219.86402</v>
      </c>
      <c r="X1242">
        <v>0</v>
      </c>
      <c r="Y1242">
        <v>92680</v>
      </c>
    </row>
    <row r="1243" spans="1:25" ht="15" hidden="1" customHeight="1" x14ac:dyDescent="0.25">
      <c r="A1243" s="1" t="s">
        <v>28</v>
      </c>
      <c r="B1243" s="1"/>
      <c r="C1243" s="1" t="s">
        <v>143</v>
      </c>
      <c r="D1243">
        <v>13961</v>
      </c>
      <c r="E1243" s="1" t="s">
        <v>243</v>
      </c>
      <c r="F1243" s="1" t="s">
        <v>143</v>
      </c>
      <c r="G1243" s="1" t="s">
        <v>143</v>
      </c>
      <c r="H1243" s="1" t="s">
        <v>1405</v>
      </c>
      <c r="I1243">
        <v>2012</v>
      </c>
      <c r="J1243" s="93">
        <v>354.61</v>
      </c>
      <c r="K1243">
        <v>2</v>
      </c>
      <c r="L1243" s="1" t="s">
        <v>480</v>
      </c>
      <c r="M1243">
        <v>0</v>
      </c>
      <c r="N1243">
        <v>214</v>
      </c>
      <c r="O1243">
        <v>1.656282</v>
      </c>
      <c r="P1243">
        <v>2</v>
      </c>
      <c r="Q1243" s="1" t="s">
        <v>569</v>
      </c>
      <c r="R1243" s="93">
        <v>354.61</v>
      </c>
      <c r="S1243">
        <v>141.84</v>
      </c>
      <c r="T1243">
        <v>0</v>
      </c>
      <c r="U1243" s="1" t="s">
        <v>995</v>
      </c>
      <c r="V1243" s="1" t="s">
        <v>1278</v>
      </c>
      <c r="W1243">
        <v>354.60345000000001</v>
      </c>
      <c r="X1243">
        <v>0</v>
      </c>
      <c r="Y1243">
        <v>92680</v>
      </c>
    </row>
    <row r="1244" spans="1:25" ht="15" customHeight="1" x14ac:dyDescent="0.25">
      <c r="A1244" s="1" t="s">
        <v>29</v>
      </c>
      <c r="B1244" s="1"/>
      <c r="C1244" s="1" t="s">
        <v>144</v>
      </c>
      <c r="D1244">
        <v>10256</v>
      </c>
      <c r="E1244" s="1"/>
      <c r="F1244" s="1" t="s">
        <v>144</v>
      </c>
      <c r="G1244" s="1" t="s">
        <v>144</v>
      </c>
      <c r="H1244" s="1" t="s">
        <v>1405</v>
      </c>
      <c r="I1244">
        <v>2014</v>
      </c>
      <c r="J1244" s="93">
        <v>83.83</v>
      </c>
      <c r="K1244">
        <v>10</v>
      </c>
      <c r="L1244" s="1" t="s">
        <v>420</v>
      </c>
      <c r="M1244">
        <v>0</v>
      </c>
      <c r="N1244">
        <v>381</v>
      </c>
      <c r="O1244">
        <v>0.219968</v>
      </c>
      <c r="P1244">
        <v>3</v>
      </c>
      <c r="Q1244" s="1" t="s">
        <v>560</v>
      </c>
      <c r="R1244" s="93">
        <v>83.83</v>
      </c>
      <c r="S1244">
        <v>67.05</v>
      </c>
      <c r="T1244">
        <v>0</v>
      </c>
      <c r="U1244" s="1" t="s">
        <v>614</v>
      </c>
      <c r="V1244" s="1"/>
      <c r="W1244">
        <v>83.826750000000004</v>
      </c>
      <c r="X1244">
        <v>0</v>
      </c>
      <c r="Y1244">
        <v>77569</v>
      </c>
    </row>
    <row r="1245" spans="1:25" ht="15" customHeight="1" x14ac:dyDescent="0.25">
      <c r="A1245" s="1" t="s">
        <v>29</v>
      </c>
      <c r="B1245" s="1"/>
      <c r="C1245" s="1" t="s">
        <v>144</v>
      </c>
      <c r="D1245">
        <v>10256</v>
      </c>
      <c r="E1245" s="1"/>
      <c r="F1245" s="1" t="s">
        <v>144</v>
      </c>
      <c r="G1245" s="1" t="s">
        <v>144</v>
      </c>
      <c r="H1245" s="1" t="s">
        <v>1405</v>
      </c>
      <c r="I1245">
        <v>2014</v>
      </c>
      <c r="J1245" s="93">
        <v>10032.15</v>
      </c>
      <c r="K1245">
        <v>10</v>
      </c>
      <c r="L1245" s="1" t="s">
        <v>421</v>
      </c>
      <c r="M1245">
        <v>0</v>
      </c>
      <c r="N1245">
        <v>381</v>
      </c>
      <c r="O1245">
        <v>26.324193000000001</v>
      </c>
      <c r="P1245">
        <v>2</v>
      </c>
      <c r="Q1245" s="1" t="s">
        <v>569</v>
      </c>
      <c r="R1245" s="93">
        <v>10032.15</v>
      </c>
      <c r="S1245">
        <v>3009.66</v>
      </c>
      <c r="T1245">
        <v>0</v>
      </c>
      <c r="U1245" s="1" t="s">
        <v>996</v>
      </c>
      <c r="V1245" s="1" t="s">
        <v>1279</v>
      </c>
      <c r="W1245">
        <v>10032.15357</v>
      </c>
      <c r="X1245">
        <v>0</v>
      </c>
      <c r="Y1245">
        <v>77568</v>
      </c>
    </row>
    <row r="1246" spans="1:25" ht="15" customHeight="1" x14ac:dyDescent="0.25">
      <c r="A1246" s="1" t="s">
        <v>29</v>
      </c>
      <c r="B1246" s="1"/>
      <c r="C1246" s="1" t="s">
        <v>144</v>
      </c>
      <c r="D1246">
        <v>10256</v>
      </c>
      <c r="E1246" s="1"/>
      <c r="F1246" s="1" t="s">
        <v>144</v>
      </c>
      <c r="G1246" s="1" t="s">
        <v>144</v>
      </c>
      <c r="H1246" s="1" t="s">
        <v>1405</v>
      </c>
      <c r="I1246">
        <v>2014</v>
      </c>
      <c r="J1246" s="93">
        <v>40969.050000000003</v>
      </c>
      <c r="K1246">
        <v>12</v>
      </c>
      <c r="L1246" s="1" t="s">
        <v>481</v>
      </c>
      <c r="M1246">
        <v>0</v>
      </c>
      <c r="N1246">
        <v>381</v>
      </c>
      <c r="O1246">
        <v>107.502099</v>
      </c>
      <c r="P1246">
        <v>1</v>
      </c>
      <c r="Q1246" s="1" t="s">
        <v>565</v>
      </c>
      <c r="R1246" s="93">
        <v>50069.58</v>
      </c>
      <c r="S1246">
        <v>3204.46</v>
      </c>
      <c r="T1246">
        <v>0</v>
      </c>
      <c r="U1246" s="1" t="s">
        <v>793</v>
      </c>
      <c r="V1246" s="1"/>
      <c r="W1246">
        <v>40.969050000000003</v>
      </c>
      <c r="X1246">
        <v>0</v>
      </c>
      <c r="Y1246">
        <v>77615</v>
      </c>
    </row>
    <row r="1247" spans="1:25" ht="15" customHeight="1" x14ac:dyDescent="0.25">
      <c r="A1247" s="1" t="s">
        <v>29</v>
      </c>
      <c r="B1247" s="1"/>
      <c r="C1247" s="1" t="s">
        <v>144</v>
      </c>
      <c r="D1247">
        <v>10256</v>
      </c>
      <c r="E1247" s="1"/>
      <c r="F1247" s="1" t="s">
        <v>144</v>
      </c>
      <c r="G1247" s="1" t="s">
        <v>144</v>
      </c>
      <c r="H1247" s="1" t="s">
        <v>1405</v>
      </c>
      <c r="I1247">
        <v>2015</v>
      </c>
      <c r="J1247" s="93">
        <v>83</v>
      </c>
      <c r="K1247">
        <v>2</v>
      </c>
      <c r="L1247" s="1" t="s">
        <v>420</v>
      </c>
      <c r="M1247">
        <v>0</v>
      </c>
      <c r="N1247">
        <v>381</v>
      </c>
      <c r="O1247">
        <v>4.6549E-2</v>
      </c>
      <c r="P1247">
        <v>3</v>
      </c>
      <c r="Q1247" s="1" t="s">
        <v>560</v>
      </c>
      <c r="R1247" s="93">
        <v>17.739999999999998</v>
      </c>
      <c r="S1247">
        <v>14.19</v>
      </c>
      <c r="T1247">
        <v>0</v>
      </c>
      <c r="U1247" s="1" t="s">
        <v>614</v>
      </c>
      <c r="V1247" s="1"/>
      <c r="W1247">
        <v>17.744679999999999</v>
      </c>
      <c r="X1247">
        <v>0</v>
      </c>
      <c r="Y1247">
        <v>77569</v>
      </c>
    </row>
    <row r="1248" spans="1:25" ht="15" customHeight="1" x14ac:dyDescent="0.25">
      <c r="A1248" s="1" t="s">
        <v>29</v>
      </c>
      <c r="B1248" s="1"/>
      <c r="C1248" s="1" t="s">
        <v>144</v>
      </c>
      <c r="D1248">
        <v>10256</v>
      </c>
      <c r="E1248" s="1"/>
      <c r="F1248" s="1" t="s">
        <v>144</v>
      </c>
      <c r="G1248" s="1" t="s">
        <v>144</v>
      </c>
      <c r="H1248" s="1" t="s">
        <v>1405</v>
      </c>
      <c r="I1248">
        <v>2015</v>
      </c>
      <c r="J1248" s="93">
        <v>0</v>
      </c>
      <c r="K1248">
        <v>3</v>
      </c>
      <c r="L1248" s="1" t="s">
        <v>421</v>
      </c>
      <c r="M1248">
        <v>0</v>
      </c>
      <c r="N1248">
        <v>381</v>
      </c>
      <c r="O1248">
        <v>3.6762000000000003E-2</v>
      </c>
      <c r="P1248">
        <v>3</v>
      </c>
      <c r="Q1248" s="1" t="s">
        <v>560</v>
      </c>
      <c r="R1248" s="93">
        <v>14.01</v>
      </c>
      <c r="S1248">
        <v>0</v>
      </c>
      <c r="T1248">
        <v>0</v>
      </c>
      <c r="U1248" s="1" t="s">
        <v>615</v>
      </c>
      <c r="V1248" s="1"/>
      <c r="W1248">
        <v>14</v>
      </c>
      <c r="X1248">
        <v>0</v>
      </c>
      <c r="Y1248">
        <v>97285</v>
      </c>
    </row>
    <row r="1249" spans="1:25" ht="15" hidden="1" customHeight="1" x14ac:dyDescent="0.25">
      <c r="A1249" s="1" t="s">
        <v>29</v>
      </c>
      <c r="B1249" s="1"/>
      <c r="C1249" s="1" t="s">
        <v>144</v>
      </c>
      <c r="D1249">
        <v>10256</v>
      </c>
      <c r="E1249" s="1"/>
      <c r="F1249" s="1" t="s">
        <v>144</v>
      </c>
      <c r="G1249" s="1" t="s">
        <v>144</v>
      </c>
      <c r="H1249" s="1" t="s">
        <v>1405</v>
      </c>
      <c r="I1249">
        <v>2013</v>
      </c>
      <c r="J1249" s="93">
        <v>99.39</v>
      </c>
      <c r="K1249">
        <v>10</v>
      </c>
      <c r="L1249" s="1" t="s">
        <v>420</v>
      </c>
      <c r="M1249">
        <v>0</v>
      </c>
      <c r="N1249">
        <v>381</v>
      </c>
      <c r="O1249">
        <v>0.260797</v>
      </c>
      <c r="P1249">
        <v>3</v>
      </c>
      <c r="Q1249" s="1" t="s">
        <v>560</v>
      </c>
      <c r="R1249" s="93">
        <v>99.39</v>
      </c>
      <c r="S1249">
        <v>79.52</v>
      </c>
      <c r="T1249">
        <v>0</v>
      </c>
      <c r="U1249" s="1" t="s">
        <v>614</v>
      </c>
      <c r="V1249" s="1"/>
      <c r="W1249">
        <v>99.396320000000003</v>
      </c>
      <c r="X1249">
        <v>0</v>
      </c>
      <c r="Y1249">
        <v>77569</v>
      </c>
    </row>
    <row r="1250" spans="1:25" ht="15" hidden="1" customHeight="1" x14ac:dyDescent="0.25">
      <c r="A1250" s="1" t="s">
        <v>29</v>
      </c>
      <c r="B1250" s="1"/>
      <c r="C1250" s="1" t="s">
        <v>144</v>
      </c>
      <c r="D1250">
        <v>10256</v>
      </c>
      <c r="E1250" s="1"/>
      <c r="F1250" s="1" t="s">
        <v>144</v>
      </c>
      <c r="G1250" s="1" t="s">
        <v>144</v>
      </c>
      <c r="H1250" s="1" t="s">
        <v>1405</v>
      </c>
      <c r="I1250">
        <v>2012</v>
      </c>
      <c r="J1250" s="93">
        <v>86.21</v>
      </c>
      <c r="K1250">
        <v>11</v>
      </c>
      <c r="L1250" s="1" t="s">
        <v>420</v>
      </c>
      <c r="M1250">
        <v>0</v>
      </c>
      <c r="N1250">
        <v>381</v>
      </c>
      <c r="O1250">
        <v>0.226213</v>
      </c>
      <c r="P1250">
        <v>3</v>
      </c>
      <c r="Q1250" s="1" t="s">
        <v>560</v>
      </c>
      <c r="R1250" s="93">
        <v>86.21</v>
      </c>
      <c r="S1250">
        <v>68.97</v>
      </c>
      <c r="T1250">
        <v>0</v>
      </c>
      <c r="U1250" s="1" t="s">
        <v>614</v>
      </c>
      <c r="V1250" s="1"/>
      <c r="W1250">
        <v>86.210830000000001</v>
      </c>
      <c r="X1250">
        <v>0</v>
      </c>
      <c r="Y1250">
        <v>77569</v>
      </c>
    </row>
    <row r="1251" spans="1:25" ht="15" hidden="1" customHeight="1" x14ac:dyDescent="0.25">
      <c r="A1251" s="1" t="s">
        <v>29</v>
      </c>
      <c r="B1251" s="1"/>
      <c r="C1251" s="1" t="s">
        <v>144</v>
      </c>
      <c r="D1251">
        <v>10256</v>
      </c>
      <c r="E1251" s="1"/>
      <c r="F1251" s="1" t="s">
        <v>144</v>
      </c>
      <c r="G1251" s="1" t="s">
        <v>144</v>
      </c>
      <c r="H1251" s="1" t="s">
        <v>1405</v>
      </c>
      <c r="I1251">
        <v>2011</v>
      </c>
      <c r="J1251" s="93">
        <v>78</v>
      </c>
      <c r="K1251">
        <v>8</v>
      </c>
      <c r="L1251" s="1" t="s">
        <v>420</v>
      </c>
      <c r="M1251">
        <v>0</v>
      </c>
      <c r="N1251">
        <v>381</v>
      </c>
      <c r="O1251">
        <v>0.20466999999999999</v>
      </c>
      <c r="P1251">
        <v>3</v>
      </c>
      <c r="Q1251" s="1" t="s">
        <v>560</v>
      </c>
      <c r="R1251" s="93">
        <v>78</v>
      </c>
      <c r="S1251">
        <v>62.41</v>
      </c>
      <c r="T1251">
        <v>0</v>
      </c>
      <c r="U1251" s="1" t="s">
        <v>614</v>
      </c>
      <c r="V1251" s="1"/>
      <c r="W1251">
        <v>78.003249999999994</v>
      </c>
      <c r="X1251">
        <v>0</v>
      </c>
      <c r="Y1251">
        <v>77569</v>
      </c>
    </row>
    <row r="1252" spans="1:25" ht="15" hidden="1" customHeight="1" x14ac:dyDescent="0.25">
      <c r="A1252" s="1" t="s">
        <v>29</v>
      </c>
      <c r="B1252" s="1"/>
      <c r="C1252" s="1" t="s">
        <v>144</v>
      </c>
      <c r="D1252">
        <v>10256</v>
      </c>
      <c r="E1252" s="1"/>
      <c r="F1252" s="1" t="s">
        <v>144</v>
      </c>
      <c r="G1252" s="1" t="s">
        <v>144</v>
      </c>
      <c r="H1252" s="1" t="s">
        <v>1405</v>
      </c>
      <c r="I1252">
        <v>2010</v>
      </c>
      <c r="J1252" s="93">
        <v>37.08</v>
      </c>
      <c r="K1252">
        <v>12</v>
      </c>
      <c r="L1252" s="1" t="s">
        <v>420</v>
      </c>
      <c r="M1252">
        <v>0</v>
      </c>
      <c r="N1252">
        <v>381</v>
      </c>
      <c r="O1252">
        <v>9.7296999999999995E-2</v>
      </c>
      <c r="P1252">
        <v>3</v>
      </c>
      <c r="Q1252" s="1" t="s">
        <v>560</v>
      </c>
      <c r="R1252" s="93">
        <v>37.08</v>
      </c>
      <c r="S1252">
        <v>29.67</v>
      </c>
      <c r="T1252">
        <v>0</v>
      </c>
      <c r="U1252" s="1" t="s">
        <v>614</v>
      </c>
      <c r="V1252" s="1"/>
      <c r="W1252">
        <v>37.075319999999998</v>
      </c>
      <c r="X1252">
        <v>0</v>
      </c>
      <c r="Y1252">
        <v>77569</v>
      </c>
    </row>
    <row r="1253" spans="1:25" ht="15" hidden="1" customHeight="1" x14ac:dyDescent="0.25">
      <c r="A1253" s="1" t="s">
        <v>29</v>
      </c>
      <c r="B1253" s="1"/>
      <c r="C1253" s="1" t="s">
        <v>144</v>
      </c>
      <c r="D1253">
        <v>10256</v>
      </c>
      <c r="E1253" s="1"/>
      <c r="F1253" s="1" t="s">
        <v>144</v>
      </c>
      <c r="G1253" s="1" t="s">
        <v>144</v>
      </c>
      <c r="H1253" s="1" t="s">
        <v>1405</v>
      </c>
      <c r="I1253">
        <v>2009</v>
      </c>
      <c r="J1253" s="93">
        <v>59.6</v>
      </c>
      <c r="K1253">
        <v>9</v>
      </c>
      <c r="L1253" s="1" t="s">
        <v>420</v>
      </c>
      <c r="M1253">
        <v>0</v>
      </c>
      <c r="N1253">
        <v>381</v>
      </c>
      <c r="O1253">
        <v>0.156389</v>
      </c>
      <c r="P1253">
        <v>3</v>
      </c>
      <c r="Q1253" s="1" t="s">
        <v>560</v>
      </c>
      <c r="R1253" s="93">
        <v>59.6</v>
      </c>
      <c r="S1253">
        <v>47.67</v>
      </c>
      <c r="T1253">
        <v>0</v>
      </c>
      <c r="U1253" s="1" t="s">
        <v>614</v>
      </c>
      <c r="V1253" s="1"/>
      <c r="W1253">
        <v>59.592309999999998</v>
      </c>
      <c r="X1253">
        <v>0</v>
      </c>
      <c r="Y1253">
        <v>77569</v>
      </c>
    </row>
    <row r="1254" spans="1:25" ht="15" hidden="1" customHeight="1" x14ac:dyDescent="0.25">
      <c r="A1254" s="1" t="s">
        <v>29</v>
      </c>
      <c r="B1254" s="1"/>
      <c r="C1254" s="1" t="s">
        <v>144</v>
      </c>
      <c r="D1254">
        <v>10256</v>
      </c>
      <c r="E1254" s="1"/>
      <c r="F1254" s="1" t="s">
        <v>144</v>
      </c>
      <c r="G1254" s="1" t="s">
        <v>144</v>
      </c>
      <c r="H1254" s="1" t="s">
        <v>1405</v>
      </c>
      <c r="I1254">
        <v>2008</v>
      </c>
      <c r="J1254" s="93">
        <v>58.91</v>
      </c>
      <c r="K1254">
        <v>13</v>
      </c>
      <c r="L1254" s="1" t="s">
        <v>420</v>
      </c>
      <c r="M1254">
        <v>0</v>
      </c>
      <c r="N1254">
        <v>381</v>
      </c>
      <c r="O1254">
        <v>0.15457799999999999</v>
      </c>
      <c r="P1254">
        <v>3</v>
      </c>
      <c r="Q1254" s="1" t="s">
        <v>560</v>
      </c>
      <c r="R1254" s="93">
        <v>58.91</v>
      </c>
      <c r="S1254">
        <v>47.12</v>
      </c>
      <c r="T1254">
        <v>0</v>
      </c>
      <c r="U1254" s="1" t="s">
        <v>614</v>
      </c>
      <c r="V1254" s="1"/>
      <c r="W1254">
        <v>58.892470000000003</v>
      </c>
      <c r="X1254">
        <v>0</v>
      </c>
      <c r="Y1254">
        <v>77569</v>
      </c>
    </row>
    <row r="1255" spans="1:25" ht="15" hidden="1" customHeight="1" x14ac:dyDescent="0.25">
      <c r="A1255" s="1" t="s">
        <v>29</v>
      </c>
      <c r="B1255" s="1"/>
      <c r="C1255" s="1" t="s">
        <v>145</v>
      </c>
      <c r="D1255">
        <v>11351</v>
      </c>
      <c r="E1255" s="1" t="s">
        <v>243</v>
      </c>
      <c r="F1255" s="1" t="s">
        <v>280</v>
      </c>
      <c r="G1255" s="1" t="s">
        <v>145</v>
      </c>
      <c r="H1255" s="1" t="s">
        <v>1405</v>
      </c>
      <c r="I1255">
        <v>2015</v>
      </c>
      <c r="J1255" s="93">
        <v>114</v>
      </c>
      <c r="K1255">
        <v>5</v>
      </c>
      <c r="L1255" s="1" t="s">
        <v>399</v>
      </c>
      <c r="M1255">
        <v>0</v>
      </c>
      <c r="N1255">
        <v>867</v>
      </c>
      <c r="O1255">
        <v>4.7248999999999999E-2</v>
      </c>
      <c r="P1255">
        <v>3</v>
      </c>
      <c r="Q1255" s="1" t="s">
        <v>560</v>
      </c>
      <c r="R1255" s="93">
        <v>40.97</v>
      </c>
      <c r="S1255">
        <v>32.770000000000003</v>
      </c>
      <c r="T1255">
        <v>0</v>
      </c>
      <c r="U1255" s="1" t="s">
        <v>616</v>
      </c>
      <c r="V1255" s="1"/>
      <c r="W1255">
        <v>40.966999999999999</v>
      </c>
      <c r="X1255">
        <v>0</v>
      </c>
      <c r="Y1255">
        <v>80896</v>
      </c>
    </row>
    <row r="1256" spans="1:25" ht="15" hidden="1" customHeight="1" x14ac:dyDescent="0.25">
      <c r="A1256" s="1" t="s">
        <v>29</v>
      </c>
      <c r="B1256" s="1"/>
      <c r="C1256" s="1" t="s">
        <v>145</v>
      </c>
      <c r="D1256">
        <v>11351</v>
      </c>
      <c r="E1256" s="1" t="s">
        <v>243</v>
      </c>
      <c r="F1256" s="1" t="s">
        <v>280</v>
      </c>
      <c r="G1256" s="1" t="s">
        <v>145</v>
      </c>
      <c r="H1256" s="1" t="s">
        <v>1405</v>
      </c>
      <c r="I1256">
        <v>2013</v>
      </c>
      <c r="J1256" s="93">
        <v>139.22999999999999</v>
      </c>
      <c r="K1256">
        <v>12</v>
      </c>
      <c r="L1256" s="1" t="s">
        <v>399</v>
      </c>
      <c r="M1256">
        <v>0</v>
      </c>
      <c r="N1256">
        <v>867</v>
      </c>
      <c r="O1256">
        <v>0.16056899999999999</v>
      </c>
      <c r="P1256">
        <v>3</v>
      </c>
      <c r="Q1256" s="1" t="s">
        <v>560</v>
      </c>
      <c r="R1256" s="93">
        <v>139.22999999999999</v>
      </c>
      <c r="S1256">
        <v>111.38</v>
      </c>
      <c r="T1256">
        <v>0</v>
      </c>
      <c r="U1256" s="1" t="s">
        <v>616</v>
      </c>
      <c r="V1256" s="1"/>
      <c r="W1256">
        <v>139.22200000000001</v>
      </c>
      <c r="X1256">
        <v>0</v>
      </c>
      <c r="Y1256">
        <v>80896</v>
      </c>
    </row>
    <row r="1257" spans="1:25" ht="15" hidden="1" customHeight="1" x14ac:dyDescent="0.25">
      <c r="A1257" s="1" t="s">
        <v>29</v>
      </c>
      <c r="B1257" s="1"/>
      <c r="C1257" s="1" t="s">
        <v>145</v>
      </c>
      <c r="D1257">
        <v>11351</v>
      </c>
      <c r="E1257" s="1" t="s">
        <v>243</v>
      </c>
      <c r="F1257" s="1" t="s">
        <v>280</v>
      </c>
      <c r="G1257" s="1" t="s">
        <v>145</v>
      </c>
      <c r="H1257" s="1" t="s">
        <v>1405</v>
      </c>
      <c r="I1257">
        <v>2012</v>
      </c>
      <c r="J1257" s="93">
        <v>120.15</v>
      </c>
      <c r="K1257">
        <v>12</v>
      </c>
      <c r="L1257" s="1" t="s">
        <v>399</v>
      </c>
      <c r="M1257">
        <v>0</v>
      </c>
      <c r="N1257">
        <v>867</v>
      </c>
      <c r="O1257">
        <v>0.13856499999999999</v>
      </c>
      <c r="P1257">
        <v>3</v>
      </c>
      <c r="Q1257" s="1" t="s">
        <v>560</v>
      </c>
      <c r="R1257" s="93">
        <v>120.15</v>
      </c>
      <c r="S1257">
        <v>96.14</v>
      </c>
      <c r="T1257">
        <v>0</v>
      </c>
      <c r="U1257" s="1" t="s">
        <v>616</v>
      </c>
      <c r="V1257" s="1"/>
      <c r="W1257">
        <v>120.15600000000001</v>
      </c>
      <c r="X1257">
        <v>0</v>
      </c>
      <c r="Y1257">
        <v>80896</v>
      </c>
    </row>
    <row r="1258" spans="1:25" ht="15" hidden="1" customHeight="1" x14ac:dyDescent="0.25">
      <c r="A1258" s="1" t="s">
        <v>29</v>
      </c>
      <c r="B1258" s="1"/>
      <c r="C1258" s="1" t="s">
        <v>145</v>
      </c>
      <c r="D1258">
        <v>11351</v>
      </c>
      <c r="E1258" s="1" t="s">
        <v>243</v>
      </c>
      <c r="F1258" s="1" t="s">
        <v>280</v>
      </c>
      <c r="G1258" s="1" t="s">
        <v>145</v>
      </c>
      <c r="H1258" s="1" t="s">
        <v>1405</v>
      </c>
      <c r="I1258">
        <v>2011</v>
      </c>
      <c r="J1258" s="93">
        <v>63.76</v>
      </c>
      <c r="K1258">
        <v>7</v>
      </c>
      <c r="L1258" s="1" t="s">
        <v>399</v>
      </c>
      <c r="M1258">
        <v>0</v>
      </c>
      <c r="N1258">
        <v>867</v>
      </c>
      <c r="O1258">
        <v>7.3532E-2</v>
      </c>
      <c r="P1258">
        <v>3</v>
      </c>
      <c r="Q1258" s="1" t="s">
        <v>560</v>
      </c>
      <c r="R1258" s="93">
        <v>63.76</v>
      </c>
      <c r="S1258">
        <v>50.98</v>
      </c>
      <c r="T1258">
        <v>0</v>
      </c>
      <c r="U1258" s="1" t="s">
        <v>616</v>
      </c>
      <c r="V1258" s="1"/>
      <c r="W1258">
        <v>63.749989999999997</v>
      </c>
      <c r="X1258">
        <v>0</v>
      </c>
      <c r="Y1258">
        <v>80896</v>
      </c>
    </row>
    <row r="1259" spans="1:25" ht="15" hidden="1" customHeight="1" x14ac:dyDescent="0.25">
      <c r="A1259" s="1" t="s">
        <v>29</v>
      </c>
      <c r="B1259" s="1"/>
      <c r="C1259" s="1" t="s">
        <v>145</v>
      </c>
      <c r="D1259">
        <v>11351</v>
      </c>
      <c r="E1259" s="1" t="s">
        <v>243</v>
      </c>
      <c r="F1259" s="1" t="s">
        <v>280</v>
      </c>
      <c r="G1259" s="1" t="s">
        <v>145</v>
      </c>
      <c r="H1259" s="1" t="s">
        <v>1405</v>
      </c>
      <c r="I1259">
        <v>2010</v>
      </c>
      <c r="J1259" s="93">
        <v>120.43</v>
      </c>
      <c r="K1259">
        <v>4</v>
      </c>
      <c r="L1259" s="1" t="s">
        <v>399</v>
      </c>
      <c r="M1259">
        <v>0</v>
      </c>
      <c r="N1259">
        <v>867</v>
      </c>
      <c r="O1259">
        <v>0.13888800000000001</v>
      </c>
      <c r="P1259">
        <v>3</v>
      </c>
      <c r="Q1259" s="1" t="s">
        <v>560</v>
      </c>
      <c r="R1259" s="93">
        <v>120.43</v>
      </c>
      <c r="S1259">
        <v>96.36</v>
      </c>
      <c r="T1259">
        <v>0</v>
      </c>
      <c r="U1259" s="1" t="s">
        <v>616</v>
      </c>
      <c r="V1259" s="1"/>
      <c r="W1259">
        <v>120.45</v>
      </c>
      <c r="X1259">
        <v>0</v>
      </c>
      <c r="Y1259">
        <v>80896</v>
      </c>
    </row>
    <row r="1260" spans="1:25" ht="15" hidden="1" customHeight="1" x14ac:dyDescent="0.25">
      <c r="A1260" s="1" t="s">
        <v>29</v>
      </c>
      <c r="B1260" s="1"/>
      <c r="C1260" s="1" t="s">
        <v>145</v>
      </c>
      <c r="D1260">
        <v>11351</v>
      </c>
      <c r="E1260" s="1" t="s">
        <v>243</v>
      </c>
      <c r="F1260" s="1" t="s">
        <v>280</v>
      </c>
      <c r="G1260" s="1" t="s">
        <v>145</v>
      </c>
      <c r="H1260" s="1" t="s">
        <v>1405</v>
      </c>
      <c r="I1260">
        <v>2009</v>
      </c>
      <c r="J1260" s="93">
        <v>143.84</v>
      </c>
      <c r="K1260">
        <v>4</v>
      </c>
      <c r="L1260" s="1" t="s">
        <v>399</v>
      </c>
      <c r="M1260">
        <v>0</v>
      </c>
      <c r="N1260">
        <v>867</v>
      </c>
      <c r="O1260">
        <v>0.16588600000000001</v>
      </c>
      <c r="P1260">
        <v>3</v>
      </c>
      <c r="Q1260" s="1" t="s">
        <v>560</v>
      </c>
      <c r="R1260" s="93">
        <v>143.84</v>
      </c>
      <c r="S1260">
        <v>115.09</v>
      </c>
      <c r="T1260">
        <v>0</v>
      </c>
      <c r="U1260" s="1" t="s">
        <v>616</v>
      </c>
      <c r="V1260" s="1"/>
      <c r="W1260">
        <v>143.85714999999999</v>
      </c>
      <c r="X1260">
        <v>0</v>
      </c>
      <c r="Y1260">
        <v>80896</v>
      </c>
    </row>
    <row r="1261" spans="1:25" ht="15" hidden="1" customHeight="1" x14ac:dyDescent="0.25">
      <c r="A1261" s="1" t="s">
        <v>29</v>
      </c>
      <c r="B1261" s="1"/>
      <c r="C1261" s="1" t="s">
        <v>145</v>
      </c>
      <c r="D1261">
        <v>11351</v>
      </c>
      <c r="E1261" s="1" t="s">
        <v>243</v>
      </c>
      <c r="F1261" s="1" t="s">
        <v>280</v>
      </c>
      <c r="G1261" s="1" t="s">
        <v>145</v>
      </c>
      <c r="H1261" s="1" t="s">
        <v>1405</v>
      </c>
      <c r="I1261">
        <v>2008</v>
      </c>
      <c r="J1261" s="93">
        <v>202.08</v>
      </c>
      <c r="K1261">
        <v>1</v>
      </c>
      <c r="L1261" s="1" t="s">
        <v>399</v>
      </c>
      <c r="M1261">
        <v>0</v>
      </c>
      <c r="N1261">
        <v>867</v>
      </c>
      <c r="O1261">
        <v>0.23305200000000001</v>
      </c>
      <c r="P1261">
        <v>3</v>
      </c>
      <c r="Q1261" s="1" t="s">
        <v>560</v>
      </c>
      <c r="R1261" s="93">
        <v>202.08</v>
      </c>
      <c r="S1261">
        <v>161.66</v>
      </c>
      <c r="T1261">
        <v>0</v>
      </c>
      <c r="U1261" s="1" t="s">
        <v>616</v>
      </c>
      <c r="V1261" s="1"/>
      <c r="W1261">
        <v>202.07489000000001</v>
      </c>
      <c r="X1261">
        <v>0</v>
      </c>
      <c r="Y1261">
        <v>80896</v>
      </c>
    </row>
    <row r="1262" spans="1:25" ht="15" hidden="1" customHeight="1" x14ac:dyDescent="0.25">
      <c r="A1262" s="1" t="s">
        <v>29</v>
      </c>
      <c r="B1262" s="1"/>
      <c r="C1262" s="1" t="s">
        <v>146</v>
      </c>
      <c r="D1262">
        <v>10205</v>
      </c>
      <c r="E1262" s="1"/>
      <c r="F1262" s="1" t="s">
        <v>146</v>
      </c>
      <c r="G1262" s="1" t="s">
        <v>146</v>
      </c>
      <c r="H1262" s="1" t="s">
        <v>1405</v>
      </c>
      <c r="I1262">
        <v>2015</v>
      </c>
      <c r="J1262" s="93">
        <v>41</v>
      </c>
      <c r="K1262">
        <v>5</v>
      </c>
      <c r="L1262" s="1" t="s">
        <v>422</v>
      </c>
      <c r="M1262">
        <v>0</v>
      </c>
      <c r="N1262">
        <v>314</v>
      </c>
      <c r="O1262">
        <v>4.6322000000000002E-2</v>
      </c>
      <c r="P1262">
        <v>3</v>
      </c>
      <c r="Q1262" s="1" t="s">
        <v>560</v>
      </c>
      <c r="R1262" s="93">
        <v>14.55</v>
      </c>
      <c r="S1262">
        <v>11.63</v>
      </c>
      <c r="T1262">
        <v>0</v>
      </c>
      <c r="U1262" s="1" t="s">
        <v>617</v>
      </c>
      <c r="V1262" s="1"/>
      <c r="W1262">
        <v>14.55</v>
      </c>
      <c r="X1262">
        <v>0</v>
      </c>
      <c r="Y1262">
        <v>77391</v>
      </c>
    </row>
    <row r="1263" spans="1:25" ht="15" hidden="1" customHeight="1" x14ac:dyDescent="0.25">
      <c r="A1263" s="1" t="s">
        <v>29</v>
      </c>
      <c r="B1263" s="1"/>
      <c r="C1263" s="1" t="s">
        <v>146</v>
      </c>
      <c r="D1263">
        <v>10205</v>
      </c>
      <c r="E1263" s="1"/>
      <c r="F1263" s="1" t="s">
        <v>146</v>
      </c>
      <c r="G1263" s="1" t="s">
        <v>146</v>
      </c>
      <c r="H1263" s="1" t="s">
        <v>1405</v>
      </c>
      <c r="I1263">
        <v>2013</v>
      </c>
      <c r="J1263" s="93">
        <v>45.74</v>
      </c>
      <c r="K1263">
        <v>8</v>
      </c>
      <c r="L1263" s="1" t="s">
        <v>422</v>
      </c>
      <c r="M1263">
        <v>0</v>
      </c>
      <c r="N1263">
        <v>314</v>
      </c>
      <c r="O1263">
        <v>0.145622</v>
      </c>
      <c r="P1263">
        <v>3</v>
      </c>
      <c r="Q1263" s="1" t="s">
        <v>560</v>
      </c>
      <c r="R1263" s="93">
        <v>45.74</v>
      </c>
      <c r="S1263">
        <v>36.56</v>
      </c>
      <c r="T1263">
        <v>0</v>
      </c>
      <c r="U1263" s="1" t="s">
        <v>617</v>
      </c>
      <c r="V1263" s="1"/>
      <c r="W1263">
        <v>45.735329999999998</v>
      </c>
      <c r="X1263">
        <v>0</v>
      </c>
      <c r="Y1263">
        <v>77391</v>
      </c>
    </row>
    <row r="1264" spans="1:25" ht="15" hidden="1" customHeight="1" x14ac:dyDescent="0.25">
      <c r="A1264" s="1" t="s">
        <v>29</v>
      </c>
      <c r="B1264" s="1"/>
      <c r="C1264" s="1" t="s">
        <v>146</v>
      </c>
      <c r="D1264">
        <v>10205</v>
      </c>
      <c r="E1264" s="1"/>
      <c r="F1264" s="1" t="s">
        <v>146</v>
      </c>
      <c r="G1264" s="1" t="s">
        <v>146</v>
      </c>
      <c r="H1264" s="1" t="s">
        <v>1405</v>
      </c>
      <c r="I1264">
        <v>2012</v>
      </c>
      <c r="J1264" s="93">
        <v>44.12</v>
      </c>
      <c r="K1264">
        <v>8</v>
      </c>
      <c r="L1264" s="1" t="s">
        <v>422</v>
      </c>
      <c r="M1264">
        <v>0</v>
      </c>
      <c r="N1264">
        <v>314</v>
      </c>
      <c r="O1264">
        <v>0.14046400000000001</v>
      </c>
      <c r="P1264">
        <v>3</v>
      </c>
      <c r="Q1264" s="1" t="s">
        <v>560</v>
      </c>
      <c r="R1264" s="93">
        <v>44.12</v>
      </c>
      <c r="S1264">
        <v>35.299999999999997</v>
      </c>
      <c r="T1264">
        <v>0</v>
      </c>
      <c r="U1264" s="1" t="s">
        <v>617</v>
      </c>
      <c r="V1264" s="1"/>
      <c r="W1264">
        <v>44.121200000000002</v>
      </c>
      <c r="X1264">
        <v>0</v>
      </c>
      <c r="Y1264">
        <v>77391</v>
      </c>
    </row>
    <row r="1265" spans="1:25" ht="15" hidden="1" customHeight="1" x14ac:dyDescent="0.25">
      <c r="A1265" s="1" t="s">
        <v>29</v>
      </c>
      <c r="B1265" s="1"/>
      <c r="C1265" s="1" t="s">
        <v>146</v>
      </c>
      <c r="D1265">
        <v>10205</v>
      </c>
      <c r="E1265" s="1"/>
      <c r="F1265" s="1" t="s">
        <v>146</v>
      </c>
      <c r="G1265" s="1" t="s">
        <v>146</v>
      </c>
      <c r="H1265" s="1" t="s">
        <v>1405</v>
      </c>
      <c r="I1265">
        <v>2011</v>
      </c>
      <c r="J1265" s="93">
        <v>37.950000000000003</v>
      </c>
      <c r="K1265">
        <v>5</v>
      </c>
      <c r="L1265" s="1" t="s">
        <v>422</v>
      </c>
      <c r="M1265">
        <v>0</v>
      </c>
      <c r="N1265">
        <v>314</v>
      </c>
      <c r="O1265">
        <v>0.120821</v>
      </c>
      <c r="P1265">
        <v>3</v>
      </c>
      <c r="Q1265" s="1" t="s">
        <v>560</v>
      </c>
      <c r="R1265" s="93">
        <v>37.950000000000003</v>
      </c>
      <c r="S1265">
        <v>30.37</v>
      </c>
      <c r="T1265">
        <v>0</v>
      </c>
      <c r="U1265" s="1" t="s">
        <v>617</v>
      </c>
      <c r="V1265" s="1"/>
      <c r="W1265">
        <v>37.954999999999998</v>
      </c>
      <c r="X1265">
        <v>0</v>
      </c>
      <c r="Y1265">
        <v>77391</v>
      </c>
    </row>
    <row r="1266" spans="1:25" ht="15" hidden="1" customHeight="1" x14ac:dyDescent="0.25">
      <c r="A1266" s="1" t="s">
        <v>29</v>
      </c>
      <c r="B1266" s="1"/>
      <c r="C1266" s="1" t="s">
        <v>146</v>
      </c>
      <c r="D1266">
        <v>10205</v>
      </c>
      <c r="E1266" s="1"/>
      <c r="F1266" s="1" t="s">
        <v>146</v>
      </c>
      <c r="G1266" s="1" t="s">
        <v>146</v>
      </c>
      <c r="H1266" s="1" t="s">
        <v>1405</v>
      </c>
      <c r="I1266">
        <v>2010</v>
      </c>
      <c r="J1266" s="93">
        <v>44.05</v>
      </c>
      <c r="K1266">
        <v>2</v>
      </c>
      <c r="L1266" s="1" t="s">
        <v>422</v>
      </c>
      <c r="M1266">
        <v>0</v>
      </c>
      <c r="N1266">
        <v>314</v>
      </c>
      <c r="O1266">
        <v>0.140241</v>
      </c>
      <c r="P1266">
        <v>3</v>
      </c>
      <c r="Q1266" s="1" t="s">
        <v>560</v>
      </c>
      <c r="R1266" s="93">
        <v>44.05</v>
      </c>
      <c r="S1266">
        <v>35.200000000000003</v>
      </c>
      <c r="T1266">
        <v>0</v>
      </c>
      <c r="U1266" s="1" t="s">
        <v>617</v>
      </c>
      <c r="V1266" s="1"/>
      <c r="W1266">
        <v>44.021529999999998</v>
      </c>
      <c r="X1266">
        <v>0</v>
      </c>
      <c r="Y1266">
        <v>77391</v>
      </c>
    </row>
    <row r="1267" spans="1:25" ht="15" hidden="1" customHeight="1" x14ac:dyDescent="0.25">
      <c r="A1267" s="1" t="s">
        <v>29</v>
      </c>
      <c r="B1267" s="1"/>
      <c r="C1267" s="1" t="s">
        <v>146</v>
      </c>
      <c r="D1267">
        <v>10205</v>
      </c>
      <c r="E1267" s="1"/>
      <c r="F1267" s="1" t="s">
        <v>146</v>
      </c>
      <c r="G1267" s="1" t="s">
        <v>146</v>
      </c>
      <c r="H1267" s="1" t="s">
        <v>1405</v>
      </c>
      <c r="I1267">
        <v>2009</v>
      </c>
      <c r="J1267" s="93">
        <v>56.15</v>
      </c>
      <c r="K1267">
        <v>6</v>
      </c>
      <c r="L1267" s="1" t="s">
        <v>422</v>
      </c>
      <c r="M1267">
        <v>0</v>
      </c>
      <c r="N1267">
        <v>314</v>
      </c>
      <c r="O1267">
        <v>0.17876400000000001</v>
      </c>
      <c r="P1267">
        <v>3</v>
      </c>
      <c r="Q1267" s="1" t="s">
        <v>560</v>
      </c>
      <c r="R1267" s="93">
        <v>56.15</v>
      </c>
      <c r="S1267">
        <v>44.95</v>
      </c>
      <c r="T1267">
        <v>0</v>
      </c>
      <c r="U1267" s="1" t="s">
        <v>617</v>
      </c>
      <c r="V1267" s="1"/>
      <c r="W1267">
        <v>56.167879999999997</v>
      </c>
      <c r="X1267">
        <v>0</v>
      </c>
      <c r="Y1267">
        <v>77391</v>
      </c>
    </row>
    <row r="1268" spans="1:25" ht="15" hidden="1" customHeight="1" x14ac:dyDescent="0.25">
      <c r="A1268" s="1" t="s">
        <v>29</v>
      </c>
      <c r="B1268" s="1"/>
      <c r="C1268" s="1" t="s">
        <v>146</v>
      </c>
      <c r="D1268">
        <v>10205</v>
      </c>
      <c r="E1268" s="1"/>
      <c r="F1268" s="1" t="s">
        <v>146</v>
      </c>
      <c r="G1268" s="1" t="s">
        <v>146</v>
      </c>
      <c r="H1268" s="1" t="s">
        <v>1405</v>
      </c>
      <c r="I1268">
        <v>2008</v>
      </c>
      <c r="J1268" s="93">
        <v>60.75</v>
      </c>
      <c r="K1268">
        <v>4</v>
      </c>
      <c r="L1268" s="1" t="s">
        <v>422</v>
      </c>
      <c r="M1268">
        <v>0</v>
      </c>
      <c r="N1268">
        <v>314</v>
      </c>
      <c r="O1268">
        <v>0.193409</v>
      </c>
      <c r="P1268">
        <v>3</v>
      </c>
      <c r="Q1268" s="1" t="s">
        <v>560</v>
      </c>
      <c r="R1268" s="93">
        <v>60.75</v>
      </c>
      <c r="S1268">
        <v>48.57</v>
      </c>
      <c r="T1268">
        <v>0</v>
      </c>
      <c r="U1268" s="1" t="s">
        <v>617</v>
      </c>
      <c r="V1268" s="1"/>
      <c r="W1268">
        <v>60.736249999999998</v>
      </c>
      <c r="X1268">
        <v>0</v>
      </c>
      <c r="Y1268">
        <v>77391</v>
      </c>
    </row>
    <row r="1269" spans="1:25" ht="15" hidden="1" customHeight="1" x14ac:dyDescent="0.25">
      <c r="A1269" s="1" t="s">
        <v>29</v>
      </c>
      <c r="B1269" s="1" t="s">
        <v>64</v>
      </c>
      <c r="C1269" s="1" t="s">
        <v>147</v>
      </c>
      <c r="D1269">
        <v>13661</v>
      </c>
      <c r="E1269" s="1" t="s">
        <v>243</v>
      </c>
      <c r="F1269" s="1" t="s">
        <v>147</v>
      </c>
      <c r="G1269" s="1" t="s">
        <v>147</v>
      </c>
      <c r="H1269" s="1" t="s">
        <v>1405</v>
      </c>
      <c r="I1269">
        <v>2015</v>
      </c>
      <c r="J1269" s="93">
        <v>6</v>
      </c>
      <c r="K1269">
        <v>5</v>
      </c>
      <c r="L1269" s="1" t="s">
        <v>422</v>
      </c>
      <c r="M1269">
        <v>0</v>
      </c>
      <c r="N1269">
        <v>307</v>
      </c>
      <c r="O1269">
        <v>1.0485E-2</v>
      </c>
      <c r="P1269">
        <v>3</v>
      </c>
      <c r="Q1269" s="1" t="s">
        <v>560</v>
      </c>
      <c r="R1269" s="93">
        <v>3.22</v>
      </c>
      <c r="S1269">
        <v>2.58</v>
      </c>
      <c r="T1269">
        <v>0</v>
      </c>
      <c r="U1269" s="1"/>
      <c r="V1269" s="1"/>
      <c r="W1269">
        <v>3.2210000000000001</v>
      </c>
      <c r="X1269">
        <v>0</v>
      </c>
      <c r="Y1269">
        <v>91250</v>
      </c>
    </row>
    <row r="1270" spans="1:25" ht="15" hidden="1" customHeight="1" x14ac:dyDescent="0.25">
      <c r="A1270" s="1" t="s">
        <v>29</v>
      </c>
      <c r="B1270" s="1" t="s">
        <v>64</v>
      </c>
      <c r="C1270" s="1" t="s">
        <v>147</v>
      </c>
      <c r="D1270">
        <v>13661</v>
      </c>
      <c r="E1270" s="1" t="s">
        <v>243</v>
      </c>
      <c r="F1270" s="1" t="s">
        <v>147</v>
      </c>
      <c r="G1270" s="1" t="s">
        <v>147</v>
      </c>
      <c r="H1270" s="1" t="s">
        <v>1405</v>
      </c>
      <c r="I1270">
        <v>2013</v>
      </c>
      <c r="J1270" s="93">
        <v>35.979999999999997</v>
      </c>
      <c r="K1270">
        <v>6</v>
      </c>
      <c r="L1270" s="1" t="s">
        <v>422</v>
      </c>
      <c r="M1270">
        <v>0</v>
      </c>
      <c r="N1270">
        <v>307</v>
      </c>
      <c r="O1270">
        <v>0.11716</v>
      </c>
      <c r="P1270">
        <v>3</v>
      </c>
      <c r="Q1270" s="1" t="s">
        <v>560</v>
      </c>
      <c r="R1270" s="93">
        <v>35.979999999999997</v>
      </c>
      <c r="S1270">
        <v>28.79</v>
      </c>
      <c r="T1270">
        <v>0</v>
      </c>
      <c r="U1270" s="1"/>
      <c r="V1270" s="1"/>
      <c r="W1270">
        <v>35.984439999999999</v>
      </c>
      <c r="X1270">
        <v>0</v>
      </c>
      <c r="Y1270">
        <v>91250</v>
      </c>
    </row>
    <row r="1271" spans="1:25" ht="15" hidden="1" customHeight="1" x14ac:dyDescent="0.25">
      <c r="A1271" s="1" t="s">
        <v>29</v>
      </c>
      <c r="B1271" s="1" t="s">
        <v>64</v>
      </c>
      <c r="C1271" s="1" t="s">
        <v>147</v>
      </c>
      <c r="D1271">
        <v>13661</v>
      </c>
      <c r="E1271" s="1" t="s">
        <v>243</v>
      </c>
      <c r="F1271" s="1" t="s">
        <v>147</v>
      </c>
      <c r="G1271" s="1" t="s">
        <v>147</v>
      </c>
      <c r="H1271" s="1" t="s">
        <v>1405</v>
      </c>
      <c r="I1271">
        <v>2012</v>
      </c>
      <c r="J1271" s="93">
        <v>0.41</v>
      </c>
      <c r="K1271">
        <v>1</v>
      </c>
      <c r="L1271" s="1" t="s">
        <v>422</v>
      </c>
      <c r="M1271">
        <v>0</v>
      </c>
      <c r="N1271">
        <v>307</v>
      </c>
      <c r="O1271">
        <v>1.335E-3</v>
      </c>
      <c r="P1271">
        <v>3</v>
      </c>
      <c r="Q1271" s="1" t="s">
        <v>560</v>
      </c>
      <c r="R1271" s="93">
        <v>0.41</v>
      </c>
      <c r="S1271">
        <v>0.33</v>
      </c>
      <c r="T1271">
        <v>0</v>
      </c>
      <c r="U1271" s="1"/>
      <c r="V1271" s="1"/>
      <c r="W1271">
        <v>0.40856999999999999</v>
      </c>
      <c r="X1271">
        <v>0</v>
      </c>
      <c r="Y1271">
        <v>91250</v>
      </c>
    </row>
    <row r="1272" spans="1:25" ht="15" hidden="1" customHeight="1" x14ac:dyDescent="0.25">
      <c r="A1272" s="1" t="s">
        <v>29</v>
      </c>
      <c r="B1272" s="1"/>
      <c r="C1272" s="1" t="s">
        <v>148</v>
      </c>
      <c r="D1272">
        <v>10206</v>
      </c>
      <c r="E1272" s="1"/>
      <c r="F1272" s="1" t="s">
        <v>281</v>
      </c>
      <c r="G1272" s="1" t="s">
        <v>148</v>
      </c>
      <c r="H1272" s="1" t="s">
        <v>1405</v>
      </c>
      <c r="I1272">
        <v>2015</v>
      </c>
      <c r="J1272" s="93">
        <v>1371</v>
      </c>
      <c r="K1272">
        <v>5</v>
      </c>
      <c r="L1272" s="1" t="s">
        <v>423</v>
      </c>
      <c r="M1272">
        <v>0</v>
      </c>
      <c r="N1272">
        <v>439</v>
      </c>
      <c r="O1272">
        <v>9.9475999999999995E-2</v>
      </c>
      <c r="P1272">
        <v>3</v>
      </c>
      <c r="Q1272" s="1" t="s">
        <v>560</v>
      </c>
      <c r="R1272" s="93">
        <v>43.68</v>
      </c>
      <c r="S1272">
        <v>34.94</v>
      </c>
      <c r="T1272">
        <v>0</v>
      </c>
      <c r="U1272" s="1" t="s">
        <v>618</v>
      </c>
      <c r="V1272" s="1"/>
      <c r="W1272">
        <v>43.676000000000002</v>
      </c>
      <c r="X1272">
        <v>0</v>
      </c>
      <c r="Y1272">
        <v>77394</v>
      </c>
    </row>
    <row r="1273" spans="1:25" ht="15" hidden="1" customHeight="1" x14ac:dyDescent="0.25">
      <c r="A1273" s="1" t="s">
        <v>29</v>
      </c>
      <c r="B1273" s="1"/>
      <c r="C1273" s="1" t="s">
        <v>148</v>
      </c>
      <c r="D1273">
        <v>10206</v>
      </c>
      <c r="E1273" s="1"/>
      <c r="F1273" s="1" t="s">
        <v>281</v>
      </c>
      <c r="G1273" s="1" t="s">
        <v>148</v>
      </c>
      <c r="H1273" s="1" t="s">
        <v>1405</v>
      </c>
      <c r="I1273">
        <v>2013</v>
      </c>
      <c r="J1273" s="93">
        <v>128.55000000000001</v>
      </c>
      <c r="K1273">
        <v>12</v>
      </c>
      <c r="L1273" s="1" t="s">
        <v>423</v>
      </c>
      <c r="M1273">
        <v>0</v>
      </c>
      <c r="N1273">
        <v>439</v>
      </c>
      <c r="O1273">
        <v>0.29275699999999999</v>
      </c>
      <c r="P1273">
        <v>3</v>
      </c>
      <c r="Q1273" s="1" t="s">
        <v>560</v>
      </c>
      <c r="R1273" s="93">
        <v>128.55000000000001</v>
      </c>
      <c r="S1273">
        <v>102.87</v>
      </c>
      <c r="T1273">
        <v>0</v>
      </c>
      <c r="U1273" s="1" t="s">
        <v>618</v>
      </c>
      <c r="V1273" s="1"/>
      <c r="W1273">
        <v>128.565</v>
      </c>
      <c r="X1273">
        <v>0</v>
      </c>
      <c r="Y1273">
        <v>77394</v>
      </c>
    </row>
    <row r="1274" spans="1:25" ht="15" hidden="1" customHeight="1" x14ac:dyDescent="0.25">
      <c r="A1274" s="1" t="s">
        <v>29</v>
      </c>
      <c r="B1274" s="1"/>
      <c r="C1274" s="1" t="s">
        <v>148</v>
      </c>
      <c r="D1274">
        <v>10206</v>
      </c>
      <c r="E1274" s="1"/>
      <c r="F1274" s="1" t="s">
        <v>281</v>
      </c>
      <c r="G1274" s="1" t="s">
        <v>148</v>
      </c>
      <c r="H1274" s="1" t="s">
        <v>1405</v>
      </c>
      <c r="I1274">
        <v>2013</v>
      </c>
      <c r="J1274" s="93">
        <v>37.26</v>
      </c>
      <c r="K1274">
        <v>3</v>
      </c>
      <c r="L1274" s="1" t="s">
        <v>424</v>
      </c>
      <c r="M1274">
        <v>0</v>
      </c>
      <c r="N1274">
        <v>439</v>
      </c>
      <c r="O1274">
        <v>8.4855E-2</v>
      </c>
      <c r="P1274">
        <v>3</v>
      </c>
      <c r="Q1274" s="1" t="s">
        <v>560</v>
      </c>
      <c r="R1274" s="93">
        <v>37.26</v>
      </c>
      <c r="S1274">
        <v>29.83</v>
      </c>
      <c r="T1274">
        <v>0</v>
      </c>
      <c r="U1274" s="1" t="s">
        <v>619</v>
      </c>
      <c r="V1274" s="1"/>
      <c r="W1274">
        <v>37.273969999999998</v>
      </c>
      <c r="X1274">
        <v>0</v>
      </c>
      <c r="Y1274">
        <v>93708</v>
      </c>
    </row>
    <row r="1275" spans="1:25" ht="15" hidden="1" customHeight="1" x14ac:dyDescent="0.25">
      <c r="A1275" s="1" t="s">
        <v>29</v>
      </c>
      <c r="B1275" s="1"/>
      <c r="C1275" s="1" t="s">
        <v>148</v>
      </c>
      <c r="D1275">
        <v>10206</v>
      </c>
      <c r="E1275" s="1"/>
      <c r="F1275" s="1" t="s">
        <v>281</v>
      </c>
      <c r="G1275" s="1" t="s">
        <v>148</v>
      </c>
      <c r="H1275" s="1" t="s">
        <v>1405</v>
      </c>
      <c r="I1275">
        <v>2012</v>
      </c>
      <c r="J1275" s="93">
        <v>130.84</v>
      </c>
      <c r="K1275">
        <v>12</v>
      </c>
      <c r="L1275" s="1" t="s">
        <v>423</v>
      </c>
      <c r="M1275">
        <v>0</v>
      </c>
      <c r="N1275">
        <v>439</v>
      </c>
      <c r="O1275">
        <v>0.29797299999999999</v>
      </c>
      <c r="P1275">
        <v>3</v>
      </c>
      <c r="Q1275" s="1" t="s">
        <v>560</v>
      </c>
      <c r="R1275" s="93">
        <v>130.84</v>
      </c>
      <c r="S1275">
        <v>104.68</v>
      </c>
      <c r="T1275">
        <v>0</v>
      </c>
      <c r="U1275" s="1" t="s">
        <v>618</v>
      </c>
      <c r="V1275" s="1"/>
      <c r="W1275">
        <v>130.846</v>
      </c>
      <c r="X1275">
        <v>0</v>
      </c>
      <c r="Y1275">
        <v>77394</v>
      </c>
    </row>
    <row r="1276" spans="1:25" ht="15" hidden="1" customHeight="1" x14ac:dyDescent="0.25">
      <c r="A1276" s="1" t="s">
        <v>29</v>
      </c>
      <c r="B1276" s="1"/>
      <c r="C1276" s="1" t="s">
        <v>148</v>
      </c>
      <c r="D1276">
        <v>10206</v>
      </c>
      <c r="E1276" s="1"/>
      <c r="F1276" s="1" t="s">
        <v>281</v>
      </c>
      <c r="G1276" s="1" t="s">
        <v>148</v>
      </c>
      <c r="H1276" s="1" t="s">
        <v>1405</v>
      </c>
      <c r="I1276">
        <v>2011</v>
      </c>
      <c r="J1276" s="93">
        <v>181.05</v>
      </c>
      <c r="K1276">
        <v>9</v>
      </c>
      <c r="L1276" s="1" t="s">
        <v>423</v>
      </c>
      <c r="M1276">
        <v>0</v>
      </c>
      <c r="N1276">
        <v>439</v>
      </c>
      <c r="O1276">
        <v>0.41232000000000002</v>
      </c>
      <c r="P1276">
        <v>3</v>
      </c>
      <c r="Q1276" s="1" t="s">
        <v>560</v>
      </c>
      <c r="R1276" s="93">
        <v>181.05</v>
      </c>
      <c r="S1276">
        <v>144.85</v>
      </c>
      <c r="T1276">
        <v>0</v>
      </c>
      <c r="U1276" s="1" t="s">
        <v>618</v>
      </c>
      <c r="V1276" s="1"/>
      <c r="W1276">
        <v>181.05758</v>
      </c>
      <c r="X1276">
        <v>0</v>
      </c>
      <c r="Y1276">
        <v>77394</v>
      </c>
    </row>
    <row r="1277" spans="1:25" ht="15" hidden="1" customHeight="1" x14ac:dyDescent="0.25">
      <c r="A1277" s="1" t="s">
        <v>29</v>
      </c>
      <c r="B1277" s="1"/>
      <c r="C1277" s="1" t="s">
        <v>148</v>
      </c>
      <c r="D1277">
        <v>10206</v>
      </c>
      <c r="E1277" s="1"/>
      <c r="F1277" s="1" t="s">
        <v>281</v>
      </c>
      <c r="G1277" s="1" t="s">
        <v>148</v>
      </c>
      <c r="H1277" s="1" t="s">
        <v>1405</v>
      </c>
      <c r="I1277">
        <v>2010</v>
      </c>
      <c r="J1277" s="93">
        <v>152.75</v>
      </c>
      <c r="K1277">
        <v>2</v>
      </c>
      <c r="L1277" s="1" t="s">
        <v>423</v>
      </c>
      <c r="M1277">
        <v>0</v>
      </c>
      <c r="N1277">
        <v>439</v>
      </c>
      <c r="O1277">
        <v>0.34787000000000001</v>
      </c>
      <c r="P1277">
        <v>3</v>
      </c>
      <c r="Q1277" s="1" t="s">
        <v>560</v>
      </c>
      <c r="R1277" s="93">
        <v>152.75</v>
      </c>
      <c r="S1277">
        <v>122.22</v>
      </c>
      <c r="T1277">
        <v>0</v>
      </c>
      <c r="U1277" s="1" t="s">
        <v>618</v>
      </c>
      <c r="V1277" s="1"/>
      <c r="W1277">
        <v>152.76292000000001</v>
      </c>
      <c r="X1277">
        <v>0</v>
      </c>
      <c r="Y1277">
        <v>77394</v>
      </c>
    </row>
    <row r="1278" spans="1:25" ht="15" hidden="1" customHeight="1" x14ac:dyDescent="0.25">
      <c r="A1278" s="1" t="s">
        <v>29</v>
      </c>
      <c r="B1278" s="1"/>
      <c r="C1278" s="1" t="s">
        <v>148</v>
      </c>
      <c r="D1278">
        <v>10206</v>
      </c>
      <c r="E1278" s="1"/>
      <c r="F1278" s="1" t="s">
        <v>281</v>
      </c>
      <c r="G1278" s="1" t="s">
        <v>148</v>
      </c>
      <c r="H1278" s="1" t="s">
        <v>1405</v>
      </c>
      <c r="I1278">
        <v>2009</v>
      </c>
      <c r="J1278" s="93">
        <v>210.92</v>
      </c>
      <c r="K1278">
        <v>4</v>
      </c>
      <c r="L1278" s="1" t="s">
        <v>423</v>
      </c>
      <c r="M1278">
        <v>0</v>
      </c>
      <c r="N1278">
        <v>439</v>
      </c>
      <c r="O1278">
        <v>0.480346</v>
      </c>
      <c r="P1278">
        <v>3</v>
      </c>
      <c r="Q1278" s="1" t="s">
        <v>560</v>
      </c>
      <c r="R1278" s="93">
        <v>210.92</v>
      </c>
      <c r="S1278">
        <v>168.74</v>
      </c>
      <c r="T1278">
        <v>0</v>
      </c>
      <c r="U1278" s="1" t="s">
        <v>618</v>
      </c>
      <c r="V1278" s="1"/>
      <c r="W1278">
        <v>210.91839999999999</v>
      </c>
      <c r="X1278">
        <v>0</v>
      </c>
      <c r="Y1278">
        <v>77394</v>
      </c>
    </row>
    <row r="1279" spans="1:25" ht="15" hidden="1" customHeight="1" x14ac:dyDescent="0.25">
      <c r="A1279" s="1" t="s">
        <v>29</v>
      </c>
      <c r="B1279" s="1"/>
      <c r="C1279" s="1" t="s">
        <v>148</v>
      </c>
      <c r="D1279">
        <v>10206</v>
      </c>
      <c r="E1279" s="1"/>
      <c r="F1279" s="1" t="s">
        <v>281</v>
      </c>
      <c r="G1279" s="1" t="s">
        <v>148</v>
      </c>
      <c r="H1279" s="1" t="s">
        <v>1405</v>
      </c>
      <c r="I1279">
        <v>2008</v>
      </c>
      <c r="J1279" s="93">
        <v>233.09</v>
      </c>
      <c r="K1279">
        <v>4</v>
      </c>
      <c r="L1279" s="1" t="s">
        <v>423</v>
      </c>
      <c r="M1279">
        <v>0</v>
      </c>
      <c r="N1279">
        <v>439</v>
      </c>
      <c r="O1279">
        <v>0.53083499999999995</v>
      </c>
      <c r="P1279">
        <v>3</v>
      </c>
      <c r="Q1279" s="1" t="s">
        <v>560</v>
      </c>
      <c r="R1279" s="93">
        <v>233.09</v>
      </c>
      <c r="S1279">
        <v>186.48</v>
      </c>
      <c r="T1279">
        <v>0</v>
      </c>
      <c r="U1279" s="1" t="s">
        <v>618</v>
      </c>
      <c r="V1279" s="1"/>
      <c r="W1279">
        <v>233.10990000000001</v>
      </c>
      <c r="X1279">
        <v>0</v>
      </c>
      <c r="Y1279">
        <v>77394</v>
      </c>
    </row>
    <row r="1280" spans="1:25" ht="15" hidden="1" customHeight="1" x14ac:dyDescent="0.25">
      <c r="A1280" s="1" t="s">
        <v>29</v>
      </c>
      <c r="B1280" s="1"/>
      <c r="C1280" s="1" t="s">
        <v>149</v>
      </c>
      <c r="D1280">
        <v>14003</v>
      </c>
      <c r="E1280" s="1" t="s">
        <v>243</v>
      </c>
      <c r="F1280" s="1" t="s">
        <v>282</v>
      </c>
      <c r="G1280" s="1" t="s">
        <v>149</v>
      </c>
      <c r="H1280" s="1" t="s">
        <v>1405</v>
      </c>
      <c r="I1280">
        <v>2015</v>
      </c>
      <c r="J1280" s="93">
        <v>87</v>
      </c>
      <c r="K1280">
        <v>1</v>
      </c>
      <c r="L1280" s="1" t="s">
        <v>425</v>
      </c>
      <c r="M1280">
        <v>0</v>
      </c>
      <c r="N1280">
        <v>50</v>
      </c>
      <c r="O1280">
        <v>3.4131000000000002E-2</v>
      </c>
      <c r="P1280">
        <v>3</v>
      </c>
      <c r="Q1280" s="1" t="s">
        <v>560</v>
      </c>
      <c r="R1280" s="93">
        <v>1.71</v>
      </c>
      <c r="S1280">
        <v>1.36</v>
      </c>
      <c r="T1280">
        <v>0</v>
      </c>
      <c r="U1280" s="1" t="s">
        <v>620</v>
      </c>
      <c r="V1280" s="1"/>
      <c r="W1280">
        <v>1.70834</v>
      </c>
      <c r="X1280">
        <v>0</v>
      </c>
      <c r="Y1280">
        <v>93000</v>
      </c>
    </row>
    <row r="1281" spans="1:25" ht="15" hidden="1" customHeight="1" x14ac:dyDescent="0.25">
      <c r="A1281" s="1" t="s">
        <v>29</v>
      </c>
      <c r="B1281" s="1"/>
      <c r="C1281" s="1" t="s">
        <v>149</v>
      </c>
      <c r="D1281">
        <v>14003</v>
      </c>
      <c r="E1281" s="1" t="s">
        <v>243</v>
      </c>
      <c r="F1281" s="1" t="s">
        <v>282</v>
      </c>
      <c r="G1281" s="1" t="s">
        <v>149</v>
      </c>
      <c r="H1281" s="1" t="s">
        <v>1405</v>
      </c>
      <c r="I1281">
        <v>2013</v>
      </c>
      <c r="J1281" s="93">
        <v>131</v>
      </c>
      <c r="K1281">
        <v>4</v>
      </c>
      <c r="L1281" s="1" t="s">
        <v>425</v>
      </c>
      <c r="M1281">
        <v>0</v>
      </c>
      <c r="N1281">
        <v>50</v>
      </c>
      <c r="O1281">
        <v>2.61477</v>
      </c>
      <c r="P1281">
        <v>3</v>
      </c>
      <c r="Q1281" s="1" t="s">
        <v>560</v>
      </c>
      <c r="R1281" s="93">
        <v>131</v>
      </c>
      <c r="S1281">
        <v>104.82</v>
      </c>
      <c r="T1281">
        <v>0</v>
      </c>
      <c r="U1281" s="1" t="s">
        <v>620</v>
      </c>
      <c r="V1281" s="1"/>
      <c r="W1281">
        <v>131.02424999999999</v>
      </c>
      <c r="X1281">
        <v>0</v>
      </c>
      <c r="Y1281">
        <v>93000</v>
      </c>
    </row>
    <row r="1282" spans="1:25" ht="15" hidden="1" customHeight="1" x14ac:dyDescent="0.25">
      <c r="A1282" s="1" t="s">
        <v>29</v>
      </c>
      <c r="B1282" s="1"/>
      <c r="C1282" s="1" t="s">
        <v>145</v>
      </c>
      <c r="D1282">
        <v>11351</v>
      </c>
      <c r="E1282" s="1" t="s">
        <v>243</v>
      </c>
      <c r="F1282" s="1" t="s">
        <v>280</v>
      </c>
      <c r="G1282" s="1" t="s">
        <v>145</v>
      </c>
      <c r="H1282" s="1" t="s">
        <v>1405</v>
      </c>
      <c r="I1282">
        <v>2014</v>
      </c>
      <c r="J1282" s="93">
        <v>123.27</v>
      </c>
      <c r="K1282">
        <v>12</v>
      </c>
      <c r="L1282" s="1" t="s">
        <v>399</v>
      </c>
      <c r="M1282">
        <v>0</v>
      </c>
      <c r="N1282">
        <v>867</v>
      </c>
      <c r="O1282">
        <v>0.14216300000000001</v>
      </c>
      <c r="P1282">
        <v>3</v>
      </c>
      <c r="Q1282" s="1" t="s">
        <v>560</v>
      </c>
      <c r="R1282" s="93">
        <v>123.27</v>
      </c>
      <c r="S1282">
        <v>98.61</v>
      </c>
      <c r="T1282">
        <v>0</v>
      </c>
      <c r="U1282" s="1" t="s">
        <v>616</v>
      </c>
      <c r="V1282" s="1"/>
      <c r="W1282">
        <v>123.267</v>
      </c>
      <c r="X1282">
        <v>0</v>
      </c>
      <c r="Y1282">
        <v>80896</v>
      </c>
    </row>
    <row r="1283" spans="1:25" ht="15" hidden="1" customHeight="1" x14ac:dyDescent="0.25">
      <c r="A1283" s="1" t="s">
        <v>29</v>
      </c>
      <c r="B1283" s="1"/>
      <c r="C1283" s="1" t="s">
        <v>144</v>
      </c>
      <c r="D1283">
        <v>10256</v>
      </c>
      <c r="E1283" s="1"/>
      <c r="F1283" s="1" t="s">
        <v>144</v>
      </c>
      <c r="G1283" s="1" t="s">
        <v>144</v>
      </c>
      <c r="H1283" s="1" t="s">
        <v>1405</v>
      </c>
      <c r="I1283">
        <v>2013</v>
      </c>
      <c r="J1283" s="93">
        <v>10227.129999999999</v>
      </c>
      <c r="K1283">
        <v>10</v>
      </c>
      <c r="L1283" s="1" t="s">
        <v>421</v>
      </c>
      <c r="M1283">
        <v>0</v>
      </c>
      <c r="N1283">
        <v>381</v>
      </c>
      <c r="O1283">
        <v>26.835816999999999</v>
      </c>
      <c r="P1283">
        <v>2</v>
      </c>
      <c r="Q1283" s="1" t="s">
        <v>569</v>
      </c>
      <c r="R1283" s="93">
        <v>10227.129999999999</v>
      </c>
      <c r="S1283">
        <v>3068.13</v>
      </c>
      <c r="T1283">
        <v>0</v>
      </c>
      <c r="U1283" s="1" t="s">
        <v>996</v>
      </c>
      <c r="V1283" s="1" t="s">
        <v>1279</v>
      </c>
      <c r="W1283">
        <v>10227.105170000001</v>
      </c>
      <c r="X1283">
        <v>0</v>
      </c>
      <c r="Y1283">
        <v>77568</v>
      </c>
    </row>
    <row r="1284" spans="1:25" ht="15" hidden="1" customHeight="1" x14ac:dyDescent="0.25">
      <c r="A1284" s="1" t="s">
        <v>29</v>
      </c>
      <c r="B1284" s="1"/>
      <c r="C1284" s="1" t="s">
        <v>145</v>
      </c>
      <c r="D1284">
        <v>11351</v>
      </c>
      <c r="E1284" s="1" t="s">
        <v>243</v>
      </c>
      <c r="F1284" s="1" t="s">
        <v>280</v>
      </c>
      <c r="G1284" s="1" t="s">
        <v>145</v>
      </c>
      <c r="H1284" s="1" t="s">
        <v>1405</v>
      </c>
      <c r="I1284">
        <v>2014</v>
      </c>
      <c r="J1284" s="93">
        <v>17297.95</v>
      </c>
      <c r="K1284">
        <v>12</v>
      </c>
      <c r="L1284" s="1" t="s">
        <v>399</v>
      </c>
      <c r="M1284">
        <v>0</v>
      </c>
      <c r="N1284">
        <v>867</v>
      </c>
      <c r="O1284">
        <v>19.949197999999999</v>
      </c>
      <c r="P1284">
        <v>2</v>
      </c>
      <c r="Q1284" s="1" t="s">
        <v>569</v>
      </c>
      <c r="R1284" s="93">
        <v>17297.95</v>
      </c>
      <c r="S1284">
        <v>5189.37</v>
      </c>
      <c r="T1284">
        <v>0</v>
      </c>
      <c r="U1284" s="1" t="s">
        <v>997</v>
      </c>
      <c r="V1284" s="1"/>
      <c r="W1284">
        <v>17297.963</v>
      </c>
      <c r="X1284">
        <v>0</v>
      </c>
      <c r="Y1284">
        <v>80895</v>
      </c>
    </row>
    <row r="1285" spans="1:25" ht="15" hidden="1" customHeight="1" x14ac:dyDescent="0.25">
      <c r="A1285" s="1" t="s">
        <v>27</v>
      </c>
      <c r="B1285" s="1"/>
      <c r="C1285" s="1" t="s">
        <v>117</v>
      </c>
      <c r="D1285">
        <v>9977</v>
      </c>
      <c r="E1285" s="1"/>
      <c r="F1285" s="1" t="s">
        <v>261</v>
      </c>
      <c r="G1285" s="1" t="s">
        <v>117</v>
      </c>
      <c r="H1285" s="1" t="s">
        <v>1405</v>
      </c>
      <c r="I1285">
        <v>2014</v>
      </c>
      <c r="J1285" s="93">
        <v>48687.51</v>
      </c>
      <c r="K1285">
        <v>12</v>
      </c>
      <c r="L1285" s="1" t="s">
        <v>470</v>
      </c>
      <c r="M1285">
        <v>0</v>
      </c>
      <c r="N1285">
        <v>487</v>
      </c>
      <c r="O1285">
        <v>99.953828000000001</v>
      </c>
      <c r="P1285">
        <v>1</v>
      </c>
      <c r="Q1285" s="1" t="s">
        <v>566</v>
      </c>
      <c r="R1285" s="93">
        <v>57928.73</v>
      </c>
      <c r="S1285">
        <v>11813.34</v>
      </c>
      <c r="T1285">
        <v>0</v>
      </c>
      <c r="U1285" s="1" t="s">
        <v>770</v>
      </c>
      <c r="V1285" s="1" t="s">
        <v>1189</v>
      </c>
      <c r="W1285">
        <v>4347.09998</v>
      </c>
      <c r="X1285">
        <v>0</v>
      </c>
      <c r="Y1285">
        <v>76406</v>
      </c>
    </row>
    <row r="1286" spans="1:25" ht="15" hidden="1" customHeight="1" x14ac:dyDescent="0.25">
      <c r="A1286" s="1" t="s">
        <v>29</v>
      </c>
      <c r="B1286" s="1"/>
      <c r="C1286" s="1" t="s">
        <v>146</v>
      </c>
      <c r="D1286">
        <v>10205</v>
      </c>
      <c r="E1286" s="1"/>
      <c r="F1286" s="1" t="s">
        <v>146</v>
      </c>
      <c r="G1286" s="1" t="s">
        <v>146</v>
      </c>
      <c r="H1286" s="1" t="s">
        <v>1405</v>
      </c>
      <c r="I1286">
        <v>2014</v>
      </c>
      <c r="J1286" s="93">
        <v>49.37</v>
      </c>
      <c r="K1286">
        <v>12</v>
      </c>
      <c r="L1286" s="1" t="s">
        <v>422</v>
      </c>
      <c r="M1286">
        <v>0</v>
      </c>
      <c r="N1286">
        <v>314</v>
      </c>
      <c r="O1286">
        <v>0.15717900000000001</v>
      </c>
      <c r="P1286">
        <v>3</v>
      </c>
      <c r="Q1286" s="1" t="s">
        <v>560</v>
      </c>
      <c r="R1286" s="93">
        <v>49.37</v>
      </c>
      <c r="S1286">
        <v>39.479999999999997</v>
      </c>
      <c r="T1286">
        <v>0</v>
      </c>
      <c r="U1286" s="1" t="s">
        <v>617</v>
      </c>
      <c r="V1286" s="1"/>
      <c r="W1286">
        <v>49.36</v>
      </c>
      <c r="X1286">
        <v>0</v>
      </c>
      <c r="Y1286">
        <v>77391</v>
      </c>
    </row>
    <row r="1287" spans="1:25" ht="15" hidden="1" customHeight="1" x14ac:dyDescent="0.25">
      <c r="A1287" s="1" t="s">
        <v>29</v>
      </c>
      <c r="B1287" s="1"/>
      <c r="C1287" s="1" t="s">
        <v>145</v>
      </c>
      <c r="D1287">
        <v>11351</v>
      </c>
      <c r="E1287" s="1" t="s">
        <v>243</v>
      </c>
      <c r="F1287" s="1" t="s">
        <v>280</v>
      </c>
      <c r="G1287" s="1" t="s">
        <v>145</v>
      </c>
      <c r="H1287" s="1" t="s">
        <v>1405</v>
      </c>
      <c r="I1287">
        <v>2014</v>
      </c>
      <c r="J1287" s="93">
        <v>120.87</v>
      </c>
      <c r="K1287">
        <v>12</v>
      </c>
      <c r="L1287" s="1" t="s">
        <v>399</v>
      </c>
      <c r="M1287">
        <v>0</v>
      </c>
      <c r="N1287">
        <v>867</v>
      </c>
      <c r="O1287">
        <v>0.13939499999999999</v>
      </c>
      <c r="P1287">
        <v>2</v>
      </c>
      <c r="Q1287" s="1" t="s">
        <v>569</v>
      </c>
      <c r="R1287" s="93">
        <v>120.87</v>
      </c>
      <c r="S1287">
        <v>36.26</v>
      </c>
      <c r="T1287">
        <v>0</v>
      </c>
      <c r="U1287" s="1" t="s">
        <v>998</v>
      </c>
      <c r="V1287" s="1" t="s">
        <v>1280</v>
      </c>
      <c r="W1287">
        <v>120.867</v>
      </c>
      <c r="X1287">
        <v>0</v>
      </c>
      <c r="Y1287">
        <v>80929</v>
      </c>
    </row>
    <row r="1288" spans="1:25" ht="15" hidden="1" customHeight="1" x14ac:dyDescent="0.25">
      <c r="A1288" s="1" t="s">
        <v>27</v>
      </c>
      <c r="B1288" s="1" t="s">
        <v>49</v>
      </c>
      <c r="C1288" s="1" t="s">
        <v>111</v>
      </c>
      <c r="D1288">
        <v>5251</v>
      </c>
      <c r="E1288" s="1"/>
      <c r="F1288" s="1" t="s">
        <v>257</v>
      </c>
      <c r="G1288" s="1" t="s">
        <v>257</v>
      </c>
      <c r="H1288" s="1" t="s">
        <v>1405</v>
      </c>
      <c r="I1288">
        <v>2014</v>
      </c>
      <c r="J1288" s="93">
        <v>48871.33</v>
      </c>
      <c r="K1288">
        <v>10</v>
      </c>
      <c r="L1288" s="1" t="s">
        <v>442</v>
      </c>
      <c r="M1288">
        <v>0</v>
      </c>
      <c r="N1288">
        <v>375</v>
      </c>
      <c r="O1288">
        <v>130.288802</v>
      </c>
      <c r="P1288">
        <v>1</v>
      </c>
      <c r="Q1288" s="1" t="s">
        <v>564</v>
      </c>
      <c r="R1288" s="93">
        <v>58165.45</v>
      </c>
      <c r="S1288">
        <v>12300.93</v>
      </c>
      <c r="T1288">
        <v>0</v>
      </c>
      <c r="U1288" s="1" t="s">
        <v>763</v>
      </c>
      <c r="V1288" s="1" t="s">
        <v>1186</v>
      </c>
      <c r="W1288">
        <v>4525.1225599999998</v>
      </c>
      <c r="X1288">
        <v>0</v>
      </c>
      <c r="Y1288">
        <v>56681</v>
      </c>
    </row>
    <row r="1289" spans="1:25" ht="15" customHeight="1" x14ac:dyDescent="0.25">
      <c r="A1289" s="1" t="s">
        <v>29</v>
      </c>
      <c r="B1289" s="1"/>
      <c r="C1289" s="1" t="s">
        <v>144</v>
      </c>
      <c r="D1289">
        <v>10256</v>
      </c>
      <c r="E1289" s="1"/>
      <c r="F1289" s="1" t="s">
        <v>144</v>
      </c>
      <c r="G1289" s="1" t="s">
        <v>144</v>
      </c>
      <c r="H1289" s="1" t="s">
        <v>1405</v>
      </c>
      <c r="I1289">
        <v>2015</v>
      </c>
      <c r="J1289" s="93">
        <v>43448</v>
      </c>
      <c r="K1289">
        <v>5</v>
      </c>
      <c r="L1289" s="1" t="s">
        <v>481</v>
      </c>
      <c r="M1289">
        <v>0</v>
      </c>
      <c r="N1289">
        <v>381</v>
      </c>
      <c r="O1289">
        <v>68.981893999999997</v>
      </c>
      <c r="P1289">
        <v>1</v>
      </c>
      <c r="Q1289" s="1" t="s">
        <v>565</v>
      </c>
      <c r="R1289" s="93">
        <v>51121</v>
      </c>
      <c r="S1289">
        <v>1925.96</v>
      </c>
      <c r="T1289">
        <v>0</v>
      </c>
      <c r="U1289" s="1" t="s">
        <v>793</v>
      </c>
      <c r="V1289" s="1"/>
      <c r="W1289">
        <v>26.289000000000001</v>
      </c>
      <c r="X1289">
        <v>0</v>
      </c>
      <c r="Y1289">
        <v>77615</v>
      </c>
    </row>
    <row r="1290" spans="1:25" ht="15" hidden="1" customHeight="1" x14ac:dyDescent="0.25">
      <c r="A1290" s="1" t="s">
        <v>29</v>
      </c>
      <c r="B1290" s="1"/>
      <c r="C1290" s="1" t="s">
        <v>144</v>
      </c>
      <c r="D1290">
        <v>10256</v>
      </c>
      <c r="E1290" s="1"/>
      <c r="F1290" s="1" t="s">
        <v>144</v>
      </c>
      <c r="G1290" s="1" t="s">
        <v>144</v>
      </c>
      <c r="H1290" s="1" t="s">
        <v>1405</v>
      </c>
      <c r="I1290">
        <v>2013</v>
      </c>
      <c r="J1290" s="93">
        <v>52650.42</v>
      </c>
      <c r="K1290">
        <v>11</v>
      </c>
      <c r="L1290" s="1" t="s">
        <v>481</v>
      </c>
      <c r="M1290">
        <v>0</v>
      </c>
      <c r="N1290">
        <v>381</v>
      </c>
      <c r="O1290">
        <v>138.153817</v>
      </c>
      <c r="P1290">
        <v>1</v>
      </c>
      <c r="Q1290" s="1" t="s">
        <v>565</v>
      </c>
      <c r="R1290" s="93">
        <v>54567.67</v>
      </c>
      <c r="S1290">
        <v>3492.32</v>
      </c>
      <c r="T1290">
        <v>0</v>
      </c>
      <c r="U1290" s="1" t="s">
        <v>793</v>
      </c>
      <c r="V1290" s="1"/>
      <c r="W1290">
        <v>52.650419999999997</v>
      </c>
      <c r="X1290">
        <v>0</v>
      </c>
      <c r="Y1290">
        <v>77615</v>
      </c>
    </row>
    <row r="1291" spans="1:25" ht="15" hidden="1" customHeight="1" x14ac:dyDescent="0.25">
      <c r="A1291" s="1" t="s">
        <v>29</v>
      </c>
      <c r="B1291" s="1"/>
      <c r="C1291" s="1" t="s">
        <v>144</v>
      </c>
      <c r="D1291">
        <v>10256</v>
      </c>
      <c r="E1291" s="1"/>
      <c r="F1291" s="1" t="s">
        <v>144</v>
      </c>
      <c r="G1291" s="1" t="s">
        <v>144</v>
      </c>
      <c r="H1291" s="1" t="s">
        <v>1405</v>
      </c>
      <c r="I1291">
        <v>2012</v>
      </c>
      <c r="J1291" s="93">
        <v>54812.06</v>
      </c>
      <c r="K1291">
        <v>10</v>
      </c>
      <c r="L1291" s="1" t="s">
        <v>481</v>
      </c>
      <c r="M1291">
        <v>0</v>
      </c>
      <c r="N1291">
        <v>381</v>
      </c>
      <c r="O1291">
        <v>143.82592399999999</v>
      </c>
      <c r="P1291">
        <v>1</v>
      </c>
      <c r="Q1291" s="1" t="s">
        <v>565</v>
      </c>
      <c r="R1291" s="93">
        <v>58770.32</v>
      </c>
      <c r="S1291">
        <v>10872.52</v>
      </c>
      <c r="T1291">
        <v>0</v>
      </c>
      <c r="U1291" s="1" t="s">
        <v>793</v>
      </c>
      <c r="V1291" s="1"/>
      <c r="W1291">
        <v>54.812060000000002</v>
      </c>
      <c r="X1291">
        <v>0</v>
      </c>
      <c r="Y1291">
        <v>77615</v>
      </c>
    </row>
    <row r="1292" spans="1:25" ht="15" hidden="1" customHeight="1" x14ac:dyDescent="0.25">
      <c r="A1292" s="1" t="s">
        <v>29</v>
      </c>
      <c r="B1292" s="1"/>
      <c r="C1292" s="1" t="s">
        <v>144</v>
      </c>
      <c r="D1292">
        <v>10256</v>
      </c>
      <c r="E1292" s="1"/>
      <c r="F1292" s="1" t="s">
        <v>144</v>
      </c>
      <c r="G1292" s="1" t="s">
        <v>144</v>
      </c>
      <c r="H1292" s="1" t="s">
        <v>1405</v>
      </c>
      <c r="I1292">
        <v>2011</v>
      </c>
      <c r="J1292" s="93">
        <v>54706.74</v>
      </c>
      <c r="K1292">
        <v>8</v>
      </c>
      <c r="L1292" s="1" t="s">
        <v>481</v>
      </c>
      <c r="M1292">
        <v>0</v>
      </c>
      <c r="N1292">
        <v>381</v>
      </c>
      <c r="O1292">
        <v>143.549567</v>
      </c>
      <c r="P1292">
        <v>1</v>
      </c>
      <c r="Q1292" s="1" t="s">
        <v>565</v>
      </c>
      <c r="R1292" s="93">
        <v>65410.65</v>
      </c>
      <c r="S1292">
        <v>12100.95</v>
      </c>
      <c r="T1292">
        <v>0</v>
      </c>
      <c r="U1292" s="1" t="s">
        <v>793</v>
      </c>
      <c r="V1292" s="1"/>
      <c r="W1292">
        <v>54.706740000000003</v>
      </c>
      <c r="X1292">
        <v>0</v>
      </c>
      <c r="Y1292">
        <v>77615</v>
      </c>
    </row>
    <row r="1293" spans="1:25" ht="15" hidden="1" customHeight="1" x14ac:dyDescent="0.25">
      <c r="A1293" s="1" t="s">
        <v>29</v>
      </c>
      <c r="B1293" s="1"/>
      <c r="C1293" s="1" t="s">
        <v>144</v>
      </c>
      <c r="D1293">
        <v>10256</v>
      </c>
      <c r="E1293" s="1"/>
      <c r="F1293" s="1" t="s">
        <v>144</v>
      </c>
      <c r="G1293" s="1" t="s">
        <v>144</v>
      </c>
      <c r="H1293" s="1" t="s">
        <v>1405</v>
      </c>
      <c r="I1293">
        <v>2010</v>
      </c>
      <c r="J1293" s="93">
        <v>68009.72</v>
      </c>
      <c r="K1293">
        <v>12</v>
      </c>
      <c r="L1293" s="1" t="s">
        <v>481</v>
      </c>
      <c r="M1293">
        <v>0</v>
      </c>
      <c r="N1293">
        <v>381</v>
      </c>
      <c r="O1293">
        <v>178.45636300000001</v>
      </c>
      <c r="P1293">
        <v>1</v>
      </c>
      <c r="Q1293" s="1" t="s">
        <v>565</v>
      </c>
      <c r="R1293" s="93">
        <v>61328.65</v>
      </c>
      <c r="S1293">
        <v>11345.82</v>
      </c>
      <c r="T1293">
        <v>0</v>
      </c>
      <c r="U1293" s="1" t="s">
        <v>793</v>
      </c>
      <c r="V1293" s="1"/>
      <c r="W1293">
        <v>68.009720000000002</v>
      </c>
      <c r="X1293">
        <v>0</v>
      </c>
      <c r="Y1293">
        <v>77615</v>
      </c>
    </row>
    <row r="1294" spans="1:25" ht="15" hidden="1" customHeight="1" x14ac:dyDescent="0.25">
      <c r="A1294" s="1" t="s">
        <v>29</v>
      </c>
      <c r="B1294" s="1"/>
      <c r="C1294" s="1" t="s">
        <v>144</v>
      </c>
      <c r="D1294">
        <v>10256</v>
      </c>
      <c r="E1294" s="1"/>
      <c r="F1294" s="1" t="s">
        <v>144</v>
      </c>
      <c r="G1294" s="1" t="s">
        <v>144</v>
      </c>
      <c r="H1294" s="1" t="s">
        <v>1405</v>
      </c>
      <c r="I1294">
        <v>2009</v>
      </c>
      <c r="J1294" s="93">
        <v>55225.74</v>
      </c>
      <c r="K1294">
        <v>12</v>
      </c>
      <c r="L1294" s="1" t="s">
        <v>481</v>
      </c>
      <c r="M1294">
        <v>0</v>
      </c>
      <c r="N1294">
        <v>381</v>
      </c>
      <c r="O1294">
        <v>144.91141400000001</v>
      </c>
      <c r="P1294">
        <v>1</v>
      </c>
      <c r="Q1294" s="1" t="s">
        <v>565</v>
      </c>
      <c r="R1294" s="93">
        <v>59430.77</v>
      </c>
      <c r="S1294">
        <v>10994.7</v>
      </c>
      <c r="T1294">
        <v>0</v>
      </c>
      <c r="U1294" s="1" t="s">
        <v>793</v>
      </c>
      <c r="V1294" s="1"/>
      <c r="W1294">
        <v>55.225740000000002</v>
      </c>
      <c r="X1294">
        <v>0</v>
      </c>
      <c r="Y1294">
        <v>77615</v>
      </c>
    </row>
    <row r="1295" spans="1:25" ht="15" hidden="1" customHeight="1" x14ac:dyDescent="0.25">
      <c r="A1295" s="1" t="s">
        <v>29</v>
      </c>
      <c r="B1295" s="1"/>
      <c r="C1295" s="1" t="s">
        <v>144</v>
      </c>
      <c r="D1295">
        <v>10256</v>
      </c>
      <c r="E1295" s="1"/>
      <c r="F1295" s="1" t="s">
        <v>144</v>
      </c>
      <c r="G1295" s="1" t="s">
        <v>144</v>
      </c>
      <c r="H1295" s="1" t="s">
        <v>1405</v>
      </c>
      <c r="I1295">
        <v>2008</v>
      </c>
      <c r="J1295" s="93">
        <v>52664.46</v>
      </c>
      <c r="K1295">
        <v>13</v>
      </c>
      <c r="L1295" s="1" t="s">
        <v>481</v>
      </c>
      <c r="M1295">
        <v>0</v>
      </c>
      <c r="N1295">
        <v>381</v>
      </c>
      <c r="O1295">
        <v>138.19065800000001</v>
      </c>
      <c r="P1295">
        <v>1</v>
      </c>
      <c r="Q1295" s="1" t="s">
        <v>565</v>
      </c>
      <c r="R1295" s="93">
        <v>62461.18</v>
      </c>
      <c r="S1295">
        <v>11555.32</v>
      </c>
      <c r="T1295">
        <v>0</v>
      </c>
      <c r="U1295" s="1" t="s">
        <v>793</v>
      </c>
      <c r="V1295" s="1"/>
      <c r="W1295">
        <v>52.664459999999998</v>
      </c>
      <c r="X1295">
        <v>0</v>
      </c>
      <c r="Y1295">
        <v>77615</v>
      </c>
    </row>
    <row r="1296" spans="1:25" ht="15" hidden="1" customHeight="1" x14ac:dyDescent="0.25">
      <c r="A1296" s="1" t="s">
        <v>29</v>
      </c>
      <c r="B1296" s="1"/>
      <c r="C1296" s="1" t="s">
        <v>145</v>
      </c>
      <c r="D1296">
        <v>11351</v>
      </c>
      <c r="E1296" s="1" t="s">
        <v>243</v>
      </c>
      <c r="F1296" s="1" t="s">
        <v>280</v>
      </c>
      <c r="G1296" s="1" t="s">
        <v>145</v>
      </c>
      <c r="H1296" s="1" t="s">
        <v>1405</v>
      </c>
      <c r="I1296">
        <v>2015</v>
      </c>
      <c r="J1296" s="93">
        <v>75733</v>
      </c>
      <c r="K1296">
        <v>5</v>
      </c>
      <c r="L1296" s="1" t="s">
        <v>399</v>
      </c>
      <c r="M1296">
        <v>0</v>
      </c>
      <c r="N1296">
        <v>867</v>
      </c>
      <c r="O1296">
        <v>42.000069000000003</v>
      </c>
      <c r="P1296">
        <v>1</v>
      </c>
      <c r="Q1296" s="1" t="s">
        <v>564</v>
      </c>
      <c r="R1296" s="93">
        <v>93537</v>
      </c>
      <c r="S1296">
        <v>8872.0499999999993</v>
      </c>
      <c r="T1296">
        <v>0</v>
      </c>
      <c r="U1296" s="1" t="s">
        <v>794</v>
      </c>
      <c r="V1296" s="1" t="s">
        <v>1201</v>
      </c>
      <c r="W1296">
        <v>3372.0605</v>
      </c>
      <c r="X1296">
        <v>0</v>
      </c>
      <c r="Y1296">
        <v>80928</v>
      </c>
    </row>
    <row r="1297" spans="1:25" ht="15" hidden="1" customHeight="1" x14ac:dyDescent="0.25">
      <c r="A1297" s="1" t="s">
        <v>29</v>
      </c>
      <c r="B1297" s="1"/>
      <c r="C1297" s="1" t="s">
        <v>145</v>
      </c>
      <c r="D1297">
        <v>11351</v>
      </c>
      <c r="E1297" s="1" t="s">
        <v>243</v>
      </c>
      <c r="F1297" s="1" t="s">
        <v>280</v>
      </c>
      <c r="G1297" s="1" t="s">
        <v>145</v>
      </c>
      <c r="H1297" s="1" t="s">
        <v>1405</v>
      </c>
      <c r="I1297">
        <v>2013</v>
      </c>
      <c r="J1297" s="93">
        <v>82409.09</v>
      </c>
      <c r="K1297">
        <v>12</v>
      </c>
      <c r="L1297" s="1" t="s">
        <v>399</v>
      </c>
      <c r="M1297">
        <v>0</v>
      </c>
      <c r="N1297">
        <v>867</v>
      </c>
      <c r="O1297">
        <v>95.039890999999997</v>
      </c>
      <c r="P1297">
        <v>1</v>
      </c>
      <c r="Q1297" s="1" t="s">
        <v>564</v>
      </c>
      <c r="R1297" s="93">
        <v>90943.56</v>
      </c>
      <c r="S1297">
        <v>19232.87</v>
      </c>
      <c r="T1297">
        <v>0</v>
      </c>
      <c r="U1297" s="1" t="s">
        <v>794</v>
      </c>
      <c r="V1297" s="1" t="s">
        <v>1201</v>
      </c>
      <c r="W1297">
        <v>7630.4704000000002</v>
      </c>
      <c r="X1297">
        <v>0</v>
      </c>
      <c r="Y1297">
        <v>80928</v>
      </c>
    </row>
    <row r="1298" spans="1:25" ht="15" hidden="1" customHeight="1" x14ac:dyDescent="0.25">
      <c r="A1298" s="1" t="s">
        <v>29</v>
      </c>
      <c r="B1298" s="1"/>
      <c r="C1298" s="1" t="s">
        <v>145</v>
      </c>
      <c r="D1298">
        <v>11351</v>
      </c>
      <c r="E1298" s="1" t="s">
        <v>243</v>
      </c>
      <c r="F1298" s="1" t="s">
        <v>280</v>
      </c>
      <c r="G1298" s="1" t="s">
        <v>145</v>
      </c>
      <c r="H1298" s="1" t="s">
        <v>1405</v>
      </c>
      <c r="I1298">
        <v>2012</v>
      </c>
      <c r="J1298" s="93">
        <v>84818.68</v>
      </c>
      <c r="K1298">
        <v>12</v>
      </c>
      <c r="L1298" s="1" t="s">
        <v>399</v>
      </c>
      <c r="M1298">
        <v>0</v>
      </c>
      <c r="N1298">
        <v>867</v>
      </c>
      <c r="O1298">
        <v>97.818798000000001</v>
      </c>
      <c r="P1298">
        <v>1</v>
      </c>
      <c r="Q1298" s="1" t="s">
        <v>564</v>
      </c>
      <c r="R1298" s="93">
        <v>90262.73</v>
      </c>
      <c r="S1298">
        <v>19088.900000000001</v>
      </c>
      <c r="T1298">
        <v>0</v>
      </c>
      <c r="U1298" s="1" t="s">
        <v>794</v>
      </c>
      <c r="V1298" s="1" t="s">
        <v>1201</v>
      </c>
      <c r="W1298">
        <v>7853.58</v>
      </c>
      <c r="X1298">
        <v>0</v>
      </c>
      <c r="Y1298">
        <v>80928</v>
      </c>
    </row>
    <row r="1299" spans="1:25" ht="15" hidden="1" customHeight="1" x14ac:dyDescent="0.25">
      <c r="A1299" s="1" t="s">
        <v>29</v>
      </c>
      <c r="B1299" s="1"/>
      <c r="C1299" s="1" t="s">
        <v>145</v>
      </c>
      <c r="D1299">
        <v>11351</v>
      </c>
      <c r="E1299" s="1" t="s">
        <v>243</v>
      </c>
      <c r="F1299" s="1" t="s">
        <v>280</v>
      </c>
      <c r="G1299" s="1" t="s">
        <v>145</v>
      </c>
      <c r="H1299" s="1" t="s">
        <v>1405</v>
      </c>
      <c r="I1299">
        <v>2011</v>
      </c>
      <c r="J1299" s="93">
        <v>81746.960000000006</v>
      </c>
      <c r="K1299">
        <v>5</v>
      </c>
      <c r="L1299" s="1" t="s">
        <v>399</v>
      </c>
      <c r="M1299">
        <v>0</v>
      </c>
      <c r="N1299">
        <v>867</v>
      </c>
      <c r="O1299">
        <v>94.276276999999993</v>
      </c>
      <c r="P1299">
        <v>1</v>
      </c>
      <c r="Q1299" s="1" t="s">
        <v>564</v>
      </c>
      <c r="R1299" s="93">
        <v>93953.49</v>
      </c>
      <c r="S1299">
        <v>19869.419999999998</v>
      </c>
      <c r="T1299">
        <v>0</v>
      </c>
      <c r="U1299" s="1" t="s">
        <v>794</v>
      </c>
      <c r="V1299" s="1" t="s">
        <v>1201</v>
      </c>
      <c r="W1299">
        <v>7569.1636500000004</v>
      </c>
      <c r="X1299">
        <v>0</v>
      </c>
      <c r="Y1299">
        <v>80928</v>
      </c>
    </row>
    <row r="1300" spans="1:25" ht="15" hidden="1" customHeight="1" x14ac:dyDescent="0.25">
      <c r="A1300" s="1" t="s">
        <v>29</v>
      </c>
      <c r="B1300" s="1"/>
      <c r="C1300" s="1" t="s">
        <v>145</v>
      </c>
      <c r="D1300">
        <v>11351</v>
      </c>
      <c r="E1300" s="1" t="s">
        <v>243</v>
      </c>
      <c r="F1300" s="1" t="s">
        <v>280</v>
      </c>
      <c r="G1300" s="1" t="s">
        <v>145</v>
      </c>
      <c r="H1300" s="1" t="s">
        <v>1405</v>
      </c>
      <c r="I1300">
        <v>2010</v>
      </c>
      <c r="J1300" s="93">
        <v>89029.14</v>
      </c>
      <c r="K1300">
        <v>4</v>
      </c>
      <c r="L1300" s="1" t="s">
        <v>399</v>
      </c>
      <c r="M1300">
        <v>0</v>
      </c>
      <c r="N1300">
        <v>867</v>
      </c>
      <c r="O1300">
        <v>102.674593</v>
      </c>
      <c r="P1300">
        <v>1</v>
      </c>
      <c r="Q1300" s="1" t="s">
        <v>564</v>
      </c>
      <c r="R1300" s="93">
        <v>113756.5</v>
      </c>
      <c r="S1300">
        <v>24057.39</v>
      </c>
      <c r="T1300">
        <v>0</v>
      </c>
      <c r="U1300" s="1" t="s">
        <v>794</v>
      </c>
      <c r="V1300" s="1" t="s">
        <v>1201</v>
      </c>
      <c r="W1300">
        <v>8243.4392399999997</v>
      </c>
      <c r="X1300">
        <v>0</v>
      </c>
      <c r="Y1300">
        <v>80928</v>
      </c>
    </row>
    <row r="1301" spans="1:25" ht="15" hidden="1" customHeight="1" x14ac:dyDescent="0.25">
      <c r="A1301" s="1" t="s">
        <v>29</v>
      </c>
      <c r="B1301" s="1"/>
      <c r="C1301" s="1" t="s">
        <v>145</v>
      </c>
      <c r="D1301">
        <v>11351</v>
      </c>
      <c r="E1301" s="1" t="s">
        <v>243</v>
      </c>
      <c r="F1301" s="1" t="s">
        <v>280</v>
      </c>
      <c r="G1301" s="1" t="s">
        <v>145</v>
      </c>
      <c r="H1301" s="1" t="s">
        <v>1405</v>
      </c>
      <c r="I1301">
        <v>2009</v>
      </c>
      <c r="J1301" s="93">
        <v>88598.07</v>
      </c>
      <c r="K1301">
        <v>4</v>
      </c>
      <c r="L1301" s="1" t="s">
        <v>399</v>
      </c>
      <c r="M1301">
        <v>0</v>
      </c>
      <c r="N1301">
        <v>867</v>
      </c>
      <c r="O1301">
        <v>102.177453</v>
      </c>
      <c r="P1301">
        <v>1</v>
      </c>
      <c r="Q1301" s="1" t="s">
        <v>564</v>
      </c>
      <c r="R1301" s="93">
        <v>131753.78</v>
      </c>
      <c r="S1301">
        <v>27863.48</v>
      </c>
      <c r="T1301">
        <v>0</v>
      </c>
      <c r="U1301" s="1" t="s">
        <v>794</v>
      </c>
      <c r="V1301" s="1" t="s">
        <v>1201</v>
      </c>
      <c r="W1301">
        <v>8203.5221099999999</v>
      </c>
      <c r="X1301">
        <v>0</v>
      </c>
      <c r="Y1301">
        <v>80928</v>
      </c>
    </row>
    <row r="1302" spans="1:25" ht="15" hidden="1" customHeight="1" x14ac:dyDescent="0.25">
      <c r="A1302" s="1" t="s">
        <v>29</v>
      </c>
      <c r="B1302" s="1"/>
      <c r="C1302" s="1" t="s">
        <v>145</v>
      </c>
      <c r="D1302">
        <v>11351</v>
      </c>
      <c r="E1302" s="1" t="s">
        <v>243</v>
      </c>
      <c r="F1302" s="1" t="s">
        <v>280</v>
      </c>
      <c r="G1302" s="1" t="s">
        <v>145</v>
      </c>
      <c r="H1302" s="1" t="s">
        <v>1405</v>
      </c>
      <c r="I1302">
        <v>2008</v>
      </c>
      <c r="J1302" s="93">
        <v>71589.52</v>
      </c>
      <c r="K1302">
        <v>1</v>
      </c>
      <c r="L1302" s="1" t="s">
        <v>399</v>
      </c>
      <c r="M1302">
        <v>0</v>
      </c>
      <c r="N1302">
        <v>867</v>
      </c>
      <c r="O1302">
        <v>82.562010999999998</v>
      </c>
      <c r="P1302">
        <v>1</v>
      </c>
      <c r="Q1302" s="1" t="s">
        <v>564</v>
      </c>
      <c r="R1302" s="93">
        <v>94381.13</v>
      </c>
      <c r="S1302">
        <v>19959.87</v>
      </c>
      <c r="T1302">
        <v>0</v>
      </c>
      <c r="U1302" s="1" t="s">
        <v>794</v>
      </c>
      <c r="V1302" s="1" t="s">
        <v>1201</v>
      </c>
      <c r="W1302">
        <v>6628.6584300000004</v>
      </c>
      <c r="X1302">
        <v>0</v>
      </c>
      <c r="Y1302">
        <v>80928</v>
      </c>
    </row>
    <row r="1303" spans="1:25" ht="15" hidden="1" customHeight="1" x14ac:dyDescent="0.25">
      <c r="A1303" s="1" t="s">
        <v>29</v>
      </c>
      <c r="B1303" s="1"/>
      <c r="C1303" s="1" t="s">
        <v>146</v>
      </c>
      <c r="D1303">
        <v>10205</v>
      </c>
      <c r="E1303" s="1"/>
      <c r="F1303" s="1" t="s">
        <v>146</v>
      </c>
      <c r="G1303" s="1" t="s">
        <v>146</v>
      </c>
      <c r="H1303" s="1" t="s">
        <v>1405</v>
      </c>
      <c r="I1303">
        <v>2015</v>
      </c>
      <c r="J1303" s="93">
        <v>49234</v>
      </c>
      <c r="K1303">
        <v>5</v>
      </c>
      <c r="L1303" s="1" t="s">
        <v>422</v>
      </c>
      <c r="M1303">
        <v>0</v>
      </c>
      <c r="N1303">
        <v>314</v>
      </c>
      <c r="O1303">
        <v>101.36497900000001</v>
      </c>
      <c r="P1303">
        <v>1</v>
      </c>
      <c r="Q1303" s="1" t="s">
        <v>564</v>
      </c>
      <c r="R1303" s="93">
        <v>54683</v>
      </c>
      <c r="S1303">
        <v>7632.49</v>
      </c>
      <c r="T1303">
        <v>0</v>
      </c>
      <c r="U1303" s="1" t="s">
        <v>795</v>
      </c>
      <c r="V1303" s="1" t="s">
        <v>1202</v>
      </c>
      <c r="W1303">
        <v>2948.0317</v>
      </c>
      <c r="X1303">
        <v>0</v>
      </c>
      <c r="Y1303">
        <v>77392</v>
      </c>
    </row>
    <row r="1304" spans="1:25" ht="15" hidden="1" customHeight="1" x14ac:dyDescent="0.25">
      <c r="A1304" s="1" t="s">
        <v>29</v>
      </c>
      <c r="B1304" s="1"/>
      <c r="C1304" s="1" t="s">
        <v>146</v>
      </c>
      <c r="D1304">
        <v>10205</v>
      </c>
      <c r="E1304" s="1"/>
      <c r="F1304" s="1" t="s">
        <v>146</v>
      </c>
      <c r="G1304" s="1" t="s">
        <v>146</v>
      </c>
      <c r="H1304" s="1" t="s">
        <v>1405</v>
      </c>
      <c r="I1304">
        <v>2013</v>
      </c>
      <c r="J1304" s="93">
        <v>51431.47</v>
      </c>
      <c r="K1304">
        <v>8</v>
      </c>
      <c r="L1304" s="1" t="s">
        <v>422</v>
      </c>
      <c r="M1304">
        <v>0</v>
      </c>
      <c r="N1304">
        <v>314</v>
      </c>
      <c r="O1304">
        <v>163.74234300000001</v>
      </c>
      <c r="P1304">
        <v>1</v>
      </c>
      <c r="Q1304" s="1" t="s">
        <v>564</v>
      </c>
      <c r="R1304" s="93">
        <v>54242.57</v>
      </c>
      <c r="S1304">
        <v>11471.3</v>
      </c>
      <c r="T1304">
        <v>0</v>
      </c>
      <c r="U1304" s="1" t="s">
        <v>795</v>
      </c>
      <c r="V1304" s="1" t="s">
        <v>1202</v>
      </c>
      <c r="W1304">
        <v>4762.1735399999998</v>
      </c>
      <c r="X1304">
        <v>0</v>
      </c>
      <c r="Y1304">
        <v>77392</v>
      </c>
    </row>
    <row r="1305" spans="1:25" ht="15" hidden="1" customHeight="1" x14ac:dyDescent="0.25">
      <c r="A1305" s="1" t="s">
        <v>29</v>
      </c>
      <c r="B1305" s="1"/>
      <c r="C1305" s="1" t="s">
        <v>146</v>
      </c>
      <c r="D1305">
        <v>10205</v>
      </c>
      <c r="E1305" s="1"/>
      <c r="F1305" s="1" t="s">
        <v>146</v>
      </c>
      <c r="G1305" s="1" t="s">
        <v>146</v>
      </c>
      <c r="H1305" s="1" t="s">
        <v>1405</v>
      </c>
      <c r="I1305">
        <v>2012</v>
      </c>
      <c r="J1305" s="93">
        <v>55453.11</v>
      </c>
      <c r="K1305">
        <v>6</v>
      </c>
      <c r="L1305" s="1" t="s">
        <v>422</v>
      </c>
      <c r="M1305">
        <v>0</v>
      </c>
      <c r="N1305">
        <v>314</v>
      </c>
      <c r="O1305">
        <v>176.54603599999999</v>
      </c>
      <c r="P1305">
        <v>1</v>
      </c>
      <c r="Q1305" s="1" t="s">
        <v>564</v>
      </c>
      <c r="R1305" s="93">
        <v>57819.18</v>
      </c>
      <c r="S1305">
        <v>12227.69</v>
      </c>
      <c r="T1305">
        <v>0</v>
      </c>
      <c r="U1305" s="1" t="s">
        <v>795</v>
      </c>
      <c r="V1305" s="1" t="s">
        <v>1202</v>
      </c>
      <c r="W1305">
        <v>5134.5476699999999</v>
      </c>
      <c r="X1305">
        <v>0</v>
      </c>
      <c r="Y1305">
        <v>77392</v>
      </c>
    </row>
    <row r="1306" spans="1:25" ht="15" hidden="1" customHeight="1" x14ac:dyDescent="0.25">
      <c r="A1306" s="1" t="s">
        <v>29</v>
      </c>
      <c r="B1306" s="1"/>
      <c r="C1306" s="1" t="s">
        <v>146</v>
      </c>
      <c r="D1306">
        <v>10205</v>
      </c>
      <c r="E1306" s="1"/>
      <c r="F1306" s="1" t="s">
        <v>146</v>
      </c>
      <c r="G1306" s="1" t="s">
        <v>146</v>
      </c>
      <c r="H1306" s="1" t="s">
        <v>1405</v>
      </c>
      <c r="I1306">
        <v>2011</v>
      </c>
      <c r="J1306" s="93">
        <v>50881.31</v>
      </c>
      <c r="K1306">
        <v>3</v>
      </c>
      <c r="L1306" s="1" t="s">
        <v>422</v>
      </c>
      <c r="M1306">
        <v>0</v>
      </c>
      <c r="N1306">
        <v>314</v>
      </c>
      <c r="O1306">
        <v>161.99079900000001</v>
      </c>
      <c r="P1306">
        <v>1</v>
      </c>
      <c r="Q1306" s="1" t="s">
        <v>564</v>
      </c>
      <c r="R1306" s="93">
        <v>60584.04</v>
      </c>
      <c r="S1306">
        <v>12812.39</v>
      </c>
      <c r="T1306">
        <v>0</v>
      </c>
      <c r="U1306" s="1" t="s">
        <v>795</v>
      </c>
      <c r="V1306" s="1" t="s">
        <v>1202</v>
      </c>
      <c r="W1306">
        <v>4711.2312300000003</v>
      </c>
      <c r="X1306">
        <v>0</v>
      </c>
      <c r="Y1306">
        <v>77392</v>
      </c>
    </row>
    <row r="1307" spans="1:25" ht="15" hidden="1" customHeight="1" x14ac:dyDescent="0.25">
      <c r="A1307" s="1" t="s">
        <v>29</v>
      </c>
      <c r="B1307" s="1"/>
      <c r="C1307" s="1" t="s">
        <v>146</v>
      </c>
      <c r="D1307">
        <v>10205</v>
      </c>
      <c r="E1307" s="1"/>
      <c r="F1307" s="1" t="s">
        <v>146</v>
      </c>
      <c r="G1307" s="1" t="s">
        <v>146</v>
      </c>
      <c r="H1307" s="1" t="s">
        <v>1405</v>
      </c>
      <c r="I1307">
        <v>2010</v>
      </c>
      <c r="J1307" s="93">
        <v>61071.6</v>
      </c>
      <c r="K1307">
        <v>2</v>
      </c>
      <c r="L1307" s="1" t="s">
        <v>422</v>
      </c>
      <c r="M1307">
        <v>0</v>
      </c>
      <c r="N1307">
        <v>314</v>
      </c>
      <c r="O1307">
        <v>194.43361899999999</v>
      </c>
      <c r="P1307">
        <v>1</v>
      </c>
      <c r="Q1307" s="1" t="s">
        <v>564</v>
      </c>
      <c r="R1307" s="93">
        <v>77150.259999999995</v>
      </c>
      <c r="S1307">
        <v>16315.87</v>
      </c>
      <c r="T1307">
        <v>0</v>
      </c>
      <c r="U1307" s="1" t="s">
        <v>795</v>
      </c>
      <c r="V1307" s="1" t="s">
        <v>1202</v>
      </c>
      <c r="W1307">
        <v>5654.7781500000001</v>
      </c>
      <c r="X1307">
        <v>0</v>
      </c>
      <c r="Y1307">
        <v>77392</v>
      </c>
    </row>
    <row r="1308" spans="1:25" ht="15" hidden="1" customHeight="1" x14ac:dyDescent="0.25">
      <c r="A1308" s="1" t="s">
        <v>29</v>
      </c>
      <c r="B1308" s="1"/>
      <c r="C1308" s="1" t="s">
        <v>146</v>
      </c>
      <c r="D1308">
        <v>10205</v>
      </c>
      <c r="E1308" s="1"/>
      <c r="F1308" s="1" t="s">
        <v>146</v>
      </c>
      <c r="G1308" s="1" t="s">
        <v>146</v>
      </c>
      <c r="H1308" s="1" t="s">
        <v>1405</v>
      </c>
      <c r="I1308">
        <v>2009</v>
      </c>
      <c r="J1308" s="93">
        <v>53703.72</v>
      </c>
      <c r="K1308">
        <v>6</v>
      </c>
      <c r="L1308" s="1" t="s">
        <v>422</v>
      </c>
      <c r="M1308">
        <v>0</v>
      </c>
      <c r="N1308">
        <v>314</v>
      </c>
      <c r="O1308">
        <v>170.97650400000001</v>
      </c>
      <c r="P1308">
        <v>1</v>
      </c>
      <c r="Q1308" s="1" t="s">
        <v>564</v>
      </c>
      <c r="R1308" s="93">
        <v>63813.21</v>
      </c>
      <c r="S1308">
        <v>13495.33</v>
      </c>
      <c r="T1308">
        <v>0</v>
      </c>
      <c r="U1308" s="1" t="s">
        <v>795</v>
      </c>
      <c r="V1308" s="1" t="s">
        <v>1202</v>
      </c>
      <c r="W1308">
        <v>4972.5663999999997</v>
      </c>
      <c r="X1308">
        <v>0</v>
      </c>
      <c r="Y1308">
        <v>77392</v>
      </c>
    </row>
    <row r="1309" spans="1:25" ht="15" hidden="1" customHeight="1" x14ac:dyDescent="0.25">
      <c r="A1309" s="1" t="s">
        <v>29</v>
      </c>
      <c r="B1309" s="1"/>
      <c r="C1309" s="1" t="s">
        <v>146</v>
      </c>
      <c r="D1309">
        <v>10205</v>
      </c>
      <c r="E1309" s="1"/>
      <c r="F1309" s="1" t="s">
        <v>146</v>
      </c>
      <c r="G1309" s="1" t="s">
        <v>146</v>
      </c>
      <c r="H1309" s="1" t="s">
        <v>1405</v>
      </c>
      <c r="I1309">
        <v>2008</v>
      </c>
      <c r="J1309" s="93">
        <v>72169.41</v>
      </c>
      <c r="K1309">
        <v>6</v>
      </c>
      <c r="L1309" s="1" t="s">
        <v>422</v>
      </c>
      <c r="M1309">
        <v>0</v>
      </c>
      <c r="N1309">
        <v>314</v>
      </c>
      <c r="O1309">
        <v>229.76571100000001</v>
      </c>
      <c r="P1309">
        <v>1</v>
      </c>
      <c r="Q1309" s="1" t="s">
        <v>564</v>
      </c>
      <c r="R1309" s="93">
        <v>85211.16</v>
      </c>
      <c r="S1309">
        <v>18020.580000000002</v>
      </c>
      <c r="T1309">
        <v>0</v>
      </c>
      <c r="U1309" s="1" t="s">
        <v>795</v>
      </c>
      <c r="V1309" s="1" t="s">
        <v>1202</v>
      </c>
      <c r="W1309">
        <v>6682.35232</v>
      </c>
      <c r="X1309">
        <v>0</v>
      </c>
      <c r="Y1309">
        <v>77392</v>
      </c>
    </row>
    <row r="1310" spans="1:25" ht="15" hidden="1" customHeight="1" x14ac:dyDescent="0.25">
      <c r="A1310" s="1" t="s">
        <v>29</v>
      </c>
      <c r="B1310" s="1" t="s">
        <v>64</v>
      </c>
      <c r="C1310" s="1" t="s">
        <v>147</v>
      </c>
      <c r="D1310">
        <v>13661</v>
      </c>
      <c r="E1310" s="1" t="s">
        <v>243</v>
      </c>
      <c r="F1310" s="1" t="s">
        <v>147</v>
      </c>
      <c r="G1310" s="1" t="s">
        <v>147</v>
      </c>
      <c r="H1310" s="1" t="s">
        <v>1405</v>
      </c>
      <c r="I1310">
        <v>2015</v>
      </c>
      <c r="J1310" s="93">
        <v>37343</v>
      </c>
      <c r="K1310">
        <v>5</v>
      </c>
      <c r="L1310" s="1" t="s">
        <v>422</v>
      </c>
      <c r="M1310">
        <v>0</v>
      </c>
      <c r="N1310">
        <v>307</v>
      </c>
      <c r="O1310">
        <v>77.544773000000006</v>
      </c>
      <c r="P1310">
        <v>1</v>
      </c>
      <c r="Q1310" s="1" t="s">
        <v>562</v>
      </c>
      <c r="R1310" s="93">
        <v>43859</v>
      </c>
      <c r="S1310">
        <v>5041383.2</v>
      </c>
      <c r="T1310">
        <v>0</v>
      </c>
      <c r="U1310" s="1" t="s">
        <v>796</v>
      </c>
      <c r="V1310" s="1"/>
      <c r="W1310">
        <v>23814.001</v>
      </c>
      <c r="X1310">
        <v>0</v>
      </c>
      <c r="Y1310">
        <v>92672</v>
      </c>
    </row>
    <row r="1311" spans="1:25" ht="15" hidden="1" customHeight="1" x14ac:dyDescent="0.25">
      <c r="A1311" s="1" t="s">
        <v>29</v>
      </c>
      <c r="B1311" s="1" t="s">
        <v>64</v>
      </c>
      <c r="C1311" s="1" t="s">
        <v>147</v>
      </c>
      <c r="D1311">
        <v>13661</v>
      </c>
      <c r="E1311" s="1" t="s">
        <v>243</v>
      </c>
      <c r="F1311" s="1" t="s">
        <v>147</v>
      </c>
      <c r="G1311" s="1" t="s">
        <v>147</v>
      </c>
      <c r="H1311" s="1" t="s">
        <v>1405</v>
      </c>
      <c r="I1311">
        <v>2013</v>
      </c>
      <c r="J1311" s="93">
        <v>41581.360000000001</v>
      </c>
      <c r="K1311">
        <v>6</v>
      </c>
      <c r="L1311" s="1" t="s">
        <v>422</v>
      </c>
      <c r="M1311">
        <v>0</v>
      </c>
      <c r="N1311">
        <v>307</v>
      </c>
      <c r="O1311">
        <v>135.40006500000001</v>
      </c>
      <c r="P1311">
        <v>1</v>
      </c>
      <c r="Q1311" s="1" t="s">
        <v>562</v>
      </c>
      <c r="R1311" s="93">
        <v>45130.03</v>
      </c>
      <c r="S1311">
        <v>8349.06</v>
      </c>
      <c r="T1311">
        <v>0</v>
      </c>
      <c r="U1311" s="1" t="s">
        <v>796</v>
      </c>
      <c r="V1311" s="1"/>
      <c r="W1311">
        <v>41581.371570000003</v>
      </c>
      <c r="X1311">
        <v>0</v>
      </c>
      <c r="Y1311">
        <v>92672</v>
      </c>
    </row>
    <row r="1312" spans="1:25" ht="15" hidden="1" customHeight="1" x14ac:dyDescent="0.25">
      <c r="A1312" s="1" t="s">
        <v>29</v>
      </c>
      <c r="B1312" s="1" t="s">
        <v>64</v>
      </c>
      <c r="C1312" s="1" t="s">
        <v>147</v>
      </c>
      <c r="D1312">
        <v>13661</v>
      </c>
      <c r="E1312" s="1" t="s">
        <v>243</v>
      </c>
      <c r="F1312" s="1" t="s">
        <v>147</v>
      </c>
      <c r="G1312" s="1" t="s">
        <v>147</v>
      </c>
      <c r="H1312" s="1" t="s">
        <v>1405</v>
      </c>
      <c r="I1312">
        <v>2012</v>
      </c>
      <c r="J1312" s="93">
        <v>64573.02</v>
      </c>
      <c r="K1312">
        <v>3</v>
      </c>
      <c r="L1312" s="1" t="s">
        <v>422</v>
      </c>
      <c r="M1312">
        <v>0</v>
      </c>
      <c r="N1312">
        <v>307</v>
      </c>
      <c r="O1312">
        <v>210.267079</v>
      </c>
      <c r="P1312">
        <v>1</v>
      </c>
      <c r="Q1312" s="1" t="s">
        <v>562</v>
      </c>
      <c r="R1312" s="93">
        <v>72016.92</v>
      </c>
      <c r="S1312">
        <v>13323.14</v>
      </c>
      <c r="T1312">
        <v>0</v>
      </c>
      <c r="U1312" s="1" t="s">
        <v>796</v>
      </c>
      <c r="V1312" s="1"/>
      <c r="W1312">
        <v>64572.99134</v>
      </c>
      <c r="X1312">
        <v>0</v>
      </c>
      <c r="Y1312">
        <v>92672</v>
      </c>
    </row>
    <row r="1313" spans="1:25" ht="15" hidden="1" customHeight="1" x14ac:dyDescent="0.25">
      <c r="A1313" s="1" t="s">
        <v>29</v>
      </c>
      <c r="B1313" s="1" t="s">
        <v>64</v>
      </c>
      <c r="C1313" s="1" t="s">
        <v>147</v>
      </c>
      <c r="D1313">
        <v>13661</v>
      </c>
      <c r="E1313" s="1" t="s">
        <v>243</v>
      </c>
      <c r="F1313" s="1" t="s">
        <v>147</v>
      </c>
      <c r="G1313" s="1" t="s">
        <v>147</v>
      </c>
      <c r="H1313" s="1" t="s">
        <v>1405</v>
      </c>
      <c r="I1313">
        <v>2011</v>
      </c>
      <c r="J1313" s="93">
        <v>58616.27</v>
      </c>
      <c r="K1313">
        <v>2</v>
      </c>
      <c r="L1313" s="1" t="s">
        <v>422</v>
      </c>
      <c r="M1313">
        <v>0</v>
      </c>
      <c r="N1313">
        <v>307</v>
      </c>
      <c r="O1313">
        <v>190.87030200000001</v>
      </c>
      <c r="P1313">
        <v>1</v>
      </c>
      <c r="Q1313" s="1" t="s">
        <v>562</v>
      </c>
      <c r="R1313" s="93">
        <v>69207.149999999994</v>
      </c>
      <c r="S1313">
        <v>12803.31</v>
      </c>
      <c r="T1313">
        <v>0</v>
      </c>
      <c r="U1313" s="1" t="s">
        <v>796</v>
      </c>
      <c r="V1313" s="1"/>
      <c r="W1313">
        <v>58616.305890000003</v>
      </c>
      <c r="X1313">
        <v>0</v>
      </c>
      <c r="Y1313">
        <v>92672</v>
      </c>
    </row>
    <row r="1314" spans="1:25" ht="15" hidden="1" customHeight="1" x14ac:dyDescent="0.25">
      <c r="A1314" s="1" t="s">
        <v>29</v>
      </c>
      <c r="B1314" s="1" t="s">
        <v>64</v>
      </c>
      <c r="C1314" s="1" t="s">
        <v>147</v>
      </c>
      <c r="D1314">
        <v>13661</v>
      </c>
      <c r="E1314" s="1" t="s">
        <v>243</v>
      </c>
      <c r="F1314" s="1" t="s">
        <v>147</v>
      </c>
      <c r="G1314" s="1" t="s">
        <v>147</v>
      </c>
      <c r="H1314" s="1" t="s">
        <v>1405</v>
      </c>
      <c r="I1314">
        <v>2010</v>
      </c>
      <c r="J1314" s="93">
        <v>69108.960000000006</v>
      </c>
      <c r="K1314">
        <v>2</v>
      </c>
      <c r="L1314" s="1" t="s">
        <v>422</v>
      </c>
      <c r="M1314">
        <v>0</v>
      </c>
      <c r="N1314">
        <v>307</v>
      </c>
      <c r="O1314">
        <v>225.037316</v>
      </c>
      <c r="P1314">
        <v>1</v>
      </c>
      <c r="Q1314" s="1" t="s">
        <v>562</v>
      </c>
      <c r="R1314" s="93">
        <v>87977.59</v>
      </c>
      <c r="S1314">
        <v>16275.85</v>
      </c>
      <c r="T1314">
        <v>0</v>
      </c>
      <c r="U1314" s="1" t="s">
        <v>796</v>
      </c>
      <c r="V1314" s="1"/>
      <c r="W1314">
        <v>69108.95925</v>
      </c>
      <c r="X1314">
        <v>0</v>
      </c>
      <c r="Y1314">
        <v>92672</v>
      </c>
    </row>
    <row r="1315" spans="1:25" ht="15" hidden="1" customHeight="1" x14ac:dyDescent="0.25">
      <c r="A1315" s="1" t="s">
        <v>29</v>
      </c>
      <c r="B1315" s="1" t="s">
        <v>64</v>
      </c>
      <c r="C1315" s="1" t="s">
        <v>147</v>
      </c>
      <c r="D1315">
        <v>13661</v>
      </c>
      <c r="E1315" s="1" t="s">
        <v>243</v>
      </c>
      <c r="F1315" s="1" t="s">
        <v>147</v>
      </c>
      <c r="G1315" s="1" t="s">
        <v>147</v>
      </c>
      <c r="H1315" s="1" t="s">
        <v>1405</v>
      </c>
      <c r="I1315">
        <v>2009</v>
      </c>
      <c r="J1315" s="93">
        <v>72138.13</v>
      </c>
      <c r="K1315">
        <v>2</v>
      </c>
      <c r="L1315" s="1" t="s">
        <v>422</v>
      </c>
      <c r="M1315">
        <v>0</v>
      </c>
      <c r="N1315">
        <v>307</v>
      </c>
      <c r="O1315">
        <v>234.901107</v>
      </c>
      <c r="P1315">
        <v>1</v>
      </c>
      <c r="Q1315" s="1" t="s">
        <v>562</v>
      </c>
      <c r="R1315" s="93">
        <v>100768.21</v>
      </c>
      <c r="S1315">
        <v>18642.11</v>
      </c>
      <c r="T1315">
        <v>0</v>
      </c>
      <c r="U1315" s="1" t="s">
        <v>796</v>
      </c>
      <c r="V1315" s="1"/>
      <c r="W1315">
        <v>72138.122220000005</v>
      </c>
      <c r="X1315">
        <v>0</v>
      </c>
      <c r="Y1315">
        <v>92672</v>
      </c>
    </row>
    <row r="1316" spans="1:25" ht="15" hidden="1" customHeight="1" x14ac:dyDescent="0.25">
      <c r="A1316" s="1" t="s">
        <v>29</v>
      </c>
      <c r="B1316" s="1" t="s">
        <v>64</v>
      </c>
      <c r="C1316" s="1" t="s">
        <v>147</v>
      </c>
      <c r="D1316">
        <v>13661</v>
      </c>
      <c r="E1316" s="1" t="s">
        <v>243</v>
      </c>
      <c r="F1316" s="1" t="s">
        <v>147</v>
      </c>
      <c r="G1316" s="1" t="s">
        <v>147</v>
      </c>
      <c r="H1316" s="1" t="s">
        <v>1405</v>
      </c>
      <c r="I1316">
        <v>2008</v>
      </c>
      <c r="J1316" s="93">
        <v>74139.86</v>
      </c>
      <c r="K1316">
        <v>2</v>
      </c>
      <c r="L1316" s="1" t="s">
        <v>422</v>
      </c>
      <c r="M1316">
        <v>0</v>
      </c>
      <c r="N1316">
        <v>307</v>
      </c>
      <c r="O1316">
        <v>241.41927699999999</v>
      </c>
      <c r="P1316">
        <v>1</v>
      </c>
      <c r="Q1316" s="1" t="s">
        <v>562</v>
      </c>
      <c r="R1316" s="93">
        <v>94513.89</v>
      </c>
      <c r="S1316">
        <v>17485.060000000001</v>
      </c>
      <c r="T1316">
        <v>0</v>
      </c>
      <c r="U1316" s="1" t="s">
        <v>796</v>
      </c>
      <c r="V1316" s="1"/>
      <c r="W1316">
        <v>74139.856780000002</v>
      </c>
      <c r="X1316">
        <v>0</v>
      </c>
      <c r="Y1316">
        <v>92672</v>
      </c>
    </row>
    <row r="1317" spans="1:25" ht="15" hidden="1" customHeight="1" x14ac:dyDescent="0.25">
      <c r="A1317" s="1" t="s">
        <v>29</v>
      </c>
      <c r="B1317" s="1"/>
      <c r="C1317" s="1" t="s">
        <v>148</v>
      </c>
      <c r="D1317">
        <v>10206</v>
      </c>
      <c r="E1317" s="1"/>
      <c r="F1317" s="1" t="s">
        <v>281</v>
      </c>
      <c r="G1317" s="1" t="s">
        <v>148</v>
      </c>
      <c r="H1317" s="1" t="s">
        <v>1405</v>
      </c>
      <c r="I1317">
        <v>2015</v>
      </c>
      <c r="J1317" s="93">
        <v>61000</v>
      </c>
      <c r="K1317">
        <v>5</v>
      </c>
      <c r="L1317" s="1" t="s">
        <v>399</v>
      </c>
      <c r="M1317">
        <v>0</v>
      </c>
      <c r="N1317">
        <v>439</v>
      </c>
      <c r="O1317">
        <v>78.915030000000002</v>
      </c>
      <c r="P1317">
        <v>1</v>
      </c>
      <c r="Q1317" s="1" t="s">
        <v>564</v>
      </c>
      <c r="R1317" s="93">
        <v>69890</v>
      </c>
      <c r="S1317">
        <v>8246.77</v>
      </c>
      <c r="T1317">
        <v>0</v>
      </c>
      <c r="U1317" s="1" t="s">
        <v>797</v>
      </c>
      <c r="V1317" s="1" t="s">
        <v>1203</v>
      </c>
      <c r="W1317">
        <v>3208.48</v>
      </c>
      <c r="X1317">
        <v>0</v>
      </c>
      <c r="Y1317">
        <v>77398</v>
      </c>
    </row>
    <row r="1318" spans="1:25" ht="15" hidden="1" customHeight="1" x14ac:dyDescent="0.25">
      <c r="A1318" s="1" t="s">
        <v>29</v>
      </c>
      <c r="B1318" s="1"/>
      <c r="C1318" s="1" t="s">
        <v>148</v>
      </c>
      <c r="D1318">
        <v>10206</v>
      </c>
      <c r="E1318" s="1"/>
      <c r="F1318" s="1" t="s">
        <v>281</v>
      </c>
      <c r="G1318" s="1" t="s">
        <v>148</v>
      </c>
      <c r="H1318" s="1" t="s">
        <v>1405</v>
      </c>
      <c r="I1318">
        <v>2013</v>
      </c>
      <c r="J1318" s="93">
        <v>77204.56</v>
      </c>
      <c r="K1318">
        <v>12</v>
      </c>
      <c r="L1318" s="1" t="s">
        <v>399</v>
      </c>
      <c r="M1318">
        <v>0</v>
      </c>
      <c r="N1318">
        <v>439</v>
      </c>
      <c r="O1318">
        <v>175.82454999999999</v>
      </c>
      <c r="P1318">
        <v>1</v>
      </c>
      <c r="Q1318" s="1" t="s">
        <v>564</v>
      </c>
      <c r="R1318" s="93">
        <v>81978.86</v>
      </c>
      <c r="S1318">
        <v>17337.009999999998</v>
      </c>
      <c r="T1318">
        <v>0</v>
      </c>
      <c r="U1318" s="1" t="s">
        <v>797</v>
      </c>
      <c r="V1318" s="1" t="s">
        <v>1203</v>
      </c>
      <c r="W1318">
        <v>7148.57</v>
      </c>
      <c r="X1318">
        <v>0</v>
      </c>
      <c r="Y1318">
        <v>77398</v>
      </c>
    </row>
    <row r="1319" spans="1:25" ht="15" hidden="1" customHeight="1" x14ac:dyDescent="0.25">
      <c r="A1319" s="1" t="s">
        <v>29</v>
      </c>
      <c r="B1319" s="1"/>
      <c r="C1319" s="1" t="s">
        <v>148</v>
      </c>
      <c r="D1319">
        <v>10206</v>
      </c>
      <c r="E1319" s="1"/>
      <c r="F1319" s="1" t="s">
        <v>281</v>
      </c>
      <c r="G1319" s="1" t="s">
        <v>148</v>
      </c>
      <c r="H1319" s="1" t="s">
        <v>1405</v>
      </c>
      <c r="I1319">
        <v>2012</v>
      </c>
      <c r="J1319" s="93">
        <v>80447.460000000006</v>
      </c>
      <c r="K1319">
        <v>12</v>
      </c>
      <c r="L1319" s="1" t="s">
        <v>399</v>
      </c>
      <c r="M1319">
        <v>0</v>
      </c>
      <c r="N1319">
        <v>439</v>
      </c>
      <c r="O1319">
        <v>183.20988299999999</v>
      </c>
      <c r="P1319">
        <v>1</v>
      </c>
      <c r="Q1319" s="1" t="s">
        <v>564</v>
      </c>
      <c r="R1319" s="93">
        <v>84209.24</v>
      </c>
      <c r="S1319">
        <v>17808.7</v>
      </c>
      <c r="T1319">
        <v>0</v>
      </c>
      <c r="U1319" s="1" t="s">
        <v>797</v>
      </c>
      <c r="V1319" s="1" t="s">
        <v>1203</v>
      </c>
      <c r="W1319">
        <v>7448.84</v>
      </c>
      <c r="X1319">
        <v>0</v>
      </c>
      <c r="Y1319">
        <v>77398</v>
      </c>
    </row>
    <row r="1320" spans="1:25" ht="15" hidden="1" customHeight="1" x14ac:dyDescent="0.25">
      <c r="A1320" s="1" t="s">
        <v>29</v>
      </c>
      <c r="B1320" s="1"/>
      <c r="C1320" s="1" t="s">
        <v>148</v>
      </c>
      <c r="D1320">
        <v>10206</v>
      </c>
      <c r="E1320" s="1"/>
      <c r="F1320" s="1" t="s">
        <v>281</v>
      </c>
      <c r="G1320" s="1" t="s">
        <v>148</v>
      </c>
      <c r="H1320" s="1" t="s">
        <v>1405</v>
      </c>
      <c r="I1320">
        <v>2011</v>
      </c>
      <c r="J1320" s="93">
        <v>59393.2</v>
      </c>
      <c r="K1320">
        <v>7</v>
      </c>
      <c r="L1320" s="1" t="s">
        <v>399</v>
      </c>
      <c r="M1320">
        <v>0</v>
      </c>
      <c r="N1320">
        <v>439</v>
      </c>
      <c r="O1320">
        <v>135.26121599999999</v>
      </c>
      <c r="P1320">
        <v>1</v>
      </c>
      <c r="Q1320" s="1" t="s">
        <v>564</v>
      </c>
      <c r="R1320" s="93">
        <v>67610.149999999994</v>
      </c>
      <c r="S1320">
        <v>14298.3</v>
      </c>
      <c r="T1320">
        <v>0</v>
      </c>
      <c r="U1320" s="1" t="s">
        <v>797</v>
      </c>
      <c r="V1320" s="1" t="s">
        <v>1203</v>
      </c>
      <c r="W1320">
        <v>5499.3693400000002</v>
      </c>
      <c r="X1320">
        <v>0</v>
      </c>
      <c r="Y1320">
        <v>77398</v>
      </c>
    </row>
    <row r="1321" spans="1:25" ht="15" hidden="1" customHeight="1" x14ac:dyDescent="0.25">
      <c r="A1321" s="1" t="s">
        <v>29</v>
      </c>
      <c r="B1321" s="1"/>
      <c r="C1321" s="1" t="s">
        <v>148</v>
      </c>
      <c r="D1321">
        <v>10206</v>
      </c>
      <c r="E1321" s="1"/>
      <c r="F1321" s="1" t="s">
        <v>281</v>
      </c>
      <c r="G1321" s="1" t="s">
        <v>148</v>
      </c>
      <c r="H1321" s="1" t="s">
        <v>1405</v>
      </c>
      <c r="I1321">
        <v>2010</v>
      </c>
      <c r="J1321" s="93">
        <v>86211.97</v>
      </c>
      <c r="K1321">
        <v>3</v>
      </c>
      <c r="L1321" s="1" t="s">
        <v>399</v>
      </c>
      <c r="M1321">
        <v>0</v>
      </c>
      <c r="N1321">
        <v>439</v>
      </c>
      <c r="O1321">
        <v>196.337895</v>
      </c>
      <c r="P1321">
        <v>1</v>
      </c>
      <c r="Q1321" s="1" t="s">
        <v>564</v>
      </c>
      <c r="R1321" s="93">
        <v>111287.41</v>
      </c>
      <c r="S1321">
        <v>23535.21</v>
      </c>
      <c r="T1321">
        <v>0</v>
      </c>
      <c r="U1321" s="1" t="s">
        <v>797</v>
      </c>
      <c r="V1321" s="1" t="s">
        <v>1203</v>
      </c>
      <c r="W1321">
        <v>7982.5901000000003</v>
      </c>
      <c r="X1321">
        <v>0</v>
      </c>
      <c r="Y1321">
        <v>77398</v>
      </c>
    </row>
    <row r="1322" spans="1:25" ht="15" hidden="1" customHeight="1" x14ac:dyDescent="0.25">
      <c r="A1322" s="1" t="s">
        <v>29</v>
      </c>
      <c r="B1322" s="1"/>
      <c r="C1322" s="1" t="s">
        <v>148</v>
      </c>
      <c r="D1322">
        <v>10206</v>
      </c>
      <c r="E1322" s="1"/>
      <c r="F1322" s="1" t="s">
        <v>281</v>
      </c>
      <c r="G1322" s="1" t="s">
        <v>148</v>
      </c>
      <c r="H1322" s="1" t="s">
        <v>1405</v>
      </c>
      <c r="I1322">
        <v>2009</v>
      </c>
      <c r="J1322" s="93">
        <v>77180.44</v>
      </c>
      <c r="K1322">
        <v>4</v>
      </c>
      <c r="L1322" s="1" t="s">
        <v>399</v>
      </c>
      <c r="M1322">
        <v>0</v>
      </c>
      <c r="N1322">
        <v>439</v>
      </c>
      <c r="O1322">
        <v>175.76961900000001</v>
      </c>
      <c r="P1322">
        <v>1</v>
      </c>
      <c r="Q1322" s="1" t="s">
        <v>564</v>
      </c>
      <c r="R1322" s="93">
        <v>96053.1</v>
      </c>
      <c r="S1322">
        <v>20313.45</v>
      </c>
      <c r="T1322">
        <v>0</v>
      </c>
      <c r="U1322" s="1" t="s">
        <v>797</v>
      </c>
      <c r="V1322" s="1" t="s">
        <v>1203</v>
      </c>
      <c r="W1322">
        <v>7146.3372300000001</v>
      </c>
      <c r="X1322">
        <v>0</v>
      </c>
      <c r="Y1322">
        <v>77398</v>
      </c>
    </row>
    <row r="1323" spans="1:25" ht="15" hidden="1" customHeight="1" x14ac:dyDescent="0.25">
      <c r="A1323" s="1" t="s">
        <v>29</v>
      </c>
      <c r="B1323" s="1"/>
      <c r="C1323" s="1" t="s">
        <v>148</v>
      </c>
      <c r="D1323">
        <v>10206</v>
      </c>
      <c r="E1323" s="1"/>
      <c r="F1323" s="1" t="s">
        <v>281</v>
      </c>
      <c r="G1323" s="1" t="s">
        <v>148</v>
      </c>
      <c r="H1323" s="1" t="s">
        <v>1405</v>
      </c>
      <c r="I1323">
        <v>2008</v>
      </c>
      <c r="J1323" s="93">
        <v>73810.399999999994</v>
      </c>
      <c r="K1323">
        <v>4</v>
      </c>
      <c r="L1323" s="1" t="s">
        <v>399</v>
      </c>
      <c r="M1323">
        <v>0</v>
      </c>
      <c r="N1323">
        <v>439</v>
      </c>
      <c r="O1323">
        <v>168.094739</v>
      </c>
      <c r="P1323">
        <v>1</v>
      </c>
      <c r="Q1323" s="1" t="s">
        <v>564</v>
      </c>
      <c r="R1323" s="93">
        <v>86010.38</v>
      </c>
      <c r="S1323">
        <v>18189.59</v>
      </c>
      <c r="T1323">
        <v>0</v>
      </c>
      <c r="U1323" s="1" t="s">
        <v>797</v>
      </c>
      <c r="V1323" s="1" t="s">
        <v>1203</v>
      </c>
      <c r="W1323">
        <v>6834.2966900000001</v>
      </c>
      <c r="X1323">
        <v>0</v>
      </c>
      <c r="Y1323">
        <v>77398</v>
      </c>
    </row>
    <row r="1324" spans="1:25" ht="15" hidden="1" customHeight="1" x14ac:dyDescent="0.25">
      <c r="A1324" s="1" t="s">
        <v>29</v>
      </c>
      <c r="B1324" s="1" t="s">
        <v>64</v>
      </c>
      <c r="C1324" s="1" t="s">
        <v>147</v>
      </c>
      <c r="D1324">
        <v>13661</v>
      </c>
      <c r="E1324" s="1" t="s">
        <v>243</v>
      </c>
      <c r="F1324" s="1" t="s">
        <v>147</v>
      </c>
      <c r="G1324" s="1" t="s">
        <v>147</v>
      </c>
      <c r="H1324" s="1" t="s">
        <v>1405</v>
      </c>
      <c r="I1324">
        <v>2014</v>
      </c>
      <c r="J1324" s="93">
        <v>5.21</v>
      </c>
      <c r="K1324">
        <v>12</v>
      </c>
      <c r="L1324" s="1" t="s">
        <v>422</v>
      </c>
      <c r="M1324">
        <v>0</v>
      </c>
      <c r="N1324">
        <v>307</v>
      </c>
      <c r="O1324">
        <v>1.6965000000000001E-2</v>
      </c>
      <c r="P1324">
        <v>3</v>
      </c>
      <c r="Q1324" s="1" t="s">
        <v>560</v>
      </c>
      <c r="R1324" s="93">
        <v>5.21</v>
      </c>
      <c r="S1324">
        <v>4.16</v>
      </c>
      <c r="T1324">
        <v>0</v>
      </c>
      <c r="U1324" s="1"/>
      <c r="V1324" s="1"/>
      <c r="W1324">
        <v>5.2039999999999997</v>
      </c>
      <c r="X1324">
        <v>0</v>
      </c>
      <c r="Y1324">
        <v>91250</v>
      </c>
    </row>
    <row r="1325" spans="1:25" ht="15" hidden="1" customHeight="1" x14ac:dyDescent="0.25">
      <c r="A1325" s="1" t="s">
        <v>29</v>
      </c>
      <c r="B1325" s="1" t="s">
        <v>64</v>
      </c>
      <c r="C1325" s="1" t="s">
        <v>147</v>
      </c>
      <c r="D1325">
        <v>13661</v>
      </c>
      <c r="E1325" s="1" t="s">
        <v>243</v>
      </c>
      <c r="F1325" s="1" t="s">
        <v>147</v>
      </c>
      <c r="G1325" s="1" t="s">
        <v>147</v>
      </c>
      <c r="H1325" s="1" t="s">
        <v>1405</v>
      </c>
      <c r="I1325">
        <v>2014</v>
      </c>
      <c r="J1325" s="93">
        <v>32376.06</v>
      </c>
      <c r="K1325">
        <v>12</v>
      </c>
      <c r="L1325" s="1" t="s">
        <v>422</v>
      </c>
      <c r="M1325">
        <v>0</v>
      </c>
      <c r="N1325">
        <v>307</v>
      </c>
      <c r="O1325">
        <v>105.425138</v>
      </c>
      <c r="P1325">
        <v>1</v>
      </c>
      <c r="Q1325" s="1" t="s">
        <v>562</v>
      </c>
      <c r="R1325" s="93">
        <v>38775.54</v>
      </c>
      <c r="S1325">
        <v>2307384.66</v>
      </c>
      <c r="T1325">
        <v>0</v>
      </c>
      <c r="U1325" s="1" t="s">
        <v>796</v>
      </c>
      <c r="V1325" s="1"/>
      <c r="W1325">
        <v>32376.058000000001</v>
      </c>
      <c r="X1325">
        <v>0</v>
      </c>
      <c r="Y1325">
        <v>92672</v>
      </c>
    </row>
    <row r="1326" spans="1:25" ht="15" hidden="1" customHeight="1" x14ac:dyDescent="0.25">
      <c r="A1326" s="1" t="s">
        <v>29</v>
      </c>
      <c r="B1326" s="1"/>
      <c r="C1326" s="1" t="s">
        <v>145</v>
      </c>
      <c r="D1326">
        <v>11351</v>
      </c>
      <c r="E1326" s="1" t="s">
        <v>243</v>
      </c>
      <c r="F1326" s="1" t="s">
        <v>280</v>
      </c>
      <c r="G1326" s="1" t="s">
        <v>145</v>
      </c>
      <c r="H1326" s="1" t="s">
        <v>1405</v>
      </c>
      <c r="I1326">
        <v>2013</v>
      </c>
      <c r="J1326" s="93">
        <v>19167.32</v>
      </c>
      <c r="K1326">
        <v>12</v>
      </c>
      <c r="L1326" s="1" t="s">
        <v>399</v>
      </c>
      <c r="M1326">
        <v>0</v>
      </c>
      <c r="N1326">
        <v>867</v>
      </c>
      <c r="O1326">
        <v>22.105084999999999</v>
      </c>
      <c r="P1326">
        <v>2</v>
      </c>
      <c r="Q1326" s="1" t="s">
        <v>569</v>
      </c>
      <c r="R1326" s="93">
        <v>19167.32</v>
      </c>
      <c r="S1326">
        <v>5750.2</v>
      </c>
      <c r="T1326">
        <v>0</v>
      </c>
      <c r="U1326" s="1" t="s">
        <v>997</v>
      </c>
      <c r="V1326" s="1"/>
      <c r="W1326">
        <v>19167.310000000001</v>
      </c>
      <c r="X1326">
        <v>0</v>
      </c>
      <c r="Y1326">
        <v>80895</v>
      </c>
    </row>
    <row r="1327" spans="1:25" ht="15" hidden="1" customHeight="1" x14ac:dyDescent="0.25">
      <c r="A1327" s="1" t="s">
        <v>29</v>
      </c>
      <c r="B1327" s="1"/>
      <c r="C1327" s="1" t="s">
        <v>146</v>
      </c>
      <c r="D1327">
        <v>10205</v>
      </c>
      <c r="E1327" s="1"/>
      <c r="F1327" s="1" t="s">
        <v>146</v>
      </c>
      <c r="G1327" s="1" t="s">
        <v>146</v>
      </c>
      <c r="H1327" s="1" t="s">
        <v>1405</v>
      </c>
      <c r="I1327">
        <v>2014</v>
      </c>
      <c r="J1327" s="93">
        <v>49753.98</v>
      </c>
      <c r="K1327">
        <v>12</v>
      </c>
      <c r="L1327" s="1" t="s">
        <v>422</v>
      </c>
      <c r="M1327">
        <v>0</v>
      </c>
      <c r="N1327">
        <v>314</v>
      </c>
      <c r="O1327">
        <v>158.40171900000001</v>
      </c>
      <c r="P1327">
        <v>1</v>
      </c>
      <c r="Q1327" s="1" t="s">
        <v>564</v>
      </c>
      <c r="R1327" s="93">
        <v>59526.17</v>
      </c>
      <c r="S1327">
        <v>12588.69</v>
      </c>
      <c r="T1327">
        <v>0</v>
      </c>
      <c r="U1327" s="1" t="s">
        <v>795</v>
      </c>
      <c r="V1327" s="1" t="s">
        <v>1202</v>
      </c>
      <c r="W1327">
        <v>4606.8490000000002</v>
      </c>
      <c r="X1327">
        <v>0</v>
      </c>
      <c r="Y1327">
        <v>77392</v>
      </c>
    </row>
    <row r="1328" spans="1:25" ht="15" hidden="1" customHeight="1" x14ac:dyDescent="0.25">
      <c r="A1328" s="1" t="s">
        <v>29</v>
      </c>
      <c r="B1328" s="1"/>
      <c r="C1328" s="1" t="s">
        <v>148</v>
      </c>
      <c r="D1328">
        <v>10206</v>
      </c>
      <c r="E1328" s="1"/>
      <c r="F1328" s="1" t="s">
        <v>281</v>
      </c>
      <c r="G1328" s="1" t="s">
        <v>148</v>
      </c>
      <c r="H1328" s="1" t="s">
        <v>1405</v>
      </c>
      <c r="I1328">
        <v>2014</v>
      </c>
      <c r="J1328" s="93">
        <v>99.72</v>
      </c>
      <c r="K1328">
        <v>12</v>
      </c>
      <c r="L1328" s="1" t="s">
        <v>423</v>
      </c>
      <c r="M1328">
        <v>0</v>
      </c>
      <c r="N1328">
        <v>439</v>
      </c>
      <c r="O1328">
        <v>0.2271</v>
      </c>
      <c r="P1328">
        <v>3</v>
      </c>
      <c r="Q1328" s="1" t="s">
        <v>560</v>
      </c>
      <c r="R1328" s="93">
        <v>99.72</v>
      </c>
      <c r="S1328">
        <v>79.77</v>
      </c>
      <c r="T1328">
        <v>0</v>
      </c>
      <c r="U1328" s="1" t="s">
        <v>618</v>
      </c>
      <c r="V1328" s="1"/>
      <c r="W1328">
        <v>99.710999999999999</v>
      </c>
      <c r="X1328">
        <v>0</v>
      </c>
      <c r="Y1328">
        <v>77394</v>
      </c>
    </row>
    <row r="1329" spans="1:25" ht="15" hidden="1" customHeight="1" x14ac:dyDescent="0.25">
      <c r="A1329" s="1" t="s">
        <v>29</v>
      </c>
      <c r="B1329" s="1"/>
      <c r="C1329" s="1" t="s">
        <v>148</v>
      </c>
      <c r="D1329">
        <v>10206</v>
      </c>
      <c r="E1329" s="1"/>
      <c r="F1329" s="1" t="s">
        <v>281</v>
      </c>
      <c r="G1329" s="1" t="s">
        <v>148</v>
      </c>
      <c r="H1329" s="1" t="s">
        <v>1405</v>
      </c>
      <c r="I1329">
        <v>2014</v>
      </c>
      <c r="J1329" s="93">
        <v>23.71</v>
      </c>
      <c r="K1329">
        <v>2</v>
      </c>
      <c r="L1329" s="1" t="s">
        <v>424</v>
      </c>
      <c r="M1329">
        <v>0</v>
      </c>
      <c r="N1329">
        <v>439</v>
      </c>
      <c r="O1329">
        <v>5.3996000000000002E-2</v>
      </c>
      <c r="P1329">
        <v>3</v>
      </c>
      <c r="Q1329" s="1" t="s">
        <v>560</v>
      </c>
      <c r="R1329" s="93">
        <v>23.71</v>
      </c>
      <c r="S1329">
        <v>18.98</v>
      </c>
      <c r="T1329">
        <v>0</v>
      </c>
      <c r="U1329" s="1" t="s">
        <v>619</v>
      </c>
      <c r="V1329" s="1"/>
      <c r="W1329">
        <v>23.726030000000002</v>
      </c>
      <c r="X1329">
        <v>0</v>
      </c>
      <c r="Y1329">
        <v>93708</v>
      </c>
    </row>
    <row r="1330" spans="1:25" ht="15" hidden="1" customHeight="1" x14ac:dyDescent="0.25">
      <c r="A1330" s="1" t="s">
        <v>29</v>
      </c>
      <c r="B1330" s="1"/>
      <c r="C1330" s="1" t="s">
        <v>145</v>
      </c>
      <c r="D1330">
        <v>11351</v>
      </c>
      <c r="E1330" s="1" t="s">
        <v>243</v>
      </c>
      <c r="F1330" s="1" t="s">
        <v>280</v>
      </c>
      <c r="G1330" s="1" t="s">
        <v>145</v>
      </c>
      <c r="H1330" s="1" t="s">
        <v>1405</v>
      </c>
      <c r="I1330">
        <v>2013</v>
      </c>
      <c r="J1330" s="93">
        <v>165.53</v>
      </c>
      <c r="K1330">
        <v>12</v>
      </c>
      <c r="L1330" s="1" t="s">
        <v>399</v>
      </c>
      <c r="M1330">
        <v>0</v>
      </c>
      <c r="N1330">
        <v>867</v>
      </c>
      <c r="O1330">
        <v>0.19089999999999999</v>
      </c>
      <c r="P1330">
        <v>2</v>
      </c>
      <c r="Q1330" s="1" t="s">
        <v>569</v>
      </c>
      <c r="R1330" s="93">
        <v>165.53</v>
      </c>
      <c r="S1330">
        <v>49.66</v>
      </c>
      <c r="T1330">
        <v>0</v>
      </c>
      <c r="U1330" s="1" t="s">
        <v>998</v>
      </c>
      <c r="V1330" s="1" t="s">
        <v>1280</v>
      </c>
      <c r="W1330">
        <v>165.52699999999999</v>
      </c>
      <c r="X1330">
        <v>0</v>
      </c>
      <c r="Y1330">
        <v>80929</v>
      </c>
    </row>
    <row r="1331" spans="1:25" ht="15" hidden="1" customHeight="1" x14ac:dyDescent="0.25">
      <c r="A1331" s="1" t="s">
        <v>29</v>
      </c>
      <c r="B1331" s="1"/>
      <c r="C1331" s="1" t="s">
        <v>146</v>
      </c>
      <c r="D1331">
        <v>10205</v>
      </c>
      <c r="E1331" s="1"/>
      <c r="F1331" s="1" t="s">
        <v>146</v>
      </c>
      <c r="G1331" s="1" t="s">
        <v>146</v>
      </c>
      <c r="H1331" s="1" t="s">
        <v>1405</v>
      </c>
      <c r="I1331">
        <v>2014</v>
      </c>
      <c r="J1331" s="93">
        <v>3360.33</v>
      </c>
      <c r="K1331">
        <v>12</v>
      </c>
      <c r="L1331" s="1" t="s">
        <v>435</v>
      </c>
      <c r="M1331">
        <v>0</v>
      </c>
      <c r="N1331">
        <v>314</v>
      </c>
      <c r="O1331">
        <v>10.69828</v>
      </c>
      <c r="P1331">
        <v>2</v>
      </c>
      <c r="Q1331" s="1" t="s">
        <v>569</v>
      </c>
      <c r="R1331" s="93">
        <v>3360.33</v>
      </c>
      <c r="S1331">
        <v>7674.98</v>
      </c>
      <c r="T1331">
        <v>0</v>
      </c>
      <c r="U1331" s="1" t="s">
        <v>999</v>
      </c>
      <c r="V1331" s="1" t="s">
        <v>1281</v>
      </c>
      <c r="W1331">
        <v>3360.3220000000001</v>
      </c>
      <c r="X1331">
        <v>0</v>
      </c>
      <c r="Y1331">
        <v>77390</v>
      </c>
    </row>
    <row r="1332" spans="1:25" ht="15" hidden="1" customHeight="1" x14ac:dyDescent="0.25">
      <c r="A1332" s="1" t="s">
        <v>29</v>
      </c>
      <c r="B1332" s="1"/>
      <c r="C1332" s="1" t="s">
        <v>149</v>
      </c>
      <c r="D1332">
        <v>14003</v>
      </c>
      <c r="E1332" s="1" t="s">
        <v>243</v>
      </c>
      <c r="F1332" s="1" t="s">
        <v>282</v>
      </c>
      <c r="G1332" s="1" t="s">
        <v>149</v>
      </c>
      <c r="H1332" s="1" t="s">
        <v>1405</v>
      </c>
      <c r="I1332">
        <v>2014</v>
      </c>
      <c r="J1332" s="93">
        <v>144.37</v>
      </c>
      <c r="K1332">
        <v>4</v>
      </c>
      <c r="L1332" s="1" t="s">
        <v>425</v>
      </c>
      <c r="M1332">
        <v>0</v>
      </c>
      <c r="N1332">
        <v>50</v>
      </c>
      <c r="O1332">
        <v>2.8816359999999999</v>
      </c>
      <c r="P1332">
        <v>3</v>
      </c>
      <c r="Q1332" s="1" t="s">
        <v>560</v>
      </c>
      <c r="R1332" s="93">
        <v>144.37</v>
      </c>
      <c r="S1332">
        <v>115.49</v>
      </c>
      <c r="T1332">
        <v>0</v>
      </c>
      <c r="U1332" s="1" t="s">
        <v>620</v>
      </c>
      <c r="V1332" s="1"/>
      <c r="W1332">
        <v>144.36741000000001</v>
      </c>
      <c r="X1332">
        <v>0</v>
      </c>
      <c r="Y1332">
        <v>93000</v>
      </c>
    </row>
    <row r="1333" spans="1:25" ht="15" hidden="1" customHeight="1" x14ac:dyDescent="0.25">
      <c r="A1333" s="1" t="s">
        <v>29</v>
      </c>
      <c r="B1333" s="1"/>
      <c r="C1333" s="1" t="s">
        <v>146</v>
      </c>
      <c r="D1333">
        <v>10205</v>
      </c>
      <c r="E1333" s="1"/>
      <c r="F1333" s="1" t="s">
        <v>146</v>
      </c>
      <c r="G1333" s="1" t="s">
        <v>146</v>
      </c>
      <c r="H1333" s="1" t="s">
        <v>1405</v>
      </c>
      <c r="I1333">
        <v>2013</v>
      </c>
      <c r="J1333" s="93">
        <v>3892.39</v>
      </c>
      <c r="K1333">
        <v>10</v>
      </c>
      <c r="L1333" s="1" t="s">
        <v>435</v>
      </c>
      <c r="M1333">
        <v>0</v>
      </c>
      <c r="N1333">
        <v>314</v>
      </c>
      <c r="O1333">
        <v>12.392199</v>
      </c>
      <c r="P1333">
        <v>2</v>
      </c>
      <c r="Q1333" s="1" t="s">
        <v>569</v>
      </c>
      <c r="R1333" s="93">
        <v>3892.39</v>
      </c>
      <c r="S1333">
        <v>8890.2099999999991</v>
      </c>
      <c r="T1333">
        <v>0</v>
      </c>
      <c r="U1333" s="1" t="s">
        <v>999</v>
      </c>
      <c r="V1333" s="1" t="s">
        <v>1281</v>
      </c>
      <c r="W1333">
        <v>3892.3950399999999</v>
      </c>
      <c r="X1333">
        <v>0</v>
      </c>
      <c r="Y1333">
        <v>77390</v>
      </c>
    </row>
    <row r="1334" spans="1:25" ht="15" customHeight="1" x14ac:dyDescent="0.25">
      <c r="A1334" s="1" t="s">
        <v>29</v>
      </c>
      <c r="B1334" s="1"/>
      <c r="C1334" s="1" t="s">
        <v>144</v>
      </c>
      <c r="D1334">
        <v>10256</v>
      </c>
      <c r="E1334" s="1"/>
      <c r="F1334" s="1" t="s">
        <v>144</v>
      </c>
      <c r="G1334" s="1" t="s">
        <v>144</v>
      </c>
      <c r="H1334" s="1" t="s">
        <v>1405</v>
      </c>
      <c r="I1334">
        <v>2015</v>
      </c>
      <c r="J1334" s="93">
        <v>7486</v>
      </c>
      <c r="K1334">
        <v>3</v>
      </c>
      <c r="L1334" s="1" t="s">
        <v>421</v>
      </c>
      <c r="M1334">
        <v>0</v>
      </c>
      <c r="N1334">
        <v>381</v>
      </c>
      <c r="O1334">
        <v>7.7723950000000004</v>
      </c>
      <c r="P1334">
        <v>2</v>
      </c>
      <c r="Q1334" s="1" t="s">
        <v>569</v>
      </c>
      <c r="R1334" s="93">
        <v>2962.06</v>
      </c>
      <c r="S1334">
        <v>888.61</v>
      </c>
      <c r="T1334">
        <v>0</v>
      </c>
      <c r="U1334" s="1" t="s">
        <v>996</v>
      </c>
      <c r="V1334" s="1" t="s">
        <v>1279</v>
      </c>
      <c r="W1334">
        <v>2962.0638300000001</v>
      </c>
      <c r="X1334">
        <v>0</v>
      </c>
      <c r="Y1334">
        <v>77568</v>
      </c>
    </row>
    <row r="1335" spans="1:25" ht="15" hidden="1" customHeight="1" x14ac:dyDescent="0.25">
      <c r="A1335" s="1" t="s">
        <v>29</v>
      </c>
      <c r="B1335" s="1" t="s">
        <v>64</v>
      </c>
      <c r="C1335" s="1" t="s">
        <v>147</v>
      </c>
      <c r="D1335">
        <v>13661</v>
      </c>
      <c r="E1335" s="1" t="s">
        <v>243</v>
      </c>
      <c r="F1335" s="1" t="s">
        <v>147</v>
      </c>
      <c r="G1335" s="1" t="s">
        <v>147</v>
      </c>
      <c r="H1335" s="1" t="s">
        <v>1405</v>
      </c>
      <c r="I1335">
        <v>2014</v>
      </c>
      <c r="J1335" s="93">
        <v>1001.13</v>
      </c>
      <c r="K1335">
        <v>12</v>
      </c>
      <c r="L1335" s="1" t="s">
        <v>435</v>
      </c>
      <c r="M1335">
        <v>0</v>
      </c>
      <c r="N1335">
        <v>307</v>
      </c>
      <c r="O1335">
        <v>3.2599469999999999</v>
      </c>
      <c r="P1335">
        <v>2</v>
      </c>
      <c r="Q1335" s="1" t="s">
        <v>569</v>
      </c>
      <c r="R1335" s="93">
        <v>1001.13</v>
      </c>
      <c r="S1335">
        <v>300.33999999999997</v>
      </c>
      <c r="T1335">
        <v>0</v>
      </c>
      <c r="U1335" s="1" t="s">
        <v>1000</v>
      </c>
      <c r="V1335" s="1" t="s">
        <v>1282</v>
      </c>
      <c r="W1335">
        <v>1001.11536</v>
      </c>
      <c r="X1335">
        <v>0</v>
      </c>
      <c r="Y1335">
        <v>91249</v>
      </c>
    </row>
    <row r="1336" spans="1:25" ht="15" hidden="1" customHeight="1" x14ac:dyDescent="0.25">
      <c r="A1336" s="1" t="s">
        <v>29</v>
      </c>
      <c r="B1336" s="1"/>
      <c r="C1336" s="1" t="s">
        <v>144</v>
      </c>
      <c r="D1336">
        <v>10256</v>
      </c>
      <c r="E1336" s="1"/>
      <c r="F1336" s="1" t="s">
        <v>144</v>
      </c>
      <c r="G1336" s="1" t="s">
        <v>144</v>
      </c>
      <c r="H1336" s="1" t="s">
        <v>1405</v>
      </c>
      <c r="I1336">
        <v>2012</v>
      </c>
      <c r="J1336" s="93">
        <v>10335.81</v>
      </c>
      <c r="K1336">
        <v>12</v>
      </c>
      <c r="L1336" s="1" t="s">
        <v>421</v>
      </c>
      <c r="M1336">
        <v>0</v>
      </c>
      <c r="N1336">
        <v>381</v>
      </c>
      <c r="O1336">
        <v>27.120991</v>
      </c>
      <c r="P1336">
        <v>2</v>
      </c>
      <c r="Q1336" s="1" t="s">
        <v>569</v>
      </c>
      <c r="R1336" s="93">
        <v>10335.81</v>
      </c>
      <c r="S1336">
        <v>4134.3100000000004</v>
      </c>
      <c r="T1336">
        <v>0</v>
      </c>
      <c r="U1336" s="1" t="s">
        <v>996</v>
      </c>
      <c r="V1336" s="1" t="s">
        <v>1279</v>
      </c>
      <c r="W1336">
        <v>10335.82026</v>
      </c>
      <c r="X1336">
        <v>0</v>
      </c>
      <c r="Y1336">
        <v>77568</v>
      </c>
    </row>
    <row r="1337" spans="1:25" ht="15" hidden="1" customHeight="1" x14ac:dyDescent="0.25">
      <c r="A1337" s="1" t="s">
        <v>29</v>
      </c>
      <c r="B1337" s="1"/>
      <c r="C1337" s="1" t="s">
        <v>144</v>
      </c>
      <c r="D1337">
        <v>10256</v>
      </c>
      <c r="E1337" s="1"/>
      <c r="F1337" s="1" t="s">
        <v>144</v>
      </c>
      <c r="G1337" s="1" t="s">
        <v>144</v>
      </c>
      <c r="H1337" s="1" t="s">
        <v>1405</v>
      </c>
      <c r="I1337">
        <v>2011</v>
      </c>
      <c r="J1337" s="93">
        <v>9648.67</v>
      </c>
      <c r="K1337">
        <v>8</v>
      </c>
      <c r="L1337" s="1" t="s">
        <v>421</v>
      </c>
      <c r="M1337">
        <v>0</v>
      </c>
      <c r="N1337">
        <v>381</v>
      </c>
      <c r="O1337">
        <v>25.317948000000001</v>
      </c>
      <c r="P1337">
        <v>2</v>
      </c>
      <c r="Q1337" s="1" t="s">
        <v>569</v>
      </c>
      <c r="R1337" s="93">
        <v>9648.67</v>
      </c>
      <c r="S1337">
        <v>4525.2299999999996</v>
      </c>
      <c r="T1337">
        <v>0</v>
      </c>
      <c r="U1337" s="1" t="s">
        <v>996</v>
      </c>
      <c r="V1337" s="1" t="s">
        <v>1279</v>
      </c>
      <c r="W1337">
        <v>9648.6753200000003</v>
      </c>
      <c r="X1337">
        <v>0</v>
      </c>
      <c r="Y1337">
        <v>77568</v>
      </c>
    </row>
    <row r="1338" spans="1:25" ht="15" hidden="1" customHeight="1" x14ac:dyDescent="0.25">
      <c r="A1338" s="1" t="s">
        <v>29</v>
      </c>
      <c r="B1338" s="1"/>
      <c r="C1338" s="1" t="s">
        <v>144</v>
      </c>
      <c r="D1338">
        <v>10256</v>
      </c>
      <c r="E1338" s="1"/>
      <c r="F1338" s="1" t="s">
        <v>144</v>
      </c>
      <c r="G1338" s="1" t="s">
        <v>144</v>
      </c>
      <c r="H1338" s="1" t="s">
        <v>1405</v>
      </c>
      <c r="I1338">
        <v>2010</v>
      </c>
      <c r="J1338" s="93">
        <v>6776.58</v>
      </c>
      <c r="K1338">
        <v>12</v>
      </c>
      <c r="L1338" s="1" t="s">
        <v>421</v>
      </c>
      <c r="M1338">
        <v>0</v>
      </c>
      <c r="N1338">
        <v>381</v>
      </c>
      <c r="O1338">
        <v>17.781631999999998</v>
      </c>
      <c r="P1338">
        <v>2</v>
      </c>
      <c r="Q1338" s="1" t="s">
        <v>569</v>
      </c>
      <c r="R1338" s="93">
        <v>6776.58</v>
      </c>
      <c r="S1338">
        <v>3178.21</v>
      </c>
      <c r="T1338">
        <v>0</v>
      </c>
      <c r="U1338" s="1" t="s">
        <v>996</v>
      </c>
      <c r="V1338" s="1" t="s">
        <v>1279</v>
      </c>
      <c r="W1338">
        <v>6776.5818200000003</v>
      </c>
      <c r="X1338">
        <v>0</v>
      </c>
      <c r="Y1338">
        <v>77568</v>
      </c>
    </row>
    <row r="1339" spans="1:25" ht="15" hidden="1" customHeight="1" x14ac:dyDescent="0.25">
      <c r="A1339" s="1" t="s">
        <v>29</v>
      </c>
      <c r="B1339" s="1"/>
      <c r="C1339" s="1" t="s">
        <v>144</v>
      </c>
      <c r="D1339">
        <v>10256</v>
      </c>
      <c r="E1339" s="1"/>
      <c r="F1339" s="1" t="s">
        <v>144</v>
      </c>
      <c r="G1339" s="1" t="s">
        <v>144</v>
      </c>
      <c r="H1339" s="1" t="s">
        <v>1405</v>
      </c>
      <c r="I1339">
        <v>2009</v>
      </c>
      <c r="J1339" s="93">
        <v>6633.34</v>
      </c>
      <c r="K1339">
        <v>9</v>
      </c>
      <c r="L1339" s="1" t="s">
        <v>421</v>
      </c>
      <c r="M1339">
        <v>0</v>
      </c>
      <c r="N1339">
        <v>381</v>
      </c>
      <c r="O1339">
        <v>17.405771999999999</v>
      </c>
      <c r="P1339">
        <v>2</v>
      </c>
      <c r="Q1339" s="1" t="s">
        <v>569</v>
      </c>
      <c r="R1339" s="93">
        <v>6633.34</v>
      </c>
      <c r="S1339">
        <v>3111.03</v>
      </c>
      <c r="T1339">
        <v>0</v>
      </c>
      <c r="U1339" s="1" t="s">
        <v>996</v>
      </c>
      <c r="V1339" s="1" t="s">
        <v>1279</v>
      </c>
      <c r="W1339">
        <v>6633.3311700000004</v>
      </c>
      <c r="X1339">
        <v>0</v>
      </c>
      <c r="Y1339">
        <v>77568</v>
      </c>
    </row>
    <row r="1340" spans="1:25" ht="15" hidden="1" customHeight="1" x14ac:dyDescent="0.25">
      <c r="A1340" s="1" t="s">
        <v>29</v>
      </c>
      <c r="B1340" s="1"/>
      <c r="C1340" s="1" t="s">
        <v>144</v>
      </c>
      <c r="D1340">
        <v>10256</v>
      </c>
      <c r="E1340" s="1"/>
      <c r="F1340" s="1" t="s">
        <v>144</v>
      </c>
      <c r="G1340" s="1" t="s">
        <v>144</v>
      </c>
      <c r="H1340" s="1" t="s">
        <v>1405</v>
      </c>
      <c r="I1340">
        <v>2008</v>
      </c>
      <c r="J1340" s="93">
        <v>6756.6</v>
      </c>
      <c r="K1340">
        <v>13</v>
      </c>
      <c r="L1340" s="1" t="s">
        <v>421</v>
      </c>
      <c r="M1340">
        <v>0</v>
      </c>
      <c r="N1340">
        <v>381</v>
      </c>
      <c r="O1340">
        <v>17.729203999999999</v>
      </c>
      <c r="P1340">
        <v>2</v>
      </c>
      <c r="Q1340" s="1" t="s">
        <v>569</v>
      </c>
      <c r="R1340" s="93">
        <v>6756.6</v>
      </c>
      <c r="S1340">
        <v>3168.85</v>
      </c>
      <c r="T1340">
        <v>0</v>
      </c>
      <c r="U1340" s="1" t="s">
        <v>996</v>
      </c>
      <c r="V1340" s="1" t="s">
        <v>1279</v>
      </c>
      <c r="W1340">
        <v>6756.5913899999996</v>
      </c>
      <c r="X1340">
        <v>0</v>
      </c>
      <c r="Y1340">
        <v>77568</v>
      </c>
    </row>
    <row r="1341" spans="1:25" ht="15" hidden="1" customHeight="1" x14ac:dyDescent="0.25">
      <c r="A1341" s="1" t="s">
        <v>29</v>
      </c>
      <c r="B1341" s="1"/>
      <c r="C1341" s="1" t="s">
        <v>145</v>
      </c>
      <c r="D1341">
        <v>11351</v>
      </c>
      <c r="E1341" s="1" t="s">
        <v>243</v>
      </c>
      <c r="F1341" s="1" t="s">
        <v>280</v>
      </c>
      <c r="G1341" s="1" t="s">
        <v>145</v>
      </c>
      <c r="H1341" s="1" t="s">
        <v>1405</v>
      </c>
      <c r="I1341">
        <v>2015</v>
      </c>
      <c r="J1341" s="93">
        <v>18313</v>
      </c>
      <c r="K1341">
        <v>5</v>
      </c>
      <c r="L1341" s="1" t="s">
        <v>399</v>
      </c>
      <c r="M1341">
        <v>0</v>
      </c>
      <c r="N1341">
        <v>867</v>
      </c>
      <c r="O1341">
        <v>7.9591390000000004</v>
      </c>
      <c r="P1341">
        <v>2</v>
      </c>
      <c r="Q1341" s="1" t="s">
        <v>569</v>
      </c>
      <c r="R1341" s="93">
        <v>6901.37</v>
      </c>
      <c r="S1341">
        <v>2070.42</v>
      </c>
      <c r="T1341">
        <v>0</v>
      </c>
      <c r="U1341" s="1" t="s">
        <v>997</v>
      </c>
      <c r="V1341" s="1"/>
      <c r="W1341">
        <v>6901.3756000000003</v>
      </c>
      <c r="X1341">
        <v>0</v>
      </c>
      <c r="Y1341">
        <v>80895</v>
      </c>
    </row>
    <row r="1342" spans="1:25" ht="15" hidden="1" customHeight="1" x14ac:dyDescent="0.25">
      <c r="A1342" s="1" t="s">
        <v>29</v>
      </c>
      <c r="B1342" s="1"/>
      <c r="C1342" s="1" t="s">
        <v>145</v>
      </c>
      <c r="D1342">
        <v>11351</v>
      </c>
      <c r="E1342" s="1" t="s">
        <v>243</v>
      </c>
      <c r="F1342" s="1" t="s">
        <v>280</v>
      </c>
      <c r="G1342" s="1" t="s">
        <v>145</v>
      </c>
      <c r="H1342" s="1" t="s">
        <v>1405</v>
      </c>
      <c r="I1342">
        <v>2015</v>
      </c>
      <c r="J1342" s="93">
        <v>0</v>
      </c>
      <c r="K1342">
        <v>5</v>
      </c>
      <c r="L1342" s="1" t="s">
        <v>399</v>
      </c>
      <c r="M1342">
        <v>0</v>
      </c>
      <c r="N1342">
        <v>867</v>
      </c>
      <c r="O1342">
        <v>2.9153999999999999E-2</v>
      </c>
      <c r="P1342">
        <v>2</v>
      </c>
      <c r="Q1342" s="1" t="s">
        <v>569</v>
      </c>
      <c r="R1342" s="93">
        <v>25.28</v>
      </c>
      <c r="S1342">
        <v>7.59</v>
      </c>
      <c r="T1342">
        <v>0</v>
      </c>
      <c r="U1342" s="1" t="s">
        <v>998</v>
      </c>
      <c r="V1342" s="1" t="s">
        <v>1280</v>
      </c>
      <c r="W1342">
        <v>25.279</v>
      </c>
      <c r="X1342">
        <v>0</v>
      </c>
      <c r="Y1342">
        <v>80929</v>
      </c>
    </row>
    <row r="1343" spans="1:25" ht="15" hidden="1" customHeight="1" x14ac:dyDescent="0.25">
      <c r="A1343" s="1" t="s">
        <v>29</v>
      </c>
      <c r="B1343" s="1" t="s">
        <v>64</v>
      </c>
      <c r="C1343" s="1" t="s">
        <v>147</v>
      </c>
      <c r="D1343">
        <v>13661</v>
      </c>
      <c r="E1343" s="1" t="s">
        <v>243</v>
      </c>
      <c r="F1343" s="1" t="s">
        <v>147</v>
      </c>
      <c r="G1343" s="1" t="s">
        <v>147</v>
      </c>
      <c r="H1343" s="1" t="s">
        <v>1405</v>
      </c>
      <c r="I1343">
        <v>2013</v>
      </c>
      <c r="J1343" s="93">
        <v>707.93</v>
      </c>
      <c r="K1343">
        <v>8</v>
      </c>
      <c r="L1343" s="1" t="s">
        <v>435</v>
      </c>
      <c r="M1343">
        <v>0</v>
      </c>
      <c r="N1343">
        <v>307</v>
      </c>
      <c r="O1343">
        <v>2.3052100000000002</v>
      </c>
      <c r="P1343">
        <v>2</v>
      </c>
      <c r="Q1343" s="1" t="s">
        <v>569</v>
      </c>
      <c r="R1343" s="93">
        <v>707.93</v>
      </c>
      <c r="S1343">
        <v>212.38</v>
      </c>
      <c r="T1343">
        <v>0</v>
      </c>
      <c r="U1343" s="1" t="s">
        <v>1000</v>
      </c>
      <c r="V1343" s="1" t="s">
        <v>1282</v>
      </c>
      <c r="W1343">
        <v>707.93692999999996</v>
      </c>
      <c r="X1343">
        <v>0</v>
      </c>
      <c r="Y1343">
        <v>91249</v>
      </c>
    </row>
    <row r="1344" spans="1:25" ht="15" hidden="1" customHeight="1" x14ac:dyDescent="0.25">
      <c r="A1344" s="1" t="s">
        <v>29</v>
      </c>
      <c r="B1344" s="1"/>
      <c r="C1344" s="1" t="s">
        <v>148</v>
      </c>
      <c r="D1344">
        <v>10206</v>
      </c>
      <c r="E1344" s="1"/>
      <c r="F1344" s="1" t="s">
        <v>281</v>
      </c>
      <c r="G1344" s="1" t="s">
        <v>148</v>
      </c>
      <c r="H1344" s="1" t="s">
        <v>1405</v>
      </c>
      <c r="I1344">
        <v>2014</v>
      </c>
      <c r="J1344" s="93">
        <v>10435.459999999999</v>
      </c>
      <c r="K1344">
        <v>12</v>
      </c>
      <c r="L1344" s="1" t="s">
        <v>416</v>
      </c>
      <c r="M1344">
        <v>0</v>
      </c>
      <c r="N1344">
        <v>439</v>
      </c>
      <c r="O1344">
        <v>23.765564999999999</v>
      </c>
      <c r="P1344">
        <v>2</v>
      </c>
      <c r="Q1344" s="1" t="s">
        <v>569</v>
      </c>
      <c r="R1344" s="93">
        <v>10435.459999999999</v>
      </c>
      <c r="S1344">
        <v>3130.65</v>
      </c>
      <c r="T1344">
        <v>0</v>
      </c>
      <c r="U1344" s="1" t="s">
        <v>1001</v>
      </c>
      <c r="V1344" s="1" t="s">
        <v>1283</v>
      </c>
      <c r="W1344">
        <v>10435.47351</v>
      </c>
      <c r="X1344">
        <v>0</v>
      </c>
      <c r="Y1344">
        <v>77393</v>
      </c>
    </row>
    <row r="1345" spans="1:25" ht="15" hidden="1" customHeight="1" x14ac:dyDescent="0.25">
      <c r="A1345" s="1" t="s">
        <v>29</v>
      </c>
      <c r="B1345" s="1"/>
      <c r="C1345" s="1" t="s">
        <v>145</v>
      </c>
      <c r="D1345">
        <v>11351</v>
      </c>
      <c r="E1345" s="1" t="s">
        <v>243</v>
      </c>
      <c r="F1345" s="1" t="s">
        <v>280</v>
      </c>
      <c r="G1345" s="1" t="s">
        <v>145</v>
      </c>
      <c r="H1345" s="1" t="s">
        <v>1405</v>
      </c>
      <c r="I1345">
        <v>2012</v>
      </c>
      <c r="J1345" s="93">
        <v>17865.34</v>
      </c>
      <c r="K1345">
        <v>12</v>
      </c>
      <c r="L1345" s="1" t="s">
        <v>399</v>
      </c>
      <c r="M1345">
        <v>0</v>
      </c>
      <c r="N1345">
        <v>867</v>
      </c>
      <c r="O1345">
        <v>20.603552000000001</v>
      </c>
      <c r="P1345">
        <v>2</v>
      </c>
      <c r="Q1345" s="1" t="s">
        <v>569</v>
      </c>
      <c r="R1345" s="93">
        <v>17865.34</v>
      </c>
      <c r="S1345">
        <v>7146.14</v>
      </c>
      <c r="T1345">
        <v>0</v>
      </c>
      <c r="U1345" s="1" t="s">
        <v>997</v>
      </c>
      <c r="V1345" s="1"/>
      <c r="W1345">
        <v>17865.325000000001</v>
      </c>
      <c r="X1345">
        <v>0</v>
      </c>
      <c r="Y1345">
        <v>80895</v>
      </c>
    </row>
    <row r="1346" spans="1:25" ht="15" hidden="1" customHeight="1" x14ac:dyDescent="0.25">
      <c r="A1346" s="1" t="s">
        <v>29</v>
      </c>
      <c r="B1346" s="1"/>
      <c r="C1346" s="1" t="s">
        <v>145</v>
      </c>
      <c r="D1346">
        <v>11351</v>
      </c>
      <c r="E1346" s="1" t="s">
        <v>243</v>
      </c>
      <c r="F1346" s="1" t="s">
        <v>280</v>
      </c>
      <c r="G1346" s="1" t="s">
        <v>145</v>
      </c>
      <c r="H1346" s="1" t="s">
        <v>1405</v>
      </c>
      <c r="I1346">
        <v>2012</v>
      </c>
      <c r="J1346" s="93">
        <v>105.72</v>
      </c>
      <c r="K1346">
        <v>12</v>
      </c>
      <c r="L1346" s="1" t="s">
        <v>399</v>
      </c>
      <c r="M1346">
        <v>0</v>
      </c>
      <c r="N1346">
        <v>867</v>
      </c>
      <c r="O1346">
        <v>0.121923</v>
      </c>
      <c r="P1346">
        <v>2</v>
      </c>
      <c r="Q1346" s="1" t="s">
        <v>569</v>
      </c>
      <c r="R1346" s="93">
        <v>105.72</v>
      </c>
      <c r="S1346">
        <v>42.28</v>
      </c>
      <c r="T1346">
        <v>0</v>
      </c>
      <c r="U1346" s="1" t="s">
        <v>998</v>
      </c>
      <c r="V1346" s="1" t="s">
        <v>1280</v>
      </c>
      <c r="W1346">
        <v>105.715</v>
      </c>
      <c r="X1346">
        <v>0</v>
      </c>
      <c r="Y1346">
        <v>80929</v>
      </c>
    </row>
    <row r="1347" spans="1:25" ht="15" hidden="1" customHeight="1" x14ac:dyDescent="0.25">
      <c r="A1347" s="1" t="s">
        <v>29</v>
      </c>
      <c r="B1347" s="1"/>
      <c r="C1347" s="1" t="s">
        <v>145</v>
      </c>
      <c r="D1347">
        <v>11351</v>
      </c>
      <c r="E1347" s="1" t="s">
        <v>243</v>
      </c>
      <c r="F1347" s="1" t="s">
        <v>280</v>
      </c>
      <c r="G1347" s="1" t="s">
        <v>145</v>
      </c>
      <c r="H1347" s="1" t="s">
        <v>1405</v>
      </c>
      <c r="I1347">
        <v>2011</v>
      </c>
      <c r="J1347" s="93">
        <v>19552.25</v>
      </c>
      <c r="K1347">
        <v>6</v>
      </c>
      <c r="L1347" s="1" t="s">
        <v>399</v>
      </c>
      <c r="M1347">
        <v>0</v>
      </c>
      <c r="N1347">
        <v>867</v>
      </c>
      <c r="O1347">
        <v>22.549012999999999</v>
      </c>
      <c r="P1347">
        <v>2</v>
      </c>
      <c r="Q1347" s="1" t="s">
        <v>569</v>
      </c>
      <c r="R1347" s="93">
        <v>19552.25</v>
      </c>
      <c r="S1347">
        <v>9169.9699999999993</v>
      </c>
      <c r="T1347">
        <v>0</v>
      </c>
      <c r="U1347" s="1" t="s">
        <v>997</v>
      </c>
      <c r="V1347" s="1"/>
      <c r="W1347">
        <v>19552.23299</v>
      </c>
      <c r="X1347">
        <v>0</v>
      </c>
      <c r="Y1347">
        <v>80895</v>
      </c>
    </row>
    <row r="1348" spans="1:25" ht="15" hidden="1" customHeight="1" x14ac:dyDescent="0.25">
      <c r="A1348" s="1" t="s">
        <v>29</v>
      </c>
      <c r="B1348" s="1"/>
      <c r="C1348" s="1" t="s">
        <v>145</v>
      </c>
      <c r="D1348">
        <v>11351</v>
      </c>
      <c r="E1348" s="1" t="s">
        <v>243</v>
      </c>
      <c r="F1348" s="1" t="s">
        <v>280</v>
      </c>
      <c r="G1348" s="1" t="s">
        <v>145</v>
      </c>
      <c r="H1348" s="1" t="s">
        <v>1405</v>
      </c>
      <c r="I1348">
        <v>2011</v>
      </c>
      <c r="J1348" s="93">
        <v>193.71</v>
      </c>
      <c r="K1348">
        <v>9</v>
      </c>
      <c r="L1348" s="1" t="s">
        <v>399</v>
      </c>
      <c r="M1348">
        <v>0</v>
      </c>
      <c r="N1348">
        <v>867</v>
      </c>
      <c r="O1348">
        <v>0.22339899999999999</v>
      </c>
      <c r="P1348">
        <v>2</v>
      </c>
      <c r="Q1348" s="1" t="s">
        <v>569</v>
      </c>
      <c r="R1348" s="93">
        <v>193.71</v>
      </c>
      <c r="S1348">
        <v>90.84</v>
      </c>
      <c r="T1348">
        <v>0</v>
      </c>
      <c r="U1348" s="1" t="s">
        <v>998</v>
      </c>
      <c r="V1348" s="1" t="s">
        <v>1280</v>
      </c>
      <c r="W1348">
        <v>193.72450000000001</v>
      </c>
      <c r="X1348">
        <v>0</v>
      </c>
      <c r="Y1348">
        <v>80929</v>
      </c>
    </row>
    <row r="1349" spans="1:25" ht="15" hidden="1" customHeight="1" x14ac:dyDescent="0.25">
      <c r="A1349" s="1" t="s">
        <v>29</v>
      </c>
      <c r="B1349" s="1"/>
      <c r="C1349" s="1" t="s">
        <v>145</v>
      </c>
      <c r="D1349">
        <v>11351</v>
      </c>
      <c r="E1349" s="1" t="s">
        <v>243</v>
      </c>
      <c r="F1349" s="1" t="s">
        <v>280</v>
      </c>
      <c r="G1349" s="1" t="s">
        <v>145</v>
      </c>
      <c r="H1349" s="1" t="s">
        <v>1405</v>
      </c>
      <c r="I1349">
        <v>2010</v>
      </c>
      <c r="J1349" s="93">
        <v>21291.82</v>
      </c>
      <c r="K1349">
        <v>4</v>
      </c>
      <c r="L1349" s="1" t="s">
        <v>399</v>
      </c>
      <c r="M1349">
        <v>0</v>
      </c>
      <c r="N1349">
        <v>867</v>
      </c>
      <c r="O1349">
        <v>24.555206999999999</v>
      </c>
      <c r="P1349">
        <v>2</v>
      </c>
      <c r="Q1349" s="1" t="s">
        <v>569</v>
      </c>
      <c r="R1349" s="93">
        <v>21291.82</v>
      </c>
      <c r="S1349">
        <v>9985.85</v>
      </c>
      <c r="T1349">
        <v>0</v>
      </c>
      <c r="U1349" s="1" t="s">
        <v>997</v>
      </c>
      <c r="V1349" s="1"/>
      <c r="W1349">
        <v>21291.793880000001</v>
      </c>
      <c r="X1349">
        <v>0</v>
      </c>
      <c r="Y1349">
        <v>80895</v>
      </c>
    </row>
    <row r="1350" spans="1:25" ht="15" hidden="1" customHeight="1" x14ac:dyDescent="0.25">
      <c r="A1350" s="1" t="s">
        <v>29</v>
      </c>
      <c r="B1350" s="1"/>
      <c r="C1350" s="1" t="s">
        <v>145</v>
      </c>
      <c r="D1350">
        <v>11351</v>
      </c>
      <c r="E1350" s="1" t="s">
        <v>243</v>
      </c>
      <c r="F1350" s="1" t="s">
        <v>280</v>
      </c>
      <c r="G1350" s="1" t="s">
        <v>145</v>
      </c>
      <c r="H1350" s="1" t="s">
        <v>1405</v>
      </c>
      <c r="I1350">
        <v>2010</v>
      </c>
      <c r="J1350" s="93">
        <v>158.77000000000001</v>
      </c>
      <c r="K1350">
        <v>3</v>
      </c>
      <c r="L1350" s="1" t="s">
        <v>399</v>
      </c>
      <c r="M1350">
        <v>0</v>
      </c>
      <c r="N1350">
        <v>867</v>
      </c>
      <c r="O1350">
        <v>0.18310399999999999</v>
      </c>
      <c r="P1350">
        <v>2</v>
      </c>
      <c r="Q1350" s="1" t="s">
        <v>569</v>
      </c>
      <c r="R1350" s="93">
        <v>158.77000000000001</v>
      </c>
      <c r="S1350">
        <v>74.48</v>
      </c>
      <c r="T1350">
        <v>0</v>
      </c>
      <c r="U1350" s="1" t="s">
        <v>998</v>
      </c>
      <c r="V1350" s="1" t="s">
        <v>1280</v>
      </c>
      <c r="W1350">
        <v>158.77552</v>
      </c>
      <c r="X1350">
        <v>0</v>
      </c>
      <c r="Y1350">
        <v>80929</v>
      </c>
    </row>
    <row r="1351" spans="1:25" ht="15" hidden="1" customHeight="1" x14ac:dyDescent="0.25">
      <c r="A1351" s="1" t="s">
        <v>29</v>
      </c>
      <c r="B1351" s="1"/>
      <c r="C1351" s="1" t="s">
        <v>145</v>
      </c>
      <c r="D1351">
        <v>11351</v>
      </c>
      <c r="E1351" s="1" t="s">
        <v>243</v>
      </c>
      <c r="F1351" s="1" t="s">
        <v>280</v>
      </c>
      <c r="G1351" s="1" t="s">
        <v>145</v>
      </c>
      <c r="H1351" s="1" t="s">
        <v>1405</v>
      </c>
      <c r="I1351">
        <v>2009</v>
      </c>
      <c r="J1351" s="93">
        <v>19960.36</v>
      </c>
      <c r="K1351">
        <v>6</v>
      </c>
      <c r="L1351" s="1" t="s">
        <v>399</v>
      </c>
      <c r="M1351">
        <v>0</v>
      </c>
      <c r="N1351">
        <v>867</v>
      </c>
      <c r="O1351">
        <v>23.019673999999998</v>
      </c>
      <c r="P1351">
        <v>2</v>
      </c>
      <c r="Q1351" s="1" t="s">
        <v>569</v>
      </c>
      <c r="R1351" s="93">
        <v>19960.36</v>
      </c>
      <c r="S1351">
        <v>9361.41</v>
      </c>
      <c r="T1351">
        <v>0</v>
      </c>
      <c r="U1351" s="1" t="s">
        <v>997</v>
      </c>
      <c r="V1351" s="1"/>
      <c r="W1351">
        <v>19960.365280000002</v>
      </c>
      <c r="X1351">
        <v>0</v>
      </c>
      <c r="Y1351">
        <v>80895</v>
      </c>
    </row>
    <row r="1352" spans="1:25" ht="15" hidden="1" customHeight="1" x14ac:dyDescent="0.25">
      <c r="A1352" s="1" t="s">
        <v>29</v>
      </c>
      <c r="B1352" s="1"/>
      <c r="C1352" s="1" t="s">
        <v>145</v>
      </c>
      <c r="D1352">
        <v>11351</v>
      </c>
      <c r="E1352" s="1" t="s">
        <v>243</v>
      </c>
      <c r="F1352" s="1" t="s">
        <v>280</v>
      </c>
      <c r="G1352" s="1" t="s">
        <v>145</v>
      </c>
      <c r="H1352" s="1" t="s">
        <v>1405</v>
      </c>
      <c r="I1352">
        <v>2009</v>
      </c>
      <c r="J1352" s="93">
        <v>3470.4</v>
      </c>
      <c r="K1352">
        <v>6</v>
      </c>
      <c r="L1352" s="1" t="s">
        <v>399</v>
      </c>
      <c r="M1352">
        <v>0</v>
      </c>
      <c r="N1352">
        <v>867</v>
      </c>
      <c r="O1352">
        <v>4.0023059999999999</v>
      </c>
      <c r="P1352">
        <v>2</v>
      </c>
      <c r="Q1352" s="1" t="s">
        <v>569</v>
      </c>
      <c r="R1352" s="93">
        <v>3470.4</v>
      </c>
      <c r="S1352">
        <v>1627.61</v>
      </c>
      <c r="T1352">
        <v>0</v>
      </c>
      <c r="U1352" s="1" t="s">
        <v>998</v>
      </c>
      <c r="V1352" s="1" t="s">
        <v>1280</v>
      </c>
      <c r="W1352">
        <v>3470.4000099999998</v>
      </c>
      <c r="X1352">
        <v>0</v>
      </c>
      <c r="Y1352">
        <v>80929</v>
      </c>
    </row>
    <row r="1353" spans="1:25" ht="15" hidden="1" customHeight="1" x14ac:dyDescent="0.25">
      <c r="A1353" s="1" t="s">
        <v>29</v>
      </c>
      <c r="B1353" s="1"/>
      <c r="C1353" s="1" t="s">
        <v>145</v>
      </c>
      <c r="D1353">
        <v>11351</v>
      </c>
      <c r="E1353" s="1" t="s">
        <v>243</v>
      </c>
      <c r="F1353" s="1" t="s">
        <v>280</v>
      </c>
      <c r="G1353" s="1" t="s">
        <v>145</v>
      </c>
      <c r="H1353" s="1" t="s">
        <v>1405</v>
      </c>
      <c r="I1353">
        <v>2008</v>
      </c>
      <c r="J1353" s="93">
        <v>8897.26</v>
      </c>
      <c r="K1353">
        <v>2</v>
      </c>
      <c r="L1353" s="1" t="s">
        <v>399</v>
      </c>
      <c r="M1353">
        <v>0</v>
      </c>
      <c r="N1353">
        <v>867</v>
      </c>
      <c r="O1353">
        <v>10.260937999999999</v>
      </c>
      <c r="P1353">
        <v>2</v>
      </c>
      <c r="Q1353" s="1" t="s">
        <v>569</v>
      </c>
      <c r="R1353" s="93">
        <v>8897.26</v>
      </c>
      <c r="S1353">
        <v>4172.8</v>
      </c>
      <c r="T1353">
        <v>0</v>
      </c>
      <c r="U1353" s="1" t="s">
        <v>997</v>
      </c>
      <c r="V1353" s="1"/>
      <c r="W1353">
        <v>8897.2477199999994</v>
      </c>
      <c r="X1353">
        <v>0</v>
      </c>
      <c r="Y1353">
        <v>80895</v>
      </c>
    </row>
    <row r="1354" spans="1:25" ht="15" hidden="1" customHeight="1" x14ac:dyDescent="0.25">
      <c r="A1354" s="1" t="s">
        <v>29</v>
      </c>
      <c r="B1354" s="1"/>
      <c r="C1354" s="1" t="s">
        <v>145</v>
      </c>
      <c r="D1354">
        <v>11351</v>
      </c>
      <c r="E1354" s="1" t="s">
        <v>243</v>
      </c>
      <c r="F1354" s="1" t="s">
        <v>280</v>
      </c>
      <c r="G1354" s="1" t="s">
        <v>145</v>
      </c>
      <c r="H1354" s="1" t="s">
        <v>1405</v>
      </c>
      <c r="I1354">
        <v>2008</v>
      </c>
      <c r="J1354" s="93">
        <v>140.1</v>
      </c>
      <c r="K1354">
        <v>2</v>
      </c>
      <c r="L1354" s="1" t="s">
        <v>399</v>
      </c>
      <c r="M1354">
        <v>0</v>
      </c>
      <c r="N1354">
        <v>867</v>
      </c>
      <c r="O1354">
        <v>0.16157299999999999</v>
      </c>
      <c r="P1354">
        <v>2</v>
      </c>
      <c r="Q1354" s="1" t="s">
        <v>569</v>
      </c>
      <c r="R1354" s="93">
        <v>140.1</v>
      </c>
      <c r="S1354">
        <v>65.709999999999994</v>
      </c>
      <c r="T1354">
        <v>0</v>
      </c>
      <c r="U1354" s="1" t="s">
        <v>998</v>
      </c>
      <c r="V1354" s="1" t="s">
        <v>1280</v>
      </c>
      <c r="W1354">
        <v>140.1</v>
      </c>
      <c r="X1354">
        <v>0</v>
      </c>
      <c r="Y1354">
        <v>80929</v>
      </c>
    </row>
    <row r="1355" spans="1:25" ht="15" hidden="1" customHeight="1" x14ac:dyDescent="0.25">
      <c r="A1355" s="1" t="s">
        <v>29</v>
      </c>
      <c r="B1355" s="1"/>
      <c r="C1355" s="1" t="s">
        <v>146</v>
      </c>
      <c r="D1355">
        <v>10205</v>
      </c>
      <c r="E1355" s="1"/>
      <c r="F1355" s="1" t="s">
        <v>146</v>
      </c>
      <c r="G1355" s="1" t="s">
        <v>146</v>
      </c>
      <c r="H1355" s="1" t="s">
        <v>1405</v>
      </c>
      <c r="I1355">
        <v>2015</v>
      </c>
      <c r="J1355" s="93">
        <v>3101</v>
      </c>
      <c r="K1355">
        <v>5</v>
      </c>
      <c r="L1355" s="1" t="s">
        <v>435</v>
      </c>
      <c r="M1355">
        <v>0</v>
      </c>
      <c r="N1355">
        <v>314</v>
      </c>
      <c r="O1355">
        <v>3.7293530000000001</v>
      </c>
      <c r="P1355">
        <v>2</v>
      </c>
      <c r="Q1355" s="1" t="s">
        <v>569</v>
      </c>
      <c r="R1355" s="93">
        <v>1171.3900000000001</v>
      </c>
      <c r="S1355">
        <v>2675.47</v>
      </c>
      <c r="T1355">
        <v>0</v>
      </c>
      <c r="U1355" s="1" t="s">
        <v>999</v>
      </c>
      <c r="V1355" s="1" t="s">
        <v>1281</v>
      </c>
      <c r="W1355">
        <v>1171.3952999999999</v>
      </c>
      <c r="X1355">
        <v>0</v>
      </c>
      <c r="Y1355">
        <v>77390</v>
      </c>
    </row>
    <row r="1356" spans="1:25" ht="15" hidden="1" customHeight="1" x14ac:dyDescent="0.25">
      <c r="A1356" s="1" t="s">
        <v>29</v>
      </c>
      <c r="B1356" s="1"/>
      <c r="C1356" s="1" t="s">
        <v>148</v>
      </c>
      <c r="D1356">
        <v>10206</v>
      </c>
      <c r="E1356" s="1"/>
      <c r="F1356" s="1" t="s">
        <v>281</v>
      </c>
      <c r="G1356" s="1" t="s">
        <v>148</v>
      </c>
      <c r="H1356" s="1" t="s">
        <v>1405</v>
      </c>
      <c r="I1356">
        <v>2014</v>
      </c>
      <c r="J1356" s="93">
        <v>407.73</v>
      </c>
      <c r="K1356">
        <v>2</v>
      </c>
      <c r="L1356" s="1" t="s">
        <v>424</v>
      </c>
      <c r="M1356">
        <v>0</v>
      </c>
      <c r="N1356">
        <v>439</v>
      </c>
      <c r="O1356">
        <v>0.92855799999999999</v>
      </c>
      <c r="P1356">
        <v>2</v>
      </c>
      <c r="Q1356" s="1" t="s">
        <v>569</v>
      </c>
      <c r="R1356" s="93">
        <v>407.73</v>
      </c>
      <c r="S1356">
        <v>191.23</v>
      </c>
      <c r="T1356">
        <v>0</v>
      </c>
      <c r="U1356" s="1" t="s">
        <v>1002</v>
      </c>
      <c r="V1356" s="1"/>
      <c r="W1356">
        <v>407.72998999999999</v>
      </c>
      <c r="X1356">
        <v>0</v>
      </c>
      <c r="Y1356">
        <v>96485</v>
      </c>
    </row>
    <row r="1357" spans="1:25" ht="15" hidden="1" customHeight="1" x14ac:dyDescent="0.25">
      <c r="A1357" s="1" t="s">
        <v>29</v>
      </c>
      <c r="B1357" s="1"/>
      <c r="C1357" s="1" t="s">
        <v>146</v>
      </c>
      <c r="D1357">
        <v>10205</v>
      </c>
      <c r="E1357" s="1"/>
      <c r="F1357" s="1" t="s">
        <v>146</v>
      </c>
      <c r="G1357" s="1" t="s">
        <v>146</v>
      </c>
      <c r="H1357" s="1" t="s">
        <v>1405</v>
      </c>
      <c r="I1357">
        <v>2012</v>
      </c>
      <c r="J1357" s="93">
        <v>4594.16</v>
      </c>
      <c r="K1357">
        <v>8</v>
      </c>
      <c r="L1357" s="1" t="s">
        <v>435</v>
      </c>
      <c r="M1357">
        <v>0</v>
      </c>
      <c r="N1357">
        <v>314</v>
      </c>
      <c r="O1357">
        <v>14.626424</v>
      </c>
      <c r="P1357">
        <v>2</v>
      </c>
      <c r="Q1357" s="1" t="s">
        <v>569</v>
      </c>
      <c r="R1357" s="93">
        <v>4594.16</v>
      </c>
      <c r="S1357">
        <v>10493.07</v>
      </c>
      <c r="T1357">
        <v>0</v>
      </c>
      <c r="U1357" s="1" t="s">
        <v>999</v>
      </c>
      <c r="V1357" s="1" t="s">
        <v>1281</v>
      </c>
      <c r="W1357">
        <v>4594.1584599999996</v>
      </c>
      <c r="X1357">
        <v>0</v>
      </c>
      <c r="Y1357">
        <v>77390</v>
      </c>
    </row>
    <row r="1358" spans="1:25" ht="15" hidden="1" customHeight="1" x14ac:dyDescent="0.25">
      <c r="A1358" s="1" t="s">
        <v>29</v>
      </c>
      <c r="B1358" s="1"/>
      <c r="C1358" s="1" t="s">
        <v>146</v>
      </c>
      <c r="D1358">
        <v>10205</v>
      </c>
      <c r="E1358" s="1"/>
      <c r="F1358" s="1" t="s">
        <v>146</v>
      </c>
      <c r="G1358" s="1" t="s">
        <v>146</v>
      </c>
      <c r="H1358" s="1" t="s">
        <v>1405</v>
      </c>
      <c r="I1358">
        <v>2011</v>
      </c>
      <c r="J1358" s="93">
        <v>5045.09</v>
      </c>
      <c r="K1358">
        <v>4</v>
      </c>
      <c r="L1358" s="1" t="s">
        <v>435</v>
      </c>
      <c r="M1358">
        <v>0</v>
      </c>
      <c r="N1358">
        <v>314</v>
      </c>
      <c r="O1358">
        <v>16.062049999999999</v>
      </c>
      <c r="P1358">
        <v>2</v>
      </c>
      <c r="Q1358" s="1" t="s">
        <v>569</v>
      </c>
      <c r="R1358" s="93">
        <v>5045.09</v>
      </c>
      <c r="S1358">
        <v>11522.97</v>
      </c>
      <c r="T1358">
        <v>0</v>
      </c>
      <c r="U1358" s="1" t="s">
        <v>999</v>
      </c>
      <c r="V1358" s="1" t="s">
        <v>1281</v>
      </c>
      <c r="W1358">
        <v>5045.0951599999999</v>
      </c>
      <c r="X1358">
        <v>0</v>
      </c>
      <c r="Y1358">
        <v>77390</v>
      </c>
    </row>
    <row r="1359" spans="1:25" ht="15" hidden="1" customHeight="1" x14ac:dyDescent="0.25">
      <c r="A1359" s="1" t="s">
        <v>29</v>
      </c>
      <c r="B1359" s="1"/>
      <c r="C1359" s="1" t="s">
        <v>146</v>
      </c>
      <c r="D1359">
        <v>10205</v>
      </c>
      <c r="E1359" s="1"/>
      <c r="F1359" s="1" t="s">
        <v>146</v>
      </c>
      <c r="G1359" s="1" t="s">
        <v>146</v>
      </c>
      <c r="H1359" s="1" t="s">
        <v>1405</v>
      </c>
      <c r="I1359">
        <v>2010</v>
      </c>
      <c r="J1359" s="93">
        <v>4860.66</v>
      </c>
      <c r="K1359">
        <v>2</v>
      </c>
      <c r="L1359" s="1" t="s">
        <v>435</v>
      </c>
      <c r="M1359">
        <v>0</v>
      </c>
      <c r="N1359">
        <v>314</v>
      </c>
      <c r="O1359">
        <v>15.474880000000001</v>
      </c>
      <c r="P1359">
        <v>2</v>
      </c>
      <c r="Q1359" s="1" t="s">
        <v>569</v>
      </c>
      <c r="R1359" s="93">
        <v>4860.66</v>
      </c>
      <c r="S1359">
        <v>11101.74</v>
      </c>
      <c r="T1359">
        <v>0</v>
      </c>
      <c r="U1359" s="1" t="s">
        <v>999</v>
      </c>
      <c r="V1359" s="1" t="s">
        <v>1281</v>
      </c>
      <c r="W1359">
        <v>4860.6659</v>
      </c>
      <c r="X1359">
        <v>0</v>
      </c>
      <c r="Y1359">
        <v>77390</v>
      </c>
    </row>
    <row r="1360" spans="1:25" ht="15" hidden="1" customHeight="1" x14ac:dyDescent="0.25">
      <c r="A1360" s="1" t="s">
        <v>29</v>
      </c>
      <c r="B1360" s="1"/>
      <c r="C1360" s="1" t="s">
        <v>146</v>
      </c>
      <c r="D1360">
        <v>10205</v>
      </c>
      <c r="E1360" s="1"/>
      <c r="F1360" s="1" t="s">
        <v>146</v>
      </c>
      <c r="G1360" s="1" t="s">
        <v>146</v>
      </c>
      <c r="H1360" s="1" t="s">
        <v>1405</v>
      </c>
      <c r="I1360">
        <v>2009</v>
      </c>
      <c r="J1360" s="93">
        <v>4187.03</v>
      </c>
      <c r="K1360">
        <v>6</v>
      </c>
      <c r="L1360" s="1" t="s">
        <v>435</v>
      </c>
      <c r="M1360">
        <v>0</v>
      </c>
      <c r="N1360">
        <v>314</v>
      </c>
      <c r="O1360">
        <v>13.330245</v>
      </c>
      <c r="P1360">
        <v>2</v>
      </c>
      <c r="Q1360" s="1" t="s">
        <v>569</v>
      </c>
      <c r="R1360" s="93">
        <v>4187.03</v>
      </c>
      <c r="S1360">
        <v>9563.19</v>
      </c>
      <c r="T1360">
        <v>0</v>
      </c>
      <c r="U1360" s="1" t="s">
        <v>999</v>
      </c>
      <c r="V1360" s="1" t="s">
        <v>1281</v>
      </c>
      <c r="W1360">
        <v>4187.0328399999999</v>
      </c>
      <c r="X1360">
        <v>0</v>
      </c>
      <c r="Y1360">
        <v>77390</v>
      </c>
    </row>
    <row r="1361" spans="1:25" ht="15" hidden="1" customHeight="1" x14ac:dyDescent="0.25">
      <c r="A1361" s="1" t="s">
        <v>29</v>
      </c>
      <c r="B1361" s="1"/>
      <c r="C1361" s="1" t="s">
        <v>146</v>
      </c>
      <c r="D1361">
        <v>10205</v>
      </c>
      <c r="E1361" s="1"/>
      <c r="F1361" s="1" t="s">
        <v>146</v>
      </c>
      <c r="G1361" s="1" t="s">
        <v>146</v>
      </c>
      <c r="H1361" s="1" t="s">
        <v>1405</v>
      </c>
      <c r="I1361">
        <v>2008</v>
      </c>
      <c r="J1361" s="93">
        <v>4838.1899999999996</v>
      </c>
      <c r="K1361">
        <v>4</v>
      </c>
      <c r="L1361" s="1" t="s">
        <v>435</v>
      </c>
      <c r="M1361">
        <v>0</v>
      </c>
      <c r="N1361">
        <v>314</v>
      </c>
      <c r="O1361">
        <v>15.403342</v>
      </c>
      <c r="P1361">
        <v>2</v>
      </c>
      <c r="Q1361" s="1" t="s">
        <v>569</v>
      </c>
      <c r="R1361" s="93">
        <v>4838.1899999999996</v>
      </c>
      <c r="S1361">
        <v>11050.41</v>
      </c>
      <c r="T1361">
        <v>0</v>
      </c>
      <c r="U1361" s="1" t="s">
        <v>999</v>
      </c>
      <c r="V1361" s="1" t="s">
        <v>1281</v>
      </c>
      <c r="W1361">
        <v>4838.1868199999999</v>
      </c>
      <c r="X1361">
        <v>0</v>
      </c>
      <c r="Y1361">
        <v>77390</v>
      </c>
    </row>
    <row r="1362" spans="1:25" ht="15" hidden="1" customHeight="1" x14ac:dyDescent="0.25">
      <c r="A1362" s="1" t="s">
        <v>29</v>
      </c>
      <c r="B1362" s="1" t="s">
        <v>64</v>
      </c>
      <c r="C1362" s="1" t="s">
        <v>147</v>
      </c>
      <c r="D1362">
        <v>13661</v>
      </c>
      <c r="E1362" s="1" t="s">
        <v>243</v>
      </c>
      <c r="F1362" s="1" t="s">
        <v>147</v>
      </c>
      <c r="G1362" s="1" t="s">
        <v>147</v>
      </c>
      <c r="H1362" s="1" t="s">
        <v>1405</v>
      </c>
      <c r="I1362">
        <v>2015</v>
      </c>
      <c r="J1362" s="93">
        <v>1096</v>
      </c>
      <c r="K1362">
        <v>5</v>
      </c>
      <c r="L1362" s="1" t="s">
        <v>435</v>
      </c>
      <c r="M1362">
        <v>0</v>
      </c>
      <c r="N1362">
        <v>307</v>
      </c>
      <c r="O1362">
        <v>2.3628130000000001</v>
      </c>
      <c r="P1362">
        <v>2</v>
      </c>
      <c r="Q1362" s="1" t="s">
        <v>569</v>
      </c>
      <c r="R1362" s="93">
        <v>725.62</v>
      </c>
      <c r="S1362">
        <v>217.68</v>
      </c>
      <c r="T1362">
        <v>0</v>
      </c>
      <c r="U1362" s="1" t="s">
        <v>1000</v>
      </c>
      <c r="V1362" s="1" t="s">
        <v>1282</v>
      </c>
      <c r="W1362">
        <v>725.60298999999998</v>
      </c>
      <c r="X1362">
        <v>0</v>
      </c>
      <c r="Y1362">
        <v>91249</v>
      </c>
    </row>
    <row r="1363" spans="1:25" ht="15" hidden="1" customHeight="1" x14ac:dyDescent="0.25">
      <c r="A1363" s="1" t="s">
        <v>29</v>
      </c>
      <c r="B1363" s="1"/>
      <c r="C1363" s="1" t="s">
        <v>148</v>
      </c>
      <c r="D1363">
        <v>10206</v>
      </c>
      <c r="E1363" s="1"/>
      <c r="F1363" s="1" t="s">
        <v>281</v>
      </c>
      <c r="G1363" s="1" t="s">
        <v>148</v>
      </c>
      <c r="H1363" s="1" t="s">
        <v>1405</v>
      </c>
      <c r="I1363">
        <v>2013</v>
      </c>
      <c r="J1363" s="93">
        <v>12881.32</v>
      </c>
      <c r="K1363">
        <v>12</v>
      </c>
      <c r="L1363" s="1" t="s">
        <v>416</v>
      </c>
      <c r="M1363">
        <v>0</v>
      </c>
      <c r="N1363">
        <v>439</v>
      </c>
      <c r="O1363">
        <v>29.335732</v>
      </c>
      <c r="P1363">
        <v>2</v>
      </c>
      <c r="Q1363" s="1" t="s">
        <v>569</v>
      </c>
      <c r="R1363" s="93">
        <v>12881.32</v>
      </c>
      <c r="S1363">
        <v>3864.39</v>
      </c>
      <c r="T1363">
        <v>0</v>
      </c>
      <c r="U1363" s="1" t="s">
        <v>1001</v>
      </c>
      <c r="V1363" s="1" t="s">
        <v>1283</v>
      </c>
      <c r="W1363">
        <v>12881.317499999999</v>
      </c>
      <c r="X1363">
        <v>0</v>
      </c>
      <c r="Y1363">
        <v>77393</v>
      </c>
    </row>
    <row r="1364" spans="1:25" ht="15" hidden="1" customHeight="1" x14ac:dyDescent="0.25">
      <c r="A1364" s="1" t="s">
        <v>29</v>
      </c>
      <c r="B1364" s="1" t="s">
        <v>64</v>
      </c>
      <c r="C1364" s="1" t="s">
        <v>147</v>
      </c>
      <c r="D1364">
        <v>13661</v>
      </c>
      <c r="E1364" s="1" t="s">
        <v>243</v>
      </c>
      <c r="F1364" s="1" t="s">
        <v>147</v>
      </c>
      <c r="G1364" s="1" t="s">
        <v>147</v>
      </c>
      <c r="H1364" s="1" t="s">
        <v>1405</v>
      </c>
      <c r="I1364">
        <v>2012</v>
      </c>
      <c r="J1364" s="93">
        <v>2457.59</v>
      </c>
      <c r="K1364">
        <v>3</v>
      </c>
      <c r="L1364" s="1" t="s">
        <v>435</v>
      </c>
      <c r="M1364">
        <v>0</v>
      </c>
      <c r="N1364">
        <v>307</v>
      </c>
      <c r="O1364">
        <v>8.0025720000000007</v>
      </c>
      <c r="P1364">
        <v>2</v>
      </c>
      <c r="Q1364" s="1" t="s">
        <v>569</v>
      </c>
      <c r="R1364" s="93">
        <v>2457.59</v>
      </c>
      <c r="S1364">
        <v>983.05</v>
      </c>
      <c r="T1364">
        <v>0</v>
      </c>
      <c r="U1364" s="1" t="s">
        <v>1000</v>
      </c>
      <c r="V1364" s="1" t="s">
        <v>1282</v>
      </c>
      <c r="W1364">
        <v>2457.5971800000002</v>
      </c>
      <c r="X1364">
        <v>0</v>
      </c>
      <c r="Y1364">
        <v>91249</v>
      </c>
    </row>
    <row r="1365" spans="1:25" ht="15" hidden="1" customHeight="1" x14ac:dyDescent="0.25">
      <c r="A1365" s="1" t="s">
        <v>29</v>
      </c>
      <c r="B1365" s="1" t="s">
        <v>64</v>
      </c>
      <c r="C1365" s="1" t="s">
        <v>147</v>
      </c>
      <c r="D1365">
        <v>13661</v>
      </c>
      <c r="E1365" s="1" t="s">
        <v>243</v>
      </c>
      <c r="F1365" s="1" t="s">
        <v>147</v>
      </c>
      <c r="G1365" s="1" t="s">
        <v>147</v>
      </c>
      <c r="H1365" s="1" t="s">
        <v>1405</v>
      </c>
      <c r="I1365">
        <v>2011</v>
      </c>
      <c r="J1365" s="93">
        <v>1533.41</v>
      </c>
      <c r="K1365">
        <v>1</v>
      </c>
      <c r="L1365" s="1" t="s">
        <v>435</v>
      </c>
      <c r="M1365">
        <v>0</v>
      </c>
      <c r="N1365">
        <v>307</v>
      </c>
      <c r="O1365">
        <v>4.9931939999999999</v>
      </c>
      <c r="P1365">
        <v>2</v>
      </c>
      <c r="Q1365" s="1" t="s">
        <v>569</v>
      </c>
      <c r="R1365" s="93">
        <v>1533.41</v>
      </c>
      <c r="S1365">
        <v>719.15</v>
      </c>
      <c r="T1365">
        <v>0</v>
      </c>
      <c r="U1365" s="1" t="s">
        <v>1000</v>
      </c>
      <c r="V1365" s="1" t="s">
        <v>1282</v>
      </c>
      <c r="W1365">
        <v>1533.4122600000001</v>
      </c>
      <c r="X1365">
        <v>0</v>
      </c>
      <c r="Y1365">
        <v>91249</v>
      </c>
    </row>
    <row r="1366" spans="1:25" ht="15" hidden="1" customHeight="1" x14ac:dyDescent="0.25">
      <c r="A1366" s="1" t="s">
        <v>29</v>
      </c>
      <c r="B1366" s="1" t="s">
        <v>64</v>
      </c>
      <c r="C1366" s="1" t="s">
        <v>147</v>
      </c>
      <c r="D1366">
        <v>13661</v>
      </c>
      <c r="E1366" s="1" t="s">
        <v>243</v>
      </c>
      <c r="F1366" s="1" t="s">
        <v>147</v>
      </c>
      <c r="G1366" s="1" t="s">
        <v>147</v>
      </c>
      <c r="H1366" s="1" t="s">
        <v>1405</v>
      </c>
      <c r="I1366">
        <v>2010</v>
      </c>
      <c r="J1366" s="93">
        <v>1876.26</v>
      </c>
      <c r="K1366">
        <v>1</v>
      </c>
      <c r="L1366" s="1" t="s">
        <v>435</v>
      </c>
      <c r="M1366">
        <v>0</v>
      </c>
      <c r="N1366">
        <v>307</v>
      </c>
      <c r="O1366">
        <v>6.1096050000000002</v>
      </c>
      <c r="P1366">
        <v>2</v>
      </c>
      <c r="Q1366" s="1" t="s">
        <v>569</v>
      </c>
      <c r="R1366" s="93">
        <v>1876.26</v>
      </c>
      <c r="S1366">
        <v>879.98</v>
      </c>
      <c r="T1366">
        <v>0</v>
      </c>
      <c r="U1366" s="1" t="s">
        <v>1000</v>
      </c>
      <c r="V1366" s="1" t="s">
        <v>1282</v>
      </c>
      <c r="W1366">
        <v>1876.26253</v>
      </c>
      <c r="X1366">
        <v>0</v>
      </c>
      <c r="Y1366">
        <v>91249</v>
      </c>
    </row>
    <row r="1367" spans="1:25" ht="15" hidden="1" customHeight="1" x14ac:dyDescent="0.25">
      <c r="A1367" s="1" t="s">
        <v>29</v>
      </c>
      <c r="B1367" s="1" t="s">
        <v>64</v>
      </c>
      <c r="C1367" s="1" t="s">
        <v>147</v>
      </c>
      <c r="D1367">
        <v>13661</v>
      </c>
      <c r="E1367" s="1" t="s">
        <v>243</v>
      </c>
      <c r="F1367" s="1" t="s">
        <v>147</v>
      </c>
      <c r="G1367" s="1" t="s">
        <v>147</v>
      </c>
      <c r="H1367" s="1" t="s">
        <v>1405</v>
      </c>
      <c r="I1367">
        <v>2009</v>
      </c>
      <c r="J1367" s="93">
        <v>3191.03</v>
      </c>
      <c r="K1367">
        <v>1</v>
      </c>
      <c r="L1367" s="1" t="s">
        <v>435</v>
      </c>
      <c r="M1367">
        <v>0</v>
      </c>
      <c r="N1367">
        <v>307</v>
      </c>
      <c r="O1367">
        <v>10.390848999999999</v>
      </c>
      <c r="P1367">
        <v>2</v>
      </c>
      <c r="Q1367" s="1" t="s">
        <v>569</v>
      </c>
      <c r="R1367" s="93">
        <v>3191.03</v>
      </c>
      <c r="S1367">
        <v>1496.6</v>
      </c>
      <c r="T1367">
        <v>0</v>
      </c>
      <c r="U1367" s="1" t="s">
        <v>1000</v>
      </c>
      <c r="V1367" s="1" t="s">
        <v>1282</v>
      </c>
      <c r="W1367">
        <v>3191.0430299999998</v>
      </c>
      <c r="X1367">
        <v>0</v>
      </c>
      <c r="Y1367">
        <v>91249</v>
      </c>
    </row>
    <row r="1368" spans="1:25" ht="15" hidden="1" customHeight="1" x14ac:dyDescent="0.25">
      <c r="A1368" s="1" t="s">
        <v>29</v>
      </c>
      <c r="B1368" s="1" t="s">
        <v>64</v>
      </c>
      <c r="C1368" s="1" t="s">
        <v>147</v>
      </c>
      <c r="D1368">
        <v>13661</v>
      </c>
      <c r="E1368" s="1" t="s">
        <v>243</v>
      </c>
      <c r="F1368" s="1" t="s">
        <v>147</v>
      </c>
      <c r="G1368" s="1" t="s">
        <v>147</v>
      </c>
      <c r="H1368" s="1" t="s">
        <v>1405</v>
      </c>
      <c r="I1368">
        <v>2008</v>
      </c>
      <c r="J1368" s="93">
        <v>3951.15</v>
      </c>
      <c r="K1368">
        <v>1</v>
      </c>
      <c r="L1368" s="1" t="s">
        <v>435</v>
      </c>
      <c r="M1368">
        <v>0</v>
      </c>
      <c r="N1368">
        <v>307</v>
      </c>
      <c r="O1368">
        <v>12.866004</v>
      </c>
      <c r="P1368">
        <v>2</v>
      </c>
      <c r="Q1368" s="1" t="s">
        <v>569</v>
      </c>
      <c r="R1368" s="93">
        <v>3951.15</v>
      </c>
      <c r="S1368">
        <v>1853.12</v>
      </c>
      <c r="T1368">
        <v>0</v>
      </c>
      <c r="U1368" s="1" t="s">
        <v>1000</v>
      </c>
      <c r="V1368" s="1" t="s">
        <v>1282</v>
      </c>
      <c r="W1368">
        <v>3951.1728899999998</v>
      </c>
      <c r="X1368">
        <v>0</v>
      </c>
      <c r="Y1368">
        <v>91249</v>
      </c>
    </row>
    <row r="1369" spans="1:25" ht="15" hidden="1" customHeight="1" x14ac:dyDescent="0.25">
      <c r="A1369" s="1" t="s">
        <v>29</v>
      </c>
      <c r="B1369" s="1"/>
      <c r="C1369" s="1" t="s">
        <v>148</v>
      </c>
      <c r="D1369">
        <v>10206</v>
      </c>
      <c r="E1369" s="1"/>
      <c r="F1369" s="1" t="s">
        <v>281</v>
      </c>
      <c r="G1369" s="1" t="s">
        <v>148</v>
      </c>
      <c r="H1369" s="1" t="s">
        <v>1405</v>
      </c>
      <c r="I1369">
        <v>2015</v>
      </c>
      <c r="J1369" s="93">
        <v>12033</v>
      </c>
      <c r="K1369">
        <v>5</v>
      </c>
      <c r="L1369" s="1" t="s">
        <v>416</v>
      </c>
      <c r="M1369">
        <v>0</v>
      </c>
      <c r="N1369">
        <v>439</v>
      </c>
      <c r="O1369">
        <v>12.217923000000001</v>
      </c>
      <c r="P1369">
        <v>2</v>
      </c>
      <c r="Q1369" s="1" t="s">
        <v>569</v>
      </c>
      <c r="R1369" s="93">
        <v>5364.89</v>
      </c>
      <c r="S1369">
        <v>1609.46</v>
      </c>
      <c r="T1369">
        <v>0</v>
      </c>
      <c r="U1369" s="1" t="s">
        <v>1001</v>
      </c>
      <c r="V1369" s="1" t="s">
        <v>1283</v>
      </c>
      <c r="W1369">
        <v>5364.8837000000003</v>
      </c>
      <c r="X1369">
        <v>0</v>
      </c>
      <c r="Y1369">
        <v>77393</v>
      </c>
    </row>
    <row r="1370" spans="1:25" ht="15" hidden="1" customHeight="1" x14ac:dyDescent="0.25">
      <c r="A1370" s="1" t="s">
        <v>29</v>
      </c>
      <c r="B1370" s="1"/>
      <c r="C1370" s="1" t="s">
        <v>149</v>
      </c>
      <c r="D1370">
        <v>14003</v>
      </c>
      <c r="E1370" s="1" t="s">
        <v>243</v>
      </c>
      <c r="F1370" s="1" t="s">
        <v>282</v>
      </c>
      <c r="G1370" s="1" t="s">
        <v>149</v>
      </c>
      <c r="H1370" s="1" t="s">
        <v>1405</v>
      </c>
      <c r="I1370">
        <v>2014</v>
      </c>
      <c r="J1370" s="93">
        <v>2281.39</v>
      </c>
      <c r="K1370">
        <v>5</v>
      </c>
      <c r="L1370" s="1" t="s">
        <v>425</v>
      </c>
      <c r="M1370">
        <v>0</v>
      </c>
      <c r="N1370">
        <v>50</v>
      </c>
      <c r="O1370">
        <v>45.536726000000002</v>
      </c>
      <c r="P1370">
        <v>2</v>
      </c>
      <c r="Q1370" s="1" t="s">
        <v>569</v>
      </c>
      <c r="R1370" s="93">
        <v>2281.39</v>
      </c>
      <c r="S1370">
        <v>684.41</v>
      </c>
      <c r="T1370">
        <v>0</v>
      </c>
      <c r="U1370" s="1" t="s">
        <v>1003</v>
      </c>
      <c r="V1370" s="1" t="s">
        <v>1284</v>
      </c>
      <c r="W1370">
        <v>2281.3933999999999</v>
      </c>
      <c r="X1370">
        <v>0</v>
      </c>
      <c r="Y1370">
        <v>92999</v>
      </c>
    </row>
    <row r="1371" spans="1:25" ht="15" hidden="1" customHeight="1" x14ac:dyDescent="0.25">
      <c r="A1371" s="1" t="s">
        <v>29</v>
      </c>
      <c r="B1371" s="1"/>
      <c r="C1371" s="1" t="s">
        <v>148</v>
      </c>
      <c r="D1371">
        <v>10206</v>
      </c>
      <c r="E1371" s="1"/>
      <c r="F1371" s="1" t="s">
        <v>281</v>
      </c>
      <c r="G1371" s="1" t="s">
        <v>148</v>
      </c>
      <c r="H1371" s="1" t="s">
        <v>1405</v>
      </c>
      <c r="I1371">
        <v>2012</v>
      </c>
      <c r="J1371" s="93">
        <v>14595.95</v>
      </c>
      <c r="K1371">
        <v>12</v>
      </c>
      <c r="L1371" s="1" t="s">
        <v>416</v>
      </c>
      <c r="M1371">
        <v>0</v>
      </c>
      <c r="N1371">
        <v>439</v>
      </c>
      <c r="O1371">
        <v>33.240605000000002</v>
      </c>
      <c r="P1371">
        <v>2</v>
      </c>
      <c r="Q1371" s="1" t="s">
        <v>569</v>
      </c>
      <c r="R1371" s="93">
        <v>14595.95</v>
      </c>
      <c r="S1371">
        <v>5838.37</v>
      </c>
      <c r="T1371">
        <v>0</v>
      </c>
      <c r="U1371" s="1" t="s">
        <v>1001</v>
      </c>
      <c r="V1371" s="1" t="s">
        <v>1283</v>
      </c>
      <c r="W1371">
        <v>14595.95</v>
      </c>
      <c r="X1371">
        <v>0</v>
      </c>
      <c r="Y1371">
        <v>77393</v>
      </c>
    </row>
    <row r="1372" spans="1:25" ht="15" hidden="1" customHeight="1" x14ac:dyDescent="0.25">
      <c r="A1372" s="1" t="s">
        <v>29</v>
      </c>
      <c r="B1372" s="1"/>
      <c r="C1372" s="1" t="s">
        <v>148</v>
      </c>
      <c r="D1372">
        <v>10206</v>
      </c>
      <c r="E1372" s="1"/>
      <c r="F1372" s="1" t="s">
        <v>281</v>
      </c>
      <c r="G1372" s="1" t="s">
        <v>148</v>
      </c>
      <c r="H1372" s="1" t="s">
        <v>1405</v>
      </c>
      <c r="I1372">
        <v>2011</v>
      </c>
      <c r="J1372" s="93">
        <v>15834.53</v>
      </c>
      <c r="K1372">
        <v>12</v>
      </c>
      <c r="L1372" s="1" t="s">
        <v>416</v>
      </c>
      <c r="M1372">
        <v>0</v>
      </c>
      <c r="N1372">
        <v>439</v>
      </c>
      <c r="O1372">
        <v>36.061329000000001</v>
      </c>
      <c r="P1372">
        <v>2</v>
      </c>
      <c r="Q1372" s="1" t="s">
        <v>569</v>
      </c>
      <c r="R1372" s="93">
        <v>15834.53</v>
      </c>
      <c r="S1372">
        <v>7426.4</v>
      </c>
      <c r="T1372">
        <v>0</v>
      </c>
      <c r="U1372" s="1" t="s">
        <v>1001</v>
      </c>
      <c r="V1372" s="1" t="s">
        <v>1283</v>
      </c>
      <c r="W1372">
        <v>15834.5273</v>
      </c>
      <c r="X1372">
        <v>0</v>
      </c>
      <c r="Y1372">
        <v>77393</v>
      </c>
    </row>
    <row r="1373" spans="1:25" ht="15" hidden="1" customHeight="1" x14ac:dyDescent="0.25">
      <c r="A1373" s="1" t="s">
        <v>29</v>
      </c>
      <c r="B1373" s="1"/>
      <c r="C1373" s="1" t="s">
        <v>148</v>
      </c>
      <c r="D1373">
        <v>10206</v>
      </c>
      <c r="E1373" s="1"/>
      <c r="F1373" s="1" t="s">
        <v>281</v>
      </c>
      <c r="G1373" s="1" t="s">
        <v>148</v>
      </c>
      <c r="H1373" s="1" t="s">
        <v>1405</v>
      </c>
      <c r="I1373">
        <v>2010</v>
      </c>
      <c r="J1373" s="93">
        <v>18417</v>
      </c>
      <c r="K1373">
        <v>8</v>
      </c>
      <c r="L1373" s="1" t="s">
        <v>416</v>
      </c>
      <c r="M1373">
        <v>0</v>
      </c>
      <c r="N1373">
        <v>439</v>
      </c>
      <c r="O1373">
        <v>41.942608999999997</v>
      </c>
      <c r="P1373">
        <v>2</v>
      </c>
      <c r="Q1373" s="1" t="s">
        <v>569</v>
      </c>
      <c r="R1373" s="93">
        <v>18417</v>
      </c>
      <c r="S1373">
        <v>8637.6</v>
      </c>
      <c r="T1373">
        <v>0</v>
      </c>
      <c r="U1373" s="1" t="s">
        <v>1001</v>
      </c>
      <c r="V1373" s="1" t="s">
        <v>1283</v>
      </c>
      <c r="W1373">
        <v>18417.0147</v>
      </c>
      <c r="X1373">
        <v>0</v>
      </c>
      <c r="Y1373">
        <v>77393</v>
      </c>
    </row>
    <row r="1374" spans="1:25" ht="15" hidden="1" customHeight="1" x14ac:dyDescent="0.25">
      <c r="A1374" s="1" t="s">
        <v>29</v>
      </c>
      <c r="B1374" s="1"/>
      <c r="C1374" s="1" t="s">
        <v>148</v>
      </c>
      <c r="D1374">
        <v>10206</v>
      </c>
      <c r="E1374" s="1"/>
      <c r="F1374" s="1" t="s">
        <v>281</v>
      </c>
      <c r="G1374" s="1" t="s">
        <v>148</v>
      </c>
      <c r="H1374" s="1" t="s">
        <v>1405</v>
      </c>
      <c r="I1374">
        <v>2009</v>
      </c>
      <c r="J1374" s="93">
        <v>17934.22</v>
      </c>
      <c r="K1374">
        <v>5</v>
      </c>
      <c r="L1374" s="1" t="s">
        <v>416</v>
      </c>
      <c r="M1374">
        <v>0</v>
      </c>
      <c r="N1374">
        <v>439</v>
      </c>
      <c r="O1374">
        <v>40.843133000000002</v>
      </c>
      <c r="P1374">
        <v>2</v>
      </c>
      <c r="Q1374" s="1" t="s">
        <v>569</v>
      </c>
      <c r="R1374" s="93">
        <v>17934.22</v>
      </c>
      <c r="S1374">
        <v>8411.17</v>
      </c>
      <c r="T1374">
        <v>0</v>
      </c>
      <c r="U1374" s="1" t="s">
        <v>1001</v>
      </c>
      <c r="V1374" s="1" t="s">
        <v>1283</v>
      </c>
      <c r="W1374">
        <v>17934.226200000001</v>
      </c>
      <c r="X1374">
        <v>0</v>
      </c>
      <c r="Y1374">
        <v>77393</v>
      </c>
    </row>
    <row r="1375" spans="1:25" ht="15" hidden="1" customHeight="1" x14ac:dyDescent="0.25">
      <c r="A1375" s="1" t="s">
        <v>29</v>
      </c>
      <c r="B1375" s="1"/>
      <c r="C1375" s="1" t="s">
        <v>148</v>
      </c>
      <c r="D1375">
        <v>10206</v>
      </c>
      <c r="E1375" s="1"/>
      <c r="F1375" s="1" t="s">
        <v>281</v>
      </c>
      <c r="G1375" s="1" t="s">
        <v>148</v>
      </c>
      <c r="H1375" s="1" t="s">
        <v>1405</v>
      </c>
      <c r="I1375">
        <v>2008</v>
      </c>
      <c r="J1375" s="93">
        <v>19854.5</v>
      </c>
      <c r="K1375">
        <v>4</v>
      </c>
      <c r="L1375" s="1" t="s">
        <v>416</v>
      </c>
      <c r="M1375">
        <v>0</v>
      </c>
      <c r="N1375">
        <v>439</v>
      </c>
      <c r="O1375">
        <v>45.216351000000003</v>
      </c>
      <c r="P1375">
        <v>2</v>
      </c>
      <c r="Q1375" s="1" t="s">
        <v>569</v>
      </c>
      <c r="R1375" s="93">
        <v>19854.5</v>
      </c>
      <c r="S1375">
        <v>9311.76</v>
      </c>
      <c r="T1375">
        <v>0</v>
      </c>
      <c r="U1375" s="1" t="s">
        <v>1001</v>
      </c>
      <c r="V1375" s="1" t="s">
        <v>1283</v>
      </c>
      <c r="W1375">
        <v>19854.516500000002</v>
      </c>
      <c r="X1375">
        <v>0</v>
      </c>
      <c r="Y1375">
        <v>77393</v>
      </c>
    </row>
    <row r="1376" spans="1:25" ht="15" hidden="1" customHeight="1" x14ac:dyDescent="0.25">
      <c r="A1376" s="1" t="s">
        <v>29</v>
      </c>
      <c r="B1376" s="1"/>
      <c r="C1376" s="1" t="s">
        <v>149</v>
      </c>
      <c r="D1376">
        <v>14003</v>
      </c>
      <c r="E1376" s="1" t="s">
        <v>243</v>
      </c>
      <c r="F1376" s="1" t="s">
        <v>282</v>
      </c>
      <c r="G1376" s="1" t="s">
        <v>149</v>
      </c>
      <c r="H1376" s="1" t="s">
        <v>1405</v>
      </c>
      <c r="I1376">
        <v>2015</v>
      </c>
      <c r="J1376" s="93">
        <v>2308</v>
      </c>
      <c r="K1376">
        <v>1</v>
      </c>
      <c r="L1376" s="1" t="s">
        <v>425</v>
      </c>
      <c r="M1376">
        <v>0</v>
      </c>
      <c r="N1376">
        <v>50</v>
      </c>
      <c r="O1376">
        <v>8.2433130000000006</v>
      </c>
      <c r="P1376">
        <v>2</v>
      </c>
      <c r="Q1376" s="1" t="s">
        <v>569</v>
      </c>
      <c r="R1376" s="93">
        <v>412.99</v>
      </c>
      <c r="S1376">
        <v>123.9</v>
      </c>
      <c r="T1376">
        <v>0</v>
      </c>
      <c r="U1376" s="1" t="s">
        <v>1003</v>
      </c>
      <c r="V1376" s="1" t="s">
        <v>1284</v>
      </c>
      <c r="W1376">
        <v>412.98959000000002</v>
      </c>
      <c r="X1376">
        <v>0</v>
      </c>
      <c r="Y1376">
        <v>92999</v>
      </c>
    </row>
    <row r="1377" spans="1:25" ht="15" hidden="1" customHeight="1" x14ac:dyDescent="0.25">
      <c r="A1377" s="1" t="s">
        <v>29</v>
      </c>
      <c r="B1377" s="1"/>
      <c r="C1377" s="1" t="s">
        <v>149</v>
      </c>
      <c r="D1377">
        <v>14003</v>
      </c>
      <c r="E1377" s="1" t="s">
        <v>243</v>
      </c>
      <c r="F1377" s="1" t="s">
        <v>282</v>
      </c>
      <c r="G1377" s="1" t="s">
        <v>149</v>
      </c>
      <c r="H1377" s="1" t="s">
        <v>1405</v>
      </c>
      <c r="I1377">
        <v>2013</v>
      </c>
      <c r="J1377" s="93">
        <v>2597.13</v>
      </c>
      <c r="K1377">
        <v>5</v>
      </c>
      <c r="L1377" s="1" t="s">
        <v>425</v>
      </c>
      <c r="M1377">
        <v>0</v>
      </c>
      <c r="N1377">
        <v>50</v>
      </c>
      <c r="O1377">
        <v>51.838921999999997</v>
      </c>
      <c r="P1377">
        <v>2</v>
      </c>
      <c r="Q1377" s="1" t="s">
        <v>569</v>
      </c>
      <c r="R1377" s="93">
        <v>2597.13</v>
      </c>
      <c r="S1377">
        <v>779.17</v>
      </c>
      <c r="T1377">
        <v>0</v>
      </c>
      <c r="U1377" s="1" t="s">
        <v>1003</v>
      </c>
      <c r="V1377" s="1" t="s">
        <v>1284</v>
      </c>
      <c r="W1377">
        <v>2597.1433400000001</v>
      </c>
      <c r="X1377">
        <v>0</v>
      </c>
      <c r="Y1377">
        <v>92999</v>
      </c>
    </row>
    <row r="1378" spans="1:25" ht="15" hidden="1" customHeight="1" x14ac:dyDescent="0.25">
      <c r="A1378" s="1" t="s">
        <v>29</v>
      </c>
      <c r="B1378" s="1"/>
      <c r="C1378" s="1" t="s">
        <v>149</v>
      </c>
      <c r="D1378">
        <v>14003</v>
      </c>
      <c r="E1378" s="1" t="s">
        <v>243</v>
      </c>
      <c r="F1378" s="1" t="s">
        <v>282</v>
      </c>
      <c r="G1378" s="1" t="s">
        <v>149</v>
      </c>
      <c r="H1378" s="1" t="s">
        <v>1405</v>
      </c>
      <c r="I1378">
        <v>2012</v>
      </c>
      <c r="J1378" s="93">
        <v>3216.47</v>
      </c>
      <c r="K1378">
        <v>3</v>
      </c>
      <c r="L1378" s="1" t="s">
        <v>425</v>
      </c>
      <c r="M1378">
        <v>0</v>
      </c>
      <c r="N1378">
        <v>50</v>
      </c>
      <c r="O1378">
        <v>64.200997999999998</v>
      </c>
      <c r="P1378">
        <v>2</v>
      </c>
      <c r="Q1378" s="1" t="s">
        <v>569</v>
      </c>
      <c r="R1378" s="93">
        <v>3216.47</v>
      </c>
      <c r="S1378">
        <v>1286.5899999999999</v>
      </c>
      <c r="T1378">
        <v>0</v>
      </c>
      <c r="U1378" s="1" t="s">
        <v>1003</v>
      </c>
      <c r="V1378" s="1" t="s">
        <v>1284</v>
      </c>
      <c r="W1378">
        <v>3216.4736899999998</v>
      </c>
      <c r="X1378">
        <v>0</v>
      </c>
      <c r="Y1378">
        <v>92999</v>
      </c>
    </row>
    <row r="1379" spans="1:25" ht="15" hidden="1" customHeight="1" x14ac:dyDescent="0.25">
      <c r="A1379" s="1" t="s">
        <v>30</v>
      </c>
      <c r="B1379" s="1" t="s">
        <v>60</v>
      </c>
      <c r="C1379" s="1" t="s">
        <v>133</v>
      </c>
      <c r="D1379">
        <v>5274</v>
      </c>
      <c r="E1379" s="1"/>
      <c r="F1379" s="1" t="s">
        <v>273</v>
      </c>
      <c r="G1379" s="1" t="s">
        <v>133</v>
      </c>
      <c r="H1379" s="1" t="s">
        <v>1405</v>
      </c>
      <c r="I1379">
        <v>2015</v>
      </c>
      <c r="J1379" s="93">
        <v>267</v>
      </c>
      <c r="K1379">
        <v>5</v>
      </c>
      <c r="L1379" s="1" t="s">
        <v>402</v>
      </c>
      <c r="M1379">
        <v>0</v>
      </c>
      <c r="N1379">
        <v>586</v>
      </c>
      <c r="O1379">
        <v>0.18467800000000001</v>
      </c>
      <c r="P1379">
        <v>3</v>
      </c>
      <c r="Q1379" s="1" t="s">
        <v>560</v>
      </c>
      <c r="R1379" s="93">
        <v>108.24</v>
      </c>
      <c r="S1379">
        <v>86.6</v>
      </c>
      <c r="T1379">
        <v>0</v>
      </c>
      <c r="U1379" s="1" t="s">
        <v>603</v>
      </c>
      <c r="V1379" s="1"/>
      <c r="W1379">
        <v>108.24</v>
      </c>
      <c r="X1379">
        <v>0</v>
      </c>
      <c r="Y1379">
        <v>56851</v>
      </c>
    </row>
    <row r="1380" spans="1:25" ht="15" hidden="1" customHeight="1" x14ac:dyDescent="0.25">
      <c r="A1380" s="1" t="s">
        <v>30</v>
      </c>
      <c r="B1380" s="1" t="s">
        <v>60</v>
      </c>
      <c r="C1380" s="1" t="s">
        <v>133</v>
      </c>
      <c r="D1380">
        <v>5274</v>
      </c>
      <c r="E1380" s="1"/>
      <c r="F1380" s="1" t="s">
        <v>273</v>
      </c>
      <c r="G1380" s="1" t="s">
        <v>133</v>
      </c>
      <c r="H1380" s="1" t="s">
        <v>1405</v>
      </c>
      <c r="I1380">
        <v>2013</v>
      </c>
      <c r="J1380" s="93">
        <v>248.67</v>
      </c>
      <c r="K1380">
        <v>12</v>
      </c>
      <c r="L1380" s="1" t="s">
        <v>402</v>
      </c>
      <c r="M1380">
        <v>0</v>
      </c>
      <c r="N1380">
        <v>586</v>
      </c>
      <c r="O1380">
        <v>0.42427900000000002</v>
      </c>
      <c r="P1380">
        <v>3</v>
      </c>
      <c r="Q1380" s="1" t="s">
        <v>560</v>
      </c>
      <c r="R1380" s="93">
        <v>248.67</v>
      </c>
      <c r="S1380">
        <v>198.95</v>
      </c>
      <c r="T1380">
        <v>0</v>
      </c>
      <c r="U1380" s="1" t="s">
        <v>603</v>
      </c>
      <c r="V1380" s="1"/>
      <c r="W1380">
        <v>248.68100000000001</v>
      </c>
      <c r="X1380">
        <v>0</v>
      </c>
      <c r="Y1380">
        <v>56851</v>
      </c>
    </row>
    <row r="1381" spans="1:25" ht="15" hidden="1" customHeight="1" x14ac:dyDescent="0.25">
      <c r="A1381" s="1" t="s">
        <v>30</v>
      </c>
      <c r="B1381" s="1" t="s">
        <v>60</v>
      </c>
      <c r="C1381" s="1" t="s">
        <v>133</v>
      </c>
      <c r="D1381">
        <v>5274</v>
      </c>
      <c r="E1381" s="1"/>
      <c r="F1381" s="1" t="s">
        <v>273</v>
      </c>
      <c r="G1381" s="1" t="s">
        <v>133</v>
      </c>
      <c r="H1381" s="1" t="s">
        <v>1405</v>
      </c>
      <c r="I1381">
        <v>2012</v>
      </c>
      <c r="J1381" s="93">
        <v>222.03</v>
      </c>
      <c r="K1381">
        <v>12</v>
      </c>
      <c r="L1381" s="1" t="s">
        <v>402</v>
      </c>
      <c r="M1381">
        <v>0</v>
      </c>
      <c r="N1381">
        <v>586</v>
      </c>
      <c r="O1381">
        <v>0.378826</v>
      </c>
      <c r="P1381">
        <v>3</v>
      </c>
      <c r="Q1381" s="1" t="s">
        <v>560</v>
      </c>
      <c r="R1381" s="93">
        <v>222.03</v>
      </c>
      <c r="S1381">
        <v>177.6</v>
      </c>
      <c r="T1381">
        <v>0</v>
      </c>
      <c r="U1381" s="1" t="s">
        <v>603</v>
      </c>
      <c r="V1381" s="1"/>
      <c r="W1381">
        <v>222.01</v>
      </c>
      <c r="X1381">
        <v>0</v>
      </c>
      <c r="Y1381">
        <v>56851</v>
      </c>
    </row>
    <row r="1382" spans="1:25" ht="15" hidden="1" customHeight="1" x14ac:dyDescent="0.25">
      <c r="A1382" s="1" t="s">
        <v>30</v>
      </c>
      <c r="B1382" s="1" t="s">
        <v>60</v>
      </c>
      <c r="C1382" s="1" t="s">
        <v>133</v>
      </c>
      <c r="D1382">
        <v>5274</v>
      </c>
      <c r="E1382" s="1"/>
      <c r="F1382" s="1" t="s">
        <v>273</v>
      </c>
      <c r="G1382" s="1" t="s">
        <v>133</v>
      </c>
      <c r="H1382" s="1" t="s">
        <v>1405</v>
      </c>
      <c r="I1382">
        <v>2011</v>
      </c>
      <c r="J1382" s="93">
        <v>229.52</v>
      </c>
      <c r="K1382">
        <v>12</v>
      </c>
      <c r="L1382" s="1" t="s">
        <v>402</v>
      </c>
      <c r="M1382">
        <v>0</v>
      </c>
      <c r="N1382">
        <v>586</v>
      </c>
      <c r="O1382">
        <v>0.39160499999999998</v>
      </c>
      <c r="P1382">
        <v>3</v>
      </c>
      <c r="Q1382" s="1" t="s">
        <v>560</v>
      </c>
      <c r="R1382" s="93">
        <v>229.52</v>
      </c>
      <c r="S1382">
        <v>183.6</v>
      </c>
      <c r="T1382">
        <v>0</v>
      </c>
      <c r="U1382" s="1" t="s">
        <v>603</v>
      </c>
      <c r="V1382" s="1"/>
      <c r="W1382">
        <v>229.512</v>
      </c>
      <c r="X1382">
        <v>0</v>
      </c>
      <c r="Y1382">
        <v>56851</v>
      </c>
    </row>
    <row r="1383" spans="1:25" ht="15" hidden="1" customHeight="1" x14ac:dyDescent="0.25">
      <c r="A1383" s="1" t="s">
        <v>30</v>
      </c>
      <c r="B1383" s="1" t="s">
        <v>60</v>
      </c>
      <c r="C1383" s="1" t="s">
        <v>133</v>
      </c>
      <c r="D1383">
        <v>5274</v>
      </c>
      <c r="E1383" s="1"/>
      <c r="F1383" s="1" t="s">
        <v>273</v>
      </c>
      <c r="G1383" s="1" t="s">
        <v>133</v>
      </c>
      <c r="H1383" s="1" t="s">
        <v>1405</v>
      </c>
      <c r="I1383">
        <v>2010</v>
      </c>
      <c r="J1383" s="93">
        <v>307.51</v>
      </c>
      <c r="K1383">
        <v>12</v>
      </c>
      <c r="L1383" s="1" t="s">
        <v>402</v>
      </c>
      <c r="M1383">
        <v>0</v>
      </c>
      <c r="N1383">
        <v>586</v>
      </c>
      <c r="O1383">
        <v>0.524671</v>
      </c>
      <c r="P1383">
        <v>3</v>
      </c>
      <c r="Q1383" s="1" t="s">
        <v>560</v>
      </c>
      <c r="R1383" s="93">
        <v>307.51</v>
      </c>
      <c r="S1383">
        <v>246</v>
      </c>
      <c r="T1383">
        <v>0</v>
      </c>
      <c r="U1383" s="1" t="s">
        <v>603</v>
      </c>
      <c r="V1383" s="1"/>
      <c r="W1383">
        <v>307.50099999999998</v>
      </c>
      <c r="X1383">
        <v>0</v>
      </c>
      <c r="Y1383">
        <v>56851</v>
      </c>
    </row>
    <row r="1384" spans="1:25" ht="15" hidden="1" customHeight="1" x14ac:dyDescent="0.25">
      <c r="A1384" s="1" t="s">
        <v>30</v>
      </c>
      <c r="B1384" s="1" t="s">
        <v>60</v>
      </c>
      <c r="C1384" s="1" t="s">
        <v>133</v>
      </c>
      <c r="D1384">
        <v>5274</v>
      </c>
      <c r="E1384" s="1"/>
      <c r="F1384" s="1" t="s">
        <v>273</v>
      </c>
      <c r="G1384" s="1" t="s">
        <v>133</v>
      </c>
      <c r="H1384" s="1" t="s">
        <v>1405</v>
      </c>
      <c r="I1384">
        <v>2009</v>
      </c>
      <c r="J1384" s="93">
        <v>331.1</v>
      </c>
      <c r="K1384">
        <v>12</v>
      </c>
      <c r="L1384" s="1" t="s">
        <v>402</v>
      </c>
      <c r="M1384">
        <v>0</v>
      </c>
      <c r="N1384">
        <v>586</v>
      </c>
      <c r="O1384">
        <v>0.56491999999999998</v>
      </c>
      <c r="P1384">
        <v>3</v>
      </c>
      <c r="Q1384" s="1" t="s">
        <v>560</v>
      </c>
      <c r="R1384" s="93">
        <v>331.1</v>
      </c>
      <c r="S1384">
        <v>264.86</v>
      </c>
      <c r="T1384">
        <v>0</v>
      </c>
      <c r="U1384" s="1" t="s">
        <v>603</v>
      </c>
      <c r="V1384" s="1"/>
      <c r="W1384">
        <v>331.10500000000002</v>
      </c>
      <c r="X1384">
        <v>0</v>
      </c>
      <c r="Y1384">
        <v>56851</v>
      </c>
    </row>
    <row r="1385" spans="1:25" ht="15" hidden="1" customHeight="1" x14ac:dyDescent="0.25">
      <c r="A1385" s="1" t="s">
        <v>30</v>
      </c>
      <c r="B1385" s="1" t="s">
        <v>60</v>
      </c>
      <c r="C1385" s="1" t="s">
        <v>133</v>
      </c>
      <c r="D1385">
        <v>5274</v>
      </c>
      <c r="E1385" s="1"/>
      <c r="F1385" s="1" t="s">
        <v>273</v>
      </c>
      <c r="G1385" s="1" t="s">
        <v>133</v>
      </c>
      <c r="H1385" s="1" t="s">
        <v>1405</v>
      </c>
      <c r="I1385">
        <v>2008</v>
      </c>
      <c r="J1385" s="93">
        <v>307.38</v>
      </c>
      <c r="K1385">
        <v>12</v>
      </c>
      <c r="L1385" s="1" t="s">
        <v>402</v>
      </c>
      <c r="M1385">
        <v>0</v>
      </c>
      <c r="N1385">
        <v>586</v>
      </c>
      <c r="O1385">
        <v>0.52444900000000005</v>
      </c>
      <c r="P1385">
        <v>3</v>
      </c>
      <c r="Q1385" s="1" t="s">
        <v>560</v>
      </c>
      <c r="R1385" s="93">
        <v>307.38</v>
      </c>
      <c r="S1385">
        <v>245.91</v>
      </c>
      <c r="T1385">
        <v>0</v>
      </c>
      <c r="U1385" s="1" t="s">
        <v>603</v>
      </c>
      <c r="V1385" s="1"/>
      <c r="W1385">
        <v>307.37799999999999</v>
      </c>
      <c r="X1385">
        <v>0</v>
      </c>
      <c r="Y1385">
        <v>56851</v>
      </c>
    </row>
    <row r="1386" spans="1:25" ht="15" hidden="1" customHeight="1" x14ac:dyDescent="0.25">
      <c r="A1386" s="1" t="s">
        <v>30</v>
      </c>
      <c r="B1386" s="1" t="s">
        <v>62</v>
      </c>
      <c r="C1386" s="1" t="s">
        <v>138</v>
      </c>
      <c r="D1386">
        <v>5275</v>
      </c>
      <c r="E1386" s="1"/>
      <c r="F1386" s="1" t="s">
        <v>276</v>
      </c>
      <c r="G1386" s="1" t="s">
        <v>276</v>
      </c>
      <c r="H1386" s="1" t="s">
        <v>1405</v>
      </c>
      <c r="I1386">
        <v>2015</v>
      </c>
      <c r="J1386" s="93">
        <v>217</v>
      </c>
      <c r="K1386">
        <v>5</v>
      </c>
      <c r="L1386" s="1" t="s">
        <v>402</v>
      </c>
      <c r="M1386">
        <v>0</v>
      </c>
      <c r="N1386">
        <v>675</v>
      </c>
      <c r="O1386">
        <v>0.15611</v>
      </c>
      <c r="P1386">
        <v>3</v>
      </c>
      <c r="Q1386" s="1" t="s">
        <v>560</v>
      </c>
      <c r="R1386" s="93">
        <v>105.39</v>
      </c>
      <c r="S1386">
        <v>84.31</v>
      </c>
      <c r="T1386">
        <v>0</v>
      </c>
      <c r="U1386" s="1" t="s">
        <v>608</v>
      </c>
      <c r="V1386" s="1"/>
      <c r="W1386">
        <v>105.381</v>
      </c>
      <c r="X1386">
        <v>0</v>
      </c>
      <c r="Y1386">
        <v>56857</v>
      </c>
    </row>
    <row r="1387" spans="1:25" ht="15" hidden="1" customHeight="1" x14ac:dyDescent="0.25">
      <c r="A1387" s="1" t="s">
        <v>30</v>
      </c>
      <c r="B1387" s="1" t="s">
        <v>62</v>
      </c>
      <c r="C1387" s="1" t="s">
        <v>138</v>
      </c>
      <c r="D1387">
        <v>5275</v>
      </c>
      <c r="E1387" s="1"/>
      <c r="F1387" s="1" t="s">
        <v>276</v>
      </c>
      <c r="G1387" s="1" t="s">
        <v>276</v>
      </c>
      <c r="H1387" s="1" t="s">
        <v>1405</v>
      </c>
      <c r="I1387">
        <v>2013</v>
      </c>
      <c r="J1387" s="93">
        <v>238.85</v>
      </c>
      <c r="K1387">
        <v>12</v>
      </c>
      <c r="L1387" s="1" t="s">
        <v>402</v>
      </c>
      <c r="M1387">
        <v>0</v>
      </c>
      <c r="N1387">
        <v>675</v>
      </c>
      <c r="O1387">
        <v>0.35379899999999997</v>
      </c>
      <c r="P1387">
        <v>3</v>
      </c>
      <c r="Q1387" s="1" t="s">
        <v>560</v>
      </c>
      <c r="R1387" s="93">
        <v>238.85</v>
      </c>
      <c r="S1387">
        <v>191.08</v>
      </c>
      <c r="T1387">
        <v>0</v>
      </c>
      <c r="U1387" s="1" t="s">
        <v>608</v>
      </c>
      <c r="V1387" s="1"/>
      <c r="W1387">
        <v>238.852</v>
      </c>
      <c r="X1387">
        <v>0</v>
      </c>
      <c r="Y1387">
        <v>56857</v>
      </c>
    </row>
    <row r="1388" spans="1:25" ht="15" hidden="1" customHeight="1" x14ac:dyDescent="0.25">
      <c r="A1388" s="1" t="s">
        <v>30</v>
      </c>
      <c r="B1388" s="1" t="s">
        <v>62</v>
      </c>
      <c r="C1388" s="1" t="s">
        <v>138</v>
      </c>
      <c r="D1388">
        <v>5275</v>
      </c>
      <c r="E1388" s="1"/>
      <c r="F1388" s="1" t="s">
        <v>276</v>
      </c>
      <c r="G1388" s="1" t="s">
        <v>276</v>
      </c>
      <c r="H1388" s="1" t="s">
        <v>1405</v>
      </c>
      <c r="I1388">
        <v>2012</v>
      </c>
      <c r="J1388" s="93">
        <v>205.45</v>
      </c>
      <c r="K1388">
        <v>12</v>
      </c>
      <c r="L1388" s="1" t="s">
        <v>402</v>
      </c>
      <c r="M1388">
        <v>0</v>
      </c>
      <c r="N1388">
        <v>675</v>
      </c>
      <c r="O1388">
        <v>0.30432500000000001</v>
      </c>
      <c r="P1388">
        <v>3</v>
      </c>
      <c r="Q1388" s="1" t="s">
        <v>560</v>
      </c>
      <c r="R1388" s="93">
        <v>205.45</v>
      </c>
      <c r="S1388">
        <v>164.37</v>
      </c>
      <c r="T1388">
        <v>0</v>
      </c>
      <c r="U1388" s="1" t="s">
        <v>608</v>
      </c>
      <c r="V1388" s="1"/>
      <c r="W1388">
        <v>205.46600000000001</v>
      </c>
      <c r="X1388">
        <v>0</v>
      </c>
      <c r="Y1388">
        <v>56857</v>
      </c>
    </row>
    <row r="1389" spans="1:25" ht="15" hidden="1" customHeight="1" x14ac:dyDescent="0.25">
      <c r="A1389" s="1" t="s">
        <v>30</v>
      </c>
      <c r="B1389" s="1" t="s">
        <v>62</v>
      </c>
      <c r="C1389" s="1" t="s">
        <v>138</v>
      </c>
      <c r="D1389">
        <v>5275</v>
      </c>
      <c r="E1389" s="1"/>
      <c r="F1389" s="1" t="s">
        <v>276</v>
      </c>
      <c r="G1389" s="1" t="s">
        <v>276</v>
      </c>
      <c r="H1389" s="1" t="s">
        <v>1405</v>
      </c>
      <c r="I1389">
        <v>2011</v>
      </c>
      <c r="J1389" s="93">
        <v>178.49</v>
      </c>
      <c r="K1389">
        <v>12</v>
      </c>
      <c r="L1389" s="1" t="s">
        <v>402</v>
      </c>
      <c r="M1389">
        <v>0</v>
      </c>
      <c r="N1389">
        <v>675</v>
      </c>
      <c r="O1389">
        <v>0.26439000000000001</v>
      </c>
      <c r="P1389">
        <v>3</v>
      </c>
      <c r="Q1389" s="1" t="s">
        <v>560</v>
      </c>
      <c r="R1389" s="93">
        <v>178.49</v>
      </c>
      <c r="S1389">
        <v>142.77000000000001</v>
      </c>
      <c r="T1389">
        <v>0</v>
      </c>
      <c r="U1389" s="1" t="s">
        <v>608</v>
      </c>
      <c r="V1389" s="1"/>
      <c r="W1389">
        <v>178.48599999999999</v>
      </c>
      <c r="X1389">
        <v>0</v>
      </c>
      <c r="Y1389">
        <v>56857</v>
      </c>
    </row>
    <row r="1390" spans="1:25" ht="15" hidden="1" customHeight="1" x14ac:dyDescent="0.25">
      <c r="A1390" s="1" t="s">
        <v>30</v>
      </c>
      <c r="B1390" s="1" t="s">
        <v>62</v>
      </c>
      <c r="C1390" s="1" t="s">
        <v>138</v>
      </c>
      <c r="D1390">
        <v>5275</v>
      </c>
      <c r="E1390" s="1"/>
      <c r="F1390" s="1" t="s">
        <v>276</v>
      </c>
      <c r="G1390" s="1" t="s">
        <v>276</v>
      </c>
      <c r="H1390" s="1" t="s">
        <v>1405</v>
      </c>
      <c r="I1390">
        <v>2010</v>
      </c>
      <c r="J1390" s="93">
        <v>81.92</v>
      </c>
      <c r="K1390">
        <v>12</v>
      </c>
      <c r="L1390" s="1" t="s">
        <v>402</v>
      </c>
      <c r="M1390">
        <v>0</v>
      </c>
      <c r="N1390">
        <v>675</v>
      </c>
      <c r="O1390">
        <v>0.12134399999999999</v>
      </c>
      <c r="P1390">
        <v>3</v>
      </c>
      <c r="Q1390" s="1" t="s">
        <v>560</v>
      </c>
      <c r="R1390" s="93">
        <v>81.92</v>
      </c>
      <c r="S1390">
        <v>65.56</v>
      </c>
      <c r="T1390">
        <v>0</v>
      </c>
      <c r="U1390" s="1" t="s">
        <v>608</v>
      </c>
      <c r="V1390" s="1"/>
      <c r="W1390">
        <v>81.932000000000002</v>
      </c>
      <c r="X1390">
        <v>0</v>
      </c>
      <c r="Y1390">
        <v>56857</v>
      </c>
    </row>
    <row r="1391" spans="1:25" ht="15" hidden="1" customHeight="1" x14ac:dyDescent="0.25">
      <c r="A1391" s="1" t="s">
        <v>30</v>
      </c>
      <c r="B1391" s="1" t="s">
        <v>62</v>
      </c>
      <c r="C1391" s="1" t="s">
        <v>138</v>
      </c>
      <c r="D1391">
        <v>5275</v>
      </c>
      <c r="E1391" s="1"/>
      <c r="F1391" s="1" t="s">
        <v>276</v>
      </c>
      <c r="G1391" s="1" t="s">
        <v>276</v>
      </c>
      <c r="H1391" s="1" t="s">
        <v>1405</v>
      </c>
      <c r="I1391">
        <v>2009</v>
      </c>
      <c r="J1391" s="93">
        <v>136.1</v>
      </c>
      <c r="K1391">
        <v>12</v>
      </c>
      <c r="L1391" s="1" t="s">
        <v>402</v>
      </c>
      <c r="M1391">
        <v>0</v>
      </c>
      <c r="N1391">
        <v>675</v>
      </c>
      <c r="O1391">
        <v>0.201599</v>
      </c>
      <c r="P1391">
        <v>3</v>
      </c>
      <c r="Q1391" s="1" t="s">
        <v>560</v>
      </c>
      <c r="R1391" s="93">
        <v>136.1</v>
      </c>
      <c r="S1391">
        <v>108.89</v>
      </c>
      <c r="T1391">
        <v>0</v>
      </c>
      <c r="U1391" s="1" t="s">
        <v>608</v>
      </c>
      <c r="V1391" s="1"/>
      <c r="W1391">
        <v>136.10900000000001</v>
      </c>
      <c r="X1391">
        <v>0</v>
      </c>
      <c r="Y1391">
        <v>56857</v>
      </c>
    </row>
    <row r="1392" spans="1:25" ht="15" hidden="1" customHeight="1" x14ac:dyDescent="0.25">
      <c r="A1392" s="1" t="s">
        <v>30</v>
      </c>
      <c r="B1392" s="1" t="s">
        <v>62</v>
      </c>
      <c r="C1392" s="1" t="s">
        <v>138</v>
      </c>
      <c r="D1392">
        <v>5275</v>
      </c>
      <c r="E1392" s="1"/>
      <c r="F1392" s="1" t="s">
        <v>276</v>
      </c>
      <c r="G1392" s="1" t="s">
        <v>276</v>
      </c>
      <c r="H1392" s="1" t="s">
        <v>1405</v>
      </c>
      <c r="I1392">
        <v>2008</v>
      </c>
      <c r="J1392" s="93">
        <v>195.97</v>
      </c>
      <c r="K1392">
        <v>12</v>
      </c>
      <c r="L1392" s="1" t="s">
        <v>402</v>
      </c>
      <c r="M1392">
        <v>0</v>
      </c>
      <c r="N1392">
        <v>675</v>
      </c>
      <c r="O1392">
        <v>0.29028199999999998</v>
      </c>
      <c r="P1392">
        <v>3</v>
      </c>
      <c r="Q1392" s="1" t="s">
        <v>560</v>
      </c>
      <c r="R1392" s="93">
        <v>195.97</v>
      </c>
      <c r="S1392">
        <v>156.78</v>
      </c>
      <c r="T1392">
        <v>0</v>
      </c>
      <c r="U1392" s="1" t="s">
        <v>608</v>
      </c>
      <c r="V1392" s="1"/>
      <c r="W1392">
        <v>195.965</v>
      </c>
      <c r="X1392">
        <v>0</v>
      </c>
      <c r="Y1392">
        <v>56857</v>
      </c>
    </row>
    <row r="1393" spans="1:25" ht="15" hidden="1" customHeight="1" x14ac:dyDescent="0.25">
      <c r="A1393" s="1" t="s">
        <v>30</v>
      </c>
      <c r="B1393" s="1"/>
      <c r="C1393" s="1" t="s">
        <v>150</v>
      </c>
      <c r="D1393">
        <v>10208</v>
      </c>
      <c r="E1393" s="1"/>
      <c r="F1393" s="1" t="s">
        <v>283</v>
      </c>
      <c r="G1393" s="1" t="s">
        <v>150</v>
      </c>
      <c r="H1393" s="1" t="s">
        <v>1405</v>
      </c>
      <c r="I1393">
        <v>2015</v>
      </c>
      <c r="J1393" s="93">
        <v>247</v>
      </c>
      <c r="K1393">
        <v>5</v>
      </c>
      <c r="L1393" s="1" t="s">
        <v>426</v>
      </c>
      <c r="M1393">
        <v>0</v>
      </c>
      <c r="N1393">
        <v>741</v>
      </c>
      <c r="O1393">
        <v>0.195385</v>
      </c>
      <c r="P1393">
        <v>3</v>
      </c>
      <c r="Q1393" s="1" t="s">
        <v>560</v>
      </c>
      <c r="R1393" s="93">
        <v>144.80000000000001</v>
      </c>
      <c r="S1393">
        <v>115.84</v>
      </c>
      <c r="T1393">
        <v>0</v>
      </c>
      <c r="U1393" s="1" t="s">
        <v>621</v>
      </c>
      <c r="V1393" s="1"/>
      <c r="W1393">
        <v>144.80000000000001</v>
      </c>
      <c r="X1393">
        <v>0</v>
      </c>
      <c r="Y1393">
        <v>77412</v>
      </c>
    </row>
    <row r="1394" spans="1:25" ht="15" hidden="1" customHeight="1" x14ac:dyDescent="0.25">
      <c r="A1394" s="1" t="s">
        <v>30</v>
      </c>
      <c r="B1394" s="1"/>
      <c r="C1394" s="1" t="s">
        <v>150</v>
      </c>
      <c r="D1394">
        <v>10208</v>
      </c>
      <c r="E1394" s="1"/>
      <c r="F1394" s="1" t="s">
        <v>283</v>
      </c>
      <c r="G1394" s="1" t="s">
        <v>150</v>
      </c>
      <c r="H1394" s="1" t="s">
        <v>1405</v>
      </c>
      <c r="I1394">
        <v>2013</v>
      </c>
      <c r="J1394" s="93">
        <v>198.9</v>
      </c>
      <c r="K1394">
        <v>12</v>
      </c>
      <c r="L1394" s="1" t="s">
        <v>426</v>
      </c>
      <c r="M1394">
        <v>0</v>
      </c>
      <c r="N1394">
        <v>741</v>
      </c>
      <c r="O1394">
        <v>0.26838400000000001</v>
      </c>
      <c r="P1394">
        <v>3</v>
      </c>
      <c r="Q1394" s="1" t="s">
        <v>560</v>
      </c>
      <c r="R1394" s="93">
        <v>198.9</v>
      </c>
      <c r="S1394">
        <v>159.12</v>
      </c>
      <c r="T1394">
        <v>0</v>
      </c>
      <c r="U1394" s="1" t="s">
        <v>621</v>
      </c>
      <c r="V1394" s="1"/>
      <c r="W1394">
        <v>198.9</v>
      </c>
      <c r="X1394">
        <v>0</v>
      </c>
      <c r="Y1394">
        <v>77412</v>
      </c>
    </row>
    <row r="1395" spans="1:25" ht="15" hidden="1" customHeight="1" x14ac:dyDescent="0.25">
      <c r="A1395" s="1" t="s">
        <v>30</v>
      </c>
      <c r="B1395" s="1"/>
      <c r="C1395" s="1" t="s">
        <v>150</v>
      </c>
      <c r="D1395">
        <v>10208</v>
      </c>
      <c r="E1395" s="1"/>
      <c r="F1395" s="1" t="s">
        <v>283</v>
      </c>
      <c r="G1395" s="1" t="s">
        <v>150</v>
      </c>
      <c r="H1395" s="1" t="s">
        <v>1405</v>
      </c>
      <c r="I1395">
        <v>2012</v>
      </c>
      <c r="J1395" s="93">
        <v>195.5</v>
      </c>
      <c r="K1395">
        <v>12</v>
      </c>
      <c r="L1395" s="1" t="s">
        <v>426</v>
      </c>
      <c r="M1395">
        <v>0</v>
      </c>
      <c r="N1395">
        <v>741</v>
      </c>
      <c r="O1395">
        <v>0.263797</v>
      </c>
      <c r="P1395">
        <v>3</v>
      </c>
      <c r="Q1395" s="1" t="s">
        <v>560</v>
      </c>
      <c r="R1395" s="93">
        <v>195.5</v>
      </c>
      <c r="S1395">
        <v>156.4</v>
      </c>
      <c r="T1395">
        <v>0</v>
      </c>
      <c r="U1395" s="1" t="s">
        <v>621</v>
      </c>
      <c r="V1395" s="1"/>
      <c r="W1395">
        <v>195.5</v>
      </c>
      <c r="X1395">
        <v>0</v>
      </c>
      <c r="Y1395">
        <v>77412</v>
      </c>
    </row>
    <row r="1396" spans="1:25" ht="15" hidden="1" customHeight="1" x14ac:dyDescent="0.25">
      <c r="A1396" s="1" t="s">
        <v>30</v>
      </c>
      <c r="B1396" s="1"/>
      <c r="C1396" s="1" t="s">
        <v>150</v>
      </c>
      <c r="D1396">
        <v>10208</v>
      </c>
      <c r="E1396" s="1"/>
      <c r="F1396" s="1" t="s">
        <v>283</v>
      </c>
      <c r="G1396" s="1" t="s">
        <v>150</v>
      </c>
      <c r="H1396" s="1" t="s">
        <v>1405</v>
      </c>
      <c r="I1396">
        <v>2011</v>
      </c>
      <c r="J1396" s="93">
        <v>183.88</v>
      </c>
      <c r="K1396">
        <v>6</v>
      </c>
      <c r="L1396" s="1" t="s">
        <v>426</v>
      </c>
      <c r="M1396">
        <v>0</v>
      </c>
      <c r="N1396">
        <v>741</v>
      </c>
      <c r="O1396">
        <v>0.248117</v>
      </c>
      <c r="P1396">
        <v>3</v>
      </c>
      <c r="Q1396" s="1" t="s">
        <v>560</v>
      </c>
      <c r="R1396" s="93">
        <v>183.88</v>
      </c>
      <c r="S1396">
        <v>147.1</v>
      </c>
      <c r="T1396">
        <v>0</v>
      </c>
      <c r="U1396" s="1" t="s">
        <v>621</v>
      </c>
      <c r="V1396" s="1"/>
      <c r="W1396">
        <v>183.87855999999999</v>
      </c>
      <c r="X1396">
        <v>0</v>
      </c>
      <c r="Y1396">
        <v>77412</v>
      </c>
    </row>
    <row r="1397" spans="1:25" ht="15" hidden="1" customHeight="1" x14ac:dyDescent="0.25">
      <c r="A1397" s="1" t="s">
        <v>30</v>
      </c>
      <c r="B1397" s="1"/>
      <c r="C1397" s="1" t="s">
        <v>150</v>
      </c>
      <c r="D1397">
        <v>10208</v>
      </c>
      <c r="E1397" s="1"/>
      <c r="F1397" s="1" t="s">
        <v>283</v>
      </c>
      <c r="G1397" s="1" t="s">
        <v>150</v>
      </c>
      <c r="H1397" s="1" t="s">
        <v>1405</v>
      </c>
      <c r="I1397">
        <v>2010</v>
      </c>
      <c r="J1397" s="93">
        <v>242.33</v>
      </c>
      <c r="K1397">
        <v>6</v>
      </c>
      <c r="L1397" s="1" t="s">
        <v>426</v>
      </c>
      <c r="M1397">
        <v>0</v>
      </c>
      <c r="N1397">
        <v>741</v>
      </c>
      <c r="O1397">
        <v>0.326986</v>
      </c>
      <c r="P1397">
        <v>3</v>
      </c>
      <c r="Q1397" s="1" t="s">
        <v>560</v>
      </c>
      <c r="R1397" s="93">
        <v>242.33</v>
      </c>
      <c r="S1397">
        <v>193.86</v>
      </c>
      <c r="T1397">
        <v>0</v>
      </c>
      <c r="U1397" s="1" t="s">
        <v>621</v>
      </c>
      <c r="V1397" s="1"/>
      <c r="W1397">
        <v>242.31729999999999</v>
      </c>
      <c r="X1397">
        <v>0</v>
      </c>
      <c r="Y1397">
        <v>77412</v>
      </c>
    </row>
    <row r="1398" spans="1:25" ht="15" hidden="1" customHeight="1" x14ac:dyDescent="0.25">
      <c r="A1398" s="1" t="s">
        <v>30</v>
      </c>
      <c r="B1398" s="1"/>
      <c r="C1398" s="1" t="s">
        <v>150</v>
      </c>
      <c r="D1398">
        <v>10208</v>
      </c>
      <c r="E1398" s="1"/>
      <c r="F1398" s="1" t="s">
        <v>283</v>
      </c>
      <c r="G1398" s="1" t="s">
        <v>150</v>
      </c>
      <c r="H1398" s="1" t="s">
        <v>1405</v>
      </c>
      <c r="I1398">
        <v>2009</v>
      </c>
      <c r="J1398" s="93">
        <v>253.61</v>
      </c>
      <c r="K1398">
        <v>4</v>
      </c>
      <c r="L1398" s="1" t="s">
        <v>426</v>
      </c>
      <c r="M1398">
        <v>0</v>
      </c>
      <c r="N1398">
        <v>741</v>
      </c>
      <c r="O1398">
        <v>0.34220699999999998</v>
      </c>
      <c r="P1398">
        <v>3</v>
      </c>
      <c r="Q1398" s="1" t="s">
        <v>560</v>
      </c>
      <c r="R1398" s="93">
        <v>253.61</v>
      </c>
      <c r="S1398">
        <v>202.88</v>
      </c>
      <c r="T1398">
        <v>0</v>
      </c>
      <c r="U1398" s="1" t="s">
        <v>621</v>
      </c>
      <c r="V1398" s="1"/>
      <c r="W1398">
        <v>253.61223000000001</v>
      </c>
      <c r="X1398">
        <v>0</v>
      </c>
      <c r="Y1398">
        <v>77412</v>
      </c>
    </row>
    <row r="1399" spans="1:25" ht="15" hidden="1" customHeight="1" x14ac:dyDescent="0.25">
      <c r="A1399" s="1" t="s">
        <v>30</v>
      </c>
      <c r="B1399" s="1"/>
      <c r="C1399" s="1" t="s">
        <v>150</v>
      </c>
      <c r="D1399">
        <v>10208</v>
      </c>
      <c r="E1399" s="1"/>
      <c r="F1399" s="1" t="s">
        <v>283</v>
      </c>
      <c r="G1399" s="1" t="s">
        <v>150</v>
      </c>
      <c r="H1399" s="1" t="s">
        <v>1405</v>
      </c>
      <c r="I1399">
        <v>2008</v>
      </c>
      <c r="J1399" s="93">
        <v>195.38</v>
      </c>
      <c r="K1399">
        <v>5</v>
      </c>
      <c r="L1399" s="1" t="s">
        <v>426</v>
      </c>
      <c r="M1399">
        <v>0</v>
      </c>
      <c r="N1399">
        <v>741</v>
      </c>
      <c r="O1399">
        <v>0.26363500000000001</v>
      </c>
      <c r="P1399">
        <v>3</v>
      </c>
      <c r="Q1399" s="1" t="s">
        <v>560</v>
      </c>
      <c r="R1399" s="93">
        <v>195.38</v>
      </c>
      <c r="S1399">
        <v>156.31</v>
      </c>
      <c r="T1399">
        <v>0</v>
      </c>
      <c r="U1399" s="1" t="s">
        <v>621</v>
      </c>
      <c r="V1399" s="1"/>
      <c r="W1399">
        <v>195.36442</v>
      </c>
      <c r="X1399">
        <v>0</v>
      </c>
      <c r="Y1399">
        <v>77412</v>
      </c>
    </row>
    <row r="1400" spans="1:25" ht="15" hidden="1" customHeight="1" x14ac:dyDescent="0.25">
      <c r="A1400" s="1" t="s">
        <v>30</v>
      </c>
      <c r="B1400" s="1"/>
      <c r="C1400" s="1" t="s">
        <v>151</v>
      </c>
      <c r="D1400">
        <v>10236</v>
      </c>
      <c r="E1400" s="1"/>
      <c r="F1400" s="1" t="s">
        <v>284</v>
      </c>
      <c r="G1400" s="1" t="s">
        <v>151</v>
      </c>
      <c r="H1400" s="1" t="s">
        <v>1405</v>
      </c>
      <c r="I1400">
        <v>2015</v>
      </c>
      <c r="J1400" s="93">
        <v>588</v>
      </c>
      <c r="K1400">
        <v>2</v>
      </c>
      <c r="L1400" s="1" t="s">
        <v>427</v>
      </c>
      <c r="M1400">
        <v>0</v>
      </c>
      <c r="N1400">
        <v>696</v>
      </c>
      <c r="O1400">
        <v>0.14630000000000001</v>
      </c>
      <c r="P1400">
        <v>3</v>
      </c>
      <c r="Q1400" s="1" t="s">
        <v>560</v>
      </c>
      <c r="R1400" s="93">
        <v>101.84</v>
      </c>
      <c r="S1400">
        <v>81.459999999999994</v>
      </c>
      <c r="T1400">
        <v>0</v>
      </c>
      <c r="U1400" s="1" t="s">
        <v>622</v>
      </c>
      <c r="V1400" s="1"/>
      <c r="W1400">
        <v>101.82980000000001</v>
      </c>
      <c r="X1400">
        <v>0</v>
      </c>
      <c r="Y1400">
        <v>77525</v>
      </c>
    </row>
    <row r="1401" spans="1:25" ht="15" hidden="1" customHeight="1" x14ac:dyDescent="0.25">
      <c r="A1401" s="1" t="s">
        <v>30</v>
      </c>
      <c r="B1401" s="1"/>
      <c r="C1401" s="1" t="s">
        <v>151</v>
      </c>
      <c r="D1401">
        <v>10236</v>
      </c>
      <c r="E1401" s="1"/>
      <c r="F1401" s="1" t="s">
        <v>284</v>
      </c>
      <c r="G1401" s="1" t="s">
        <v>151</v>
      </c>
      <c r="H1401" s="1" t="s">
        <v>1405</v>
      </c>
      <c r="I1401">
        <v>2013</v>
      </c>
      <c r="J1401" s="93">
        <v>630.66999999999996</v>
      </c>
      <c r="K1401">
        <v>7</v>
      </c>
      <c r="L1401" s="1" t="s">
        <v>427</v>
      </c>
      <c r="M1401">
        <v>0</v>
      </c>
      <c r="N1401">
        <v>696</v>
      </c>
      <c r="O1401">
        <v>0.90600400000000003</v>
      </c>
      <c r="P1401">
        <v>3</v>
      </c>
      <c r="Q1401" s="1" t="s">
        <v>560</v>
      </c>
      <c r="R1401" s="93">
        <v>630.66999999999996</v>
      </c>
      <c r="S1401">
        <v>504.54</v>
      </c>
      <c r="T1401">
        <v>0</v>
      </c>
      <c r="U1401" s="1" t="s">
        <v>622</v>
      </c>
      <c r="V1401" s="1"/>
      <c r="W1401">
        <v>630.67461000000003</v>
      </c>
      <c r="X1401">
        <v>0</v>
      </c>
      <c r="Y1401">
        <v>77525</v>
      </c>
    </row>
    <row r="1402" spans="1:25" ht="15" hidden="1" customHeight="1" x14ac:dyDescent="0.25">
      <c r="A1402" s="1" t="s">
        <v>30</v>
      </c>
      <c r="B1402" s="1"/>
      <c r="C1402" s="1" t="s">
        <v>151</v>
      </c>
      <c r="D1402">
        <v>10236</v>
      </c>
      <c r="E1402" s="1"/>
      <c r="F1402" s="1" t="s">
        <v>284</v>
      </c>
      <c r="G1402" s="1" t="s">
        <v>151</v>
      </c>
      <c r="H1402" s="1" t="s">
        <v>1405</v>
      </c>
      <c r="I1402">
        <v>2012</v>
      </c>
      <c r="J1402" s="93">
        <v>324.33999999999997</v>
      </c>
      <c r="K1402">
        <v>4</v>
      </c>
      <c r="L1402" s="1" t="s">
        <v>427</v>
      </c>
      <c r="M1402">
        <v>0</v>
      </c>
      <c r="N1402">
        <v>696</v>
      </c>
      <c r="O1402">
        <v>0.46593800000000002</v>
      </c>
      <c r="P1402">
        <v>3</v>
      </c>
      <c r="Q1402" s="1" t="s">
        <v>560</v>
      </c>
      <c r="R1402" s="93">
        <v>324.33999999999997</v>
      </c>
      <c r="S1402">
        <v>259.45999999999998</v>
      </c>
      <c r="T1402">
        <v>0</v>
      </c>
      <c r="U1402" s="1" t="s">
        <v>622</v>
      </c>
      <c r="V1402" s="1"/>
      <c r="W1402">
        <v>324.31648000000001</v>
      </c>
      <c r="X1402">
        <v>0</v>
      </c>
      <c r="Y1402">
        <v>77525</v>
      </c>
    </row>
    <row r="1403" spans="1:25" ht="15" hidden="1" customHeight="1" x14ac:dyDescent="0.25">
      <c r="A1403" s="1" t="s">
        <v>30</v>
      </c>
      <c r="B1403" s="1"/>
      <c r="C1403" s="1" t="s">
        <v>151</v>
      </c>
      <c r="D1403">
        <v>10236</v>
      </c>
      <c r="E1403" s="1"/>
      <c r="F1403" s="1" t="s">
        <v>284</v>
      </c>
      <c r="G1403" s="1" t="s">
        <v>151</v>
      </c>
      <c r="H1403" s="1" t="s">
        <v>1405</v>
      </c>
      <c r="I1403">
        <v>2011</v>
      </c>
      <c r="J1403" s="93">
        <v>327.19</v>
      </c>
      <c r="K1403">
        <v>11</v>
      </c>
      <c r="L1403" s="1" t="s">
        <v>427</v>
      </c>
      <c r="M1403">
        <v>0</v>
      </c>
      <c r="N1403">
        <v>696</v>
      </c>
      <c r="O1403">
        <v>0.47003299999999998</v>
      </c>
      <c r="P1403">
        <v>3</v>
      </c>
      <c r="Q1403" s="1" t="s">
        <v>560</v>
      </c>
      <c r="R1403" s="93">
        <v>327.19</v>
      </c>
      <c r="S1403">
        <v>261.73</v>
      </c>
      <c r="T1403">
        <v>0</v>
      </c>
      <c r="U1403" s="1" t="s">
        <v>622</v>
      </c>
      <c r="V1403" s="1"/>
      <c r="W1403">
        <v>327.17084999999997</v>
      </c>
      <c r="X1403">
        <v>0</v>
      </c>
      <c r="Y1403">
        <v>77525</v>
      </c>
    </row>
    <row r="1404" spans="1:25" ht="15" hidden="1" customHeight="1" x14ac:dyDescent="0.25">
      <c r="A1404" s="1" t="s">
        <v>30</v>
      </c>
      <c r="B1404" s="1"/>
      <c r="C1404" s="1" t="s">
        <v>151</v>
      </c>
      <c r="D1404">
        <v>10236</v>
      </c>
      <c r="E1404" s="1"/>
      <c r="F1404" s="1" t="s">
        <v>284</v>
      </c>
      <c r="G1404" s="1" t="s">
        <v>151</v>
      </c>
      <c r="H1404" s="1" t="s">
        <v>1405</v>
      </c>
      <c r="I1404">
        <v>2010</v>
      </c>
      <c r="J1404" s="93">
        <v>247.09</v>
      </c>
      <c r="K1404">
        <v>12</v>
      </c>
      <c r="L1404" s="1" t="s">
        <v>427</v>
      </c>
      <c r="M1404">
        <v>0</v>
      </c>
      <c r="N1404">
        <v>696</v>
      </c>
      <c r="O1404">
        <v>0.35496299999999997</v>
      </c>
      <c r="P1404">
        <v>3</v>
      </c>
      <c r="Q1404" s="1" t="s">
        <v>560</v>
      </c>
      <c r="R1404" s="93">
        <v>247.09</v>
      </c>
      <c r="S1404">
        <v>197.69</v>
      </c>
      <c r="T1404">
        <v>0</v>
      </c>
      <c r="U1404" s="1" t="s">
        <v>622</v>
      </c>
      <c r="V1404" s="1"/>
      <c r="W1404">
        <v>247.09523999999999</v>
      </c>
      <c r="X1404">
        <v>0</v>
      </c>
      <c r="Y1404">
        <v>77525</v>
      </c>
    </row>
    <row r="1405" spans="1:25" ht="15" hidden="1" customHeight="1" x14ac:dyDescent="0.25">
      <c r="A1405" s="1" t="s">
        <v>30</v>
      </c>
      <c r="B1405" s="1"/>
      <c r="C1405" s="1" t="s">
        <v>151</v>
      </c>
      <c r="D1405">
        <v>10236</v>
      </c>
      <c r="E1405" s="1"/>
      <c r="F1405" s="1" t="s">
        <v>284</v>
      </c>
      <c r="G1405" s="1" t="s">
        <v>151</v>
      </c>
      <c r="H1405" s="1" t="s">
        <v>1405</v>
      </c>
      <c r="I1405">
        <v>2009</v>
      </c>
      <c r="J1405" s="93">
        <v>252.53</v>
      </c>
      <c r="K1405">
        <v>11</v>
      </c>
      <c r="L1405" s="1" t="s">
        <v>427</v>
      </c>
      <c r="M1405">
        <v>0</v>
      </c>
      <c r="N1405">
        <v>696</v>
      </c>
      <c r="O1405">
        <v>0.36277799999999999</v>
      </c>
      <c r="P1405">
        <v>3</v>
      </c>
      <c r="Q1405" s="1" t="s">
        <v>560</v>
      </c>
      <c r="R1405" s="93">
        <v>252.53</v>
      </c>
      <c r="S1405">
        <v>202.03</v>
      </c>
      <c r="T1405">
        <v>0</v>
      </c>
      <c r="U1405" s="1" t="s">
        <v>622</v>
      </c>
      <c r="V1405" s="1"/>
      <c r="W1405">
        <v>252.53208000000001</v>
      </c>
      <c r="X1405">
        <v>0</v>
      </c>
      <c r="Y1405">
        <v>77525</v>
      </c>
    </row>
    <row r="1406" spans="1:25" ht="15" hidden="1" customHeight="1" x14ac:dyDescent="0.25">
      <c r="A1406" s="1" t="s">
        <v>30</v>
      </c>
      <c r="B1406" s="1"/>
      <c r="C1406" s="1" t="s">
        <v>151</v>
      </c>
      <c r="D1406">
        <v>10236</v>
      </c>
      <c r="E1406" s="1"/>
      <c r="F1406" s="1" t="s">
        <v>284</v>
      </c>
      <c r="G1406" s="1" t="s">
        <v>151</v>
      </c>
      <c r="H1406" s="1" t="s">
        <v>1405</v>
      </c>
      <c r="I1406">
        <v>2008</v>
      </c>
      <c r="J1406" s="93">
        <v>257.83999999999997</v>
      </c>
      <c r="K1406">
        <v>10</v>
      </c>
      <c r="L1406" s="1" t="s">
        <v>427</v>
      </c>
      <c r="M1406">
        <v>0</v>
      </c>
      <c r="N1406">
        <v>696</v>
      </c>
      <c r="O1406">
        <v>0.37040600000000001</v>
      </c>
      <c r="P1406">
        <v>3</v>
      </c>
      <c r="Q1406" s="1" t="s">
        <v>560</v>
      </c>
      <c r="R1406" s="93">
        <v>257.83999999999997</v>
      </c>
      <c r="S1406">
        <v>206.27</v>
      </c>
      <c r="T1406">
        <v>0</v>
      </c>
      <c r="U1406" s="1" t="s">
        <v>622</v>
      </c>
      <c r="V1406" s="1"/>
      <c r="W1406">
        <v>257.8329</v>
      </c>
      <c r="X1406">
        <v>0</v>
      </c>
      <c r="Y1406">
        <v>77525</v>
      </c>
    </row>
    <row r="1407" spans="1:25" ht="15" hidden="1" customHeight="1" x14ac:dyDescent="0.25">
      <c r="A1407" s="1" t="s">
        <v>30</v>
      </c>
      <c r="B1407" s="1" t="s">
        <v>65</v>
      </c>
      <c r="C1407" s="1" t="s">
        <v>152</v>
      </c>
      <c r="D1407">
        <v>5273</v>
      </c>
      <c r="E1407" s="1"/>
      <c r="F1407" s="1" t="s">
        <v>285</v>
      </c>
      <c r="G1407" s="1" t="s">
        <v>152</v>
      </c>
      <c r="H1407" s="1" t="s">
        <v>1405</v>
      </c>
      <c r="I1407">
        <v>2015</v>
      </c>
      <c r="J1407" s="93">
        <v>113</v>
      </c>
      <c r="K1407">
        <v>5</v>
      </c>
      <c r="L1407" s="1" t="s">
        <v>393</v>
      </c>
      <c r="M1407">
        <v>0</v>
      </c>
      <c r="N1407">
        <v>457</v>
      </c>
      <c r="O1407">
        <v>9.5449000000000006E-2</v>
      </c>
      <c r="P1407">
        <v>3</v>
      </c>
      <c r="Q1407" s="1" t="s">
        <v>560</v>
      </c>
      <c r="R1407" s="93">
        <v>43.63</v>
      </c>
      <c r="S1407">
        <v>34.909999999999997</v>
      </c>
      <c r="T1407">
        <v>0</v>
      </c>
      <c r="U1407" s="1" t="s">
        <v>623</v>
      </c>
      <c r="V1407" s="1"/>
      <c r="W1407">
        <v>43.634</v>
      </c>
      <c r="X1407">
        <v>0</v>
      </c>
      <c r="Y1407">
        <v>56845</v>
      </c>
    </row>
    <row r="1408" spans="1:25" ht="15" hidden="1" customHeight="1" x14ac:dyDescent="0.25">
      <c r="A1408" s="1" t="s">
        <v>30</v>
      </c>
      <c r="B1408" s="1" t="s">
        <v>65</v>
      </c>
      <c r="C1408" s="1" t="s">
        <v>152</v>
      </c>
      <c r="D1408">
        <v>5273</v>
      </c>
      <c r="E1408" s="1"/>
      <c r="F1408" s="1" t="s">
        <v>285</v>
      </c>
      <c r="G1408" s="1" t="s">
        <v>152</v>
      </c>
      <c r="H1408" s="1" t="s">
        <v>1405</v>
      </c>
      <c r="I1408">
        <v>2015</v>
      </c>
      <c r="J1408" s="93">
        <v>0</v>
      </c>
      <c r="K1408">
        <v>5</v>
      </c>
      <c r="L1408" s="1" t="s">
        <v>393</v>
      </c>
      <c r="M1408">
        <v>0</v>
      </c>
      <c r="N1408">
        <v>457</v>
      </c>
      <c r="O1408">
        <v>7.8700000000000005E-4</v>
      </c>
      <c r="P1408">
        <v>3</v>
      </c>
      <c r="Q1408" s="1" t="s">
        <v>560</v>
      </c>
      <c r="R1408" s="93">
        <v>0.36</v>
      </c>
      <c r="S1408">
        <v>0.28000000000000003</v>
      </c>
      <c r="T1408">
        <v>0</v>
      </c>
      <c r="U1408" s="1" t="s">
        <v>624</v>
      </c>
      <c r="V1408" s="1"/>
      <c r="W1408">
        <v>0.36</v>
      </c>
      <c r="X1408">
        <v>0</v>
      </c>
      <c r="Y1408">
        <v>57992</v>
      </c>
    </row>
    <row r="1409" spans="1:25" ht="15" hidden="1" customHeight="1" x14ac:dyDescent="0.25">
      <c r="A1409" s="1" t="s">
        <v>30</v>
      </c>
      <c r="B1409" s="1" t="s">
        <v>65</v>
      </c>
      <c r="C1409" s="1" t="s">
        <v>152</v>
      </c>
      <c r="D1409">
        <v>5273</v>
      </c>
      <c r="E1409" s="1"/>
      <c r="F1409" s="1" t="s">
        <v>285</v>
      </c>
      <c r="G1409" s="1" t="s">
        <v>152</v>
      </c>
      <c r="H1409" s="1" t="s">
        <v>1405</v>
      </c>
      <c r="I1409">
        <v>2013</v>
      </c>
      <c r="J1409" s="93">
        <v>177.46</v>
      </c>
      <c r="K1409">
        <v>12</v>
      </c>
      <c r="L1409" s="1" t="s">
        <v>393</v>
      </c>
      <c r="M1409">
        <v>0</v>
      </c>
      <c r="N1409">
        <v>457</v>
      </c>
      <c r="O1409">
        <v>0.38823000000000002</v>
      </c>
      <c r="P1409">
        <v>3</v>
      </c>
      <c r="Q1409" s="1" t="s">
        <v>560</v>
      </c>
      <c r="R1409" s="93">
        <v>177.46</v>
      </c>
      <c r="S1409">
        <v>141.97999999999999</v>
      </c>
      <c r="T1409">
        <v>0</v>
      </c>
      <c r="U1409" s="1" t="s">
        <v>623</v>
      </c>
      <c r="V1409" s="1"/>
      <c r="W1409">
        <v>177.465</v>
      </c>
      <c r="X1409">
        <v>0</v>
      </c>
      <c r="Y1409">
        <v>56845</v>
      </c>
    </row>
    <row r="1410" spans="1:25" ht="15" hidden="1" customHeight="1" x14ac:dyDescent="0.25">
      <c r="A1410" s="1" t="s">
        <v>30</v>
      </c>
      <c r="B1410" s="1" t="s">
        <v>65</v>
      </c>
      <c r="C1410" s="1" t="s">
        <v>152</v>
      </c>
      <c r="D1410">
        <v>5273</v>
      </c>
      <c r="E1410" s="1"/>
      <c r="F1410" s="1" t="s">
        <v>285</v>
      </c>
      <c r="G1410" s="1" t="s">
        <v>152</v>
      </c>
      <c r="H1410" s="1" t="s">
        <v>1405</v>
      </c>
      <c r="I1410">
        <v>2013</v>
      </c>
      <c r="J1410" s="93">
        <v>0.52</v>
      </c>
      <c r="K1410">
        <v>12</v>
      </c>
      <c r="L1410" s="1" t="s">
        <v>393</v>
      </c>
      <c r="M1410">
        <v>0</v>
      </c>
      <c r="N1410">
        <v>457</v>
      </c>
      <c r="O1410">
        <v>1.137E-3</v>
      </c>
      <c r="P1410">
        <v>3</v>
      </c>
      <c r="Q1410" s="1" t="s">
        <v>560</v>
      </c>
      <c r="R1410" s="93">
        <v>0.52</v>
      </c>
      <c r="S1410">
        <v>0.42</v>
      </c>
      <c r="T1410">
        <v>0</v>
      </c>
      <c r="U1410" s="1" t="s">
        <v>624</v>
      </c>
      <c r="V1410" s="1"/>
      <c r="W1410">
        <v>0.52</v>
      </c>
      <c r="X1410">
        <v>0</v>
      </c>
      <c r="Y1410">
        <v>57992</v>
      </c>
    </row>
    <row r="1411" spans="1:25" ht="15" hidden="1" customHeight="1" x14ac:dyDescent="0.25">
      <c r="A1411" s="1" t="s">
        <v>30</v>
      </c>
      <c r="B1411" s="1" t="s">
        <v>65</v>
      </c>
      <c r="C1411" s="1" t="s">
        <v>152</v>
      </c>
      <c r="D1411">
        <v>5273</v>
      </c>
      <c r="E1411" s="1"/>
      <c r="F1411" s="1" t="s">
        <v>285</v>
      </c>
      <c r="G1411" s="1" t="s">
        <v>152</v>
      </c>
      <c r="H1411" s="1" t="s">
        <v>1405</v>
      </c>
      <c r="I1411">
        <v>2012</v>
      </c>
      <c r="J1411" s="93">
        <v>216.27</v>
      </c>
      <c r="K1411">
        <v>12</v>
      </c>
      <c r="L1411" s="1" t="s">
        <v>393</v>
      </c>
      <c r="M1411">
        <v>0</v>
      </c>
      <c r="N1411">
        <v>457</v>
      </c>
      <c r="O1411">
        <v>0.473134</v>
      </c>
      <c r="P1411">
        <v>3</v>
      </c>
      <c r="Q1411" s="1" t="s">
        <v>560</v>
      </c>
      <c r="R1411" s="93">
        <v>216.27</v>
      </c>
      <c r="S1411">
        <v>173.02</v>
      </c>
      <c r="T1411">
        <v>0</v>
      </c>
      <c r="U1411" s="1" t="s">
        <v>623</v>
      </c>
      <c r="V1411" s="1"/>
      <c r="W1411">
        <v>216.27600000000001</v>
      </c>
      <c r="X1411">
        <v>0</v>
      </c>
      <c r="Y1411">
        <v>56845</v>
      </c>
    </row>
    <row r="1412" spans="1:25" ht="15" hidden="1" customHeight="1" x14ac:dyDescent="0.25">
      <c r="A1412" s="1" t="s">
        <v>30</v>
      </c>
      <c r="B1412" s="1" t="s">
        <v>65</v>
      </c>
      <c r="C1412" s="1" t="s">
        <v>152</v>
      </c>
      <c r="D1412">
        <v>5273</v>
      </c>
      <c r="E1412" s="1"/>
      <c r="F1412" s="1" t="s">
        <v>285</v>
      </c>
      <c r="G1412" s="1" t="s">
        <v>152</v>
      </c>
      <c r="H1412" s="1" t="s">
        <v>1405</v>
      </c>
      <c r="I1412">
        <v>2012</v>
      </c>
      <c r="J1412" s="93">
        <v>23.41</v>
      </c>
      <c r="K1412">
        <v>12</v>
      </c>
      <c r="L1412" s="1" t="s">
        <v>393</v>
      </c>
      <c r="M1412">
        <v>0</v>
      </c>
      <c r="N1412">
        <v>457</v>
      </c>
      <c r="O1412">
        <v>5.1214000000000003E-2</v>
      </c>
      <c r="P1412">
        <v>3</v>
      </c>
      <c r="Q1412" s="1" t="s">
        <v>560</v>
      </c>
      <c r="R1412" s="93">
        <v>23.41</v>
      </c>
      <c r="S1412">
        <v>18.71</v>
      </c>
      <c r="T1412">
        <v>0</v>
      </c>
      <c r="U1412" s="1" t="s">
        <v>624</v>
      </c>
      <c r="V1412" s="1"/>
      <c r="W1412">
        <v>23.41</v>
      </c>
      <c r="X1412">
        <v>0</v>
      </c>
      <c r="Y1412">
        <v>57992</v>
      </c>
    </row>
    <row r="1413" spans="1:25" ht="15" hidden="1" customHeight="1" x14ac:dyDescent="0.25">
      <c r="A1413" s="1" t="s">
        <v>30</v>
      </c>
      <c r="B1413" s="1" t="s">
        <v>65</v>
      </c>
      <c r="C1413" s="1" t="s">
        <v>152</v>
      </c>
      <c r="D1413">
        <v>5273</v>
      </c>
      <c r="E1413" s="1"/>
      <c r="F1413" s="1" t="s">
        <v>285</v>
      </c>
      <c r="G1413" s="1" t="s">
        <v>152</v>
      </c>
      <c r="H1413" s="1" t="s">
        <v>1405</v>
      </c>
      <c r="I1413">
        <v>2011</v>
      </c>
      <c r="J1413" s="93">
        <v>225.32</v>
      </c>
      <c r="K1413">
        <v>12</v>
      </c>
      <c r="L1413" s="1" t="s">
        <v>393</v>
      </c>
      <c r="M1413">
        <v>0</v>
      </c>
      <c r="N1413">
        <v>457</v>
      </c>
      <c r="O1413">
        <v>0.49293300000000001</v>
      </c>
      <c r="P1413">
        <v>3</v>
      </c>
      <c r="Q1413" s="1" t="s">
        <v>560</v>
      </c>
      <c r="R1413" s="93">
        <v>225.32</v>
      </c>
      <c r="S1413">
        <v>180.24</v>
      </c>
      <c r="T1413">
        <v>0</v>
      </c>
      <c r="U1413" s="1" t="s">
        <v>623</v>
      </c>
      <c r="V1413" s="1"/>
      <c r="W1413">
        <v>225.31100000000001</v>
      </c>
      <c r="X1413">
        <v>0</v>
      </c>
      <c r="Y1413">
        <v>56845</v>
      </c>
    </row>
    <row r="1414" spans="1:25" ht="15" hidden="1" customHeight="1" x14ac:dyDescent="0.25">
      <c r="A1414" s="1" t="s">
        <v>30</v>
      </c>
      <c r="B1414" s="1" t="s">
        <v>65</v>
      </c>
      <c r="C1414" s="1" t="s">
        <v>152</v>
      </c>
      <c r="D1414">
        <v>5273</v>
      </c>
      <c r="E1414" s="1"/>
      <c r="F1414" s="1" t="s">
        <v>285</v>
      </c>
      <c r="G1414" s="1" t="s">
        <v>152</v>
      </c>
      <c r="H1414" s="1" t="s">
        <v>1405</v>
      </c>
      <c r="I1414">
        <v>2011</v>
      </c>
      <c r="J1414" s="93">
        <v>0.57999999999999996</v>
      </c>
      <c r="K1414">
        <v>12</v>
      </c>
      <c r="L1414" s="1" t="s">
        <v>393</v>
      </c>
      <c r="M1414">
        <v>0</v>
      </c>
      <c r="N1414">
        <v>457</v>
      </c>
      <c r="O1414">
        <v>1.268E-3</v>
      </c>
      <c r="P1414">
        <v>3</v>
      </c>
      <c r="Q1414" s="1" t="s">
        <v>560</v>
      </c>
      <c r="R1414" s="93">
        <v>0.57999999999999996</v>
      </c>
      <c r="S1414">
        <v>0.48</v>
      </c>
      <c r="T1414">
        <v>0</v>
      </c>
      <c r="U1414" s="1" t="s">
        <v>624</v>
      </c>
      <c r="V1414" s="1"/>
      <c r="W1414">
        <v>0.57999999999999996</v>
      </c>
      <c r="X1414">
        <v>0</v>
      </c>
      <c r="Y1414">
        <v>57992</v>
      </c>
    </row>
    <row r="1415" spans="1:25" ht="15" hidden="1" customHeight="1" x14ac:dyDescent="0.25">
      <c r="A1415" s="1" t="s">
        <v>30</v>
      </c>
      <c r="B1415" s="1" t="s">
        <v>65</v>
      </c>
      <c r="C1415" s="1" t="s">
        <v>152</v>
      </c>
      <c r="D1415">
        <v>5273</v>
      </c>
      <c r="E1415" s="1"/>
      <c r="F1415" s="1" t="s">
        <v>285</v>
      </c>
      <c r="G1415" s="1" t="s">
        <v>152</v>
      </c>
      <c r="H1415" s="1" t="s">
        <v>1405</v>
      </c>
      <c r="I1415">
        <v>2010</v>
      </c>
      <c r="J1415" s="93">
        <v>198.57</v>
      </c>
      <c r="K1415">
        <v>12</v>
      </c>
      <c r="L1415" s="1" t="s">
        <v>393</v>
      </c>
      <c r="M1415">
        <v>0</v>
      </c>
      <c r="N1415">
        <v>457</v>
      </c>
      <c r="O1415">
        <v>0.43441200000000002</v>
      </c>
      <c r="P1415">
        <v>3</v>
      </c>
      <c r="Q1415" s="1" t="s">
        <v>560</v>
      </c>
      <c r="R1415" s="93">
        <v>198.57</v>
      </c>
      <c r="S1415">
        <v>158.86000000000001</v>
      </c>
      <c r="T1415">
        <v>0</v>
      </c>
      <c r="U1415" s="1" t="s">
        <v>623</v>
      </c>
      <c r="V1415" s="1"/>
      <c r="W1415">
        <v>198.57499999999999</v>
      </c>
      <c r="X1415">
        <v>0</v>
      </c>
      <c r="Y1415">
        <v>56845</v>
      </c>
    </row>
    <row r="1416" spans="1:25" ht="15" hidden="1" customHeight="1" x14ac:dyDescent="0.25">
      <c r="A1416" s="1" t="s">
        <v>30</v>
      </c>
      <c r="B1416" s="1" t="s">
        <v>65</v>
      </c>
      <c r="C1416" s="1" t="s">
        <v>152</v>
      </c>
      <c r="D1416">
        <v>5273</v>
      </c>
      <c r="E1416" s="1"/>
      <c r="F1416" s="1" t="s">
        <v>285</v>
      </c>
      <c r="G1416" s="1" t="s">
        <v>152</v>
      </c>
      <c r="H1416" s="1" t="s">
        <v>1405</v>
      </c>
      <c r="I1416">
        <v>2010</v>
      </c>
      <c r="J1416" s="93">
        <v>44.33</v>
      </c>
      <c r="K1416">
        <v>12</v>
      </c>
      <c r="L1416" s="1" t="s">
        <v>393</v>
      </c>
      <c r="M1416">
        <v>0</v>
      </c>
      <c r="N1416">
        <v>457</v>
      </c>
      <c r="O1416">
        <v>9.6979999999999997E-2</v>
      </c>
      <c r="P1416">
        <v>3</v>
      </c>
      <c r="Q1416" s="1" t="s">
        <v>560</v>
      </c>
      <c r="R1416" s="93">
        <v>44.33</v>
      </c>
      <c r="S1416">
        <v>35.46</v>
      </c>
      <c r="T1416">
        <v>0</v>
      </c>
      <c r="U1416" s="1" t="s">
        <v>624</v>
      </c>
      <c r="V1416" s="1"/>
      <c r="W1416">
        <v>44.33</v>
      </c>
      <c r="X1416">
        <v>0</v>
      </c>
      <c r="Y1416">
        <v>57992</v>
      </c>
    </row>
    <row r="1417" spans="1:25" ht="15" hidden="1" customHeight="1" x14ac:dyDescent="0.25">
      <c r="A1417" s="1" t="s">
        <v>30</v>
      </c>
      <c r="B1417" s="1" t="s">
        <v>65</v>
      </c>
      <c r="C1417" s="1" t="s">
        <v>152</v>
      </c>
      <c r="D1417">
        <v>5273</v>
      </c>
      <c r="E1417" s="1"/>
      <c r="F1417" s="1" t="s">
        <v>285</v>
      </c>
      <c r="G1417" s="1" t="s">
        <v>152</v>
      </c>
      <c r="H1417" s="1" t="s">
        <v>1405</v>
      </c>
      <c r="I1417">
        <v>2009</v>
      </c>
      <c r="J1417" s="93">
        <v>215.33</v>
      </c>
      <c r="K1417">
        <v>12</v>
      </c>
      <c r="L1417" s="1" t="s">
        <v>393</v>
      </c>
      <c r="M1417">
        <v>0</v>
      </c>
      <c r="N1417">
        <v>457</v>
      </c>
      <c r="O1417">
        <v>0.471078</v>
      </c>
      <c r="P1417">
        <v>3</v>
      </c>
      <c r="Q1417" s="1" t="s">
        <v>560</v>
      </c>
      <c r="R1417" s="93">
        <v>215.33</v>
      </c>
      <c r="S1417">
        <v>172.26</v>
      </c>
      <c r="T1417">
        <v>0</v>
      </c>
      <c r="U1417" s="1" t="s">
        <v>623</v>
      </c>
      <c r="V1417" s="1"/>
      <c r="W1417">
        <v>215.33699999999999</v>
      </c>
      <c r="X1417">
        <v>0</v>
      </c>
      <c r="Y1417">
        <v>56845</v>
      </c>
    </row>
    <row r="1418" spans="1:25" ht="15" hidden="1" customHeight="1" x14ac:dyDescent="0.25">
      <c r="A1418" s="1" t="s">
        <v>30</v>
      </c>
      <c r="B1418" s="1" t="s">
        <v>65</v>
      </c>
      <c r="C1418" s="1" t="s">
        <v>152</v>
      </c>
      <c r="D1418">
        <v>5273</v>
      </c>
      <c r="E1418" s="1"/>
      <c r="F1418" s="1" t="s">
        <v>285</v>
      </c>
      <c r="G1418" s="1" t="s">
        <v>152</v>
      </c>
      <c r="H1418" s="1" t="s">
        <v>1405</v>
      </c>
      <c r="I1418">
        <v>2009</v>
      </c>
      <c r="J1418" s="93">
        <v>152.37</v>
      </c>
      <c r="K1418">
        <v>12</v>
      </c>
      <c r="L1418" s="1" t="s">
        <v>393</v>
      </c>
      <c r="M1418">
        <v>0</v>
      </c>
      <c r="N1418">
        <v>457</v>
      </c>
      <c r="O1418">
        <v>0.33334000000000003</v>
      </c>
      <c r="P1418">
        <v>3</v>
      </c>
      <c r="Q1418" s="1" t="s">
        <v>560</v>
      </c>
      <c r="R1418" s="93">
        <v>152.37</v>
      </c>
      <c r="S1418">
        <v>121.91</v>
      </c>
      <c r="T1418">
        <v>0</v>
      </c>
      <c r="U1418" s="1" t="s">
        <v>624</v>
      </c>
      <c r="V1418" s="1"/>
      <c r="W1418">
        <v>152.37</v>
      </c>
      <c r="X1418">
        <v>0</v>
      </c>
      <c r="Y1418">
        <v>57992</v>
      </c>
    </row>
    <row r="1419" spans="1:25" ht="15" hidden="1" customHeight="1" x14ac:dyDescent="0.25">
      <c r="A1419" s="1" t="s">
        <v>30</v>
      </c>
      <c r="B1419" s="1" t="s">
        <v>65</v>
      </c>
      <c r="C1419" s="1" t="s">
        <v>152</v>
      </c>
      <c r="D1419">
        <v>5273</v>
      </c>
      <c r="E1419" s="1"/>
      <c r="F1419" s="1" t="s">
        <v>285</v>
      </c>
      <c r="G1419" s="1" t="s">
        <v>152</v>
      </c>
      <c r="H1419" s="1" t="s">
        <v>1405</v>
      </c>
      <c r="I1419">
        <v>2008</v>
      </c>
      <c r="J1419" s="93">
        <v>191.39</v>
      </c>
      <c r="K1419">
        <v>12</v>
      </c>
      <c r="L1419" s="1" t="s">
        <v>393</v>
      </c>
      <c r="M1419">
        <v>0</v>
      </c>
      <c r="N1419">
        <v>457</v>
      </c>
      <c r="O1419">
        <v>0.41870400000000002</v>
      </c>
      <c r="P1419">
        <v>3</v>
      </c>
      <c r="Q1419" s="1" t="s">
        <v>560</v>
      </c>
      <c r="R1419" s="93">
        <v>191.39</v>
      </c>
      <c r="S1419">
        <v>153.11000000000001</v>
      </c>
      <c r="T1419">
        <v>0</v>
      </c>
      <c r="U1419" s="1" t="s">
        <v>623</v>
      </c>
      <c r="V1419" s="1"/>
      <c r="W1419">
        <v>191.38900000000001</v>
      </c>
      <c r="X1419">
        <v>0</v>
      </c>
      <c r="Y1419">
        <v>56845</v>
      </c>
    </row>
    <row r="1420" spans="1:25" ht="15" hidden="1" customHeight="1" x14ac:dyDescent="0.25">
      <c r="A1420" s="1" t="s">
        <v>30</v>
      </c>
      <c r="B1420" s="1" t="s">
        <v>65</v>
      </c>
      <c r="C1420" s="1" t="s">
        <v>152</v>
      </c>
      <c r="D1420">
        <v>5273</v>
      </c>
      <c r="E1420" s="1"/>
      <c r="F1420" s="1" t="s">
        <v>285</v>
      </c>
      <c r="G1420" s="1" t="s">
        <v>152</v>
      </c>
      <c r="H1420" s="1" t="s">
        <v>1405</v>
      </c>
      <c r="I1420">
        <v>2008</v>
      </c>
      <c r="J1420" s="93">
        <v>65.64</v>
      </c>
      <c r="K1420">
        <v>12</v>
      </c>
      <c r="L1420" s="1" t="s">
        <v>393</v>
      </c>
      <c r="M1420">
        <v>0</v>
      </c>
      <c r="N1420">
        <v>457</v>
      </c>
      <c r="O1420">
        <v>0.14360000000000001</v>
      </c>
      <c r="P1420">
        <v>3</v>
      </c>
      <c r="Q1420" s="1" t="s">
        <v>560</v>
      </c>
      <c r="R1420" s="93">
        <v>65.64</v>
      </c>
      <c r="S1420">
        <v>52.5</v>
      </c>
      <c r="T1420">
        <v>0</v>
      </c>
      <c r="U1420" s="1" t="s">
        <v>624</v>
      </c>
      <c r="V1420" s="1"/>
      <c r="W1420">
        <v>65.64</v>
      </c>
      <c r="X1420">
        <v>0</v>
      </c>
      <c r="Y1420">
        <v>57992</v>
      </c>
    </row>
    <row r="1421" spans="1:25" ht="15" hidden="1" customHeight="1" x14ac:dyDescent="0.25">
      <c r="A1421" s="1" t="s">
        <v>30</v>
      </c>
      <c r="B1421" s="1"/>
      <c r="C1421" s="1" t="s">
        <v>153</v>
      </c>
      <c r="D1421">
        <v>10211</v>
      </c>
      <c r="E1421" s="1"/>
      <c r="F1421" s="1" t="s">
        <v>153</v>
      </c>
      <c r="G1421" s="1" t="s">
        <v>153</v>
      </c>
      <c r="H1421" s="1" t="s">
        <v>1405</v>
      </c>
      <c r="I1421">
        <v>2015</v>
      </c>
      <c r="J1421" s="93">
        <v>247</v>
      </c>
      <c r="K1421">
        <v>1</v>
      </c>
      <c r="L1421" s="1" t="s">
        <v>428</v>
      </c>
      <c r="M1421">
        <v>0</v>
      </c>
      <c r="N1421">
        <v>1107</v>
      </c>
      <c r="O1421">
        <v>1.8200000000000001E-2</v>
      </c>
      <c r="P1421">
        <v>3</v>
      </c>
      <c r="Q1421" s="1" t="s">
        <v>560</v>
      </c>
      <c r="R1421" s="93">
        <v>20.149999999999999</v>
      </c>
      <c r="S1421">
        <v>16.11</v>
      </c>
      <c r="T1421">
        <v>0</v>
      </c>
      <c r="U1421" s="1" t="s">
        <v>625</v>
      </c>
      <c r="V1421" s="1"/>
      <c r="W1421">
        <v>20.149799999999999</v>
      </c>
      <c r="X1421">
        <v>0</v>
      </c>
      <c r="Y1421">
        <v>77438</v>
      </c>
    </row>
    <row r="1422" spans="1:25" ht="15" hidden="1" customHeight="1" x14ac:dyDescent="0.25">
      <c r="A1422" s="1" t="s">
        <v>30</v>
      </c>
      <c r="B1422" s="1"/>
      <c r="C1422" s="1" t="s">
        <v>153</v>
      </c>
      <c r="D1422">
        <v>10211</v>
      </c>
      <c r="E1422" s="1"/>
      <c r="F1422" s="1" t="s">
        <v>153</v>
      </c>
      <c r="G1422" s="1" t="s">
        <v>153</v>
      </c>
      <c r="H1422" s="1" t="s">
        <v>1405</v>
      </c>
      <c r="I1422">
        <v>2013</v>
      </c>
      <c r="J1422" s="93">
        <v>217.57</v>
      </c>
      <c r="K1422">
        <v>3</v>
      </c>
      <c r="L1422" s="1" t="s">
        <v>428</v>
      </c>
      <c r="M1422">
        <v>0</v>
      </c>
      <c r="N1422">
        <v>1107</v>
      </c>
      <c r="O1422">
        <v>0.196522</v>
      </c>
      <c r="P1422">
        <v>3</v>
      </c>
      <c r="Q1422" s="1" t="s">
        <v>560</v>
      </c>
      <c r="R1422" s="93">
        <v>217.57</v>
      </c>
      <c r="S1422">
        <v>174.04</v>
      </c>
      <c r="T1422">
        <v>0</v>
      </c>
      <c r="U1422" s="1" t="s">
        <v>625</v>
      </c>
      <c r="V1422" s="1"/>
      <c r="W1422">
        <v>217.55937</v>
      </c>
      <c r="X1422">
        <v>0</v>
      </c>
      <c r="Y1422">
        <v>77438</v>
      </c>
    </row>
    <row r="1423" spans="1:25" ht="15" hidden="1" customHeight="1" x14ac:dyDescent="0.25">
      <c r="A1423" s="1" t="s">
        <v>30</v>
      </c>
      <c r="B1423" s="1"/>
      <c r="C1423" s="1" t="s">
        <v>153</v>
      </c>
      <c r="D1423">
        <v>10211</v>
      </c>
      <c r="E1423" s="1"/>
      <c r="F1423" s="1" t="s">
        <v>153</v>
      </c>
      <c r="G1423" s="1" t="s">
        <v>153</v>
      </c>
      <c r="H1423" s="1" t="s">
        <v>1405</v>
      </c>
      <c r="I1423">
        <v>2012</v>
      </c>
      <c r="J1423" s="93">
        <v>212.22</v>
      </c>
      <c r="K1423">
        <v>6</v>
      </c>
      <c r="L1423" s="1" t="s">
        <v>428</v>
      </c>
      <c r="M1423">
        <v>0</v>
      </c>
      <c r="N1423">
        <v>1107</v>
      </c>
      <c r="O1423">
        <v>0.19169</v>
      </c>
      <c r="P1423">
        <v>3</v>
      </c>
      <c r="Q1423" s="1" t="s">
        <v>560</v>
      </c>
      <c r="R1423" s="93">
        <v>212.22</v>
      </c>
      <c r="S1423">
        <v>169.75</v>
      </c>
      <c r="T1423">
        <v>0</v>
      </c>
      <c r="U1423" s="1" t="s">
        <v>625</v>
      </c>
      <c r="V1423" s="1"/>
      <c r="W1423">
        <v>212.19969</v>
      </c>
      <c r="X1423">
        <v>0</v>
      </c>
      <c r="Y1423">
        <v>77438</v>
      </c>
    </row>
    <row r="1424" spans="1:25" ht="15" hidden="1" customHeight="1" x14ac:dyDescent="0.25">
      <c r="A1424" s="1" t="s">
        <v>30</v>
      </c>
      <c r="B1424" s="1"/>
      <c r="C1424" s="1" t="s">
        <v>153</v>
      </c>
      <c r="D1424">
        <v>10211</v>
      </c>
      <c r="E1424" s="1"/>
      <c r="F1424" s="1" t="s">
        <v>153</v>
      </c>
      <c r="G1424" s="1" t="s">
        <v>153</v>
      </c>
      <c r="H1424" s="1" t="s">
        <v>1405</v>
      </c>
      <c r="I1424">
        <v>2011</v>
      </c>
      <c r="J1424" s="93">
        <v>224.37</v>
      </c>
      <c r="K1424">
        <v>4</v>
      </c>
      <c r="L1424" s="1" t="s">
        <v>428</v>
      </c>
      <c r="M1424">
        <v>0</v>
      </c>
      <c r="N1424">
        <v>1107</v>
      </c>
      <c r="O1424">
        <v>0.20266400000000001</v>
      </c>
      <c r="P1424">
        <v>3</v>
      </c>
      <c r="Q1424" s="1" t="s">
        <v>560</v>
      </c>
      <c r="R1424" s="93">
        <v>224.37</v>
      </c>
      <c r="S1424">
        <v>179.5</v>
      </c>
      <c r="T1424">
        <v>0</v>
      </c>
      <c r="U1424" s="1" t="s">
        <v>625</v>
      </c>
      <c r="V1424" s="1"/>
      <c r="W1424">
        <v>224.37454</v>
      </c>
      <c r="X1424">
        <v>0</v>
      </c>
      <c r="Y1424">
        <v>77438</v>
      </c>
    </row>
    <row r="1425" spans="1:25" ht="15" hidden="1" customHeight="1" x14ac:dyDescent="0.25">
      <c r="A1425" s="1" t="s">
        <v>30</v>
      </c>
      <c r="B1425" s="1"/>
      <c r="C1425" s="1" t="s">
        <v>153</v>
      </c>
      <c r="D1425">
        <v>10211</v>
      </c>
      <c r="E1425" s="1"/>
      <c r="F1425" s="1" t="s">
        <v>153</v>
      </c>
      <c r="G1425" s="1" t="s">
        <v>153</v>
      </c>
      <c r="H1425" s="1" t="s">
        <v>1405</v>
      </c>
      <c r="I1425">
        <v>2010</v>
      </c>
      <c r="J1425" s="93">
        <v>291.33999999999997</v>
      </c>
      <c r="K1425">
        <v>11</v>
      </c>
      <c r="L1425" s="1" t="s">
        <v>428</v>
      </c>
      <c r="M1425">
        <v>0</v>
      </c>
      <c r="N1425">
        <v>1107</v>
      </c>
      <c r="O1425">
        <v>0.26315499999999997</v>
      </c>
      <c r="P1425">
        <v>3</v>
      </c>
      <c r="Q1425" s="1" t="s">
        <v>560</v>
      </c>
      <c r="R1425" s="93">
        <v>291.33999999999997</v>
      </c>
      <c r="S1425">
        <v>233.08</v>
      </c>
      <c r="T1425">
        <v>0</v>
      </c>
      <c r="U1425" s="1" t="s">
        <v>625</v>
      </c>
      <c r="V1425" s="1"/>
      <c r="W1425">
        <v>291.33713999999998</v>
      </c>
      <c r="X1425">
        <v>0</v>
      </c>
      <c r="Y1425">
        <v>77438</v>
      </c>
    </row>
    <row r="1426" spans="1:25" ht="15" hidden="1" customHeight="1" x14ac:dyDescent="0.25">
      <c r="A1426" s="1" t="s">
        <v>30</v>
      </c>
      <c r="B1426" s="1"/>
      <c r="C1426" s="1" t="s">
        <v>153</v>
      </c>
      <c r="D1426">
        <v>10211</v>
      </c>
      <c r="E1426" s="1"/>
      <c r="F1426" s="1" t="s">
        <v>153</v>
      </c>
      <c r="G1426" s="1" t="s">
        <v>153</v>
      </c>
      <c r="H1426" s="1" t="s">
        <v>1405</v>
      </c>
      <c r="I1426">
        <v>2009</v>
      </c>
      <c r="J1426" s="93">
        <v>316.04000000000002</v>
      </c>
      <c r="K1426">
        <v>13</v>
      </c>
      <c r="L1426" s="1" t="s">
        <v>428</v>
      </c>
      <c r="M1426">
        <v>0</v>
      </c>
      <c r="N1426">
        <v>1107</v>
      </c>
      <c r="O1426">
        <v>0.285466</v>
      </c>
      <c r="P1426">
        <v>3</v>
      </c>
      <c r="Q1426" s="1" t="s">
        <v>560</v>
      </c>
      <c r="R1426" s="93">
        <v>316.04000000000002</v>
      </c>
      <c r="S1426">
        <v>252.83</v>
      </c>
      <c r="T1426">
        <v>0</v>
      </c>
      <c r="U1426" s="1" t="s">
        <v>625</v>
      </c>
      <c r="V1426" s="1"/>
      <c r="W1426">
        <v>316.02856000000003</v>
      </c>
      <c r="X1426">
        <v>0</v>
      </c>
      <c r="Y1426">
        <v>77438</v>
      </c>
    </row>
    <row r="1427" spans="1:25" ht="15" hidden="1" customHeight="1" x14ac:dyDescent="0.25">
      <c r="A1427" s="1" t="s">
        <v>30</v>
      </c>
      <c r="B1427" s="1"/>
      <c r="C1427" s="1" t="s">
        <v>153</v>
      </c>
      <c r="D1427">
        <v>10211</v>
      </c>
      <c r="E1427" s="1"/>
      <c r="F1427" s="1" t="s">
        <v>153</v>
      </c>
      <c r="G1427" s="1" t="s">
        <v>153</v>
      </c>
      <c r="H1427" s="1" t="s">
        <v>1405</v>
      </c>
      <c r="I1427">
        <v>2008</v>
      </c>
      <c r="J1427" s="93">
        <v>409.38</v>
      </c>
      <c r="K1427">
        <v>13</v>
      </c>
      <c r="L1427" s="1" t="s">
        <v>428</v>
      </c>
      <c r="M1427">
        <v>0</v>
      </c>
      <c r="N1427">
        <v>1107</v>
      </c>
      <c r="O1427">
        <v>0.36977599999999999</v>
      </c>
      <c r="P1427">
        <v>3</v>
      </c>
      <c r="Q1427" s="1" t="s">
        <v>560</v>
      </c>
      <c r="R1427" s="93">
        <v>409.38</v>
      </c>
      <c r="S1427">
        <v>327.52</v>
      </c>
      <c r="T1427">
        <v>0</v>
      </c>
      <c r="U1427" s="1" t="s">
        <v>625</v>
      </c>
      <c r="V1427" s="1"/>
      <c r="W1427">
        <v>409.39172000000002</v>
      </c>
      <c r="X1427">
        <v>0</v>
      </c>
      <c r="Y1427">
        <v>77438</v>
      </c>
    </row>
    <row r="1428" spans="1:25" ht="15" hidden="1" customHeight="1" x14ac:dyDescent="0.25">
      <c r="A1428" s="1" t="s">
        <v>30</v>
      </c>
      <c r="B1428" s="1" t="s">
        <v>53</v>
      </c>
      <c r="C1428" s="1" t="s">
        <v>154</v>
      </c>
      <c r="D1428">
        <v>5250</v>
      </c>
      <c r="E1428" s="1"/>
      <c r="F1428" s="1" t="s">
        <v>286</v>
      </c>
      <c r="G1428" s="1" t="s">
        <v>154</v>
      </c>
      <c r="H1428" s="1" t="s">
        <v>1405</v>
      </c>
      <c r="I1428">
        <v>2015</v>
      </c>
      <c r="J1428" s="93">
        <v>127</v>
      </c>
      <c r="K1428">
        <v>5</v>
      </c>
      <c r="L1428" s="1" t="s">
        <v>404</v>
      </c>
      <c r="M1428">
        <v>0</v>
      </c>
      <c r="N1428">
        <v>417</v>
      </c>
      <c r="O1428">
        <v>0.14279500000000001</v>
      </c>
      <c r="P1428">
        <v>3</v>
      </c>
      <c r="Q1428" s="1" t="s">
        <v>560</v>
      </c>
      <c r="R1428" s="93">
        <v>59.56</v>
      </c>
      <c r="S1428">
        <v>47.64</v>
      </c>
      <c r="T1428">
        <v>0</v>
      </c>
      <c r="U1428" s="1" t="s">
        <v>626</v>
      </c>
      <c r="V1428" s="1"/>
      <c r="W1428">
        <v>59.555</v>
      </c>
      <c r="X1428">
        <v>0</v>
      </c>
      <c r="Y1428">
        <v>57497</v>
      </c>
    </row>
    <row r="1429" spans="1:25" ht="15" hidden="1" customHeight="1" x14ac:dyDescent="0.25">
      <c r="A1429" s="1" t="s">
        <v>30</v>
      </c>
      <c r="B1429" s="1" t="s">
        <v>53</v>
      </c>
      <c r="C1429" s="1" t="s">
        <v>154</v>
      </c>
      <c r="D1429">
        <v>5250</v>
      </c>
      <c r="E1429" s="1"/>
      <c r="F1429" s="1" t="s">
        <v>286</v>
      </c>
      <c r="G1429" s="1" t="s">
        <v>154</v>
      </c>
      <c r="H1429" s="1" t="s">
        <v>1405</v>
      </c>
      <c r="I1429">
        <v>2013</v>
      </c>
      <c r="J1429" s="93">
        <v>131.77000000000001</v>
      </c>
      <c r="K1429">
        <v>12</v>
      </c>
      <c r="L1429" s="1" t="s">
        <v>404</v>
      </c>
      <c r="M1429">
        <v>0</v>
      </c>
      <c r="N1429">
        <v>417</v>
      </c>
      <c r="O1429">
        <v>0.31591900000000001</v>
      </c>
      <c r="P1429">
        <v>3</v>
      </c>
      <c r="Q1429" s="1" t="s">
        <v>560</v>
      </c>
      <c r="R1429" s="93">
        <v>131.77000000000001</v>
      </c>
      <c r="S1429">
        <v>105.4</v>
      </c>
      <c r="T1429">
        <v>0</v>
      </c>
      <c r="U1429" s="1" t="s">
        <v>626</v>
      </c>
      <c r="V1429" s="1"/>
      <c r="W1429">
        <v>131.78</v>
      </c>
      <c r="X1429">
        <v>0</v>
      </c>
      <c r="Y1429">
        <v>57497</v>
      </c>
    </row>
    <row r="1430" spans="1:25" ht="15" hidden="1" customHeight="1" x14ac:dyDescent="0.25">
      <c r="A1430" s="1" t="s">
        <v>30</v>
      </c>
      <c r="B1430" s="1" t="s">
        <v>53</v>
      </c>
      <c r="C1430" s="1" t="s">
        <v>154</v>
      </c>
      <c r="D1430">
        <v>5250</v>
      </c>
      <c r="E1430" s="1"/>
      <c r="F1430" s="1" t="s">
        <v>286</v>
      </c>
      <c r="G1430" s="1" t="s">
        <v>154</v>
      </c>
      <c r="H1430" s="1" t="s">
        <v>1405</v>
      </c>
      <c r="I1430">
        <v>2012</v>
      </c>
      <c r="J1430" s="93">
        <v>212.16</v>
      </c>
      <c r="K1430">
        <v>12</v>
      </c>
      <c r="L1430" s="1" t="s">
        <v>404</v>
      </c>
      <c r="M1430">
        <v>0</v>
      </c>
      <c r="N1430">
        <v>417</v>
      </c>
      <c r="O1430">
        <v>0.50865400000000005</v>
      </c>
      <c r="P1430">
        <v>3</v>
      </c>
      <c r="Q1430" s="1" t="s">
        <v>560</v>
      </c>
      <c r="R1430" s="93">
        <v>212.16</v>
      </c>
      <c r="S1430">
        <v>169.73</v>
      </c>
      <c r="T1430">
        <v>0</v>
      </c>
      <c r="U1430" s="1" t="s">
        <v>626</v>
      </c>
      <c r="V1430" s="1"/>
      <c r="W1430">
        <v>212.15799999999999</v>
      </c>
      <c r="X1430">
        <v>0</v>
      </c>
      <c r="Y1430">
        <v>57497</v>
      </c>
    </row>
    <row r="1431" spans="1:25" ht="15" hidden="1" customHeight="1" x14ac:dyDescent="0.25">
      <c r="A1431" s="1" t="s">
        <v>30</v>
      </c>
      <c r="B1431" s="1" t="s">
        <v>53</v>
      </c>
      <c r="C1431" s="1" t="s">
        <v>154</v>
      </c>
      <c r="D1431">
        <v>5250</v>
      </c>
      <c r="E1431" s="1"/>
      <c r="F1431" s="1" t="s">
        <v>286</v>
      </c>
      <c r="G1431" s="1" t="s">
        <v>154</v>
      </c>
      <c r="H1431" s="1" t="s">
        <v>1405</v>
      </c>
      <c r="I1431">
        <v>2011</v>
      </c>
      <c r="J1431" s="93">
        <v>162.69</v>
      </c>
      <c r="K1431">
        <v>12</v>
      </c>
      <c r="L1431" s="1" t="s">
        <v>404</v>
      </c>
      <c r="M1431">
        <v>0</v>
      </c>
      <c r="N1431">
        <v>417</v>
      </c>
      <c r="O1431">
        <v>0.39005000000000001</v>
      </c>
      <c r="P1431">
        <v>3</v>
      </c>
      <c r="Q1431" s="1" t="s">
        <v>560</v>
      </c>
      <c r="R1431" s="93">
        <v>162.69</v>
      </c>
      <c r="S1431">
        <v>130.15</v>
      </c>
      <c r="T1431">
        <v>0</v>
      </c>
      <c r="U1431" s="1" t="s">
        <v>626</v>
      </c>
      <c r="V1431" s="1"/>
      <c r="W1431">
        <v>162.69</v>
      </c>
      <c r="X1431">
        <v>0</v>
      </c>
      <c r="Y1431">
        <v>57497</v>
      </c>
    </row>
    <row r="1432" spans="1:25" ht="15" hidden="1" customHeight="1" x14ac:dyDescent="0.25">
      <c r="A1432" s="1" t="s">
        <v>30</v>
      </c>
      <c r="B1432" s="1" t="s">
        <v>53</v>
      </c>
      <c r="C1432" s="1" t="s">
        <v>154</v>
      </c>
      <c r="D1432">
        <v>5250</v>
      </c>
      <c r="E1432" s="1"/>
      <c r="F1432" s="1" t="s">
        <v>286</v>
      </c>
      <c r="G1432" s="1" t="s">
        <v>154</v>
      </c>
      <c r="H1432" s="1" t="s">
        <v>1405</v>
      </c>
      <c r="I1432">
        <v>2010</v>
      </c>
      <c r="J1432" s="93">
        <v>232.89</v>
      </c>
      <c r="K1432">
        <v>12</v>
      </c>
      <c r="L1432" s="1" t="s">
        <v>404</v>
      </c>
      <c r="M1432">
        <v>0</v>
      </c>
      <c r="N1432">
        <v>417</v>
      </c>
      <c r="O1432">
        <v>0.55835500000000005</v>
      </c>
      <c r="P1432">
        <v>3</v>
      </c>
      <c r="Q1432" s="1" t="s">
        <v>560</v>
      </c>
      <c r="R1432" s="93">
        <v>232.89</v>
      </c>
      <c r="S1432">
        <v>186.3</v>
      </c>
      <c r="T1432">
        <v>0</v>
      </c>
      <c r="U1432" s="1" t="s">
        <v>626</v>
      </c>
      <c r="V1432" s="1"/>
      <c r="W1432">
        <v>232.887</v>
      </c>
      <c r="X1432">
        <v>0</v>
      </c>
      <c r="Y1432">
        <v>57497</v>
      </c>
    </row>
    <row r="1433" spans="1:25" ht="15" hidden="1" customHeight="1" x14ac:dyDescent="0.25">
      <c r="A1433" s="1" t="s">
        <v>30</v>
      </c>
      <c r="B1433" s="1" t="s">
        <v>53</v>
      </c>
      <c r="C1433" s="1" t="s">
        <v>154</v>
      </c>
      <c r="D1433">
        <v>5250</v>
      </c>
      <c r="E1433" s="1"/>
      <c r="F1433" s="1" t="s">
        <v>286</v>
      </c>
      <c r="G1433" s="1" t="s">
        <v>154</v>
      </c>
      <c r="H1433" s="1" t="s">
        <v>1405</v>
      </c>
      <c r="I1433">
        <v>2009</v>
      </c>
      <c r="J1433" s="93">
        <v>294.3</v>
      </c>
      <c r="K1433">
        <v>12</v>
      </c>
      <c r="L1433" s="1" t="s">
        <v>404</v>
      </c>
      <c r="M1433">
        <v>0</v>
      </c>
      <c r="N1433">
        <v>417</v>
      </c>
      <c r="O1433">
        <v>0.70558600000000005</v>
      </c>
      <c r="P1433">
        <v>3</v>
      </c>
      <c r="Q1433" s="1" t="s">
        <v>560</v>
      </c>
      <c r="R1433" s="93">
        <v>294.3</v>
      </c>
      <c r="S1433">
        <v>235.44</v>
      </c>
      <c r="T1433">
        <v>0</v>
      </c>
      <c r="U1433" s="1" t="s">
        <v>626</v>
      </c>
      <c r="V1433" s="1"/>
      <c r="W1433">
        <v>294.29399999999998</v>
      </c>
      <c r="X1433">
        <v>0</v>
      </c>
      <c r="Y1433">
        <v>57497</v>
      </c>
    </row>
    <row r="1434" spans="1:25" ht="15" hidden="1" customHeight="1" x14ac:dyDescent="0.25">
      <c r="A1434" s="1" t="s">
        <v>30</v>
      </c>
      <c r="B1434" s="1" t="s">
        <v>53</v>
      </c>
      <c r="C1434" s="1" t="s">
        <v>154</v>
      </c>
      <c r="D1434">
        <v>5250</v>
      </c>
      <c r="E1434" s="1"/>
      <c r="F1434" s="1" t="s">
        <v>286</v>
      </c>
      <c r="G1434" s="1" t="s">
        <v>154</v>
      </c>
      <c r="H1434" s="1" t="s">
        <v>1405</v>
      </c>
      <c r="I1434">
        <v>2008</v>
      </c>
      <c r="J1434" s="93">
        <v>335.42</v>
      </c>
      <c r="K1434">
        <v>12</v>
      </c>
      <c r="L1434" s="1" t="s">
        <v>404</v>
      </c>
      <c r="M1434">
        <v>0</v>
      </c>
      <c r="N1434">
        <v>417</v>
      </c>
      <c r="O1434">
        <v>0.80417099999999997</v>
      </c>
      <c r="P1434">
        <v>3</v>
      </c>
      <c r="Q1434" s="1" t="s">
        <v>560</v>
      </c>
      <c r="R1434" s="93">
        <v>335.42</v>
      </c>
      <c r="S1434">
        <v>268.33</v>
      </c>
      <c r="T1434">
        <v>0</v>
      </c>
      <c r="U1434" s="1" t="s">
        <v>626</v>
      </c>
      <c r="V1434" s="1"/>
      <c r="W1434">
        <v>335.40800000000002</v>
      </c>
      <c r="X1434">
        <v>0</v>
      </c>
      <c r="Y1434">
        <v>57497</v>
      </c>
    </row>
    <row r="1435" spans="1:25" ht="15" hidden="1" customHeight="1" x14ac:dyDescent="0.25">
      <c r="A1435" s="1" t="s">
        <v>30</v>
      </c>
      <c r="B1435" s="1"/>
      <c r="C1435" s="1" t="s">
        <v>155</v>
      </c>
      <c r="D1435">
        <v>5941</v>
      </c>
      <c r="E1435" s="1"/>
      <c r="F1435" s="1" t="s">
        <v>155</v>
      </c>
      <c r="G1435" s="1" t="s">
        <v>155</v>
      </c>
      <c r="H1435" s="1" t="s">
        <v>1405</v>
      </c>
      <c r="I1435">
        <v>2015</v>
      </c>
      <c r="J1435" s="93">
        <v>23</v>
      </c>
      <c r="K1435">
        <v>5</v>
      </c>
      <c r="L1435" s="1" t="s">
        <v>411</v>
      </c>
      <c r="M1435">
        <v>0</v>
      </c>
      <c r="N1435">
        <v>550</v>
      </c>
      <c r="O1435">
        <v>3.6011000000000001E-2</v>
      </c>
      <c r="P1435">
        <v>3</v>
      </c>
      <c r="Q1435" s="1" t="s">
        <v>560</v>
      </c>
      <c r="R1435" s="93">
        <v>19.809999999999999</v>
      </c>
      <c r="S1435">
        <v>15.85</v>
      </c>
      <c r="T1435">
        <v>0</v>
      </c>
      <c r="U1435" s="1" t="s">
        <v>627</v>
      </c>
      <c r="V1435" s="1"/>
      <c r="W1435">
        <v>19.806999999999999</v>
      </c>
      <c r="X1435">
        <v>0</v>
      </c>
      <c r="Y1435">
        <v>59941</v>
      </c>
    </row>
    <row r="1436" spans="1:25" ht="15" hidden="1" customHeight="1" x14ac:dyDescent="0.25">
      <c r="A1436" s="1" t="s">
        <v>30</v>
      </c>
      <c r="B1436" s="1"/>
      <c r="C1436" s="1" t="s">
        <v>155</v>
      </c>
      <c r="D1436">
        <v>5941</v>
      </c>
      <c r="E1436" s="1"/>
      <c r="F1436" s="1" t="s">
        <v>155</v>
      </c>
      <c r="G1436" s="1" t="s">
        <v>155</v>
      </c>
      <c r="H1436" s="1" t="s">
        <v>1405</v>
      </c>
      <c r="I1436">
        <v>2013</v>
      </c>
      <c r="J1436" s="93">
        <v>56.4</v>
      </c>
      <c r="K1436">
        <v>12</v>
      </c>
      <c r="L1436" s="1" t="s">
        <v>411</v>
      </c>
      <c r="M1436">
        <v>0</v>
      </c>
      <c r="N1436">
        <v>550</v>
      </c>
      <c r="O1436">
        <v>0.10252600000000001</v>
      </c>
      <c r="P1436">
        <v>3</v>
      </c>
      <c r="Q1436" s="1" t="s">
        <v>560</v>
      </c>
      <c r="R1436" s="93">
        <v>56.4</v>
      </c>
      <c r="S1436">
        <v>45.11</v>
      </c>
      <c r="T1436">
        <v>0</v>
      </c>
      <c r="U1436" s="1" t="s">
        <v>627</v>
      </c>
      <c r="V1436" s="1"/>
      <c r="W1436">
        <v>56.390999999999998</v>
      </c>
      <c r="X1436">
        <v>0</v>
      </c>
      <c r="Y1436">
        <v>59941</v>
      </c>
    </row>
    <row r="1437" spans="1:25" ht="15" hidden="1" customHeight="1" x14ac:dyDescent="0.25">
      <c r="A1437" s="1" t="s">
        <v>30</v>
      </c>
      <c r="B1437" s="1"/>
      <c r="C1437" s="1" t="s">
        <v>155</v>
      </c>
      <c r="D1437">
        <v>5941</v>
      </c>
      <c r="E1437" s="1"/>
      <c r="F1437" s="1" t="s">
        <v>155</v>
      </c>
      <c r="G1437" s="1" t="s">
        <v>155</v>
      </c>
      <c r="H1437" s="1" t="s">
        <v>1405</v>
      </c>
      <c r="I1437">
        <v>2012</v>
      </c>
      <c r="J1437" s="93">
        <v>52.96</v>
      </c>
      <c r="K1437">
        <v>12</v>
      </c>
      <c r="L1437" s="1" t="s">
        <v>411</v>
      </c>
      <c r="M1437">
        <v>0</v>
      </c>
      <c r="N1437">
        <v>550</v>
      </c>
      <c r="O1437">
        <v>9.6272999999999997E-2</v>
      </c>
      <c r="P1437">
        <v>3</v>
      </c>
      <c r="Q1437" s="1" t="s">
        <v>560</v>
      </c>
      <c r="R1437" s="93">
        <v>52.96</v>
      </c>
      <c r="S1437">
        <v>42.36</v>
      </c>
      <c r="T1437">
        <v>0</v>
      </c>
      <c r="U1437" s="1" t="s">
        <v>627</v>
      </c>
      <c r="V1437" s="1"/>
      <c r="W1437">
        <v>52.953510000000001</v>
      </c>
      <c r="X1437">
        <v>0</v>
      </c>
      <c r="Y1437">
        <v>59941</v>
      </c>
    </row>
    <row r="1438" spans="1:25" ht="15" hidden="1" customHeight="1" x14ac:dyDescent="0.25">
      <c r="A1438" s="1" t="s">
        <v>30</v>
      </c>
      <c r="B1438" s="1"/>
      <c r="C1438" s="1" t="s">
        <v>155</v>
      </c>
      <c r="D1438">
        <v>5941</v>
      </c>
      <c r="E1438" s="1"/>
      <c r="F1438" s="1" t="s">
        <v>155</v>
      </c>
      <c r="G1438" s="1" t="s">
        <v>155</v>
      </c>
      <c r="H1438" s="1" t="s">
        <v>1405</v>
      </c>
      <c r="I1438">
        <v>2011</v>
      </c>
      <c r="J1438" s="93">
        <v>271.68</v>
      </c>
      <c r="K1438">
        <v>4</v>
      </c>
      <c r="L1438" s="1" t="s">
        <v>411</v>
      </c>
      <c r="M1438">
        <v>0</v>
      </c>
      <c r="N1438">
        <v>550</v>
      </c>
      <c r="O1438">
        <v>0.49387300000000001</v>
      </c>
      <c r="P1438">
        <v>3</v>
      </c>
      <c r="Q1438" s="1" t="s">
        <v>560</v>
      </c>
      <c r="R1438" s="93">
        <v>271.68</v>
      </c>
      <c r="S1438">
        <v>217.31</v>
      </c>
      <c r="T1438">
        <v>0</v>
      </c>
      <c r="U1438" s="1" t="s">
        <v>627</v>
      </c>
      <c r="V1438" s="1"/>
      <c r="W1438">
        <v>271.65505000000002</v>
      </c>
      <c r="X1438">
        <v>0</v>
      </c>
      <c r="Y1438">
        <v>59941</v>
      </c>
    </row>
    <row r="1439" spans="1:25" ht="15" hidden="1" customHeight="1" x14ac:dyDescent="0.25">
      <c r="A1439" s="1" t="s">
        <v>30</v>
      </c>
      <c r="B1439" s="1"/>
      <c r="C1439" s="1" t="s">
        <v>155</v>
      </c>
      <c r="D1439">
        <v>5941</v>
      </c>
      <c r="E1439" s="1"/>
      <c r="F1439" s="1" t="s">
        <v>155</v>
      </c>
      <c r="G1439" s="1" t="s">
        <v>155</v>
      </c>
      <c r="H1439" s="1" t="s">
        <v>1405</v>
      </c>
      <c r="I1439">
        <v>2010</v>
      </c>
      <c r="J1439" s="93">
        <v>150.56</v>
      </c>
      <c r="K1439">
        <v>4</v>
      </c>
      <c r="L1439" s="1" t="s">
        <v>411</v>
      </c>
      <c r="M1439">
        <v>0</v>
      </c>
      <c r="N1439">
        <v>550</v>
      </c>
      <c r="O1439">
        <v>0.27369500000000002</v>
      </c>
      <c r="P1439">
        <v>3</v>
      </c>
      <c r="Q1439" s="1" t="s">
        <v>560</v>
      </c>
      <c r="R1439" s="93">
        <v>150.56</v>
      </c>
      <c r="S1439">
        <v>120.45</v>
      </c>
      <c r="T1439">
        <v>0</v>
      </c>
      <c r="U1439" s="1" t="s">
        <v>627</v>
      </c>
      <c r="V1439" s="1"/>
      <c r="W1439">
        <v>150.5718</v>
      </c>
      <c r="X1439">
        <v>0</v>
      </c>
      <c r="Y1439">
        <v>59941</v>
      </c>
    </row>
    <row r="1440" spans="1:25" ht="15" hidden="1" customHeight="1" x14ac:dyDescent="0.25">
      <c r="A1440" s="1" t="s">
        <v>30</v>
      </c>
      <c r="B1440" s="1"/>
      <c r="C1440" s="1" t="s">
        <v>155</v>
      </c>
      <c r="D1440">
        <v>5941</v>
      </c>
      <c r="E1440" s="1"/>
      <c r="F1440" s="1" t="s">
        <v>155</v>
      </c>
      <c r="G1440" s="1" t="s">
        <v>155</v>
      </c>
      <c r="H1440" s="1" t="s">
        <v>1405</v>
      </c>
      <c r="I1440">
        <v>2009</v>
      </c>
      <c r="J1440" s="93">
        <v>128.74</v>
      </c>
      <c r="K1440">
        <v>2</v>
      </c>
      <c r="L1440" s="1" t="s">
        <v>411</v>
      </c>
      <c r="M1440">
        <v>0</v>
      </c>
      <c r="N1440">
        <v>550</v>
      </c>
      <c r="O1440">
        <v>0.23402999999999999</v>
      </c>
      <c r="P1440">
        <v>3</v>
      </c>
      <c r="Q1440" s="1" t="s">
        <v>560</v>
      </c>
      <c r="R1440" s="93">
        <v>128.74</v>
      </c>
      <c r="S1440">
        <v>102.99</v>
      </c>
      <c r="T1440">
        <v>0</v>
      </c>
      <c r="U1440" s="1" t="s">
        <v>627</v>
      </c>
      <c r="V1440" s="1"/>
      <c r="W1440">
        <v>128.7321</v>
      </c>
      <c r="X1440">
        <v>0</v>
      </c>
      <c r="Y1440">
        <v>59941</v>
      </c>
    </row>
    <row r="1441" spans="1:25" ht="15" hidden="1" customHeight="1" x14ac:dyDescent="0.25">
      <c r="A1441" s="1" t="s">
        <v>30</v>
      </c>
      <c r="B1441" s="1"/>
      <c r="C1441" s="1" t="s">
        <v>155</v>
      </c>
      <c r="D1441">
        <v>5941</v>
      </c>
      <c r="E1441" s="1"/>
      <c r="F1441" s="1" t="s">
        <v>155</v>
      </c>
      <c r="G1441" s="1" t="s">
        <v>155</v>
      </c>
      <c r="H1441" s="1" t="s">
        <v>1405</v>
      </c>
      <c r="I1441">
        <v>2008</v>
      </c>
      <c r="J1441" s="93">
        <v>156.61000000000001</v>
      </c>
      <c r="K1441">
        <v>8</v>
      </c>
      <c r="L1441" s="1" t="s">
        <v>411</v>
      </c>
      <c r="M1441">
        <v>0</v>
      </c>
      <c r="N1441">
        <v>550</v>
      </c>
      <c r="O1441">
        <v>0.28469299999999997</v>
      </c>
      <c r="P1441">
        <v>3</v>
      </c>
      <c r="Q1441" s="1" t="s">
        <v>560</v>
      </c>
      <c r="R1441" s="93">
        <v>156.61000000000001</v>
      </c>
      <c r="S1441">
        <v>125.28</v>
      </c>
      <c r="T1441">
        <v>0</v>
      </c>
      <c r="U1441" s="1" t="s">
        <v>627</v>
      </c>
      <c r="V1441" s="1"/>
      <c r="W1441">
        <v>156.60677999999999</v>
      </c>
      <c r="X1441">
        <v>0</v>
      </c>
      <c r="Y1441">
        <v>59941</v>
      </c>
    </row>
    <row r="1442" spans="1:25" ht="15" hidden="1" customHeight="1" x14ac:dyDescent="0.25">
      <c r="A1442" s="1" t="s">
        <v>30</v>
      </c>
      <c r="B1442" s="1" t="s">
        <v>60</v>
      </c>
      <c r="C1442" s="1" t="s">
        <v>133</v>
      </c>
      <c r="D1442">
        <v>5274</v>
      </c>
      <c r="E1442" s="1"/>
      <c r="F1442" s="1" t="s">
        <v>273</v>
      </c>
      <c r="G1442" s="1" t="s">
        <v>133</v>
      </c>
      <c r="H1442" s="1" t="s">
        <v>1405</v>
      </c>
      <c r="I1442">
        <v>2015</v>
      </c>
      <c r="J1442" s="93">
        <v>60112</v>
      </c>
      <c r="K1442">
        <v>5</v>
      </c>
      <c r="L1442" s="1" t="s">
        <v>475</v>
      </c>
      <c r="M1442">
        <v>0</v>
      </c>
      <c r="N1442">
        <v>586</v>
      </c>
      <c r="O1442">
        <v>64.024910000000006</v>
      </c>
      <c r="P1442">
        <v>1</v>
      </c>
      <c r="Q1442" s="1" t="s">
        <v>562</v>
      </c>
      <c r="R1442" s="93">
        <v>67250</v>
      </c>
      <c r="S1442">
        <v>7764474.0499999998</v>
      </c>
      <c r="T1442">
        <v>0</v>
      </c>
      <c r="U1442" s="1" t="s">
        <v>783</v>
      </c>
      <c r="V1442" s="1"/>
      <c r="W1442">
        <v>37525</v>
      </c>
      <c r="X1442">
        <v>0</v>
      </c>
      <c r="Y1442">
        <v>56850</v>
      </c>
    </row>
    <row r="1443" spans="1:25" ht="15" hidden="1" customHeight="1" x14ac:dyDescent="0.25">
      <c r="A1443" s="1" t="s">
        <v>30</v>
      </c>
      <c r="B1443" s="1" t="s">
        <v>60</v>
      </c>
      <c r="C1443" s="1" t="s">
        <v>133</v>
      </c>
      <c r="D1443">
        <v>5274</v>
      </c>
      <c r="E1443" s="1"/>
      <c r="F1443" s="1" t="s">
        <v>273</v>
      </c>
      <c r="G1443" s="1" t="s">
        <v>133</v>
      </c>
      <c r="H1443" s="1" t="s">
        <v>1405</v>
      </c>
      <c r="I1443">
        <v>2013</v>
      </c>
      <c r="J1443" s="93">
        <v>78343</v>
      </c>
      <c r="K1443">
        <v>12</v>
      </c>
      <c r="L1443" s="1" t="s">
        <v>475</v>
      </c>
      <c r="M1443">
        <v>0</v>
      </c>
      <c r="N1443">
        <v>586</v>
      </c>
      <c r="O1443">
        <v>133.66831500000001</v>
      </c>
      <c r="P1443">
        <v>1</v>
      </c>
      <c r="Q1443" s="1" t="s">
        <v>562</v>
      </c>
      <c r="R1443" s="93">
        <v>83125.95</v>
      </c>
      <c r="S1443">
        <v>15378.3</v>
      </c>
      <c r="T1443">
        <v>0</v>
      </c>
      <c r="U1443" s="1" t="s">
        <v>783</v>
      </c>
      <c r="V1443" s="1"/>
      <c r="W1443">
        <v>78343</v>
      </c>
      <c r="X1443">
        <v>0</v>
      </c>
      <c r="Y1443">
        <v>56850</v>
      </c>
    </row>
    <row r="1444" spans="1:25" ht="15" hidden="1" customHeight="1" x14ac:dyDescent="0.25">
      <c r="A1444" s="1" t="s">
        <v>30</v>
      </c>
      <c r="B1444" s="1" t="s">
        <v>60</v>
      </c>
      <c r="C1444" s="1" t="s">
        <v>133</v>
      </c>
      <c r="D1444">
        <v>5274</v>
      </c>
      <c r="E1444" s="1"/>
      <c r="F1444" s="1" t="s">
        <v>273</v>
      </c>
      <c r="G1444" s="1" t="s">
        <v>133</v>
      </c>
      <c r="H1444" s="1" t="s">
        <v>1405</v>
      </c>
      <c r="I1444">
        <v>2012</v>
      </c>
      <c r="J1444" s="93">
        <v>92554</v>
      </c>
      <c r="K1444">
        <v>12</v>
      </c>
      <c r="L1444" s="1" t="s">
        <v>475</v>
      </c>
      <c r="M1444">
        <v>0</v>
      </c>
      <c r="N1444">
        <v>586</v>
      </c>
      <c r="O1444">
        <v>157.915031</v>
      </c>
      <c r="P1444">
        <v>1</v>
      </c>
      <c r="Q1444" s="1" t="s">
        <v>562</v>
      </c>
      <c r="R1444" s="93">
        <v>98189.05</v>
      </c>
      <c r="S1444">
        <v>18164.98</v>
      </c>
      <c r="T1444">
        <v>0</v>
      </c>
      <c r="U1444" s="1" t="s">
        <v>783</v>
      </c>
      <c r="V1444" s="1"/>
      <c r="W1444">
        <v>92554</v>
      </c>
      <c r="X1444">
        <v>0</v>
      </c>
      <c r="Y1444">
        <v>56850</v>
      </c>
    </row>
    <row r="1445" spans="1:25" ht="15" hidden="1" customHeight="1" x14ac:dyDescent="0.25">
      <c r="A1445" s="1" t="s">
        <v>30</v>
      </c>
      <c r="B1445" s="1" t="s">
        <v>60</v>
      </c>
      <c r="C1445" s="1" t="s">
        <v>133</v>
      </c>
      <c r="D1445">
        <v>5274</v>
      </c>
      <c r="E1445" s="1"/>
      <c r="F1445" s="1" t="s">
        <v>273</v>
      </c>
      <c r="G1445" s="1" t="s">
        <v>133</v>
      </c>
      <c r="H1445" s="1" t="s">
        <v>1405</v>
      </c>
      <c r="I1445">
        <v>2011</v>
      </c>
      <c r="J1445" s="93">
        <v>96553</v>
      </c>
      <c r="K1445">
        <v>12</v>
      </c>
      <c r="L1445" s="1" t="s">
        <v>475</v>
      </c>
      <c r="M1445">
        <v>0</v>
      </c>
      <c r="N1445">
        <v>586</v>
      </c>
      <c r="O1445">
        <v>164.73809900000001</v>
      </c>
      <c r="P1445">
        <v>1</v>
      </c>
      <c r="Q1445" s="1" t="s">
        <v>562</v>
      </c>
      <c r="R1445" s="93">
        <v>108536.8</v>
      </c>
      <c r="S1445">
        <v>20079.3</v>
      </c>
      <c r="T1445">
        <v>0</v>
      </c>
      <c r="U1445" s="1" t="s">
        <v>783</v>
      </c>
      <c r="V1445" s="1"/>
      <c r="W1445">
        <v>96553</v>
      </c>
      <c r="X1445">
        <v>0</v>
      </c>
      <c r="Y1445">
        <v>56850</v>
      </c>
    </row>
    <row r="1446" spans="1:25" ht="15" hidden="1" customHeight="1" x14ac:dyDescent="0.25">
      <c r="A1446" s="1" t="s">
        <v>30</v>
      </c>
      <c r="B1446" s="1" t="s">
        <v>60</v>
      </c>
      <c r="C1446" s="1" t="s">
        <v>133</v>
      </c>
      <c r="D1446">
        <v>5274</v>
      </c>
      <c r="E1446" s="1"/>
      <c r="F1446" s="1" t="s">
        <v>273</v>
      </c>
      <c r="G1446" s="1" t="s">
        <v>133</v>
      </c>
      <c r="H1446" s="1" t="s">
        <v>1405</v>
      </c>
      <c r="I1446">
        <v>2010</v>
      </c>
      <c r="J1446" s="93">
        <v>97479</v>
      </c>
      <c r="K1446">
        <v>12</v>
      </c>
      <c r="L1446" s="1" t="s">
        <v>475</v>
      </c>
      <c r="M1446">
        <v>0</v>
      </c>
      <c r="N1446">
        <v>586</v>
      </c>
      <c r="O1446">
        <v>166.31803400000001</v>
      </c>
      <c r="P1446">
        <v>1</v>
      </c>
      <c r="Q1446" s="1" t="s">
        <v>562</v>
      </c>
      <c r="R1446" s="93">
        <v>88983.1</v>
      </c>
      <c r="S1446">
        <v>16461.88</v>
      </c>
      <c r="T1446">
        <v>0</v>
      </c>
      <c r="U1446" s="1" t="s">
        <v>783</v>
      </c>
      <c r="V1446" s="1"/>
      <c r="W1446">
        <v>97479</v>
      </c>
      <c r="X1446">
        <v>0</v>
      </c>
      <c r="Y1446">
        <v>56850</v>
      </c>
    </row>
    <row r="1447" spans="1:25" ht="15" hidden="1" customHeight="1" x14ac:dyDescent="0.25">
      <c r="A1447" s="1" t="s">
        <v>30</v>
      </c>
      <c r="B1447" s="1" t="s">
        <v>60</v>
      </c>
      <c r="C1447" s="1" t="s">
        <v>133</v>
      </c>
      <c r="D1447">
        <v>5274</v>
      </c>
      <c r="E1447" s="1"/>
      <c r="F1447" s="1" t="s">
        <v>273</v>
      </c>
      <c r="G1447" s="1" t="s">
        <v>133</v>
      </c>
      <c r="H1447" s="1" t="s">
        <v>1405</v>
      </c>
      <c r="I1447">
        <v>2009</v>
      </c>
      <c r="J1447" s="93">
        <v>74798</v>
      </c>
      <c r="K1447">
        <v>12</v>
      </c>
      <c r="L1447" s="1" t="s">
        <v>475</v>
      </c>
      <c r="M1447">
        <v>0</v>
      </c>
      <c r="N1447">
        <v>586</v>
      </c>
      <c r="O1447">
        <v>127.61986</v>
      </c>
      <c r="P1447">
        <v>1</v>
      </c>
      <c r="Q1447" s="1" t="s">
        <v>562</v>
      </c>
      <c r="R1447" s="93">
        <v>79607.850000000006</v>
      </c>
      <c r="S1447">
        <v>14727.44</v>
      </c>
      <c r="T1447">
        <v>0</v>
      </c>
      <c r="U1447" s="1" t="s">
        <v>783</v>
      </c>
      <c r="V1447" s="1"/>
      <c r="W1447">
        <v>74798</v>
      </c>
      <c r="X1447">
        <v>0</v>
      </c>
      <c r="Y1447">
        <v>56850</v>
      </c>
    </row>
    <row r="1448" spans="1:25" ht="15" hidden="1" customHeight="1" x14ac:dyDescent="0.25">
      <c r="A1448" s="1" t="s">
        <v>30</v>
      </c>
      <c r="B1448" s="1" t="s">
        <v>60</v>
      </c>
      <c r="C1448" s="1" t="s">
        <v>133</v>
      </c>
      <c r="D1448">
        <v>5274</v>
      </c>
      <c r="E1448" s="1"/>
      <c r="F1448" s="1" t="s">
        <v>273</v>
      </c>
      <c r="G1448" s="1" t="s">
        <v>133</v>
      </c>
      <c r="H1448" s="1" t="s">
        <v>1405</v>
      </c>
      <c r="I1448">
        <v>2008</v>
      </c>
      <c r="J1448" s="93">
        <v>50187</v>
      </c>
      <c r="K1448">
        <v>12</v>
      </c>
      <c r="L1448" s="1" t="s">
        <v>475</v>
      </c>
      <c r="M1448">
        <v>0</v>
      </c>
      <c r="N1448">
        <v>586</v>
      </c>
      <c r="O1448">
        <v>85.628731999999999</v>
      </c>
      <c r="P1448">
        <v>1</v>
      </c>
      <c r="Q1448" s="1" t="s">
        <v>562</v>
      </c>
      <c r="R1448" s="93">
        <v>56161.72</v>
      </c>
      <c r="S1448">
        <v>10389.93</v>
      </c>
      <c r="T1448">
        <v>0</v>
      </c>
      <c r="U1448" s="1" t="s">
        <v>783</v>
      </c>
      <c r="V1448" s="1"/>
      <c r="W1448">
        <v>50187</v>
      </c>
      <c r="X1448">
        <v>0</v>
      </c>
      <c r="Y1448">
        <v>56850</v>
      </c>
    </row>
    <row r="1449" spans="1:25" ht="15" hidden="1" customHeight="1" x14ac:dyDescent="0.25">
      <c r="A1449" s="1" t="s">
        <v>30</v>
      </c>
      <c r="B1449" s="1" t="s">
        <v>62</v>
      </c>
      <c r="C1449" s="1" t="s">
        <v>138</v>
      </c>
      <c r="D1449">
        <v>5275</v>
      </c>
      <c r="E1449" s="1"/>
      <c r="F1449" s="1" t="s">
        <v>276</v>
      </c>
      <c r="G1449" s="1" t="s">
        <v>276</v>
      </c>
      <c r="H1449" s="1" t="s">
        <v>1405</v>
      </c>
      <c r="I1449">
        <v>2015</v>
      </c>
      <c r="J1449" s="93">
        <v>97866</v>
      </c>
      <c r="K1449">
        <v>5</v>
      </c>
      <c r="L1449" s="1" t="s">
        <v>404</v>
      </c>
      <c r="M1449">
        <v>0</v>
      </c>
      <c r="N1449">
        <v>675</v>
      </c>
      <c r="O1449">
        <v>72.606369000000001</v>
      </c>
      <c r="P1449">
        <v>1</v>
      </c>
      <c r="Q1449" s="1" t="s">
        <v>564</v>
      </c>
      <c r="R1449" s="93">
        <v>114075</v>
      </c>
      <c r="S1449">
        <v>11501.21</v>
      </c>
      <c r="T1449">
        <v>0</v>
      </c>
      <c r="U1449" s="1" t="s">
        <v>788</v>
      </c>
      <c r="V1449" s="1" t="s">
        <v>1197</v>
      </c>
      <c r="W1449">
        <v>4538.57</v>
      </c>
      <c r="X1449">
        <v>0</v>
      </c>
      <c r="Y1449">
        <v>56856</v>
      </c>
    </row>
    <row r="1450" spans="1:25" ht="15" hidden="1" customHeight="1" x14ac:dyDescent="0.25">
      <c r="A1450" s="1" t="s">
        <v>30</v>
      </c>
      <c r="B1450" s="1" t="s">
        <v>62</v>
      </c>
      <c r="C1450" s="1" t="s">
        <v>138</v>
      </c>
      <c r="D1450">
        <v>5275</v>
      </c>
      <c r="E1450" s="1"/>
      <c r="F1450" s="1" t="s">
        <v>276</v>
      </c>
      <c r="G1450" s="1" t="s">
        <v>276</v>
      </c>
      <c r="H1450" s="1" t="s">
        <v>1405</v>
      </c>
      <c r="I1450">
        <v>2013</v>
      </c>
      <c r="J1450" s="93">
        <v>90976.07</v>
      </c>
      <c r="K1450">
        <v>12</v>
      </c>
      <c r="L1450" s="1" t="s">
        <v>404</v>
      </c>
      <c r="M1450">
        <v>0</v>
      </c>
      <c r="N1450">
        <v>675</v>
      </c>
      <c r="O1450">
        <v>134.759398</v>
      </c>
      <c r="P1450">
        <v>1</v>
      </c>
      <c r="Q1450" s="1" t="s">
        <v>564</v>
      </c>
      <c r="R1450" s="93">
        <v>95507.69</v>
      </c>
      <c r="S1450">
        <v>20198.12</v>
      </c>
      <c r="T1450">
        <v>0</v>
      </c>
      <c r="U1450" s="1" t="s">
        <v>788</v>
      </c>
      <c r="V1450" s="1" t="s">
        <v>1197</v>
      </c>
      <c r="W1450">
        <v>8423.7099999999991</v>
      </c>
      <c r="X1450">
        <v>0</v>
      </c>
      <c r="Y1450">
        <v>56856</v>
      </c>
    </row>
    <row r="1451" spans="1:25" ht="15" hidden="1" customHeight="1" x14ac:dyDescent="0.25">
      <c r="A1451" s="1" t="s">
        <v>30</v>
      </c>
      <c r="B1451" s="1" t="s">
        <v>62</v>
      </c>
      <c r="C1451" s="1" t="s">
        <v>138</v>
      </c>
      <c r="D1451">
        <v>5275</v>
      </c>
      <c r="E1451" s="1"/>
      <c r="F1451" s="1" t="s">
        <v>276</v>
      </c>
      <c r="G1451" s="1" t="s">
        <v>276</v>
      </c>
      <c r="H1451" s="1" t="s">
        <v>1405</v>
      </c>
      <c r="I1451">
        <v>2012</v>
      </c>
      <c r="J1451" s="93">
        <v>94790.96</v>
      </c>
      <c r="K1451">
        <v>12</v>
      </c>
      <c r="L1451" s="1" t="s">
        <v>404</v>
      </c>
      <c r="M1451">
        <v>0</v>
      </c>
      <c r="N1451">
        <v>675</v>
      </c>
      <c r="O1451">
        <v>140.41024999999999</v>
      </c>
      <c r="P1451">
        <v>1</v>
      </c>
      <c r="Q1451" s="1" t="s">
        <v>564</v>
      </c>
      <c r="R1451" s="93">
        <v>99687.51</v>
      </c>
      <c r="S1451">
        <v>21082.06</v>
      </c>
      <c r="T1451">
        <v>0</v>
      </c>
      <c r="U1451" s="1" t="s">
        <v>788</v>
      </c>
      <c r="V1451" s="1" t="s">
        <v>1197</v>
      </c>
      <c r="W1451">
        <v>8776.94</v>
      </c>
      <c r="X1451">
        <v>0</v>
      </c>
      <c r="Y1451">
        <v>56856</v>
      </c>
    </row>
    <row r="1452" spans="1:25" ht="15" hidden="1" customHeight="1" x14ac:dyDescent="0.25">
      <c r="A1452" s="1" t="s">
        <v>30</v>
      </c>
      <c r="B1452" s="1" t="s">
        <v>62</v>
      </c>
      <c r="C1452" s="1" t="s">
        <v>138</v>
      </c>
      <c r="D1452">
        <v>5275</v>
      </c>
      <c r="E1452" s="1"/>
      <c r="F1452" s="1" t="s">
        <v>276</v>
      </c>
      <c r="G1452" s="1" t="s">
        <v>276</v>
      </c>
      <c r="H1452" s="1" t="s">
        <v>1405</v>
      </c>
      <c r="I1452">
        <v>2011</v>
      </c>
      <c r="J1452" s="93">
        <v>110862.86</v>
      </c>
      <c r="K1452">
        <v>12</v>
      </c>
      <c r="L1452" s="1" t="s">
        <v>404</v>
      </c>
      <c r="M1452">
        <v>0</v>
      </c>
      <c r="N1452">
        <v>675</v>
      </c>
      <c r="O1452">
        <v>164.21694500000001</v>
      </c>
      <c r="P1452">
        <v>1</v>
      </c>
      <c r="Q1452" s="1" t="s">
        <v>564</v>
      </c>
      <c r="R1452" s="93">
        <v>123684.71</v>
      </c>
      <c r="S1452">
        <v>26157.02</v>
      </c>
      <c r="T1452">
        <v>0</v>
      </c>
      <c r="U1452" s="1" t="s">
        <v>788</v>
      </c>
      <c r="V1452" s="1" t="s">
        <v>1197</v>
      </c>
      <c r="W1452">
        <v>10265.08</v>
      </c>
      <c r="X1452">
        <v>0</v>
      </c>
      <c r="Y1452">
        <v>56856</v>
      </c>
    </row>
    <row r="1453" spans="1:25" ht="15" hidden="1" customHeight="1" x14ac:dyDescent="0.25">
      <c r="A1453" s="1" t="s">
        <v>30</v>
      </c>
      <c r="B1453" s="1" t="s">
        <v>62</v>
      </c>
      <c r="C1453" s="1" t="s">
        <v>138</v>
      </c>
      <c r="D1453">
        <v>5275</v>
      </c>
      <c r="E1453" s="1"/>
      <c r="F1453" s="1" t="s">
        <v>276</v>
      </c>
      <c r="G1453" s="1" t="s">
        <v>276</v>
      </c>
      <c r="H1453" s="1" t="s">
        <v>1405</v>
      </c>
      <c r="I1453">
        <v>2010</v>
      </c>
      <c r="J1453" s="93">
        <v>102379.78</v>
      </c>
      <c r="K1453">
        <v>12</v>
      </c>
      <c r="L1453" s="1" t="s">
        <v>404</v>
      </c>
      <c r="M1453">
        <v>0</v>
      </c>
      <c r="N1453">
        <v>675</v>
      </c>
      <c r="O1453">
        <v>151.65128100000001</v>
      </c>
      <c r="P1453">
        <v>1</v>
      </c>
      <c r="Q1453" s="1" t="s">
        <v>564</v>
      </c>
      <c r="R1453" s="93">
        <v>95454.86</v>
      </c>
      <c r="S1453">
        <v>20186.93</v>
      </c>
      <c r="T1453">
        <v>0</v>
      </c>
      <c r="U1453" s="1" t="s">
        <v>788</v>
      </c>
      <c r="V1453" s="1" t="s">
        <v>1197</v>
      </c>
      <c r="W1453">
        <v>9479.61</v>
      </c>
      <c r="X1453">
        <v>0</v>
      </c>
      <c r="Y1453">
        <v>56856</v>
      </c>
    </row>
    <row r="1454" spans="1:25" ht="15" hidden="1" customHeight="1" x14ac:dyDescent="0.25">
      <c r="A1454" s="1" t="s">
        <v>30</v>
      </c>
      <c r="B1454" s="1" t="s">
        <v>62</v>
      </c>
      <c r="C1454" s="1" t="s">
        <v>138</v>
      </c>
      <c r="D1454">
        <v>5275</v>
      </c>
      <c r="E1454" s="1"/>
      <c r="F1454" s="1" t="s">
        <v>276</v>
      </c>
      <c r="G1454" s="1" t="s">
        <v>276</v>
      </c>
      <c r="H1454" s="1" t="s">
        <v>1405</v>
      </c>
      <c r="I1454">
        <v>2009</v>
      </c>
      <c r="J1454" s="93">
        <v>87713.279999999999</v>
      </c>
      <c r="K1454">
        <v>12</v>
      </c>
      <c r="L1454" s="1" t="s">
        <v>404</v>
      </c>
      <c r="M1454">
        <v>0</v>
      </c>
      <c r="N1454">
        <v>675</v>
      </c>
      <c r="O1454">
        <v>129.92635100000001</v>
      </c>
      <c r="P1454">
        <v>1</v>
      </c>
      <c r="Q1454" s="1" t="s">
        <v>564</v>
      </c>
      <c r="R1454" s="93">
        <v>93415.52</v>
      </c>
      <c r="S1454">
        <v>19755.650000000001</v>
      </c>
      <c r="T1454">
        <v>0</v>
      </c>
      <c r="U1454" s="1" t="s">
        <v>788</v>
      </c>
      <c r="V1454" s="1" t="s">
        <v>1197</v>
      </c>
      <c r="W1454">
        <v>8121.6</v>
      </c>
      <c r="X1454">
        <v>0</v>
      </c>
      <c r="Y1454">
        <v>56856</v>
      </c>
    </row>
    <row r="1455" spans="1:25" ht="15" hidden="1" customHeight="1" x14ac:dyDescent="0.25">
      <c r="A1455" s="1" t="s">
        <v>30</v>
      </c>
      <c r="B1455" s="1" t="s">
        <v>62</v>
      </c>
      <c r="C1455" s="1" t="s">
        <v>138</v>
      </c>
      <c r="D1455">
        <v>5275</v>
      </c>
      <c r="E1455" s="1"/>
      <c r="F1455" s="1" t="s">
        <v>276</v>
      </c>
      <c r="G1455" s="1" t="s">
        <v>276</v>
      </c>
      <c r="H1455" s="1" t="s">
        <v>1405</v>
      </c>
      <c r="I1455">
        <v>2008</v>
      </c>
      <c r="J1455" s="93">
        <v>86892.58</v>
      </c>
      <c r="K1455">
        <v>12</v>
      </c>
      <c r="L1455" s="1" t="s">
        <v>404</v>
      </c>
      <c r="M1455">
        <v>0</v>
      </c>
      <c r="N1455">
        <v>675</v>
      </c>
      <c r="O1455">
        <v>128.710679</v>
      </c>
      <c r="P1455">
        <v>1</v>
      </c>
      <c r="Q1455" s="1" t="s">
        <v>564</v>
      </c>
      <c r="R1455" s="93">
        <v>101227.26</v>
      </c>
      <c r="S1455">
        <v>21407.67</v>
      </c>
      <c r="T1455">
        <v>0</v>
      </c>
      <c r="U1455" s="1" t="s">
        <v>788</v>
      </c>
      <c r="V1455" s="1" t="s">
        <v>1197</v>
      </c>
      <c r="W1455">
        <v>8045.61</v>
      </c>
      <c r="X1455">
        <v>0</v>
      </c>
      <c r="Y1455">
        <v>56856</v>
      </c>
    </row>
    <row r="1456" spans="1:25" ht="15" hidden="1" customHeight="1" x14ac:dyDescent="0.25">
      <c r="A1456" s="1" t="s">
        <v>30</v>
      </c>
      <c r="B1456" s="1"/>
      <c r="C1456" s="1" t="s">
        <v>150</v>
      </c>
      <c r="D1456">
        <v>10208</v>
      </c>
      <c r="E1456" s="1"/>
      <c r="F1456" s="1" t="s">
        <v>283</v>
      </c>
      <c r="G1456" s="1" t="s">
        <v>150</v>
      </c>
      <c r="H1456" s="1" t="s">
        <v>1405</v>
      </c>
      <c r="I1456">
        <v>2014</v>
      </c>
      <c r="J1456" s="93">
        <v>163.5</v>
      </c>
      <c r="K1456">
        <v>12</v>
      </c>
      <c r="L1456" s="1" t="s">
        <v>426</v>
      </c>
      <c r="M1456">
        <v>0</v>
      </c>
      <c r="N1456">
        <v>741</v>
      </c>
      <c r="O1456">
        <v>0.22061800000000001</v>
      </c>
      <c r="P1456">
        <v>3</v>
      </c>
      <c r="Q1456" s="1" t="s">
        <v>560</v>
      </c>
      <c r="R1456" s="93">
        <v>163.5</v>
      </c>
      <c r="S1456">
        <v>130.80000000000001</v>
      </c>
      <c r="T1456">
        <v>0</v>
      </c>
      <c r="U1456" s="1" t="s">
        <v>621</v>
      </c>
      <c r="V1456" s="1"/>
      <c r="W1456">
        <v>163.5</v>
      </c>
      <c r="X1456">
        <v>0</v>
      </c>
      <c r="Y1456">
        <v>77412</v>
      </c>
    </row>
    <row r="1457" spans="1:25" ht="15" hidden="1" customHeight="1" x14ac:dyDescent="0.25">
      <c r="A1457" s="1" t="s">
        <v>30</v>
      </c>
      <c r="B1457" s="1" t="s">
        <v>60</v>
      </c>
      <c r="C1457" s="1" t="s">
        <v>133</v>
      </c>
      <c r="D1457">
        <v>5274</v>
      </c>
      <c r="E1457" s="1"/>
      <c r="F1457" s="1" t="s">
        <v>273</v>
      </c>
      <c r="G1457" s="1" t="s">
        <v>133</v>
      </c>
      <c r="H1457" s="1" t="s">
        <v>1405</v>
      </c>
      <c r="I1457">
        <v>2013</v>
      </c>
      <c r="J1457" s="93">
        <v>34183.919999999998</v>
      </c>
      <c r="K1457">
        <v>12</v>
      </c>
      <c r="L1457" s="1" t="s">
        <v>402</v>
      </c>
      <c r="M1457">
        <v>0</v>
      </c>
      <c r="N1457">
        <v>586</v>
      </c>
      <c r="O1457">
        <v>58.324381000000002</v>
      </c>
      <c r="P1457">
        <v>2</v>
      </c>
      <c r="Q1457" s="1" t="s">
        <v>569</v>
      </c>
      <c r="R1457" s="93">
        <v>34183.919999999998</v>
      </c>
      <c r="S1457">
        <v>13673.55</v>
      </c>
      <c r="T1457">
        <v>0</v>
      </c>
      <c r="U1457" s="1" t="s">
        <v>982</v>
      </c>
      <c r="V1457" s="1" t="s">
        <v>1269</v>
      </c>
      <c r="W1457">
        <v>34183.911999999997</v>
      </c>
      <c r="X1457">
        <v>0</v>
      </c>
      <c r="Y1457">
        <v>56849</v>
      </c>
    </row>
    <row r="1458" spans="1:25" ht="15" hidden="1" customHeight="1" x14ac:dyDescent="0.25">
      <c r="A1458" s="1" t="s">
        <v>27</v>
      </c>
      <c r="B1458" s="1"/>
      <c r="C1458" s="1" t="s">
        <v>124</v>
      </c>
      <c r="D1458">
        <v>9957</v>
      </c>
      <c r="E1458" s="1"/>
      <c r="F1458" s="1" t="s">
        <v>265</v>
      </c>
      <c r="G1458" s="1" t="s">
        <v>124</v>
      </c>
      <c r="H1458" s="1" t="s">
        <v>1405</v>
      </c>
      <c r="I1458">
        <v>2014</v>
      </c>
      <c r="J1458" s="93">
        <v>51428.98</v>
      </c>
      <c r="K1458">
        <v>12</v>
      </c>
      <c r="L1458" s="1" t="s">
        <v>399</v>
      </c>
      <c r="M1458">
        <v>0</v>
      </c>
      <c r="N1458">
        <v>646</v>
      </c>
      <c r="O1458">
        <v>79.599102000000002</v>
      </c>
      <c r="P1458">
        <v>1</v>
      </c>
      <c r="Q1458" s="1" t="s">
        <v>564</v>
      </c>
      <c r="R1458" s="93">
        <v>61650.5</v>
      </c>
      <c r="S1458">
        <v>13037.92</v>
      </c>
      <c r="T1458">
        <v>0</v>
      </c>
      <c r="U1458" s="1" t="s">
        <v>776</v>
      </c>
      <c r="V1458" s="1" t="s">
        <v>1192</v>
      </c>
      <c r="W1458">
        <v>4761.9399999999996</v>
      </c>
      <c r="X1458">
        <v>0</v>
      </c>
      <c r="Y1458">
        <v>76350</v>
      </c>
    </row>
    <row r="1459" spans="1:25" ht="15" hidden="1" customHeight="1" x14ac:dyDescent="0.25">
      <c r="A1459" s="1" t="s">
        <v>30</v>
      </c>
      <c r="B1459" s="1"/>
      <c r="C1459" s="1" t="s">
        <v>150</v>
      </c>
      <c r="D1459">
        <v>10208</v>
      </c>
      <c r="E1459" s="1"/>
      <c r="F1459" s="1" t="s">
        <v>283</v>
      </c>
      <c r="G1459" s="1" t="s">
        <v>150</v>
      </c>
      <c r="H1459" s="1" t="s">
        <v>1405</v>
      </c>
      <c r="I1459">
        <v>2015</v>
      </c>
      <c r="J1459" s="93">
        <v>62764</v>
      </c>
      <c r="K1459">
        <v>5</v>
      </c>
      <c r="L1459" s="1" t="s">
        <v>482</v>
      </c>
      <c r="M1459">
        <v>0</v>
      </c>
      <c r="N1459">
        <v>741</v>
      </c>
      <c r="O1459">
        <v>50.286371000000003</v>
      </c>
      <c r="P1459">
        <v>1</v>
      </c>
      <c r="Q1459" s="1" t="s">
        <v>564</v>
      </c>
      <c r="R1459" s="93">
        <v>72229</v>
      </c>
      <c r="S1459">
        <v>8923.0300000000007</v>
      </c>
      <c r="T1459">
        <v>0</v>
      </c>
      <c r="U1459" s="1" t="s">
        <v>798</v>
      </c>
      <c r="V1459" s="1" t="s">
        <v>1204</v>
      </c>
      <c r="W1459">
        <v>3450.6700999999998</v>
      </c>
      <c r="X1459">
        <v>0</v>
      </c>
      <c r="Y1459">
        <v>77414</v>
      </c>
    </row>
    <row r="1460" spans="1:25" ht="15" hidden="1" customHeight="1" x14ac:dyDescent="0.25">
      <c r="A1460" s="1" t="s">
        <v>30</v>
      </c>
      <c r="B1460" s="1"/>
      <c r="C1460" s="1" t="s">
        <v>150</v>
      </c>
      <c r="D1460">
        <v>10208</v>
      </c>
      <c r="E1460" s="1"/>
      <c r="F1460" s="1" t="s">
        <v>283</v>
      </c>
      <c r="G1460" s="1" t="s">
        <v>150</v>
      </c>
      <c r="H1460" s="1" t="s">
        <v>1405</v>
      </c>
      <c r="I1460">
        <v>2013</v>
      </c>
      <c r="J1460" s="93">
        <v>69834.880000000005</v>
      </c>
      <c r="K1460">
        <v>12</v>
      </c>
      <c r="L1460" s="1" t="s">
        <v>482</v>
      </c>
      <c r="M1460">
        <v>0</v>
      </c>
      <c r="N1460">
        <v>741</v>
      </c>
      <c r="O1460">
        <v>94.231385000000003</v>
      </c>
      <c r="P1460">
        <v>1</v>
      </c>
      <c r="Q1460" s="1" t="s">
        <v>564</v>
      </c>
      <c r="R1460" s="93">
        <v>72519.429999999993</v>
      </c>
      <c r="S1460">
        <v>15336.51</v>
      </c>
      <c r="T1460">
        <v>0</v>
      </c>
      <c r="U1460" s="1" t="s">
        <v>798</v>
      </c>
      <c r="V1460" s="1" t="s">
        <v>1204</v>
      </c>
      <c r="W1460">
        <v>6466.1917000000003</v>
      </c>
      <c r="X1460">
        <v>0</v>
      </c>
      <c r="Y1460">
        <v>77414</v>
      </c>
    </row>
    <row r="1461" spans="1:25" ht="15" hidden="1" customHeight="1" x14ac:dyDescent="0.25">
      <c r="A1461" s="1" t="s">
        <v>30</v>
      </c>
      <c r="B1461" s="1"/>
      <c r="C1461" s="1" t="s">
        <v>150</v>
      </c>
      <c r="D1461">
        <v>10208</v>
      </c>
      <c r="E1461" s="1"/>
      <c r="F1461" s="1" t="s">
        <v>283</v>
      </c>
      <c r="G1461" s="1" t="s">
        <v>150</v>
      </c>
      <c r="H1461" s="1" t="s">
        <v>1405</v>
      </c>
      <c r="I1461">
        <v>2012</v>
      </c>
      <c r="J1461" s="93">
        <v>84071.62</v>
      </c>
      <c r="K1461">
        <v>12</v>
      </c>
      <c r="L1461" s="1" t="s">
        <v>482</v>
      </c>
      <c r="M1461">
        <v>0</v>
      </c>
      <c r="N1461">
        <v>741</v>
      </c>
      <c r="O1461">
        <v>113.441667</v>
      </c>
      <c r="P1461">
        <v>1</v>
      </c>
      <c r="Q1461" s="1" t="s">
        <v>564</v>
      </c>
      <c r="R1461" s="93">
        <v>88366.49</v>
      </c>
      <c r="S1461">
        <v>18687.88</v>
      </c>
      <c r="T1461">
        <v>0</v>
      </c>
      <c r="U1461" s="1" t="s">
        <v>798</v>
      </c>
      <c r="V1461" s="1" t="s">
        <v>1204</v>
      </c>
      <c r="W1461">
        <v>7784.4096</v>
      </c>
      <c r="X1461">
        <v>0</v>
      </c>
      <c r="Y1461">
        <v>77414</v>
      </c>
    </row>
    <row r="1462" spans="1:25" ht="15" hidden="1" customHeight="1" x14ac:dyDescent="0.25">
      <c r="A1462" s="1" t="s">
        <v>30</v>
      </c>
      <c r="B1462" s="1"/>
      <c r="C1462" s="1" t="s">
        <v>150</v>
      </c>
      <c r="D1462">
        <v>10208</v>
      </c>
      <c r="E1462" s="1"/>
      <c r="F1462" s="1" t="s">
        <v>283</v>
      </c>
      <c r="G1462" s="1" t="s">
        <v>150</v>
      </c>
      <c r="H1462" s="1" t="s">
        <v>1405</v>
      </c>
      <c r="I1462">
        <v>2011</v>
      </c>
      <c r="J1462" s="93">
        <v>66560.03</v>
      </c>
      <c r="K1462">
        <v>6</v>
      </c>
      <c r="L1462" s="1" t="s">
        <v>482</v>
      </c>
      <c r="M1462">
        <v>0</v>
      </c>
      <c r="N1462">
        <v>741</v>
      </c>
      <c r="O1462">
        <v>89.812481000000005</v>
      </c>
      <c r="P1462">
        <v>1</v>
      </c>
      <c r="Q1462" s="1" t="s">
        <v>564</v>
      </c>
      <c r="R1462" s="93">
        <v>78253.37</v>
      </c>
      <c r="S1462">
        <v>16549.13</v>
      </c>
      <c r="T1462">
        <v>0</v>
      </c>
      <c r="U1462" s="1" t="s">
        <v>798</v>
      </c>
      <c r="V1462" s="1" t="s">
        <v>1204</v>
      </c>
      <c r="W1462">
        <v>6162.9642899999999</v>
      </c>
      <c r="X1462">
        <v>0</v>
      </c>
      <c r="Y1462">
        <v>77414</v>
      </c>
    </row>
    <row r="1463" spans="1:25" ht="15" hidden="1" customHeight="1" x14ac:dyDescent="0.25">
      <c r="A1463" s="1" t="s">
        <v>30</v>
      </c>
      <c r="B1463" s="1"/>
      <c r="C1463" s="1" t="s">
        <v>150</v>
      </c>
      <c r="D1463">
        <v>10208</v>
      </c>
      <c r="E1463" s="1"/>
      <c r="F1463" s="1" t="s">
        <v>283</v>
      </c>
      <c r="G1463" s="1" t="s">
        <v>150</v>
      </c>
      <c r="H1463" s="1" t="s">
        <v>1405</v>
      </c>
      <c r="I1463">
        <v>2010</v>
      </c>
      <c r="J1463" s="93">
        <v>72241.19</v>
      </c>
      <c r="K1463">
        <v>6</v>
      </c>
      <c r="L1463" s="1" t="s">
        <v>482</v>
      </c>
      <c r="M1463">
        <v>0</v>
      </c>
      <c r="N1463">
        <v>741</v>
      </c>
      <c r="O1463">
        <v>97.478329000000002</v>
      </c>
      <c r="P1463">
        <v>1</v>
      </c>
      <c r="Q1463" s="1" t="s">
        <v>564</v>
      </c>
      <c r="R1463" s="93">
        <v>74366.27</v>
      </c>
      <c r="S1463">
        <v>15727.1</v>
      </c>
      <c r="T1463">
        <v>0</v>
      </c>
      <c r="U1463" s="1" t="s">
        <v>798</v>
      </c>
      <c r="V1463" s="1" t="s">
        <v>1204</v>
      </c>
      <c r="W1463">
        <v>6688.9985200000001</v>
      </c>
      <c r="X1463">
        <v>0</v>
      </c>
      <c r="Y1463">
        <v>77414</v>
      </c>
    </row>
    <row r="1464" spans="1:25" ht="15" hidden="1" customHeight="1" x14ac:dyDescent="0.25">
      <c r="A1464" s="1" t="s">
        <v>30</v>
      </c>
      <c r="B1464" s="1"/>
      <c r="C1464" s="1" t="s">
        <v>150</v>
      </c>
      <c r="D1464">
        <v>10208</v>
      </c>
      <c r="E1464" s="1"/>
      <c r="F1464" s="1" t="s">
        <v>283</v>
      </c>
      <c r="G1464" s="1" t="s">
        <v>150</v>
      </c>
      <c r="H1464" s="1" t="s">
        <v>1405</v>
      </c>
      <c r="I1464">
        <v>2009</v>
      </c>
      <c r="J1464" s="93">
        <v>78710.37</v>
      </c>
      <c r="K1464">
        <v>4</v>
      </c>
      <c r="L1464" s="1" t="s">
        <v>482</v>
      </c>
      <c r="M1464">
        <v>0</v>
      </c>
      <c r="N1464">
        <v>741</v>
      </c>
      <c r="O1464">
        <v>106.207488</v>
      </c>
      <c r="P1464">
        <v>1</v>
      </c>
      <c r="Q1464" s="1" t="s">
        <v>564</v>
      </c>
      <c r="R1464" s="93">
        <v>109454.33</v>
      </c>
      <c r="S1464">
        <v>23147.57</v>
      </c>
      <c r="T1464">
        <v>0</v>
      </c>
      <c r="U1464" s="1" t="s">
        <v>798</v>
      </c>
      <c r="V1464" s="1" t="s">
        <v>1204</v>
      </c>
      <c r="W1464">
        <v>7287.9966599999998</v>
      </c>
      <c r="X1464">
        <v>0</v>
      </c>
      <c r="Y1464">
        <v>77414</v>
      </c>
    </row>
    <row r="1465" spans="1:25" ht="15" hidden="1" customHeight="1" x14ac:dyDescent="0.25">
      <c r="A1465" s="1" t="s">
        <v>30</v>
      </c>
      <c r="B1465" s="1"/>
      <c r="C1465" s="1" t="s">
        <v>150</v>
      </c>
      <c r="D1465">
        <v>10208</v>
      </c>
      <c r="E1465" s="1"/>
      <c r="F1465" s="1" t="s">
        <v>283</v>
      </c>
      <c r="G1465" s="1" t="s">
        <v>150</v>
      </c>
      <c r="H1465" s="1" t="s">
        <v>1405</v>
      </c>
      <c r="I1465">
        <v>2008</v>
      </c>
      <c r="J1465" s="93">
        <v>66862.89</v>
      </c>
      <c r="K1465">
        <v>5</v>
      </c>
      <c r="L1465" s="1" t="s">
        <v>482</v>
      </c>
      <c r="M1465">
        <v>0</v>
      </c>
      <c r="N1465">
        <v>741</v>
      </c>
      <c r="O1465">
        <v>90.221143999999995</v>
      </c>
      <c r="P1465">
        <v>1</v>
      </c>
      <c r="Q1465" s="1" t="s">
        <v>564</v>
      </c>
      <c r="R1465" s="93">
        <v>75686.86</v>
      </c>
      <c r="S1465">
        <v>16006.36</v>
      </c>
      <c r="T1465">
        <v>0</v>
      </c>
      <c r="U1465" s="1" t="s">
        <v>798</v>
      </c>
      <c r="V1465" s="1" t="s">
        <v>1204</v>
      </c>
      <c r="W1465">
        <v>6191.00756</v>
      </c>
      <c r="X1465">
        <v>0</v>
      </c>
      <c r="Y1465">
        <v>77414</v>
      </c>
    </row>
    <row r="1466" spans="1:25" ht="15" hidden="1" customHeight="1" x14ac:dyDescent="0.25">
      <c r="A1466" s="1" t="s">
        <v>30</v>
      </c>
      <c r="B1466" s="1"/>
      <c r="C1466" s="1" t="s">
        <v>151</v>
      </c>
      <c r="D1466">
        <v>10237</v>
      </c>
      <c r="E1466" s="1"/>
      <c r="F1466" s="1" t="s">
        <v>360</v>
      </c>
      <c r="G1466" s="1" t="s">
        <v>151</v>
      </c>
      <c r="H1466" s="1" t="s">
        <v>1405</v>
      </c>
      <c r="I1466">
        <v>2015</v>
      </c>
      <c r="J1466" s="93">
        <v>16318</v>
      </c>
      <c r="K1466">
        <v>5</v>
      </c>
      <c r="L1466" s="1" t="s">
        <v>483</v>
      </c>
      <c r="M1466">
        <v>0</v>
      </c>
      <c r="N1466">
        <v>0</v>
      </c>
      <c r="O1466">
        <v>89616.2</v>
      </c>
      <c r="P1466">
        <v>1</v>
      </c>
      <c r="Q1466" s="1" t="s">
        <v>564</v>
      </c>
      <c r="R1466" s="93">
        <v>18514</v>
      </c>
      <c r="S1466">
        <v>2128.83</v>
      </c>
      <c r="T1466">
        <v>0</v>
      </c>
      <c r="U1466" s="1" t="s">
        <v>799</v>
      </c>
      <c r="V1466" s="1" t="s">
        <v>1205</v>
      </c>
      <c r="W1466">
        <v>829.78</v>
      </c>
      <c r="X1466">
        <v>0</v>
      </c>
      <c r="Y1466">
        <v>77527</v>
      </c>
    </row>
    <row r="1467" spans="1:25" ht="15" hidden="1" customHeight="1" x14ac:dyDescent="0.25">
      <c r="A1467" s="1" t="s">
        <v>30</v>
      </c>
      <c r="B1467" s="1"/>
      <c r="C1467" s="1" t="s">
        <v>151</v>
      </c>
      <c r="D1467">
        <v>10237</v>
      </c>
      <c r="E1467" s="1"/>
      <c r="F1467" s="1" t="s">
        <v>360</v>
      </c>
      <c r="G1467" s="1" t="s">
        <v>151</v>
      </c>
      <c r="H1467" s="1" t="s">
        <v>1405</v>
      </c>
      <c r="I1467">
        <v>2013</v>
      </c>
      <c r="J1467" s="93">
        <v>20647.23</v>
      </c>
      <c r="K1467">
        <v>12</v>
      </c>
      <c r="L1467" s="1" t="s">
        <v>483</v>
      </c>
      <c r="M1467">
        <v>0</v>
      </c>
      <c r="N1467">
        <v>0</v>
      </c>
      <c r="O1467">
        <v>206472.3</v>
      </c>
      <c r="P1467">
        <v>1</v>
      </c>
      <c r="Q1467" s="1" t="s">
        <v>564</v>
      </c>
      <c r="R1467" s="93">
        <v>21633</v>
      </c>
      <c r="S1467">
        <v>4574.97</v>
      </c>
      <c r="T1467">
        <v>0</v>
      </c>
      <c r="U1467" s="1" t="s">
        <v>799</v>
      </c>
      <c r="V1467" s="1" t="s">
        <v>1205</v>
      </c>
      <c r="W1467">
        <v>1911.78</v>
      </c>
      <c r="X1467">
        <v>0</v>
      </c>
      <c r="Y1467">
        <v>77527</v>
      </c>
    </row>
    <row r="1468" spans="1:25" ht="15" hidden="1" customHeight="1" x14ac:dyDescent="0.25">
      <c r="A1468" s="1" t="s">
        <v>30</v>
      </c>
      <c r="B1468" s="1"/>
      <c r="C1468" s="1" t="s">
        <v>151</v>
      </c>
      <c r="D1468">
        <v>10237</v>
      </c>
      <c r="E1468" s="1"/>
      <c r="F1468" s="1" t="s">
        <v>360</v>
      </c>
      <c r="G1468" s="1" t="s">
        <v>151</v>
      </c>
      <c r="H1468" s="1" t="s">
        <v>1405</v>
      </c>
      <c r="I1468">
        <v>2012</v>
      </c>
      <c r="J1468" s="93">
        <v>23197.75</v>
      </c>
      <c r="K1468">
        <v>12</v>
      </c>
      <c r="L1468" s="1" t="s">
        <v>483</v>
      </c>
      <c r="M1468">
        <v>0</v>
      </c>
      <c r="N1468">
        <v>0</v>
      </c>
      <c r="O1468">
        <v>231977.5</v>
      </c>
      <c r="P1468">
        <v>1</v>
      </c>
      <c r="Q1468" s="1" t="s">
        <v>564</v>
      </c>
      <c r="R1468" s="93">
        <v>24551.42</v>
      </c>
      <c r="S1468">
        <v>5192.17</v>
      </c>
      <c r="T1468">
        <v>0</v>
      </c>
      <c r="U1468" s="1" t="s">
        <v>799</v>
      </c>
      <c r="V1468" s="1" t="s">
        <v>1205</v>
      </c>
      <c r="W1468">
        <v>2147.94</v>
      </c>
      <c r="X1468">
        <v>0</v>
      </c>
      <c r="Y1468">
        <v>77527</v>
      </c>
    </row>
    <row r="1469" spans="1:25" ht="15" hidden="1" customHeight="1" x14ac:dyDescent="0.25">
      <c r="A1469" s="1" t="s">
        <v>30</v>
      </c>
      <c r="B1469" s="1"/>
      <c r="C1469" s="1" t="s">
        <v>151</v>
      </c>
      <c r="D1469">
        <v>10237</v>
      </c>
      <c r="E1469" s="1"/>
      <c r="F1469" s="1" t="s">
        <v>360</v>
      </c>
      <c r="G1469" s="1" t="s">
        <v>151</v>
      </c>
      <c r="H1469" s="1" t="s">
        <v>1405</v>
      </c>
      <c r="I1469">
        <v>2011</v>
      </c>
      <c r="J1469" s="93">
        <v>21349.77</v>
      </c>
      <c r="K1469">
        <v>12</v>
      </c>
      <c r="L1469" s="1" t="s">
        <v>483</v>
      </c>
      <c r="M1469">
        <v>0</v>
      </c>
      <c r="N1469">
        <v>0</v>
      </c>
      <c r="O1469">
        <v>213497.7</v>
      </c>
      <c r="P1469">
        <v>1</v>
      </c>
      <c r="Q1469" s="1" t="s">
        <v>564</v>
      </c>
      <c r="R1469" s="93">
        <v>23513.85</v>
      </c>
      <c r="S1469">
        <v>4972.75</v>
      </c>
      <c r="T1469">
        <v>0</v>
      </c>
      <c r="U1469" s="1" t="s">
        <v>799</v>
      </c>
      <c r="V1469" s="1" t="s">
        <v>1205</v>
      </c>
      <c r="W1469">
        <v>1976.83</v>
      </c>
      <c r="X1469">
        <v>0</v>
      </c>
      <c r="Y1469">
        <v>77527</v>
      </c>
    </row>
    <row r="1470" spans="1:25" ht="15" hidden="1" customHeight="1" x14ac:dyDescent="0.25">
      <c r="A1470" s="1" t="s">
        <v>30</v>
      </c>
      <c r="B1470" s="1"/>
      <c r="C1470" s="1" t="s">
        <v>151</v>
      </c>
      <c r="D1470">
        <v>10237</v>
      </c>
      <c r="E1470" s="1"/>
      <c r="F1470" s="1" t="s">
        <v>360</v>
      </c>
      <c r="G1470" s="1" t="s">
        <v>151</v>
      </c>
      <c r="H1470" s="1" t="s">
        <v>1405</v>
      </c>
      <c r="I1470">
        <v>2010</v>
      </c>
      <c r="J1470" s="93">
        <v>26037.91</v>
      </c>
      <c r="K1470">
        <v>13</v>
      </c>
      <c r="L1470" s="1" t="s">
        <v>483</v>
      </c>
      <c r="M1470">
        <v>0</v>
      </c>
      <c r="N1470">
        <v>0</v>
      </c>
      <c r="O1470">
        <v>260379.1</v>
      </c>
      <c r="P1470">
        <v>1</v>
      </c>
      <c r="Q1470" s="1" t="s">
        <v>564</v>
      </c>
      <c r="R1470" s="93">
        <v>23849.29</v>
      </c>
      <c r="S1470">
        <v>5043.68</v>
      </c>
      <c r="T1470">
        <v>0</v>
      </c>
      <c r="U1470" s="1" t="s">
        <v>799</v>
      </c>
      <c r="V1470" s="1" t="s">
        <v>1205</v>
      </c>
      <c r="W1470">
        <v>2410.91743</v>
      </c>
      <c r="X1470">
        <v>0</v>
      </c>
      <c r="Y1470">
        <v>77527</v>
      </c>
    </row>
    <row r="1471" spans="1:25" ht="15" hidden="1" customHeight="1" x14ac:dyDescent="0.25">
      <c r="A1471" s="1" t="s">
        <v>30</v>
      </c>
      <c r="B1471" s="1"/>
      <c r="C1471" s="1" t="s">
        <v>151</v>
      </c>
      <c r="D1471">
        <v>10237</v>
      </c>
      <c r="E1471" s="1"/>
      <c r="F1471" s="1" t="s">
        <v>360</v>
      </c>
      <c r="G1471" s="1" t="s">
        <v>151</v>
      </c>
      <c r="H1471" s="1" t="s">
        <v>1405</v>
      </c>
      <c r="I1471">
        <v>2009</v>
      </c>
      <c r="J1471" s="93">
        <v>19178.86</v>
      </c>
      <c r="K1471">
        <v>11</v>
      </c>
      <c r="L1471" s="1" t="s">
        <v>483</v>
      </c>
      <c r="M1471">
        <v>0</v>
      </c>
      <c r="N1471">
        <v>0</v>
      </c>
      <c r="O1471">
        <v>191788.6</v>
      </c>
      <c r="P1471">
        <v>1</v>
      </c>
      <c r="Q1471" s="1" t="s">
        <v>564</v>
      </c>
      <c r="R1471" s="93">
        <v>20215.88</v>
      </c>
      <c r="S1471">
        <v>4275.29</v>
      </c>
      <c r="T1471">
        <v>0</v>
      </c>
      <c r="U1471" s="1" t="s">
        <v>799</v>
      </c>
      <c r="V1471" s="1" t="s">
        <v>1205</v>
      </c>
      <c r="W1471">
        <v>1775.8204599999999</v>
      </c>
      <c r="X1471">
        <v>0</v>
      </c>
      <c r="Y1471">
        <v>77527</v>
      </c>
    </row>
    <row r="1472" spans="1:25" ht="15" hidden="1" customHeight="1" x14ac:dyDescent="0.25">
      <c r="A1472" s="1" t="s">
        <v>30</v>
      </c>
      <c r="B1472" s="1"/>
      <c r="C1472" s="1" t="s">
        <v>151</v>
      </c>
      <c r="D1472">
        <v>10237</v>
      </c>
      <c r="E1472" s="1"/>
      <c r="F1472" s="1" t="s">
        <v>360</v>
      </c>
      <c r="G1472" s="1" t="s">
        <v>151</v>
      </c>
      <c r="H1472" s="1" t="s">
        <v>1405</v>
      </c>
      <c r="I1472">
        <v>2008</v>
      </c>
      <c r="J1472" s="93">
        <v>17955.810000000001</v>
      </c>
      <c r="K1472">
        <v>10</v>
      </c>
      <c r="L1472" s="1" t="s">
        <v>483</v>
      </c>
      <c r="M1472">
        <v>0</v>
      </c>
      <c r="N1472">
        <v>0</v>
      </c>
      <c r="O1472">
        <v>179558.1</v>
      </c>
      <c r="P1472">
        <v>1</v>
      </c>
      <c r="Q1472" s="1" t="s">
        <v>564</v>
      </c>
      <c r="R1472" s="93">
        <v>20505.740000000002</v>
      </c>
      <c r="S1472">
        <v>4336.58</v>
      </c>
      <c r="T1472">
        <v>0</v>
      </c>
      <c r="U1472" s="1" t="s">
        <v>799</v>
      </c>
      <c r="V1472" s="1" t="s">
        <v>1205</v>
      </c>
      <c r="W1472">
        <v>1662.5743600000001</v>
      </c>
      <c r="X1472">
        <v>0</v>
      </c>
      <c r="Y1472">
        <v>77527</v>
      </c>
    </row>
    <row r="1473" spans="1:25" ht="15" hidden="1" customHeight="1" x14ac:dyDescent="0.25">
      <c r="A1473" s="1" t="s">
        <v>30</v>
      </c>
      <c r="B1473" s="1"/>
      <c r="C1473" s="1" t="s">
        <v>151</v>
      </c>
      <c r="D1473">
        <v>10236</v>
      </c>
      <c r="E1473" s="1"/>
      <c r="F1473" s="1" t="s">
        <v>284</v>
      </c>
      <c r="G1473" s="1" t="s">
        <v>151</v>
      </c>
      <c r="H1473" s="1" t="s">
        <v>1405</v>
      </c>
      <c r="I1473">
        <v>2015</v>
      </c>
      <c r="J1473" s="93">
        <v>51560</v>
      </c>
      <c r="K1473">
        <v>5</v>
      </c>
      <c r="L1473" s="1" t="s">
        <v>405</v>
      </c>
      <c r="M1473">
        <v>0</v>
      </c>
      <c r="N1473">
        <v>696</v>
      </c>
      <c r="O1473">
        <v>43.697715000000002</v>
      </c>
      <c r="P1473">
        <v>1</v>
      </c>
      <c r="Q1473" s="1" t="s">
        <v>564</v>
      </c>
      <c r="R1473" s="93">
        <v>59650</v>
      </c>
      <c r="S1473">
        <v>7188.71</v>
      </c>
      <c r="T1473">
        <v>0</v>
      </c>
      <c r="U1473" s="1" t="s">
        <v>800</v>
      </c>
      <c r="V1473" s="1" t="s">
        <v>1206</v>
      </c>
      <c r="W1473">
        <v>2816.48</v>
      </c>
      <c r="X1473">
        <v>0</v>
      </c>
      <c r="Y1473">
        <v>77526</v>
      </c>
    </row>
    <row r="1474" spans="1:25" ht="15" hidden="1" customHeight="1" x14ac:dyDescent="0.25">
      <c r="A1474" s="1" t="s">
        <v>30</v>
      </c>
      <c r="B1474" s="1"/>
      <c r="C1474" s="1" t="s">
        <v>151</v>
      </c>
      <c r="D1474">
        <v>10236</v>
      </c>
      <c r="E1474" s="1"/>
      <c r="F1474" s="1" t="s">
        <v>284</v>
      </c>
      <c r="G1474" s="1" t="s">
        <v>151</v>
      </c>
      <c r="H1474" s="1" t="s">
        <v>1405</v>
      </c>
      <c r="I1474">
        <v>2013</v>
      </c>
      <c r="J1474" s="93">
        <v>59161.22</v>
      </c>
      <c r="K1474">
        <v>12</v>
      </c>
      <c r="L1474" s="1" t="s">
        <v>405</v>
      </c>
      <c r="M1474">
        <v>0</v>
      </c>
      <c r="N1474">
        <v>696</v>
      </c>
      <c r="O1474">
        <v>84.989541000000003</v>
      </c>
      <c r="P1474">
        <v>1</v>
      </c>
      <c r="Q1474" s="1" t="s">
        <v>564</v>
      </c>
      <c r="R1474" s="93">
        <v>61941.19</v>
      </c>
      <c r="S1474">
        <v>13099.42</v>
      </c>
      <c r="T1474">
        <v>0</v>
      </c>
      <c r="U1474" s="1" t="s">
        <v>800</v>
      </c>
      <c r="V1474" s="1" t="s">
        <v>1206</v>
      </c>
      <c r="W1474">
        <v>5477.89</v>
      </c>
      <c r="X1474">
        <v>0</v>
      </c>
      <c r="Y1474">
        <v>77526</v>
      </c>
    </row>
    <row r="1475" spans="1:25" ht="15" hidden="1" customHeight="1" x14ac:dyDescent="0.25">
      <c r="A1475" s="1" t="s">
        <v>30</v>
      </c>
      <c r="B1475" s="1"/>
      <c r="C1475" s="1" t="s">
        <v>151</v>
      </c>
      <c r="D1475">
        <v>10236</v>
      </c>
      <c r="E1475" s="1"/>
      <c r="F1475" s="1" t="s">
        <v>284</v>
      </c>
      <c r="G1475" s="1" t="s">
        <v>151</v>
      </c>
      <c r="H1475" s="1" t="s">
        <v>1405</v>
      </c>
      <c r="I1475">
        <v>2012</v>
      </c>
      <c r="J1475" s="93">
        <v>71245.119999999995</v>
      </c>
      <c r="K1475">
        <v>12</v>
      </c>
      <c r="L1475" s="1" t="s">
        <v>405</v>
      </c>
      <c r="M1475">
        <v>0</v>
      </c>
      <c r="N1475">
        <v>696</v>
      </c>
      <c r="O1475">
        <v>102.348972</v>
      </c>
      <c r="P1475">
        <v>1</v>
      </c>
      <c r="Q1475" s="1" t="s">
        <v>564</v>
      </c>
      <c r="R1475" s="93">
        <v>75359.59</v>
      </c>
      <c r="S1475">
        <v>15937.16</v>
      </c>
      <c r="T1475">
        <v>0</v>
      </c>
      <c r="U1475" s="1" t="s">
        <v>800</v>
      </c>
      <c r="V1475" s="1" t="s">
        <v>1206</v>
      </c>
      <c r="W1475">
        <v>6596.77</v>
      </c>
      <c r="X1475">
        <v>0</v>
      </c>
      <c r="Y1475">
        <v>77526</v>
      </c>
    </row>
    <row r="1476" spans="1:25" ht="15" hidden="1" customHeight="1" x14ac:dyDescent="0.25">
      <c r="A1476" s="1" t="s">
        <v>30</v>
      </c>
      <c r="B1476" s="1"/>
      <c r="C1476" s="1" t="s">
        <v>151</v>
      </c>
      <c r="D1476">
        <v>10236</v>
      </c>
      <c r="E1476" s="1"/>
      <c r="F1476" s="1" t="s">
        <v>284</v>
      </c>
      <c r="G1476" s="1" t="s">
        <v>151</v>
      </c>
      <c r="H1476" s="1" t="s">
        <v>1405</v>
      </c>
      <c r="I1476">
        <v>2011</v>
      </c>
      <c r="J1476" s="93">
        <v>75888.789999999994</v>
      </c>
      <c r="K1476">
        <v>12</v>
      </c>
      <c r="L1476" s="1" t="s">
        <v>405</v>
      </c>
      <c r="M1476">
        <v>0</v>
      </c>
      <c r="N1476">
        <v>696</v>
      </c>
      <c r="O1476">
        <v>109.019954</v>
      </c>
      <c r="P1476">
        <v>1</v>
      </c>
      <c r="Q1476" s="1" t="s">
        <v>564</v>
      </c>
      <c r="R1476" s="93">
        <v>83191.94</v>
      </c>
      <c r="S1476">
        <v>17593.55</v>
      </c>
      <c r="T1476">
        <v>0</v>
      </c>
      <c r="U1476" s="1" t="s">
        <v>800</v>
      </c>
      <c r="V1476" s="1" t="s">
        <v>1206</v>
      </c>
      <c r="W1476">
        <v>7026.74</v>
      </c>
      <c r="X1476">
        <v>0</v>
      </c>
      <c r="Y1476">
        <v>77526</v>
      </c>
    </row>
    <row r="1477" spans="1:25" ht="15" hidden="1" customHeight="1" x14ac:dyDescent="0.25">
      <c r="A1477" s="1" t="s">
        <v>30</v>
      </c>
      <c r="B1477" s="1"/>
      <c r="C1477" s="1" t="s">
        <v>151</v>
      </c>
      <c r="D1477">
        <v>10236</v>
      </c>
      <c r="E1477" s="1"/>
      <c r="F1477" s="1" t="s">
        <v>284</v>
      </c>
      <c r="G1477" s="1" t="s">
        <v>151</v>
      </c>
      <c r="H1477" s="1" t="s">
        <v>1405</v>
      </c>
      <c r="I1477">
        <v>2010</v>
      </c>
      <c r="J1477" s="93">
        <v>88406.94</v>
      </c>
      <c r="K1477">
        <v>13</v>
      </c>
      <c r="L1477" s="1" t="s">
        <v>405</v>
      </c>
      <c r="M1477">
        <v>0</v>
      </c>
      <c r="N1477">
        <v>696</v>
      </c>
      <c r="O1477">
        <v>127.00321700000001</v>
      </c>
      <c r="P1477">
        <v>1</v>
      </c>
      <c r="Q1477" s="1" t="s">
        <v>564</v>
      </c>
      <c r="R1477" s="93">
        <v>80914.75</v>
      </c>
      <c r="S1477">
        <v>17111.97</v>
      </c>
      <c r="T1477">
        <v>0</v>
      </c>
      <c r="U1477" s="1" t="s">
        <v>800</v>
      </c>
      <c r="V1477" s="1" t="s">
        <v>1206</v>
      </c>
      <c r="W1477">
        <v>8185.82744</v>
      </c>
      <c r="X1477">
        <v>0</v>
      </c>
      <c r="Y1477">
        <v>77526</v>
      </c>
    </row>
    <row r="1478" spans="1:25" ht="15" hidden="1" customHeight="1" x14ac:dyDescent="0.25">
      <c r="A1478" s="1" t="s">
        <v>30</v>
      </c>
      <c r="B1478" s="1"/>
      <c r="C1478" s="1" t="s">
        <v>151</v>
      </c>
      <c r="D1478">
        <v>10236</v>
      </c>
      <c r="E1478" s="1"/>
      <c r="F1478" s="1" t="s">
        <v>284</v>
      </c>
      <c r="G1478" s="1" t="s">
        <v>151</v>
      </c>
      <c r="H1478" s="1" t="s">
        <v>1405</v>
      </c>
      <c r="I1478">
        <v>2009</v>
      </c>
      <c r="J1478" s="93">
        <v>72654.850000000006</v>
      </c>
      <c r="K1478">
        <v>11</v>
      </c>
      <c r="L1478" s="1" t="s">
        <v>405</v>
      </c>
      <c r="M1478">
        <v>0</v>
      </c>
      <c r="N1478">
        <v>696</v>
      </c>
      <c r="O1478">
        <v>104.374156</v>
      </c>
      <c r="P1478">
        <v>1</v>
      </c>
      <c r="Q1478" s="1" t="s">
        <v>564</v>
      </c>
      <c r="R1478" s="93">
        <v>77913.19</v>
      </c>
      <c r="S1478">
        <v>16477.2</v>
      </c>
      <c r="T1478">
        <v>0</v>
      </c>
      <c r="U1478" s="1" t="s">
        <v>800</v>
      </c>
      <c r="V1478" s="1" t="s">
        <v>1206</v>
      </c>
      <c r="W1478">
        <v>6727.30116</v>
      </c>
      <c r="X1478">
        <v>0</v>
      </c>
      <c r="Y1478">
        <v>77526</v>
      </c>
    </row>
    <row r="1479" spans="1:25" ht="15" hidden="1" customHeight="1" x14ac:dyDescent="0.25">
      <c r="A1479" s="1" t="s">
        <v>30</v>
      </c>
      <c r="B1479" s="1"/>
      <c r="C1479" s="1" t="s">
        <v>151</v>
      </c>
      <c r="D1479">
        <v>10236</v>
      </c>
      <c r="E1479" s="1"/>
      <c r="F1479" s="1" t="s">
        <v>284</v>
      </c>
      <c r="G1479" s="1" t="s">
        <v>151</v>
      </c>
      <c r="H1479" s="1" t="s">
        <v>1405</v>
      </c>
      <c r="I1479">
        <v>2008</v>
      </c>
      <c r="J1479" s="93">
        <v>68876.44</v>
      </c>
      <c r="K1479">
        <v>10</v>
      </c>
      <c r="L1479" s="1" t="s">
        <v>405</v>
      </c>
      <c r="M1479">
        <v>0</v>
      </c>
      <c r="N1479">
        <v>696</v>
      </c>
      <c r="O1479">
        <v>98.946185</v>
      </c>
      <c r="P1479">
        <v>1</v>
      </c>
      <c r="Q1479" s="1" t="s">
        <v>564</v>
      </c>
      <c r="R1479" s="93">
        <v>78229.919999999998</v>
      </c>
      <c r="S1479">
        <v>16544.18</v>
      </c>
      <c r="T1479">
        <v>0</v>
      </c>
      <c r="U1479" s="1" t="s">
        <v>800</v>
      </c>
      <c r="V1479" s="1" t="s">
        <v>1206</v>
      </c>
      <c r="W1479">
        <v>6377.4481699999997</v>
      </c>
      <c r="X1479">
        <v>0</v>
      </c>
      <c r="Y1479">
        <v>77526</v>
      </c>
    </row>
    <row r="1480" spans="1:25" ht="15" hidden="1" customHeight="1" x14ac:dyDescent="0.25">
      <c r="A1480" s="1" t="s">
        <v>30</v>
      </c>
      <c r="B1480" s="1"/>
      <c r="C1480" s="1" t="s">
        <v>151</v>
      </c>
      <c r="D1480">
        <v>10238</v>
      </c>
      <c r="E1480" s="1"/>
      <c r="F1480" s="1" t="s">
        <v>361</v>
      </c>
      <c r="G1480" s="1" t="s">
        <v>151</v>
      </c>
      <c r="H1480" s="1" t="s">
        <v>1405</v>
      </c>
      <c r="I1480">
        <v>2015</v>
      </c>
      <c r="J1480" s="93">
        <v>15716</v>
      </c>
      <c r="K1480">
        <v>5</v>
      </c>
      <c r="L1480" s="1" t="s">
        <v>405</v>
      </c>
      <c r="M1480">
        <v>0</v>
      </c>
      <c r="N1480">
        <v>0</v>
      </c>
      <c r="O1480">
        <v>88829</v>
      </c>
      <c r="P1480">
        <v>1</v>
      </c>
      <c r="Q1480" s="1" t="s">
        <v>564</v>
      </c>
      <c r="R1480" s="93">
        <v>17760</v>
      </c>
      <c r="S1480">
        <v>194.51</v>
      </c>
      <c r="T1480">
        <v>0</v>
      </c>
      <c r="U1480" s="1" t="s">
        <v>801</v>
      </c>
      <c r="V1480" s="1" t="s">
        <v>1207</v>
      </c>
      <c r="W1480">
        <v>822.49</v>
      </c>
      <c r="X1480">
        <v>0</v>
      </c>
      <c r="Y1480">
        <v>77528</v>
      </c>
    </row>
    <row r="1481" spans="1:25" ht="15" hidden="1" customHeight="1" x14ac:dyDescent="0.25">
      <c r="A1481" s="1" t="s">
        <v>30</v>
      </c>
      <c r="B1481" s="1"/>
      <c r="C1481" s="1" t="s">
        <v>151</v>
      </c>
      <c r="D1481">
        <v>10238</v>
      </c>
      <c r="E1481" s="1"/>
      <c r="F1481" s="1" t="s">
        <v>361</v>
      </c>
      <c r="G1481" s="1" t="s">
        <v>151</v>
      </c>
      <c r="H1481" s="1" t="s">
        <v>1405</v>
      </c>
      <c r="I1481">
        <v>2013</v>
      </c>
      <c r="J1481" s="93">
        <v>22882.71</v>
      </c>
      <c r="K1481">
        <v>12</v>
      </c>
      <c r="L1481" s="1" t="s">
        <v>405</v>
      </c>
      <c r="M1481">
        <v>0</v>
      </c>
      <c r="N1481">
        <v>0</v>
      </c>
      <c r="O1481">
        <v>228827.1</v>
      </c>
      <c r="P1481">
        <v>1</v>
      </c>
      <c r="Q1481" s="1" t="s">
        <v>564</v>
      </c>
      <c r="R1481" s="93">
        <v>23734.7</v>
      </c>
      <c r="S1481">
        <v>463.69</v>
      </c>
      <c r="T1481">
        <v>0</v>
      </c>
      <c r="U1481" s="1" t="s">
        <v>801</v>
      </c>
      <c r="V1481" s="1" t="s">
        <v>1207</v>
      </c>
      <c r="W1481">
        <v>2118.77</v>
      </c>
      <c r="X1481">
        <v>0</v>
      </c>
      <c r="Y1481">
        <v>77528</v>
      </c>
    </row>
    <row r="1482" spans="1:25" ht="15" hidden="1" customHeight="1" x14ac:dyDescent="0.25">
      <c r="A1482" s="1" t="s">
        <v>30</v>
      </c>
      <c r="B1482" s="1"/>
      <c r="C1482" s="1" t="s">
        <v>151</v>
      </c>
      <c r="D1482">
        <v>10238</v>
      </c>
      <c r="E1482" s="1"/>
      <c r="F1482" s="1" t="s">
        <v>361</v>
      </c>
      <c r="G1482" s="1" t="s">
        <v>151</v>
      </c>
      <c r="H1482" s="1" t="s">
        <v>1405</v>
      </c>
      <c r="I1482">
        <v>2012</v>
      </c>
      <c r="J1482" s="93">
        <v>23549.49</v>
      </c>
      <c r="K1482">
        <v>12</v>
      </c>
      <c r="L1482" s="1" t="s">
        <v>405</v>
      </c>
      <c r="M1482">
        <v>0</v>
      </c>
      <c r="N1482">
        <v>0</v>
      </c>
      <c r="O1482">
        <v>235494.9</v>
      </c>
      <c r="P1482">
        <v>1</v>
      </c>
      <c r="Q1482" s="1" t="s">
        <v>564</v>
      </c>
      <c r="R1482" s="93">
        <v>24678.33</v>
      </c>
      <c r="S1482">
        <v>482.16</v>
      </c>
      <c r="T1482">
        <v>0</v>
      </c>
      <c r="U1482" s="1" t="s">
        <v>801</v>
      </c>
      <c r="V1482" s="1" t="s">
        <v>1207</v>
      </c>
      <c r="W1482">
        <v>2180.5100000000002</v>
      </c>
      <c r="X1482">
        <v>0</v>
      </c>
      <c r="Y1482">
        <v>77528</v>
      </c>
    </row>
    <row r="1483" spans="1:25" ht="15" hidden="1" customHeight="1" x14ac:dyDescent="0.25">
      <c r="A1483" s="1" t="s">
        <v>30</v>
      </c>
      <c r="B1483" s="1"/>
      <c r="C1483" s="1" t="s">
        <v>151</v>
      </c>
      <c r="D1483">
        <v>10238</v>
      </c>
      <c r="E1483" s="1"/>
      <c r="F1483" s="1" t="s">
        <v>361</v>
      </c>
      <c r="G1483" s="1" t="s">
        <v>151</v>
      </c>
      <c r="H1483" s="1" t="s">
        <v>1405</v>
      </c>
      <c r="I1483">
        <v>2011</v>
      </c>
      <c r="J1483" s="93">
        <v>22657.63</v>
      </c>
      <c r="K1483">
        <v>12</v>
      </c>
      <c r="L1483" s="1" t="s">
        <v>405</v>
      </c>
      <c r="M1483">
        <v>0</v>
      </c>
      <c r="N1483">
        <v>0</v>
      </c>
      <c r="O1483">
        <v>226576.3</v>
      </c>
      <c r="P1483">
        <v>1</v>
      </c>
      <c r="Q1483" s="1" t="s">
        <v>564</v>
      </c>
      <c r="R1483" s="93">
        <v>24763.22</v>
      </c>
      <c r="S1483">
        <v>483.81</v>
      </c>
      <c r="T1483">
        <v>0</v>
      </c>
      <c r="U1483" s="1" t="s">
        <v>801</v>
      </c>
      <c r="V1483" s="1" t="s">
        <v>1207</v>
      </c>
      <c r="W1483">
        <v>2097.9299999999998</v>
      </c>
      <c r="X1483">
        <v>0</v>
      </c>
      <c r="Y1483">
        <v>77528</v>
      </c>
    </row>
    <row r="1484" spans="1:25" ht="15" hidden="1" customHeight="1" x14ac:dyDescent="0.25">
      <c r="A1484" s="1" t="s">
        <v>30</v>
      </c>
      <c r="B1484" s="1"/>
      <c r="C1484" s="1" t="s">
        <v>151</v>
      </c>
      <c r="D1484">
        <v>10238</v>
      </c>
      <c r="E1484" s="1"/>
      <c r="F1484" s="1" t="s">
        <v>361</v>
      </c>
      <c r="G1484" s="1" t="s">
        <v>151</v>
      </c>
      <c r="H1484" s="1" t="s">
        <v>1405</v>
      </c>
      <c r="I1484">
        <v>2010</v>
      </c>
      <c r="J1484" s="93">
        <v>26093.65</v>
      </c>
      <c r="K1484">
        <v>11</v>
      </c>
      <c r="L1484" s="1" t="s">
        <v>405</v>
      </c>
      <c r="M1484">
        <v>0</v>
      </c>
      <c r="N1484">
        <v>0</v>
      </c>
      <c r="O1484">
        <v>260936.5</v>
      </c>
      <c r="P1484">
        <v>1</v>
      </c>
      <c r="Q1484" s="1" t="s">
        <v>564</v>
      </c>
      <c r="R1484" s="93">
        <v>23931.21</v>
      </c>
      <c r="S1484">
        <v>467.54</v>
      </c>
      <c r="T1484">
        <v>0</v>
      </c>
      <c r="U1484" s="1" t="s">
        <v>801</v>
      </c>
      <c r="V1484" s="1" t="s">
        <v>1207</v>
      </c>
      <c r="W1484">
        <v>2416.0800100000001</v>
      </c>
      <c r="X1484">
        <v>0</v>
      </c>
      <c r="Y1484">
        <v>77528</v>
      </c>
    </row>
    <row r="1485" spans="1:25" ht="15" hidden="1" customHeight="1" x14ac:dyDescent="0.25">
      <c r="A1485" s="1" t="s">
        <v>30</v>
      </c>
      <c r="B1485" s="1"/>
      <c r="C1485" s="1" t="s">
        <v>151</v>
      </c>
      <c r="D1485">
        <v>10238</v>
      </c>
      <c r="E1485" s="1"/>
      <c r="F1485" s="1" t="s">
        <v>361</v>
      </c>
      <c r="G1485" s="1" t="s">
        <v>151</v>
      </c>
      <c r="H1485" s="1" t="s">
        <v>1405</v>
      </c>
      <c r="I1485">
        <v>2009</v>
      </c>
      <c r="J1485" s="93">
        <v>22264.34</v>
      </c>
      <c r="K1485">
        <v>10</v>
      </c>
      <c r="L1485" s="1" t="s">
        <v>405</v>
      </c>
      <c r="M1485">
        <v>0</v>
      </c>
      <c r="N1485">
        <v>0</v>
      </c>
      <c r="O1485">
        <v>222643.4</v>
      </c>
      <c r="P1485">
        <v>1</v>
      </c>
      <c r="Q1485" s="1" t="s">
        <v>564</v>
      </c>
      <c r="R1485" s="93">
        <v>24541.9</v>
      </c>
      <c r="S1485">
        <v>479.49</v>
      </c>
      <c r="T1485">
        <v>0</v>
      </c>
      <c r="U1485" s="1" t="s">
        <v>801</v>
      </c>
      <c r="V1485" s="1" t="s">
        <v>1207</v>
      </c>
      <c r="W1485">
        <v>2061.51361</v>
      </c>
      <c r="X1485">
        <v>0</v>
      </c>
      <c r="Y1485">
        <v>77528</v>
      </c>
    </row>
    <row r="1486" spans="1:25" ht="15" hidden="1" customHeight="1" x14ac:dyDescent="0.25">
      <c r="A1486" s="1" t="s">
        <v>30</v>
      </c>
      <c r="B1486" s="1"/>
      <c r="C1486" s="1" t="s">
        <v>151</v>
      </c>
      <c r="D1486">
        <v>10238</v>
      </c>
      <c r="E1486" s="1"/>
      <c r="F1486" s="1" t="s">
        <v>361</v>
      </c>
      <c r="G1486" s="1" t="s">
        <v>151</v>
      </c>
      <c r="H1486" s="1" t="s">
        <v>1405</v>
      </c>
      <c r="I1486">
        <v>2008</v>
      </c>
      <c r="J1486" s="93">
        <v>22346.400000000001</v>
      </c>
      <c r="K1486">
        <v>9</v>
      </c>
      <c r="L1486" s="1" t="s">
        <v>405</v>
      </c>
      <c r="M1486">
        <v>0</v>
      </c>
      <c r="N1486">
        <v>0</v>
      </c>
      <c r="O1486">
        <v>223464</v>
      </c>
      <c r="P1486">
        <v>1</v>
      </c>
      <c r="Q1486" s="1" t="s">
        <v>564</v>
      </c>
      <c r="R1486" s="93">
        <v>25242.26</v>
      </c>
      <c r="S1486">
        <v>493.16</v>
      </c>
      <c r="T1486">
        <v>0</v>
      </c>
      <c r="U1486" s="1" t="s">
        <v>801</v>
      </c>
      <c r="V1486" s="1" t="s">
        <v>1207</v>
      </c>
      <c r="W1486">
        <v>2069.1109099999999</v>
      </c>
      <c r="X1486">
        <v>0</v>
      </c>
      <c r="Y1486">
        <v>77528</v>
      </c>
    </row>
    <row r="1487" spans="1:25" ht="15" hidden="1" customHeight="1" x14ac:dyDescent="0.25">
      <c r="A1487" s="1" t="s">
        <v>30</v>
      </c>
      <c r="B1487" s="1" t="s">
        <v>65</v>
      </c>
      <c r="C1487" s="1" t="s">
        <v>152</v>
      </c>
      <c r="D1487">
        <v>5273</v>
      </c>
      <c r="E1487" s="1"/>
      <c r="F1487" s="1" t="s">
        <v>285</v>
      </c>
      <c r="G1487" s="1" t="s">
        <v>152</v>
      </c>
      <c r="H1487" s="1" t="s">
        <v>1405</v>
      </c>
      <c r="I1487">
        <v>2015</v>
      </c>
      <c r="J1487" s="93">
        <v>61549</v>
      </c>
      <c r="K1487">
        <v>5</v>
      </c>
      <c r="L1487" s="1" t="s">
        <v>469</v>
      </c>
      <c r="M1487">
        <v>0</v>
      </c>
      <c r="N1487">
        <v>457</v>
      </c>
      <c r="O1487">
        <v>74.556989000000002</v>
      </c>
      <c r="P1487">
        <v>1</v>
      </c>
      <c r="Q1487" s="1" t="s">
        <v>562</v>
      </c>
      <c r="R1487" s="93">
        <v>70127</v>
      </c>
      <c r="S1487">
        <v>7071158.7999999998</v>
      </c>
      <c r="T1487">
        <v>0</v>
      </c>
      <c r="U1487" s="1" t="s">
        <v>802</v>
      </c>
      <c r="V1487" s="1"/>
      <c r="W1487">
        <v>34080</v>
      </c>
      <c r="X1487">
        <v>0</v>
      </c>
      <c r="Y1487">
        <v>56844</v>
      </c>
    </row>
    <row r="1488" spans="1:25" ht="15" hidden="1" customHeight="1" x14ac:dyDescent="0.25">
      <c r="A1488" s="1" t="s">
        <v>30</v>
      </c>
      <c r="B1488" s="1" t="s">
        <v>65</v>
      </c>
      <c r="C1488" s="1" t="s">
        <v>152</v>
      </c>
      <c r="D1488">
        <v>5273</v>
      </c>
      <c r="E1488" s="1"/>
      <c r="F1488" s="1" t="s">
        <v>285</v>
      </c>
      <c r="G1488" s="1" t="s">
        <v>152</v>
      </c>
      <c r="H1488" s="1" t="s">
        <v>1396</v>
      </c>
      <c r="I1488">
        <v>2015</v>
      </c>
      <c r="J1488" s="93">
        <v>36165.58</v>
      </c>
      <c r="K1488">
        <v>5</v>
      </c>
      <c r="L1488" s="1" t="s">
        <v>469</v>
      </c>
      <c r="M1488">
        <v>0</v>
      </c>
      <c r="N1488">
        <v>457</v>
      </c>
      <c r="O1488">
        <v>79.119623000000004</v>
      </c>
      <c r="P1488">
        <v>1</v>
      </c>
      <c r="Q1488" s="1" t="s">
        <v>563</v>
      </c>
      <c r="R1488" s="93">
        <v>40802.519999999997</v>
      </c>
      <c r="S1488">
        <v>216350.42</v>
      </c>
      <c r="T1488">
        <v>1</v>
      </c>
      <c r="U1488" s="1" t="s">
        <v>802</v>
      </c>
      <c r="V1488" s="1"/>
      <c r="W1488">
        <v>1036.56</v>
      </c>
      <c r="X1488">
        <v>0</v>
      </c>
      <c r="Y1488">
        <v>57004</v>
      </c>
    </row>
    <row r="1489" spans="1:25" ht="15" hidden="1" customHeight="1" x14ac:dyDescent="0.25">
      <c r="A1489" s="1" t="s">
        <v>30</v>
      </c>
      <c r="B1489" s="1" t="s">
        <v>65</v>
      </c>
      <c r="C1489" s="1" t="s">
        <v>152</v>
      </c>
      <c r="D1489">
        <v>5273</v>
      </c>
      <c r="E1489" s="1"/>
      <c r="F1489" s="1" t="s">
        <v>285</v>
      </c>
      <c r="G1489" s="1" t="s">
        <v>152</v>
      </c>
      <c r="H1489" s="1" t="s">
        <v>1396</v>
      </c>
      <c r="I1489">
        <v>2013</v>
      </c>
      <c r="J1489" s="93">
        <v>58497.45</v>
      </c>
      <c r="K1489">
        <v>12</v>
      </c>
      <c r="L1489" s="1" t="s">
        <v>469</v>
      </c>
      <c r="M1489">
        <v>0</v>
      </c>
      <c r="N1489">
        <v>457</v>
      </c>
      <c r="O1489">
        <v>127.97516899999999</v>
      </c>
      <c r="P1489">
        <v>1</v>
      </c>
      <c r="Q1489" s="1" t="s">
        <v>563</v>
      </c>
      <c r="R1489" s="93">
        <v>59552.79</v>
      </c>
      <c r="S1489">
        <v>315.76</v>
      </c>
      <c r="T1489">
        <v>1</v>
      </c>
      <c r="U1489" s="1" t="s">
        <v>802</v>
      </c>
      <c r="V1489" s="1"/>
      <c r="W1489">
        <v>1676.625</v>
      </c>
      <c r="X1489">
        <v>0</v>
      </c>
      <c r="Y1489">
        <v>57004</v>
      </c>
    </row>
    <row r="1490" spans="1:25" ht="15" hidden="1" customHeight="1" x14ac:dyDescent="0.25">
      <c r="A1490" s="1" t="s">
        <v>30</v>
      </c>
      <c r="B1490" s="1" t="s">
        <v>65</v>
      </c>
      <c r="C1490" s="1" t="s">
        <v>152</v>
      </c>
      <c r="D1490">
        <v>5273</v>
      </c>
      <c r="E1490" s="1"/>
      <c r="F1490" s="1" t="s">
        <v>285</v>
      </c>
      <c r="G1490" s="1" t="s">
        <v>152</v>
      </c>
      <c r="H1490" s="1" t="s">
        <v>1405</v>
      </c>
      <c r="I1490">
        <v>2013</v>
      </c>
      <c r="J1490" s="93">
        <v>56064</v>
      </c>
      <c r="K1490">
        <v>12</v>
      </c>
      <c r="L1490" s="1" t="s">
        <v>469</v>
      </c>
      <c r="M1490">
        <v>0</v>
      </c>
      <c r="N1490">
        <v>457</v>
      </c>
      <c r="O1490">
        <v>122.651498</v>
      </c>
      <c r="P1490">
        <v>1</v>
      </c>
      <c r="Q1490" s="1" t="s">
        <v>562</v>
      </c>
      <c r="R1490" s="93">
        <v>57987.6</v>
      </c>
      <c r="S1490">
        <v>10727.7</v>
      </c>
      <c r="T1490">
        <v>0</v>
      </c>
      <c r="U1490" s="1" t="s">
        <v>802</v>
      </c>
      <c r="V1490" s="1"/>
      <c r="W1490">
        <v>56064</v>
      </c>
      <c r="X1490">
        <v>0</v>
      </c>
      <c r="Y1490">
        <v>56844</v>
      </c>
    </row>
    <row r="1491" spans="1:25" ht="15" hidden="1" customHeight="1" x14ac:dyDescent="0.25">
      <c r="A1491" s="1" t="s">
        <v>30</v>
      </c>
      <c r="B1491" s="1" t="s">
        <v>65</v>
      </c>
      <c r="C1491" s="1" t="s">
        <v>152</v>
      </c>
      <c r="D1491">
        <v>5273</v>
      </c>
      <c r="E1491" s="1"/>
      <c r="F1491" s="1" t="s">
        <v>285</v>
      </c>
      <c r="G1491" s="1" t="s">
        <v>152</v>
      </c>
      <c r="H1491" s="1" t="s">
        <v>1405</v>
      </c>
      <c r="I1491">
        <v>2012</v>
      </c>
      <c r="J1491" s="93">
        <v>62902</v>
      </c>
      <c r="K1491">
        <v>12</v>
      </c>
      <c r="L1491" s="1" t="s">
        <v>469</v>
      </c>
      <c r="M1491">
        <v>0</v>
      </c>
      <c r="N1491">
        <v>457</v>
      </c>
      <c r="O1491">
        <v>137.61102600000001</v>
      </c>
      <c r="P1491">
        <v>1</v>
      </c>
      <c r="Q1491" s="1" t="s">
        <v>562</v>
      </c>
      <c r="R1491" s="93">
        <v>65979.98</v>
      </c>
      <c r="S1491">
        <v>12206.29</v>
      </c>
      <c r="T1491">
        <v>0</v>
      </c>
      <c r="U1491" s="1" t="s">
        <v>802</v>
      </c>
      <c r="V1491" s="1"/>
      <c r="W1491">
        <v>62902</v>
      </c>
      <c r="X1491">
        <v>0</v>
      </c>
      <c r="Y1491">
        <v>56844</v>
      </c>
    </row>
    <row r="1492" spans="1:25" ht="15" hidden="1" customHeight="1" x14ac:dyDescent="0.25">
      <c r="A1492" s="1" t="s">
        <v>30</v>
      </c>
      <c r="B1492" s="1" t="s">
        <v>65</v>
      </c>
      <c r="C1492" s="1" t="s">
        <v>152</v>
      </c>
      <c r="D1492">
        <v>5273</v>
      </c>
      <c r="E1492" s="1"/>
      <c r="F1492" s="1" t="s">
        <v>285</v>
      </c>
      <c r="G1492" s="1" t="s">
        <v>152</v>
      </c>
      <c r="H1492" s="1" t="s">
        <v>1396</v>
      </c>
      <c r="I1492">
        <v>2012</v>
      </c>
      <c r="J1492" s="93">
        <v>64496.77</v>
      </c>
      <c r="K1492">
        <v>12</v>
      </c>
      <c r="L1492" s="1" t="s">
        <v>469</v>
      </c>
      <c r="M1492">
        <v>0</v>
      </c>
      <c r="N1492">
        <v>457</v>
      </c>
      <c r="O1492">
        <v>141.09991199999999</v>
      </c>
      <c r="P1492">
        <v>1</v>
      </c>
      <c r="Q1492" s="1" t="s">
        <v>563</v>
      </c>
      <c r="R1492" s="93">
        <v>67747.78</v>
      </c>
      <c r="S1492">
        <v>359.22</v>
      </c>
      <c r="T1492">
        <v>1</v>
      </c>
      <c r="U1492" s="1" t="s">
        <v>802</v>
      </c>
      <c r="V1492" s="1"/>
      <c r="W1492">
        <v>1848.575</v>
      </c>
      <c r="X1492">
        <v>0</v>
      </c>
      <c r="Y1492">
        <v>57004</v>
      </c>
    </row>
    <row r="1493" spans="1:25" ht="15" hidden="1" customHeight="1" x14ac:dyDescent="0.25">
      <c r="A1493" s="1" t="s">
        <v>30</v>
      </c>
      <c r="B1493" s="1" t="s">
        <v>65</v>
      </c>
      <c r="C1493" s="1" t="s">
        <v>152</v>
      </c>
      <c r="D1493">
        <v>5273</v>
      </c>
      <c r="E1493" s="1"/>
      <c r="F1493" s="1" t="s">
        <v>285</v>
      </c>
      <c r="G1493" s="1" t="s">
        <v>152</v>
      </c>
      <c r="H1493" s="1" t="s">
        <v>1405</v>
      </c>
      <c r="I1493">
        <v>2011</v>
      </c>
      <c r="J1493" s="93">
        <v>72418</v>
      </c>
      <c r="K1493">
        <v>12</v>
      </c>
      <c r="L1493" s="1" t="s">
        <v>469</v>
      </c>
      <c r="M1493">
        <v>0</v>
      </c>
      <c r="N1493">
        <v>457</v>
      </c>
      <c r="O1493">
        <v>158.429227</v>
      </c>
      <c r="P1493">
        <v>1</v>
      </c>
      <c r="Q1493" s="1" t="s">
        <v>562</v>
      </c>
      <c r="R1493" s="93">
        <v>79661.87</v>
      </c>
      <c r="S1493">
        <v>14737.45</v>
      </c>
      <c r="T1493">
        <v>0</v>
      </c>
      <c r="U1493" s="1" t="s">
        <v>802</v>
      </c>
      <c r="V1493" s="1"/>
      <c r="W1493">
        <v>72418</v>
      </c>
      <c r="X1493">
        <v>0</v>
      </c>
      <c r="Y1493">
        <v>56844</v>
      </c>
    </row>
    <row r="1494" spans="1:25" ht="15" hidden="1" customHeight="1" x14ac:dyDescent="0.25">
      <c r="A1494" s="1" t="s">
        <v>30</v>
      </c>
      <c r="B1494" s="1" t="s">
        <v>65</v>
      </c>
      <c r="C1494" s="1" t="s">
        <v>152</v>
      </c>
      <c r="D1494">
        <v>5273</v>
      </c>
      <c r="E1494" s="1"/>
      <c r="F1494" s="1" t="s">
        <v>285</v>
      </c>
      <c r="G1494" s="1" t="s">
        <v>152</v>
      </c>
      <c r="H1494" s="1" t="s">
        <v>1396</v>
      </c>
      <c r="I1494">
        <v>2011</v>
      </c>
      <c r="J1494" s="93">
        <v>82571.37</v>
      </c>
      <c r="K1494">
        <v>12</v>
      </c>
      <c r="L1494" s="1" t="s">
        <v>469</v>
      </c>
      <c r="M1494">
        <v>0</v>
      </c>
      <c r="N1494">
        <v>457</v>
      </c>
      <c r="O1494">
        <v>180.641807</v>
      </c>
      <c r="P1494">
        <v>1</v>
      </c>
      <c r="Q1494" s="1" t="s">
        <v>563</v>
      </c>
      <c r="R1494" s="93">
        <v>88827.51</v>
      </c>
      <c r="S1494">
        <v>470.99</v>
      </c>
      <c r="T1494">
        <v>1</v>
      </c>
      <c r="U1494" s="1" t="s">
        <v>802</v>
      </c>
      <c r="V1494" s="1"/>
      <c r="W1494">
        <v>2366.62</v>
      </c>
      <c r="X1494">
        <v>0</v>
      </c>
      <c r="Y1494">
        <v>57004</v>
      </c>
    </row>
    <row r="1495" spans="1:25" ht="15" hidden="1" customHeight="1" x14ac:dyDescent="0.25">
      <c r="A1495" s="1" t="s">
        <v>30</v>
      </c>
      <c r="B1495" s="1" t="s">
        <v>65</v>
      </c>
      <c r="C1495" s="1" t="s">
        <v>152</v>
      </c>
      <c r="D1495">
        <v>5273</v>
      </c>
      <c r="E1495" s="1"/>
      <c r="F1495" s="1" t="s">
        <v>285</v>
      </c>
      <c r="G1495" s="1" t="s">
        <v>152</v>
      </c>
      <c r="H1495" s="1" t="s">
        <v>1396</v>
      </c>
      <c r="I1495">
        <v>2010</v>
      </c>
      <c r="J1495" s="93">
        <v>111271.02</v>
      </c>
      <c r="K1495">
        <v>12</v>
      </c>
      <c r="L1495" s="1" t="s">
        <v>469</v>
      </c>
      <c r="M1495">
        <v>0</v>
      </c>
      <c r="N1495">
        <v>457</v>
      </c>
      <c r="O1495">
        <v>243.42817700000001</v>
      </c>
      <c r="P1495">
        <v>1</v>
      </c>
      <c r="Q1495" s="1" t="s">
        <v>563</v>
      </c>
      <c r="R1495" s="93">
        <v>99935.75</v>
      </c>
      <c r="S1495">
        <v>529.9</v>
      </c>
      <c r="T1495">
        <v>1</v>
      </c>
      <c r="U1495" s="1" t="s">
        <v>802</v>
      </c>
      <c r="V1495" s="1"/>
      <c r="W1495">
        <v>3189.1952999999999</v>
      </c>
      <c r="X1495">
        <v>0</v>
      </c>
      <c r="Y1495">
        <v>57004</v>
      </c>
    </row>
    <row r="1496" spans="1:25" ht="15" hidden="1" customHeight="1" x14ac:dyDescent="0.25">
      <c r="A1496" s="1" t="s">
        <v>30</v>
      </c>
      <c r="B1496" s="1" t="s">
        <v>65</v>
      </c>
      <c r="C1496" s="1" t="s">
        <v>152</v>
      </c>
      <c r="D1496">
        <v>5273</v>
      </c>
      <c r="E1496" s="1"/>
      <c r="F1496" s="1" t="s">
        <v>285</v>
      </c>
      <c r="G1496" s="1" t="s">
        <v>152</v>
      </c>
      <c r="H1496" s="1" t="s">
        <v>1405</v>
      </c>
      <c r="I1496">
        <v>2010</v>
      </c>
      <c r="J1496" s="93">
        <v>83898.21</v>
      </c>
      <c r="K1496">
        <v>12</v>
      </c>
      <c r="L1496" s="1" t="s">
        <v>469</v>
      </c>
      <c r="M1496">
        <v>0</v>
      </c>
      <c r="N1496">
        <v>457</v>
      </c>
      <c r="O1496">
        <v>183.54454100000001</v>
      </c>
      <c r="P1496">
        <v>1</v>
      </c>
      <c r="Q1496" s="1" t="s">
        <v>562</v>
      </c>
      <c r="R1496" s="93">
        <v>76290.28</v>
      </c>
      <c r="S1496">
        <v>14113.69</v>
      </c>
      <c r="T1496">
        <v>0</v>
      </c>
      <c r="U1496" s="1" t="s">
        <v>802</v>
      </c>
      <c r="V1496" s="1"/>
      <c r="W1496">
        <v>83898.21</v>
      </c>
      <c r="X1496">
        <v>0</v>
      </c>
      <c r="Y1496">
        <v>56844</v>
      </c>
    </row>
    <row r="1497" spans="1:25" ht="15" hidden="1" customHeight="1" x14ac:dyDescent="0.25">
      <c r="A1497" s="1" t="s">
        <v>30</v>
      </c>
      <c r="B1497" s="1" t="s">
        <v>65</v>
      </c>
      <c r="C1497" s="1" t="s">
        <v>152</v>
      </c>
      <c r="D1497">
        <v>5273</v>
      </c>
      <c r="E1497" s="1"/>
      <c r="F1497" s="1" t="s">
        <v>285</v>
      </c>
      <c r="G1497" s="1" t="s">
        <v>152</v>
      </c>
      <c r="H1497" s="1" t="s">
        <v>1396</v>
      </c>
      <c r="I1497">
        <v>2009</v>
      </c>
      <c r="J1497" s="93">
        <v>101796.15</v>
      </c>
      <c r="K1497">
        <v>12</v>
      </c>
      <c r="L1497" s="1" t="s">
        <v>469</v>
      </c>
      <c r="M1497">
        <v>0</v>
      </c>
      <c r="N1497">
        <v>457</v>
      </c>
      <c r="O1497">
        <v>222.69995599999999</v>
      </c>
      <c r="P1497">
        <v>1</v>
      </c>
      <c r="Q1497" s="1" t="s">
        <v>563</v>
      </c>
      <c r="R1497" s="93">
        <v>110125.34</v>
      </c>
      <c r="S1497">
        <v>583.91999999999996</v>
      </c>
      <c r="T1497">
        <v>1</v>
      </c>
      <c r="U1497" s="1" t="s">
        <v>802</v>
      </c>
      <c r="V1497" s="1"/>
      <c r="W1497">
        <v>2917.6314000000002</v>
      </c>
      <c r="X1497">
        <v>0</v>
      </c>
      <c r="Y1497">
        <v>57004</v>
      </c>
    </row>
    <row r="1498" spans="1:25" ht="15" hidden="1" customHeight="1" x14ac:dyDescent="0.25">
      <c r="A1498" s="1" t="s">
        <v>30</v>
      </c>
      <c r="B1498" s="1" t="s">
        <v>65</v>
      </c>
      <c r="C1498" s="1" t="s">
        <v>152</v>
      </c>
      <c r="D1498">
        <v>5273</v>
      </c>
      <c r="E1498" s="1"/>
      <c r="F1498" s="1" t="s">
        <v>285</v>
      </c>
      <c r="G1498" s="1" t="s">
        <v>152</v>
      </c>
      <c r="H1498" s="1" t="s">
        <v>1405</v>
      </c>
      <c r="I1498">
        <v>2009</v>
      </c>
      <c r="J1498" s="93">
        <v>73459.320000000007</v>
      </c>
      <c r="K1498">
        <v>12</v>
      </c>
      <c r="L1498" s="1" t="s">
        <v>469</v>
      </c>
      <c r="M1498">
        <v>0</v>
      </c>
      <c r="N1498">
        <v>457</v>
      </c>
      <c r="O1498">
        <v>160.70732799999999</v>
      </c>
      <c r="P1498">
        <v>1</v>
      </c>
      <c r="Q1498" s="1" t="s">
        <v>562</v>
      </c>
      <c r="R1498" s="93">
        <v>78898.990000000005</v>
      </c>
      <c r="S1498">
        <v>14596.31</v>
      </c>
      <c r="T1498">
        <v>0</v>
      </c>
      <c r="U1498" s="1" t="s">
        <v>802</v>
      </c>
      <c r="V1498" s="1"/>
      <c r="W1498">
        <v>73459.320000000007</v>
      </c>
      <c r="X1498">
        <v>0</v>
      </c>
      <c r="Y1498">
        <v>56844</v>
      </c>
    </row>
    <row r="1499" spans="1:25" ht="15" hidden="1" customHeight="1" x14ac:dyDescent="0.25">
      <c r="A1499" s="1" t="s">
        <v>30</v>
      </c>
      <c r="B1499" s="1" t="s">
        <v>65</v>
      </c>
      <c r="C1499" s="1" t="s">
        <v>152</v>
      </c>
      <c r="D1499">
        <v>5273</v>
      </c>
      <c r="E1499" s="1"/>
      <c r="F1499" s="1" t="s">
        <v>285</v>
      </c>
      <c r="G1499" s="1" t="s">
        <v>152</v>
      </c>
      <c r="H1499" s="1" t="s">
        <v>1405</v>
      </c>
      <c r="I1499">
        <v>2008</v>
      </c>
      <c r="J1499" s="93">
        <v>69988.47</v>
      </c>
      <c r="K1499">
        <v>12</v>
      </c>
      <c r="L1499" s="1" t="s">
        <v>469</v>
      </c>
      <c r="M1499">
        <v>0</v>
      </c>
      <c r="N1499">
        <v>457</v>
      </c>
      <c r="O1499">
        <v>153.11413200000001</v>
      </c>
      <c r="P1499">
        <v>1</v>
      </c>
      <c r="Q1499" s="1" t="s">
        <v>562</v>
      </c>
      <c r="R1499" s="93">
        <v>79461.100000000006</v>
      </c>
      <c r="S1499">
        <v>14700.29</v>
      </c>
      <c r="T1499">
        <v>0</v>
      </c>
      <c r="U1499" s="1" t="s">
        <v>802</v>
      </c>
      <c r="V1499" s="1"/>
      <c r="W1499">
        <v>69988.47</v>
      </c>
      <c r="X1499">
        <v>0</v>
      </c>
      <c r="Y1499">
        <v>56844</v>
      </c>
    </row>
    <row r="1500" spans="1:25" ht="15" hidden="1" customHeight="1" x14ac:dyDescent="0.25">
      <c r="A1500" s="1" t="s">
        <v>30</v>
      </c>
      <c r="B1500" s="1" t="s">
        <v>65</v>
      </c>
      <c r="C1500" s="1" t="s">
        <v>152</v>
      </c>
      <c r="D1500">
        <v>5273</v>
      </c>
      <c r="E1500" s="1"/>
      <c r="F1500" s="1" t="s">
        <v>285</v>
      </c>
      <c r="G1500" s="1" t="s">
        <v>152</v>
      </c>
      <c r="H1500" s="1" t="s">
        <v>1396</v>
      </c>
      <c r="I1500">
        <v>2008</v>
      </c>
      <c r="J1500" s="93">
        <v>85144.960000000006</v>
      </c>
      <c r="K1500">
        <v>12</v>
      </c>
      <c r="L1500" s="1" t="s">
        <v>469</v>
      </c>
      <c r="M1500">
        <v>0</v>
      </c>
      <c r="N1500">
        <v>457</v>
      </c>
      <c r="O1500">
        <v>186.272063</v>
      </c>
      <c r="P1500">
        <v>1</v>
      </c>
      <c r="Q1500" s="1" t="s">
        <v>563</v>
      </c>
      <c r="R1500" s="93">
        <v>96201.55</v>
      </c>
      <c r="S1500">
        <v>510.11</v>
      </c>
      <c r="T1500">
        <v>1</v>
      </c>
      <c r="U1500" s="1" t="s">
        <v>802</v>
      </c>
      <c r="V1500" s="1"/>
      <c r="W1500">
        <v>2440.3833</v>
      </c>
      <c r="X1500">
        <v>0</v>
      </c>
      <c r="Y1500">
        <v>57004</v>
      </c>
    </row>
    <row r="1501" spans="1:25" ht="15" hidden="1" customHeight="1" x14ac:dyDescent="0.25">
      <c r="A1501" s="1" t="s">
        <v>30</v>
      </c>
      <c r="B1501" s="1"/>
      <c r="C1501" s="1" t="s">
        <v>153</v>
      </c>
      <c r="D1501">
        <v>10211</v>
      </c>
      <c r="E1501" s="1"/>
      <c r="F1501" s="1" t="s">
        <v>153</v>
      </c>
      <c r="G1501" s="1" t="s">
        <v>153</v>
      </c>
      <c r="H1501" s="1" t="s">
        <v>1405</v>
      </c>
      <c r="I1501">
        <v>2015</v>
      </c>
      <c r="J1501" s="93">
        <v>76440</v>
      </c>
      <c r="K1501">
        <v>5</v>
      </c>
      <c r="L1501" s="1" t="s">
        <v>471</v>
      </c>
      <c r="M1501">
        <v>0</v>
      </c>
      <c r="N1501">
        <v>1107</v>
      </c>
      <c r="O1501">
        <v>43.85331</v>
      </c>
      <c r="P1501">
        <v>1</v>
      </c>
      <c r="Q1501" s="1" t="s">
        <v>565</v>
      </c>
      <c r="R1501" s="93">
        <v>88683</v>
      </c>
      <c r="S1501">
        <v>3522.91</v>
      </c>
      <c r="T1501">
        <v>0</v>
      </c>
      <c r="U1501" s="1" t="s">
        <v>803</v>
      </c>
      <c r="V1501" s="1"/>
      <c r="W1501">
        <v>48.55</v>
      </c>
      <c r="X1501">
        <v>0</v>
      </c>
      <c r="Y1501">
        <v>77445</v>
      </c>
    </row>
    <row r="1502" spans="1:25" ht="15" hidden="1" customHeight="1" x14ac:dyDescent="0.25">
      <c r="A1502" s="1" t="s">
        <v>30</v>
      </c>
      <c r="B1502" s="1"/>
      <c r="C1502" s="1" t="s">
        <v>153</v>
      </c>
      <c r="D1502">
        <v>10211</v>
      </c>
      <c r="E1502" s="1"/>
      <c r="F1502" s="1" t="s">
        <v>153</v>
      </c>
      <c r="G1502" s="1" t="s">
        <v>153</v>
      </c>
      <c r="H1502" s="1" t="s">
        <v>1405</v>
      </c>
      <c r="I1502">
        <v>2013</v>
      </c>
      <c r="J1502" s="93">
        <v>104934</v>
      </c>
      <c r="K1502">
        <v>6</v>
      </c>
      <c r="L1502" s="1" t="s">
        <v>471</v>
      </c>
      <c r="M1502">
        <v>0</v>
      </c>
      <c r="N1502">
        <v>1107</v>
      </c>
      <c r="O1502">
        <v>94.782764999999998</v>
      </c>
      <c r="P1502">
        <v>1</v>
      </c>
      <c r="Q1502" s="1" t="s">
        <v>565</v>
      </c>
      <c r="R1502" s="93">
        <v>111100.78</v>
      </c>
      <c r="S1502">
        <v>7110.46</v>
      </c>
      <c r="T1502">
        <v>0</v>
      </c>
      <c r="U1502" s="1" t="s">
        <v>803</v>
      </c>
      <c r="V1502" s="1"/>
      <c r="W1502">
        <v>104.934</v>
      </c>
      <c r="X1502">
        <v>0</v>
      </c>
      <c r="Y1502">
        <v>77445</v>
      </c>
    </row>
    <row r="1503" spans="1:25" ht="15" hidden="1" customHeight="1" x14ac:dyDescent="0.25">
      <c r="A1503" s="1" t="s">
        <v>30</v>
      </c>
      <c r="B1503" s="1"/>
      <c r="C1503" s="1" t="s">
        <v>153</v>
      </c>
      <c r="D1503">
        <v>10211</v>
      </c>
      <c r="E1503" s="1"/>
      <c r="F1503" s="1" t="s">
        <v>153</v>
      </c>
      <c r="G1503" s="1" t="s">
        <v>153</v>
      </c>
      <c r="H1503" s="1" t="s">
        <v>1405</v>
      </c>
      <c r="I1503">
        <v>2012</v>
      </c>
      <c r="J1503" s="93">
        <v>104364.54</v>
      </c>
      <c r="K1503">
        <v>6</v>
      </c>
      <c r="L1503" s="1" t="s">
        <v>471</v>
      </c>
      <c r="M1503">
        <v>0</v>
      </c>
      <c r="N1503">
        <v>1107</v>
      </c>
      <c r="O1503">
        <v>94.268394000000001</v>
      </c>
      <c r="P1503">
        <v>1</v>
      </c>
      <c r="Q1503" s="1" t="s">
        <v>565</v>
      </c>
      <c r="R1503" s="93">
        <v>108874.13</v>
      </c>
      <c r="S1503">
        <v>20141.7</v>
      </c>
      <c r="T1503">
        <v>0</v>
      </c>
      <c r="U1503" s="1" t="s">
        <v>803</v>
      </c>
      <c r="V1503" s="1"/>
      <c r="W1503">
        <v>104.36454000000001</v>
      </c>
      <c r="X1503">
        <v>0</v>
      </c>
      <c r="Y1503">
        <v>77445</v>
      </c>
    </row>
    <row r="1504" spans="1:25" ht="15" hidden="1" customHeight="1" x14ac:dyDescent="0.25">
      <c r="A1504" s="1" t="s">
        <v>30</v>
      </c>
      <c r="B1504" s="1"/>
      <c r="C1504" s="1" t="s">
        <v>153</v>
      </c>
      <c r="D1504">
        <v>10211</v>
      </c>
      <c r="E1504" s="1"/>
      <c r="F1504" s="1" t="s">
        <v>153</v>
      </c>
      <c r="G1504" s="1" t="s">
        <v>153</v>
      </c>
      <c r="H1504" s="1" t="s">
        <v>1405</v>
      </c>
      <c r="I1504">
        <v>2011</v>
      </c>
      <c r="J1504" s="93">
        <v>101765.17</v>
      </c>
      <c r="K1504">
        <v>7</v>
      </c>
      <c r="L1504" s="1" t="s">
        <v>471</v>
      </c>
      <c r="M1504">
        <v>0</v>
      </c>
      <c r="N1504">
        <v>1107</v>
      </c>
      <c r="O1504">
        <v>91.920484999999999</v>
      </c>
      <c r="P1504">
        <v>1</v>
      </c>
      <c r="Q1504" s="1" t="s">
        <v>565</v>
      </c>
      <c r="R1504" s="93">
        <v>117127.13</v>
      </c>
      <c r="S1504">
        <v>21668.5</v>
      </c>
      <c r="T1504">
        <v>0</v>
      </c>
      <c r="U1504" s="1" t="s">
        <v>803</v>
      </c>
      <c r="V1504" s="1"/>
      <c r="W1504">
        <v>101.76517</v>
      </c>
      <c r="X1504">
        <v>0</v>
      </c>
      <c r="Y1504">
        <v>77445</v>
      </c>
    </row>
    <row r="1505" spans="1:25" ht="15" hidden="1" customHeight="1" x14ac:dyDescent="0.25">
      <c r="A1505" s="1" t="s">
        <v>30</v>
      </c>
      <c r="B1505" s="1"/>
      <c r="C1505" s="1" t="s">
        <v>153</v>
      </c>
      <c r="D1505">
        <v>10211</v>
      </c>
      <c r="E1505" s="1"/>
      <c r="F1505" s="1" t="s">
        <v>153</v>
      </c>
      <c r="G1505" s="1" t="s">
        <v>153</v>
      </c>
      <c r="H1505" s="1" t="s">
        <v>1405</v>
      </c>
      <c r="I1505">
        <v>2010</v>
      </c>
      <c r="J1505" s="93">
        <v>147791.57999999999</v>
      </c>
      <c r="K1505">
        <v>12</v>
      </c>
      <c r="L1505" s="1" t="s">
        <v>471</v>
      </c>
      <c r="M1505">
        <v>0</v>
      </c>
      <c r="N1505">
        <v>1107</v>
      </c>
      <c r="O1505">
        <v>133.494336</v>
      </c>
      <c r="P1505">
        <v>1</v>
      </c>
      <c r="Q1505" s="1" t="s">
        <v>565</v>
      </c>
      <c r="R1505" s="93">
        <v>134839.51</v>
      </c>
      <c r="S1505">
        <v>24945.31</v>
      </c>
      <c r="T1505">
        <v>0</v>
      </c>
      <c r="U1505" s="1" t="s">
        <v>803</v>
      </c>
      <c r="V1505" s="1"/>
      <c r="W1505">
        <v>147.79158000000001</v>
      </c>
      <c r="X1505">
        <v>0</v>
      </c>
      <c r="Y1505">
        <v>77445</v>
      </c>
    </row>
    <row r="1506" spans="1:25" ht="15" hidden="1" customHeight="1" x14ac:dyDescent="0.25">
      <c r="A1506" s="1" t="s">
        <v>30</v>
      </c>
      <c r="B1506" s="1"/>
      <c r="C1506" s="1" t="s">
        <v>153</v>
      </c>
      <c r="D1506">
        <v>10211</v>
      </c>
      <c r="E1506" s="1"/>
      <c r="F1506" s="1" t="s">
        <v>153</v>
      </c>
      <c r="G1506" s="1" t="s">
        <v>153</v>
      </c>
      <c r="H1506" s="1" t="s">
        <v>1405</v>
      </c>
      <c r="I1506">
        <v>2009</v>
      </c>
      <c r="J1506" s="93">
        <v>119743.44</v>
      </c>
      <c r="K1506">
        <v>13</v>
      </c>
      <c r="L1506" s="1" t="s">
        <v>471</v>
      </c>
      <c r="M1506">
        <v>0</v>
      </c>
      <c r="N1506">
        <v>1107</v>
      </c>
      <c r="O1506">
        <v>108.15955099999999</v>
      </c>
      <c r="P1506">
        <v>1</v>
      </c>
      <c r="Q1506" s="1" t="s">
        <v>565</v>
      </c>
      <c r="R1506" s="93">
        <v>134836.17000000001</v>
      </c>
      <c r="S1506">
        <v>24944.69</v>
      </c>
      <c r="T1506">
        <v>0</v>
      </c>
      <c r="U1506" s="1" t="s">
        <v>803</v>
      </c>
      <c r="V1506" s="1"/>
      <c r="W1506">
        <v>119.74344000000001</v>
      </c>
      <c r="X1506">
        <v>0</v>
      </c>
      <c r="Y1506">
        <v>77445</v>
      </c>
    </row>
    <row r="1507" spans="1:25" ht="15" hidden="1" customHeight="1" x14ac:dyDescent="0.25">
      <c r="A1507" s="1" t="s">
        <v>30</v>
      </c>
      <c r="B1507" s="1"/>
      <c r="C1507" s="1" t="s">
        <v>153</v>
      </c>
      <c r="D1507">
        <v>10211</v>
      </c>
      <c r="E1507" s="1"/>
      <c r="F1507" s="1" t="s">
        <v>153</v>
      </c>
      <c r="G1507" s="1" t="s">
        <v>153</v>
      </c>
      <c r="H1507" s="1" t="s">
        <v>1405</v>
      </c>
      <c r="I1507">
        <v>2008</v>
      </c>
      <c r="J1507" s="93">
        <v>106006.58</v>
      </c>
      <c r="K1507">
        <v>13</v>
      </c>
      <c r="L1507" s="1" t="s">
        <v>471</v>
      </c>
      <c r="M1507">
        <v>0</v>
      </c>
      <c r="N1507">
        <v>1107</v>
      </c>
      <c r="O1507">
        <v>95.751585000000006</v>
      </c>
      <c r="P1507">
        <v>1</v>
      </c>
      <c r="Q1507" s="1" t="s">
        <v>565</v>
      </c>
      <c r="R1507" s="93">
        <v>120498.33</v>
      </c>
      <c r="S1507">
        <v>22292.19</v>
      </c>
      <c r="T1507">
        <v>0</v>
      </c>
      <c r="U1507" s="1" t="s">
        <v>803</v>
      </c>
      <c r="V1507" s="1"/>
      <c r="W1507">
        <v>106.00658</v>
      </c>
      <c r="X1507">
        <v>0</v>
      </c>
      <c r="Y1507">
        <v>77445</v>
      </c>
    </row>
    <row r="1508" spans="1:25" ht="15" hidden="1" customHeight="1" x14ac:dyDescent="0.25">
      <c r="A1508" s="1" t="s">
        <v>30</v>
      </c>
      <c r="B1508" s="1" t="s">
        <v>53</v>
      </c>
      <c r="C1508" s="1" t="s">
        <v>154</v>
      </c>
      <c r="D1508">
        <v>5250</v>
      </c>
      <c r="E1508" s="1"/>
      <c r="F1508" s="1" t="s">
        <v>286</v>
      </c>
      <c r="G1508" s="1" t="s">
        <v>154</v>
      </c>
      <c r="H1508" s="1" t="s">
        <v>1405</v>
      </c>
      <c r="I1508">
        <v>2015</v>
      </c>
      <c r="J1508" s="93">
        <v>43033</v>
      </c>
      <c r="K1508">
        <v>5</v>
      </c>
      <c r="L1508" s="1" t="s">
        <v>469</v>
      </c>
      <c r="M1508">
        <v>0</v>
      </c>
      <c r="N1508">
        <v>417</v>
      </c>
      <c r="O1508">
        <v>59.360655999999999</v>
      </c>
      <c r="P1508">
        <v>1</v>
      </c>
      <c r="Q1508" s="1" t="s">
        <v>562</v>
      </c>
      <c r="R1508" s="93">
        <v>49208</v>
      </c>
      <c r="S1508">
        <v>5150649.75</v>
      </c>
      <c r="T1508">
        <v>0</v>
      </c>
      <c r="U1508" s="1" t="s">
        <v>804</v>
      </c>
      <c r="V1508" s="1"/>
      <c r="W1508">
        <v>24759.332999999999</v>
      </c>
      <c r="X1508">
        <v>0</v>
      </c>
      <c r="Y1508">
        <v>56672</v>
      </c>
    </row>
    <row r="1509" spans="1:25" ht="15" hidden="1" customHeight="1" x14ac:dyDescent="0.25">
      <c r="A1509" s="1" t="s">
        <v>30</v>
      </c>
      <c r="B1509" s="1" t="s">
        <v>53</v>
      </c>
      <c r="C1509" s="1" t="s">
        <v>154</v>
      </c>
      <c r="D1509">
        <v>5250</v>
      </c>
      <c r="E1509" s="1"/>
      <c r="F1509" s="1" t="s">
        <v>286</v>
      </c>
      <c r="G1509" s="1" t="s">
        <v>154</v>
      </c>
      <c r="H1509" s="1" t="s">
        <v>1396</v>
      </c>
      <c r="I1509">
        <v>2015</v>
      </c>
      <c r="J1509" s="93">
        <v>18821.18</v>
      </c>
      <c r="K1509">
        <v>5</v>
      </c>
      <c r="L1509" s="1"/>
      <c r="M1509">
        <v>0</v>
      </c>
      <c r="N1509">
        <v>417</v>
      </c>
      <c r="O1509">
        <v>45.123902999999999</v>
      </c>
      <c r="P1509">
        <v>1</v>
      </c>
      <c r="Q1509" s="1" t="s">
        <v>563</v>
      </c>
      <c r="R1509" s="93">
        <v>20776.509999999998</v>
      </c>
      <c r="S1509">
        <v>110164.93</v>
      </c>
      <c r="T1509">
        <v>1</v>
      </c>
      <c r="U1509" s="1" t="s">
        <v>804</v>
      </c>
      <c r="V1509" s="1"/>
      <c r="W1509">
        <v>539.44332999999995</v>
      </c>
      <c r="X1509">
        <v>0</v>
      </c>
      <c r="Y1509">
        <v>57006</v>
      </c>
    </row>
    <row r="1510" spans="1:25" ht="15" hidden="1" customHeight="1" x14ac:dyDescent="0.25">
      <c r="A1510" s="1" t="s">
        <v>30</v>
      </c>
      <c r="B1510" s="1" t="s">
        <v>53</v>
      </c>
      <c r="C1510" s="1" t="s">
        <v>154</v>
      </c>
      <c r="D1510">
        <v>5250</v>
      </c>
      <c r="E1510" s="1"/>
      <c r="F1510" s="1" t="s">
        <v>286</v>
      </c>
      <c r="G1510" s="1" t="s">
        <v>154</v>
      </c>
      <c r="H1510" s="1" t="s">
        <v>1405</v>
      </c>
      <c r="I1510">
        <v>2013</v>
      </c>
      <c r="J1510" s="93">
        <v>56591</v>
      </c>
      <c r="K1510">
        <v>12</v>
      </c>
      <c r="L1510" s="1" t="s">
        <v>469</v>
      </c>
      <c r="M1510">
        <v>0</v>
      </c>
      <c r="N1510">
        <v>417</v>
      </c>
      <c r="O1510">
        <v>135.67729499999999</v>
      </c>
      <c r="P1510">
        <v>1</v>
      </c>
      <c r="Q1510" s="1" t="s">
        <v>562</v>
      </c>
      <c r="R1510" s="93">
        <v>59743.57</v>
      </c>
      <c r="S1510">
        <v>11052.56</v>
      </c>
      <c r="T1510">
        <v>0</v>
      </c>
      <c r="U1510" s="1" t="s">
        <v>804</v>
      </c>
      <c r="V1510" s="1"/>
      <c r="W1510">
        <v>56591</v>
      </c>
      <c r="X1510">
        <v>0</v>
      </c>
      <c r="Y1510">
        <v>56672</v>
      </c>
    </row>
    <row r="1511" spans="1:25" ht="15" hidden="1" customHeight="1" x14ac:dyDescent="0.25">
      <c r="A1511" s="1" t="s">
        <v>30</v>
      </c>
      <c r="B1511" s="1" t="s">
        <v>53</v>
      </c>
      <c r="C1511" s="1" t="s">
        <v>154</v>
      </c>
      <c r="D1511">
        <v>5250</v>
      </c>
      <c r="E1511" s="1"/>
      <c r="F1511" s="1" t="s">
        <v>286</v>
      </c>
      <c r="G1511" s="1" t="s">
        <v>154</v>
      </c>
      <c r="H1511" s="1" t="s">
        <v>1396</v>
      </c>
      <c r="I1511">
        <v>2013</v>
      </c>
      <c r="J1511" s="93">
        <v>76582.5</v>
      </c>
      <c r="K1511">
        <v>12</v>
      </c>
      <c r="L1511" s="1"/>
      <c r="M1511">
        <v>0</v>
      </c>
      <c r="N1511">
        <v>417</v>
      </c>
      <c r="O1511">
        <v>183.60704799999999</v>
      </c>
      <c r="P1511">
        <v>1</v>
      </c>
      <c r="Q1511" s="1" t="s">
        <v>563</v>
      </c>
      <c r="R1511" s="93">
        <v>78562.84</v>
      </c>
      <c r="S1511">
        <v>416.55</v>
      </c>
      <c r="T1511">
        <v>1</v>
      </c>
      <c r="U1511" s="1" t="s">
        <v>804</v>
      </c>
      <c r="V1511" s="1"/>
      <c r="W1511">
        <v>2194.9699999999998</v>
      </c>
      <c r="X1511">
        <v>0</v>
      </c>
      <c r="Y1511">
        <v>57006</v>
      </c>
    </row>
    <row r="1512" spans="1:25" ht="15" hidden="1" customHeight="1" x14ac:dyDescent="0.25">
      <c r="A1512" s="1" t="s">
        <v>30</v>
      </c>
      <c r="B1512" s="1" t="s">
        <v>53</v>
      </c>
      <c r="C1512" s="1" t="s">
        <v>154</v>
      </c>
      <c r="D1512">
        <v>5250</v>
      </c>
      <c r="E1512" s="1"/>
      <c r="F1512" s="1" t="s">
        <v>286</v>
      </c>
      <c r="G1512" s="1" t="s">
        <v>154</v>
      </c>
      <c r="H1512" s="1" t="s">
        <v>1405</v>
      </c>
      <c r="I1512">
        <v>2012</v>
      </c>
      <c r="J1512" s="93">
        <v>65327</v>
      </c>
      <c r="K1512">
        <v>12</v>
      </c>
      <c r="L1512" s="1" t="s">
        <v>469</v>
      </c>
      <c r="M1512">
        <v>0</v>
      </c>
      <c r="N1512">
        <v>417</v>
      </c>
      <c r="O1512">
        <v>156.62191300000001</v>
      </c>
      <c r="P1512">
        <v>1</v>
      </c>
      <c r="Q1512" s="1" t="s">
        <v>562</v>
      </c>
      <c r="R1512" s="93">
        <v>69006.39</v>
      </c>
      <c r="S1512">
        <v>12766.18</v>
      </c>
      <c r="T1512">
        <v>0</v>
      </c>
      <c r="U1512" s="1" t="s">
        <v>804</v>
      </c>
      <c r="V1512" s="1"/>
      <c r="W1512">
        <v>65327</v>
      </c>
      <c r="X1512">
        <v>0</v>
      </c>
      <c r="Y1512">
        <v>56672</v>
      </c>
    </row>
    <row r="1513" spans="1:25" ht="15" hidden="1" customHeight="1" x14ac:dyDescent="0.25">
      <c r="A1513" s="1" t="s">
        <v>30</v>
      </c>
      <c r="B1513" s="1" t="s">
        <v>53</v>
      </c>
      <c r="C1513" s="1" t="s">
        <v>154</v>
      </c>
      <c r="D1513">
        <v>5250</v>
      </c>
      <c r="E1513" s="1"/>
      <c r="F1513" s="1" t="s">
        <v>286</v>
      </c>
      <c r="G1513" s="1" t="s">
        <v>154</v>
      </c>
      <c r="H1513" s="1" t="s">
        <v>1396</v>
      </c>
      <c r="I1513">
        <v>2012</v>
      </c>
      <c r="J1513" s="93">
        <v>96443.29</v>
      </c>
      <c r="K1513">
        <v>12</v>
      </c>
      <c r="L1513" s="1"/>
      <c r="M1513">
        <v>0</v>
      </c>
      <c r="N1513">
        <v>417</v>
      </c>
      <c r="O1513">
        <v>231.223423</v>
      </c>
      <c r="P1513">
        <v>1</v>
      </c>
      <c r="Q1513" s="1" t="s">
        <v>563</v>
      </c>
      <c r="R1513" s="93">
        <v>100816.82</v>
      </c>
      <c r="S1513">
        <v>534.55999999999995</v>
      </c>
      <c r="T1513">
        <v>1</v>
      </c>
      <c r="U1513" s="1" t="s">
        <v>804</v>
      </c>
      <c r="V1513" s="1"/>
      <c r="W1513">
        <v>2764.21</v>
      </c>
      <c r="X1513">
        <v>0</v>
      </c>
      <c r="Y1513">
        <v>57006</v>
      </c>
    </row>
    <row r="1514" spans="1:25" ht="15" hidden="1" customHeight="1" x14ac:dyDescent="0.25">
      <c r="A1514" s="1" t="s">
        <v>30</v>
      </c>
      <c r="B1514" s="1" t="s">
        <v>53</v>
      </c>
      <c r="C1514" s="1" t="s">
        <v>154</v>
      </c>
      <c r="D1514">
        <v>5250</v>
      </c>
      <c r="E1514" s="1"/>
      <c r="F1514" s="1" t="s">
        <v>286</v>
      </c>
      <c r="G1514" s="1" t="s">
        <v>154</v>
      </c>
      <c r="H1514" s="1" t="s">
        <v>1405</v>
      </c>
      <c r="I1514">
        <v>2011</v>
      </c>
      <c r="J1514" s="93">
        <v>57978</v>
      </c>
      <c r="K1514">
        <v>12</v>
      </c>
      <c r="L1514" s="1" t="s">
        <v>469</v>
      </c>
      <c r="M1514">
        <v>0</v>
      </c>
      <c r="N1514">
        <v>417</v>
      </c>
      <c r="O1514">
        <v>139.00263699999999</v>
      </c>
      <c r="P1514">
        <v>1</v>
      </c>
      <c r="Q1514" s="1" t="s">
        <v>562</v>
      </c>
      <c r="R1514" s="93">
        <v>64031.27</v>
      </c>
      <c r="S1514">
        <v>11845.79</v>
      </c>
      <c r="T1514">
        <v>0</v>
      </c>
      <c r="U1514" s="1" t="s">
        <v>804</v>
      </c>
      <c r="V1514" s="1"/>
      <c r="W1514">
        <v>57978</v>
      </c>
      <c r="X1514">
        <v>0</v>
      </c>
      <c r="Y1514">
        <v>56672</v>
      </c>
    </row>
    <row r="1515" spans="1:25" ht="15" hidden="1" customHeight="1" x14ac:dyDescent="0.25">
      <c r="A1515" s="1" t="s">
        <v>30</v>
      </c>
      <c r="B1515" s="1" t="s">
        <v>53</v>
      </c>
      <c r="C1515" s="1" t="s">
        <v>154</v>
      </c>
      <c r="D1515">
        <v>5250</v>
      </c>
      <c r="E1515" s="1"/>
      <c r="F1515" s="1" t="s">
        <v>286</v>
      </c>
      <c r="G1515" s="1" t="s">
        <v>154</v>
      </c>
      <c r="H1515" s="1" t="s">
        <v>1396</v>
      </c>
      <c r="I1515">
        <v>2011</v>
      </c>
      <c r="J1515" s="93">
        <v>71993.09</v>
      </c>
      <c r="K1515">
        <v>12</v>
      </c>
      <c r="L1515" s="1"/>
      <c r="M1515">
        <v>0</v>
      </c>
      <c r="N1515">
        <v>417</v>
      </c>
      <c r="O1515">
        <v>172.60390699999999</v>
      </c>
      <c r="P1515">
        <v>1</v>
      </c>
      <c r="Q1515" s="1" t="s">
        <v>563</v>
      </c>
      <c r="R1515" s="93">
        <v>78433.490000000005</v>
      </c>
      <c r="S1515">
        <v>415.9</v>
      </c>
      <c r="T1515">
        <v>1</v>
      </c>
      <c r="U1515" s="1" t="s">
        <v>804</v>
      </c>
      <c r="V1515" s="1"/>
      <c r="W1515">
        <v>2063.4299999999998</v>
      </c>
      <c r="X1515">
        <v>0</v>
      </c>
      <c r="Y1515">
        <v>57006</v>
      </c>
    </row>
    <row r="1516" spans="1:25" ht="15" hidden="1" customHeight="1" x14ac:dyDescent="0.25">
      <c r="A1516" s="1" t="s">
        <v>30</v>
      </c>
      <c r="B1516" s="1" t="s">
        <v>53</v>
      </c>
      <c r="C1516" s="1" t="s">
        <v>154</v>
      </c>
      <c r="D1516">
        <v>5250</v>
      </c>
      <c r="E1516" s="1"/>
      <c r="F1516" s="1" t="s">
        <v>286</v>
      </c>
      <c r="G1516" s="1" t="s">
        <v>154</v>
      </c>
      <c r="H1516" s="1" t="s">
        <v>1405</v>
      </c>
      <c r="I1516">
        <v>2010</v>
      </c>
      <c r="J1516" s="93">
        <v>59625</v>
      </c>
      <c r="K1516">
        <v>12</v>
      </c>
      <c r="L1516" s="1" t="s">
        <v>469</v>
      </c>
      <c r="M1516">
        <v>0</v>
      </c>
      <c r="N1516">
        <v>417</v>
      </c>
      <c r="O1516">
        <v>142.95133000000001</v>
      </c>
      <c r="P1516">
        <v>1</v>
      </c>
      <c r="Q1516" s="1" t="s">
        <v>562</v>
      </c>
      <c r="R1516" s="93">
        <v>54399.9</v>
      </c>
      <c r="S1516">
        <v>10064.01</v>
      </c>
      <c r="T1516">
        <v>0</v>
      </c>
      <c r="U1516" s="1" t="s">
        <v>804</v>
      </c>
      <c r="V1516" s="1"/>
      <c r="W1516">
        <v>59625</v>
      </c>
      <c r="X1516">
        <v>0</v>
      </c>
      <c r="Y1516">
        <v>56672</v>
      </c>
    </row>
    <row r="1517" spans="1:25" ht="15" hidden="1" customHeight="1" x14ac:dyDescent="0.25">
      <c r="A1517" s="1" t="s">
        <v>30</v>
      </c>
      <c r="B1517" s="1" t="s">
        <v>53</v>
      </c>
      <c r="C1517" s="1" t="s">
        <v>154</v>
      </c>
      <c r="D1517">
        <v>5250</v>
      </c>
      <c r="E1517" s="1"/>
      <c r="F1517" s="1" t="s">
        <v>286</v>
      </c>
      <c r="G1517" s="1" t="s">
        <v>154</v>
      </c>
      <c r="H1517" s="1" t="s">
        <v>1396</v>
      </c>
      <c r="I1517">
        <v>2010</v>
      </c>
      <c r="J1517" s="93">
        <v>103203.23</v>
      </c>
      <c r="K1517">
        <v>12</v>
      </c>
      <c r="L1517" s="1"/>
      <c r="M1517">
        <v>0</v>
      </c>
      <c r="N1517">
        <v>417</v>
      </c>
      <c r="O1517">
        <v>247.43042399999999</v>
      </c>
      <c r="P1517">
        <v>1</v>
      </c>
      <c r="Q1517" s="1" t="s">
        <v>563</v>
      </c>
      <c r="R1517" s="93">
        <v>92344.21</v>
      </c>
      <c r="S1517">
        <v>489.63</v>
      </c>
      <c r="T1517">
        <v>1</v>
      </c>
      <c r="U1517" s="1" t="s">
        <v>804</v>
      </c>
      <c r="V1517" s="1"/>
      <c r="W1517">
        <v>2957.96</v>
      </c>
      <c r="X1517">
        <v>0</v>
      </c>
      <c r="Y1517">
        <v>57006</v>
      </c>
    </row>
    <row r="1518" spans="1:25" ht="15" hidden="1" customHeight="1" x14ac:dyDescent="0.25">
      <c r="A1518" s="1" t="s">
        <v>30</v>
      </c>
      <c r="B1518" s="1" t="s">
        <v>53</v>
      </c>
      <c r="C1518" s="1" t="s">
        <v>154</v>
      </c>
      <c r="D1518">
        <v>5250</v>
      </c>
      <c r="E1518" s="1"/>
      <c r="F1518" s="1" t="s">
        <v>286</v>
      </c>
      <c r="G1518" s="1" t="s">
        <v>154</v>
      </c>
      <c r="H1518" s="1" t="s">
        <v>1405</v>
      </c>
      <c r="I1518">
        <v>2009</v>
      </c>
      <c r="J1518" s="93">
        <v>53333</v>
      </c>
      <c r="K1518">
        <v>12</v>
      </c>
      <c r="L1518" s="1" t="s">
        <v>469</v>
      </c>
      <c r="M1518">
        <v>0</v>
      </c>
      <c r="N1518">
        <v>417</v>
      </c>
      <c r="O1518">
        <v>127.866219</v>
      </c>
      <c r="P1518">
        <v>1</v>
      </c>
      <c r="Q1518" s="1" t="s">
        <v>562</v>
      </c>
      <c r="R1518" s="93">
        <v>56811.18</v>
      </c>
      <c r="S1518">
        <v>10510.06</v>
      </c>
      <c r="T1518">
        <v>0</v>
      </c>
      <c r="U1518" s="1" t="s">
        <v>804</v>
      </c>
      <c r="V1518" s="1"/>
      <c r="W1518">
        <v>53333</v>
      </c>
      <c r="X1518">
        <v>0</v>
      </c>
      <c r="Y1518">
        <v>56672</v>
      </c>
    </row>
    <row r="1519" spans="1:25" ht="15" hidden="1" customHeight="1" x14ac:dyDescent="0.25">
      <c r="A1519" s="1" t="s">
        <v>30</v>
      </c>
      <c r="B1519" s="1" t="s">
        <v>53</v>
      </c>
      <c r="C1519" s="1" t="s">
        <v>154</v>
      </c>
      <c r="D1519">
        <v>5250</v>
      </c>
      <c r="E1519" s="1"/>
      <c r="F1519" s="1" t="s">
        <v>286</v>
      </c>
      <c r="G1519" s="1" t="s">
        <v>154</v>
      </c>
      <c r="H1519" s="1" t="s">
        <v>1396</v>
      </c>
      <c r="I1519">
        <v>2009</v>
      </c>
      <c r="J1519" s="93">
        <v>55130.74</v>
      </c>
      <c r="K1519">
        <v>12</v>
      </c>
      <c r="L1519" s="1"/>
      <c r="M1519">
        <v>0</v>
      </c>
      <c r="N1519">
        <v>417</v>
      </c>
      <c r="O1519">
        <v>132.176312</v>
      </c>
      <c r="P1519">
        <v>1</v>
      </c>
      <c r="Q1519" s="1" t="s">
        <v>563</v>
      </c>
      <c r="R1519" s="93">
        <v>58254.33</v>
      </c>
      <c r="S1519">
        <v>308.89</v>
      </c>
      <c r="T1519">
        <v>1</v>
      </c>
      <c r="U1519" s="1" t="s">
        <v>804</v>
      </c>
      <c r="V1519" s="1"/>
      <c r="W1519">
        <v>1580.13</v>
      </c>
      <c r="X1519">
        <v>0</v>
      </c>
      <c r="Y1519">
        <v>57006</v>
      </c>
    </row>
    <row r="1520" spans="1:25" ht="15" hidden="1" customHeight="1" x14ac:dyDescent="0.25">
      <c r="A1520" s="1" t="s">
        <v>30</v>
      </c>
      <c r="B1520" s="1" t="s">
        <v>53</v>
      </c>
      <c r="C1520" s="1" t="s">
        <v>154</v>
      </c>
      <c r="D1520">
        <v>5250</v>
      </c>
      <c r="E1520" s="1"/>
      <c r="F1520" s="1" t="s">
        <v>286</v>
      </c>
      <c r="G1520" s="1" t="s">
        <v>154</v>
      </c>
      <c r="H1520" s="1" t="s">
        <v>1405</v>
      </c>
      <c r="I1520">
        <v>2008</v>
      </c>
      <c r="J1520" s="93">
        <v>48506</v>
      </c>
      <c r="K1520">
        <v>12</v>
      </c>
      <c r="L1520" s="1" t="s">
        <v>469</v>
      </c>
      <c r="M1520">
        <v>0</v>
      </c>
      <c r="N1520">
        <v>417</v>
      </c>
      <c r="O1520">
        <v>116.293454</v>
      </c>
      <c r="P1520">
        <v>1</v>
      </c>
      <c r="Q1520" s="1" t="s">
        <v>562</v>
      </c>
      <c r="R1520" s="93">
        <v>55217.2</v>
      </c>
      <c r="S1520">
        <v>10215.17</v>
      </c>
      <c r="T1520">
        <v>0</v>
      </c>
      <c r="U1520" s="1" t="s">
        <v>804</v>
      </c>
      <c r="V1520" s="1"/>
      <c r="W1520">
        <v>48506</v>
      </c>
      <c r="X1520">
        <v>0</v>
      </c>
      <c r="Y1520">
        <v>56672</v>
      </c>
    </row>
    <row r="1521" spans="1:25" ht="15" hidden="1" customHeight="1" x14ac:dyDescent="0.25">
      <c r="A1521" s="1" t="s">
        <v>30</v>
      </c>
      <c r="B1521" s="1" t="s">
        <v>53</v>
      </c>
      <c r="C1521" s="1" t="s">
        <v>154</v>
      </c>
      <c r="D1521">
        <v>5250</v>
      </c>
      <c r="E1521" s="1"/>
      <c r="F1521" s="1" t="s">
        <v>286</v>
      </c>
      <c r="G1521" s="1" t="s">
        <v>154</v>
      </c>
      <c r="H1521" s="1" t="s">
        <v>1396</v>
      </c>
      <c r="I1521">
        <v>2008</v>
      </c>
      <c r="J1521" s="93">
        <v>49501.24</v>
      </c>
      <c r="K1521">
        <v>12</v>
      </c>
      <c r="L1521" s="1"/>
      <c r="M1521">
        <v>0</v>
      </c>
      <c r="N1521">
        <v>417</v>
      </c>
      <c r="O1521">
        <v>118.67954899999999</v>
      </c>
      <c r="P1521">
        <v>1</v>
      </c>
      <c r="Q1521" s="1" t="s">
        <v>563</v>
      </c>
      <c r="R1521" s="93">
        <v>56488.78</v>
      </c>
      <c r="S1521">
        <v>299.52</v>
      </c>
      <c r="T1521">
        <v>1</v>
      </c>
      <c r="U1521" s="1" t="s">
        <v>804</v>
      </c>
      <c r="V1521" s="1"/>
      <c r="W1521">
        <v>1418.78</v>
      </c>
      <c r="X1521">
        <v>0</v>
      </c>
      <c r="Y1521">
        <v>57006</v>
      </c>
    </row>
    <row r="1522" spans="1:25" ht="15" hidden="1" customHeight="1" x14ac:dyDescent="0.25">
      <c r="A1522" s="1" t="s">
        <v>34</v>
      </c>
      <c r="B1522" s="1" t="s">
        <v>95</v>
      </c>
      <c r="C1522" s="1" t="s">
        <v>226</v>
      </c>
      <c r="D1522">
        <v>5427</v>
      </c>
      <c r="E1522" s="1"/>
      <c r="F1522" s="1" t="s">
        <v>364</v>
      </c>
      <c r="G1522" s="1" t="s">
        <v>226</v>
      </c>
      <c r="H1522" s="1" t="s">
        <v>1405</v>
      </c>
      <c r="I1522">
        <v>2014</v>
      </c>
      <c r="J1522" s="93">
        <v>52699.79</v>
      </c>
      <c r="K1522">
        <v>12</v>
      </c>
      <c r="L1522" s="1" t="s">
        <v>404</v>
      </c>
      <c r="M1522">
        <v>0</v>
      </c>
      <c r="N1522">
        <v>361</v>
      </c>
      <c r="O1522">
        <v>145.94237000000001</v>
      </c>
      <c r="P1522">
        <v>1</v>
      </c>
      <c r="Q1522" s="1" t="s">
        <v>564</v>
      </c>
      <c r="R1522" s="93">
        <v>65587.490000000005</v>
      </c>
      <c r="S1522">
        <v>13870.53</v>
      </c>
      <c r="T1522">
        <v>0</v>
      </c>
      <c r="U1522" s="1" t="s">
        <v>832</v>
      </c>
      <c r="V1522" s="1" t="s">
        <v>1213</v>
      </c>
      <c r="W1522">
        <v>4879.6099999999997</v>
      </c>
      <c r="X1522">
        <v>0</v>
      </c>
      <c r="Y1522">
        <v>57398</v>
      </c>
    </row>
    <row r="1523" spans="1:25" ht="15" hidden="1" customHeight="1" x14ac:dyDescent="0.25">
      <c r="A1523" s="1" t="s">
        <v>30</v>
      </c>
      <c r="B1523" s="1"/>
      <c r="C1523" s="1" t="s">
        <v>151</v>
      </c>
      <c r="D1523">
        <v>10236</v>
      </c>
      <c r="E1523" s="1"/>
      <c r="F1523" s="1" t="s">
        <v>284</v>
      </c>
      <c r="G1523" s="1" t="s">
        <v>151</v>
      </c>
      <c r="H1523" s="1" t="s">
        <v>1405</v>
      </c>
      <c r="I1523">
        <v>2014</v>
      </c>
      <c r="J1523" s="93">
        <v>53943.08</v>
      </c>
      <c r="K1523">
        <v>12</v>
      </c>
      <c r="L1523" s="1" t="s">
        <v>405</v>
      </c>
      <c r="M1523">
        <v>0</v>
      </c>
      <c r="N1523">
        <v>696</v>
      </c>
      <c r="O1523">
        <v>77.493290999999999</v>
      </c>
      <c r="P1523">
        <v>1</v>
      </c>
      <c r="Q1523" s="1" t="s">
        <v>564</v>
      </c>
      <c r="R1523" s="93">
        <v>64563.09</v>
      </c>
      <c r="S1523">
        <v>13653.9</v>
      </c>
      <c r="T1523">
        <v>0</v>
      </c>
      <c r="U1523" s="1" t="s">
        <v>800</v>
      </c>
      <c r="V1523" s="1" t="s">
        <v>1206</v>
      </c>
      <c r="W1523">
        <v>4994.7299999999996</v>
      </c>
      <c r="X1523">
        <v>0</v>
      </c>
      <c r="Y1523">
        <v>77526</v>
      </c>
    </row>
    <row r="1524" spans="1:25" ht="15" hidden="1" customHeight="1" x14ac:dyDescent="0.25">
      <c r="A1524" s="1" t="s">
        <v>27</v>
      </c>
      <c r="B1524" s="1"/>
      <c r="C1524" s="1" t="s">
        <v>128</v>
      </c>
      <c r="D1524">
        <v>10169</v>
      </c>
      <c r="E1524" s="1"/>
      <c r="F1524" s="1" t="s">
        <v>268</v>
      </c>
      <c r="G1524" s="1" t="s">
        <v>268</v>
      </c>
      <c r="H1524" s="1" t="s">
        <v>1405</v>
      </c>
      <c r="I1524">
        <v>2014</v>
      </c>
      <c r="J1524" s="93">
        <v>54308.36</v>
      </c>
      <c r="K1524">
        <v>12</v>
      </c>
      <c r="L1524" s="1" t="s">
        <v>473</v>
      </c>
      <c r="M1524">
        <v>0</v>
      </c>
      <c r="N1524">
        <v>721</v>
      </c>
      <c r="O1524">
        <v>75.313215</v>
      </c>
      <c r="P1524">
        <v>1</v>
      </c>
      <c r="Q1524" s="1" t="s">
        <v>566</v>
      </c>
      <c r="R1524" s="93">
        <v>64325.67</v>
      </c>
      <c r="S1524">
        <v>13117.82</v>
      </c>
      <c r="T1524">
        <v>0</v>
      </c>
      <c r="U1524" s="1" t="s">
        <v>778</v>
      </c>
      <c r="V1524" s="1" t="s">
        <v>1194</v>
      </c>
      <c r="W1524">
        <v>4848.96</v>
      </c>
      <c r="X1524">
        <v>0</v>
      </c>
      <c r="Y1524">
        <v>77182</v>
      </c>
    </row>
    <row r="1525" spans="1:25" ht="15" hidden="1" customHeight="1" x14ac:dyDescent="0.25">
      <c r="A1525" s="1" t="s">
        <v>30</v>
      </c>
      <c r="B1525" s="1"/>
      <c r="C1525" s="1" t="s">
        <v>151</v>
      </c>
      <c r="D1525">
        <v>10236</v>
      </c>
      <c r="E1525" s="1"/>
      <c r="F1525" s="1" t="s">
        <v>284</v>
      </c>
      <c r="G1525" s="1" t="s">
        <v>151</v>
      </c>
      <c r="H1525" s="1" t="s">
        <v>1405</v>
      </c>
      <c r="I1525">
        <v>2014</v>
      </c>
      <c r="J1525" s="93">
        <v>506.74</v>
      </c>
      <c r="K1525">
        <v>10</v>
      </c>
      <c r="L1525" s="1" t="s">
        <v>427</v>
      </c>
      <c r="M1525">
        <v>0</v>
      </c>
      <c r="N1525">
        <v>696</v>
      </c>
      <c r="O1525">
        <v>0.72797000000000001</v>
      </c>
      <c r="P1525">
        <v>3</v>
      </c>
      <c r="Q1525" s="1" t="s">
        <v>560</v>
      </c>
      <c r="R1525" s="93">
        <v>506.74</v>
      </c>
      <c r="S1525">
        <v>405.4</v>
      </c>
      <c r="T1525">
        <v>0</v>
      </c>
      <c r="U1525" s="1" t="s">
        <v>622</v>
      </c>
      <c r="V1525" s="1"/>
      <c r="W1525">
        <v>506.74164000000002</v>
      </c>
      <c r="X1525">
        <v>0</v>
      </c>
      <c r="Y1525">
        <v>77525</v>
      </c>
    </row>
    <row r="1526" spans="1:25" ht="15" hidden="1" customHeight="1" x14ac:dyDescent="0.25">
      <c r="A1526" s="1" t="s">
        <v>30</v>
      </c>
      <c r="B1526" s="1" t="s">
        <v>62</v>
      </c>
      <c r="C1526" s="1" t="s">
        <v>138</v>
      </c>
      <c r="D1526">
        <v>5275</v>
      </c>
      <c r="E1526" s="1"/>
      <c r="F1526" s="1" t="s">
        <v>276</v>
      </c>
      <c r="G1526" s="1" t="s">
        <v>276</v>
      </c>
      <c r="H1526" s="1" t="s">
        <v>1405</v>
      </c>
      <c r="I1526">
        <v>2013</v>
      </c>
      <c r="J1526" s="93">
        <v>17435.990000000002</v>
      </c>
      <c r="K1526">
        <v>12</v>
      </c>
      <c r="L1526" s="1" t="s">
        <v>399</v>
      </c>
      <c r="M1526">
        <v>0</v>
      </c>
      <c r="N1526">
        <v>675</v>
      </c>
      <c r="O1526">
        <v>25.827269999999999</v>
      </c>
      <c r="P1526">
        <v>2</v>
      </c>
      <c r="Q1526" s="1" t="s">
        <v>569</v>
      </c>
      <c r="R1526" s="93">
        <v>17435.990000000002</v>
      </c>
      <c r="S1526">
        <v>5230.78</v>
      </c>
      <c r="T1526">
        <v>0</v>
      </c>
      <c r="U1526" s="1" t="s">
        <v>988</v>
      </c>
      <c r="V1526" s="1" t="s">
        <v>1273</v>
      </c>
      <c r="W1526">
        <v>17435.984</v>
      </c>
      <c r="X1526">
        <v>0</v>
      </c>
      <c r="Y1526">
        <v>56855</v>
      </c>
    </row>
    <row r="1527" spans="1:25" ht="15" hidden="1" customHeight="1" x14ac:dyDescent="0.25">
      <c r="A1527" s="1" t="s">
        <v>30</v>
      </c>
      <c r="B1527" s="1" t="s">
        <v>65</v>
      </c>
      <c r="C1527" s="1" t="s">
        <v>152</v>
      </c>
      <c r="D1527">
        <v>5273</v>
      </c>
      <c r="E1527" s="1"/>
      <c r="F1527" s="1" t="s">
        <v>285</v>
      </c>
      <c r="G1527" s="1" t="s">
        <v>152</v>
      </c>
      <c r="H1527" s="1" t="s">
        <v>1396</v>
      </c>
      <c r="I1527">
        <v>2014</v>
      </c>
      <c r="J1527" s="93">
        <v>51342.720000000001</v>
      </c>
      <c r="K1527">
        <v>12</v>
      </c>
      <c r="L1527" s="1" t="s">
        <v>469</v>
      </c>
      <c r="M1527">
        <v>0</v>
      </c>
      <c r="N1527">
        <v>457</v>
      </c>
      <c r="O1527">
        <v>112.32273000000001</v>
      </c>
      <c r="P1527">
        <v>1</v>
      </c>
      <c r="Q1527" s="1" t="s">
        <v>563</v>
      </c>
      <c r="R1527" s="93">
        <v>60764.53</v>
      </c>
      <c r="S1527">
        <v>147843.65</v>
      </c>
      <c r="T1527">
        <v>1</v>
      </c>
      <c r="U1527" s="1" t="s">
        <v>802</v>
      </c>
      <c r="V1527" s="1"/>
      <c r="W1527">
        <v>1471.56</v>
      </c>
      <c r="X1527">
        <v>0</v>
      </c>
      <c r="Y1527">
        <v>57004</v>
      </c>
    </row>
    <row r="1528" spans="1:25" ht="15" hidden="1" customHeight="1" x14ac:dyDescent="0.25">
      <c r="A1528" s="1" t="s">
        <v>30</v>
      </c>
      <c r="B1528" s="1" t="s">
        <v>65</v>
      </c>
      <c r="C1528" s="1" t="s">
        <v>152</v>
      </c>
      <c r="D1528">
        <v>5273</v>
      </c>
      <c r="E1528" s="1"/>
      <c r="F1528" s="1" t="s">
        <v>285</v>
      </c>
      <c r="G1528" s="1" t="s">
        <v>152</v>
      </c>
      <c r="H1528" s="1" t="s">
        <v>1405</v>
      </c>
      <c r="I1528">
        <v>2014</v>
      </c>
      <c r="J1528" s="93">
        <v>126.57</v>
      </c>
      <c r="K1528">
        <v>12</v>
      </c>
      <c r="L1528" s="1" t="s">
        <v>393</v>
      </c>
      <c r="M1528">
        <v>0</v>
      </c>
      <c r="N1528">
        <v>457</v>
      </c>
      <c r="O1528">
        <v>0.276897</v>
      </c>
      <c r="P1528">
        <v>3</v>
      </c>
      <c r="Q1528" s="1" t="s">
        <v>560</v>
      </c>
      <c r="R1528" s="93">
        <v>126.57</v>
      </c>
      <c r="S1528">
        <v>101.26</v>
      </c>
      <c r="T1528">
        <v>0</v>
      </c>
      <c r="U1528" s="1" t="s">
        <v>623</v>
      </c>
      <c r="V1528" s="1"/>
      <c r="W1528">
        <v>126.575</v>
      </c>
      <c r="X1528">
        <v>0</v>
      </c>
      <c r="Y1528">
        <v>56845</v>
      </c>
    </row>
    <row r="1529" spans="1:25" ht="15" hidden="1" customHeight="1" x14ac:dyDescent="0.25">
      <c r="A1529" s="1" t="s">
        <v>30</v>
      </c>
      <c r="B1529" s="1" t="s">
        <v>65</v>
      </c>
      <c r="C1529" s="1" t="s">
        <v>152</v>
      </c>
      <c r="D1529">
        <v>5273</v>
      </c>
      <c r="E1529" s="1"/>
      <c r="F1529" s="1" t="s">
        <v>285</v>
      </c>
      <c r="G1529" s="1" t="s">
        <v>152</v>
      </c>
      <c r="H1529" s="1" t="s">
        <v>1405</v>
      </c>
      <c r="I1529">
        <v>2014</v>
      </c>
      <c r="J1529" s="93">
        <v>0.52</v>
      </c>
      <c r="K1529">
        <v>12</v>
      </c>
      <c r="L1529" s="1" t="s">
        <v>393</v>
      </c>
      <c r="M1529">
        <v>0</v>
      </c>
      <c r="N1529">
        <v>457</v>
      </c>
      <c r="O1529">
        <v>1.137E-3</v>
      </c>
      <c r="P1529">
        <v>3</v>
      </c>
      <c r="Q1529" s="1" t="s">
        <v>560</v>
      </c>
      <c r="R1529" s="93">
        <v>0.52</v>
      </c>
      <c r="S1529">
        <v>0.42</v>
      </c>
      <c r="T1529">
        <v>0</v>
      </c>
      <c r="U1529" s="1" t="s">
        <v>624</v>
      </c>
      <c r="V1529" s="1"/>
      <c r="W1529">
        <v>0.52</v>
      </c>
      <c r="X1529">
        <v>0</v>
      </c>
      <c r="Y1529">
        <v>57992</v>
      </c>
    </row>
    <row r="1530" spans="1:25" ht="15" hidden="1" customHeight="1" x14ac:dyDescent="0.25">
      <c r="A1530" s="1" t="s">
        <v>30</v>
      </c>
      <c r="B1530" s="1" t="s">
        <v>65</v>
      </c>
      <c r="C1530" s="1" t="s">
        <v>152</v>
      </c>
      <c r="D1530">
        <v>5273</v>
      </c>
      <c r="E1530" s="1"/>
      <c r="F1530" s="1" t="s">
        <v>285</v>
      </c>
      <c r="G1530" s="1" t="s">
        <v>152</v>
      </c>
      <c r="H1530" s="1" t="s">
        <v>1405</v>
      </c>
      <c r="I1530">
        <v>2014</v>
      </c>
      <c r="J1530" s="93">
        <v>50306</v>
      </c>
      <c r="K1530">
        <v>12</v>
      </c>
      <c r="L1530" s="1" t="s">
        <v>469</v>
      </c>
      <c r="M1530">
        <v>0</v>
      </c>
      <c r="N1530">
        <v>457</v>
      </c>
      <c r="O1530">
        <v>110.054692</v>
      </c>
      <c r="P1530">
        <v>1</v>
      </c>
      <c r="Q1530" s="1" t="s">
        <v>562</v>
      </c>
      <c r="R1530" s="93">
        <v>60151.33</v>
      </c>
      <c r="S1530">
        <v>5077380.2699999996</v>
      </c>
      <c r="T1530">
        <v>0</v>
      </c>
      <c r="U1530" s="1" t="s">
        <v>802</v>
      </c>
      <c r="V1530" s="1"/>
      <c r="W1530">
        <v>50306</v>
      </c>
      <c r="X1530">
        <v>0</v>
      </c>
      <c r="Y1530">
        <v>56844</v>
      </c>
    </row>
    <row r="1531" spans="1:25" ht="15" hidden="1" customHeight="1" x14ac:dyDescent="0.25">
      <c r="A1531" s="1" t="s">
        <v>30</v>
      </c>
      <c r="B1531" s="1"/>
      <c r="C1531" s="1" t="s">
        <v>150</v>
      </c>
      <c r="D1531">
        <v>10208</v>
      </c>
      <c r="E1531" s="1"/>
      <c r="F1531" s="1" t="s">
        <v>283</v>
      </c>
      <c r="G1531" s="1" t="s">
        <v>150</v>
      </c>
      <c r="H1531" s="1" t="s">
        <v>1405</v>
      </c>
      <c r="I1531">
        <v>2013</v>
      </c>
      <c r="J1531" s="93">
        <v>27083.47</v>
      </c>
      <c r="K1531">
        <v>12</v>
      </c>
      <c r="L1531" s="1" t="s">
        <v>426</v>
      </c>
      <c r="M1531">
        <v>0</v>
      </c>
      <c r="N1531">
        <v>741</v>
      </c>
      <c r="O1531">
        <v>36.544960000000003</v>
      </c>
      <c r="P1531">
        <v>2</v>
      </c>
      <c r="Q1531" s="1" t="s">
        <v>569</v>
      </c>
      <c r="R1531" s="93">
        <v>27083.47</v>
      </c>
      <c r="S1531">
        <v>8125.04</v>
      </c>
      <c r="T1531">
        <v>0</v>
      </c>
      <c r="U1531" s="1" t="s">
        <v>1004</v>
      </c>
      <c r="V1531" s="1" t="s">
        <v>1285</v>
      </c>
      <c r="W1531">
        <v>27083.451000000001</v>
      </c>
      <c r="X1531">
        <v>0</v>
      </c>
      <c r="Y1531">
        <v>77411</v>
      </c>
    </row>
    <row r="1532" spans="1:25" ht="15" hidden="1" customHeight="1" x14ac:dyDescent="0.25">
      <c r="A1532" s="1" t="s">
        <v>30</v>
      </c>
      <c r="B1532" s="1" t="s">
        <v>60</v>
      </c>
      <c r="C1532" s="1" t="s">
        <v>133</v>
      </c>
      <c r="D1532">
        <v>5274</v>
      </c>
      <c r="E1532" s="1"/>
      <c r="F1532" s="1" t="s">
        <v>273</v>
      </c>
      <c r="G1532" s="1" t="s">
        <v>133</v>
      </c>
      <c r="H1532" s="1" t="s">
        <v>1405</v>
      </c>
      <c r="I1532">
        <v>2014</v>
      </c>
      <c r="J1532" s="93">
        <v>285.95999999999998</v>
      </c>
      <c r="K1532">
        <v>12</v>
      </c>
      <c r="L1532" s="1" t="s">
        <v>402</v>
      </c>
      <c r="M1532">
        <v>0</v>
      </c>
      <c r="N1532">
        <v>586</v>
      </c>
      <c r="O1532">
        <v>0.48790299999999998</v>
      </c>
      <c r="P1532">
        <v>3</v>
      </c>
      <c r="Q1532" s="1" t="s">
        <v>560</v>
      </c>
      <c r="R1532" s="93">
        <v>285.95999999999998</v>
      </c>
      <c r="S1532">
        <v>228.78</v>
      </c>
      <c r="T1532">
        <v>0</v>
      </c>
      <c r="U1532" s="1" t="s">
        <v>603</v>
      </c>
      <c r="V1532" s="1"/>
      <c r="W1532">
        <v>285.96100000000001</v>
      </c>
      <c r="X1532">
        <v>0</v>
      </c>
      <c r="Y1532">
        <v>56851</v>
      </c>
    </row>
    <row r="1533" spans="1:25" ht="15" hidden="1" customHeight="1" x14ac:dyDescent="0.25">
      <c r="A1533" s="1" t="s">
        <v>30</v>
      </c>
      <c r="B1533" s="1" t="s">
        <v>60</v>
      </c>
      <c r="C1533" s="1" t="s">
        <v>133</v>
      </c>
      <c r="D1533">
        <v>5274</v>
      </c>
      <c r="E1533" s="1"/>
      <c r="F1533" s="1" t="s">
        <v>273</v>
      </c>
      <c r="G1533" s="1" t="s">
        <v>133</v>
      </c>
      <c r="H1533" s="1" t="s">
        <v>1405</v>
      </c>
      <c r="I1533">
        <v>2014</v>
      </c>
      <c r="J1533" s="93">
        <v>63179</v>
      </c>
      <c r="K1533">
        <v>12</v>
      </c>
      <c r="L1533" s="1" t="s">
        <v>475</v>
      </c>
      <c r="M1533">
        <v>0</v>
      </c>
      <c r="N1533">
        <v>586</v>
      </c>
      <c r="O1533">
        <v>107.795598</v>
      </c>
      <c r="P1533">
        <v>1</v>
      </c>
      <c r="Q1533" s="1" t="s">
        <v>562</v>
      </c>
      <c r="R1533" s="93">
        <v>75968.83</v>
      </c>
      <c r="S1533">
        <v>5788471.4000000004</v>
      </c>
      <c r="T1533">
        <v>0</v>
      </c>
      <c r="U1533" s="1" t="s">
        <v>783</v>
      </c>
      <c r="V1533" s="1"/>
      <c r="W1533">
        <v>63179</v>
      </c>
      <c r="X1533">
        <v>0</v>
      </c>
      <c r="Y1533">
        <v>56850</v>
      </c>
    </row>
    <row r="1534" spans="1:25" ht="15" hidden="1" customHeight="1" x14ac:dyDescent="0.25">
      <c r="A1534" s="1" t="s">
        <v>30</v>
      </c>
      <c r="B1534" s="1"/>
      <c r="C1534" s="1" t="s">
        <v>151</v>
      </c>
      <c r="D1534">
        <v>10236</v>
      </c>
      <c r="E1534" s="1"/>
      <c r="F1534" s="1" t="s">
        <v>284</v>
      </c>
      <c r="G1534" s="1" t="s">
        <v>151</v>
      </c>
      <c r="H1534" s="1" t="s">
        <v>1405</v>
      </c>
      <c r="I1534">
        <v>2013</v>
      </c>
      <c r="J1534" s="93">
        <v>22877.48</v>
      </c>
      <c r="K1534">
        <v>12</v>
      </c>
      <c r="L1534" s="1" t="s">
        <v>522</v>
      </c>
      <c r="M1534">
        <v>0</v>
      </c>
      <c r="N1534">
        <v>696</v>
      </c>
      <c r="O1534">
        <v>32.865220000000001</v>
      </c>
      <c r="P1534">
        <v>2</v>
      </c>
      <c r="Q1534" s="1" t="s">
        <v>569</v>
      </c>
      <c r="R1534" s="93">
        <v>22877.48</v>
      </c>
      <c r="S1534">
        <v>6863.25</v>
      </c>
      <c r="T1534">
        <v>0</v>
      </c>
      <c r="U1534" s="1" t="s">
        <v>1005</v>
      </c>
      <c r="V1534" s="1" t="s">
        <v>1286</v>
      </c>
      <c r="W1534">
        <v>22877.486000000001</v>
      </c>
      <c r="X1534">
        <v>0</v>
      </c>
      <c r="Y1534">
        <v>77524</v>
      </c>
    </row>
    <row r="1535" spans="1:25" ht="15" hidden="1" customHeight="1" x14ac:dyDescent="0.25">
      <c r="A1535" s="1" t="s">
        <v>30</v>
      </c>
      <c r="B1535" s="1"/>
      <c r="C1535" s="1" t="s">
        <v>153</v>
      </c>
      <c r="D1535">
        <v>10211</v>
      </c>
      <c r="E1535" s="1"/>
      <c r="F1535" s="1" t="s">
        <v>153</v>
      </c>
      <c r="G1535" s="1" t="s">
        <v>153</v>
      </c>
      <c r="H1535" s="1" t="s">
        <v>1405</v>
      </c>
      <c r="I1535">
        <v>2014</v>
      </c>
      <c r="J1535" s="93">
        <v>85929.83</v>
      </c>
      <c r="K1535">
        <v>11</v>
      </c>
      <c r="L1535" s="1" t="s">
        <v>471</v>
      </c>
      <c r="M1535">
        <v>0</v>
      </c>
      <c r="N1535">
        <v>1107</v>
      </c>
      <c r="O1535">
        <v>77.617044000000007</v>
      </c>
      <c r="P1535">
        <v>1</v>
      </c>
      <c r="Q1535" s="1" t="s">
        <v>565</v>
      </c>
      <c r="R1535" s="93">
        <v>103003.98</v>
      </c>
      <c r="S1535">
        <v>6592.24</v>
      </c>
      <c r="T1535">
        <v>0</v>
      </c>
      <c r="U1535" s="1" t="s">
        <v>803</v>
      </c>
      <c r="V1535" s="1"/>
      <c r="W1535">
        <v>85.929829999999995</v>
      </c>
      <c r="X1535">
        <v>0</v>
      </c>
      <c r="Y1535">
        <v>77445</v>
      </c>
    </row>
    <row r="1536" spans="1:25" ht="15" hidden="1" customHeight="1" x14ac:dyDescent="0.25">
      <c r="A1536" s="1" t="s">
        <v>30</v>
      </c>
      <c r="B1536" s="1" t="s">
        <v>65</v>
      </c>
      <c r="C1536" s="1" t="s">
        <v>152</v>
      </c>
      <c r="D1536">
        <v>5273</v>
      </c>
      <c r="E1536" s="1"/>
      <c r="F1536" s="1" t="s">
        <v>285</v>
      </c>
      <c r="G1536" s="1" t="s">
        <v>152</v>
      </c>
      <c r="H1536" s="1" t="s">
        <v>1405</v>
      </c>
      <c r="I1536">
        <v>2013</v>
      </c>
      <c r="J1536" s="93">
        <v>10744.81</v>
      </c>
      <c r="K1536">
        <v>12</v>
      </c>
      <c r="L1536" s="1" t="s">
        <v>399</v>
      </c>
      <c r="M1536">
        <v>0</v>
      </c>
      <c r="N1536">
        <v>457</v>
      </c>
      <c r="O1536">
        <v>23.506474999999998</v>
      </c>
      <c r="P1536">
        <v>2</v>
      </c>
      <c r="Q1536" s="1" t="s">
        <v>569</v>
      </c>
      <c r="R1536" s="93">
        <v>10744.81</v>
      </c>
      <c r="S1536">
        <v>4297.91</v>
      </c>
      <c r="T1536">
        <v>0</v>
      </c>
      <c r="U1536" s="1" t="s">
        <v>1006</v>
      </c>
      <c r="V1536" s="1" t="s">
        <v>1287</v>
      </c>
      <c r="W1536">
        <v>10744.805</v>
      </c>
      <c r="X1536">
        <v>0</v>
      </c>
      <c r="Y1536">
        <v>56843</v>
      </c>
    </row>
    <row r="1537" spans="1:25" ht="15" hidden="1" customHeight="1" x14ac:dyDescent="0.25">
      <c r="A1537" s="1" t="s">
        <v>30</v>
      </c>
      <c r="B1537" s="1"/>
      <c r="C1537" s="1" t="s">
        <v>153</v>
      </c>
      <c r="D1537">
        <v>10211</v>
      </c>
      <c r="E1537" s="1"/>
      <c r="F1537" s="1" t="s">
        <v>153</v>
      </c>
      <c r="G1537" s="1" t="s">
        <v>153</v>
      </c>
      <c r="H1537" s="1" t="s">
        <v>1405</v>
      </c>
      <c r="I1537">
        <v>2014</v>
      </c>
      <c r="J1537" s="93">
        <v>174.62</v>
      </c>
      <c r="K1537">
        <v>3</v>
      </c>
      <c r="L1537" s="1" t="s">
        <v>428</v>
      </c>
      <c r="M1537">
        <v>0</v>
      </c>
      <c r="N1537">
        <v>1107</v>
      </c>
      <c r="O1537">
        <v>0.15772700000000001</v>
      </c>
      <c r="P1537">
        <v>3</v>
      </c>
      <c r="Q1537" s="1" t="s">
        <v>560</v>
      </c>
      <c r="R1537" s="93">
        <v>174.62</v>
      </c>
      <c r="S1537">
        <v>139.72</v>
      </c>
      <c r="T1537">
        <v>0</v>
      </c>
      <c r="U1537" s="1" t="s">
        <v>625</v>
      </c>
      <c r="V1537" s="1"/>
      <c r="W1537">
        <v>174.63659999999999</v>
      </c>
      <c r="X1537">
        <v>0</v>
      </c>
      <c r="Y1537">
        <v>77438</v>
      </c>
    </row>
    <row r="1538" spans="1:25" ht="15" hidden="1" customHeight="1" x14ac:dyDescent="0.25">
      <c r="A1538" s="1" t="s">
        <v>30</v>
      </c>
      <c r="B1538" s="1"/>
      <c r="C1538" s="1" t="s">
        <v>153</v>
      </c>
      <c r="D1538">
        <v>10214</v>
      </c>
      <c r="E1538" s="1"/>
      <c r="F1538" s="1" t="s">
        <v>375</v>
      </c>
      <c r="G1538" s="1" t="s">
        <v>153</v>
      </c>
      <c r="H1538" s="1" t="s">
        <v>1405</v>
      </c>
      <c r="I1538">
        <v>2013</v>
      </c>
      <c r="J1538" s="93">
        <v>24782.42</v>
      </c>
      <c r="K1538">
        <v>12</v>
      </c>
      <c r="L1538" s="1"/>
      <c r="M1538">
        <v>0</v>
      </c>
      <c r="N1538">
        <v>0</v>
      </c>
      <c r="O1538">
        <v>247824.2</v>
      </c>
      <c r="P1538">
        <v>2</v>
      </c>
      <c r="Q1538" s="1" t="s">
        <v>569</v>
      </c>
      <c r="R1538" s="93">
        <v>24782.42</v>
      </c>
      <c r="S1538">
        <v>7434.71</v>
      </c>
      <c r="T1538">
        <v>0</v>
      </c>
      <c r="U1538" s="1" t="s">
        <v>1007</v>
      </c>
      <c r="V1538" s="1" t="s">
        <v>1288</v>
      </c>
      <c r="W1538">
        <v>24782.407999999999</v>
      </c>
      <c r="X1538">
        <v>0</v>
      </c>
      <c r="Y1538">
        <v>90759</v>
      </c>
    </row>
    <row r="1539" spans="1:25" ht="15" hidden="1" customHeight="1" x14ac:dyDescent="0.25">
      <c r="A1539" s="1" t="s">
        <v>30</v>
      </c>
      <c r="B1539" s="1" t="s">
        <v>60</v>
      </c>
      <c r="C1539" s="1" t="s">
        <v>133</v>
      </c>
      <c r="D1539">
        <v>5274</v>
      </c>
      <c r="E1539" s="1"/>
      <c r="F1539" s="1" t="s">
        <v>273</v>
      </c>
      <c r="G1539" s="1" t="s">
        <v>133</v>
      </c>
      <c r="H1539" s="1" t="s">
        <v>1405</v>
      </c>
      <c r="I1539">
        <v>2012</v>
      </c>
      <c r="J1539" s="93">
        <v>31608.98</v>
      </c>
      <c r="K1539">
        <v>12</v>
      </c>
      <c r="L1539" s="1" t="s">
        <v>402</v>
      </c>
      <c r="M1539">
        <v>0</v>
      </c>
      <c r="N1539">
        <v>586</v>
      </c>
      <c r="O1539">
        <v>53.931035000000001</v>
      </c>
      <c r="P1539">
        <v>2</v>
      </c>
      <c r="Q1539" s="1" t="s">
        <v>569</v>
      </c>
      <c r="R1539" s="93">
        <v>31608.98</v>
      </c>
      <c r="S1539">
        <v>12643.59</v>
      </c>
      <c r="T1539">
        <v>0</v>
      </c>
      <c r="U1539" s="1" t="s">
        <v>982</v>
      </c>
      <c r="V1539" s="1" t="s">
        <v>1269</v>
      </c>
      <c r="W1539">
        <v>31608.975999999999</v>
      </c>
      <c r="X1539">
        <v>0</v>
      </c>
      <c r="Y1539">
        <v>56849</v>
      </c>
    </row>
    <row r="1540" spans="1:25" ht="15" hidden="1" customHeight="1" x14ac:dyDescent="0.25">
      <c r="A1540" s="1" t="s">
        <v>30</v>
      </c>
      <c r="B1540" s="1" t="s">
        <v>60</v>
      </c>
      <c r="C1540" s="1" t="s">
        <v>133</v>
      </c>
      <c r="D1540">
        <v>5274</v>
      </c>
      <c r="E1540" s="1"/>
      <c r="F1540" s="1" t="s">
        <v>273</v>
      </c>
      <c r="G1540" s="1" t="s">
        <v>133</v>
      </c>
      <c r="H1540" s="1" t="s">
        <v>1405</v>
      </c>
      <c r="I1540">
        <v>2011</v>
      </c>
      <c r="J1540" s="93">
        <v>31963.55</v>
      </c>
      <c r="K1540">
        <v>12</v>
      </c>
      <c r="L1540" s="1" t="s">
        <v>402</v>
      </c>
      <c r="M1540">
        <v>0</v>
      </c>
      <c r="N1540">
        <v>586</v>
      </c>
      <c r="O1540">
        <v>54.536000000000001</v>
      </c>
      <c r="P1540">
        <v>2</v>
      </c>
      <c r="Q1540" s="1" t="s">
        <v>569</v>
      </c>
      <c r="R1540" s="93">
        <v>31963.55</v>
      </c>
      <c r="S1540">
        <v>14990.91</v>
      </c>
      <c r="T1540">
        <v>0</v>
      </c>
      <c r="U1540" s="1" t="s">
        <v>982</v>
      </c>
      <c r="V1540" s="1" t="s">
        <v>1269</v>
      </c>
      <c r="W1540">
        <v>31963.537</v>
      </c>
      <c r="X1540">
        <v>0</v>
      </c>
      <c r="Y1540">
        <v>56849</v>
      </c>
    </row>
    <row r="1541" spans="1:25" ht="15" hidden="1" customHeight="1" x14ac:dyDescent="0.25">
      <c r="A1541" s="1" t="s">
        <v>30</v>
      </c>
      <c r="B1541" s="1" t="s">
        <v>60</v>
      </c>
      <c r="C1541" s="1" t="s">
        <v>133</v>
      </c>
      <c r="D1541">
        <v>5274</v>
      </c>
      <c r="E1541" s="1"/>
      <c r="F1541" s="1" t="s">
        <v>273</v>
      </c>
      <c r="G1541" s="1" t="s">
        <v>133</v>
      </c>
      <c r="H1541" s="1" t="s">
        <v>1405</v>
      </c>
      <c r="I1541">
        <v>2010</v>
      </c>
      <c r="J1541" s="93">
        <v>35487.370000000003</v>
      </c>
      <c r="K1541">
        <v>12</v>
      </c>
      <c r="L1541" s="1" t="s">
        <v>402</v>
      </c>
      <c r="M1541">
        <v>0</v>
      </c>
      <c r="N1541">
        <v>586</v>
      </c>
      <c r="O1541">
        <v>60.548318999999999</v>
      </c>
      <c r="P1541">
        <v>2</v>
      </c>
      <c r="Q1541" s="1" t="s">
        <v>569</v>
      </c>
      <c r="R1541" s="93">
        <v>35487.370000000003</v>
      </c>
      <c r="S1541">
        <v>16643.57</v>
      </c>
      <c r="T1541">
        <v>0</v>
      </c>
      <c r="U1541" s="1" t="s">
        <v>982</v>
      </c>
      <c r="V1541" s="1" t="s">
        <v>1269</v>
      </c>
      <c r="W1541">
        <v>35487.358</v>
      </c>
      <c r="X1541">
        <v>0</v>
      </c>
      <c r="Y1541">
        <v>56849</v>
      </c>
    </row>
    <row r="1542" spans="1:25" ht="15" hidden="1" customHeight="1" x14ac:dyDescent="0.25">
      <c r="A1542" s="1" t="s">
        <v>30</v>
      </c>
      <c r="B1542" s="1" t="s">
        <v>60</v>
      </c>
      <c r="C1542" s="1" t="s">
        <v>133</v>
      </c>
      <c r="D1542">
        <v>5274</v>
      </c>
      <c r="E1542" s="1"/>
      <c r="F1542" s="1" t="s">
        <v>273</v>
      </c>
      <c r="G1542" s="1" t="s">
        <v>133</v>
      </c>
      <c r="H1542" s="1" t="s">
        <v>1405</v>
      </c>
      <c r="I1542">
        <v>2009</v>
      </c>
      <c r="J1542" s="93">
        <v>39185.35</v>
      </c>
      <c r="K1542">
        <v>12</v>
      </c>
      <c r="L1542" s="1" t="s">
        <v>402</v>
      </c>
      <c r="M1542">
        <v>0</v>
      </c>
      <c r="N1542">
        <v>586</v>
      </c>
      <c r="O1542">
        <v>66.857787999999999</v>
      </c>
      <c r="P1542">
        <v>2</v>
      </c>
      <c r="Q1542" s="1" t="s">
        <v>569</v>
      </c>
      <c r="R1542" s="93">
        <v>39185.35</v>
      </c>
      <c r="S1542">
        <v>18377.93</v>
      </c>
      <c r="T1542">
        <v>0</v>
      </c>
      <c r="U1542" s="1" t="s">
        <v>982</v>
      </c>
      <c r="V1542" s="1" t="s">
        <v>1269</v>
      </c>
      <c r="W1542">
        <v>39185.351999999999</v>
      </c>
      <c r="X1542">
        <v>0</v>
      </c>
      <c r="Y1542">
        <v>56849</v>
      </c>
    </row>
    <row r="1543" spans="1:25" ht="15" hidden="1" customHeight="1" x14ac:dyDescent="0.25">
      <c r="A1543" s="1" t="s">
        <v>30</v>
      </c>
      <c r="B1543" s="1" t="s">
        <v>60</v>
      </c>
      <c r="C1543" s="1" t="s">
        <v>133</v>
      </c>
      <c r="D1543">
        <v>5274</v>
      </c>
      <c r="E1543" s="1"/>
      <c r="F1543" s="1" t="s">
        <v>273</v>
      </c>
      <c r="G1543" s="1" t="s">
        <v>133</v>
      </c>
      <c r="H1543" s="1" t="s">
        <v>1405</v>
      </c>
      <c r="I1543">
        <v>2008</v>
      </c>
      <c r="J1543" s="93">
        <v>24439.66</v>
      </c>
      <c r="K1543">
        <v>12</v>
      </c>
      <c r="L1543" s="1" t="s">
        <v>402</v>
      </c>
      <c r="M1543">
        <v>0</v>
      </c>
      <c r="N1543">
        <v>586</v>
      </c>
      <c r="O1543">
        <v>41.698788</v>
      </c>
      <c r="P1543">
        <v>2</v>
      </c>
      <c r="Q1543" s="1" t="s">
        <v>569</v>
      </c>
      <c r="R1543" s="93">
        <v>24439.66</v>
      </c>
      <c r="S1543">
        <v>11462.19</v>
      </c>
      <c r="T1543">
        <v>0</v>
      </c>
      <c r="U1543" s="1" t="s">
        <v>982</v>
      </c>
      <c r="V1543" s="1" t="s">
        <v>1269</v>
      </c>
      <c r="W1543">
        <v>24439.654999999999</v>
      </c>
      <c r="X1543">
        <v>0</v>
      </c>
      <c r="Y1543">
        <v>56849</v>
      </c>
    </row>
    <row r="1544" spans="1:25" ht="15" hidden="1" customHeight="1" x14ac:dyDescent="0.25">
      <c r="A1544" s="1" t="s">
        <v>30</v>
      </c>
      <c r="B1544" s="1" t="s">
        <v>60</v>
      </c>
      <c r="C1544" s="1" t="s">
        <v>133</v>
      </c>
      <c r="D1544">
        <v>5274</v>
      </c>
      <c r="E1544" s="1"/>
      <c r="F1544" s="1" t="s">
        <v>273</v>
      </c>
      <c r="G1544" s="1" t="s">
        <v>133</v>
      </c>
      <c r="H1544" s="1" t="s">
        <v>1405</v>
      </c>
      <c r="I1544">
        <v>2008</v>
      </c>
      <c r="J1544" s="93">
        <v>14177.42</v>
      </c>
      <c r="K1544">
        <v>6</v>
      </c>
      <c r="L1544" s="1" t="s">
        <v>519</v>
      </c>
      <c r="M1544">
        <v>0</v>
      </c>
      <c r="N1544">
        <v>586</v>
      </c>
      <c r="O1544">
        <v>24.189420999999999</v>
      </c>
      <c r="P1544">
        <v>2</v>
      </c>
      <c r="Q1544" s="1" t="s">
        <v>569</v>
      </c>
      <c r="R1544" s="93">
        <v>14177.42</v>
      </c>
      <c r="S1544">
        <v>6649.21</v>
      </c>
      <c r="T1544">
        <v>0</v>
      </c>
      <c r="U1544" s="1" t="s">
        <v>983</v>
      </c>
      <c r="V1544" s="1"/>
      <c r="W1544">
        <v>14177.41935</v>
      </c>
      <c r="X1544">
        <v>0</v>
      </c>
      <c r="Y1544">
        <v>56852</v>
      </c>
    </row>
    <row r="1545" spans="1:25" ht="15" hidden="1" customHeight="1" x14ac:dyDescent="0.25">
      <c r="A1545" s="1" t="s">
        <v>30</v>
      </c>
      <c r="B1545" s="1"/>
      <c r="C1545" s="1" t="s">
        <v>153</v>
      </c>
      <c r="D1545">
        <v>10213</v>
      </c>
      <c r="E1545" s="1"/>
      <c r="F1545" s="1" t="s">
        <v>376</v>
      </c>
      <c r="G1545" s="1" t="s">
        <v>153</v>
      </c>
      <c r="H1545" s="1" t="s">
        <v>1405</v>
      </c>
      <c r="I1545">
        <v>2013</v>
      </c>
      <c r="J1545" s="93">
        <v>7489.67</v>
      </c>
      <c r="K1545">
        <v>12</v>
      </c>
      <c r="L1545" s="1" t="s">
        <v>523</v>
      </c>
      <c r="M1545">
        <v>0</v>
      </c>
      <c r="N1545">
        <v>0</v>
      </c>
      <c r="O1545">
        <v>74896.7</v>
      </c>
      <c r="P1545">
        <v>2</v>
      </c>
      <c r="Q1545" s="1" t="s">
        <v>569</v>
      </c>
      <c r="R1545" s="93">
        <v>7489.67</v>
      </c>
      <c r="S1545">
        <v>2246.9</v>
      </c>
      <c r="T1545">
        <v>0</v>
      </c>
      <c r="U1545" s="1" t="s">
        <v>1009</v>
      </c>
      <c r="V1545" s="1" t="s">
        <v>1289</v>
      </c>
      <c r="W1545">
        <v>7489.6760000000004</v>
      </c>
      <c r="X1545">
        <v>0</v>
      </c>
      <c r="Y1545">
        <v>77443</v>
      </c>
    </row>
    <row r="1546" spans="1:25" ht="15" hidden="1" customHeight="1" x14ac:dyDescent="0.25">
      <c r="A1546" s="1" t="s">
        <v>30</v>
      </c>
      <c r="B1546" s="1" t="s">
        <v>53</v>
      </c>
      <c r="C1546" s="1" t="s">
        <v>154</v>
      </c>
      <c r="D1546">
        <v>5250</v>
      </c>
      <c r="E1546" s="1"/>
      <c r="F1546" s="1" t="s">
        <v>286</v>
      </c>
      <c r="G1546" s="1" t="s">
        <v>154</v>
      </c>
      <c r="H1546" s="1" t="s">
        <v>1405</v>
      </c>
      <c r="I1546">
        <v>2013</v>
      </c>
      <c r="J1546" s="93">
        <v>10657.89</v>
      </c>
      <c r="K1546">
        <v>12</v>
      </c>
      <c r="L1546" s="1" t="s">
        <v>402</v>
      </c>
      <c r="M1546">
        <v>0</v>
      </c>
      <c r="N1546">
        <v>417</v>
      </c>
      <c r="O1546">
        <v>25.552361000000001</v>
      </c>
      <c r="P1546">
        <v>2</v>
      </c>
      <c r="Q1546" s="1" t="s">
        <v>569</v>
      </c>
      <c r="R1546" s="93">
        <v>10657.89</v>
      </c>
      <c r="S1546">
        <v>4263.1499999999996</v>
      </c>
      <c r="T1546">
        <v>0</v>
      </c>
      <c r="U1546" s="1" t="s">
        <v>1010</v>
      </c>
      <c r="V1546" s="1" t="s">
        <v>1290</v>
      </c>
      <c r="W1546">
        <v>10657.8938</v>
      </c>
      <c r="X1546">
        <v>0</v>
      </c>
      <c r="Y1546">
        <v>56671</v>
      </c>
    </row>
    <row r="1547" spans="1:25" ht="15" hidden="1" customHeight="1" x14ac:dyDescent="0.25">
      <c r="A1547" s="1" t="s">
        <v>30</v>
      </c>
      <c r="B1547" s="1"/>
      <c r="C1547" s="1" t="s">
        <v>155</v>
      </c>
      <c r="D1547">
        <v>5941</v>
      </c>
      <c r="E1547" s="1"/>
      <c r="F1547" s="1" t="s">
        <v>155</v>
      </c>
      <c r="G1547" s="1" t="s">
        <v>155</v>
      </c>
      <c r="H1547" s="1" t="s">
        <v>1405</v>
      </c>
      <c r="I1547">
        <v>2013</v>
      </c>
      <c r="J1547" s="93">
        <v>47313.2</v>
      </c>
      <c r="K1547">
        <v>12</v>
      </c>
      <c r="L1547" s="1" t="s">
        <v>399</v>
      </c>
      <c r="M1547">
        <v>0</v>
      </c>
      <c r="N1547">
        <v>550</v>
      </c>
      <c r="O1547">
        <v>86.008362000000005</v>
      </c>
      <c r="P1547">
        <v>2</v>
      </c>
      <c r="Q1547" s="1" t="s">
        <v>569</v>
      </c>
      <c r="R1547" s="93">
        <v>47313.2</v>
      </c>
      <c r="S1547">
        <v>18925.28</v>
      </c>
      <c r="T1547">
        <v>0</v>
      </c>
      <c r="U1547" s="1" t="s">
        <v>1011</v>
      </c>
      <c r="V1547" s="1"/>
      <c r="W1547">
        <v>47313.2</v>
      </c>
      <c r="X1547">
        <v>0</v>
      </c>
      <c r="Y1547">
        <v>59939</v>
      </c>
    </row>
    <row r="1548" spans="1:25" ht="15" hidden="1" customHeight="1" x14ac:dyDescent="0.25">
      <c r="A1548" s="1" t="s">
        <v>30</v>
      </c>
      <c r="B1548" s="1"/>
      <c r="C1548" s="1" t="s">
        <v>150</v>
      </c>
      <c r="D1548">
        <v>10208</v>
      </c>
      <c r="E1548" s="1"/>
      <c r="F1548" s="1" t="s">
        <v>283</v>
      </c>
      <c r="G1548" s="1" t="s">
        <v>150</v>
      </c>
      <c r="H1548" s="1" t="s">
        <v>1405</v>
      </c>
      <c r="I1548">
        <v>2014</v>
      </c>
      <c r="J1548" s="93">
        <v>26376.23</v>
      </c>
      <c r="K1548">
        <v>12</v>
      </c>
      <c r="L1548" s="1" t="s">
        <v>426</v>
      </c>
      <c r="M1548">
        <v>0</v>
      </c>
      <c r="N1548">
        <v>741</v>
      </c>
      <c r="O1548">
        <v>35.590648999999999</v>
      </c>
      <c r="P1548">
        <v>2</v>
      </c>
      <c r="Q1548" s="1" t="s">
        <v>569</v>
      </c>
      <c r="R1548" s="93">
        <v>26376.23</v>
      </c>
      <c r="S1548">
        <v>7912.86</v>
      </c>
      <c r="T1548">
        <v>0</v>
      </c>
      <c r="U1548" s="1" t="s">
        <v>1004</v>
      </c>
      <c r="V1548" s="1" t="s">
        <v>1285</v>
      </c>
      <c r="W1548">
        <v>26376.215</v>
      </c>
      <c r="X1548">
        <v>0</v>
      </c>
      <c r="Y1548">
        <v>77411</v>
      </c>
    </row>
    <row r="1549" spans="1:25" ht="15" hidden="1" customHeight="1" x14ac:dyDescent="0.25">
      <c r="A1549" s="1" t="s">
        <v>30</v>
      </c>
      <c r="B1549" s="1" t="s">
        <v>62</v>
      </c>
      <c r="C1549" s="1" t="s">
        <v>138</v>
      </c>
      <c r="D1549">
        <v>5275</v>
      </c>
      <c r="E1549" s="1"/>
      <c r="F1549" s="1" t="s">
        <v>276</v>
      </c>
      <c r="G1549" s="1" t="s">
        <v>276</v>
      </c>
      <c r="H1549" s="1" t="s">
        <v>1405</v>
      </c>
      <c r="I1549">
        <v>2012</v>
      </c>
      <c r="J1549" s="93">
        <v>16415.38</v>
      </c>
      <c r="K1549">
        <v>12</v>
      </c>
      <c r="L1549" s="1" t="s">
        <v>399</v>
      </c>
      <c r="M1549">
        <v>0</v>
      </c>
      <c r="N1549">
        <v>675</v>
      </c>
      <c r="O1549">
        <v>24.315479</v>
      </c>
      <c r="P1549">
        <v>2</v>
      </c>
      <c r="Q1549" s="1" t="s">
        <v>569</v>
      </c>
      <c r="R1549" s="93">
        <v>16415.38</v>
      </c>
      <c r="S1549">
        <v>6566.14</v>
      </c>
      <c r="T1549">
        <v>0</v>
      </c>
      <c r="U1549" s="1" t="s">
        <v>988</v>
      </c>
      <c r="V1549" s="1" t="s">
        <v>1273</v>
      </c>
      <c r="W1549">
        <v>16415.367999999999</v>
      </c>
      <c r="X1549">
        <v>0</v>
      </c>
      <c r="Y1549">
        <v>56855</v>
      </c>
    </row>
    <row r="1550" spans="1:25" ht="15" hidden="1" customHeight="1" x14ac:dyDescent="0.25">
      <c r="A1550" s="1" t="s">
        <v>30</v>
      </c>
      <c r="B1550" s="1" t="s">
        <v>62</v>
      </c>
      <c r="C1550" s="1" t="s">
        <v>138</v>
      </c>
      <c r="D1550">
        <v>5275</v>
      </c>
      <c r="E1550" s="1"/>
      <c r="F1550" s="1" t="s">
        <v>276</v>
      </c>
      <c r="G1550" s="1" t="s">
        <v>276</v>
      </c>
      <c r="H1550" s="1" t="s">
        <v>1405</v>
      </c>
      <c r="I1550">
        <v>2011</v>
      </c>
      <c r="J1550" s="93">
        <v>17905.650000000001</v>
      </c>
      <c r="K1550">
        <v>2</v>
      </c>
      <c r="L1550" s="1" t="s">
        <v>399</v>
      </c>
      <c r="M1550">
        <v>0</v>
      </c>
      <c r="N1550">
        <v>675</v>
      </c>
      <c r="O1550">
        <v>26.522959</v>
      </c>
      <c r="P1550">
        <v>2</v>
      </c>
      <c r="Q1550" s="1" t="s">
        <v>569</v>
      </c>
      <c r="R1550" s="93">
        <v>17905.650000000001</v>
      </c>
      <c r="S1550">
        <v>8397.7199999999993</v>
      </c>
      <c r="T1550">
        <v>0</v>
      </c>
      <c r="U1550" s="1" t="s">
        <v>988</v>
      </c>
      <c r="V1550" s="1" t="s">
        <v>1273</v>
      </c>
      <c r="W1550">
        <v>17905.631710000001</v>
      </c>
      <c r="X1550">
        <v>0</v>
      </c>
      <c r="Y1550">
        <v>56855</v>
      </c>
    </row>
    <row r="1551" spans="1:25" ht="15" hidden="1" customHeight="1" x14ac:dyDescent="0.25">
      <c r="A1551" s="1" t="s">
        <v>30</v>
      </c>
      <c r="B1551" s="1" t="s">
        <v>62</v>
      </c>
      <c r="C1551" s="1" t="s">
        <v>138</v>
      </c>
      <c r="D1551">
        <v>5275</v>
      </c>
      <c r="E1551" s="1"/>
      <c r="F1551" s="1" t="s">
        <v>276</v>
      </c>
      <c r="G1551" s="1" t="s">
        <v>276</v>
      </c>
      <c r="H1551" s="1" t="s">
        <v>1405</v>
      </c>
      <c r="I1551">
        <v>2010</v>
      </c>
      <c r="J1551" s="93">
        <v>22026.99</v>
      </c>
      <c r="K1551">
        <v>1</v>
      </c>
      <c r="L1551" s="1" t="s">
        <v>399</v>
      </c>
      <c r="M1551">
        <v>0</v>
      </c>
      <c r="N1551">
        <v>675</v>
      </c>
      <c r="O1551">
        <v>32.627744</v>
      </c>
      <c r="P1551">
        <v>2</v>
      </c>
      <c r="Q1551" s="1" t="s">
        <v>569</v>
      </c>
      <c r="R1551" s="93">
        <v>22026.99</v>
      </c>
      <c r="S1551">
        <v>10330.64</v>
      </c>
      <c r="T1551">
        <v>0</v>
      </c>
      <c r="U1551" s="1" t="s">
        <v>988</v>
      </c>
      <c r="V1551" s="1" t="s">
        <v>1273</v>
      </c>
      <c r="W1551">
        <v>22026.986290000001</v>
      </c>
      <c r="X1551">
        <v>0</v>
      </c>
      <c r="Y1551">
        <v>56855</v>
      </c>
    </row>
    <row r="1552" spans="1:25" ht="15" hidden="1" customHeight="1" x14ac:dyDescent="0.25">
      <c r="A1552" s="1" t="s">
        <v>30</v>
      </c>
      <c r="B1552" s="1" t="s">
        <v>62</v>
      </c>
      <c r="C1552" s="1" t="s">
        <v>138</v>
      </c>
      <c r="D1552">
        <v>5275</v>
      </c>
      <c r="E1552" s="1"/>
      <c r="F1552" s="1" t="s">
        <v>276</v>
      </c>
      <c r="G1552" s="1" t="s">
        <v>276</v>
      </c>
      <c r="H1552" s="1" t="s">
        <v>1405</v>
      </c>
      <c r="I1552">
        <v>2009</v>
      </c>
      <c r="J1552" s="93">
        <v>21321.62</v>
      </c>
      <c r="K1552">
        <v>1</v>
      </c>
      <c r="L1552" s="1" t="s">
        <v>399</v>
      </c>
      <c r="M1552">
        <v>0</v>
      </c>
      <c r="N1552">
        <v>675</v>
      </c>
      <c r="O1552">
        <v>31.582906000000001</v>
      </c>
      <c r="P1552">
        <v>2</v>
      </c>
      <c r="Q1552" s="1" t="s">
        <v>569</v>
      </c>
      <c r="R1552" s="93">
        <v>21321.62</v>
      </c>
      <c r="S1552">
        <v>9999.82</v>
      </c>
      <c r="T1552">
        <v>0</v>
      </c>
      <c r="U1552" s="1" t="s">
        <v>988</v>
      </c>
      <c r="V1552" s="1" t="s">
        <v>1273</v>
      </c>
      <c r="W1552">
        <v>21321.609079999998</v>
      </c>
      <c r="X1552">
        <v>0</v>
      </c>
      <c r="Y1552">
        <v>56855</v>
      </c>
    </row>
    <row r="1553" spans="1:25" ht="15" hidden="1" customHeight="1" x14ac:dyDescent="0.25">
      <c r="A1553" s="1" t="s">
        <v>30</v>
      </c>
      <c r="B1553" s="1" t="s">
        <v>62</v>
      </c>
      <c r="C1553" s="1" t="s">
        <v>138</v>
      </c>
      <c r="D1553">
        <v>5275</v>
      </c>
      <c r="E1553" s="1"/>
      <c r="F1553" s="1" t="s">
        <v>276</v>
      </c>
      <c r="G1553" s="1" t="s">
        <v>276</v>
      </c>
      <c r="H1553" s="1" t="s">
        <v>1405</v>
      </c>
      <c r="I1553">
        <v>2008</v>
      </c>
      <c r="J1553" s="93">
        <v>21600.66</v>
      </c>
      <c r="K1553">
        <v>2</v>
      </c>
      <c r="L1553" s="1" t="s">
        <v>399</v>
      </c>
      <c r="M1553">
        <v>0</v>
      </c>
      <c r="N1553">
        <v>675</v>
      </c>
      <c r="O1553">
        <v>31.996237000000001</v>
      </c>
      <c r="P1553">
        <v>2</v>
      </c>
      <c r="Q1553" s="1" t="s">
        <v>569</v>
      </c>
      <c r="R1553" s="93">
        <v>21600.66</v>
      </c>
      <c r="S1553">
        <v>10130.69</v>
      </c>
      <c r="T1553">
        <v>0</v>
      </c>
      <c r="U1553" s="1" t="s">
        <v>988</v>
      </c>
      <c r="V1553" s="1" t="s">
        <v>1273</v>
      </c>
      <c r="W1553">
        <v>21600.637299999999</v>
      </c>
      <c r="X1553">
        <v>0</v>
      </c>
      <c r="Y1553">
        <v>56855</v>
      </c>
    </row>
    <row r="1554" spans="1:25" ht="15" hidden="1" customHeight="1" x14ac:dyDescent="0.25">
      <c r="A1554" s="1" t="s">
        <v>30</v>
      </c>
      <c r="B1554" s="1"/>
      <c r="C1554" s="1" t="s">
        <v>151</v>
      </c>
      <c r="D1554">
        <v>10236</v>
      </c>
      <c r="E1554" s="1"/>
      <c r="F1554" s="1" t="s">
        <v>284</v>
      </c>
      <c r="G1554" s="1" t="s">
        <v>151</v>
      </c>
      <c r="H1554" s="1" t="s">
        <v>1405</v>
      </c>
      <c r="I1554">
        <v>2014</v>
      </c>
      <c r="J1554" s="93">
        <f>23526.78+1800</f>
        <v>25326.78</v>
      </c>
      <c r="K1554">
        <v>11</v>
      </c>
      <c r="L1554" s="1" t="s">
        <v>522</v>
      </c>
      <c r="M1554">
        <v>0</v>
      </c>
      <c r="N1554">
        <v>696</v>
      </c>
      <c r="O1554">
        <v>33.797987999999997</v>
      </c>
      <c r="P1554">
        <v>2</v>
      </c>
      <c r="Q1554" s="1" t="s">
        <v>569</v>
      </c>
      <c r="R1554" s="93">
        <f>23526.78+1800</f>
        <v>25326.78</v>
      </c>
      <c r="S1554">
        <v>7058.04</v>
      </c>
      <c r="T1554">
        <v>0</v>
      </c>
      <c r="U1554" s="1" t="s">
        <v>1005</v>
      </c>
      <c r="V1554" s="1" t="s">
        <v>1286</v>
      </c>
      <c r="W1554">
        <v>23526.78</v>
      </c>
      <c r="X1554">
        <v>0</v>
      </c>
      <c r="Y1554">
        <v>77524</v>
      </c>
    </row>
    <row r="1555" spans="1:25" ht="15" hidden="1" customHeight="1" x14ac:dyDescent="0.25">
      <c r="A1555" s="1" t="s">
        <v>30</v>
      </c>
      <c r="B1555" s="1" t="s">
        <v>65</v>
      </c>
      <c r="C1555" s="1" t="s">
        <v>152</v>
      </c>
      <c r="D1555">
        <v>5273</v>
      </c>
      <c r="E1555" s="1"/>
      <c r="F1555" s="1" t="s">
        <v>285</v>
      </c>
      <c r="G1555" s="1" t="s">
        <v>152</v>
      </c>
      <c r="H1555" s="1" t="s">
        <v>1405</v>
      </c>
      <c r="I1555">
        <v>2014</v>
      </c>
      <c r="J1555" s="93">
        <v>9757.4699999999993</v>
      </c>
      <c r="K1555">
        <v>12</v>
      </c>
      <c r="L1555" s="1" t="s">
        <v>399</v>
      </c>
      <c r="M1555">
        <v>0</v>
      </c>
      <c r="N1555">
        <v>457</v>
      </c>
      <c r="O1555">
        <v>21.346465999999999</v>
      </c>
      <c r="P1555">
        <v>2</v>
      </c>
      <c r="Q1555" s="1" t="s">
        <v>569</v>
      </c>
      <c r="R1555" s="93">
        <v>9757.4699999999993</v>
      </c>
      <c r="S1555">
        <v>3902.99</v>
      </c>
      <c r="T1555">
        <v>0</v>
      </c>
      <c r="U1555" s="1" t="s">
        <v>1006</v>
      </c>
      <c r="V1555" s="1" t="s">
        <v>1287</v>
      </c>
      <c r="W1555">
        <v>9757.4750000000004</v>
      </c>
      <c r="X1555">
        <v>0</v>
      </c>
      <c r="Y1555">
        <v>56843</v>
      </c>
    </row>
    <row r="1556" spans="1:25" ht="15" hidden="1" customHeight="1" x14ac:dyDescent="0.25">
      <c r="A1556" s="1" t="s">
        <v>30</v>
      </c>
      <c r="B1556" s="1"/>
      <c r="C1556" s="1" t="s">
        <v>150</v>
      </c>
      <c r="D1556">
        <v>10208</v>
      </c>
      <c r="E1556" s="1"/>
      <c r="F1556" s="1" t="s">
        <v>283</v>
      </c>
      <c r="G1556" s="1" t="s">
        <v>150</v>
      </c>
      <c r="H1556" s="1" t="s">
        <v>1405</v>
      </c>
      <c r="I1556">
        <v>2012</v>
      </c>
      <c r="J1556" s="93">
        <v>29950.400000000001</v>
      </c>
      <c r="K1556">
        <v>12</v>
      </c>
      <c r="L1556" s="1" t="s">
        <v>426</v>
      </c>
      <c r="M1556">
        <v>0</v>
      </c>
      <c r="N1556">
        <v>741</v>
      </c>
      <c r="O1556">
        <v>40.413438999999997</v>
      </c>
      <c r="P1556">
        <v>2</v>
      </c>
      <c r="Q1556" s="1" t="s">
        <v>569</v>
      </c>
      <c r="R1556" s="93">
        <v>29950.400000000001</v>
      </c>
      <c r="S1556">
        <v>11980.18</v>
      </c>
      <c r="T1556">
        <v>0</v>
      </c>
      <c r="U1556" s="1" t="s">
        <v>1004</v>
      </c>
      <c r="V1556" s="1" t="s">
        <v>1285</v>
      </c>
      <c r="W1556">
        <v>29950.392</v>
      </c>
      <c r="X1556">
        <v>0</v>
      </c>
      <c r="Y1556">
        <v>77411</v>
      </c>
    </row>
    <row r="1557" spans="1:25" ht="15" hidden="1" customHeight="1" x14ac:dyDescent="0.25">
      <c r="A1557" s="1" t="s">
        <v>30</v>
      </c>
      <c r="B1557" s="1"/>
      <c r="C1557" s="1" t="s">
        <v>150</v>
      </c>
      <c r="D1557">
        <v>10208</v>
      </c>
      <c r="E1557" s="1"/>
      <c r="F1557" s="1" t="s">
        <v>283</v>
      </c>
      <c r="G1557" s="1" t="s">
        <v>150</v>
      </c>
      <c r="H1557" s="1" t="s">
        <v>1405</v>
      </c>
      <c r="I1557">
        <v>2011</v>
      </c>
      <c r="J1557" s="93">
        <v>27922.44</v>
      </c>
      <c r="K1557">
        <v>6</v>
      </c>
      <c r="L1557" s="1" t="s">
        <v>426</v>
      </c>
      <c r="M1557">
        <v>0</v>
      </c>
      <c r="N1557">
        <v>741</v>
      </c>
      <c r="O1557">
        <v>37.677019999999999</v>
      </c>
      <c r="P1557">
        <v>2</v>
      </c>
      <c r="Q1557" s="1" t="s">
        <v>569</v>
      </c>
      <c r="R1557" s="93">
        <v>27922.44</v>
      </c>
      <c r="S1557">
        <v>13095.62</v>
      </c>
      <c r="T1557">
        <v>0</v>
      </c>
      <c r="U1557" s="1" t="s">
        <v>1004</v>
      </c>
      <c r="V1557" s="1" t="s">
        <v>1285</v>
      </c>
      <c r="W1557">
        <v>27922.452120000002</v>
      </c>
      <c r="X1557">
        <v>0</v>
      </c>
      <c r="Y1557">
        <v>77411</v>
      </c>
    </row>
    <row r="1558" spans="1:25" ht="15" hidden="1" customHeight="1" x14ac:dyDescent="0.25">
      <c r="A1558" s="1" t="s">
        <v>30</v>
      </c>
      <c r="B1558" s="1"/>
      <c r="C1558" s="1" t="s">
        <v>150</v>
      </c>
      <c r="D1558">
        <v>10208</v>
      </c>
      <c r="E1558" s="1"/>
      <c r="F1558" s="1" t="s">
        <v>283</v>
      </c>
      <c r="G1558" s="1" t="s">
        <v>150</v>
      </c>
      <c r="H1558" s="1" t="s">
        <v>1405</v>
      </c>
      <c r="I1558">
        <v>2010</v>
      </c>
      <c r="J1558" s="93">
        <v>30721.62</v>
      </c>
      <c r="K1558">
        <v>6</v>
      </c>
      <c r="L1558" s="1" t="s">
        <v>426</v>
      </c>
      <c r="M1558">
        <v>0</v>
      </c>
      <c r="N1558">
        <v>741</v>
      </c>
      <c r="O1558">
        <v>41.454081000000002</v>
      </c>
      <c r="P1558">
        <v>2</v>
      </c>
      <c r="Q1558" s="1" t="s">
        <v>569</v>
      </c>
      <c r="R1558" s="93">
        <v>30721.62</v>
      </c>
      <c r="S1558">
        <v>14408.42</v>
      </c>
      <c r="T1558">
        <v>0</v>
      </c>
      <c r="U1558" s="1" t="s">
        <v>1004</v>
      </c>
      <c r="V1558" s="1" t="s">
        <v>1285</v>
      </c>
      <c r="W1558">
        <v>30721.62012</v>
      </c>
      <c r="X1558">
        <v>0</v>
      </c>
      <c r="Y1558">
        <v>77411</v>
      </c>
    </row>
    <row r="1559" spans="1:25" ht="15" hidden="1" customHeight="1" x14ac:dyDescent="0.25">
      <c r="A1559" s="1" t="s">
        <v>30</v>
      </c>
      <c r="B1559" s="1"/>
      <c r="C1559" s="1" t="s">
        <v>150</v>
      </c>
      <c r="D1559">
        <v>10208</v>
      </c>
      <c r="E1559" s="1"/>
      <c r="F1559" s="1" t="s">
        <v>283</v>
      </c>
      <c r="G1559" s="1" t="s">
        <v>150</v>
      </c>
      <c r="H1559" s="1" t="s">
        <v>1405</v>
      </c>
      <c r="I1559">
        <v>2009</v>
      </c>
      <c r="J1559" s="93">
        <v>33158.370000000003</v>
      </c>
      <c r="K1559">
        <v>4</v>
      </c>
      <c r="L1559" s="1" t="s">
        <v>426</v>
      </c>
      <c r="M1559">
        <v>0</v>
      </c>
      <c r="N1559">
        <v>741</v>
      </c>
      <c r="O1559">
        <v>44.742099000000003</v>
      </c>
      <c r="P1559">
        <v>2</v>
      </c>
      <c r="Q1559" s="1" t="s">
        <v>569</v>
      </c>
      <c r="R1559" s="93">
        <v>33158.370000000003</v>
      </c>
      <c r="S1559">
        <v>15551.27</v>
      </c>
      <c r="T1559">
        <v>0</v>
      </c>
      <c r="U1559" s="1" t="s">
        <v>1004</v>
      </c>
      <c r="V1559" s="1" t="s">
        <v>1285</v>
      </c>
      <c r="W1559">
        <v>33158.353799999997</v>
      </c>
      <c r="X1559">
        <v>0</v>
      </c>
      <c r="Y1559">
        <v>77411</v>
      </c>
    </row>
    <row r="1560" spans="1:25" ht="15" hidden="1" customHeight="1" x14ac:dyDescent="0.25">
      <c r="A1560" s="1" t="s">
        <v>30</v>
      </c>
      <c r="B1560" s="1"/>
      <c r="C1560" s="1" t="s">
        <v>150</v>
      </c>
      <c r="D1560">
        <v>10208</v>
      </c>
      <c r="E1560" s="1"/>
      <c r="F1560" s="1" t="s">
        <v>283</v>
      </c>
      <c r="G1560" s="1" t="s">
        <v>150</v>
      </c>
      <c r="H1560" s="1" t="s">
        <v>1405</v>
      </c>
      <c r="I1560">
        <v>2008</v>
      </c>
      <c r="J1560" s="93">
        <v>30978.78</v>
      </c>
      <c r="K1560">
        <v>5</v>
      </c>
      <c r="L1560" s="1" t="s">
        <v>426</v>
      </c>
      <c r="M1560">
        <v>0</v>
      </c>
      <c r="N1560">
        <v>741</v>
      </c>
      <c r="O1560">
        <v>41.801079000000001</v>
      </c>
      <c r="P1560">
        <v>2</v>
      </c>
      <c r="Q1560" s="1" t="s">
        <v>569</v>
      </c>
      <c r="R1560" s="93">
        <v>30978.78</v>
      </c>
      <c r="S1560">
        <v>14529.04</v>
      </c>
      <c r="T1560">
        <v>0</v>
      </c>
      <c r="U1560" s="1" t="s">
        <v>1004</v>
      </c>
      <c r="V1560" s="1" t="s">
        <v>1285</v>
      </c>
      <c r="W1560">
        <v>30978.781559999999</v>
      </c>
      <c r="X1560">
        <v>0</v>
      </c>
      <c r="Y1560">
        <v>77411</v>
      </c>
    </row>
    <row r="1561" spans="1:25" ht="15" hidden="1" customHeight="1" x14ac:dyDescent="0.25">
      <c r="A1561" s="1" t="s">
        <v>30</v>
      </c>
      <c r="B1561" s="1" t="s">
        <v>60</v>
      </c>
      <c r="C1561" s="1" t="s">
        <v>133</v>
      </c>
      <c r="D1561">
        <v>5274</v>
      </c>
      <c r="E1561" s="1"/>
      <c r="F1561" s="1" t="s">
        <v>273</v>
      </c>
      <c r="G1561" s="1" t="s">
        <v>133</v>
      </c>
      <c r="H1561" s="1" t="s">
        <v>1405</v>
      </c>
      <c r="I1561">
        <v>2014</v>
      </c>
      <c r="J1561" s="93">
        <v>35190.720000000001</v>
      </c>
      <c r="K1561">
        <v>12</v>
      </c>
      <c r="L1561" s="1" t="s">
        <v>402</v>
      </c>
      <c r="M1561">
        <v>0</v>
      </c>
      <c r="N1561">
        <v>586</v>
      </c>
      <c r="O1561">
        <v>60.042177000000002</v>
      </c>
      <c r="P1561">
        <v>2</v>
      </c>
      <c r="Q1561" s="1" t="s">
        <v>569</v>
      </c>
      <c r="R1561" s="93">
        <v>35190.720000000001</v>
      </c>
      <c r="S1561">
        <v>14076.28</v>
      </c>
      <c r="T1561">
        <v>0</v>
      </c>
      <c r="U1561" s="1" t="s">
        <v>982</v>
      </c>
      <c r="V1561" s="1" t="s">
        <v>1269</v>
      </c>
      <c r="W1561">
        <v>35190.720000000001</v>
      </c>
      <c r="X1561">
        <v>0</v>
      </c>
      <c r="Y1561">
        <v>56849</v>
      </c>
    </row>
    <row r="1562" spans="1:25" ht="15" hidden="1" customHeight="1" x14ac:dyDescent="0.25">
      <c r="A1562" s="1" t="s">
        <v>27</v>
      </c>
      <c r="B1562" s="1"/>
      <c r="C1562" s="1" t="s">
        <v>128</v>
      </c>
      <c r="D1562">
        <v>10169</v>
      </c>
      <c r="E1562" s="1"/>
      <c r="F1562" s="1" t="s">
        <v>268</v>
      </c>
      <c r="G1562" s="1" t="s">
        <v>268</v>
      </c>
      <c r="H1562" s="1" t="s">
        <v>1405</v>
      </c>
      <c r="I1562">
        <v>2014</v>
      </c>
      <c r="J1562" s="93">
        <v>55045.56</v>
      </c>
      <c r="K1562">
        <v>4</v>
      </c>
      <c r="L1562" s="1" t="s">
        <v>424</v>
      </c>
      <c r="M1562">
        <v>0</v>
      </c>
      <c r="N1562">
        <v>721</v>
      </c>
      <c r="O1562">
        <v>76.335542000000004</v>
      </c>
      <c r="P1562">
        <v>1</v>
      </c>
      <c r="Q1562" s="1" t="s">
        <v>564</v>
      </c>
      <c r="R1562" s="93">
        <v>64071.79</v>
      </c>
      <c r="S1562">
        <v>13549.99</v>
      </c>
      <c r="T1562">
        <v>1</v>
      </c>
      <c r="U1562" s="1" t="s">
        <v>764</v>
      </c>
      <c r="V1562" s="1"/>
      <c r="W1562">
        <v>5096.8113300000005</v>
      </c>
      <c r="X1562">
        <v>0</v>
      </c>
      <c r="Y1562">
        <v>94891</v>
      </c>
    </row>
    <row r="1563" spans="1:25" ht="15" hidden="1" customHeight="1" x14ac:dyDescent="0.25">
      <c r="A1563" s="1" t="s">
        <v>30</v>
      </c>
      <c r="B1563" s="1"/>
      <c r="C1563" s="1" t="s">
        <v>153</v>
      </c>
      <c r="D1563">
        <v>10214</v>
      </c>
      <c r="E1563" s="1"/>
      <c r="F1563" s="1" t="s">
        <v>375</v>
      </c>
      <c r="G1563" s="1" t="s">
        <v>153</v>
      </c>
      <c r="H1563" s="1" t="s">
        <v>1405</v>
      </c>
      <c r="I1563">
        <v>2014</v>
      </c>
      <c r="J1563" s="93">
        <v>23362.55</v>
      </c>
      <c r="K1563">
        <v>12</v>
      </c>
      <c r="L1563" s="1"/>
      <c r="M1563">
        <v>0</v>
      </c>
      <c r="N1563">
        <v>0</v>
      </c>
      <c r="O1563">
        <v>233625.5</v>
      </c>
      <c r="P1563">
        <v>2</v>
      </c>
      <c r="Q1563" s="1" t="s">
        <v>569</v>
      </c>
      <c r="R1563" s="93">
        <v>23362.55</v>
      </c>
      <c r="S1563">
        <v>7008.75</v>
      </c>
      <c r="T1563">
        <v>0</v>
      </c>
      <c r="U1563" s="1" t="s">
        <v>1007</v>
      </c>
      <c r="V1563" s="1" t="s">
        <v>1288</v>
      </c>
      <c r="W1563">
        <v>23362.532999999999</v>
      </c>
      <c r="X1563">
        <v>0</v>
      </c>
      <c r="Y1563">
        <v>90759</v>
      </c>
    </row>
    <row r="1564" spans="1:25" ht="15" hidden="1" customHeight="1" x14ac:dyDescent="0.25">
      <c r="A1564" s="1" t="s">
        <v>30</v>
      </c>
      <c r="B1564" s="1"/>
      <c r="C1564" s="1" t="s">
        <v>151</v>
      </c>
      <c r="D1564">
        <v>10236</v>
      </c>
      <c r="E1564" s="1"/>
      <c r="F1564" s="1" t="s">
        <v>284</v>
      </c>
      <c r="G1564" s="1" t="s">
        <v>151</v>
      </c>
      <c r="H1564" s="1" t="s">
        <v>1405</v>
      </c>
      <c r="I1564">
        <v>2012</v>
      </c>
      <c r="J1564" s="93">
        <v>23810.37</v>
      </c>
      <c r="K1564">
        <v>12</v>
      </c>
      <c r="L1564" s="1" t="s">
        <v>522</v>
      </c>
      <c r="M1564">
        <v>0</v>
      </c>
      <c r="N1564">
        <v>696</v>
      </c>
      <c r="O1564">
        <v>34.205387000000002</v>
      </c>
      <c r="P1564">
        <v>2</v>
      </c>
      <c r="Q1564" s="1" t="s">
        <v>569</v>
      </c>
      <c r="R1564" s="93">
        <v>23810.37</v>
      </c>
      <c r="S1564">
        <v>9524.16</v>
      </c>
      <c r="T1564">
        <v>0</v>
      </c>
      <c r="U1564" s="1" t="s">
        <v>1005</v>
      </c>
      <c r="V1564" s="1" t="s">
        <v>1286</v>
      </c>
      <c r="W1564">
        <v>23810.376</v>
      </c>
      <c r="X1564">
        <v>0</v>
      </c>
      <c r="Y1564">
        <v>77524</v>
      </c>
    </row>
    <row r="1565" spans="1:25" ht="15" hidden="1" customHeight="1" x14ac:dyDescent="0.25">
      <c r="A1565" s="1" t="s">
        <v>30</v>
      </c>
      <c r="B1565" s="1"/>
      <c r="C1565" s="1" t="s">
        <v>151</v>
      </c>
      <c r="D1565">
        <v>10236</v>
      </c>
      <c r="E1565" s="1"/>
      <c r="F1565" s="1" t="s">
        <v>284</v>
      </c>
      <c r="G1565" s="1" t="s">
        <v>151</v>
      </c>
      <c r="H1565" s="1" t="s">
        <v>1405</v>
      </c>
      <c r="I1565">
        <v>2011</v>
      </c>
      <c r="J1565" s="93">
        <v>21492.46</v>
      </c>
      <c r="K1565">
        <v>12</v>
      </c>
      <c r="L1565" s="1" t="s">
        <v>522</v>
      </c>
      <c r="M1565">
        <v>0</v>
      </c>
      <c r="N1565">
        <v>696</v>
      </c>
      <c r="O1565">
        <v>30.875534999999999</v>
      </c>
      <c r="P1565">
        <v>2</v>
      </c>
      <c r="Q1565" s="1" t="s">
        <v>569</v>
      </c>
      <c r="R1565" s="93">
        <v>21492.46</v>
      </c>
      <c r="S1565">
        <v>10079.969999999999</v>
      </c>
      <c r="T1565">
        <v>0</v>
      </c>
      <c r="U1565" s="1" t="s">
        <v>1005</v>
      </c>
      <c r="V1565" s="1" t="s">
        <v>1286</v>
      </c>
      <c r="W1565">
        <v>21492.448</v>
      </c>
      <c r="X1565">
        <v>0</v>
      </c>
      <c r="Y1565">
        <v>77524</v>
      </c>
    </row>
    <row r="1566" spans="1:25" ht="15" hidden="1" customHeight="1" x14ac:dyDescent="0.25">
      <c r="A1566" s="1" t="s">
        <v>30</v>
      </c>
      <c r="B1566" s="1"/>
      <c r="C1566" s="1" t="s">
        <v>151</v>
      </c>
      <c r="D1566">
        <v>10236</v>
      </c>
      <c r="E1566" s="1"/>
      <c r="F1566" s="1" t="s">
        <v>284</v>
      </c>
      <c r="G1566" s="1" t="s">
        <v>151</v>
      </c>
      <c r="H1566" s="1" t="s">
        <v>1405</v>
      </c>
      <c r="I1566">
        <v>2010</v>
      </c>
      <c r="J1566" s="93">
        <v>17664.64</v>
      </c>
      <c r="K1566">
        <v>12</v>
      </c>
      <c r="L1566" s="1" t="s">
        <v>522</v>
      </c>
      <c r="M1566">
        <v>0</v>
      </c>
      <c r="N1566">
        <v>696</v>
      </c>
      <c r="O1566">
        <v>25.376583</v>
      </c>
      <c r="P1566">
        <v>2</v>
      </c>
      <c r="Q1566" s="1" t="s">
        <v>569</v>
      </c>
      <c r="R1566" s="93">
        <v>17664.64</v>
      </c>
      <c r="S1566">
        <v>8284.7199999999993</v>
      </c>
      <c r="T1566">
        <v>0</v>
      </c>
      <c r="U1566" s="1" t="s">
        <v>1005</v>
      </c>
      <c r="V1566" s="1" t="s">
        <v>1286</v>
      </c>
      <c r="W1566">
        <v>17664.657999999999</v>
      </c>
      <c r="X1566">
        <v>0</v>
      </c>
      <c r="Y1566">
        <v>77524</v>
      </c>
    </row>
    <row r="1567" spans="1:25" ht="15" hidden="1" customHeight="1" x14ac:dyDescent="0.25">
      <c r="A1567" s="1" t="s">
        <v>30</v>
      </c>
      <c r="B1567" s="1"/>
      <c r="C1567" s="1" t="s">
        <v>151</v>
      </c>
      <c r="D1567">
        <v>10236</v>
      </c>
      <c r="E1567" s="1"/>
      <c r="F1567" s="1" t="s">
        <v>284</v>
      </c>
      <c r="G1567" s="1" t="s">
        <v>151</v>
      </c>
      <c r="H1567" s="1" t="s">
        <v>1405</v>
      </c>
      <c r="I1567">
        <v>2009</v>
      </c>
      <c r="J1567" s="93">
        <v>17177.59</v>
      </c>
      <c r="K1567">
        <v>19</v>
      </c>
      <c r="L1567" s="1" t="s">
        <v>522</v>
      </c>
      <c r="M1567">
        <v>0</v>
      </c>
      <c r="N1567">
        <v>696</v>
      </c>
      <c r="O1567">
        <v>24.676898999999999</v>
      </c>
      <c r="P1567">
        <v>2</v>
      </c>
      <c r="Q1567" s="1" t="s">
        <v>569</v>
      </c>
      <c r="R1567" s="93">
        <v>17177.59</v>
      </c>
      <c r="S1567">
        <v>8056.29</v>
      </c>
      <c r="T1567">
        <v>0</v>
      </c>
      <c r="U1567" s="1" t="s">
        <v>1005</v>
      </c>
      <c r="V1567" s="1" t="s">
        <v>1286</v>
      </c>
      <c r="W1567">
        <v>17177.58023</v>
      </c>
      <c r="X1567">
        <v>0</v>
      </c>
      <c r="Y1567">
        <v>77524</v>
      </c>
    </row>
    <row r="1568" spans="1:25" ht="15" hidden="1" customHeight="1" x14ac:dyDescent="0.25">
      <c r="A1568" s="1" t="s">
        <v>30</v>
      </c>
      <c r="B1568" s="1"/>
      <c r="C1568" s="1" t="s">
        <v>151</v>
      </c>
      <c r="D1568">
        <v>10236</v>
      </c>
      <c r="E1568" s="1"/>
      <c r="F1568" s="1" t="s">
        <v>284</v>
      </c>
      <c r="G1568" s="1" t="s">
        <v>151</v>
      </c>
      <c r="H1568" s="1" t="s">
        <v>1405</v>
      </c>
      <c r="I1568">
        <v>2008</v>
      </c>
      <c r="J1568" s="93">
        <v>21556.27</v>
      </c>
      <c r="K1568">
        <v>22</v>
      </c>
      <c r="L1568" s="1" t="s">
        <v>522</v>
      </c>
      <c r="M1568">
        <v>0</v>
      </c>
      <c r="N1568">
        <v>696</v>
      </c>
      <c r="O1568">
        <v>30.967202</v>
      </c>
      <c r="P1568">
        <v>2</v>
      </c>
      <c r="Q1568" s="1" t="s">
        <v>569</v>
      </c>
      <c r="R1568" s="93">
        <v>21556.27</v>
      </c>
      <c r="S1568">
        <v>10109.92</v>
      </c>
      <c r="T1568">
        <v>0</v>
      </c>
      <c r="U1568" s="1" t="s">
        <v>1005</v>
      </c>
      <c r="V1568" s="1" t="s">
        <v>1286</v>
      </c>
      <c r="W1568">
        <v>21556.283439999999</v>
      </c>
      <c r="X1568">
        <v>0</v>
      </c>
      <c r="Y1568">
        <v>77524</v>
      </c>
    </row>
    <row r="1569" spans="1:25" ht="15" hidden="1" customHeight="1" x14ac:dyDescent="0.25">
      <c r="A1569" s="1" t="s">
        <v>30</v>
      </c>
      <c r="B1569" s="1"/>
      <c r="C1569" s="1" t="s">
        <v>153</v>
      </c>
      <c r="D1569">
        <v>10213</v>
      </c>
      <c r="E1569" s="1"/>
      <c r="F1569" s="1" t="s">
        <v>376</v>
      </c>
      <c r="G1569" s="1" t="s">
        <v>153</v>
      </c>
      <c r="H1569" s="1" t="s">
        <v>1405</v>
      </c>
      <c r="I1569">
        <v>2014</v>
      </c>
      <c r="J1569" s="93">
        <v>5870.99</v>
      </c>
      <c r="K1569">
        <v>12</v>
      </c>
      <c r="L1569" s="1" t="s">
        <v>523</v>
      </c>
      <c r="M1569">
        <v>0</v>
      </c>
      <c r="N1569">
        <v>0</v>
      </c>
      <c r="O1569">
        <v>58709.9</v>
      </c>
      <c r="P1569">
        <v>2</v>
      </c>
      <c r="Q1569" s="1" t="s">
        <v>569</v>
      </c>
      <c r="R1569" s="93">
        <v>5870.99</v>
      </c>
      <c r="S1569">
        <v>1761.3</v>
      </c>
      <c r="T1569">
        <v>0</v>
      </c>
      <c r="U1569" s="1" t="s">
        <v>1009</v>
      </c>
      <c r="V1569" s="1" t="s">
        <v>1289</v>
      </c>
      <c r="W1569">
        <v>5870.9939999999997</v>
      </c>
      <c r="X1569">
        <v>0</v>
      </c>
      <c r="Y1569">
        <v>77443</v>
      </c>
    </row>
    <row r="1570" spans="1:25" ht="15" hidden="1" customHeight="1" x14ac:dyDescent="0.25">
      <c r="A1570" s="1" t="s">
        <v>30</v>
      </c>
      <c r="B1570" s="1" t="s">
        <v>62</v>
      </c>
      <c r="C1570" s="1" t="s">
        <v>138</v>
      </c>
      <c r="D1570">
        <v>5275</v>
      </c>
      <c r="E1570" s="1"/>
      <c r="F1570" s="1" t="s">
        <v>276</v>
      </c>
      <c r="G1570" s="1" t="s">
        <v>276</v>
      </c>
      <c r="H1570" s="1" t="s">
        <v>1405</v>
      </c>
      <c r="I1570">
        <v>2014</v>
      </c>
      <c r="J1570" s="93">
        <v>255.05</v>
      </c>
      <c r="K1570">
        <v>12</v>
      </c>
      <c r="L1570" s="1" t="s">
        <v>402</v>
      </c>
      <c r="M1570">
        <v>0</v>
      </c>
      <c r="N1570">
        <v>675</v>
      </c>
      <c r="O1570">
        <v>0.37779499999999999</v>
      </c>
      <c r="P1570">
        <v>3</v>
      </c>
      <c r="Q1570" s="1" t="s">
        <v>560</v>
      </c>
      <c r="R1570" s="93">
        <v>255.05</v>
      </c>
      <c r="S1570">
        <v>204.02</v>
      </c>
      <c r="T1570">
        <v>0</v>
      </c>
      <c r="U1570" s="1" t="s">
        <v>608</v>
      </c>
      <c r="V1570" s="1"/>
      <c r="W1570">
        <v>255.05</v>
      </c>
      <c r="X1570">
        <v>0</v>
      </c>
      <c r="Y1570">
        <v>56857</v>
      </c>
    </row>
    <row r="1571" spans="1:25" ht="15" hidden="1" customHeight="1" x14ac:dyDescent="0.25">
      <c r="A1571" s="1" t="s">
        <v>30</v>
      </c>
      <c r="B1571" s="1" t="s">
        <v>62</v>
      </c>
      <c r="C1571" s="1" t="s">
        <v>138</v>
      </c>
      <c r="D1571">
        <v>5275</v>
      </c>
      <c r="E1571" s="1"/>
      <c r="F1571" s="1" t="s">
        <v>276</v>
      </c>
      <c r="G1571" s="1" t="s">
        <v>276</v>
      </c>
      <c r="H1571" s="1" t="s">
        <v>1405</v>
      </c>
      <c r="I1571">
        <v>2014</v>
      </c>
      <c r="J1571" s="93">
        <v>15324.75</v>
      </c>
      <c r="K1571">
        <v>12</v>
      </c>
      <c r="L1571" s="1" t="s">
        <v>399</v>
      </c>
      <c r="M1571">
        <v>0</v>
      </c>
      <c r="N1571">
        <v>675</v>
      </c>
      <c r="O1571">
        <v>22.69997</v>
      </c>
      <c r="P1571">
        <v>2</v>
      </c>
      <c r="Q1571" s="1" t="s">
        <v>569</v>
      </c>
      <c r="R1571" s="93">
        <v>15324.75</v>
      </c>
      <c r="S1571">
        <v>4597.41</v>
      </c>
      <c r="T1571">
        <v>0</v>
      </c>
      <c r="U1571" s="1" t="s">
        <v>988</v>
      </c>
      <c r="V1571" s="1" t="s">
        <v>1273</v>
      </c>
      <c r="W1571">
        <v>15324.7533</v>
      </c>
      <c r="X1571">
        <v>0</v>
      </c>
      <c r="Y1571">
        <v>56855</v>
      </c>
    </row>
    <row r="1572" spans="1:25" ht="15" hidden="1" customHeight="1" x14ac:dyDescent="0.25">
      <c r="A1572" s="1" t="s">
        <v>30</v>
      </c>
      <c r="B1572" s="1" t="s">
        <v>65</v>
      </c>
      <c r="C1572" s="1" t="s">
        <v>152</v>
      </c>
      <c r="D1572">
        <v>5273</v>
      </c>
      <c r="E1572" s="1"/>
      <c r="F1572" s="1" t="s">
        <v>285</v>
      </c>
      <c r="G1572" s="1" t="s">
        <v>152</v>
      </c>
      <c r="H1572" s="1" t="s">
        <v>1405</v>
      </c>
      <c r="I1572">
        <v>2012</v>
      </c>
      <c r="J1572" s="93">
        <v>10797.81</v>
      </c>
      <c r="K1572">
        <v>12</v>
      </c>
      <c r="L1572" s="1" t="s">
        <v>399</v>
      </c>
      <c r="M1572">
        <v>0</v>
      </c>
      <c r="N1572">
        <v>457</v>
      </c>
      <c r="O1572">
        <v>23.622423000000001</v>
      </c>
      <c r="P1572">
        <v>2</v>
      </c>
      <c r="Q1572" s="1" t="s">
        <v>569</v>
      </c>
      <c r="R1572" s="93">
        <v>10797.81</v>
      </c>
      <c r="S1572">
        <v>4319.12</v>
      </c>
      <c r="T1572">
        <v>0</v>
      </c>
      <c r="U1572" s="1" t="s">
        <v>1006</v>
      </c>
      <c r="V1572" s="1" t="s">
        <v>1287</v>
      </c>
      <c r="W1572">
        <v>10797.817999999999</v>
      </c>
      <c r="X1572">
        <v>0</v>
      </c>
      <c r="Y1572">
        <v>56843</v>
      </c>
    </row>
    <row r="1573" spans="1:25" ht="15" hidden="1" customHeight="1" x14ac:dyDescent="0.25">
      <c r="A1573" s="1" t="s">
        <v>30</v>
      </c>
      <c r="B1573" s="1" t="s">
        <v>65</v>
      </c>
      <c r="C1573" s="1" t="s">
        <v>152</v>
      </c>
      <c r="D1573">
        <v>5273</v>
      </c>
      <c r="E1573" s="1"/>
      <c r="F1573" s="1" t="s">
        <v>285</v>
      </c>
      <c r="G1573" s="1" t="s">
        <v>152</v>
      </c>
      <c r="H1573" s="1" t="s">
        <v>1405</v>
      </c>
      <c r="I1573">
        <v>2011</v>
      </c>
      <c r="J1573" s="93">
        <v>15092.73</v>
      </c>
      <c r="K1573">
        <v>3</v>
      </c>
      <c r="L1573" s="1" t="s">
        <v>399</v>
      </c>
      <c r="M1573">
        <v>0</v>
      </c>
      <c r="N1573">
        <v>457</v>
      </c>
      <c r="O1573">
        <v>33.018442</v>
      </c>
      <c r="P1573">
        <v>2</v>
      </c>
      <c r="Q1573" s="1" t="s">
        <v>569</v>
      </c>
      <c r="R1573" s="93">
        <v>15092.73</v>
      </c>
      <c r="S1573">
        <v>7078.46</v>
      </c>
      <c r="T1573">
        <v>0</v>
      </c>
      <c r="U1573" s="1" t="s">
        <v>1006</v>
      </c>
      <c r="V1573" s="1" t="s">
        <v>1287</v>
      </c>
      <c r="W1573">
        <v>15092.721890000001</v>
      </c>
      <c r="X1573">
        <v>0</v>
      </c>
      <c r="Y1573">
        <v>56843</v>
      </c>
    </row>
    <row r="1574" spans="1:25" ht="15" hidden="1" customHeight="1" x14ac:dyDescent="0.25">
      <c r="A1574" s="1" t="s">
        <v>30</v>
      </c>
      <c r="B1574" s="1" t="s">
        <v>65</v>
      </c>
      <c r="C1574" s="1" t="s">
        <v>152</v>
      </c>
      <c r="D1574">
        <v>5273</v>
      </c>
      <c r="E1574" s="1"/>
      <c r="F1574" s="1" t="s">
        <v>285</v>
      </c>
      <c r="G1574" s="1" t="s">
        <v>152</v>
      </c>
      <c r="H1574" s="1" t="s">
        <v>1405</v>
      </c>
      <c r="I1574">
        <v>2010</v>
      </c>
      <c r="J1574" s="93">
        <v>16747.939999999999</v>
      </c>
      <c r="K1574">
        <v>3</v>
      </c>
      <c r="L1574" s="1" t="s">
        <v>399</v>
      </c>
      <c r="M1574">
        <v>0</v>
      </c>
      <c r="N1574">
        <v>457</v>
      </c>
      <c r="O1574">
        <v>36.639552999999999</v>
      </c>
      <c r="P1574">
        <v>2</v>
      </c>
      <c r="Q1574" s="1" t="s">
        <v>569</v>
      </c>
      <c r="R1574" s="93">
        <v>16747.939999999999</v>
      </c>
      <c r="S1574">
        <v>7854.8</v>
      </c>
      <c r="T1574">
        <v>0</v>
      </c>
      <c r="U1574" s="1" t="s">
        <v>1006</v>
      </c>
      <c r="V1574" s="1" t="s">
        <v>1287</v>
      </c>
      <c r="W1574">
        <v>16747.94975</v>
      </c>
      <c r="X1574">
        <v>0</v>
      </c>
      <c r="Y1574">
        <v>56843</v>
      </c>
    </row>
    <row r="1575" spans="1:25" ht="15" hidden="1" customHeight="1" x14ac:dyDescent="0.25">
      <c r="A1575" s="1" t="s">
        <v>30</v>
      </c>
      <c r="B1575" s="1" t="s">
        <v>65</v>
      </c>
      <c r="C1575" s="1" t="s">
        <v>152</v>
      </c>
      <c r="D1575">
        <v>5273</v>
      </c>
      <c r="E1575" s="1"/>
      <c r="F1575" s="1" t="s">
        <v>285</v>
      </c>
      <c r="G1575" s="1" t="s">
        <v>152</v>
      </c>
      <c r="H1575" s="1" t="s">
        <v>1405</v>
      </c>
      <c r="I1575">
        <v>2009</v>
      </c>
      <c r="J1575" s="93">
        <v>16588.419999999998</v>
      </c>
      <c r="K1575">
        <v>0</v>
      </c>
      <c r="L1575" s="1" t="s">
        <v>399</v>
      </c>
      <c r="M1575">
        <v>0</v>
      </c>
      <c r="N1575">
        <v>457</v>
      </c>
      <c r="O1575">
        <v>36.290570000000002</v>
      </c>
      <c r="P1575">
        <v>2</v>
      </c>
      <c r="Q1575" s="1" t="s">
        <v>569</v>
      </c>
      <c r="R1575" s="93">
        <v>16588.419999999998</v>
      </c>
      <c r="S1575">
        <v>7780.01</v>
      </c>
      <c r="T1575">
        <v>0</v>
      </c>
      <c r="U1575" s="1" t="s">
        <v>1006</v>
      </c>
      <c r="V1575" s="1" t="s">
        <v>1287</v>
      </c>
      <c r="W1575">
        <v>16588.432870000001</v>
      </c>
      <c r="X1575">
        <v>0</v>
      </c>
      <c r="Y1575">
        <v>56843</v>
      </c>
    </row>
    <row r="1576" spans="1:25" ht="15" hidden="1" customHeight="1" x14ac:dyDescent="0.25">
      <c r="A1576" s="1" t="s">
        <v>30</v>
      </c>
      <c r="B1576" s="1" t="s">
        <v>65</v>
      </c>
      <c r="C1576" s="1" t="s">
        <v>152</v>
      </c>
      <c r="D1576">
        <v>5273</v>
      </c>
      <c r="E1576" s="1"/>
      <c r="F1576" s="1" t="s">
        <v>285</v>
      </c>
      <c r="G1576" s="1" t="s">
        <v>152</v>
      </c>
      <c r="H1576" s="1" t="s">
        <v>1405</v>
      </c>
      <c r="I1576">
        <v>2008</v>
      </c>
      <c r="J1576" s="93">
        <v>17879.13</v>
      </c>
      <c r="K1576">
        <v>4</v>
      </c>
      <c r="L1576" s="1" t="s">
        <v>399</v>
      </c>
      <c r="M1576">
        <v>0</v>
      </c>
      <c r="N1576">
        <v>457</v>
      </c>
      <c r="O1576">
        <v>39.114263000000001</v>
      </c>
      <c r="P1576">
        <v>2</v>
      </c>
      <c r="Q1576" s="1" t="s">
        <v>569</v>
      </c>
      <c r="R1576" s="93">
        <v>17879.13</v>
      </c>
      <c r="S1576">
        <v>8385.34</v>
      </c>
      <c r="T1576">
        <v>0</v>
      </c>
      <c r="U1576" s="1" t="s">
        <v>1006</v>
      </c>
      <c r="V1576" s="1" t="s">
        <v>1287</v>
      </c>
      <c r="W1576">
        <v>17879.12787</v>
      </c>
      <c r="X1576">
        <v>0</v>
      </c>
      <c r="Y1576">
        <v>56843</v>
      </c>
    </row>
    <row r="1577" spans="1:25" ht="15" hidden="1" customHeight="1" x14ac:dyDescent="0.25">
      <c r="A1577" s="1" t="s">
        <v>30</v>
      </c>
      <c r="B1577" s="1" t="s">
        <v>53</v>
      </c>
      <c r="C1577" s="1" t="s">
        <v>154</v>
      </c>
      <c r="D1577">
        <v>5250</v>
      </c>
      <c r="E1577" s="1"/>
      <c r="F1577" s="1" t="s">
        <v>286</v>
      </c>
      <c r="G1577" s="1" t="s">
        <v>154</v>
      </c>
      <c r="H1577" s="1" t="s">
        <v>1405</v>
      </c>
      <c r="I1577">
        <v>2014</v>
      </c>
      <c r="J1577" s="93">
        <v>11822.17</v>
      </c>
      <c r="K1577">
        <v>12</v>
      </c>
      <c r="L1577" s="1" t="s">
        <v>402</v>
      </c>
      <c r="M1577">
        <v>0</v>
      </c>
      <c r="N1577">
        <v>417</v>
      </c>
      <c r="O1577">
        <v>28.343730000000001</v>
      </c>
      <c r="P1577">
        <v>2</v>
      </c>
      <c r="Q1577" s="1" t="s">
        <v>569</v>
      </c>
      <c r="R1577" s="93">
        <v>11822.17</v>
      </c>
      <c r="S1577">
        <v>4728.87</v>
      </c>
      <c r="T1577">
        <v>0</v>
      </c>
      <c r="U1577" s="1" t="s">
        <v>1010</v>
      </c>
      <c r="V1577" s="1" t="s">
        <v>1290</v>
      </c>
      <c r="W1577">
        <v>11822.174800000001</v>
      </c>
      <c r="X1577">
        <v>0</v>
      </c>
      <c r="Y1577">
        <v>56671</v>
      </c>
    </row>
    <row r="1578" spans="1:25" ht="15" hidden="1" customHeight="1" x14ac:dyDescent="0.25">
      <c r="A1578" s="1" t="s">
        <v>30</v>
      </c>
      <c r="B1578" s="1"/>
      <c r="C1578" s="1" t="s">
        <v>155</v>
      </c>
      <c r="D1578">
        <v>5941</v>
      </c>
      <c r="E1578" s="1"/>
      <c r="F1578" s="1" t="s">
        <v>155</v>
      </c>
      <c r="G1578" s="1" t="s">
        <v>155</v>
      </c>
      <c r="H1578" s="1" t="s">
        <v>1405</v>
      </c>
      <c r="I1578">
        <v>2014</v>
      </c>
      <c r="J1578" s="93">
        <v>40186</v>
      </c>
      <c r="K1578">
        <v>12</v>
      </c>
      <c r="L1578" s="1" t="s">
        <v>399</v>
      </c>
      <c r="M1578">
        <v>0</v>
      </c>
      <c r="N1578">
        <v>550</v>
      </c>
      <c r="O1578">
        <v>73.052171999999999</v>
      </c>
      <c r="P1578">
        <v>2</v>
      </c>
      <c r="Q1578" s="1" t="s">
        <v>569</v>
      </c>
      <c r="R1578" s="93">
        <v>40186</v>
      </c>
      <c r="S1578">
        <v>16074.4</v>
      </c>
      <c r="T1578">
        <v>0</v>
      </c>
      <c r="U1578" s="1" t="s">
        <v>1011</v>
      </c>
      <c r="V1578" s="1"/>
      <c r="W1578">
        <v>40186</v>
      </c>
      <c r="X1578">
        <v>0</v>
      </c>
      <c r="Y1578">
        <v>59939</v>
      </c>
    </row>
    <row r="1579" spans="1:25" ht="15" hidden="1" customHeight="1" x14ac:dyDescent="0.25">
      <c r="A1579" s="1" t="s">
        <v>30</v>
      </c>
      <c r="B1579" s="1" t="s">
        <v>60</v>
      </c>
      <c r="C1579" s="1" t="s">
        <v>133</v>
      </c>
      <c r="D1579">
        <v>5274</v>
      </c>
      <c r="E1579" s="1"/>
      <c r="F1579" s="1" t="s">
        <v>273</v>
      </c>
      <c r="G1579" s="1" t="s">
        <v>133</v>
      </c>
      <c r="H1579" s="1" t="s">
        <v>1405</v>
      </c>
      <c r="I1579">
        <v>2015</v>
      </c>
      <c r="J1579" s="93">
        <v>35044</v>
      </c>
      <c r="K1579">
        <v>5</v>
      </c>
      <c r="L1579" s="1" t="s">
        <v>402</v>
      </c>
      <c r="M1579">
        <v>0</v>
      </c>
      <c r="N1579">
        <v>586</v>
      </c>
      <c r="O1579">
        <v>24.098754</v>
      </c>
      <c r="P1579">
        <v>2</v>
      </c>
      <c r="Q1579" s="1" t="s">
        <v>569</v>
      </c>
      <c r="R1579" s="93">
        <v>14124.28</v>
      </c>
      <c r="S1579">
        <v>5649.71</v>
      </c>
      <c r="T1579">
        <v>0</v>
      </c>
      <c r="U1579" s="1" t="s">
        <v>982</v>
      </c>
      <c r="V1579" s="1" t="s">
        <v>1269</v>
      </c>
      <c r="W1579">
        <v>14124.279</v>
      </c>
      <c r="X1579">
        <v>0</v>
      </c>
      <c r="Y1579">
        <v>56849</v>
      </c>
    </row>
    <row r="1580" spans="1:25" ht="15" hidden="1" customHeight="1" x14ac:dyDescent="0.25">
      <c r="A1580" s="1" t="s">
        <v>30</v>
      </c>
      <c r="B1580" s="1"/>
      <c r="C1580" s="1" t="s">
        <v>153</v>
      </c>
      <c r="D1580">
        <v>10214</v>
      </c>
      <c r="E1580" s="1"/>
      <c r="F1580" s="1" t="s">
        <v>375</v>
      </c>
      <c r="G1580" s="1" t="s">
        <v>153</v>
      </c>
      <c r="H1580" s="1" t="s">
        <v>1405</v>
      </c>
      <c r="I1580">
        <v>2012</v>
      </c>
      <c r="J1580" s="93">
        <v>29664.19</v>
      </c>
      <c r="K1580">
        <v>12</v>
      </c>
      <c r="L1580" s="1"/>
      <c r="M1580">
        <v>0</v>
      </c>
      <c r="N1580">
        <v>0</v>
      </c>
      <c r="O1580">
        <v>296641.90000000002</v>
      </c>
      <c r="P1580">
        <v>2</v>
      </c>
      <c r="Q1580" s="1" t="s">
        <v>569</v>
      </c>
      <c r="R1580" s="93">
        <v>29664.19</v>
      </c>
      <c r="S1580">
        <v>11865.69</v>
      </c>
      <c r="T1580">
        <v>0</v>
      </c>
      <c r="U1580" s="1" t="s">
        <v>1007</v>
      </c>
      <c r="V1580" s="1" t="s">
        <v>1288</v>
      </c>
      <c r="W1580">
        <v>29664.188999999998</v>
      </c>
      <c r="X1580">
        <v>0</v>
      </c>
      <c r="Y1580">
        <v>90759</v>
      </c>
    </row>
    <row r="1581" spans="1:25" ht="15" hidden="1" customHeight="1" x14ac:dyDescent="0.25">
      <c r="A1581" s="1" t="s">
        <v>30</v>
      </c>
      <c r="B1581" s="1"/>
      <c r="C1581" s="1" t="s">
        <v>153</v>
      </c>
      <c r="D1581">
        <v>10214</v>
      </c>
      <c r="E1581" s="1"/>
      <c r="F1581" s="1" t="s">
        <v>375</v>
      </c>
      <c r="G1581" s="1" t="s">
        <v>153</v>
      </c>
      <c r="H1581" s="1" t="s">
        <v>1405</v>
      </c>
      <c r="I1581">
        <v>2011</v>
      </c>
      <c r="J1581" s="93">
        <v>23372.6</v>
      </c>
      <c r="K1581">
        <v>2</v>
      </c>
      <c r="L1581" s="1" t="s">
        <v>432</v>
      </c>
      <c r="M1581">
        <v>0</v>
      </c>
      <c r="N1581">
        <v>0</v>
      </c>
      <c r="O1581">
        <v>233726</v>
      </c>
      <c r="P1581">
        <v>2</v>
      </c>
      <c r="Q1581" s="1" t="s">
        <v>569</v>
      </c>
      <c r="R1581" s="93">
        <v>23372.6</v>
      </c>
      <c r="S1581">
        <v>10961.75</v>
      </c>
      <c r="T1581">
        <v>0</v>
      </c>
      <c r="U1581" s="1" t="s">
        <v>1008</v>
      </c>
      <c r="V1581" s="1" t="s">
        <v>1288</v>
      </c>
      <c r="W1581">
        <v>23372.608700000001</v>
      </c>
      <c r="X1581">
        <v>0</v>
      </c>
      <c r="Y1581">
        <v>77442</v>
      </c>
    </row>
    <row r="1582" spans="1:25" ht="15" hidden="1" customHeight="1" x14ac:dyDescent="0.25">
      <c r="A1582" s="1" t="s">
        <v>30</v>
      </c>
      <c r="B1582" s="1"/>
      <c r="C1582" s="1" t="s">
        <v>153</v>
      </c>
      <c r="D1582">
        <v>10214</v>
      </c>
      <c r="E1582" s="1"/>
      <c r="F1582" s="1" t="s">
        <v>375</v>
      </c>
      <c r="G1582" s="1" t="s">
        <v>153</v>
      </c>
      <c r="H1582" s="1" t="s">
        <v>1405</v>
      </c>
      <c r="I1582">
        <v>2011</v>
      </c>
      <c r="J1582" s="93">
        <v>5336.72</v>
      </c>
      <c r="K1582">
        <v>2</v>
      </c>
      <c r="L1582" s="1"/>
      <c r="M1582">
        <v>0</v>
      </c>
      <c r="N1582">
        <v>0</v>
      </c>
      <c r="O1582">
        <v>53367.199999999997</v>
      </c>
      <c r="P1582">
        <v>2</v>
      </c>
      <c r="Q1582" s="1" t="s">
        <v>569</v>
      </c>
      <c r="R1582" s="93">
        <v>5336.72</v>
      </c>
      <c r="S1582">
        <v>2502.92</v>
      </c>
      <c r="T1582">
        <v>0</v>
      </c>
      <c r="U1582" s="1" t="s">
        <v>1007</v>
      </c>
      <c r="V1582" s="1" t="s">
        <v>1288</v>
      </c>
      <c r="W1582">
        <v>5336.7190000000001</v>
      </c>
      <c r="X1582">
        <v>0</v>
      </c>
      <c r="Y1582">
        <v>90759</v>
      </c>
    </row>
    <row r="1583" spans="1:25" ht="15" hidden="1" customHeight="1" x14ac:dyDescent="0.25">
      <c r="A1583" s="1" t="s">
        <v>30</v>
      </c>
      <c r="B1583" s="1"/>
      <c r="C1583" s="1" t="s">
        <v>153</v>
      </c>
      <c r="D1583">
        <v>10214</v>
      </c>
      <c r="E1583" s="1"/>
      <c r="F1583" s="1" t="s">
        <v>375</v>
      </c>
      <c r="G1583" s="1" t="s">
        <v>153</v>
      </c>
      <c r="H1583" s="1" t="s">
        <v>1405</v>
      </c>
      <c r="I1583">
        <v>2010</v>
      </c>
      <c r="J1583" s="93">
        <v>28449.57</v>
      </c>
      <c r="K1583">
        <v>1</v>
      </c>
      <c r="L1583" s="1" t="s">
        <v>432</v>
      </c>
      <c r="M1583">
        <v>0</v>
      </c>
      <c r="N1583">
        <v>0</v>
      </c>
      <c r="O1583">
        <v>284495.7</v>
      </c>
      <c r="P1583">
        <v>2</v>
      </c>
      <c r="Q1583" s="1" t="s">
        <v>569</v>
      </c>
      <c r="R1583" s="93">
        <v>28449.57</v>
      </c>
      <c r="S1583">
        <v>13342.84</v>
      </c>
      <c r="T1583">
        <v>0</v>
      </c>
      <c r="U1583" s="1" t="s">
        <v>1008</v>
      </c>
      <c r="V1583" s="1" t="s">
        <v>1288</v>
      </c>
      <c r="W1583">
        <v>28449.550380000001</v>
      </c>
      <c r="X1583">
        <v>0</v>
      </c>
      <c r="Y1583">
        <v>77442</v>
      </c>
    </row>
    <row r="1584" spans="1:25" ht="15" hidden="1" customHeight="1" x14ac:dyDescent="0.25">
      <c r="A1584" s="1" t="s">
        <v>30</v>
      </c>
      <c r="B1584" s="1"/>
      <c r="C1584" s="1" t="s">
        <v>153</v>
      </c>
      <c r="D1584">
        <v>10214</v>
      </c>
      <c r="E1584" s="1"/>
      <c r="F1584" s="1" t="s">
        <v>375</v>
      </c>
      <c r="G1584" s="1" t="s">
        <v>153</v>
      </c>
      <c r="H1584" s="1" t="s">
        <v>1405</v>
      </c>
      <c r="I1584">
        <v>2009</v>
      </c>
      <c r="J1584" s="93">
        <v>31913.55</v>
      </c>
      <c r="K1584">
        <v>15</v>
      </c>
      <c r="L1584" s="1" t="s">
        <v>432</v>
      </c>
      <c r="M1584">
        <v>0</v>
      </c>
      <c r="N1584">
        <v>0</v>
      </c>
      <c r="O1584">
        <v>319135.5</v>
      </c>
      <c r="P1584">
        <v>2</v>
      </c>
      <c r="Q1584" s="1" t="s">
        <v>569</v>
      </c>
      <c r="R1584" s="93">
        <v>31913.55</v>
      </c>
      <c r="S1584">
        <v>14967.45</v>
      </c>
      <c r="T1584">
        <v>0</v>
      </c>
      <c r="U1584" s="1" t="s">
        <v>1008</v>
      </c>
      <c r="V1584" s="1" t="s">
        <v>1288</v>
      </c>
      <c r="W1584">
        <v>31913.555209999999</v>
      </c>
      <c r="X1584">
        <v>0</v>
      </c>
      <c r="Y1584">
        <v>77442</v>
      </c>
    </row>
    <row r="1585" spans="1:25" ht="15" hidden="1" customHeight="1" x14ac:dyDescent="0.25">
      <c r="A1585" s="1" t="s">
        <v>30</v>
      </c>
      <c r="B1585" s="1"/>
      <c r="C1585" s="1" t="s">
        <v>153</v>
      </c>
      <c r="D1585">
        <v>10214</v>
      </c>
      <c r="E1585" s="1"/>
      <c r="F1585" s="1" t="s">
        <v>375</v>
      </c>
      <c r="G1585" s="1" t="s">
        <v>153</v>
      </c>
      <c r="H1585" s="1" t="s">
        <v>1405</v>
      </c>
      <c r="I1585">
        <v>2008</v>
      </c>
      <c r="J1585" s="93">
        <v>28793.63</v>
      </c>
      <c r="K1585">
        <v>13</v>
      </c>
      <c r="L1585" s="1" t="s">
        <v>432</v>
      </c>
      <c r="M1585">
        <v>0</v>
      </c>
      <c r="N1585">
        <v>0</v>
      </c>
      <c r="O1585">
        <v>287936.3</v>
      </c>
      <c r="P1585">
        <v>2</v>
      </c>
      <c r="Q1585" s="1" t="s">
        <v>569</v>
      </c>
      <c r="R1585" s="93">
        <v>28793.63</v>
      </c>
      <c r="S1585">
        <v>13504.22</v>
      </c>
      <c r="T1585">
        <v>0</v>
      </c>
      <c r="U1585" s="1" t="s">
        <v>1008</v>
      </c>
      <c r="V1585" s="1" t="s">
        <v>1288</v>
      </c>
      <c r="W1585">
        <v>28793.64056</v>
      </c>
      <c r="X1585">
        <v>0</v>
      </c>
      <c r="Y1585">
        <v>77442</v>
      </c>
    </row>
    <row r="1586" spans="1:25" ht="15" hidden="1" customHeight="1" x14ac:dyDescent="0.25">
      <c r="A1586" s="1" t="s">
        <v>30</v>
      </c>
      <c r="B1586" s="1" t="s">
        <v>62</v>
      </c>
      <c r="C1586" s="1" t="s">
        <v>138</v>
      </c>
      <c r="D1586">
        <v>5275</v>
      </c>
      <c r="E1586" s="1"/>
      <c r="F1586" s="1" t="s">
        <v>276</v>
      </c>
      <c r="G1586" s="1" t="s">
        <v>276</v>
      </c>
      <c r="H1586" s="1" t="s">
        <v>1405</v>
      </c>
      <c r="I1586">
        <v>2015</v>
      </c>
      <c r="J1586" s="93">
        <v>16087</v>
      </c>
      <c r="K1586">
        <v>5</v>
      </c>
      <c r="L1586" s="1" t="s">
        <v>399</v>
      </c>
      <c r="M1586">
        <v>0</v>
      </c>
      <c r="N1586">
        <v>675</v>
      </c>
      <c r="O1586">
        <v>9.5632940000000008</v>
      </c>
      <c r="P1586">
        <v>2</v>
      </c>
      <c r="Q1586" s="1" t="s">
        <v>569</v>
      </c>
      <c r="R1586" s="93">
        <v>6456.18</v>
      </c>
      <c r="S1586">
        <v>1936.85</v>
      </c>
      <c r="T1586">
        <v>0</v>
      </c>
      <c r="U1586" s="1" t="s">
        <v>988</v>
      </c>
      <c r="V1586" s="1" t="s">
        <v>1273</v>
      </c>
      <c r="W1586">
        <v>6456.1710000000003</v>
      </c>
      <c r="X1586">
        <v>0</v>
      </c>
      <c r="Y1586">
        <v>56855</v>
      </c>
    </row>
    <row r="1587" spans="1:25" ht="15" hidden="1" customHeight="1" x14ac:dyDescent="0.25">
      <c r="A1587" s="1" t="s">
        <v>30</v>
      </c>
      <c r="B1587" s="1"/>
      <c r="C1587" s="1" t="s">
        <v>150</v>
      </c>
      <c r="D1587">
        <v>10208</v>
      </c>
      <c r="E1587" s="1"/>
      <c r="F1587" s="1" t="s">
        <v>283</v>
      </c>
      <c r="G1587" s="1" t="s">
        <v>150</v>
      </c>
      <c r="H1587" s="1" t="s">
        <v>1405</v>
      </c>
      <c r="I1587">
        <v>2015</v>
      </c>
      <c r="J1587" s="93">
        <v>27181</v>
      </c>
      <c r="K1587">
        <v>5</v>
      </c>
      <c r="L1587" s="1" t="s">
        <v>426</v>
      </c>
      <c r="M1587">
        <v>0</v>
      </c>
      <c r="N1587">
        <v>741</v>
      </c>
      <c r="O1587">
        <v>15.251612</v>
      </c>
      <c r="P1587">
        <v>2</v>
      </c>
      <c r="Q1587" s="1" t="s">
        <v>569</v>
      </c>
      <c r="R1587" s="93">
        <v>11302.97</v>
      </c>
      <c r="S1587">
        <v>3390.89</v>
      </c>
      <c r="T1587">
        <v>0</v>
      </c>
      <c r="U1587" s="1" t="s">
        <v>1004</v>
      </c>
      <c r="V1587" s="1" t="s">
        <v>1285</v>
      </c>
      <c r="W1587">
        <v>11302.974</v>
      </c>
      <c r="X1587">
        <v>0</v>
      </c>
      <c r="Y1587">
        <v>77411</v>
      </c>
    </row>
    <row r="1588" spans="1:25" ht="15" hidden="1" customHeight="1" x14ac:dyDescent="0.25">
      <c r="A1588" s="1" t="s">
        <v>30</v>
      </c>
      <c r="B1588" s="1"/>
      <c r="C1588" s="1" t="s">
        <v>153</v>
      </c>
      <c r="D1588">
        <v>10213</v>
      </c>
      <c r="E1588" s="1"/>
      <c r="F1588" s="1" t="s">
        <v>376</v>
      </c>
      <c r="G1588" s="1" t="s">
        <v>153</v>
      </c>
      <c r="H1588" s="1" t="s">
        <v>1405</v>
      </c>
      <c r="I1588">
        <v>2012</v>
      </c>
      <c r="J1588" s="93">
        <v>7731.72</v>
      </c>
      <c r="K1588">
        <v>12</v>
      </c>
      <c r="L1588" s="1" t="s">
        <v>523</v>
      </c>
      <c r="M1588">
        <v>0</v>
      </c>
      <c r="N1588">
        <v>0</v>
      </c>
      <c r="O1588">
        <v>77317.2</v>
      </c>
      <c r="P1588">
        <v>2</v>
      </c>
      <c r="Q1588" s="1" t="s">
        <v>569</v>
      </c>
      <c r="R1588" s="93">
        <v>7731.72</v>
      </c>
      <c r="S1588">
        <v>3092.69</v>
      </c>
      <c r="T1588">
        <v>0</v>
      </c>
      <c r="U1588" s="1" t="s">
        <v>1009</v>
      </c>
      <c r="V1588" s="1" t="s">
        <v>1289</v>
      </c>
      <c r="W1588">
        <v>7731.7179999999998</v>
      </c>
      <c r="X1588">
        <v>0</v>
      </c>
      <c r="Y1588">
        <v>77443</v>
      </c>
    </row>
    <row r="1589" spans="1:25" ht="15" hidden="1" customHeight="1" x14ac:dyDescent="0.25">
      <c r="A1589" s="1" t="s">
        <v>30</v>
      </c>
      <c r="B1589" s="1"/>
      <c r="C1589" s="1" t="s">
        <v>153</v>
      </c>
      <c r="D1589">
        <v>10213</v>
      </c>
      <c r="E1589" s="1"/>
      <c r="F1589" s="1" t="s">
        <v>376</v>
      </c>
      <c r="G1589" s="1" t="s">
        <v>153</v>
      </c>
      <c r="H1589" s="1" t="s">
        <v>1405</v>
      </c>
      <c r="I1589">
        <v>2011</v>
      </c>
      <c r="J1589" s="93">
        <v>14770.98</v>
      </c>
      <c r="K1589">
        <v>13</v>
      </c>
      <c r="L1589" s="1" t="s">
        <v>523</v>
      </c>
      <c r="M1589">
        <v>0</v>
      </c>
      <c r="N1589">
        <v>0</v>
      </c>
      <c r="O1589">
        <v>147709.79999999999</v>
      </c>
      <c r="P1589">
        <v>2</v>
      </c>
      <c r="Q1589" s="1" t="s">
        <v>569</v>
      </c>
      <c r="R1589" s="93">
        <v>14770.98</v>
      </c>
      <c r="S1589">
        <v>6927.61</v>
      </c>
      <c r="T1589">
        <v>0</v>
      </c>
      <c r="U1589" s="1" t="s">
        <v>1009</v>
      </c>
      <c r="V1589" s="1" t="s">
        <v>1289</v>
      </c>
      <c r="W1589">
        <v>14770.93871</v>
      </c>
      <c r="X1589">
        <v>0</v>
      </c>
      <c r="Y1589">
        <v>77443</v>
      </c>
    </row>
    <row r="1590" spans="1:25" ht="15" hidden="1" customHeight="1" x14ac:dyDescent="0.25">
      <c r="A1590" s="1" t="s">
        <v>30</v>
      </c>
      <c r="B1590" s="1"/>
      <c r="C1590" s="1" t="s">
        <v>153</v>
      </c>
      <c r="D1590">
        <v>10213</v>
      </c>
      <c r="E1590" s="1"/>
      <c r="F1590" s="1" t="s">
        <v>376</v>
      </c>
      <c r="G1590" s="1" t="s">
        <v>153</v>
      </c>
      <c r="H1590" s="1" t="s">
        <v>1405</v>
      </c>
      <c r="I1590">
        <v>2010</v>
      </c>
      <c r="J1590" s="93">
        <v>14417.23</v>
      </c>
      <c r="K1590">
        <v>12</v>
      </c>
      <c r="L1590" s="1" t="s">
        <v>523</v>
      </c>
      <c r="M1590">
        <v>0</v>
      </c>
      <c r="N1590">
        <v>0</v>
      </c>
      <c r="O1590">
        <v>144172.29999999999</v>
      </c>
      <c r="P1590">
        <v>2</v>
      </c>
      <c r="Q1590" s="1" t="s">
        <v>569</v>
      </c>
      <c r="R1590" s="93">
        <v>14417.23</v>
      </c>
      <c r="S1590">
        <v>6761.69</v>
      </c>
      <c r="T1590">
        <v>0</v>
      </c>
      <c r="U1590" s="1" t="s">
        <v>1009</v>
      </c>
      <c r="V1590" s="1" t="s">
        <v>1289</v>
      </c>
      <c r="W1590">
        <v>14417.19649</v>
      </c>
      <c r="X1590">
        <v>0</v>
      </c>
      <c r="Y1590">
        <v>77443</v>
      </c>
    </row>
    <row r="1591" spans="1:25" ht="15" hidden="1" customHeight="1" x14ac:dyDescent="0.25">
      <c r="A1591" s="1" t="s">
        <v>30</v>
      </c>
      <c r="B1591" s="1"/>
      <c r="C1591" s="1" t="s">
        <v>153</v>
      </c>
      <c r="D1591">
        <v>10213</v>
      </c>
      <c r="E1591" s="1"/>
      <c r="F1591" s="1" t="s">
        <v>376</v>
      </c>
      <c r="G1591" s="1" t="s">
        <v>153</v>
      </c>
      <c r="H1591" s="1" t="s">
        <v>1405</v>
      </c>
      <c r="I1591">
        <v>2009</v>
      </c>
      <c r="J1591" s="93">
        <v>8145.91</v>
      </c>
      <c r="K1591">
        <v>14</v>
      </c>
      <c r="L1591" s="1" t="s">
        <v>523</v>
      </c>
      <c r="M1591">
        <v>0</v>
      </c>
      <c r="N1591">
        <v>0</v>
      </c>
      <c r="O1591">
        <v>81459.100000000006</v>
      </c>
      <c r="P1591">
        <v>2</v>
      </c>
      <c r="Q1591" s="1" t="s">
        <v>569</v>
      </c>
      <c r="R1591" s="93">
        <v>8145.91</v>
      </c>
      <c r="S1591">
        <v>3820.44</v>
      </c>
      <c r="T1591">
        <v>0</v>
      </c>
      <c r="U1591" s="1" t="s">
        <v>1009</v>
      </c>
      <c r="V1591" s="1" t="s">
        <v>1289</v>
      </c>
      <c r="W1591">
        <v>8145.9174800000001</v>
      </c>
      <c r="X1591">
        <v>0</v>
      </c>
      <c r="Y1591">
        <v>77443</v>
      </c>
    </row>
    <row r="1592" spans="1:25" ht="15" hidden="1" customHeight="1" x14ac:dyDescent="0.25">
      <c r="A1592" s="1" t="s">
        <v>30</v>
      </c>
      <c r="B1592" s="1"/>
      <c r="C1592" s="1" t="s">
        <v>153</v>
      </c>
      <c r="D1592">
        <v>10213</v>
      </c>
      <c r="E1592" s="1"/>
      <c r="F1592" s="1" t="s">
        <v>376</v>
      </c>
      <c r="G1592" s="1" t="s">
        <v>153</v>
      </c>
      <c r="H1592" s="1" t="s">
        <v>1405</v>
      </c>
      <c r="I1592">
        <v>2008</v>
      </c>
      <c r="J1592" s="93">
        <v>9414.6</v>
      </c>
      <c r="K1592">
        <v>13</v>
      </c>
      <c r="L1592" s="1" t="s">
        <v>523</v>
      </c>
      <c r="M1592">
        <v>0</v>
      </c>
      <c r="N1592">
        <v>0</v>
      </c>
      <c r="O1592">
        <v>94146</v>
      </c>
      <c r="P1592">
        <v>2</v>
      </c>
      <c r="Q1592" s="1" t="s">
        <v>569</v>
      </c>
      <c r="R1592" s="93">
        <v>9414.6</v>
      </c>
      <c r="S1592">
        <v>4415.43</v>
      </c>
      <c r="T1592">
        <v>0</v>
      </c>
      <c r="U1592" s="1" t="s">
        <v>1009</v>
      </c>
      <c r="V1592" s="1" t="s">
        <v>1289</v>
      </c>
      <c r="W1592">
        <v>9414.6036899999999</v>
      </c>
      <c r="X1592">
        <v>0</v>
      </c>
      <c r="Y1592">
        <v>77443</v>
      </c>
    </row>
    <row r="1593" spans="1:25" ht="15" hidden="1" customHeight="1" x14ac:dyDescent="0.25">
      <c r="A1593" s="1" t="s">
        <v>30</v>
      </c>
      <c r="B1593" s="1"/>
      <c r="C1593" s="1" t="s">
        <v>151</v>
      </c>
      <c r="D1593">
        <v>10236</v>
      </c>
      <c r="E1593" s="1"/>
      <c r="F1593" s="1" t="s">
        <v>284</v>
      </c>
      <c r="G1593" s="1" t="s">
        <v>151</v>
      </c>
      <c r="H1593" s="1" t="s">
        <v>1405</v>
      </c>
      <c r="I1593">
        <v>2015</v>
      </c>
      <c r="J1593" s="93">
        <v>23923</v>
      </c>
      <c r="K1593">
        <v>5</v>
      </c>
      <c r="L1593" s="1" t="s">
        <v>522</v>
      </c>
      <c r="M1593">
        <v>0</v>
      </c>
      <c r="N1593">
        <v>696</v>
      </c>
      <c r="O1593">
        <v>15.848067</v>
      </c>
      <c r="P1593">
        <v>2</v>
      </c>
      <c r="Q1593" s="1" t="s">
        <v>569</v>
      </c>
      <c r="R1593" s="93">
        <v>11031.84</v>
      </c>
      <c r="S1593">
        <v>3309.55</v>
      </c>
      <c r="T1593">
        <v>0</v>
      </c>
      <c r="U1593" s="1" t="s">
        <v>1005</v>
      </c>
      <c r="V1593" s="1" t="s">
        <v>1286</v>
      </c>
      <c r="W1593">
        <v>11031.837</v>
      </c>
      <c r="X1593">
        <v>0</v>
      </c>
      <c r="Y1593">
        <v>77524</v>
      </c>
    </row>
    <row r="1594" spans="1:25" ht="15" hidden="1" customHeight="1" x14ac:dyDescent="0.25">
      <c r="A1594" s="1" t="s">
        <v>30</v>
      </c>
      <c r="B1594" s="1" t="s">
        <v>65</v>
      </c>
      <c r="C1594" s="1" t="s">
        <v>152</v>
      </c>
      <c r="D1594">
        <v>5273</v>
      </c>
      <c r="E1594" s="1"/>
      <c r="F1594" s="1" t="s">
        <v>285</v>
      </c>
      <c r="G1594" s="1" t="s">
        <v>152</v>
      </c>
      <c r="H1594" s="1" t="s">
        <v>1405</v>
      </c>
      <c r="I1594">
        <v>2015</v>
      </c>
      <c r="J1594" s="93">
        <v>9689</v>
      </c>
      <c r="K1594">
        <v>5</v>
      </c>
      <c r="L1594" s="1" t="s">
        <v>399</v>
      </c>
      <c r="M1594">
        <v>0</v>
      </c>
      <c r="N1594">
        <v>457</v>
      </c>
      <c r="O1594">
        <v>9.8276520000000005</v>
      </c>
      <c r="P1594">
        <v>2</v>
      </c>
      <c r="Q1594" s="1" t="s">
        <v>569</v>
      </c>
      <c r="R1594" s="93">
        <v>4492.22</v>
      </c>
      <c r="S1594">
        <v>1796.88</v>
      </c>
      <c r="T1594">
        <v>0</v>
      </c>
      <c r="U1594" s="1" t="s">
        <v>1006</v>
      </c>
      <c r="V1594" s="1" t="s">
        <v>1287</v>
      </c>
      <c r="W1594">
        <v>4492.21</v>
      </c>
      <c r="X1594">
        <v>0</v>
      </c>
      <c r="Y1594">
        <v>56843</v>
      </c>
    </row>
    <row r="1595" spans="1:25" ht="15" hidden="1" customHeight="1" x14ac:dyDescent="0.25">
      <c r="A1595" s="1" t="s">
        <v>30</v>
      </c>
      <c r="B1595" s="1" t="s">
        <v>53</v>
      </c>
      <c r="C1595" s="1" t="s">
        <v>154</v>
      </c>
      <c r="D1595">
        <v>5250</v>
      </c>
      <c r="E1595" s="1"/>
      <c r="F1595" s="1" t="s">
        <v>286</v>
      </c>
      <c r="G1595" s="1" t="s">
        <v>154</v>
      </c>
      <c r="H1595" s="1" t="s">
        <v>1405</v>
      </c>
      <c r="I1595">
        <v>2012</v>
      </c>
      <c r="J1595" s="93">
        <v>15146</v>
      </c>
      <c r="K1595">
        <v>12</v>
      </c>
      <c r="L1595" s="1" t="s">
        <v>402</v>
      </c>
      <c r="M1595">
        <v>0</v>
      </c>
      <c r="N1595">
        <v>417</v>
      </c>
      <c r="O1595">
        <v>36.312634000000003</v>
      </c>
      <c r="P1595">
        <v>2</v>
      </c>
      <c r="Q1595" s="1" t="s">
        <v>569</v>
      </c>
      <c r="R1595" s="93">
        <v>15146</v>
      </c>
      <c r="S1595">
        <v>6058.38</v>
      </c>
      <c r="T1595">
        <v>0</v>
      </c>
      <c r="U1595" s="1" t="s">
        <v>1010</v>
      </c>
      <c r="V1595" s="1" t="s">
        <v>1290</v>
      </c>
      <c r="W1595">
        <v>15145.989799999999</v>
      </c>
      <c r="X1595">
        <v>0</v>
      </c>
      <c r="Y1595">
        <v>56671</v>
      </c>
    </row>
    <row r="1596" spans="1:25" ht="15" hidden="1" customHeight="1" x14ac:dyDescent="0.25">
      <c r="A1596" s="1" t="s">
        <v>30</v>
      </c>
      <c r="B1596" s="1" t="s">
        <v>53</v>
      </c>
      <c r="C1596" s="1" t="s">
        <v>154</v>
      </c>
      <c r="D1596">
        <v>5250</v>
      </c>
      <c r="E1596" s="1"/>
      <c r="F1596" s="1" t="s">
        <v>286</v>
      </c>
      <c r="G1596" s="1" t="s">
        <v>154</v>
      </c>
      <c r="H1596" s="1" t="s">
        <v>1405</v>
      </c>
      <c r="I1596">
        <v>2011</v>
      </c>
      <c r="J1596" s="93">
        <v>14241.54</v>
      </c>
      <c r="K1596">
        <v>12</v>
      </c>
      <c r="L1596" s="1" t="s">
        <v>402</v>
      </c>
      <c r="M1596">
        <v>0</v>
      </c>
      <c r="N1596">
        <v>417</v>
      </c>
      <c r="O1596">
        <v>34.144185999999998</v>
      </c>
      <c r="P1596">
        <v>2</v>
      </c>
      <c r="Q1596" s="1" t="s">
        <v>569</v>
      </c>
      <c r="R1596" s="93">
        <v>14241.54</v>
      </c>
      <c r="S1596">
        <v>6679.29</v>
      </c>
      <c r="T1596">
        <v>0</v>
      </c>
      <c r="U1596" s="1" t="s">
        <v>1010</v>
      </c>
      <c r="V1596" s="1" t="s">
        <v>1290</v>
      </c>
      <c r="W1596">
        <v>14241.542299999999</v>
      </c>
      <c r="X1596">
        <v>0</v>
      </c>
      <c r="Y1596">
        <v>56671</v>
      </c>
    </row>
    <row r="1597" spans="1:25" ht="15" hidden="1" customHeight="1" x14ac:dyDescent="0.25">
      <c r="A1597" s="1" t="s">
        <v>30</v>
      </c>
      <c r="B1597" s="1" t="s">
        <v>53</v>
      </c>
      <c r="C1597" s="1" t="s">
        <v>154</v>
      </c>
      <c r="D1597">
        <v>5250</v>
      </c>
      <c r="E1597" s="1"/>
      <c r="F1597" s="1" t="s">
        <v>286</v>
      </c>
      <c r="G1597" s="1" t="s">
        <v>154</v>
      </c>
      <c r="H1597" s="1" t="s">
        <v>1405</v>
      </c>
      <c r="I1597">
        <v>2010</v>
      </c>
      <c r="J1597" s="93">
        <v>16896.240000000002</v>
      </c>
      <c r="K1597">
        <v>12</v>
      </c>
      <c r="L1597" s="1" t="s">
        <v>402</v>
      </c>
      <c r="M1597">
        <v>0</v>
      </c>
      <c r="N1597">
        <v>417</v>
      </c>
      <c r="O1597">
        <v>40.508845999999998</v>
      </c>
      <c r="P1597">
        <v>2</v>
      </c>
      <c r="Q1597" s="1" t="s">
        <v>569</v>
      </c>
      <c r="R1597" s="93">
        <v>16896.240000000002</v>
      </c>
      <c r="S1597">
        <v>7924.35</v>
      </c>
      <c r="T1597">
        <v>0</v>
      </c>
      <c r="U1597" s="1" t="s">
        <v>1010</v>
      </c>
      <c r="V1597" s="1" t="s">
        <v>1290</v>
      </c>
      <c r="W1597">
        <v>16896.249199999998</v>
      </c>
      <c r="X1597">
        <v>0</v>
      </c>
      <c r="Y1597">
        <v>56671</v>
      </c>
    </row>
    <row r="1598" spans="1:25" ht="15" hidden="1" customHeight="1" x14ac:dyDescent="0.25">
      <c r="A1598" s="1" t="s">
        <v>30</v>
      </c>
      <c r="B1598" s="1" t="s">
        <v>53</v>
      </c>
      <c r="C1598" s="1" t="s">
        <v>154</v>
      </c>
      <c r="D1598">
        <v>5250</v>
      </c>
      <c r="E1598" s="1"/>
      <c r="F1598" s="1" t="s">
        <v>286</v>
      </c>
      <c r="G1598" s="1" t="s">
        <v>154</v>
      </c>
      <c r="H1598" s="1" t="s">
        <v>1405</v>
      </c>
      <c r="I1598">
        <v>2009</v>
      </c>
      <c r="J1598" s="93">
        <v>16171.33</v>
      </c>
      <c r="K1598">
        <v>12</v>
      </c>
      <c r="L1598" s="1" t="s">
        <v>402</v>
      </c>
      <c r="M1598">
        <v>0</v>
      </c>
      <c r="N1598">
        <v>417</v>
      </c>
      <c r="O1598">
        <v>38.770870000000002</v>
      </c>
      <c r="P1598">
        <v>2</v>
      </c>
      <c r="Q1598" s="1" t="s">
        <v>569</v>
      </c>
      <c r="R1598" s="93">
        <v>16171.33</v>
      </c>
      <c r="S1598">
        <v>7584.34</v>
      </c>
      <c r="T1598">
        <v>0</v>
      </c>
      <c r="U1598" s="1" t="s">
        <v>1010</v>
      </c>
      <c r="V1598" s="1" t="s">
        <v>1290</v>
      </c>
      <c r="W1598">
        <v>16171.308000000001</v>
      </c>
      <c r="X1598">
        <v>0</v>
      </c>
      <c r="Y1598">
        <v>56671</v>
      </c>
    </row>
    <row r="1599" spans="1:25" ht="15" hidden="1" customHeight="1" x14ac:dyDescent="0.25">
      <c r="A1599" s="1" t="s">
        <v>30</v>
      </c>
      <c r="B1599" s="1" t="s">
        <v>53</v>
      </c>
      <c r="C1599" s="1" t="s">
        <v>154</v>
      </c>
      <c r="D1599">
        <v>5250</v>
      </c>
      <c r="E1599" s="1"/>
      <c r="F1599" s="1" t="s">
        <v>286</v>
      </c>
      <c r="G1599" s="1" t="s">
        <v>154</v>
      </c>
      <c r="H1599" s="1" t="s">
        <v>1405</v>
      </c>
      <c r="I1599">
        <v>2008</v>
      </c>
      <c r="J1599" s="93">
        <v>16681.11</v>
      </c>
      <c r="K1599">
        <v>12</v>
      </c>
      <c r="L1599" s="1" t="s">
        <v>402</v>
      </c>
      <c r="M1599">
        <v>0</v>
      </c>
      <c r="N1599">
        <v>417</v>
      </c>
      <c r="O1599">
        <v>39.993071</v>
      </c>
      <c r="P1599">
        <v>2</v>
      </c>
      <c r="Q1599" s="1" t="s">
        <v>569</v>
      </c>
      <c r="R1599" s="93">
        <v>16681.11</v>
      </c>
      <c r="S1599">
        <v>7823.44</v>
      </c>
      <c r="T1599">
        <v>0</v>
      </c>
      <c r="U1599" s="1" t="s">
        <v>1010</v>
      </c>
      <c r="V1599" s="1" t="s">
        <v>1290</v>
      </c>
      <c r="W1599">
        <v>16681.108</v>
      </c>
      <c r="X1599">
        <v>0</v>
      </c>
      <c r="Y1599">
        <v>56671</v>
      </c>
    </row>
    <row r="1600" spans="1:25" ht="15" hidden="1" customHeight="1" x14ac:dyDescent="0.25">
      <c r="A1600" s="1" t="s">
        <v>30</v>
      </c>
      <c r="B1600" s="1"/>
      <c r="C1600" s="1" t="s">
        <v>153</v>
      </c>
      <c r="D1600">
        <v>10214</v>
      </c>
      <c r="E1600" s="1"/>
      <c r="F1600" s="1" t="s">
        <v>375</v>
      </c>
      <c r="G1600" s="1" t="s">
        <v>153</v>
      </c>
      <c r="H1600" s="1" t="s">
        <v>1405</v>
      </c>
      <c r="I1600">
        <v>2015</v>
      </c>
      <c r="J1600" s="93">
        <v>20817</v>
      </c>
      <c r="K1600">
        <v>5</v>
      </c>
      <c r="L1600" s="1"/>
      <c r="M1600">
        <v>0</v>
      </c>
      <c r="N1600">
        <v>0</v>
      </c>
      <c r="O1600">
        <v>96231</v>
      </c>
      <c r="P1600">
        <v>2</v>
      </c>
      <c r="Q1600" s="1" t="s">
        <v>569</v>
      </c>
      <c r="R1600" s="93">
        <v>9623.1</v>
      </c>
      <c r="S1600">
        <v>2886.93</v>
      </c>
      <c r="T1600">
        <v>0</v>
      </c>
      <c r="U1600" s="1" t="s">
        <v>1007</v>
      </c>
      <c r="V1600" s="1" t="s">
        <v>1288</v>
      </c>
      <c r="W1600">
        <v>9623.0949999999993</v>
      </c>
      <c r="X1600">
        <v>0</v>
      </c>
      <c r="Y1600">
        <v>90759</v>
      </c>
    </row>
    <row r="1601" spans="1:25" ht="15" hidden="1" customHeight="1" x14ac:dyDescent="0.25">
      <c r="A1601" s="1" t="s">
        <v>30</v>
      </c>
      <c r="B1601" s="1"/>
      <c r="C1601" s="1" t="s">
        <v>153</v>
      </c>
      <c r="D1601">
        <v>10213</v>
      </c>
      <c r="E1601" s="1"/>
      <c r="F1601" s="1" t="s">
        <v>376</v>
      </c>
      <c r="G1601" s="1" t="s">
        <v>153</v>
      </c>
      <c r="H1601" s="1" t="s">
        <v>1405</v>
      </c>
      <c r="I1601">
        <v>2015</v>
      </c>
      <c r="J1601" s="93">
        <v>4602</v>
      </c>
      <c r="K1601">
        <v>5</v>
      </c>
      <c r="L1601" s="1" t="s">
        <v>523</v>
      </c>
      <c r="M1601">
        <v>0</v>
      </c>
      <c r="N1601">
        <v>0</v>
      </c>
      <c r="O1601">
        <v>18276.900000000001</v>
      </c>
      <c r="P1601">
        <v>2</v>
      </c>
      <c r="Q1601" s="1" t="s">
        <v>569</v>
      </c>
      <c r="R1601" s="93">
        <v>1827.69</v>
      </c>
      <c r="S1601">
        <v>548.30999999999995</v>
      </c>
      <c r="T1601">
        <v>0</v>
      </c>
      <c r="U1601" s="1" t="s">
        <v>1009</v>
      </c>
      <c r="V1601" s="1" t="s">
        <v>1289</v>
      </c>
      <c r="W1601">
        <v>1827.69</v>
      </c>
      <c r="X1601">
        <v>0</v>
      </c>
      <c r="Y1601">
        <v>77443</v>
      </c>
    </row>
    <row r="1602" spans="1:25" ht="15" hidden="1" customHeight="1" x14ac:dyDescent="0.25">
      <c r="A1602" s="1" t="s">
        <v>30</v>
      </c>
      <c r="B1602" s="1"/>
      <c r="C1602" s="1" t="s">
        <v>155</v>
      </c>
      <c r="D1602">
        <v>5941</v>
      </c>
      <c r="E1602" s="1"/>
      <c r="F1602" s="1" t="s">
        <v>155</v>
      </c>
      <c r="G1602" s="1" t="s">
        <v>155</v>
      </c>
      <c r="H1602" s="1" t="s">
        <v>1405</v>
      </c>
      <c r="I1602">
        <v>2012</v>
      </c>
      <c r="J1602" s="93">
        <v>49275</v>
      </c>
      <c r="K1602">
        <v>12</v>
      </c>
      <c r="L1602" s="1" t="s">
        <v>399</v>
      </c>
      <c r="M1602">
        <v>0</v>
      </c>
      <c r="N1602">
        <v>550</v>
      </c>
      <c r="O1602">
        <v>89.574622000000005</v>
      </c>
      <c r="P1602">
        <v>2</v>
      </c>
      <c r="Q1602" s="1" t="s">
        <v>569</v>
      </c>
      <c r="R1602" s="93">
        <v>49275</v>
      </c>
      <c r="S1602">
        <v>19710</v>
      </c>
      <c r="T1602">
        <v>0</v>
      </c>
      <c r="U1602" s="1" t="s">
        <v>1011</v>
      </c>
      <c r="V1602" s="1"/>
      <c r="W1602">
        <v>49275</v>
      </c>
      <c r="X1602">
        <v>0</v>
      </c>
      <c r="Y1602">
        <v>59939</v>
      </c>
    </row>
    <row r="1603" spans="1:25" ht="15" hidden="1" customHeight="1" x14ac:dyDescent="0.25">
      <c r="A1603" s="1" t="s">
        <v>30</v>
      </c>
      <c r="B1603" s="1"/>
      <c r="C1603" s="1" t="s">
        <v>155</v>
      </c>
      <c r="D1603">
        <v>5941</v>
      </c>
      <c r="E1603" s="1"/>
      <c r="F1603" s="1" t="s">
        <v>155</v>
      </c>
      <c r="G1603" s="1" t="s">
        <v>155</v>
      </c>
      <c r="H1603" s="1" t="s">
        <v>1405</v>
      </c>
      <c r="I1603">
        <v>2011</v>
      </c>
      <c r="J1603" s="93">
        <v>53783.32</v>
      </c>
      <c r="K1603">
        <v>7</v>
      </c>
      <c r="L1603" s="1" t="s">
        <v>399</v>
      </c>
      <c r="M1603">
        <v>0</v>
      </c>
      <c r="N1603">
        <v>550</v>
      </c>
      <c r="O1603">
        <v>97.770077999999998</v>
      </c>
      <c r="P1603">
        <v>2</v>
      </c>
      <c r="Q1603" s="1" t="s">
        <v>569</v>
      </c>
      <c r="R1603" s="93">
        <v>53783.32</v>
      </c>
      <c r="S1603">
        <v>25224.38</v>
      </c>
      <c r="T1603">
        <v>0</v>
      </c>
      <c r="U1603" s="1" t="s">
        <v>1011</v>
      </c>
      <c r="V1603" s="1"/>
      <c r="W1603">
        <v>53783.333330000001</v>
      </c>
      <c r="X1603">
        <v>0</v>
      </c>
      <c r="Y1603">
        <v>59939</v>
      </c>
    </row>
    <row r="1604" spans="1:25" ht="15" hidden="1" customHeight="1" x14ac:dyDescent="0.25">
      <c r="A1604" s="1" t="s">
        <v>30</v>
      </c>
      <c r="B1604" s="1"/>
      <c r="C1604" s="1" t="s">
        <v>155</v>
      </c>
      <c r="D1604">
        <v>5941</v>
      </c>
      <c r="E1604" s="1"/>
      <c r="F1604" s="1" t="s">
        <v>155</v>
      </c>
      <c r="G1604" s="1" t="s">
        <v>155</v>
      </c>
      <c r="H1604" s="1" t="s">
        <v>1405</v>
      </c>
      <c r="I1604">
        <v>2010</v>
      </c>
      <c r="J1604" s="93">
        <v>67173.23</v>
      </c>
      <c r="K1604">
        <v>4</v>
      </c>
      <c r="L1604" s="1" t="s">
        <v>399</v>
      </c>
      <c r="M1604">
        <v>0</v>
      </c>
      <c r="N1604">
        <v>550</v>
      </c>
      <c r="O1604">
        <v>122.11094300000001</v>
      </c>
      <c r="P1604">
        <v>2</v>
      </c>
      <c r="Q1604" s="1" t="s">
        <v>569</v>
      </c>
      <c r="R1604" s="93">
        <v>67173.23</v>
      </c>
      <c r="S1604">
        <v>31504.28</v>
      </c>
      <c r="T1604">
        <v>0</v>
      </c>
      <c r="U1604" s="1" t="s">
        <v>1011</v>
      </c>
      <c r="V1604" s="1"/>
      <c r="W1604">
        <v>67173.24037</v>
      </c>
      <c r="X1604">
        <v>0</v>
      </c>
      <c r="Y1604">
        <v>59939</v>
      </c>
    </row>
    <row r="1605" spans="1:25" ht="15" hidden="1" customHeight="1" x14ac:dyDescent="0.25">
      <c r="A1605" s="1" t="s">
        <v>30</v>
      </c>
      <c r="B1605" s="1"/>
      <c r="C1605" s="1" t="s">
        <v>155</v>
      </c>
      <c r="D1605">
        <v>5941</v>
      </c>
      <c r="E1605" s="1"/>
      <c r="F1605" s="1" t="s">
        <v>155</v>
      </c>
      <c r="G1605" s="1" t="s">
        <v>155</v>
      </c>
      <c r="H1605" s="1" t="s">
        <v>1405</v>
      </c>
      <c r="I1605">
        <v>2009</v>
      </c>
      <c r="J1605" s="93">
        <v>80884.58</v>
      </c>
      <c r="K1605">
        <v>1</v>
      </c>
      <c r="L1605" s="1" t="s">
        <v>399</v>
      </c>
      <c r="M1605">
        <v>0</v>
      </c>
      <c r="N1605">
        <v>550</v>
      </c>
      <c r="O1605">
        <v>147.03613799999999</v>
      </c>
      <c r="P1605">
        <v>2</v>
      </c>
      <c r="Q1605" s="1" t="s">
        <v>569</v>
      </c>
      <c r="R1605" s="93">
        <v>80884.58</v>
      </c>
      <c r="S1605">
        <v>37934.910000000003</v>
      </c>
      <c r="T1605">
        <v>0</v>
      </c>
      <c r="U1605" s="1" t="s">
        <v>1011</v>
      </c>
      <c r="V1605" s="1"/>
      <c r="W1605">
        <v>80884.602769999998</v>
      </c>
      <c r="X1605">
        <v>0</v>
      </c>
      <c r="Y1605">
        <v>59939</v>
      </c>
    </row>
    <row r="1606" spans="1:25" ht="15" hidden="1" customHeight="1" x14ac:dyDescent="0.25">
      <c r="A1606" s="1" t="s">
        <v>30</v>
      </c>
      <c r="B1606" s="1"/>
      <c r="C1606" s="1" t="s">
        <v>155</v>
      </c>
      <c r="D1606">
        <v>5941</v>
      </c>
      <c r="E1606" s="1"/>
      <c r="F1606" s="1" t="s">
        <v>155</v>
      </c>
      <c r="G1606" s="1" t="s">
        <v>155</v>
      </c>
      <c r="H1606" s="1" t="s">
        <v>1405</v>
      </c>
      <c r="I1606">
        <v>2008</v>
      </c>
      <c r="J1606" s="93">
        <v>54312.92</v>
      </c>
      <c r="K1606">
        <v>7</v>
      </c>
      <c r="L1606" s="1" t="s">
        <v>399</v>
      </c>
      <c r="M1606">
        <v>0</v>
      </c>
      <c r="N1606">
        <v>550</v>
      </c>
      <c r="O1606">
        <v>98.732811999999996</v>
      </c>
      <c r="P1606">
        <v>2</v>
      </c>
      <c r="Q1606" s="1" t="s">
        <v>569</v>
      </c>
      <c r="R1606" s="93">
        <v>54312.92</v>
      </c>
      <c r="S1606">
        <v>25472.75</v>
      </c>
      <c r="T1606">
        <v>0</v>
      </c>
      <c r="U1606" s="1" t="s">
        <v>1011</v>
      </c>
      <c r="V1606" s="1"/>
      <c r="W1606">
        <v>54312.905169999998</v>
      </c>
      <c r="X1606">
        <v>0</v>
      </c>
      <c r="Y1606">
        <v>59939</v>
      </c>
    </row>
    <row r="1607" spans="1:25" ht="15" hidden="1" customHeight="1" x14ac:dyDescent="0.25">
      <c r="A1607" s="1" t="s">
        <v>30</v>
      </c>
      <c r="B1607" s="1" t="s">
        <v>53</v>
      </c>
      <c r="C1607" s="1" t="s">
        <v>154</v>
      </c>
      <c r="D1607">
        <v>5250</v>
      </c>
      <c r="E1607" s="1"/>
      <c r="F1607" s="1" t="s">
        <v>286</v>
      </c>
      <c r="G1607" s="1" t="s">
        <v>154</v>
      </c>
      <c r="H1607" s="1" t="s">
        <v>1396</v>
      </c>
      <c r="I1607">
        <v>2014</v>
      </c>
      <c r="J1607" s="93">
        <v>37876.83</v>
      </c>
      <c r="K1607">
        <v>12</v>
      </c>
      <c r="L1607" s="1"/>
      <c r="M1607">
        <v>0</v>
      </c>
      <c r="N1607">
        <v>417</v>
      </c>
      <c r="O1607">
        <v>90.809949000000003</v>
      </c>
      <c r="P1607">
        <v>1</v>
      </c>
      <c r="Q1607" s="1" t="s">
        <v>563</v>
      </c>
      <c r="R1607" s="93">
        <v>44589.83</v>
      </c>
      <c r="S1607">
        <v>94311.62</v>
      </c>
      <c r="T1607">
        <v>1</v>
      </c>
      <c r="U1607" s="1" t="s">
        <v>804</v>
      </c>
      <c r="V1607" s="1"/>
      <c r="W1607">
        <v>1085.6067</v>
      </c>
      <c r="X1607">
        <v>0</v>
      </c>
      <c r="Y1607">
        <v>57006</v>
      </c>
    </row>
    <row r="1608" spans="1:25" ht="15" hidden="1" customHeight="1" x14ac:dyDescent="0.25">
      <c r="A1608" s="1" t="s">
        <v>30</v>
      </c>
      <c r="B1608" s="1" t="s">
        <v>53</v>
      </c>
      <c r="C1608" s="1" t="s">
        <v>154</v>
      </c>
      <c r="D1608">
        <v>5250</v>
      </c>
      <c r="E1608" s="1"/>
      <c r="F1608" s="1" t="s">
        <v>286</v>
      </c>
      <c r="G1608" s="1" t="s">
        <v>154</v>
      </c>
      <c r="H1608" s="1" t="s">
        <v>1405</v>
      </c>
      <c r="I1608">
        <v>2014</v>
      </c>
      <c r="J1608" s="93">
        <v>197.56</v>
      </c>
      <c r="K1608">
        <v>12</v>
      </c>
      <c r="L1608" s="1" t="s">
        <v>404</v>
      </c>
      <c r="M1608">
        <v>0</v>
      </c>
      <c r="N1608">
        <v>417</v>
      </c>
      <c r="O1608">
        <v>0.47365099999999999</v>
      </c>
      <c r="P1608">
        <v>3</v>
      </c>
      <c r="Q1608" s="1" t="s">
        <v>560</v>
      </c>
      <c r="R1608" s="93">
        <v>197.56</v>
      </c>
      <c r="S1608">
        <v>158.06</v>
      </c>
      <c r="T1608">
        <v>0</v>
      </c>
      <c r="U1608" s="1" t="s">
        <v>626</v>
      </c>
      <c r="V1608" s="1"/>
      <c r="W1608">
        <v>197.56899999999999</v>
      </c>
      <c r="X1608">
        <v>0</v>
      </c>
      <c r="Y1608">
        <v>57497</v>
      </c>
    </row>
    <row r="1609" spans="1:25" ht="15" hidden="1" customHeight="1" x14ac:dyDescent="0.25">
      <c r="A1609" s="1" t="s">
        <v>30</v>
      </c>
      <c r="B1609" s="1" t="s">
        <v>53</v>
      </c>
      <c r="C1609" s="1" t="s">
        <v>154</v>
      </c>
      <c r="D1609">
        <v>5250</v>
      </c>
      <c r="E1609" s="1"/>
      <c r="F1609" s="1" t="s">
        <v>286</v>
      </c>
      <c r="G1609" s="1" t="s">
        <v>154</v>
      </c>
      <c r="H1609" s="1" t="s">
        <v>1405</v>
      </c>
      <c r="I1609">
        <v>2014</v>
      </c>
      <c r="J1609" s="93">
        <v>35648.660000000003</v>
      </c>
      <c r="K1609">
        <v>12</v>
      </c>
      <c r="L1609" s="1" t="s">
        <v>469</v>
      </c>
      <c r="M1609">
        <v>0</v>
      </c>
      <c r="N1609">
        <v>417</v>
      </c>
      <c r="O1609">
        <v>85.467896999999994</v>
      </c>
      <c r="P1609">
        <v>1</v>
      </c>
      <c r="Q1609" s="1" t="s">
        <v>562</v>
      </c>
      <c r="R1609" s="93">
        <v>42423.57</v>
      </c>
      <c r="S1609">
        <v>2909822.74</v>
      </c>
      <c r="T1609">
        <v>0</v>
      </c>
      <c r="U1609" s="1" t="s">
        <v>804</v>
      </c>
      <c r="V1609" s="1"/>
      <c r="W1609">
        <v>35648.665999999997</v>
      </c>
      <c r="X1609">
        <v>0</v>
      </c>
      <c r="Y1609">
        <v>56672</v>
      </c>
    </row>
    <row r="1610" spans="1:25" ht="15" hidden="1" customHeight="1" x14ac:dyDescent="0.25">
      <c r="A1610" s="1" t="s">
        <v>30</v>
      </c>
      <c r="B1610" s="1" t="s">
        <v>53</v>
      </c>
      <c r="C1610" s="1" t="s">
        <v>154</v>
      </c>
      <c r="D1610">
        <v>5250</v>
      </c>
      <c r="E1610" s="1"/>
      <c r="F1610" s="1" t="s">
        <v>286</v>
      </c>
      <c r="G1610" s="1" t="s">
        <v>154</v>
      </c>
      <c r="H1610" s="1" t="s">
        <v>1405</v>
      </c>
      <c r="I1610">
        <v>2015</v>
      </c>
      <c r="J1610" s="93">
        <v>9687</v>
      </c>
      <c r="K1610">
        <v>5</v>
      </c>
      <c r="L1610" s="1" t="s">
        <v>402</v>
      </c>
      <c r="M1610">
        <v>0</v>
      </c>
      <c r="N1610">
        <v>417</v>
      </c>
      <c r="O1610">
        <v>10.713234</v>
      </c>
      <c r="P1610">
        <v>2</v>
      </c>
      <c r="Q1610" s="1" t="s">
        <v>569</v>
      </c>
      <c r="R1610" s="93">
        <v>4468.49</v>
      </c>
      <c r="S1610">
        <v>1787.4</v>
      </c>
      <c r="T1610">
        <v>0</v>
      </c>
      <c r="U1610" s="1" t="s">
        <v>1010</v>
      </c>
      <c r="V1610" s="1" t="s">
        <v>1290</v>
      </c>
      <c r="W1610">
        <v>4468.4895999999999</v>
      </c>
      <c r="X1610">
        <v>0</v>
      </c>
      <c r="Y1610">
        <v>56671</v>
      </c>
    </row>
    <row r="1611" spans="1:25" ht="15" hidden="1" customHeight="1" x14ac:dyDescent="0.25">
      <c r="A1611" s="1" t="s">
        <v>30</v>
      </c>
      <c r="B1611" s="1"/>
      <c r="C1611" s="1" t="s">
        <v>155</v>
      </c>
      <c r="D1611">
        <v>5941</v>
      </c>
      <c r="E1611" s="1"/>
      <c r="F1611" s="1" t="s">
        <v>155</v>
      </c>
      <c r="G1611" s="1" t="s">
        <v>155</v>
      </c>
      <c r="H1611" s="1" t="s">
        <v>1405</v>
      </c>
      <c r="I1611">
        <v>2014</v>
      </c>
      <c r="J1611" s="93">
        <v>60.31</v>
      </c>
      <c r="K1611">
        <v>12</v>
      </c>
      <c r="L1611" s="1" t="s">
        <v>411</v>
      </c>
      <c r="M1611">
        <v>0</v>
      </c>
      <c r="N1611">
        <v>550</v>
      </c>
      <c r="O1611">
        <v>0.109634</v>
      </c>
      <c r="P1611">
        <v>3</v>
      </c>
      <c r="Q1611" s="1" t="s">
        <v>560</v>
      </c>
      <c r="R1611" s="93">
        <v>60.31</v>
      </c>
      <c r="S1611">
        <v>48.24</v>
      </c>
      <c r="T1611">
        <v>0</v>
      </c>
      <c r="U1611" s="1" t="s">
        <v>627</v>
      </c>
      <c r="V1611" s="1"/>
      <c r="W1611">
        <v>60.316000000000003</v>
      </c>
      <c r="X1611">
        <v>0</v>
      </c>
      <c r="Y1611">
        <v>59941</v>
      </c>
    </row>
    <row r="1612" spans="1:25" ht="15" hidden="1" customHeight="1" x14ac:dyDescent="0.25">
      <c r="A1612" s="1" t="s">
        <v>30</v>
      </c>
      <c r="B1612" s="1"/>
      <c r="C1612" s="1" t="s">
        <v>155</v>
      </c>
      <c r="D1612">
        <v>5941</v>
      </c>
      <c r="E1612" s="1"/>
      <c r="F1612" s="1" t="s">
        <v>155</v>
      </c>
      <c r="G1612" s="1" t="s">
        <v>155</v>
      </c>
      <c r="H1612" s="1" t="s">
        <v>1405</v>
      </c>
      <c r="I1612">
        <v>2015</v>
      </c>
      <c r="J1612" s="93">
        <v>47485</v>
      </c>
      <c r="K1612">
        <v>5</v>
      </c>
      <c r="L1612" s="1" t="s">
        <v>399</v>
      </c>
      <c r="M1612">
        <v>0</v>
      </c>
      <c r="N1612">
        <v>550</v>
      </c>
      <c r="O1612">
        <v>46.424467999999997</v>
      </c>
      <c r="P1612">
        <v>2</v>
      </c>
      <c r="Q1612" s="1" t="s">
        <v>569</v>
      </c>
      <c r="R1612" s="93">
        <v>25538.1</v>
      </c>
      <c r="S1612">
        <v>10215.24</v>
      </c>
      <c r="T1612">
        <v>0</v>
      </c>
      <c r="U1612" s="1" t="s">
        <v>1011</v>
      </c>
      <c r="V1612" s="1"/>
      <c r="W1612">
        <v>25538.1</v>
      </c>
      <c r="X1612">
        <v>0</v>
      </c>
      <c r="Y1612">
        <v>59939</v>
      </c>
    </row>
    <row r="1613" spans="1:25" ht="15" hidden="1" customHeight="1" x14ac:dyDescent="0.25">
      <c r="A1613" s="1" t="s">
        <v>31</v>
      </c>
      <c r="B1613" s="1" t="s">
        <v>66</v>
      </c>
      <c r="C1613" s="1" t="s">
        <v>156</v>
      </c>
      <c r="D1613">
        <v>5467</v>
      </c>
      <c r="E1613" s="1"/>
      <c r="F1613" s="1" t="s">
        <v>287</v>
      </c>
      <c r="G1613" s="1" t="s">
        <v>156</v>
      </c>
      <c r="H1613" s="1" t="s">
        <v>1405</v>
      </c>
      <c r="I1613">
        <v>2015</v>
      </c>
      <c r="J1613" s="93">
        <v>1631</v>
      </c>
      <c r="K1613">
        <v>5</v>
      </c>
      <c r="L1613" s="1" t="s">
        <v>429</v>
      </c>
      <c r="M1613">
        <v>0</v>
      </c>
      <c r="N1613">
        <v>6415</v>
      </c>
      <c r="O1613">
        <v>0.12545999999999999</v>
      </c>
      <c r="P1613">
        <v>3</v>
      </c>
      <c r="Q1613" s="1" t="s">
        <v>560</v>
      </c>
      <c r="R1613" s="93">
        <v>804.84</v>
      </c>
      <c r="S1613">
        <v>643.87</v>
      </c>
      <c r="T1613">
        <v>0</v>
      </c>
      <c r="U1613" s="1" t="s">
        <v>628</v>
      </c>
      <c r="V1613" s="1"/>
      <c r="W1613">
        <v>804.83600000000001</v>
      </c>
      <c r="X1613">
        <v>0</v>
      </c>
      <c r="Y1613">
        <v>57800</v>
      </c>
    </row>
    <row r="1614" spans="1:25" ht="15" hidden="1" customHeight="1" x14ac:dyDescent="0.25">
      <c r="A1614" s="1" t="s">
        <v>31</v>
      </c>
      <c r="B1614" s="1" t="s">
        <v>66</v>
      </c>
      <c r="C1614" s="1" t="s">
        <v>156</v>
      </c>
      <c r="D1614">
        <v>5467</v>
      </c>
      <c r="E1614" s="1"/>
      <c r="F1614" s="1" t="s">
        <v>287</v>
      </c>
      <c r="G1614" s="1" t="s">
        <v>156</v>
      </c>
      <c r="H1614" s="1" t="s">
        <v>1405</v>
      </c>
      <c r="I1614">
        <v>2015</v>
      </c>
      <c r="J1614" s="93">
        <v>0</v>
      </c>
      <c r="K1614">
        <v>5</v>
      </c>
      <c r="L1614" s="1" t="s">
        <v>429</v>
      </c>
      <c r="M1614">
        <v>0</v>
      </c>
      <c r="N1614">
        <v>6415</v>
      </c>
      <c r="O1614">
        <v>8.071E-3</v>
      </c>
      <c r="P1614">
        <v>3</v>
      </c>
      <c r="Q1614" s="1" t="s">
        <v>560</v>
      </c>
      <c r="R1614" s="93">
        <v>51.78</v>
      </c>
      <c r="S1614">
        <v>41.41</v>
      </c>
      <c r="T1614">
        <v>1</v>
      </c>
      <c r="U1614" s="1" t="s">
        <v>629</v>
      </c>
      <c r="V1614" s="1"/>
      <c r="W1614">
        <v>51.768999999999998</v>
      </c>
      <c r="X1614">
        <v>0</v>
      </c>
      <c r="Y1614">
        <v>57802</v>
      </c>
    </row>
    <row r="1615" spans="1:25" ht="15" hidden="1" customHeight="1" x14ac:dyDescent="0.25">
      <c r="A1615" s="1" t="s">
        <v>31</v>
      </c>
      <c r="B1615" s="1" t="s">
        <v>66</v>
      </c>
      <c r="C1615" s="1" t="s">
        <v>156</v>
      </c>
      <c r="D1615">
        <v>5467</v>
      </c>
      <c r="E1615" s="1"/>
      <c r="F1615" s="1" t="s">
        <v>287</v>
      </c>
      <c r="G1615" s="1" t="s">
        <v>156</v>
      </c>
      <c r="H1615" s="1" t="s">
        <v>1405</v>
      </c>
      <c r="I1615">
        <v>2013</v>
      </c>
      <c r="J1615" s="93">
        <v>1468.25</v>
      </c>
      <c r="K1615">
        <v>12</v>
      </c>
      <c r="L1615" s="1" t="s">
        <v>429</v>
      </c>
      <c r="M1615">
        <v>0</v>
      </c>
      <c r="N1615">
        <v>6415</v>
      </c>
      <c r="O1615">
        <v>0.22887399999999999</v>
      </c>
      <c r="P1615">
        <v>3</v>
      </c>
      <c r="Q1615" s="1" t="s">
        <v>560</v>
      </c>
      <c r="R1615" s="93">
        <v>1468.25</v>
      </c>
      <c r="S1615">
        <v>1174.5899999999999</v>
      </c>
      <c r="T1615">
        <v>0</v>
      </c>
      <c r="U1615" s="1" t="s">
        <v>628</v>
      </c>
      <c r="V1615" s="1"/>
      <c r="W1615">
        <v>1468.2449999999999</v>
      </c>
      <c r="X1615">
        <v>0</v>
      </c>
      <c r="Y1615">
        <v>57800</v>
      </c>
    </row>
    <row r="1616" spans="1:25" ht="15" hidden="1" customHeight="1" x14ac:dyDescent="0.25">
      <c r="A1616" s="1" t="s">
        <v>31</v>
      </c>
      <c r="B1616" s="1" t="s">
        <v>66</v>
      </c>
      <c r="C1616" s="1" t="s">
        <v>156</v>
      </c>
      <c r="D1616">
        <v>5467</v>
      </c>
      <c r="E1616" s="1"/>
      <c r="F1616" s="1" t="s">
        <v>287</v>
      </c>
      <c r="G1616" s="1" t="s">
        <v>156</v>
      </c>
      <c r="H1616" s="1" t="s">
        <v>1405</v>
      </c>
      <c r="I1616">
        <v>2013</v>
      </c>
      <c r="J1616" s="93">
        <v>161.22999999999999</v>
      </c>
      <c r="K1616">
        <v>12</v>
      </c>
      <c r="L1616" s="1" t="s">
        <v>429</v>
      </c>
      <c r="M1616">
        <v>0</v>
      </c>
      <c r="N1616">
        <v>6415</v>
      </c>
      <c r="O1616">
        <v>2.5132000000000002E-2</v>
      </c>
      <c r="P1616">
        <v>3</v>
      </c>
      <c r="Q1616" s="1" t="s">
        <v>560</v>
      </c>
      <c r="R1616" s="93">
        <v>161.22999999999999</v>
      </c>
      <c r="S1616">
        <v>129.01</v>
      </c>
      <c r="T1616">
        <v>1</v>
      </c>
      <c r="U1616" s="1" t="s">
        <v>629</v>
      </c>
      <c r="V1616" s="1"/>
      <c r="W1616">
        <v>161.232</v>
      </c>
      <c r="X1616">
        <v>0</v>
      </c>
      <c r="Y1616">
        <v>57802</v>
      </c>
    </row>
    <row r="1617" spans="1:25" ht="15" hidden="1" customHeight="1" x14ac:dyDescent="0.25">
      <c r="A1617" s="1" t="s">
        <v>31</v>
      </c>
      <c r="B1617" s="1" t="s">
        <v>66</v>
      </c>
      <c r="C1617" s="1" t="s">
        <v>156</v>
      </c>
      <c r="D1617">
        <v>5467</v>
      </c>
      <c r="E1617" s="1"/>
      <c r="F1617" s="1" t="s">
        <v>287</v>
      </c>
      <c r="G1617" s="1" t="s">
        <v>156</v>
      </c>
      <c r="H1617" s="1" t="s">
        <v>1405</v>
      </c>
      <c r="I1617">
        <v>2012</v>
      </c>
      <c r="J1617" s="93">
        <v>1365.81</v>
      </c>
      <c r="K1617">
        <v>12</v>
      </c>
      <c r="L1617" s="1" t="s">
        <v>429</v>
      </c>
      <c r="M1617">
        <v>0</v>
      </c>
      <c r="N1617">
        <v>6415</v>
      </c>
      <c r="O1617">
        <v>0.21290500000000001</v>
      </c>
      <c r="P1617">
        <v>3</v>
      </c>
      <c r="Q1617" s="1" t="s">
        <v>560</v>
      </c>
      <c r="R1617" s="93">
        <v>1365.81</v>
      </c>
      <c r="S1617">
        <v>1092.6600000000001</v>
      </c>
      <c r="T1617">
        <v>0</v>
      </c>
      <c r="U1617" s="1" t="s">
        <v>628</v>
      </c>
      <c r="V1617" s="1"/>
      <c r="W1617">
        <v>1365.8040000000001</v>
      </c>
      <c r="X1617">
        <v>0</v>
      </c>
      <c r="Y1617">
        <v>57800</v>
      </c>
    </row>
    <row r="1618" spans="1:25" ht="15" hidden="1" customHeight="1" x14ac:dyDescent="0.25">
      <c r="A1618" s="1" t="s">
        <v>31</v>
      </c>
      <c r="B1618" s="1" t="s">
        <v>66</v>
      </c>
      <c r="C1618" s="1" t="s">
        <v>156</v>
      </c>
      <c r="D1618">
        <v>5467</v>
      </c>
      <c r="E1618" s="1"/>
      <c r="F1618" s="1" t="s">
        <v>287</v>
      </c>
      <c r="G1618" s="1" t="s">
        <v>156</v>
      </c>
      <c r="H1618" s="1" t="s">
        <v>1405</v>
      </c>
      <c r="I1618">
        <v>2012</v>
      </c>
      <c r="J1618" s="93">
        <v>55.9</v>
      </c>
      <c r="K1618">
        <v>12</v>
      </c>
      <c r="L1618" s="1" t="s">
        <v>429</v>
      </c>
      <c r="M1618">
        <v>0</v>
      </c>
      <c r="N1618">
        <v>6415</v>
      </c>
      <c r="O1618">
        <v>8.7130000000000003E-3</v>
      </c>
      <c r="P1618">
        <v>3</v>
      </c>
      <c r="Q1618" s="1" t="s">
        <v>560</v>
      </c>
      <c r="R1618" s="93">
        <v>55.9</v>
      </c>
      <c r="S1618">
        <v>44.73</v>
      </c>
      <c r="T1618">
        <v>1</v>
      </c>
      <c r="U1618" s="1" t="s">
        <v>629</v>
      </c>
      <c r="V1618" s="1"/>
      <c r="W1618">
        <v>55.908000000000001</v>
      </c>
      <c r="X1618">
        <v>0</v>
      </c>
      <c r="Y1618">
        <v>57802</v>
      </c>
    </row>
    <row r="1619" spans="1:25" ht="15" hidden="1" customHeight="1" x14ac:dyDescent="0.25">
      <c r="A1619" s="1" t="s">
        <v>31</v>
      </c>
      <c r="B1619" s="1" t="s">
        <v>66</v>
      </c>
      <c r="C1619" s="1" t="s">
        <v>156</v>
      </c>
      <c r="D1619">
        <v>5467</v>
      </c>
      <c r="E1619" s="1"/>
      <c r="F1619" s="1" t="s">
        <v>287</v>
      </c>
      <c r="G1619" s="1" t="s">
        <v>156</v>
      </c>
      <c r="H1619" s="1" t="s">
        <v>1405</v>
      </c>
      <c r="I1619">
        <v>2011</v>
      </c>
      <c r="J1619" s="93">
        <v>1284.1400000000001</v>
      </c>
      <c r="K1619">
        <v>12</v>
      </c>
      <c r="L1619" s="1" t="s">
        <v>429</v>
      </c>
      <c r="M1619">
        <v>0</v>
      </c>
      <c r="N1619">
        <v>6415</v>
      </c>
      <c r="O1619">
        <v>0.20017399999999999</v>
      </c>
      <c r="P1619">
        <v>3</v>
      </c>
      <c r="Q1619" s="1" t="s">
        <v>560</v>
      </c>
      <c r="R1619" s="93">
        <v>1284.1400000000001</v>
      </c>
      <c r="S1619">
        <v>1027.32</v>
      </c>
      <c r="T1619">
        <v>0</v>
      </c>
      <c r="U1619" s="1" t="s">
        <v>628</v>
      </c>
      <c r="V1619" s="1"/>
      <c r="W1619">
        <v>1284.1489999999999</v>
      </c>
      <c r="X1619">
        <v>0</v>
      </c>
      <c r="Y1619">
        <v>57800</v>
      </c>
    </row>
    <row r="1620" spans="1:25" ht="15" hidden="1" customHeight="1" x14ac:dyDescent="0.25">
      <c r="A1620" s="1" t="s">
        <v>31</v>
      </c>
      <c r="B1620" s="1" t="s">
        <v>66</v>
      </c>
      <c r="C1620" s="1" t="s">
        <v>156</v>
      </c>
      <c r="D1620">
        <v>5467</v>
      </c>
      <c r="E1620" s="1"/>
      <c r="F1620" s="1" t="s">
        <v>287</v>
      </c>
      <c r="G1620" s="1" t="s">
        <v>156</v>
      </c>
      <c r="H1620" s="1" t="s">
        <v>1405</v>
      </c>
      <c r="I1620">
        <v>2011</v>
      </c>
      <c r="J1620" s="93">
        <v>0</v>
      </c>
      <c r="K1620">
        <v>12</v>
      </c>
      <c r="L1620" s="1" t="s">
        <v>429</v>
      </c>
      <c r="M1620">
        <v>0</v>
      </c>
      <c r="N1620">
        <v>6415</v>
      </c>
      <c r="O1620">
        <v>0</v>
      </c>
      <c r="P1620">
        <v>3</v>
      </c>
      <c r="Q1620" s="1" t="s">
        <v>560</v>
      </c>
      <c r="R1620" s="93">
        <v>0</v>
      </c>
      <c r="S1620">
        <v>0</v>
      </c>
      <c r="T1620">
        <v>1</v>
      </c>
      <c r="U1620" s="1" t="s">
        <v>629</v>
      </c>
      <c r="V1620" s="1"/>
      <c r="W1620">
        <v>2E-3</v>
      </c>
      <c r="X1620">
        <v>0</v>
      </c>
      <c r="Y1620">
        <v>57802</v>
      </c>
    </row>
    <row r="1621" spans="1:25" ht="15" hidden="1" customHeight="1" x14ac:dyDescent="0.25">
      <c r="A1621" s="1" t="s">
        <v>31</v>
      </c>
      <c r="B1621" s="1" t="s">
        <v>66</v>
      </c>
      <c r="C1621" s="1" t="s">
        <v>156</v>
      </c>
      <c r="D1621">
        <v>5467</v>
      </c>
      <c r="E1621" s="1"/>
      <c r="F1621" s="1" t="s">
        <v>287</v>
      </c>
      <c r="G1621" s="1" t="s">
        <v>156</v>
      </c>
      <c r="H1621" s="1" t="s">
        <v>1405</v>
      </c>
      <c r="I1621">
        <v>2010</v>
      </c>
      <c r="J1621" s="93">
        <v>1120.3499999999999</v>
      </c>
      <c r="K1621">
        <v>12</v>
      </c>
      <c r="L1621" s="1" t="s">
        <v>429</v>
      </c>
      <c r="M1621">
        <v>0</v>
      </c>
      <c r="N1621">
        <v>6415</v>
      </c>
      <c r="O1621">
        <v>0.17464199999999999</v>
      </c>
      <c r="P1621">
        <v>3</v>
      </c>
      <c r="Q1621" s="1" t="s">
        <v>560</v>
      </c>
      <c r="R1621" s="93">
        <v>1120.3499999999999</v>
      </c>
      <c r="S1621">
        <v>896.26</v>
      </c>
      <c r="T1621">
        <v>0</v>
      </c>
      <c r="U1621" s="1" t="s">
        <v>628</v>
      </c>
      <c r="V1621" s="1"/>
      <c r="W1621">
        <v>1120.345</v>
      </c>
      <c r="X1621">
        <v>0</v>
      </c>
      <c r="Y1621">
        <v>57800</v>
      </c>
    </row>
    <row r="1622" spans="1:25" ht="15" hidden="1" customHeight="1" x14ac:dyDescent="0.25">
      <c r="A1622" s="1" t="s">
        <v>31</v>
      </c>
      <c r="B1622" s="1" t="s">
        <v>66</v>
      </c>
      <c r="C1622" s="1" t="s">
        <v>156</v>
      </c>
      <c r="D1622">
        <v>5467</v>
      </c>
      <c r="E1622" s="1"/>
      <c r="F1622" s="1" t="s">
        <v>287</v>
      </c>
      <c r="G1622" s="1" t="s">
        <v>156</v>
      </c>
      <c r="H1622" s="1" t="s">
        <v>1405</v>
      </c>
      <c r="I1622">
        <v>2010</v>
      </c>
      <c r="J1622" s="93">
        <v>0</v>
      </c>
      <c r="K1622">
        <v>12</v>
      </c>
      <c r="L1622" s="1" t="s">
        <v>429</v>
      </c>
      <c r="M1622">
        <v>0</v>
      </c>
      <c r="N1622">
        <v>6415</v>
      </c>
      <c r="O1622">
        <v>0</v>
      </c>
      <c r="P1622">
        <v>3</v>
      </c>
      <c r="Q1622" s="1" t="s">
        <v>560</v>
      </c>
      <c r="R1622" s="93">
        <v>0</v>
      </c>
      <c r="S1622">
        <v>0</v>
      </c>
      <c r="T1622">
        <v>1</v>
      </c>
      <c r="U1622" s="1" t="s">
        <v>629</v>
      </c>
      <c r="V1622" s="1"/>
      <c r="W1622">
        <v>1E-3</v>
      </c>
      <c r="X1622">
        <v>0</v>
      </c>
      <c r="Y1622">
        <v>57802</v>
      </c>
    </row>
    <row r="1623" spans="1:25" ht="15" hidden="1" customHeight="1" x14ac:dyDescent="0.25">
      <c r="A1623" s="1" t="s">
        <v>31</v>
      </c>
      <c r="B1623" s="1" t="s">
        <v>66</v>
      </c>
      <c r="C1623" s="1" t="s">
        <v>156</v>
      </c>
      <c r="D1623">
        <v>5467</v>
      </c>
      <c r="E1623" s="1"/>
      <c r="F1623" s="1" t="s">
        <v>287</v>
      </c>
      <c r="G1623" s="1" t="s">
        <v>156</v>
      </c>
      <c r="H1623" s="1" t="s">
        <v>1405</v>
      </c>
      <c r="I1623">
        <v>2009</v>
      </c>
      <c r="J1623" s="93">
        <v>1059.58</v>
      </c>
      <c r="K1623">
        <v>12</v>
      </c>
      <c r="L1623" s="1" t="s">
        <v>429</v>
      </c>
      <c r="M1623">
        <v>0</v>
      </c>
      <c r="N1623">
        <v>6415</v>
      </c>
      <c r="O1623">
        <v>0.16516900000000001</v>
      </c>
      <c r="P1623">
        <v>3</v>
      </c>
      <c r="Q1623" s="1" t="s">
        <v>560</v>
      </c>
      <c r="R1623" s="93">
        <v>1059.58</v>
      </c>
      <c r="S1623">
        <v>847.66</v>
      </c>
      <c r="T1623">
        <v>0</v>
      </c>
      <c r="U1623" s="1" t="s">
        <v>628</v>
      </c>
      <c r="V1623" s="1"/>
      <c r="W1623">
        <v>1059.5730000000001</v>
      </c>
      <c r="X1623">
        <v>0</v>
      </c>
      <c r="Y1623">
        <v>57800</v>
      </c>
    </row>
    <row r="1624" spans="1:25" ht="15" hidden="1" customHeight="1" x14ac:dyDescent="0.25">
      <c r="A1624" s="1" t="s">
        <v>31</v>
      </c>
      <c r="B1624" s="1" t="s">
        <v>66</v>
      </c>
      <c r="C1624" s="1" t="s">
        <v>156</v>
      </c>
      <c r="D1624">
        <v>5467</v>
      </c>
      <c r="E1624" s="1"/>
      <c r="F1624" s="1" t="s">
        <v>287</v>
      </c>
      <c r="G1624" s="1" t="s">
        <v>156</v>
      </c>
      <c r="H1624" s="1" t="s">
        <v>1405</v>
      </c>
      <c r="I1624">
        <v>2009</v>
      </c>
      <c r="J1624" s="93">
        <v>0</v>
      </c>
      <c r="K1624">
        <v>12</v>
      </c>
      <c r="L1624" s="1" t="s">
        <v>429</v>
      </c>
      <c r="M1624">
        <v>0</v>
      </c>
      <c r="N1624">
        <v>6415</v>
      </c>
      <c r="O1624">
        <v>0</v>
      </c>
      <c r="P1624">
        <v>3</v>
      </c>
      <c r="Q1624" s="1" t="s">
        <v>560</v>
      </c>
      <c r="R1624" s="93">
        <v>0</v>
      </c>
      <c r="S1624">
        <v>0</v>
      </c>
      <c r="T1624">
        <v>1</v>
      </c>
      <c r="U1624" s="1" t="s">
        <v>629</v>
      </c>
      <c r="V1624" s="1"/>
      <c r="W1624">
        <v>0</v>
      </c>
      <c r="X1624">
        <v>0</v>
      </c>
      <c r="Y1624">
        <v>57802</v>
      </c>
    </row>
    <row r="1625" spans="1:25" ht="15" hidden="1" customHeight="1" x14ac:dyDescent="0.25">
      <c r="A1625" s="1" t="s">
        <v>31</v>
      </c>
      <c r="B1625" s="1" t="s">
        <v>66</v>
      </c>
      <c r="C1625" s="1" t="s">
        <v>156</v>
      </c>
      <c r="D1625">
        <v>5467</v>
      </c>
      <c r="E1625" s="1"/>
      <c r="F1625" s="1" t="s">
        <v>287</v>
      </c>
      <c r="G1625" s="1" t="s">
        <v>156</v>
      </c>
      <c r="H1625" s="1" t="s">
        <v>1405</v>
      </c>
      <c r="I1625">
        <v>2008</v>
      </c>
      <c r="J1625" s="93">
        <v>1207.92</v>
      </c>
      <c r="K1625">
        <v>12</v>
      </c>
      <c r="L1625" s="1" t="s">
        <v>429</v>
      </c>
      <c r="M1625">
        <v>0</v>
      </c>
      <c r="N1625">
        <v>6415</v>
      </c>
      <c r="O1625">
        <v>0.18829299999999999</v>
      </c>
      <c r="P1625">
        <v>3</v>
      </c>
      <c r="Q1625" s="1" t="s">
        <v>560</v>
      </c>
      <c r="R1625" s="93">
        <v>1207.92</v>
      </c>
      <c r="S1625">
        <v>966.36</v>
      </c>
      <c r="T1625">
        <v>0</v>
      </c>
      <c r="U1625" s="1" t="s">
        <v>628</v>
      </c>
      <c r="V1625" s="1"/>
      <c r="W1625">
        <v>1207.921</v>
      </c>
      <c r="X1625">
        <v>0</v>
      </c>
      <c r="Y1625">
        <v>57800</v>
      </c>
    </row>
    <row r="1626" spans="1:25" ht="15" hidden="1" customHeight="1" x14ac:dyDescent="0.25">
      <c r="A1626" s="1" t="s">
        <v>31</v>
      </c>
      <c r="B1626" s="1" t="s">
        <v>66</v>
      </c>
      <c r="C1626" s="1" t="s">
        <v>156</v>
      </c>
      <c r="D1626">
        <v>5467</v>
      </c>
      <c r="E1626" s="1"/>
      <c r="F1626" s="1" t="s">
        <v>287</v>
      </c>
      <c r="G1626" s="1" t="s">
        <v>156</v>
      </c>
      <c r="H1626" s="1" t="s">
        <v>1405</v>
      </c>
      <c r="I1626">
        <v>2008</v>
      </c>
      <c r="J1626" s="93">
        <v>0</v>
      </c>
      <c r="K1626">
        <v>12</v>
      </c>
      <c r="L1626" s="1" t="s">
        <v>429</v>
      </c>
      <c r="M1626">
        <v>0</v>
      </c>
      <c r="N1626">
        <v>6415</v>
      </c>
      <c r="O1626">
        <v>0</v>
      </c>
      <c r="P1626">
        <v>3</v>
      </c>
      <c r="Q1626" s="1" t="s">
        <v>560</v>
      </c>
      <c r="R1626" s="93">
        <v>0</v>
      </c>
      <c r="S1626">
        <v>0</v>
      </c>
      <c r="T1626">
        <v>1</v>
      </c>
      <c r="U1626" s="1" t="s">
        <v>629</v>
      </c>
      <c r="V1626" s="1"/>
      <c r="W1626">
        <v>0</v>
      </c>
      <c r="X1626">
        <v>0</v>
      </c>
      <c r="Y1626">
        <v>57802</v>
      </c>
    </row>
    <row r="1627" spans="1:25" ht="15" hidden="1" customHeight="1" x14ac:dyDescent="0.25">
      <c r="A1627" s="1" t="s">
        <v>31</v>
      </c>
      <c r="B1627" s="1" t="s">
        <v>66</v>
      </c>
      <c r="C1627" s="1" t="s">
        <v>156</v>
      </c>
      <c r="D1627">
        <v>14135</v>
      </c>
      <c r="E1627" s="1" t="s">
        <v>243</v>
      </c>
      <c r="F1627" s="1" t="s">
        <v>288</v>
      </c>
      <c r="G1627" s="1" t="s">
        <v>156</v>
      </c>
      <c r="H1627" s="1" t="s">
        <v>1405</v>
      </c>
      <c r="I1627">
        <v>2015</v>
      </c>
      <c r="J1627" s="93">
        <v>0</v>
      </c>
      <c r="K1627">
        <v>5</v>
      </c>
      <c r="L1627" s="1" t="s">
        <v>429</v>
      </c>
      <c r="M1627">
        <v>0</v>
      </c>
      <c r="N1627">
        <v>3594</v>
      </c>
      <c r="O1627">
        <v>2.0811E-2</v>
      </c>
      <c r="P1627">
        <v>3</v>
      </c>
      <c r="Q1627" s="1" t="s">
        <v>560</v>
      </c>
      <c r="R1627" s="93">
        <v>74.8</v>
      </c>
      <c r="S1627">
        <v>0</v>
      </c>
      <c r="T1627">
        <v>1</v>
      </c>
      <c r="U1627" s="1" t="s">
        <v>630</v>
      </c>
      <c r="V1627" s="1"/>
      <c r="W1627">
        <v>74.795000000000002</v>
      </c>
      <c r="X1627">
        <v>0</v>
      </c>
      <c r="Y1627">
        <v>57804</v>
      </c>
    </row>
    <row r="1628" spans="1:25" ht="15" hidden="1" customHeight="1" x14ac:dyDescent="0.25">
      <c r="A1628" s="1" t="s">
        <v>31</v>
      </c>
      <c r="B1628" s="1" t="s">
        <v>66</v>
      </c>
      <c r="C1628" s="1" t="s">
        <v>156</v>
      </c>
      <c r="D1628">
        <v>14135</v>
      </c>
      <c r="E1628" s="1" t="s">
        <v>243</v>
      </c>
      <c r="F1628" s="1" t="s">
        <v>288</v>
      </c>
      <c r="G1628" s="1" t="s">
        <v>156</v>
      </c>
      <c r="H1628" s="1" t="s">
        <v>1405</v>
      </c>
      <c r="I1628">
        <v>2013</v>
      </c>
      <c r="J1628" s="93">
        <v>51.16</v>
      </c>
      <c r="K1628">
        <v>12</v>
      </c>
      <c r="L1628" s="1" t="s">
        <v>429</v>
      </c>
      <c r="M1628">
        <v>0</v>
      </c>
      <c r="N1628">
        <v>3594</v>
      </c>
      <c r="O1628">
        <v>1.4234E-2</v>
      </c>
      <c r="P1628">
        <v>3</v>
      </c>
      <c r="Q1628" s="1" t="s">
        <v>560</v>
      </c>
      <c r="R1628" s="93">
        <v>51.16</v>
      </c>
      <c r="S1628">
        <v>0</v>
      </c>
      <c r="T1628">
        <v>1</v>
      </c>
      <c r="U1628" s="1" t="s">
        <v>630</v>
      </c>
      <c r="V1628" s="1"/>
      <c r="W1628">
        <v>51.158999999999999</v>
      </c>
      <c r="X1628">
        <v>0</v>
      </c>
      <c r="Y1628">
        <v>57804</v>
      </c>
    </row>
    <row r="1629" spans="1:25" ht="15" hidden="1" customHeight="1" x14ac:dyDescent="0.25">
      <c r="A1629" s="1" t="s">
        <v>31</v>
      </c>
      <c r="B1629" s="1" t="s">
        <v>66</v>
      </c>
      <c r="C1629" s="1" t="s">
        <v>156</v>
      </c>
      <c r="D1629">
        <v>14135</v>
      </c>
      <c r="E1629" s="1" t="s">
        <v>243</v>
      </c>
      <c r="F1629" s="1" t="s">
        <v>288</v>
      </c>
      <c r="G1629" s="1" t="s">
        <v>156</v>
      </c>
      <c r="H1629" s="1" t="s">
        <v>1405</v>
      </c>
      <c r="I1629">
        <v>2012</v>
      </c>
      <c r="J1629" s="93">
        <v>2.17</v>
      </c>
      <c r="K1629">
        <v>12</v>
      </c>
      <c r="L1629" s="1" t="s">
        <v>429</v>
      </c>
      <c r="M1629">
        <v>0</v>
      </c>
      <c r="N1629">
        <v>3594</v>
      </c>
      <c r="O1629">
        <v>6.0300000000000002E-4</v>
      </c>
      <c r="P1629">
        <v>3</v>
      </c>
      <c r="Q1629" s="1" t="s">
        <v>560</v>
      </c>
      <c r="R1629" s="93">
        <v>2.17</v>
      </c>
      <c r="S1629">
        <v>0</v>
      </c>
      <c r="T1629">
        <v>1</v>
      </c>
      <c r="U1629" s="1" t="s">
        <v>630</v>
      </c>
      <c r="V1629" s="1"/>
      <c r="W1629">
        <v>2.1779999999999999</v>
      </c>
      <c r="X1629">
        <v>0</v>
      </c>
      <c r="Y1629">
        <v>57804</v>
      </c>
    </row>
    <row r="1630" spans="1:25" ht="15" hidden="1" customHeight="1" x14ac:dyDescent="0.25">
      <c r="A1630" s="1" t="s">
        <v>31</v>
      </c>
      <c r="B1630" s="1" t="s">
        <v>66</v>
      </c>
      <c r="C1630" s="1" t="s">
        <v>156</v>
      </c>
      <c r="D1630">
        <v>14135</v>
      </c>
      <c r="E1630" s="1" t="s">
        <v>243</v>
      </c>
      <c r="F1630" s="1" t="s">
        <v>288</v>
      </c>
      <c r="G1630" s="1" t="s">
        <v>156</v>
      </c>
      <c r="H1630" s="1" t="s">
        <v>1405</v>
      </c>
      <c r="I1630">
        <v>2011</v>
      </c>
      <c r="J1630" s="93">
        <v>2.46</v>
      </c>
      <c r="K1630">
        <v>12</v>
      </c>
      <c r="L1630" s="1" t="s">
        <v>429</v>
      </c>
      <c r="M1630">
        <v>0</v>
      </c>
      <c r="N1630">
        <v>3594</v>
      </c>
      <c r="O1630">
        <v>6.8400000000000004E-4</v>
      </c>
      <c r="P1630">
        <v>3</v>
      </c>
      <c r="Q1630" s="1" t="s">
        <v>560</v>
      </c>
      <c r="R1630" s="93">
        <v>2.46</v>
      </c>
      <c r="S1630">
        <v>0</v>
      </c>
      <c r="T1630">
        <v>1</v>
      </c>
      <c r="U1630" s="1" t="s">
        <v>630</v>
      </c>
      <c r="V1630" s="1"/>
      <c r="W1630">
        <v>2.4569999999999999</v>
      </c>
      <c r="X1630">
        <v>0</v>
      </c>
      <c r="Y1630">
        <v>57804</v>
      </c>
    </row>
    <row r="1631" spans="1:25" ht="15" hidden="1" customHeight="1" x14ac:dyDescent="0.25">
      <c r="A1631" s="1" t="s">
        <v>31</v>
      </c>
      <c r="B1631" s="1" t="s">
        <v>66</v>
      </c>
      <c r="C1631" s="1" t="s">
        <v>156</v>
      </c>
      <c r="D1631">
        <v>14135</v>
      </c>
      <c r="E1631" s="1" t="s">
        <v>243</v>
      </c>
      <c r="F1631" s="1" t="s">
        <v>288</v>
      </c>
      <c r="G1631" s="1" t="s">
        <v>156</v>
      </c>
      <c r="H1631" s="1" t="s">
        <v>1405</v>
      </c>
      <c r="I1631">
        <v>2010</v>
      </c>
      <c r="J1631" s="93">
        <v>2.39</v>
      </c>
      <c r="K1631">
        <v>12</v>
      </c>
      <c r="L1631" s="1" t="s">
        <v>429</v>
      </c>
      <c r="M1631">
        <v>0</v>
      </c>
      <c r="N1631">
        <v>3594</v>
      </c>
      <c r="O1631">
        <v>6.6399999999999999E-4</v>
      </c>
      <c r="P1631">
        <v>3</v>
      </c>
      <c r="Q1631" s="1" t="s">
        <v>560</v>
      </c>
      <c r="R1631" s="93">
        <v>2.39</v>
      </c>
      <c r="S1631">
        <v>0</v>
      </c>
      <c r="T1631">
        <v>1</v>
      </c>
      <c r="U1631" s="1" t="s">
        <v>630</v>
      </c>
      <c r="V1631" s="1"/>
      <c r="W1631">
        <v>2.371</v>
      </c>
      <c r="X1631">
        <v>0</v>
      </c>
      <c r="Y1631">
        <v>57804</v>
      </c>
    </row>
    <row r="1632" spans="1:25" ht="15" hidden="1" customHeight="1" x14ac:dyDescent="0.25">
      <c r="A1632" s="1" t="s">
        <v>31</v>
      </c>
      <c r="B1632" s="1" t="s">
        <v>66</v>
      </c>
      <c r="C1632" s="1" t="s">
        <v>156</v>
      </c>
      <c r="D1632">
        <v>14135</v>
      </c>
      <c r="E1632" s="1" t="s">
        <v>243</v>
      </c>
      <c r="F1632" s="1" t="s">
        <v>288</v>
      </c>
      <c r="G1632" s="1" t="s">
        <v>156</v>
      </c>
      <c r="H1632" s="1" t="s">
        <v>1405</v>
      </c>
      <c r="I1632">
        <v>2009</v>
      </c>
      <c r="J1632" s="93">
        <v>2.12</v>
      </c>
      <c r="K1632">
        <v>12</v>
      </c>
      <c r="L1632" s="1" t="s">
        <v>429</v>
      </c>
      <c r="M1632">
        <v>0</v>
      </c>
      <c r="N1632">
        <v>3594</v>
      </c>
      <c r="O1632">
        <v>5.8900000000000001E-4</v>
      </c>
      <c r="P1632">
        <v>3</v>
      </c>
      <c r="Q1632" s="1" t="s">
        <v>560</v>
      </c>
      <c r="R1632" s="93">
        <v>2.12</v>
      </c>
      <c r="S1632">
        <v>0</v>
      </c>
      <c r="T1632">
        <v>1</v>
      </c>
      <c r="U1632" s="1" t="s">
        <v>630</v>
      </c>
      <c r="V1632" s="1"/>
      <c r="W1632">
        <v>2.1190000000000002</v>
      </c>
      <c r="X1632">
        <v>0</v>
      </c>
      <c r="Y1632">
        <v>57804</v>
      </c>
    </row>
    <row r="1633" spans="1:25" ht="15" hidden="1" customHeight="1" x14ac:dyDescent="0.25">
      <c r="A1633" s="1" t="s">
        <v>31</v>
      </c>
      <c r="B1633" s="1" t="s">
        <v>66</v>
      </c>
      <c r="C1633" s="1" t="s">
        <v>156</v>
      </c>
      <c r="D1633">
        <v>14135</v>
      </c>
      <c r="E1633" s="1" t="s">
        <v>243</v>
      </c>
      <c r="F1633" s="1" t="s">
        <v>288</v>
      </c>
      <c r="G1633" s="1" t="s">
        <v>156</v>
      </c>
      <c r="H1633" s="1" t="s">
        <v>1405</v>
      </c>
      <c r="I1633">
        <v>2008</v>
      </c>
      <c r="J1633" s="93">
        <v>2.0099999999999998</v>
      </c>
      <c r="K1633">
        <v>12</v>
      </c>
      <c r="L1633" s="1" t="s">
        <v>429</v>
      </c>
      <c r="M1633">
        <v>0</v>
      </c>
      <c r="N1633">
        <v>3594</v>
      </c>
      <c r="O1633">
        <v>5.5900000000000004E-4</v>
      </c>
      <c r="P1633">
        <v>3</v>
      </c>
      <c r="Q1633" s="1" t="s">
        <v>560</v>
      </c>
      <c r="R1633" s="93">
        <v>2.0099999999999998</v>
      </c>
      <c r="S1633">
        <v>0</v>
      </c>
      <c r="T1633">
        <v>1</v>
      </c>
      <c r="U1633" s="1" t="s">
        <v>630</v>
      </c>
      <c r="V1633" s="1"/>
      <c r="W1633">
        <v>1.998</v>
      </c>
      <c r="X1633">
        <v>0</v>
      </c>
      <c r="Y1633">
        <v>57804</v>
      </c>
    </row>
    <row r="1634" spans="1:25" ht="15" customHeight="1" x14ac:dyDescent="0.25">
      <c r="A1634" s="1" t="s">
        <v>31</v>
      </c>
      <c r="B1634" s="1"/>
      <c r="C1634" s="1" t="s">
        <v>157</v>
      </c>
      <c r="D1634">
        <v>10324</v>
      </c>
      <c r="E1634" s="1"/>
      <c r="F1634" s="1" t="s">
        <v>289</v>
      </c>
      <c r="G1634" s="1" t="s">
        <v>157</v>
      </c>
      <c r="H1634" s="1" t="s">
        <v>1405</v>
      </c>
      <c r="I1634">
        <v>2015</v>
      </c>
      <c r="J1634" s="93">
        <v>830</v>
      </c>
      <c r="K1634">
        <v>5</v>
      </c>
      <c r="L1634" s="1"/>
      <c r="M1634">
        <v>0</v>
      </c>
      <c r="N1634">
        <v>2027</v>
      </c>
      <c r="O1634">
        <v>0.161442</v>
      </c>
      <c r="P1634">
        <v>3</v>
      </c>
      <c r="Q1634" s="1" t="s">
        <v>560</v>
      </c>
      <c r="R1634" s="93">
        <v>327.26</v>
      </c>
      <c r="S1634">
        <v>261.82</v>
      </c>
      <c r="T1634">
        <v>0</v>
      </c>
      <c r="U1634" s="1"/>
      <c r="V1634" s="1"/>
      <c r="W1634">
        <v>327.26</v>
      </c>
      <c r="X1634">
        <v>0</v>
      </c>
      <c r="Y1634">
        <v>77833</v>
      </c>
    </row>
    <row r="1635" spans="1:25" ht="15" customHeight="1" x14ac:dyDescent="0.25">
      <c r="A1635" s="1" t="s">
        <v>31</v>
      </c>
      <c r="B1635" s="1"/>
      <c r="C1635" s="1" t="s">
        <v>157</v>
      </c>
      <c r="D1635">
        <v>10324</v>
      </c>
      <c r="E1635" s="1"/>
      <c r="F1635" s="1" t="s">
        <v>289</v>
      </c>
      <c r="G1635" s="1" t="s">
        <v>157</v>
      </c>
      <c r="H1635" s="1" t="s">
        <v>1405</v>
      </c>
      <c r="I1635">
        <v>2015</v>
      </c>
      <c r="J1635" s="93">
        <v>0</v>
      </c>
      <c r="K1635">
        <v>3</v>
      </c>
      <c r="L1635" s="1" t="s">
        <v>421</v>
      </c>
      <c r="M1635">
        <v>0</v>
      </c>
      <c r="N1635">
        <v>2027</v>
      </c>
      <c r="O1635">
        <v>2.4961000000000001E-2</v>
      </c>
      <c r="P1635">
        <v>3</v>
      </c>
      <c r="Q1635" s="1" t="s">
        <v>560</v>
      </c>
      <c r="R1635" s="93">
        <v>50.6</v>
      </c>
      <c r="S1635">
        <v>40.479999999999997</v>
      </c>
      <c r="T1635">
        <v>1</v>
      </c>
      <c r="U1635" s="1" t="s">
        <v>631</v>
      </c>
      <c r="V1635" s="1"/>
      <c r="W1635">
        <v>50.595739999999999</v>
      </c>
      <c r="X1635">
        <v>0</v>
      </c>
      <c r="Y1635">
        <v>79476</v>
      </c>
    </row>
    <row r="1636" spans="1:25" ht="15" hidden="1" customHeight="1" x14ac:dyDescent="0.25">
      <c r="A1636" s="1" t="s">
        <v>31</v>
      </c>
      <c r="B1636" s="1"/>
      <c r="C1636" s="1" t="s">
        <v>157</v>
      </c>
      <c r="D1636">
        <v>10324</v>
      </c>
      <c r="E1636" s="1"/>
      <c r="F1636" s="1" t="s">
        <v>289</v>
      </c>
      <c r="G1636" s="1" t="s">
        <v>157</v>
      </c>
      <c r="H1636" s="1" t="s">
        <v>1405</v>
      </c>
      <c r="I1636">
        <v>2013</v>
      </c>
      <c r="J1636" s="93">
        <v>793.62</v>
      </c>
      <c r="K1636">
        <v>12</v>
      </c>
      <c r="L1636" s="1"/>
      <c r="M1636">
        <v>0</v>
      </c>
      <c r="N1636">
        <v>2027</v>
      </c>
      <c r="O1636">
        <v>0.39150499999999999</v>
      </c>
      <c r="P1636">
        <v>3</v>
      </c>
      <c r="Q1636" s="1" t="s">
        <v>560</v>
      </c>
      <c r="R1636" s="93">
        <v>793.62</v>
      </c>
      <c r="S1636">
        <v>634.9</v>
      </c>
      <c r="T1636">
        <v>0</v>
      </c>
      <c r="U1636" s="1"/>
      <c r="V1636" s="1"/>
      <c r="W1636">
        <v>793.61500000000001</v>
      </c>
      <c r="X1636">
        <v>0</v>
      </c>
      <c r="Y1636">
        <v>77833</v>
      </c>
    </row>
    <row r="1637" spans="1:25" ht="15" hidden="1" customHeight="1" x14ac:dyDescent="0.25">
      <c r="A1637" s="1" t="s">
        <v>31</v>
      </c>
      <c r="B1637" s="1"/>
      <c r="C1637" s="1" t="s">
        <v>157</v>
      </c>
      <c r="D1637">
        <v>10324</v>
      </c>
      <c r="E1637" s="1"/>
      <c r="F1637" s="1" t="s">
        <v>289</v>
      </c>
      <c r="G1637" s="1" t="s">
        <v>157</v>
      </c>
      <c r="H1637" s="1" t="s">
        <v>1405</v>
      </c>
      <c r="I1637">
        <v>2013</v>
      </c>
      <c r="J1637" s="93">
        <v>179.61</v>
      </c>
      <c r="K1637">
        <v>11</v>
      </c>
      <c r="L1637" s="1" t="s">
        <v>421</v>
      </c>
      <c r="M1637">
        <v>0</v>
      </c>
      <c r="N1637">
        <v>2027</v>
      </c>
      <c r="O1637">
        <v>8.8604000000000002E-2</v>
      </c>
      <c r="P1637">
        <v>3</v>
      </c>
      <c r="Q1637" s="1" t="s">
        <v>560</v>
      </c>
      <c r="R1637" s="93">
        <v>179.61</v>
      </c>
      <c r="S1637">
        <v>143.69999999999999</v>
      </c>
      <c r="T1637">
        <v>1</v>
      </c>
      <c r="U1637" s="1" t="s">
        <v>631</v>
      </c>
      <c r="V1637" s="1"/>
      <c r="W1637">
        <v>179.61428000000001</v>
      </c>
      <c r="X1637">
        <v>0</v>
      </c>
      <c r="Y1637">
        <v>79476</v>
      </c>
    </row>
    <row r="1638" spans="1:25" ht="15" hidden="1" customHeight="1" x14ac:dyDescent="0.25">
      <c r="A1638" s="1" t="s">
        <v>31</v>
      </c>
      <c r="B1638" s="1"/>
      <c r="C1638" s="1" t="s">
        <v>157</v>
      </c>
      <c r="D1638">
        <v>10324</v>
      </c>
      <c r="E1638" s="1"/>
      <c r="F1638" s="1" t="s">
        <v>289</v>
      </c>
      <c r="G1638" s="1" t="s">
        <v>157</v>
      </c>
      <c r="H1638" s="1" t="s">
        <v>1405</v>
      </c>
      <c r="I1638">
        <v>2012</v>
      </c>
      <c r="J1638" s="93">
        <v>1000.6</v>
      </c>
      <c r="K1638">
        <v>12</v>
      </c>
      <c r="L1638" s="1"/>
      <c r="M1638">
        <v>0</v>
      </c>
      <c r="N1638">
        <v>2027</v>
      </c>
      <c r="O1638">
        <v>0.49361100000000002</v>
      </c>
      <c r="P1638">
        <v>3</v>
      </c>
      <c r="Q1638" s="1" t="s">
        <v>560</v>
      </c>
      <c r="R1638" s="93">
        <v>1000.6</v>
      </c>
      <c r="S1638">
        <v>800.49</v>
      </c>
      <c r="T1638">
        <v>0</v>
      </c>
      <c r="U1638" s="1"/>
      <c r="V1638" s="1"/>
      <c r="W1638">
        <v>1000.616</v>
      </c>
      <c r="X1638">
        <v>0</v>
      </c>
      <c r="Y1638">
        <v>77833</v>
      </c>
    </row>
    <row r="1639" spans="1:25" ht="15" hidden="1" customHeight="1" x14ac:dyDescent="0.25">
      <c r="A1639" s="1" t="s">
        <v>31</v>
      </c>
      <c r="B1639" s="1"/>
      <c r="C1639" s="1" t="s">
        <v>157</v>
      </c>
      <c r="D1639">
        <v>10324</v>
      </c>
      <c r="E1639" s="1"/>
      <c r="F1639" s="1" t="s">
        <v>289</v>
      </c>
      <c r="G1639" s="1" t="s">
        <v>157</v>
      </c>
      <c r="H1639" s="1" t="s">
        <v>1405</v>
      </c>
      <c r="I1639">
        <v>2012</v>
      </c>
      <c r="J1639" s="93">
        <v>183.5</v>
      </c>
      <c r="K1639">
        <v>7</v>
      </c>
      <c r="L1639" s="1" t="s">
        <v>421</v>
      </c>
      <c r="M1639">
        <v>0</v>
      </c>
      <c r="N1639">
        <v>2027</v>
      </c>
      <c r="O1639">
        <v>9.0523000000000006E-2</v>
      </c>
      <c r="P1639">
        <v>3</v>
      </c>
      <c r="Q1639" s="1" t="s">
        <v>560</v>
      </c>
      <c r="R1639" s="93">
        <v>183.5</v>
      </c>
      <c r="S1639">
        <v>146.79</v>
      </c>
      <c r="T1639">
        <v>1</v>
      </c>
      <c r="U1639" s="1" t="s">
        <v>631</v>
      </c>
      <c r="V1639" s="1"/>
      <c r="W1639">
        <v>183.50001</v>
      </c>
      <c r="X1639">
        <v>0</v>
      </c>
      <c r="Y1639">
        <v>79476</v>
      </c>
    </row>
    <row r="1640" spans="1:25" ht="15" hidden="1" customHeight="1" x14ac:dyDescent="0.25">
      <c r="A1640" s="1" t="s">
        <v>31</v>
      </c>
      <c r="B1640" s="1"/>
      <c r="C1640" s="1" t="s">
        <v>157</v>
      </c>
      <c r="D1640">
        <v>10324</v>
      </c>
      <c r="E1640" s="1"/>
      <c r="F1640" s="1" t="s">
        <v>289</v>
      </c>
      <c r="G1640" s="1" t="s">
        <v>157</v>
      </c>
      <c r="H1640" s="1" t="s">
        <v>1405</v>
      </c>
      <c r="I1640">
        <v>2011</v>
      </c>
      <c r="J1640" s="93">
        <v>955.94</v>
      </c>
      <c r="K1640">
        <v>12</v>
      </c>
      <c r="L1640" s="1"/>
      <c r="M1640">
        <v>0</v>
      </c>
      <c r="N1640">
        <v>2027</v>
      </c>
      <c r="O1640">
        <v>0.47158</v>
      </c>
      <c r="P1640">
        <v>3</v>
      </c>
      <c r="Q1640" s="1" t="s">
        <v>560</v>
      </c>
      <c r="R1640" s="93">
        <v>955.94</v>
      </c>
      <c r="S1640">
        <v>764.74</v>
      </c>
      <c r="T1640">
        <v>0</v>
      </c>
      <c r="U1640" s="1"/>
      <c r="V1640" s="1"/>
      <c r="W1640">
        <v>955.93799999999999</v>
      </c>
      <c r="X1640">
        <v>0</v>
      </c>
      <c r="Y1640">
        <v>77833</v>
      </c>
    </row>
    <row r="1641" spans="1:25" ht="15" hidden="1" customHeight="1" x14ac:dyDescent="0.25">
      <c r="A1641" s="1" t="s">
        <v>31</v>
      </c>
      <c r="B1641" s="1"/>
      <c r="C1641" s="1" t="s">
        <v>157</v>
      </c>
      <c r="D1641">
        <v>10324</v>
      </c>
      <c r="E1641" s="1"/>
      <c r="F1641" s="1" t="s">
        <v>289</v>
      </c>
      <c r="G1641" s="1" t="s">
        <v>157</v>
      </c>
      <c r="H1641" s="1" t="s">
        <v>1405</v>
      </c>
      <c r="I1641">
        <v>2011</v>
      </c>
      <c r="J1641" s="93">
        <v>191.57</v>
      </c>
      <c r="K1641">
        <v>5</v>
      </c>
      <c r="L1641" s="1" t="s">
        <v>421</v>
      </c>
      <c r="M1641">
        <v>0</v>
      </c>
      <c r="N1641">
        <v>2027</v>
      </c>
      <c r="O1641">
        <v>9.4504000000000005E-2</v>
      </c>
      <c r="P1641">
        <v>3</v>
      </c>
      <c r="Q1641" s="1" t="s">
        <v>560</v>
      </c>
      <c r="R1641" s="93">
        <v>191.57</v>
      </c>
      <c r="S1641">
        <v>153.26</v>
      </c>
      <c r="T1641">
        <v>1</v>
      </c>
      <c r="U1641" s="1" t="s">
        <v>631</v>
      </c>
      <c r="V1641" s="1"/>
      <c r="W1641">
        <v>191.56818999999999</v>
      </c>
      <c r="X1641">
        <v>0</v>
      </c>
      <c r="Y1641">
        <v>79476</v>
      </c>
    </row>
    <row r="1642" spans="1:25" ht="15" hidden="1" customHeight="1" x14ac:dyDescent="0.25">
      <c r="A1642" s="1" t="s">
        <v>31</v>
      </c>
      <c r="B1642" s="1"/>
      <c r="C1642" s="1" t="s">
        <v>157</v>
      </c>
      <c r="D1642">
        <v>10324</v>
      </c>
      <c r="E1642" s="1"/>
      <c r="F1642" s="1" t="s">
        <v>289</v>
      </c>
      <c r="G1642" s="1" t="s">
        <v>157</v>
      </c>
      <c r="H1642" s="1" t="s">
        <v>1405</v>
      </c>
      <c r="I1642">
        <v>2010</v>
      </c>
      <c r="J1642" s="93">
        <v>1002.09</v>
      </c>
      <c r="K1642">
        <v>12</v>
      </c>
      <c r="L1642" s="1"/>
      <c r="M1642">
        <v>0</v>
      </c>
      <c r="N1642">
        <v>2027</v>
      </c>
      <c r="O1642">
        <v>0.49434600000000001</v>
      </c>
      <c r="P1642">
        <v>3</v>
      </c>
      <c r="Q1642" s="1" t="s">
        <v>560</v>
      </c>
      <c r="R1642" s="93">
        <v>1002.09</v>
      </c>
      <c r="S1642">
        <v>801.7</v>
      </c>
      <c r="T1642">
        <v>0</v>
      </c>
      <c r="U1642" s="1"/>
      <c r="V1642" s="1"/>
      <c r="W1642">
        <v>1002.097</v>
      </c>
      <c r="X1642">
        <v>0</v>
      </c>
      <c r="Y1642">
        <v>77833</v>
      </c>
    </row>
    <row r="1643" spans="1:25" ht="15" hidden="1" customHeight="1" x14ac:dyDescent="0.25">
      <c r="A1643" s="1" t="s">
        <v>31</v>
      </c>
      <c r="B1643" s="1"/>
      <c r="C1643" s="1" t="s">
        <v>157</v>
      </c>
      <c r="D1643">
        <v>10324</v>
      </c>
      <c r="E1643" s="1"/>
      <c r="F1643" s="1" t="s">
        <v>289</v>
      </c>
      <c r="G1643" s="1" t="s">
        <v>157</v>
      </c>
      <c r="H1643" s="1" t="s">
        <v>1405</v>
      </c>
      <c r="I1643">
        <v>2010</v>
      </c>
      <c r="J1643" s="93">
        <v>347.29</v>
      </c>
      <c r="K1643">
        <v>3</v>
      </c>
      <c r="L1643" s="1" t="s">
        <v>421</v>
      </c>
      <c r="M1643">
        <v>0</v>
      </c>
      <c r="N1643">
        <v>2027</v>
      </c>
      <c r="O1643">
        <v>0.171323</v>
      </c>
      <c r="P1643">
        <v>3</v>
      </c>
      <c r="Q1643" s="1" t="s">
        <v>560</v>
      </c>
      <c r="R1643" s="93">
        <v>347.29</v>
      </c>
      <c r="S1643">
        <v>277.81</v>
      </c>
      <c r="T1643">
        <v>1</v>
      </c>
      <c r="U1643" s="1" t="s">
        <v>631</v>
      </c>
      <c r="V1643" s="1"/>
      <c r="W1643">
        <v>347.28356000000002</v>
      </c>
      <c r="X1643">
        <v>0</v>
      </c>
      <c r="Y1643">
        <v>79476</v>
      </c>
    </row>
    <row r="1644" spans="1:25" ht="15" hidden="1" customHeight="1" x14ac:dyDescent="0.25">
      <c r="A1644" s="1" t="s">
        <v>31</v>
      </c>
      <c r="B1644" s="1"/>
      <c r="C1644" s="1" t="s">
        <v>157</v>
      </c>
      <c r="D1644">
        <v>10324</v>
      </c>
      <c r="E1644" s="1"/>
      <c r="F1644" s="1" t="s">
        <v>289</v>
      </c>
      <c r="G1644" s="1" t="s">
        <v>157</v>
      </c>
      <c r="H1644" s="1" t="s">
        <v>1405</v>
      </c>
      <c r="I1644">
        <v>2009</v>
      </c>
      <c r="J1644" s="93">
        <v>1249.68</v>
      </c>
      <c r="K1644">
        <v>12</v>
      </c>
      <c r="L1644" s="1"/>
      <c r="M1644">
        <v>0</v>
      </c>
      <c r="N1644">
        <v>2027</v>
      </c>
      <c r="O1644">
        <v>0.61648599999999998</v>
      </c>
      <c r="P1644">
        <v>3</v>
      </c>
      <c r="Q1644" s="1" t="s">
        <v>560</v>
      </c>
      <c r="R1644" s="93">
        <v>1249.68</v>
      </c>
      <c r="S1644">
        <v>999.75</v>
      </c>
      <c r="T1644">
        <v>0</v>
      </c>
      <c r="U1644" s="1"/>
      <c r="V1644" s="1"/>
      <c r="W1644">
        <v>1249.6790000000001</v>
      </c>
      <c r="X1644">
        <v>0</v>
      </c>
      <c r="Y1644">
        <v>77833</v>
      </c>
    </row>
    <row r="1645" spans="1:25" ht="15" hidden="1" customHeight="1" x14ac:dyDescent="0.25">
      <c r="A1645" s="1" t="s">
        <v>31</v>
      </c>
      <c r="B1645" s="1"/>
      <c r="C1645" s="1" t="s">
        <v>157</v>
      </c>
      <c r="D1645">
        <v>10324</v>
      </c>
      <c r="E1645" s="1"/>
      <c r="F1645" s="1" t="s">
        <v>289</v>
      </c>
      <c r="G1645" s="1" t="s">
        <v>157</v>
      </c>
      <c r="H1645" s="1" t="s">
        <v>1405</v>
      </c>
      <c r="I1645">
        <v>2009</v>
      </c>
      <c r="J1645" s="93">
        <v>347.6</v>
      </c>
      <c r="K1645">
        <v>2</v>
      </c>
      <c r="L1645" s="1" t="s">
        <v>421</v>
      </c>
      <c r="M1645">
        <v>0</v>
      </c>
      <c r="N1645">
        <v>2027</v>
      </c>
      <c r="O1645">
        <v>0.17147599999999999</v>
      </c>
      <c r="P1645">
        <v>3</v>
      </c>
      <c r="Q1645" s="1" t="s">
        <v>560</v>
      </c>
      <c r="R1645" s="93">
        <v>347.6</v>
      </c>
      <c r="S1645">
        <v>278.06</v>
      </c>
      <c r="T1645">
        <v>1</v>
      </c>
      <c r="U1645" s="1" t="s">
        <v>631</v>
      </c>
      <c r="V1645" s="1"/>
      <c r="W1645">
        <v>347.60160999999999</v>
      </c>
      <c r="X1645">
        <v>0</v>
      </c>
      <c r="Y1645">
        <v>79476</v>
      </c>
    </row>
    <row r="1646" spans="1:25" ht="15" hidden="1" customHeight="1" x14ac:dyDescent="0.25">
      <c r="A1646" s="1" t="s">
        <v>31</v>
      </c>
      <c r="B1646" s="1"/>
      <c r="C1646" s="1" t="s">
        <v>157</v>
      </c>
      <c r="D1646">
        <v>10324</v>
      </c>
      <c r="E1646" s="1"/>
      <c r="F1646" s="1" t="s">
        <v>289</v>
      </c>
      <c r="G1646" s="1" t="s">
        <v>157</v>
      </c>
      <c r="H1646" s="1" t="s">
        <v>1405</v>
      </c>
      <c r="I1646">
        <v>2008</v>
      </c>
      <c r="J1646" s="93">
        <v>885.12</v>
      </c>
      <c r="K1646">
        <v>12</v>
      </c>
      <c r="L1646" s="1"/>
      <c r="M1646">
        <v>0</v>
      </c>
      <c r="N1646">
        <v>2027</v>
      </c>
      <c r="O1646">
        <v>0.436643</v>
      </c>
      <c r="P1646">
        <v>3</v>
      </c>
      <c r="Q1646" s="1" t="s">
        <v>560</v>
      </c>
      <c r="R1646" s="93">
        <v>885.12</v>
      </c>
      <c r="S1646">
        <v>708.08</v>
      </c>
      <c r="T1646">
        <v>0</v>
      </c>
      <c r="U1646" s="1"/>
      <c r="V1646" s="1"/>
      <c r="W1646">
        <v>885.11</v>
      </c>
      <c r="X1646">
        <v>0</v>
      </c>
      <c r="Y1646">
        <v>77833</v>
      </c>
    </row>
    <row r="1647" spans="1:25" ht="15" hidden="1" customHeight="1" x14ac:dyDescent="0.25">
      <c r="A1647" s="1" t="s">
        <v>31</v>
      </c>
      <c r="B1647" s="1"/>
      <c r="C1647" s="1" t="s">
        <v>157</v>
      </c>
      <c r="D1647">
        <v>10324</v>
      </c>
      <c r="E1647" s="1"/>
      <c r="F1647" s="1" t="s">
        <v>289</v>
      </c>
      <c r="G1647" s="1" t="s">
        <v>157</v>
      </c>
      <c r="H1647" s="1" t="s">
        <v>1405</v>
      </c>
      <c r="I1647">
        <v>2008</v>
      </c>
      <c r="J1647" s="93">
        <v>191.35</v>
      </c>
      <c r="K1647">
        <v>2</v>
      </c>
      <c r="L1647" s="1" t="s">
        <v>430</v>
      </c>
      <c r="M1647">
        <v>0</v>
      </c>
      <c r="N1647">
        <v>2027</v>
      </c>
      <c r="O1647">
        <v>9.4395000000000007E-2</v>
      </c>
      <c r="P1647">
        <v>3</v>
      </c>
      <c r="Q1647" s="1" t="s">
        <v>560</v>
      </c>
      <c r="R1647" s="93">
        <v>191.35</v>
      </c>
      <c r="S1647">
        <v>153.08000000000001</v>
      </c>
      <c r="T1647">
        <v>0</v>
      </c>
      <c r="U1647" s="1" t="s">
        <v>632</v>
      </c>
      <c r="V1647" s="1"/>
      <c r="W1647">
        <v>191.35484</v>
      </c>
      <c r="X1647">
        <v>0</v>
      </c>
      <c r="Y1647">
        <v>77897</v>
      </c>
    </row>
    <row r="1648" spans="1:25" ht="15" hidden="1" customHeight="1" x14ac:dyDescent="0.25">
      <c r="A1648" s="1" t="s">
        <v>31</v>
      </c>
      <c r="B1648" s="1"/>
      <c r="C1648" s="1" t="s">
        <v>157</v>
      </c>
      <c r="D1648">
        <v>10324</v>
      </c>
      <c r="E1648" s="1"/>
      <c r="F1648" s="1" t="s">
        <v>289</v>
      </c>
      <c r="G1648" s="1" t="s">
        <v>157</v>
      </c>
      <c r="H1648" s="1" t="s">
        <v>1405</v>
      </c>
      <c r="I1648">
        <v>2008</v>
      </c>
      <c r="J1648" s="93">
        <v>242.81</v>
      </c>
      <c r="K1648">
        <v>7</v>
      </c>
      <c r="L1648" s="1" t="s">
        <v>421</v>
      </c>
      <c r="M1648">
        <v>0</v>
      </c>
      <c r="N1648">
        <v>2027</v>
      </c>
      <c r="O1648">
        <v>0.119781</v>
      </c>
      <c r="P1648">
        <v>3</v>
      </c>
      <c r="Q1648" s="1" t="s">
        <v>560</v>
      </c>
      <c r="R1648" s="93">
        <v>242.81</v>
      </c>
      <c r="S1648">
        <v>194.25</v>
      </c>
      <c r="T1648">
        <v>1</v>
      </c>
      <c r="U1648" s="1" t="s">
        <v>631</v>
      </c>
      <c r="V1648" s="1"/>
      <c r="W1648">
        <v>242.80473000000001</v>
      </c>
      <c r="X1648">
        <v>0</v>
      </c>
      <c r="Y1648">
        <v>79476</v>
      </c>
    </row>
    <row r="1649" spans="1:25" ht="15" hidden="1" customHeight="1" x14ac:dyDescent="0.25">
      <c r="A1649" s="1" t="s">
        <v>31</v>
      </c>
      <c r="B1649" s="1"/>
      <c r="C1649" s="1" t="s">
        <v>158</v>
      </c>
      <c r="D1649">
        <v>9521</v>
      </c>
      <c r="E1649" s="1"/>
      <c r="F1649" s="1" t="s">
        <v>290</v>
      </c>
      <c r="G1649" s="1" t="s">
        <v>158</v>
      </c>
      <c r="H1649" s="1" t="s">
        <v>1405</v>
      </c>
      <c r="I1649">
        <v>2015</v>
      </c>
      <c r="J1649" s="93">
        <v>538</v>
      </c>
      <c r="K1649">
        <v>5</v>
      </c>
      <c r="L1649" s="1"/>
      <c r="M1649">
        <v>0</v>
      </c>
      <c r="N1649">
        <v>2433</v>
      </c>
      <c r="O1649">
        <v>0.105088</v>
      </c>
      <c r="P1649">
        <v>3</v>
      </c>
      <c r="Q1649" s="1" t="s">
        <v>560</v>
      </c>
      <c r="R1649" s="93">
        <v>255.69</v>
      </c>
      <c r="S1649">
        <v>204.56</v>
      </c>
      <c r="T1649">
        <v>0</v>
      </c>
      <c r="U1649" s="1" t="s">
        <v>633</v>
      </c>
      <c r="V1649" s="1"/>
      <c r="W1649">
        <v>255.69499999999999</v>
      </c>
      <c r="X1649">
        <v>0</v>
      </c>
      <c r="Y1649">
        <v>74442</v>
      </c>
    </row>
    <row r="1650" spans="1:25" ht="15" hidden="1" customHeight="1" x14ac:dyDescent="0.25">
      <c r="A1650" s="1" t="s">
        <v>31</v>
      </c>
      <c r="B1650" s="1"/>
      <c r="C1650" s="1" t="s">
        <v>158</v>
      </c>
      <c r="D1650">
        <v>9521</v>
      </c>
      <c r="E1650" s="1"/>
      <c r="F1650" s="1" t="s">
        <v>290</v>
      </c>
      <c r="G1650" s="1" t="s">
        <v>158</v>
      </c>
      <c r="H1650" s="1" t="s">
        <v>1405</v>
      </c>
      <c r="I1650">
        <v>2015</v>
      </c>
      <c r="J1650" s="93">
        <v>0</v>
      </c>
      <c r="K1650">
        <v>5</v>
      </c>
      <c r="L1650" s="1"/>
      <c r="M1650">
        <v>0</v>
      </c>
      <c r="N1650">
        <v>2433</v>
      </c>
      <c r="O1650">
        <v>3.9620000000000002E-2</v>
      </c>
      <c r="P1650">
        <v>3</v>
      </c>
      <c r="Q1650" s="1" t="s">
        <v>560</v>
      </c>
      <c r="R1650" s="93">
        <v>96.4</v>
      </c>
      <c r="S1650">
        <v>0</v>
      </c>
      <c r="T1650">
        <v>1</v>
      </c>
      <c r="U1650" s="1" t="s">
        <v>634</v>
      </c>
      <c r="V1650" s="1"/>
      <c r="W1650">
        <v>96.397999999999996</v>
      </c>
      <c r="X1650">
        <v>0</v>
      </c>
      <c r="Y1650">
        <v>74444</v>
      </c>
    </row>
    <row r="1651" spans="1:25" ht="15" hidden="1" customHeight="1" x14ac:dyDescent="0.25">
      <c r="A1651" s="1" t="s">
        <v>31</v>
      </c>
      <c r="B1651" s="1"/>
      <c r="C1651" s="1" t="s">
        <v>158</v>
      </c>
      <c r="D1651">
        <v>9521</v>
      </c>
      <c r="E1651" s="1"/>
      <c r="F1651" s="1" t="s">
        <v>290</v>
      </c>
      <c r="G1651" s="1" t="s">
        <v>158</v>
      </c>
      <c r="H1651" s="1" t="s">
        <v>1405</v>
      </c>
      <c r="I1651">
        <v>2013</v>
      </c>
      <c r="J1651" s="93">
        <v>692.92</v>
      </c>
      <c r="K1651">
        <v>12</v>
      </c>
      <c r="L1651" s="1"/>
      <c r="M1651">
        <v>0</v>
      </c>
      <c r="N1651">
        <v>2433</v>
      </c>
      <c r="O1651">
        <v>0.28478799999999999</v>
      </c>
      <c r="P1651">
        <v>3</v>
      </c>
      <c r="Q1651" s="1" t="s">
        <v>560</v>
      </c>
      <c r="R1651" s="93">
        <v>692.92</v>
      </c>
      <c r="S1651">
        <v>554.35</v>
      </c>
      <c r="T1651">
        <v>0</v>
      </c>
      <c r="U1651" s="1" t="s">
        <v>633</v>
      </c>
      <c r="V1651" s="1"/>
      <c r="W1651">
        <v>692.93</v>
      </c>
      <c r="X1651">
        <v>0</v>
      </c>
      <c r="Y1651">
        <v>74442</v>
      </c>
    </row>
    <row r="1652" spans="1:25" ht="15" hidden="1" customHeight="1" x14ac:dyDescent="0.25">
      <c r="A1652" s="1" t="s">
        <v>31</v>
      </c>
      <c r="B1652" s="1"/>
      <c r="C1652" s="1" t="s">
        <v>158</v>
      </c>
      <c r="D1652">
        <v>9521</v>
      </c>
      <c r="E1652" s="1"/>
      <c r="F1652" s="1" t="s">
        <v>290</v>
      </c>
      <c r="G1652" s="1" t="s">
        <v>158</v>
      </c>
      <c r="H1652" s="1" t="s">
        <v>1405</v>
      </c>
      <c r="I1652">
        <v>2013</v>
      </c>
      <c r="J1652" s="93">
        <v>218.05</v>
      </c>
      <c r="K1652">
        <v>12</v>
      </c>
      <c r="L1652" s="1"/>
      <c r="M1652">
        <v>0</v>
      </c>
      <c r="N1652">
        <v>2433</v>
      </c>
      <c r="O1652">
        <v>8.9618000000000003E-2</v>
      </c>
      <c r="P1652">
        <v>3</v>
      </c>
      <c r="Q1652" s="1" t="s">
        <v>560</v>
      </c>
      <c r="R1652" s="93">
        <v>218.05</v>
      </c>
      <c r="S1652">
        <v>0</v>
      </c>
      <c r="T1652">
        <v>1</v>
      </c>
      <c r="U1652" s="1" t="s">
        <v>634</v>
      </c>
      <c r="V1652" s="1"/>
      <c r="W1652">
        <v>218.05099999999999</v>
      </c>
      <c r="X1652">
        <v>0</v>
      </c>
      <c r="Y1652">
        <v>74444</v>
      </c>
    </row>
    <row r="1653" spans="1:25" ht="15" hidden="1" customHeight="1" x14ac:dyDescent="0.25">
      <c r="A1653" s="1" t="s">
        <v>31</v>
      </c>
      <c r="B1653" s="1"/>
      <c r="C1653" s="1" t="s">
        <v>158</v>
      </c>
      <c r="D1653">
        <v>9521</v>
      </c>
      <c r="E1653" s="1"/>
      <c r="F1653" s="1" t="s">
        <v>290</v>
      </c>
      <c r="G1653" s="1" t="s">
        <v>158</v>
      </c>
      <c r="H1653" s="1" t="s">
        <v>1405</v>
      </c>
      <c r="I1653">
        <v>2012</v>
      </c>
      <c r="J1653" s="93">
        <v>599.14</v>
      </c>
      <c r="K1653">
        <v>12</v>
      </c>
      <c r="L1653" s="1"/>
      <c r="M1653">
        <v>0</v>
      </c>
      <c r="N1653">
        <v>2433</v>
      </c>
      <c r="O1653">
        <v>0.24624499999999999</v>
      </c>
      <c r="P1653">
        <v>3</v>
      </c>
      <c r="Q1653" s="1" t="s">
        <v>560</v>
      </c>
      <c r="R1653" s="93">
        <v>599.14</v>
      </c>
      <c r="S1653">
        <v>479.31</v>
      </c>
      <c r="T1653">
        <v>0</v>
      </c>
      <c r="U1653" s="1" t="s">
        <v>633</v>
      </c>
      <c r="V1653" s="1"/>
      <c r="W1653">
        <v>599.14499999999998</v>
      </c>
      <c r="X1653">
        <v>0</v>
      </c>
      <c r="Y1653">
        <v>74442</v>
      </c>
    </row>
    <row r="1654" spans="1:25" ht="15" hidden="1" customHeight="1" x14ac:dyDescent="0.25">
      <c r="A1654" s="1" t="s">
        <v>31</v>
      </c>
      <c r="B1654" s="1"/>
      <c r="C1654" s="1" t="s">
        <v>158</v>
      </c>
      <c r="D1654">
        <v>9521</v>
      </c>
      <c r="E1654" s="1"/>
      <c r="F1654" s="1" t="s">
        <v>290</v>
      </c>
      <c r="G1654" s="1" t="s">
        <v>158</v>
      </c>
      <c r="H1654" s="1" t="s">
        <v>1405</v>
      </c>
      <c r="I1654">
        <v>2012</v>
      </c>
      <c r="J1654" s="93">
        <v>164.39</v>
      </c>
      <c r="K1654">
        <v>12</v>
      </c>
      <c r="L1654" s="1"/>
      <c r="M1654">
        <v>0</v>
      </c>
      <c r="N1654">
        <v>2433</v>
      </c>
      <c r="O1654">
        <v>6.7563999999999999E-2</v>
      </c>
      <c r="P1654">
        <v>3</v>
      </c>
      <c r="Q1654" s="1" t="s">
        <v>560</v>
      </c>
      <c r="R1654" s="93">
        <v>164.39</v>
      </c>
      <c r="S1654">
        <v>0</v>
      </c>
      <c r="T1654">
        <v>1</v>
      </c>
      <c r="U1654" s="1" t="s">
        <v>634</v>
      </c>
      <c r="V1654" s="1"/>
      <c r="W1654">
        <v>164.39500000000001</v>
      </c>
      <c r="X1654">
        <v>0</v>
      </c>
      <c r="Y1654">
        <v>74444</v>
      </c>
    </row>
    <row r="1655" spans="1:25" ht="15" hidden="1" customHeight="1" x14ac:dyDescent="0.25">
      <c r="A1655" s="1" t="s">
        <v>31</v>
      </c>
      <c r="B1655" s="1"/>
      <c r="C1655" s="1" t="s">
        <v>158</v>
      </c>
      <c r="D1655">
        <v>9521</v>
      </c>
      <c r="E1655" s="1"/>
      <c r="F1655" s="1" t="s">
        <v>290</v>
      </c>
      <c r="G1655" s="1" t="s">
        <v>158</v>
      </c>
      <c r="H1655" s="1" t="s">
        <v>1405</v>
      </c>
      <c r="I1655">
        <v>2011</v>
      </c>
      <c r="J1655" s="93">
        <v>478.62</v>
      </c>
      <c r="K1655">
        <v>12</v>
      </c>
      <c r="L1655" s="1"/>
      <c r="M1655">
        <v>0</v>
      </c>
      <c r="N1655">
        <v>2433</v>
      </c>
      <c r="O1655">
        <v>0.196712</v>
      </c>
      <c r="P1655">
        <v>3</v>
      </c>
      <c r="Q1655" s="1" t="s">
        <v>560</v>
      </c>
      <c r="R1655" s="93">
        <v>478.62</v>
      </c>
      <c r="S1655">
        <v>382.89</v>
      </c>
      <c r="T1655">
        <v>0</v>
      </c>
      <c r="U1655" s="1" t="s">
        <v>633</v>
      </c>
      <c r="V1655" s="1"/>
      <c r="W1655">
        <v>478.61399999999998</v>
      </c>
      <c r="X1655">
        <v>0</v>
      </c>
      <c r="Y1655">
        <v>74442</v>
      </c>
    </row>
    <row r="1656" spans="1:25" ht="15" hidden="1" customHeight="1" x14ac:dyDescent="0.25">
      <c r="A1656" s="1" t="s">
        <v>31</v>
      </c>
      <c r="B1656" s="1"/>
      <c r="C1656" s="1" t="s">
        <v>158</v>
      </c>
      <c r="D1656">
        <v>9521</v>
      </c>
      <c r="E1656" s="1"/>
      <c r="F1656" s="1" t="s">
        <v>290</v>
      </c>
      <c r="G1656" s="1" t="s">
        <v>158</v>
      </c>
      <c r="H1656" s="1" t="s">
        <v>1405</v>
      </c>
      <c r="I1656">
        <v>2011</v>
      </c>
      <c r="J1656" s="93">
        <v>167.78</v>
      </c>
      <c r="K1656">
        <v>12</v>
      </c>
      <c r="L1656" s="1"/>
      <c r="M1656">
        <v>0</v>
      </c>
      <c r="N1656">
        <v>2433</v>
      </c>
      <c r="O1656">
        <v>6.8957000000000004E-2</v>
      </c>
      <c r="P1656">
        <v>3</v>
      </c>
      <c r="Q1656" s="1" t="s">
        <v>560</v>
      </c>
      <c r="R1656" s="93">
        <v>167.78</v>
      </c>
      <c r="S1656">
        <v>0</v>
      </c>
      <c r="T1656">
        <v>1</v>
      </c>
      <c r="U1656" s="1" t="s">
        <v>634</v>
      </c>
      <c r="V1656" s="1"/>
      <c r="W1656">
        <v>167.78700000000001</v>
      </c>
      <c r="X1656">
        <v>0</v>
      </c>
      <c r="Y1656">
        <v>74444</v>
      </c>
    </row>
    <row r="1657" spans="1:25" ht="15" hidden="1" customHeight="1" x14ac:dyDescent="0.25">
      <c r="A1657" s="1" t="s">
        <v>31</v>
      </c>
      <c r="B1657" s="1"/>
      <c r="C1657" s="1" t="s">
        <v>158</v>
      </c>
      <c r="D1657">
        <v>9521</v>
      </c>
      <c r="E1657" s="1"/>
      <c r="F1657" s="1" t="s">
        <v>290</v>
      </c>
      <c r="G1657" s="1" t="s">
        <v>158</v>
      </c>
      <c r="H1657" s="1" t="s">
        <v>1405</v>
      </c>
      <c r="I1657">
        <v>2010</v>
      </c>
      <c r="J1657" s="93">
        <v>794.35</v>
      </c>
      <c r="K1657">
        <v>12</v>
      </c>
      <c r="L1657" s="1"/>
      <c r="M1657">
        <v>0</v>
      </c>
      <c r="N1657">
        <v>2433</v>
      </c>
      <c r="O1657">
        <v>0.32647599999999999</v>
      </c>
      <c r="P1657">
        <v>3</v>
      </c>
      <c r="Q1657" s="1" t="s">
        <v>560</v>
      </c>
      <c r="R1657" s="93">
        <v>794.35</v>
      </c>
      <c r="S1657">
        <v>635.48</v>
      </c>
      <c r="T1657">
        <v>0</v>
      </c>
      <c r="U1657" s="1" t="s">
        <v>633</v>
      </c>
      <c r="V1657" s="1"/>
      <c r="W1657">
        <v>794.34900000000005</v>
      </c>
      <c r="X1657">
        <v>0</v>
      </c>
      <c r="Y1657">
        <v>74442</v>
      </c>
    </row>
    <row r="1658" spans="1:25" ht="15" hidden="1" customHeight="1" x14ac:dyDescent="0.25">
      <c r="A1658" s="1" t="s">
        <v>31</v>
      </c>
      <c r="B1658" s="1"/>
      <c r="C1658" s="1" t="s">
        <v>158</v>
      </c>
      <c r="D1658">
        <v>9521</v>
      </c>
      <c r="E1658" s="1"/>
      <c r="F1658" s="1" t="s">
        <v>290</v>
      </c>
      <c r="G1658" s="1" t="s">
        <v>158</v>
      </c>
      <c r="H1658" s="1" t="s">
        <v>1405</v>
      </c>
      <c r="I1658">
        <v>2010</v>
      </c>
      <c r="J1658" s="93">
        <v>240.54</v>
      </c>
      <c r="K1658">
        <v>12</v>
      </c>
      <c r="L1658" s="1"/>
      <c r="M1658">
        <v>0</v>
      </c>
      <c r="N1658">
        <v>2433</v>
      </c>
      <c r="O1658">
        <v>9.8861000000000004E-2</v>
      </c>
      <c r="P1658">
        <v>3</v>
      </c>
      <c r="Q1658" s="1" t="s">
        <v>560</v>
      </c>
      <c r="R1658" s="93">
        <v>240.54</v>
      </c>
      <c r="S1658">
        <v>0</v>
      </c>
      <c r="T1658">
        <v>1</v>
      </c>
      <c r="U1658" s="1" t="s">
        <v>634</v>
      </c>
      <c r="V1658" s="1"/>
      <c r="W1658">
        <v>240.54</v>
      </c>
      <c r="X1658">
        <v>0</v>
      </c>
      <c r="Y1658">
        <v>74444</v>
      </c>
    </row>
    <row r="1659" spans="1:25" ht="15" hidden="1" customHeight="1" x14ac:dyDescent="0.25">
      <c r="A1659" s="1" t="s">
        <v>31</v>
      </c>
      <c r="B1659" s="1"/>
      <c r="C1659" s="1" t="s">
        <v>158</v>
      </c>
      <c r="D1659">
        <v>9521</v>
      </c>
      <c r="E1659" s="1"/>
      <c r="F1659" s="1" t="s">
        <v>290</v>
      </c>
      <c r="G1659" s="1" t="s">
        <v>158</v>
      </c>
      <c r="H1659" s="1" t="s">
        <v>1405</v>
      </c>
      <c r="I1659">
        <v>2009</v>
      </c>
      <c r="J1659" s="93">
        <v>843.44</v>
      </c>
      <c r="K1659">
        <v>12</v>
      </c>
      <c r="L1659" s="1"/>
      <c r="M1659">
        <v>0</v>
      </c>
      <c r="N1659">
        <v>2433</v>
      </c>
      <c r="O1659">
        <v>0.34665200000000002</v>
      </c>
      <c r="P1659">
        <v>3</v>
      </c>
      <c r="Q1659" s="1" t="s">
        <v>560</v>
      </c>
      <c r="R1659" s="93">
        <v>843.44</v>
      </c>
      <c r="S1659">
        <v>674.74</v>
      </c>
      <c r="T1659">
        <v>0</v>
      </c>
      <c r="U1659" s="1" t="s">
        <v>633</v>
      </c>
      <c r="V1659" s="1"/>
      <c r="W1659">
        <v>843.42200000000003</v>
      </c>
      <c r="X1659">
        <v>0</v>
      </c>
      <c r="Y1659">
        <v>74442</v>
      </c>
    </row>
    <row r="1660" spans="1:25" ht="15" hidden="1" customHeight="1" x14ac:dyDescent="0.25">
      <c r="A1660" s="1" t="s">
        <v>31</v>
      </c>
      <c r="B1660" s="1"/>
      <c r="C1660" s="1" t="s">
        <v>158</v>
      </c>
      <c r="D1660">
        <v>9521</v>
      </c>
      <c r="E1660" s="1"/>
      <c r="F1660" s="1" t="s">
        <v>290</v>
      </c>
      <c r="G1660" s="1" t="s">
        <v>158</v>
      </c>
      <c r="H1660" s="1" t="s">
        <v>1405</v>
      </c>
      <c r="I1660">
        <v>2009</v>
      </c>
      <c r="J1660" s="93">
        <v>289.83999999999997</v>
      </c>
      <c r="K1660">
        <v>12</v>
      </c>
      <c r="L1660" s="1"/>
      <c r="M1660">
        <v>0</v>
      </c>
      <c r="N1660">
        <v>2433</v>
      </c>
      <c r="O1660">
        <v>0.11912300000000001</v>
      </c>
      <c r="P1660">
        <v>3</v>
      </c>
      <c r="Q1660" s="1" t="s">
        <v>560</v>
      </c>
      <c r="R1660" s="93">
        <v>289.83999999999997</v>
      </c>
      <c r="S1660">
        <v>0</v>
      </c>
      <c r="T1660">
        <v>1</v>
      </c>
      <c r="U1660" s="1" t="s">
        <v>634</v>
      </c>
      <c r="V1660" s="1"/>
      <c r="W1660">
        <v>289.83699999999999</v>
      </c>
      <c r="X1660">
        <v>0</v>
      </c>
      <c r="Y1660">
        <v>74444</v>
      </c>
    </row>
    <row r="1661" spans="1:25" ht="15" hidden="1" customHeight="1" x14ac:dyDescent="0.25">
      <c r="A1661" s="1" t="s">
        <v>31</v>
      </c>
      <c r="B1661" s="1"/>
      <c r="C1661" s="1" t="s">
        <v>158</v>
      </c>
      <c r="D1661">
        <v>9521</v>
      </c>
      <c r="E1661" s="1"/>
      <c r="F1661" s="1" t="s">
        <v>290</v>
      </c>
      <c r="G1661" s="1" t="s">
        <v>158</v>
      </c>
      <c r="H1661" s="1" t="s">
        <v>1405</v>
      </c>
      <c r="I1661">
        <v>2008</v>
      </c>
      <c r="J1661" s="93">
        <v>737.98</v>
      </c>
      <c r="K1661">
        <v>12</v>
      </c>
      <c r="L1661" s="1"/>
      <c r="M1661">
        <v>0</v>
      </c>
      <c r="N1661">
        <v>2433</v>
      </c>
      <c r="O1661">
        <v>0.30330800000000002</v>
      </c>
      <c r="P1661">
        <v>3</v>
      </c>
      <c r="Q1661" s="1" t="s">
        <v>560</v>
      </c>
      <c r="R1661" s="93">
        <v>737.98</v>
      </c>
      <c r="S1661">
        <v>590.37</v>
      </c>
      <c r="T1661">
        <v>0</v>
      </c>
      <c r="U1661" s="1" t="s">
        <v>633</v>
      </c>
      <c r="V1661" s="1"/>
      <c r="W1661">
        <v>737.97699999999998</v>
      </c>
      <c r="X1661">
        <v>0</v>
      </c>
      <c r="Y1661">
        <v>74442</v>
      </c>
    </row>
    <row r="1662" spans="1:25" ht="15" hidden="1" customHeight="1" x14ac:dyDescent="0.25">
      <c r="A1662" s="1" t="s">
        <v>31</v>
      </c>
      <c r="B1662" s="1"/>
      <c r="C1662" s="1" t="s">
        <v>158</v>
      </c>
      <c r="D1662">
        <v>9521</v>
      </c>
      <c r="E1662" s="1"/>
      <c r="F1662" s="1" t="s">
        <v>290</v>
      </c>
      <c r="G1662" s="1" t="s">
        <v>158</v>
      </c>
      <c r="H1662" s="1" t="s">
        <v>1405</v>
      </c>
      <c r="I1662">
        <v>2008</v>
      </c>
      <c r="J1662" s="93">
        <v>227.88</v>
      </c>
      <c r="K1662">
        <v>12</v>
      </c>
      <c r="L1662" s="1"/>
      <c r="M1662">
        <v>0</v>
      </c>
      <c r="N1662">
        <v>2433</v>
      </c>
      <c r="O1662">
        <v>9.3658000000000005E-2</v>
      </c>
      <c r="P1662">
        <v>3</v>
      </c>
      <c r="Q1662" s="1" t="s">
        <v>560</v>
      </c>
      <c r="R1662" s="93">
        <v>227.88</v>
      </c>
      <c r="S1662">
        <v>0</v>
      </c>
      <c r="T1662">
        <v>1</v>
      </c>
      <c r="U1662" s="1" t="s">
        <v>634</v>
      </c>
      <c r="V1662" s="1"/>
      <c r="W1662">
        <v>227.89500000000001</v>
      </c>
      <c r="X1662">
        <v>0</v>
      </c>
      <c r="Y1662">
        <v>74444</v>
      </c>
    </row>
    <row r="1663" spans="1:25" ht="15" hidden="1" customHeight="1" x14ac:dyDescent="0.25">
      <c r="A1663" s="1" t="s">
        <v>31</v>
      </c>
      <c r="B1663" s="1"/>
      <c r="C1663" s="1" t="s">
        <v>159</v>
      </c>
      <c r="D1663">
        <v>9523</v>
      </c>
      <c r="E1663" s="1"/>
      <c r="F1663" s="1" t="s">
        <v>291</v>
      </c>
      <c r="G1663" s="1" t="s">
        <v>1397</v>
      </c>
      <c r="H1663" s="1" t="s">
        <v>1405</v>
      </c>
      <c r="I1663">
        <v>2015</v>
      </c>
      <c r="J1663" s="93">
        <v>345</v>
      </c>
      <c r="K1663">
        <v>5</v>
      </c>
      <c r="L1663" s="1"/>
      <c r="M1663">
        <v>0</v>
      </c>
      <c r="N1663">
        <v>2103</v>
      </c>
      <c r="O1663">
        <v>8.2288E-2</v>
      </c>
      <c r="P1663">
        <v>3</v>
      </c>
      <c r="Q1663" s="1" t="s">
        <v>560</v>
      </c>
      <c r="R1663" s="93">
        <v>173.06</v>
      </c>
      <c r="S1663">
        <v>138.44999999999999</v>
      </c>
      <c r="T1663">
        <v>0</v>
      </c>
      <c r="U1663" s="1"/>
      <c r="V1663" s="1"/>
      <c r="W1663">
        <v>173.06</v>
      </c>
      <c r="X1663">
        <v>0</v>
      </c>
      <c r="Y1663">
        <v>74452</v>
      </c>
    </row>
    <row r="1664" spans="1:25" ht="15" hidden="1" customHeight="1" x14ac:dyDescent="0.25">
      <c r="A1664" s="1" t="s">
        <v>31</v>
      </c>
      <c r="B1664" s="1"/>
      <c r="C1664" s="1" t="s">
        <v>159</v>
      </c>
      <c r="D1664">
        <v>9523</v>
      </c>
      <c r="E1664" s="1"/>
      <c r="F1664" s="1" t="s">
        <v>291</v>
      </c>
      <c r="G1664" s="1" t="s">
        <v>1397</v>
      </c>
      <c r="H1664" s="1" t="s">
        <v>1405</v>
      </c>
      <c r="I1664">
        <v>2013</v>
      </c>
      <c r="J1664" s="93">
        <v>420.27</v>
      </c>
      <c r="K1664">
        <v>12</v>
      </c>
      <c r="L1664" s="1"/>
      <c r="M1664">
        <v>0</v>
      </c>
      <c r="N1664">
        <v>2103</v>
      </c>
      <c r="O1664">
        <v>0.19983300000000001</v>
      </c>
      <c r="P1664">
        <v>3</v>
      </c>
      <c r="Q1664" s="1" t="s">
        <v>560</v>
      </c>
      <c r="R1664" s="93">
        <v>420.27</v>
      </c>
      <c r="S1664">
        <v>336.21</v>
      </c>
      <c r="T1664">
        <v>0</v>
      </c>
      <c r="U1664" s="1"/>
      <c r="V1664" s="1"/>
      <c r="W1664">
        <v>420.26</v>
      </c>
      <c r="X1664">
        <v>0</v>
      </c>
      <c r="Y1664">
        <v>74452</v>
      </c>
    </row>
    <row r="1665" spans="1:25" ht="15" hidden="1" customHeight="1" x14ac:dyDescent="0.25">
      <c r="A1665" s="1" t="s">
        <v>31</v>
      </c>
      <c r="B1665" s="1"/>
      <c r="C1665" s="1" t="s">
        <v>159</v>
      </c>
      <c r="D1665">
        <v>9523</v>
      </c>
      <c r="E1665" s="1"/>
      <c r="F1665" s="1" t="s">
        <v>291</v>
      </c>
      <c r="G1665" s="1" t="s">
        <v>1397</v>
      </c>
      <c r="H1665" s="1" t="s">
        <v>1405</v>
      </c>
      <c r="I1665">
        <v>2012</v>
      </c>
      <c r="J1665" s="93">
        <v>512.95000000000005</v>
      </c>
      <c r="K1665">
        <v>12</v>
      </c>
      <c r="L1665" s="1"/>
      <c r="M1665">
        <v>0</v>
      </c>
      <c r="N1665">
        <v>2103</v>
      </c>
      <c r="O1665">
        <v>0.24390100000000001</v>
      </c>
      <c r="P1665">
        <v>3</v>
      </c>
      <c r="Q1665" s="1" t="s">
        <v>560</v>
      </c>
      <c r="R1665" s="93">
        <v>512.95000000000005</v>
      </c>
      <c r="S1665">
        <v>410.38</v>
      </c>
      <c r="T1665">
        <v>0</v>
      </c>
      <c r="U1665" s="1"/>
      <c r="V1665" s="1"/>
      <c r="W1665">
        <v>512.94799999999998</v>
      </c>
      <c r="X1665">
        <v>0</v>
      </c>
      <c r="Y1665">
        <v>74452</v>
      </c>
    </row>
    <row r="1666" spans="1:25" ht="15" hidden="1" customHeight="1" x14ac:dyDescent="0.25">
      <c r="A1666" s="1" t="s">
        <v>31</v>
      </c>
      <c r="B1666" s="1"/>
      <c r="C1666" s="1" t="s">
        <v>159</v>
      </c>
      <c r="D1666">
        <v>9523</v>
      </c>
      <c r="E1666" s="1"/>
      <c r="F1666" s="1" t="s">
        <v>291</v>
      </c>
      <c r="G1666" s="1" t="s">
        <v>1397</v>
      </c>
      <c r="H1666" s="1" t="s">
        <v>1405</v>
      </c>
      <c r="I1666">
        <v>2011</v>
      </c>
      <c r="J1666" s="93">
        <v>441.41</v>
      </c>
      <c r="K1666">
        <v>12</v>
      </c>
      <c r="L1666" s="1"/>
      <c r="M1666">
        <v>0</v>
      </c>
      <c r="N1666">
        <v>2103</v>
      </c>
      <c r="O1666">
        <v>0.20988499999999999</v>
      </c>
      <c r="P1666">
        <v>3</v>
      </c>
      <c r="Q1666" s="1" t="s">
        <v>560</v>
      </c>
      <c r="R1666" s="93">
        <v>441.41</v>
      </c>
      <c r="S1666">
        <v>353.13</v>
      </c>
      <c r="T1666">
        <v>0</v>
      </c>
      <c r="U1666" s="1"/>
      <c r="V1666" s="1"/>
      <c r="W1666">
        <v>441.40199999999999</v>
      </c>
      <c r="X1666">
        <v>0</v>
      </c>
      <c r="Y1666">
        <v>74452</v>
      </c>
    </row>
    <row r="1667" spans="1:25" ht="15" hidden="1" customHeight="1" x14ac:dyDescent="0.25">
      <c r="A1667" s="1" t="s">
        <v>31</v>
      </c>
      <c r="B1667" s="1"/>
      <c r="C1667" s="1" t="s">
        <v>159</v>
      </c>
      <c r="D1667">
        <v>9523</v>
      </c>
      <c r="E1667" s="1"/>
      <c r="F1667" s="1" t="s">
        <v>291</v>
      </c>
      <c r="G1667" s="1" t="s">
        <v>1397</v>
      </c>
      <c r="H1667" s="1" t="s">
        <v>1405</v>
      </c>
      <c r="I1667">
        <v>2010</v>
      </c>
      <c r="J1667" s="93">
        <v>506.84</v>
      </c>
      <c r="K1667">
        <v>12</v>
      </c>
      <c r="L1667" s="1"/>
      <c r="M1667">
        <v>0</v>
      </c>
      <c r="N1667">
        <v>2103</v>
      </c>
      <c r="O1667">
        <v>0.24099599999999999</v>
      </c>
      <c r="P1667">
        <v>3</v>
      </c>
      <c r="Q1667" s="1" t="s">
        <v>560</v>
      </c>
      <c r="R1667" s="93">
        <v>506.84</v>
      </c>
      <c r="S1667">
        <v>405.46</v>
      </c>
      <c r="T1667">
        <v>0</v>
      </c>
      <c r="U1667" s="1"/>
      <c r="V1667" s="1"/>
      <c r="W1667">
        <v>506.834</v>
      </c>
      <c r="X1667">
        <v>0</v>
      </c>
      <c r="Y1667">
        <v>74452</v>
      </c>
    </row>
    <row r="1668" spans="1:25" ht="15" hidden="1" customHeight="1" x14ac:dyDescent="0.25">
      <c r="A1668" s="1" t="s">
        <v>31</v>
      </c>
      <c r="B1668" s="1"/>
      <c r="C1668" s="1" t="s">
        <v>159</v>
      </c>
      <c r="D1668">
        <v>9523</v>
      </c>
      <c r="E1668" s="1"/>
      <c r="F1668" s="1" t="s">
        <v>291</v>
      </c>
      <c r="G1668" s="1" t="s">
        <v>1397</v>
      </c>
      <c r="H1668" s="1" t="s">
        <v>1405</v>
      </c>
      <c r="I1668">
        <v>2009</v>
      </c>
      <c r="J1668" s="93">
        <v>476.32</v>
      </c>
      <c r="K1668">
        <v>12</v>
      </c>
      <c r="L1668" s="1"/>
      <c r="M1668">
        <v>0</v>
      </c>
      <c r="N1668">
        <v>2103</v>
      </c>
      <c r="O1668">
        <v>0.22648399999999999</v>
      </c>
      <c r="P1668">
        <v>3</v>
      </c>
      <c r="Q1668" s="1" t="s">
        <v>560</v>
      </c>
      <c r="R1668" s="93">
        <v>476.32</v>
      </c>
      <c r="S1668">
        <v>381.05</v>
      </c>
      <c r="T1668">
        <v>0</v>
      </c>
      <c r="U1668" s="1"/>
      <c r="V1668" s="1"/>
      <c r="W1668">
        <v>476.33199999999999</v>
      </c>
      <c r="X1668">
        <v>0</v>
      </c>
      <c r="Y1668">
        <v>74452</v>
      </c>
    </row>
    <row r="1669" spans="1:25" ht="15" hidden="1" customHeight="1" x14ac:dyDescent="0.25">
      <c r="A1669" s="1" t="s">
        <v>31</v>
      </c>
      <c r="B1669" s="1"/>
      <c r="C1669" s="1" t="s">
        <v>159</v>
      </c>
      <c r="D1669">
        <v>9523</v>
      </c>
      <c r="E1669" s="1"/>
      <c r="F1669" s="1" t="s">
        <v>291</v>
      </c>
      <c r="G1669" s="1" t="s">
        <v>1397</v>
      </c>
      <c r="H1669" s="1" t="s">
        <v>1405</v>
      </c>
      <c r="I1669">
        <v>2008</v>
      </c>
      <c r="J1669" s="93">
        <v>521.22</v>
      </c>
      <c r="K1669">
        <v>12</v>
      </c>
      <c r="L1669" s="1"/>
      <c r="M1669">
        <v>0</v>
      </c>
      <c r="N1669">
        <v>2103</v>
      </c>
      <c r="O1669">
        <v>0.247834</v>
      </c>
      <c r="P1669">
        <v>3</v>
      </c>
      <c r="Q1669" s="1" t="s">
        <v>560</v>
      </c>
      <c r="R1669" s="93">
        <v>521.22</v>
      </c>
      <c r="S1669">
        <v>416.97</v>
      </c>
      <c r="T1669">
        <v>0</v>
      </c>
      <c r="U1669" s="1"/>
      <c r="V1669" s="1"/>
      <c r="W1669">
        <v>521.22199999999998</v>
      </c>
      <c r="X1669">
        <v>0</v>
      </c>
      <c r="Y1669">
        <v>74452</v>
      </c>
    </row>
    <row r="1670" spans="1:25" ht="15" hidden="1" customHeight="1" x14ac:dyDescent="0.25">
      <c r="A1670" s="1" t="s">
        <v>31</v>
      </c>
      <c r="B1670" s="1"/>
      <c r="C1670" s="1" t="s">
        <v>159</v>
      </c>
      <c r="D1670">
        <v>9522</v>
      </c>
      <c r="E1670" s="1"/>
      <c r="F1670" s="1" t="s">
        <v>292</v>
      </c>
      <c r="G1670" s="1" t="s">
        <v>1397</v>
      </c>
      <c r="H1670" s="1" t="s">
        <v>1405</v>
      </c>
      <c r="I1670">
        <v>2015</v>
      </c>
      <c r="J1670" s="93">
        <v>1311</v>
      </c>
      <c r="K1670">
        <v>5</v>
      </c>
      <c r="L1670" s="1"/>
      <c r="M1670">
        <v>0</v>
      </c>
      <c r="N1670">
        <v>5224</v>
      </c>
      <c r="O1670">
        <v>0.123695</v>
      </c>
      <c r="P1670">
        <v>3</v>
      </c>
      <c r="Q1670" s="1" t="s">
        <v>560</v>
      </c>
      <c r="R1670" s="93">
        <v>646.20000000000005</v>
      </c>
      <c r="S1670">
        <v>516.95000000000005</v>
      </c>
      <c r="T1670">
        <v>0</v>
      </c>
      <c r="U1670" s="1"/>
      <c r="V1670" s="1"/>
      <c r="W1670">
        <v>646.20000000000005</v>
      </c>
      <c r="X1670">
        <v>0</v>
      </c>
      <c r="Y1670">
        <v>74448</v>
      </c>
    </row>
    <row r="1671" spans="1:25" ht="15" hidden="1" customHeight="1" x14ac:dyDescent="0.25">
      <c r="A1671" s="1" t="s">
        <v>31</v>
      </c>
      <c r="B1671" s="1"/>
      <c r="C1671" s="1" t="s">
        <v>159</v>
      </c>
      <c r="D1671">
        <v>9522</v>
      </c>
      <c r="E1671" s="1"/>
      <c r="F1671" s="1" t="s">
        <v>292</v>
      </c>
      <c r="G1671" s="1" t="s">
        <v>1397</v>
      </c>
      <c r="H1671" s="1" t="s">
        <v>1405</v>
      </c>
      <c r="I1671">
        <v>2015</v>
      </c>
      <c r="J1671" s="93">
        <v>0</v>
      </c>
      <c r="K1671">
        <v>5</v>
      </c>
      <c r="L1671" s="1"/>
      <c r="M1671">
        <v>0</v>
      </c>
      <c r="N1671">
        <v>5224</v>
      </c>
      <c r="O1671">
        <v>6.2454000000000003E-2</v>
      </c>
      <c r="P1671">
        <v>3</v>
      </c>
      <c r="Q1671" s="1" t="s">
        <v>560</v>
      </c>
      <c r="R1671" s="93">
        <v>326.27</v>
      </c>
      <c r="S1671">
        <v>0</v>
      </c>
      <c r="T1671">
        <v>1</v>
      </c>
      <c r="U1671" s="1" t="s">
        <v>634</v>
      </c>
      <c r="V1671" s="1"/>
      <c r="W1671">
        <v>326.279</v>
      </c>
      <c r="X1671">
        <v>0</v>
      </c>
      <c r="Y1671">
        <v>74455</v>
      </c>
    </row>
    <row r="1672" spans="1:25" ht="15" hidden="1" customHeight="1" x14ac:dyDescent="0.25">
      <c r="A1672" s="1" t="s">
        <v>31</v>
      </c>
      <c r="B1672" s="1"/>
      <c r="C1672" s="1" t="s">
        <v>159</v>
      </c>
      <c r="D1672">
        <v>9522</v>
      </c>
      <c r="E1672" s="1"/>
      <c r="F1672" s="1" t="s">
        <v>292</v>
      </c>
      <c r="G1672" s="1" t="s">
        <v>1397</v>
      </c>
      <c r="H1672" s="1" t="s">
        <v>1405</v>
      </c>
      <c r="I1672">
        <v>2013</v>
      </c>
      <c r="J1672" s="93">
        <v>1456.76</v>
      </c>
      <c r="K1672">
        <v>12</v>
      </c>
      <c r="L1672" s="1"/>
      <c r="M1672">
        <v>0</v>
      </c>
      <c r="N1672">
        <v>5224</v>
      </c>
      <c r="O1672">
        <v>0.27885300000000002</v>
      </c>
      <c r="P1672">
        <v>3</v>
      </c>
      <c r="Q1672" s="1" t="s">
        <v>560</v>
      </c>
      <c r="R1672" s="93">
        <v>1456.76</v>
      </c>
      <c r="S1672">
        <v>1165.42</v>
      </c>
      <c r="T1672">
        <v>0</v>
      </c>
      <c r="U1672" s="1"/>
      <c r="V1672" s="1"/>
      <c r="W1672">
        <v>1456.7729999999999</v>
      </c>
      <c r="X1672">
        <v>0</v>
      </c>
      <c r="Y1672">
        <v>74448</v>
      </c>
    </row>
    <row r="1673" spans="1:25" ht="15" hidden="1" customHeight="1" x14ac:dyDescent="0.25">
      <c r="A1673" s="1" t="s">
        <v>31</v>
      </c>
      <c r="B1673" s="1"/>
      <c r="C1673" s="1" t="s">
        <v>159</v>
      </c>
      <c r="D1673">
        <v>9522</v>
      </c>
      <c r="E1673" s="1"/>
      <c r="F1673" s="1" t="s">
        <v>292</v>
      </c>
      <c r="G1673" s="1" t="s">
        <v>1397</v>
      </c>
      <c r="H1673" s="1" t="s">
        <v>1405</v>
      </c>
      <c r="I1673">
        <v>2013</v>
      </c>
      <c r="J1673" s="93">
        <v>734.41</v>
      </c>
      <c r="K1673">
        <v>12</v>
      </c>
      <c r="L1673" s="1"/>
      <c r="M1673">
        <v>0</v>
      </c>
      <c r="N1673">
        <v>5224</v>
      </c>
      <c r="O1673">
        <v>0.14058100000000001</v>
      </c>
      <c r="P1673">
        <v>3</v>
      </c>
      <c r="Q1673" s="1" t="s">
        <v>560</v>
      </c>
      <c r="R1673" s="93">
        <v>734.41</v>
      </c>
      <c r="S1673">
        <v>0</v>
      </c>
      <c r="T1673">
        <v>1</v>
      </c>
      <c r="U1673" s="1" t="s">
        <v>634</v>
      </c>
      <c r="V1673" s="1"/>
      <c r="W1673">
        <v>734.42399999999998</v>
      </c>
      <c r="X1673">
        <v>0</v>
      </c>
      <c r="Y1673">
        <v>74455</v>
      </c>
    </row>
    <row r="1674" spans="1:25" ht="15" hidden="1" customHeight="1" x14ac:dyDescent="0.25">
      <c r="A1674" s="1" t="s">
        <v>31</v>
      </c>
      <c r="B1674" s="1"/>
      <c r="C1674" s="1" t="s">
        <v>159</v>
      </c>
      <c r="D1674">
        <v>9522</v>
      </c>
      <c r="E1674" s="1"/>
      <c r="F1674" s="1" t="s">
        <v>292</v>
      </c>
      <c r="G1674" s="1" t="s">
        <v>1397</v>
      </c>
      <c r="H1674" s="1" t="s">
        <v>1405</v>
      </c>
      <c r="I1674">
        <v>2012</v>
      </c>
      <c r="J1674" s="93">
        <v>1392.62</v>
      </c>
      <c r="K1674">
        <v>12</v>
      </c>
      <c r="L1674" s="1"/>
      <c r="M1674">
        <v>0</v>
      </c>
      <c r="N1674">
        <v>5224</v>
      </c>
      <c r="O1674">
        <v>0.26657599999999998</v>
      </c>
      <c r="P1674">
        <v>3</v>
      </c>
      <c r="Q1674" s="1" t="s">
        <v>560</v>
      </c>
      <c r="R1674" s="93">
        <v>1392.62</v>
      </c>
      <c r="S1674">
        <v>1114.0899999999999</v>
      </c>
      <c r="T1674">
        <v>0</v>
      </c>
      <c r="U1674" s="1"/>
      <c r="V1674" s="1"/>
      <c r="W1674">
        <v>1392.6189999999999</v>
      </c>
      <c r="X1674">
        <v>0</v>
      </c>
      <c r="Y1674">
        <v>74448</v>
      </c>
    </row>
    <row r="1675" spans="1:25" ht="15" hidden="1" customHeight="1" x14ac:dyDescent="0.25">
      <c r="A1675" s="1" t="s">
        <v>31</v>
      </c>
      <c r="B1675" s="1"/>
      <c r="C1675" s="1" t="s">
        <v>159</v>
      </c>
      <c r="D1675">
        <v>9522</v>
      </c>
      <c r="E1675" s="1"/>
      <c r="F1675" s="1" t="s">
        <v>292</v>
      </c>
      <c r="G1675" s="1" t="s">
        <v>1397</v>
      </c>
      <c r="H1675" s="1" t="s">
        <v>1405</v>
      </c>
      <c r="I1675">
        <v>2012</v>
      </c>
      <c r="J1675" s="93">
        <v>670.79</v>
      </c>
      <c r="K1675">
        <v>12</v>
      </c>
      <c r="L1675" s="1"/>
      <c r="M1675">
        <v>0</v>
      </c>
      <c r="N1675">
        <v>5224</v>
      </c>
      <c r="O1675">
        <v>0.12840199999999999</v>
      </c>
      <c r="P1675">
        <v>3</v>
      </c>
      <c r="Q1675" s="1" t="s">
        <v>560</v>
      </c>
      <c r="R1675" s="93">
        <v>670.79</v>
      </c>
      <c r="S1675">
        <v>0</v>
      </c>
      <c r="T1675">
        <v>1</v>
      </c>
      <c r="U1675" s="1" t="s">
        <v>634</v>
      </c>
      <c r="V1675" s="1"/>
      <c r="W1675">
        <v>670.78700000000003</v>
      </c>
      <c r="X1675">
        <v>0</v>
      </c>
      <c r="Y1675">
        <v>74455</v>
      </c>
    </row>
    <row r="1676" spans="1:25" ht="15" hidden="1" customHeight="1" x14ac:dyDescent="0.25">
      <c r="A1676" s="1" t="s">
        <v>31</v>
      </c>
      <c r="B1676" s="1"/>
      <c r="C1676" s="1" t="s">
        <v>159</v>
      </c>
      <c r="D1676">
        <v>9522</v>
      </c>
      <c r="E1676" s="1"/>
      <c r="F1676" s="1" t="s">
        <v>292</v>
      </c>
      <c r="G1676" s="1" t="s">
        <v>1397</v>
      </c>
      <c r="H1676" s="1" t="s">
        <v>1405</v>
      </c>
      <c r="I1676">
        <v>2011</v>
      </c>
      <c r="J1676" s="93">
        <v>1390.64</v>
      </c>
      <c r="K1676">
        <v>12</v>
      </c>
      <c r="L1676" s="1"/>
      <c r="M1676">
        <v>0</v>
      </c>
      <c r="N1676">
        <v>5224</v>
      </c>
      <c r="O1676">
        <v>0.26619700000000002</v>
      </c>
      <c r="P1676">
        <v>3</v>
      </c>
      <c r="Q1676" s="1" t="s">
        <v>560</v>
      </c>
      <c r="R1676" s="93">
        <v>1390.64</v>
      </c>
      <c r="S1676">
        <v>1112.51</v>
      </c>
      <c r="T1676">
        <v>0</v>
      </c>
      <c r="U1676" s="1"/>
      <c r="V1676" s="1"/>
      <c r="W1676">
        <v>1390.652</v>
      </c>
      <c r="X1676">
        <v>0</v>
      </c>
      <c r="Y1676">
        <v>74448</v>
      </c>
    </row>
    <row r="1677" spans="1:25" ht="15" hidden="1" customHeight="1" x14ac:dyDescent="0.25">
      <c r="A1677" s="1" t="s">
        <v>31</v>
      </c>
      <c r="B1677" s="1"/>
      <c r="C1677" s="1" t="s">
        <v>159</v>
      </c>
      <c r="D1677">
        <v>9522</v>
      </c>
      <c r="E1677" s="1"/>
      <c r="F1677" s="1" t="s">
        <v>292</v>
      </c>
      <c r="G1677" s="1" t="s">
        <v>1397</v>
      </c>
      <c r="H1677" s="1" t="s">
        <v>1405</v>
      </c>
      <c r="I1677">
        <v>2011</v>
      </c>
      <c r="J1677" s="93">
        <v>435.27</v>
      </c>
      <c r="K1677">
        <v>12</v>
      </c>
      <c r="L1677" s="1"/>
      <c r="M1677">
        <v>0</v>
      </c>
      <c r="N1677">
        <v>5224</v>
      </c>
      <c r="O1677">
        <v>8.3319000000000004E-2</v>
      </c>
      <c r="P1677">
        <v>3</v>
      </c>
      <c r="Q1677" s="1" t="s">
        <v>560</v>
      </c>
      <c r="R1677" s="93">
        <v>435.27</v>
      </c>
      <c r="S1677">
        <v>0</v>
      </c>
      <c r="T1677">
        <v>1</v>
      </c>
      <c r="U1677" s="1" t="s">
        <v>634</v>
      </c>
      <c r="V1677" s="1"/>
      <c r="W1677">
        <v>435.267</v>
      </c>
      <c r="X1677">
        <v>0</v>
      </c>
      <c r="Y1677">
        <v>74455</v>
      </c>
    </row>
    <row r="1678" spans="1:25" ht="15" hidden="1" customHeight="1" x14ac:dyDescent="0.25">
      <c r="A1678" s="1" t="s">
        <v>31</v>
      </c>
      <c r="B1678" s="1"/>
      <c r="C1678" s="1" t="s">
        <v>159</v>
      </c>
      <c r="D1678">
        <v>9522</v>
      </c>
      <c r="E1678" s="1"/>
      <c r="F1678" s="1" t="s">
        <v>292</v>
      </c>
      <c r="G1678" s="1" t="s">
        <v>1397</v>
      </c>
      <c r="H1678" s="1" t="s">
        <v>1405</v>
      </c>
      <c r="I1678">
        <v>2010</v>
      </c>
      <c r="J1678" s="93">
        <v>1423.94</v>
      </c>
      <c r="K1678">
        <v>12</v>
      </c>
      <c r="L1678" s="1"/>
      <c r="M1678">
        <v>0</v>
      </c>
      <c r="N1678">
        <v>5224</v>
      </c>
      <c r="O1678">
        <v>0.27257100000000001</v>
      </c>
      <c r="P1678">
        <v>3</v>
      </c>
      <c r="Q1678" s="1" t="s">
        <v>560</v>
      </c>
      <c r="R1678" s="93">
        <v>1423.94</v>
      </c>
      <c r="S1678">
        <v>1139.1500000000001</v>
      </c>
      <c r="T1678">
        <v>0</v>
      </c>
      <c r="U1678" s="1"/>
      <c r="V1678" s="1"/>
      <c r="W1678">
        <v>1423.9480000000001</v>
      </c>
      <c r="X1678">
        <v>0</v>
      </c>
      <c r="Y1678">
        <v>74448</v>
      </c>
    </row>
    <row r="1679" spans="1:25" ht="15" hidden="1" customHeight="1" x14ac:dyDescent="0.25">
      <c r="A1679" s="1" t="s">
        <v>31</v>
      </c>
      <c r="B1679" s="1"/>
      <c r="C1679" s="1" t="s">
        <v>159</v>
      </c>
      <c r="D1679">
        <v>9522</v>
      </c>
      <c r="E1679" s="1"/>
      <c r="F1679" s="1" t="s">
        <v>292</v>
      </c>
      <c r="G1679" s="1" t="s">
        <v>1397</v>
      </c>
      <c r="H1679" s="1" t="s">
        <v>1405</v>
      </c>
      <c r="I1679">
        <v>2010</v>
      </c>
      <c r="J1679" s="93">
        <v>856.92</v>
      </c>
      <c r="K1679">
        <v>12</v>
      </c>
      <c r="L1679" s="1"/>
      <c r="M1679">
        <v>0</v>
      </c>
      <c r="N1679">
        <v>5224</v>
      </c>
      <c r="O1679">
        <v>0.16403200000000001</v>
      </c>
      <c r="P1679">
        <v>3</v>
      </c>
      <c r="Q1679" s="1" t="s">
        <v>560</v>
      </c>
      <c r="R1679" s="93">
        <v>856.92</v>
      </c>
      <c r="S1679">
        <v>0</v>
      </c>
      <c r="T1679">
        <v>1</v>
      </c>
      <c r="U1679" s="1" t="s">
        <v>634</v>
      </c>
      <c r="V1679" s="1"/>
      <c r="W1679">
        <v>856.91200000000003</v>
      </c>
      <c r="X1679">
        <v>0</v>
      </c>
      <c r="Y1679">
        <v>74455</v>
      </c>
    </row>
    <row r="1680" spans="1:25" ht="15" hidden="1" customHeight="1" x14ac:dyDescent="0.25">
      <c r="A1680" s="1" t="s">
        <v>31</v>
      </c>
      <c r="B1680" s="1"/>
      <c r="C1680" s="1" t="s">
        <v>159</v>
      </c>
      <c r="D1680">
        <v>9522</v>
      </c>
      <c r="E1680" s="1"/>
      <c r="F1680" s="1" t="s">
        <v>292</v>
      </c>
      <c r="G1680" s="1" t="s">
        <v>1397</v>
      </c>
      <c r="H1680" s="1" t="s">
        <v>1405</v>
      </c>
      <c r="I1680">
        <v>2009</v>
      </c>
      <c r="J1680" s="93">
        <v>1577.89</v>
      </c>
      <c r="K1680">
        <v>12</v>
      </c>
      <c r="L1680" s="1"/>
      <c r="M1680">
        <v>0</v>
      </c>
      <c r="N1680">
        <v>5224</v>
      </c>
      <c r="O1680">
        <v>0.30203999999999998</v>
      </c>
      <c r="P1680">
        <v>3</v>
      </c>
      <c r="Q1680" s="1" t="s">
        <v>560</v>
      </c>
      <c r="R1680" s="93">
        <v>1577.89</v>
      </c>
      <c r="S1680">
        <v>1262.33</v>
      </c>
      <c r="T1680">
        <v>0</v>
      </c>
      <c r="U1680" s="1"/>
      <c r="V1680" s="1"/>
      <c r="W1680">
        <v>1577.8989999999999</v>
      </c>
      <c r="X1680">
        <v>0</v>
      </c>
      <c r="Y1680">
        <v>74448</v>
      </c>
    </row>
    <row r="1681" spans="1:25" ht="15" hidden="1" customHeight="1" x14ac:dyDescent="0.25">
      <c r="A1681" s="1" t="s">
        <v>31</v>
      </c>
      <c r="B1681" s="1"/>
      <c r="C1681" s="1" t="s">
        <v>159</v>
      </c>
      <c r="D1681">
        <v>9522</v>
      </c>
      <c r="E1681" s="1"/>
      <c r="F1681" s="1" t="s">
        <v>292</v>
      </c>
      <c r="G1681" s="1" t="s">
        <v>1397</v>
      </c>
      <c r="H1681" s="1" t="s">
        <v>1405</v>
      </c>
      <c r="I1681">
        <v>2009</v>
      </c>
      <c r="J1681" s="93">
        <v>927.5</v>
      </c>
      <c r="K1681">
        <v>12</v>
      </c>
      <c r="L1681" s="1"/>
      <c r="M1681">
        <v>0</v>
      </c>
      <c r="N1681">
        <v>5224</v>
      </c>
      <c r="O1681">
        <v>0.17754200000000001</v>
      </c>
      <c r="P1681">
        <v>3</v>
      </c>
      <c r="Q1681" s="1" t="s">
        <v>560</v>
      </c>
      <c r="R1681" s="93">
        <v>927.5</v>
      </c>
      <c r="S1681">
        <v>0</v>
      </c>
      <c r="T1681">
        <v>1</v>
      </c>
      <c r="U1681" s="1" t="s">
        <v>634</v>
      </c>
      <c r="V1681" s="1"/>
      <c r="W1681">
        <v>927.51300000000003</v>
      </c>
      <c r="X1681">
        <v>0</v>
      </c>
      <c r="Y1681">
        <v>74455</v>
      </c>
    </row>
    <row r="1682" spans="1:25" ht="15" hidden="1" customHeight="1" x14ac:dyDescent="0.25">
      <c r="A1682" s="1" t="s">
        <v>31</v>
      </c>
      <c r="B1682" s="1"/>
      <c r="C1682" s="1" t="s">
        <v>159</v>
      </c>
      <c r="D1682">
        <v>9522</v>
      </c>
      <c r="E1682" s="1"/>
      <c r="F1682" s="1" t="s">
        <v>292</v>
      </c>
      <c r="G1682" s="1" t="s">
        <v>1397</v>
      </c>
      <c r="H1682" s="1" t="s">
        <v>1405</v>
      </c>
      <c r="I1682">
        <v>2008</v>
      </c>
      <c r="J1682" s="93">
        <v>1646.46</v>
      </c>
      <c r="K1682">
        <v>12</v>
      </c>
      <c r="L1682" s="1"/>
      <c r="M1682">
        <v>0</v>
      </c>
      <c r="N1682">
        <v>5224</v>
      </c>
      <c r="O1682">
        <v>0.315166</v>
      </c>
      <c r="P1682">
        <v>3</v>
      </c>
      <c r="Q1682" s="1" t="s">
        <v>560</v>
      </c>
      <c r="R1682" s="93">
        <v>1646.46</v>
      </c>
      <c r="S1682">
        <v>1317.16</v>
      </c>
      <c r="T1682">
        <v>0</v>
      </c>
      <c r="U1682" s="1"/>
      <c r="V1682" s="1"/>
      <c r="W1682">
        <v>1646.4690000000001</v>
      </c>
      <c r="X1682">
        <v>0</v>
      </c>
      <c r="Y1682">
        <v>74448</v>
      </c>
    </row>
    <row r="1683" spans="1:25" ht="15" hidden="1" customHeight="1" x14ac:dyDescent="0.25">
      <c r="A1683" s="1" t="s">
        <v>31</v>
      </c>
      <c r="B1683" s="1"/>
      <c r="C1683" s="1" t="s">
        <v>159</v>
      </c>
      <c r="D1683">
        <v>9522</v>
      </c>
      <c r="E1683" s="1"/>
      <c r="F1683" s="1" t="s">
        <v>292</v>
      </c>
      <c r="G1683" s="1" t="s">
        <v>1397</v>
      </c>
      <c r="H1683" s="1" t="s">
        <v>1405</v>
      </c>
      <c r="I1683">
        <v>2008</v>
      </c>
      <c r="J1683" s="93">
        <v>922.37</v>
      </c>
      <c r="K1683">
        <v>12</v>
      </c>
      <c r="L1683" s="1"/>
      <c r="M1683">
        <v>0</v>
      </c>
      <c r="N1683">
        <v>5224</v>
      </c>
      <c r="O1683">
        <v>0.17655999999999999</v>
      </c>
      <c r="P1683">
        <v>3</v>
      </c>
      <c r="Q1683" s="1" t="s">
        <v>560</v>
      </c>
      <c r="R1683" s="93">
        <v>922.37</v>
      </c>
      <c r="S1683">
        <v>0</v>
      </c>
      <c r="T1683">
        <v>1</v>
      </c>
      <c r="U1683" s="1" t="s">
        <v>634</v>
      </c>
      <c r="V1683" s="1"/>
      <c r="W1683">
        <v>922.36099999999999</v>
      </c>
      <c r="X1683">
        <v>0</v>
      </c>
      <c r="Y1683">
        <v>74455</v>
      </c>
    </row>
    <row r="1684" spans="1:25" ht="15" hidden="1" customHeight="1" x14ac:dyDescent="0.25">
      <c r="A1684" s="1" t="s">
        <v>31</v>
      </c>
      <c r="B1684" s="1" t="s">
        <v>66</v>
      </c>
      <c r="C1684" s="1" t="s">
        <v>156</v>
      </c>
      <c r="D1684">
        <v>5467</v>
      </c>
      <c r="E1684" s="1"/>
      <c r="F1684" s="1" t="s">
        <v>287</v>
      </c>
      <c r="G1684" s="1" t="s">
        <v>156</v>
      </c>
      <c r="H1684" s="1" t="s">
        <v>1405</v>
      </c>
      <c r="I1684">
        <v>2014</v>
      </c>
      <c r="J1684" s="93">
        <v>1590.07</v>
      </c>
      <c r="K1684">
        <v>12</v>
      </c>
      <c r="L1684" s="1" t="s">
        <v>429</v>
      </c>
      <c r="M1684">
        <v>0</v>
      </c>
      <c r="N1684">
        <v>6415</v>
      </c>
      <c r="O1684">
        <v>0.247863</v>
      </c>
      <c r="P1684">
        <v>3</v>
      </c>
      <c r="Q1684" s="1" t="s">
        <v>560</v>
      </c>
      <c r="R1684" s="93">
        <v>1590.07</v>
      </c>
      <c r="S1684">
        <v>1272.04</v>
      </c>
      <c r="T1684">
        <v>0</v>
      </c>
      <c r="U1684" s="1" t="s">
        <v>628</v>
      </c>
      <c r="V1684" s="1"/>
      <c r="W1684">
        <v>1590.0650000000001</v>
      </c>
      <c r="X1684">
        <v>0</v>
      </c>
      <c r="Y1684">
        <v>57800</v>
      </c>
    </row>
    <row r="1685" spans="1:25" ht="15" hidden="1" customHeight="1" x14ac:dyDescent="0.25">
      <c r="A1685" s="1" t="s">
        <v>31</v>
      </c>
      <c r="B1685" s="1" t="s">
        <v>66</v>
      </c>
      <c r="C1685" s="1" t="s">
        <v>156</v>
      </c>
      <c r="D1685">
        <v>5467</v>
      </c>
      <c r="E1685" s="1"/>
      <c r="F1685" s="1" t="s">
        <v>287</v>
      </c>
      <c r="G1685" s="1" t="s">
        <v>156</v>
      </c>
      <c r="H1685" s="1" t="s">
        <v>1405</v>
      </c>
      <c r="I1685">
        <v>2014</v>
      </c>
      <c r="J1685" s="93">
        <v>168.52</v>
      </c>
      <c r="K1685">
        <v>12</v>
      </c>
      <c r="L1685" s="1" t="s">
        <v>429</v>
      </c>
      <c r="M1685">
        <v>0</v>
      </c>
      <c r="N1685">
        <v>6415</v>
      </c>
      <c r="O1685">
        <v>2.6269000000000001E-2</v>
      </c>
      <c r="P1685">
        <v>3</v>
      </c>
      <c r="Q1685" s="1" t="s">
        <v>560</v>
      </c>
      <c r="R1685" s="93">
        <v>168.52</v>
      </c>
      <c r="S1685">
        <v>134.82</v>
      </c>
      <c r="T1685">
        <v>1</v>
      </c>
      <c r="U1685" s="1" t="s">
        <v>629</v>
      </c>
      <c r="V1685" s="1"/>
      <c r="W1685">
        <v>168.52099999999999</v>
      </c>
      <c r="X1685">
        <v>0</v>
      </c>
      <c r="Y1685">
        <v>57802</v>
      </c>
    </row>
    <row r="1686" spans="1:25" ht="15" hidden="1" customHeight="1" x14ac:dyDescent="0.25">
      <c r="A1686" s="1" t="s">
        <v>31</v>
      </c>
      <c r="B1686" s="1" t="s">
        <v>66</v>
      </c>
      <c r="C1686" s="1" t="s">
        <v>156</v>
      </c>
      <c r="D1686">
        <v>14135</v>
      </c>
      <c r="E1686" s="1" t="s">
        <v>243</v>
      </c>
      <c r="F1686" s="1" t="s">
        <v>288</v>
      </c>
      <c r="G1686" s="1" t="s">
        <v>156</v>
      </c>
      <c r="H1686" s="1" t="s">
        <v>1405</v>
      </c>
      <c r="I1686">
        <v>2014</v>
      </c>
      <c r="J1686" s="93">
        <v>239.51</v>
      </c>
      <c r="K1686">
        <v>12</v>
      </c>
      <c r="L1686" s="1" t="s">
        <v>429</v>
      </c>
      <c r="M1686">
        <v>0</v>
      </c>
      <c r="N1686">
        <v>3594</v>
      </c>
      <c r="O1686">
        <v>6.6639000000000004E-2</v>
      </c>
      <c r="P1686">
        <v>3</v>
      </c>
      <c r="Q1686" s="1" t="s">
        <v>560</v>
      </c>
      <c r="R1686" s="93">
        <v>239.51</v>
      </c>
      <c r="S1686">
        <v>0</v>
      </c>
      <c r="T1686">
        <v>1</v>
      </c>
      <c r="U1686" s="1" t="s">
        <v>630</v>
      </c>
      <c r="V1686" s="1"/>
      <c r="W1686">
        <v>239.517</v>
      </c>
      <c r="X1686">
        <v>0</v>
      </c>
      <c r="Y1686">
        <v>57804</v>
      </c>
    </row>
    <row r="1687" spans="1:25" ht="15" hidden="1" customHeight="1" x14ac:dyDescent="0.25">
      <c r="A1687" s="1" t="s">
        <v>31</v>
      </c>
      <c r="B1687" s="1" t="s">
        <v>66</v>
      </c>
      <c r="C1687" s="1" t="s">
        <v>156</v>
      </c>
      <c r="D1687">
        <v>5467</v>
      </c>
      <c r="E1687" s="1"/>
      <c r="F1687" s="1" t="s">
        <v>287</v>
      </c>
      <c r="G1687" s="1" t="s">
        <v>156</v>
      </c>
      <c r="H1687" s="1" t="s">
        <v>1405</v>
      </c>
      <c r="I1687">
        <v>2014</v>
      </c>
      <c r="J1687" s="93">
        <v>213280</v>
      </c>
      <c r="K1687">
        <v>12</v>
      </c>
      <c r="L1687" s="1" t="s">
        <v>484</v>
      </c>
      <c r="M1687">
        <v>0</v>
      </c>
      <c r="N1687">
        <v>6415</v>
      </c>
      <c r="O1687">
        <v>33.246558</v>
      </c>
      <c r="P1687">
        <v>1</v>
      </c>
      <c r="Q1687" s="1" t="s">
        <v>562</v>
      </c>
      <c r="R1687" s="93">
        <v>245942.11</v>
      </c>
      <c r="S1687">
        <v>17196773</v>
      </c>
      <c r="T1687">
        <v>0</v>
      </c>
      <c r="U1687" s="1" t="s">
        <v>805</v>
      </c>
      <c r="V1687" s="1"/>
      <c r="W1687">
        <v>213280</v>
      </c>
      <c r="X1687">
        <v>0</v>
      </c>
      <c r="Y1687">
        <v>61229</v>
      </c>
    </row>
    <row r="1688" spans="1:25" ht="15" hidden="1" customHeight="1" x14ac:dyDescent="0.25">
      <c r="A1688" s="1" t="s">
        <v>31</v>
      </c>
      <c r="B1688" s="1" t="s">
        <v>66</v>
      </c>
      <c r="C1688" s="1" t="s">
        <v>156</v>
      </c>
      <c r="D1688">
        <v>14135</v>
      </c>
      <c r="E1688" s="1" t="s">
        <v>243</v>
      </c>
      <c r="F1688" s="1" t="s">
        <v>288</v>
      </c>
      <c r="G1688" s="1" t="s">
        <v>156</v>
      </c>
      <c r="H1688" s="1" t="s">
        <v>1405</v>
      </c>
      <c r="I1688">
        <v>2014</v>
      </c>
      <c r="J1688" s="93">
        <v>184163</v>
      </c>
      <c r="K1688">
        <v>12</v>
      </c>
      <c r="L1688" s="1" t="s">
        <v>484</v>
      </c>
      <c r="M1688">
        <v>0</v>
      </c>
      <c r="N1688">
        <v>3594</v>
      </c>
      <c r="O1688">
        <v>51.240366000000002</v>
      </c>
      <c r="P1688">
        <v>1</v>
      </c>
      <c r="Q1688" s="1" t="s">
        <v>562</v>
      </c>
      <c r="R1688" s="93">
        <v>215632.05</v>
      </c>
      <c r="S1688">
        <v>14999211.68</v>
      </c>
      <c r="T1688">
        <v>0</v>
      </c>
      <c r="U1688" s="1" t="s">
        <v>808</v>
      </c>
      <c r="V1688" s="1"/>
      <c r="W1688">
        <v>184163.003</v>
      </c>
      <c r="X1688">
        <v>0</v>
      </c>
      <c r="Y1688">
        <v>57807</v>
      </c>
    </row>
    <row r="1689" spans="1:25" ht="15" hidden="1" customHeight="1" x14ac:dyDescent="0.25">
      <c r="A1689" s="1" t="s">
        <v>31</v>
      </c>
      <c r="B1689" s="1" t="s">
        <v>66</v>
      </c>
      <c r="C1689" s="1" t="s">
        <v>156</v>
      </c>
      <c r="D1689">
        <v>5467</v>
      </c>
      <c r="E1689" s="1"/>
      <c r="F1689" s="1" t="s">
        <v>287</v>
      </c>
      <c r="G1689" s="1" t="s">
        <v>156</v>
      </c>
      <c r="H1689" s="1" t="s">
        <v>1405</v>
      </c>
      <c r="I1689">
        <v>2013</v>
      </c>
      <c r="J1689" s="93">
        <v>223258.65</v>
      </c>
      <c r="K1689">
        <v>12</v>
      </c>
      <c r="L1689" s="1" t="s">
        <v>429</v>
      </c>
      <c r="M1689">
        <v>0</v>
      </c>
      <c r="N1689">
        <v>6415</v>
      </c>
      <c r="O1689">
        <v>34.802052000000003</v>
      </c>
      <c r="P1689">
        <v>2</v>
      </c>
      <c r="Q1689" s="1" t="s">
        <v>569</v>
      </c>
      <c r="R1689" s="93">
        <v>223258.65</v>
      </c>
      <c r="S1689">
        <v>89303.46</v>
      </c>
      <c r="T1689">
        <v>0</v>
      </c>
      <c r="U1689" s="1" t="s">
        <v>1012</v>
      </c>
      <c r="V1689" s="1" t="s">
        <v>1291</v>
      </c>
      <c r="W1689">
        <v>223258.65</v>
      </c>
      <c r="X1689">
        <v>0</v>
      </c>
      <c r="Y1689">
        <v>57798</v>
      </c>
    </row>
    <row r="1690" spans="1:25" ht="15" hidden="1" customHeight="1" x14ac:dyDescent="0.25">
      <c r="A1690" s="1" t="s">
        <v>31</v>
      </c>
      <c r="B1690" s="1" t="s">
        <v>66</v>
      </c>
      <c r="C1690" s="1" t="s">
        <v>156</v>
      </c>
      <c r="D1690">
        <v>14135</v>
      </c>
      <c r="E1690" s="1" t="s">
        <v>243</v>
      </c>
      <c r="F1690" s="1" t="s">
        <v>288</v>
      </c>
      <c r="G1690" s="1" t="s">
        <v>156</v>
      </c>
      <c r="H1690" s="1" t="s">
        <v>1405</v>
      </c>
      <c r="I1690">
        <v>2013</v>
      </c>
      <c r="J1690" s="93">
        <v>125241.32</v>
      </c>
      <c r="K1690">
        <v>12</v>
      </c>
      <c r="L1690" s="1" t="s">
        <v>429</v>
      </c>
      <c r="M1690">
        <v>0</v>
      </c>
      <c r="N1690">
        <v>3594</v>
      </c>
      <c r="O1690">
        <v>34.846364000000001</v>
      </c>
      <c r="P1690">
        <v>2</v>
      </c>
      <c r="Q1690" s="1" t="s">
        <v>569</v>
      </c>
      <c r="R1690" s="93">
        <v>125241.32</v>
      </c>
      <c r="S1690">
        <v>50096.53</v>
      </c>
      <c r="T1690">
        <v>0</v>
      </c>
      <c r="U1690" s="1" t="s">
        <v>1013</v>
      </c>
      <c r="V1690" s="1" t="s">
        <v>1292</v>
      </c>
      <c r="W1690">
        <v>125241.321</v>
      </c>
      <c r="X1690">
        <v>0</v>
      </c>
      <c r="Y1690">
        <v>57799</v>
      </c>
    </row>
    <row r="1691" spans="1:25" ht="15" hidden="1" customHeight="1" x14ac:dyDescent="0.25">
      <c r="A1691" s="1" t="s">
        <v>31</v>
      </c>
      <c r="B1691" s="1" t="s">
        <v>66</v>
      </c>
      <c r="C1691" s="1" t="s">
        <v>156</v>
      </c>
      <c r="D1691">
        <v>5467</v>
      </c>
      <c r="E1691" s="1"/>
      <c r="F1691" s="1" t="s">
        <v>287</v>
      </c>
      <c r="G1691" s="1" t="s">
        <v>156</v>
      </c>
      <c r="H1691" s="1" t="s">
        <v>1396</v>
      </c>
      <c r="I1691">
        <v>2014</v>
      </c>
      <c r="J1691" s="93">
        <v>150724.79999999999</v>
      </c>
      <c r="K1691">
        <v>12</v>
      </c>
      <c r="L1691" s="1" t="s">
        <v>484</v>
      </c>
      <c r="M1691">
        <v>0</v>
      </c>
      <c r="N1691">
        <v>6415</v>
      </c>
      <c r="O1691">
        <v>23.495315000000002</v>
      </c>
      <c r="P1691">
        <v>1</v>
      </c>
      <c r="Q1691" s="1" t="s">
        <v>563</v>
      </c>
      <c r="R1691" s="93">
        <v>172121.18</v>
      </c>
      <c r="S1691">
        <v>358754.23</v>
      </c>
      <c r="T1691">
        <v>1</v>
      </c>
      <c r="U1691" s="1" t="s">
        <v>806</v>
      </c>
      <c r="V1691" s="1"/>
      <c r="W1691">
        <v>4320</v>
      </c>
      <c r="X1691">
        <v>61229</v>
      </c>
      <c r="Y1691">
        <v>61230</v>
      </c>
    </row>
    <row r="1692" spans="1:25" ht="15" hidden="1" customHeight="1" x14ac:dyDescent="0.25">
      <c r="A1692" s="1" t="s">
        <v>31</v>
      </c>
      <c r="B1692" s="1" t="s">
        <v>66</v>
      </c>
      <c r="C1692" s="1" t="s">
        <v>156</v>
      </c>
      <c r="D1692">
        <v>14135</v>
      </c>
      <c r="E1692" s="1" t="s">
        <v>243</v>
      </c>
      <c r="F1692" s="1" t="s">
        <v>288</v>
      </c>
      <c r="G1692" s="1" t="s">
        <v>156</v>
      </c>
      <c r="H1692" s="1" t="s">
        <v>1396</v>
      </c>
      <c r="I1692">
        <v>2014</v>
      </c>
      <c r="J1692" s="93">
        <v>160769.98000000001</v>
      </c>
      <c r="K1692">
        <v>12</v>
      </c>
      <c r="L1692" s="1" t="s">
        <v>484</v>
      </c>
      <c r="M1692">
        <v>0</v>
      </c>
      <c r="N1692">
        <v>3594</v>
      </c>
      <c r="O1692">
        <v>44.731636999999999</v>
      </c>
      <c r="P1692">
        <v>1</v>
      </c>
      <c r="Q1692" s="1" t="s">
        <v>563</v>
      </c>
      <c r="R1692" s="93">
        <v>187382.39</v>
      </c>
      <c r="S1692">
        <v>357956.08</v>
      </c>
      <c r="T1692">
        <v>1</v>
      </c>
      <c r="U1692" s="1" t="s">
        <v>807</v>
      </c>
      <c r="V1692" s="1"/>
      <c r="W1692">
        <v>4607.91</v>
      </c>
      <c r="X1692">
        <v>57807</v>
      </c>
      <c r="Y1692">
        <v>57809</v>
      </c>
    </row>
    <row r="1693" spans="1:25" ht="15" hidden="1" customHeight="1" x14ac:dyDescent="0.25">
      <c r="A1693" s="1" t="s">
        <v>31</v>
      </c>
      <c r="B1693" s="1" t="s">
        <v>66</v>
      </c>
      <c r="C1693" s="1" t="s">
        <v>156</v>
      </c>
      <c r="D1693">
        <v>5467</v>
      </c>
      <c r="E1693" s="1"/>
      <c r="F1693" s="1" t="s">
        <v>287</v>
      </c>
      <c r="G1693" s="1" t="s">
        <v>156</v>
      </c>
      <c r="H1693" s="1" t="s">
        <v>1405</v>
      </c>
      <c r="I1693">
        <v>2015</v>
      </c>
      <c r="J1693" s="93">
        <v>230850</v>
      </c>
      <c r="K1693">
        <v>5</v>
      </c>
      <c r="L1693" s="1" t="s">
        <v>484</v>
      </c>
      <c r="M1693">
        <v>0</v>
      </c>
      <c r="N1693">
        <v>6415</v>
      </c>
      <c r="O1693">
        <v>23.213978999999998</v>
      </c>
      <c r="P1693">
        <v>1</v>
      </c>
      <c r="Q1693" s="1" t="s">
        <v>562</v>
      </c>
      <c r="R1693" s="93">
        <v>269142</v>
      </c>
      <c r="S1693">
        <v>31232103.300000001</v>
      </c>
      <c r="T1693">
        <v>0</v>
      </c>
      <c r="U1693" s="1" t="s">
        <v>805</v>
      </c>
      <c r="V1693" s="1"/>
      <c r="W1693">
        <v>148920</v>
      </c>
      <c r="X1693">
        <v>0</v>
      </c>
      <c r="Y1693">
        <v>61229</v>
      </c>
    </row>
    <row r="1694" spans="1:25" ht="15" hidden="1" customHeight="1" x14ac:dyDescent="0.25">
      <c r="A1694" s="1" t="s">
        <v>31</v>
      </c>
      <c r="B1694" s="1" t="s">
        <v>66</v>
      </c>
      <c r="C1694" s="1" t="s">
        <v>156</v>
      </c>
      <c r="D1694">
        <v>5467</v>
      </c>
      <c r="E1694" s="1"/>
      <c r="F1694" s="1" t="s">
        <v>287</v>
      </c>
      <c r="G1694" s="1" t="s">
        <v>156</v>
      </c>
      <c r="H1694" s="1" t="s">
        <v>1396</v>
      </c>
      <c r="I1694">
        <v>2015</v>
      </c>
      <c r="J1694" s="93">
        <v>90658.17</v>
      </c>
      <c r="K1694">
        <v>5</v>
      </c>
      <c r="L1694" s="1" t="s">
        <v>484</v>
      </c>
      <c r="M1694">
        <v>0</v>
      </c>
      <c r="N1694">
        <v>6415</v>
      </c>
      <c r="O1694">
        <v>14.131995999999999</v>
      </c>
      <c r="P1694">
        <v>1</v>
      </c>
      <c r="Q1694" s="1" t="s">
        <v>563</v>
      </c>
      <c r="R1694" s="93">
        <v>102063.32</v>
      </c>
      <c r="S1694">
        <v>541178.39</v>
      </c>
      <c r="T1694">
        <v>1</v>
      </c>
      <c r="U1694" s="1" t="s">
        <v>806</v>
      </c>
      <c r="V1694" s="1"/>
      <c r="W1694">
        <v>2598.4</v>
      </c>
      <c r="X1694">
        <v>61229</v>
      </c>
      <c r="Y1694">
        <v>61230</v>
      </c>
    </row>
    <row r="1695" spans="1:25" ht="15" hidden="1" customHeight="1" x14ac:dyDescent="0.25">
      <c r="A1695" s="1" t="s">
        <v>31</v>
      </c>
      <c r="B1695" s="1" t="s">
        <v>66</v>
      </c>
      <c r="C1695" s="1" t="s">
        <v>156</v>
      </c>
      <c r="D1695">
        <v>5467</v>
      </c>
      <c r="E1695" s="1"/>
      <c r="F1695" s="1" t="s">
        <v>287</v>
      </c>
      <c r="G1695" s="1" t="s">
        <v>156</v>
      </c>
      <c r="H1695" s="1" t="s">
        <v>1396</v>
      </c>
      <c r="I1695">
        <v>2013</v>
      </c>
      <c r="J1695" s="93">
        <v>177464.5</v>
      </c>
      <c r="K1695">
        <v>12</v>
      </c>
      <c r="L1695" s="1" t="s">
        <v>484</v>
      </c>
      <c r="M1695">
        <v>0</v>
      </c>
      <c r="N1695">
        <v>6415</v>
      </c>
      <c r="O1695">
        <v>27.663558999999999</v>
      </c>
      <c r="P1695">
        <v>1</v>
      </c>
      <c r="Q1695" s="1" t="s">
        <v>563</v>
      </c>
      <c r="R1695" s="93">
        <v>182169.75</v>
      </c>
      <c r="S1695">
        <v>965.95</v>
      </c>
      <c r="T1695">
        <v>1</v>
      </c>
      <c r="U1695" s="1" t="s">
        <v>806</v>
      </c>
      <c r="V1695" s="1"/>
      <c r="W1695">
        <v>5086.3999999999996</v>
      </c>
      <c r="X1695">
        <v>61229</v>
      </c>
      <c r="Y1695">
        <v>61230</v>
      </c>
    </row>
    <row r="1696" spans="1:25" ht="15" hidden="1" customHeight="1" x14ac:dyDescent="0.25">
      <c r="A1696" s="1" t="s">
        <v>31</v>
      </c>
      <c r="B1696" s="1" t="s">
        <v>66</v>
      </c>
      <c r="C1696" s="1" t="s">
        <v>156</v>
      </c>
      <c r="D1696">
        <v>5467</v>
      </c>
      <c r="E1696" s="1"/>
      <c r="F1696" s="1" t="s">
        <v>287</v>
      </c>
      <c r="G1696" s="1" t="s">
        <v>156</v>
      </c>
      <c r="H1696" s="1" t="s">
        <v>1405</v>
      </c>
      <c r="I1696">
        <v>2013</v>
      </c>
      <c r="J1696" s="93">
        <v>267550</v>
      </c>
      <c r="K1696">
        <v>12</v>
      </c>
      <c r="L1696" s="1" t="s">
        <v>484</v>
      </c>
      <c r="M1696">
        <v>0</v>
      </c>
      <c r="N1696">
        <v>6415</v>
      </c>
      <c r="O1696">
        <v>41.706285999999999</v>
      </c>
      <c r="P1696">
        <v>1</v>
      </c>
      <c r="Q1696" s="1" t="s">
        <v>562</v>
      </c>
      <c r="R1696" s="93">
        <v>274360.27</v>
      </c>
      <c r="S1696">
        <v>50756.66</v>
      </c>
      <c r="T1696">
        <v>0</v>
      </c>
      <c r="U1696" s="1" t="s">
        <v>805</v>
      </c>
      <c r="V1696" s="1"/>
      <c r="W1696">
        <v>267550</v>
      </c>
      <c r="X1696">
        <v>0</v>
      </c>
      <c r="Y1696">
        <v>61229</v>
      </c>
    </row>
    <row r="1697" spans="1:25" ht="15" hidden="1" customHeight="1" x14ac:dyDescent="0.25">
      <c r="A1697" s="1" t="s">
        <v>31</v>
      </c>
      <c r="B1697" s="1" t="s">
        <v>66</v>
      </c>
      <c r="C1697" s="1" t="s">
        <v>156</v>
      </c>
      <c r="D1697">
        <v>5467</v>
      </c>
      <c r="E1697" s="1"/>
      <c r="F1697" s="1" t="s">
        <v>287</v>
      </c>
      <c r="G1697" s="1" t="s">
        <v>156</v>
      </c>
      <c r="H1697" s="1" t="s">
        <v>1396</v>
      </c>
      <c r="I1697">
        <v>2012</v>
      </c>
      <c r="J1697" s="93">
        <v>198688.08</v>
      </c>
      <c r="K1697">
        <v>12</v>
      </c>
      <c r="L1697" s="1" t="s">
        <v>484</v>
      </c>
      <c r="M1697">
        <v>0</v>
      </c>
      <c r="N1697">
        <v>6415</v>
      </c>
      <c r="O1697">
        <v>30.971938000000002</v>
      </c>
      <c r="P1697">
        <v>1</v>
      </c>
      <c r="Q1697" s="1" t="s">
        <v>563</v>
      </c>
      <c r="R1697" s="93">
        <v>208202.43</v>
      </c>
      <c r="S1697">
        <v>1103.95</v>
      </c>
      <c r="T1697">
        <v>1</v>
      </c>
      <c r="U1697" s="1" t="s">
        <v>806</v>
      </c>
      <c r="V1697" s="1"/>
      <c r="W1697">
        <v>5694.7</v>
      </c>
      <c r="X1697">
        <v>61229</v>
      </c>
      <c r="Y1697">
        <v>61230</v>
      </c>
    </row>
    <row r="1698" spans="1:25" ht="15" hidden="1" customHeight="1" x14ac:dyDescent="0.25">
      <c r="A1698" s="1" t="s">
        <v>31</v>
      </c>
      <c r="B1698" s="1" t="s">
        <v>66</v>
      </c>
      <c r="C1698" s="1" t="s">
        <v>156</v>
      </c>
      <c r="D1698">
        <v>5467</v>
      </c>
      <c r="E1698" s="1"/>
      <c r="F1698" s="1" t="s">
        <v>287</v>
      </c>
      <c r="G1698" s="1" t="s">
        <v>156</v>
      </c>
      <c r="H1698" s="1" t="s">
        <v>1405</v>
      </c>
      <c r="I1698">
        <v>2012</v>
      </c>
      <c r="J1698" s="93">
        <v>289070</v>
      </c>
      <c r="K1698">
        <v>12</v>
      </c>
      <c r="L1698" s="1" t="s">
        <v>484</v>
      </c>
      <c r="M1698">
        <v>0</v>
      </c>
      <c r="N1698">
        <v>6415</v>
      </c>
      <c r="O1698">
        <v>45.060872000000003</v>
      </c>
      <c r="P1698">
        <v>1</v>
      </c>
      <c r="Q1698" s="1" t="s">
        <v>562</v>
      </c>
      <c r="R1698" s="93">
        <v>303640.21999999997</v>
      </c>
      <c r="S1698">
        <v>56173.440000000002</v>
      </c>
      <c r="T1698">
        <v>0</v>
      </c>
      <c r="U1698" s="1" t="s">
        <v>805</v>
      </c>
      <c r="V1698" s="1"/>
      <c r="W1698">
        <v>289070</v>
      </c>
      <c r="X1698">
        <v>0</v>
      </c>
      <c r="Y1698">
        <v>61229</v>
      </c>
    </row>
    <row r="1699" spans="1:25" ht="15" hidden="1" customHeight="1" x14ac:dyDescent="0.25">
      <c r="A1699" s="1" t="s">
        <v>31</v>
      </c>
      <c r="B1699" s="1" t="s">
        <v>66</v>
      </c>
      <c r="C1699" s="1" t="s">
        <v>156</v>
      </c>
      <c r="D1699">
        <v>5467</v>
      </c>
      <c r="E1699" s="1"/>
      <c r="F1699" s="1" t="s">
        <v>287</v>
      </c>
      <c r="G1699" s="1" t="s">
        <v>156</v>
      </c>
      <c r="H1699" s="1" t="s">
        <v>1405</v>
      </c>
      <c r="I1699">
        <v>2011</v>
      </c>
      <c r="J1699" s="93">
        <v>304360</v>
      </c>
      <c r="K1699">
        <v>12</v>
      </c>
      <c r="L1699" s="1" t="s">
        <v>484</v>
      </c>
      <c r="M1699">
        <v>0</v>
      </c>
      <c r="N1699">
        <v>6415</v>
      </c>
      <c r="O1699">
        <v>47.444310999999999</v>
      </c>
      <c r="P1699">
        <v>1</v>
      </c>
      <c r="Q1699" s="1" t="s">
        <v>562</v>
      </c>
      <c r="R1699" s="93">
        <v>325906.74</v>
      </c>
      <c r="S1699">
        <v>60292.74</v>
      </c>
      <c r="T1699">
        <v>0</v>
      </c>
      <c r="U1699" s="1" t="s">
        <v>805</v>
      </c>
      <c r="V1699" s="1"/>
      <c r="W1699">
        <v>304360</v>
      </c>
      <c r="X1699">
        <v>0</v>
      </c>
      <c r="Y1699">
        <v>61229</v>
      </c>
    </row>
    <row r="1700" spans="1:25" ht="15" hidden="1" customHeight="1" x14ac:dyDescent="0.25">
      <c r="A1700" s="1" t="s">
        <v>31</v>
      </c>
      <c r="B1700" s="1" t="s">
        <v>66</v>
      </c>
      <c r="C1700" s="1" t="s">
        <v>156</v>
      </c>
      <c r="D1700">
        <v>5467</v>
      </c>
      <c r="E1700" s="1"/>
      <c r="F1700" s="1" t="s">
        <v>287</v>
      </c>
      <c r="G1700" s="1" t="s">
        <v>156</v>
      </c>
      <c r="H1700" s="1" t="s">
        <v>1396</v>
      </c>
      <c r="I1700">
        <v>2011</v>
      </c>
      <c r="J1700" s="93">
        <v>209587.71</v>
      </c>
      <c r="K1700">
        <v>12</v>
      </c>
      <c r="L1700" s="1" t="s">
        <v>484</v>
      </c>
      <c r="M1700">
        <v>0</v>
      </c>
      <c r="N1700">
        <v>6415</v>
      </c>
      <c r="O1700">
        <v>32.670996000000002</v>
      </c>
      <c r="P1700">
        <v>1</v>
      </c>
      <c r="Q1700" s="1" t="s">
        <v>563</v>
      </c>
      <c r="R1700" s="93">
        <v>223690.98</v>
      </c>
      <c r="S1700">
        <v>1186.0999999999999</v>
      </c>
      <c r="T1700">
        <v>1</v>
      </c>
      <c r="U1700" s="1" t="s">
        <v>806</v>
      </c>
      <c r="V1700" s="1"/>
      <c r="W1700">
        <v>6007.1</v>
      </c>
      <c r="X1700">
        <v>61229</v>
      </c>
      <c r="Y1700">
        <v>61230</v>
      </c>
    </row>
    <row r="1701" spans="1:25" ht="15" hidden="1" customHeight="1" x14ac:dyDescent="0.25">
      <c r="A1701" s="1" t="s">
        <v>31</v>
      </c>
      <c r="B1701" s="1" t="s">
        <v>66</v>
      </c>
      <c r="C1701" s="1" t="s">
        <v>156</v>
      </c>
      <c r="D1701">
        <v>5467</v>
      </c>
      <c r="E1701" s="1"/>
      <c r="F1701" s="1" t="s">
        <v>287</v>
      </c>
      <c r="G1701" s="1" t="s">
        <v>156</v>
      </c>
      <c r="H1701" s="1" t="s">
        <v>1405</v>
      </c>
      <c r="I1701">
        <v>2010</v>
      </c>
      <c r="J1701" s="93">
        <v>381860</v>
      </c>
      <c r="K1701">
        <v>12</v>
      </c>
      <c r="L1701" s="1" t="s">
        <v>484</v>
      </c>
      <c r="M1701">
        <v>0</v>
      </c>
      <c r="N1701">
        <v>6415</v>
      </c>
      <c r="O1701">
        <v>59.525182000000001</v>
      </c>
      <c r="P1701">
        <v>1</v>
      </c>
      <c r="Q1701" s="1" t="s">
        <v>562</v>
      </c>
      <c r="R1701" s="93">
        <v>348750.98</v>
      </c>
      <c r="S1701">
        <v>64518.94</v>
      </c>
      <c r="T1701">
        <v>0</v>
      </c>
      <c r="U1701" s="1" t="s">
        <v>805</v>
      </c>
      <c r="V1701" s="1"/>
      <c r="W1701">
        <v>381859.99699999997</v>
      </c>
      <c r="X1701">
        <v>0</v>
      </c>
      <c r="Y1701">
        <v>61229</v>
      </c>
    </row>
    <row r="1702" spans="1:25" ht="15" hidden="1" customHeight="1" x14ac:dyDescent="0.25">
      <c r="A1702" s="1" t="s">
        <v>31</v>
      </c>
      <c r="B1702" s="1" t="s">
        <v>66</v>
      </c>
      <c r="C1702" s="1" t="s">
        <v>156</v>
      </c>
      <c r="D1702">
        <v>5467</v>
      </c>
      <c r="E1702" s="1"/>
      <c r="F1702" s="1" t="s">
        <v>287</v>
      </c>
      <c r="G1702" s="1" t="s">
        <v>156</v>
      </c>
      <c r="H1702" s="1" t="s">
        <v>1396</v>
      </c>
      <c r="I1702">
        <v>2010</v>
      </c>
      <c r="J1702" s="93">
        <v>264769.75</v>
      </c>
      <c r="K1702">
        <v>12</v>
      </c>
      <c r="L1702" s="1" t="s">
        <v>484</v>
      </c>
      <c r="M1702">
        <v>0</v>
      </c>
      <c r="N1702">
        <v>6415</v>
      </c>
      <c r="O1702">
        <v>41.272894999999998</v>
      </c>
      <c r="P1702">
        <v>1</v>
      </c>
      <c r="Q1702" s="1" t="s">
        <v>563</v>
      </c>
      <c r="R1702" s="93">
        <v>242388.17</v>
      </c>
      <c r="S1702">
        <v>1285.22</v>
      </c>
      <c r="T1702">
        <v>1</v>
      </c>
      <c r="U1702" s="1" t="s">
        <v>806</v>
      </c>
      <c r="V1702" s="1"/>
      <c r="W1702">
        <v>7588.7</v>
      </c>
      <c r="X1702">
        <v>61229</v>
      </c>
      <c r="Y1702">
        <v>61230</v>
      </c>
    </row>
    <row r="1703" spans="1:25" ht="15" hidden="1" customHeight="1" x14ac:dyDescent="0.25">
      <c r="A1703" s="1" t="s">
        <v>31</v>
      </c>
      <c r="B1703" s="1" t="s">
        <v>66</v>
      </c>
      <c r="C1703" s="1" t="s">
        <v>156</v>
      </c>
      <c r="D1703">
        <v>5467</v>
      </c>
      <c r="E1703" s="1"/>
      <c r="F1703" s="1" t="s">
        <v>287</v>
      </c>
      <c r="G1703" s="1" t="s">
        <v>156</v>
      </c>
      <c r="H1703" s="1" t="s">
        <v>1396</v>
      </c>
      <c r="I1703">
        <v>2009</v>
      </c>
      <c r="J1703" s="93">
        <v>244711.49</v>
      </c>
      <c r="K1703">
        <v>12</v>
      </c>
      <c r="L1703" s="1" t="s">
        <v>484</v>
      </c>
      <c r="M1703">
        <v>0</v>
      </c>
      <c r="N1703">
        <v>6415</v>
      </c>
      <c r="O1703">
        <v>38.146169</v>
      </c>
      <c r="P1703">
        <v>1</v>
      </c>
      <c r="Q1703" s="1" t="s">
        <v>563</v>
      </c>
      <c r="R1703" s="93">
        <v>251043.73</v>
      </c>
      <c r="S1703">
        <v>1331.12</v>
      </c>
      <c r="T1703">
        <v>1</v>
      </c>
      <c r="U1703" s="1" t="s">
        <v>806</v>
      </c>
      <c r="V1703" s="1"/>
      <c r="W1703">
        <v>7013.8</v>
      </c>
      <c r="X1703">
        <v>61229</v>
      </c>
      <c r="Y1703">
        <v>61230</v>
      </c>
    </row>
    <row r="1704" spans="1:25" ht="15" hidden="1" customHeight="1" x14ac:dyDescent="0.25">
      <c r="A1704" s="1" t="s">
        <v>31</v>
      </c>
      <c r="B1704" s="1" t="s">
        <v>66</v>
      </c>
      <c r="C1704" s="1" t="s">
        <v>156</v>
      </c>
      <c r="D1704">
        <v>5467</v>
      </c>
      <c r="E1704" s="1"/>
      <c r="F1704" s="1" t="s">
        <v>287</v>
      </c>
      <c r="G1704" s="1" t="s">
        <v>156</v>
      </c>
      <c r="H1704" s="1" t="s">
        <v>1405</v>
      </c>
      <c r="I1704">
        <v>2009</v>
      </c>
      <c r="J1704" s="93">
        <v>312920</v>
      </c>
      <c r="K1704">
        <v>12</v>
      </c>
      <c r="L1704" s="1" t="s">
        <v>484</v>
      </c>
      <c r="M1704">
        <v>0</v>
      </c>
      <c r="N1704">
        <v>6415</v>
      </c>
      <c r="O1704">
        <v>48.778661999999997</v>
      </c>
      <c r="P1704">
        <v>1</v>
      </c>
      <c r="Q1704" s="1" t="s">
        <v>562</v>
      </c>
      <c r="R1704" s="93">
        <v>328581.88</v>
      </c>
      <c r="S1704">
        <v>60787.64</v>
      </c>
      <c r="T1704">
        <v>0</v>
      </c>
      <c r="U1704" s="1" t="s">
        <v>805</v>
      </c>
      <c r="V1704" s="1"/>
      <c r="W1704">
        <v>312920</v>
      </c>
      <c r="X1704">
        <v>0</v>
      </c>
      <c r="Y1704">
        <v>61229</v>
      </c>
    </row>
    <row r="1705" spans="1:25" ht="15" hidden="1" customHeight="1" x14ac:dyDescent="0.25">
      <c r="A1705" s="1" t="s">
        <v>31</v>
      </c>
      <c r="B1705" s="1" t="s">
        <v>66</v>
      </c>
      <c r="C1705" s="1" t="s">
        <v>156</v>
      </c>
      <c r="D1705">
        <v>5467</v>
      </c>
      <c r="E1705" s="1"/>
      <c r="F1705" s="1" t="s">
        <v>287</v>
      </c>
      <c r="G1705" s="1" t="s">
        <v>156</v>
      </c>
      <c r="H1705" s="1" t="s">
        <v>1396</v>
      </c>
      <c r="I1705">
        <v>2008</v>
      </c>
      <c r="J1705" s="93">
        <v>220818.82</v>
      </c>
      <c r="K1705">
        <v>12</v>
      </c>
      <c r="L1705" s="1" t="s">
        <v>484</v>
      </c>
      <c r="M1705">
        <v>0</v>
      </c>
      <c r="N1705">
        <v>6415</v>
      </c>
      <c r="O1705">
        <v>34.421726</v>
      </c>
      <c r="P1705">
        <v>1</v>
      </c>
      <c r="Q1705" s="1" t="s">
        <v>563</v>
      </c>
      <c r="R1705" s="93">
        <v>251965.78</v>
      </c>
      <c r="S1705">
        <v>1336.03</v>
      </c>
      <c r="T1705">
        <v>1</v>
      </c>
      <c r="U1705" s="1" t="s">
        <v>806</v>
      </c>
      <c r="V1705" s="1"/>
      <c r="W1705">
        <v>6329</v>
      </c>
      <c r="X1705">
        <v>61229</v>
      </c>
      <c r="Y1705">
        <v>61230</v>
      </c>
    </row>
    <row r="1706" spans="1:25" ht="15" hidden="1" customHeight="1" x14ac:dyDescent="0.25">
      <c r="A1706" s="1" t="s">
        <v>31</v>
      </c>
      <c r="B1706" s="1" t="s">
        <v>66</v>
      </c>
      <c r="C1706" s="1" t="s">
        <v>156</v>
      </c>
      <c r="D1706">
        <v>5467</v>
      </c>
      <c r="E1706" s="1"/>
      <c r="F1706" s="1" t="s">
        <v>287</v>
      </c>
      <c r="G1706" s="1" t="s">
        <v>156</v>
      </c>
      <c r="H1706" s="1" t="s">
        <v>1405</v>
      </c>
      <c r="I1706">
        <v>2008</v>
      </c>
      <c r="J1706" s="93">
        <v>316790</v>
      </c>
      <c r="K1706">
        <v>12</v>
      </c>
      <c r="L1706" s="1" t="s">
        <v>484</v>
      </c>
      <c r="M1706">
        <v>0</v>
      </c>
      <c r="N1706">
        <v>6415</v>
      </c>
      <c r="O1706">
        <v>49.381926999999997</v>
      </c>
      <c r="P1706">
        <v>1</v>
      </c>
      <c r="Q1706" s="1" t="s">
        <v>562</v>
      </c>
      <c r="R1706" s="93">
        <v>366634.56</v>
      </c>
      <c r="S1706">
        <v>67827.39</v>
      </c>
      <c r="T1706">
        <v>0</v>
      </c>
      <c r="U1706" s="1" t="s">
        <v>805</v>
      </c>
      <c r="V1706" s="1"/>
      <c r="W1706">
        <v>316790</v>
      </c>
      <c r="X1706">
        <v>0</v>
      </c>
      <c r="Y1706">
        <v>61229</v>
      </c>
    </row>
    <row r="1707" spans="1:25" ht="15" hidden="1" customHeight="1" x14ac:dyDescent="0.25">
      <c r="A1707" s="1" t="s">
        <v>31</v>
      </c>
      <c r="B1707" s="1" t="s">
        <v>66</v>
      </c>
      <c r="C1707" s="1" t="s">
        <v>156</v>
      </c>
      <c r="D1707">
        <v>14135</v>
      </c>
      <c r="E1707" s="1" t="s">
        <v>243</v>
      </c>
      <c r="F1707" s="1" t="s">
        <v>288</v>
      </c>
      <c r="G1707" s="1" t="s">
        <v>156</v>
      </c>
      <c r="H1707" s="1" t="s">
        <v>1396</v>
      </c>
      <c r="I1707">
        <v>2015</v>
      </c>
      <c r="J1707" s="93">
        <v>88873.89</v>
      </c>
      <c r="K1707">
        <v>5</v>
      </c>
      <c r="L1707" s="1" t="s">
        <v>484</v>
      </c>
      <c r="M1707">
        <v>0</v>
      </c>
      <c r="N1707">
        <v>3594</v>
      </c>
      <c r="O1707">
        <v>24.727716999999998</v>
      </c>
      <c r="P1707">
        <v>1</v>
      </c>
      <c r="Q1707" s="1" t="s">
        <v>563</v>
      </c>
      <c r="R1707" s="93">
        <v>96327.3</v>
      </c>
      <c r="S1707">
        <v>510763.85</v>
      </c>
      <c r="T1707">
        <v>1</v>
      </c>
      <c r="U1707" s="1" t="s">
        <v>807</v>
      </c>
      <c r="V1707" s="1"/>
      <c r="W1707">
        <v>2547.2600000000002</v>
      </c>
      <c r="X1707">
        <v>57807</v>
      </c>
      <c r="Y1707">
        <v>57809</v>
      </c>
    </row>
    <row r="1708" spans="1:25" ht="15" hidden="1" customHeight="1" x14ac:dyDescent="0.25">
      <c r="A1708" s="1" t="s">
        <v>31</v>
      </c>
      <c r="B1708" s="1" t="s">
        <v>66</v>
      </c>
      <c r="C1708" s="1" t="s">
        <v>156</v>
      </c>
      <c r="D1708">
        <v>14135</v>
      </c>
      <c r="E1708" s="1" t="s">
        <v>243</v>
      </c>
      <c r="F1708" s="1" t="s">
        <v>288</v>
      </c>
      <c r="G1708" s="1" t="s">
        <v>156</v>
      </c>
      <c r="H1708" s="1" t="s">
        <v>1405</v>
      </c>
      <c r="I1708">
        <v>2015</v>
      </c>
      <c r="J1708" s="93">
        <v>143919</v>
      </c>
      <c r="K1708">
        <v>5</v>
      </c>
      <c r="L1708" s="1" t="s">
        <v>484</v>
      </c>
      <c r="M1708">
        <v>0</v>
      </c>
      <c r="N1708">
        <v>3594</v>
      </c>
      <c r="O1708">
        <v>25.277538</v>
      </c>
      <c r="P1708">
        <v>1</v>
      </c>
      <c r="Q1708" s="1" t="s">
        <v>562</v>
      </c>
      <c r="R1708" s="93">
        <v>165205</v>
      </c>
      <c r="S1708">
        <v>18721605.949999999</v>
      </c>
      <c r="T1708">
        <v>0</v>
      </c>
      <c r="U1708" s="1" t="s">
        <v>808</v>
      </c>
      <c r="V1708" s="1"/>
      <c r="W1708">
        <v>90850</v>
      </c>
      <c r="X1708">
        <v>0</v>
      </c>
      <c r="Y1708">
        <v>57807</v>
      </c>
    </row>
    <row r="1709" spans="1:25" ht="15" hidden="1" customHeight="1" x14ac:dyDescent="0.25">
      <c r="A1709" s="1" t="s">
        <v>31</v>
      </c>
      <c r="B1709" s="1" t="s">
        <v>66</v>
      </c>
      <c r="C1709" s="1" t="s">
        <v>156</v>
      </c>
      <c r="D1709">
        <v>14135</v>
      </c>
      <c r="E1709" s="1" t="s">
        <v>243</v>
      </c>
      <c r="F1709" s="1" t="s">
        <v>288</v>
      </c>
      <c r="G1709" s="1" t="s">
        <v>156</v>
      </c>
      <c r="H1709" s="1" t="s">
        <v>1396</v>
      </c>
      <c r="I1709">
        <v>2013</v>
      </c>
      <c r="J1709" s="93">
        <v>195495.31</v>
      </c>
      <c r="K1709">
        <v>12</v>
      </c>
      <c r="L1709" s="1" t="s">
        <v>484</v>
      </c>
      <c r="M1709">
        <v>0</v>
      </c>
      <c r="N1709">
        <v>3594</v>
      </c>
      <c r="O1709">
        <v>54.393397</v>
      </c>
      <c r="P1709">
        <v>1</v>
      </c>
      <c r="Q1709" s="1" t="s">
        <v>563</v>
      </c>
      <c r="R1709" s="93">
        <v>212472.2</v>
      </c>
      <c r="S1709">
        <v>1126.5999999999999</v>
      </c>
      <c r="T1709">
        <v>1</v>
      </c>
      <c r="U1709" s="1" t="s">
        <v>807</v>
      </c>
      <c r="V1709" s="1"/>
      <c r="W1709">
        <v>5603.19</v>
      </c>
      <c r="X1709">
        <v>57807</v>
      </c>
      <c r="Y1709">
        <v>57809</v>
      </c>
    </row>
    <row r="1710" spans="1:25" ht="15" hidden="1" customHeight="1" x14ac:dyDescent="0.25">
      <c r="A1710" s="1" t="s">
        <v>31</v>
      </c>
      <c r="B1710" s="1" t="s">
        <v>66</v>
      </c>
      <c r="C1710" s="1" t="s">
        <v>156</v>
      </c>
      <c r="D1710">
        <v>14135</v>
      </c>
      <c r="E1710" s="1" t="s">
        <v>243</v>
      </c>
      <c r="F1710" s="1" t="s">
        <v>288</v>
      </c>
      <c r="G1710" s="1" t="s">
        <v>156</v>
      </c>
      <c r="H1710" s="1" t="s">
        <v>1405</v>
      </c>
      <c r="I1710">
        <v>2013</v>
      </c>
      <c r="J1710" s="93">
        <v>200771</v>
      </c>
      <c r="K1710">
        <v>12</v>
      </c>
      <c r="L1710" s="1" t="s">
        <v>484</v>
      </c>
      <c r="M1710">
        <v>0</v>
      </c>
      <c r="N1710">
        <v>3594</v>
      </c>
      <c r="O1710">
        <v>55.861272</v>
      </c>
      <c r="P1710">
        <v>1</v>
      </c>
      <c r="Q1710" s="1" t="s">
        <v>562</v>
      </c>
      <c r="R1710" s="93">
        <v>208483.73</v>
      </c>
      <c r="S1710">
        <v>38569.5</v>
      </c>
      <c r="T1710">
        <v>0</v>
      </c>
      <c r="U1710" s="1" t="s">
        <v>808</v>
      </c>
      <c r="V1710" s="1"/>
      <c r="W1710">
        <v>200771</v>
      </c>
      <c r="X1710">
        <v>0</v>
      </c>
      <c r="Y1710">
        <v>57807</v>
      </c>
    </row>
    <row r="1711" spans="1:25" ht="15" hidden="1" customHeight="1" x14ac:dyDescent="0.25">
      <c r="A1711" s="1" t="s">
        <v>31</v>
      </c>
      <c r="B1711" s="1" t="s">
        <v>66</v>
      </c>
      <c r="C1711" s="1" t="s">
        <v>156</v>
      </c>
      <c r="D1711">
        <v>14135</v>
      </c>
      <c r="E1711" s="1" t="s">
        <v>243</v>
      </c>
      <c r="F1711" s="1" t="s">
        <v>288</v>
      </c>
      <c r="G1711" s="1" t="s">
        <v>156</v>
      </c>
      <c r="H1711" s="1" t="s">
        <v>1405</v>
      </c>
      <c r="I1711">
        <v>2012</v>
      </c>
      <c r="J1711" s="93">
        <v>195251</v>
      </c>
      <c r="K1711">
        <v>12</v>
      </c>
      <c r="L1711" s="1" t="s">
        <v>484</v>
      </c>
      <c r="M1711">
        <v>0</v>
      </c>
      <c r="N1711">
        <v>3594</v>
      </c>
      <c r="O1711">
        <v>54.325422000000003</v>
      </c>
      <c r="P1711">
        <v>1</v>
      </c>
      <c r="Q1711" s="1" t="s">
        <v>562</v>
      </c>
      <c r="R1711" s="93">
        <v>204110.52</v>
      </c>
      <c r="S1711">
        <v>37760.43</v>
      </c>
      <c r="T1711">
        <v>0</v>
      </c>
      <c r="U1711" s="1" t="s">
        <v>808</v>
      </c>
      <c r="V1711" s="1"/>
      <c r="W1711">
        <v>195251</v>
      </c>
      <c r="X1711">
        <v>0</v>
      </c>
      <c r="Y1711">
        <v>57807</v>
      </c>
    </row>
    <row r="1712" spans="1:25" ht="15" hidden="1" customHeight="1" x14ac:dyDescent="0.25">
      <c r="A1712" s="1" t="s">
        <v>31</v>
      </c>
      <c r="B1712" s="1" t="s">
        <v>66</v>
      </c>
      <c r="C1712" s="1" t="s">
        <v>156</v>
      </c>
      <c r="D1712">
        <v>14135</v>
      </c>
      <c r="E1712" s="1" t="s">
        <v>243</v>
      </c>
      <c r="F1712" s="1" t="s">
        <v>288</v>
      </c>
      <c r="G1712" s="1" t="s">
        <v>156</v>
      </c>
      <c r="H1712" s="1" t="s">
        <v>1396</v>
      </c>
      <c r="I1712">
        <v>2012</v>
      </c>
      <c r="J1712" s="93">
        <v>186706.85</v>
      </c>
      <c r="K1712">
        <v>12</v>
      </c>
      <c r="L1712" s="1" t="s">
        <v>484</v>
      </c>
      <c r="M1712">
        <v>0</v>
      </c>
      <c r="N1712">
        <v>3594</v>
      </c>
      <c r="O1712">
        <v>51.948151000000003</v>
      </c>
      <c r="P1712">
        <v>1</v>
      </c>
      <c r="Q1712" s="1" t="s">
        <v>563</v>
      </c>
      <c r="R1712" s="93">
        <v>196737.53</v>
      </c>
      <c r="S1712">
        <v>1043.17</v>
      </c>
      <c r="T1712">
        <v>1</v>
      </c>
      <c r="U1712" s="1" t="s">
        <v>807</v>
      </c>
      <c r="V1712" s="1"/>
      <c r="W1712">
        <v>5351.3</v>
      </c>
      <c r="X1712">
        <v>57807</v>
      </c>
      <c r="Y1712">
        <v>57809</v>
      </c>
    </row>
    <row r="1713" spans="1:25" ht="15" hidden="1" customHeight="1" x14ac:dyDescent="0.25">
      <c r="A1713" s="1" t="s">
        <v>31</v>
      </c>
      <c r="B1713" s="1" t="s">
        <v>66</v>
      </c>
      <c r="C1713" s="1" t="s">
        <v>156</v>
      </c>
      <c r="D1713">
        <v>14135</v>
      </c>
      <c r="E1713" s="1" t="s">
        <v>243</v>
      </c>
      <c r="F1713" s="1" t="s">
        <v>288</v>
      </c>
      <c r="G1713" s="1" t="s">
        <v>156</v>
      </c>
      <c r="H1713" s="1" t="s">
        <v>1405</v>
      </c>
      <c r="I1713">
        <v>2011</v>
      </c>
      <c r="J1713" s="93">
        <v>192126</v>
      </c>
      <c r="K1713">
        <v>12</v>
      </c>
      <c r="L1713" s="1" t="s">
        <v>484</v>
      </c>
      <c r="M1713">
        <v>0</v>
      </c>
      <c r="N1713">
        <v>3594</v>
      </c>
      <c r="O1713">
        <v>53.455941000000003</v>
      </c>
      <c r="P1713">
        <v>1</v>
      </c>
      <c r="Q1713" s="1" t="s">
        <v>562</v>
      </c>
      <c r="R1713" s="93">
        <v>205669.67</v>
      </c>
      <c r="S1713">
        <v>38048.89</v>
      </c>
      <c r="T1713">
        <v>0</v>
      </c>
      <c r="U1713" s="1" t="s">
        <v>808</v>
      </c>
      <c r="V1713" s="1"/>
      <c r="W1713">
        <v>192126</v>
      </c>
      <c r="X1713">
        <v>0</v>
      </c>
      <c r="Y1713">
        <v>57807</v>
      </c>
    </row>
    <row r="1714" spans="1:25" ht="15" hidden="1" customHeight="1" x14ac:dyDescent="0.25">
      <c r="A1714" s="1" t="s">
        <v>31</v>
      </c>
      <c r="B1714" s="1" t="s">
        <v>66</v>
      </c>
      <c r="C1714" s="1" t="s">
        <v>156</v>
      </c>
      <c r="D1714">
        <v>14135</v>
      </c>
      <c r="E1714" s="1" t="s">
        <v>243</v>
      </c>
      <c r="F1714" s="1" t="s">
        <v>288</v>
      </c>
      <c r="G1714" s="1" t="s">
        <v>156</v>
      </c>
      <c r="H1714" s="1" t="s">
        <v>1396</v>
      </c>
      <c r="I1714">
        <v>2011</v>
      </c>
      <c r="J1714" s="93">
        <v>196937.65</v>
      </c>
      <c r="K1714">
        <v>12</v>
      </c>
      <c r="L1714" s="1" t="s">
        <v>484</v>
      </c>
      <c r="M1714">
        <v>0</v>
      </c>
      <c r="N1714">
        <v>3594</v>
      </c>
      <c r="O1714">
        <v>54.794705</v>
      </c>
      <c r="P1714">
        <v>1</v>
      </c>
      <c r="Q1714" s="1" t="s">
        <v>563</v>
      </c>
      <c r="R1714" s="93">
        <v>211115.95</v>
      </c>
      <c r="S1714">
        <v>1119.43</v>
      </c>
      <c r="T1714">
        <v>1</v>
      </c>
      <c r="U1714" s="1" t="s">
        <v>807</v>
      </c>
      <c r="V1714" s="1"/>
      <c r="W1714">
        <v>5644.53</v>
      </c>
      <c r="X1714">
        <v>57807</v>
      </c>
      <c r="Y1714">
        <v>57809</v>
      </c>
    </row>
    <row r="1715" spans="1:25" ht="15" hidden="1" customHeight="1" x14ac:dyDescent="0.25">
      <c r="A1715" s="1" t="s">
        <v>31</v>
      </c>
      <c r="B1715" s="1" t="s">
        <v>66</v>
      </c>
      <c r="C1715" s="1" t="s">
        <v>156</v>
      </c>
      <c r="D1715">
        <v>14135</v>
      </c>
      <c r="E1715" s="1" t="s">
        <v>243</v>
      </c>
      <c r="F1715" s="1" t="s">
        <v>288</v>
      </c>
      <c r="G1715" s="1" t="s">
        <v>156</v>
      </c>
      <c r="H1715" s="1" t="s">
        <v>1405</v>
      </c>
      <c r="I1715">
        <v>2010</v>
      </c>
      <c r="J1715" s="93">
        <v>226226.5</v>
      </c>
      <c r="K1715">
        <v>12</v>
      </c>
      <c r="L1715" s="1" t="s">
        <v>484</v>
      </c>
      <c r="M1715">
        <v>0</v>
      </c>
      <c r="N1715">
        <v>3594</v>
      </c>
      <c r="O1715">
        <v>62.943852</v>
      </c>
      <c r="P1715">
        <v>1</v>
      </c>
      <c r="Q1715" s="1" t="s">
        <v>562</v>
      </c>
      <c r="R1715" s="93">
        <v>208205.91</v>
      </c>
      <c r="S1715">
        <v>38518.089999999997</v>
      </c>
      <c r="T1715">
        <v>0</v>
      </c>
      <c r="U1715" s="1" t="s">
        <v>808</v>
      </c>
      <c r="V1715" s="1"/>
      <c r="W1715">
        <v>226226.5</v>
      </c>
      <c r="X1715">
        <v>0</v>
      </c>
      <c r="Y1715">
        <v>57807</v>
      </c>
    </row>
    <row r="1716" spans="1:25" ht="15" hidden="1" customHeight="1" x14ac:dyDescent="0.25">
      <c r="A1716" s="1" t="s">
        <v>31</v>
      </c>
      <c r="B1716" s="1" t="s">
        <v>66</v>
      </c>
      <c r="C1716" s="1" t="s">
        <v>156</v>
      </c>
      <c r="D1716">
        <v>14135</v>
      </c>
      <c r="E1716" s="1" t="s">
        <v>243</v>
      </c>
      <c r="F1716" s="1" t="s">
        <v>288</v>
      </c>
      <c r="G1716" s="1" t="s">
        <v>156</v>
      </c>
      <c r="H1716" s="1" t="s">
        <v>1396</v>
      </c>
      <c r="I1716">
        <v>2010</v>
      </c>
      <c r="J1716" s="93">
        <v>228758.71</v>
      </c>
      <c r="K1716">
        <v>12</v>
      </c>
      <c r="L1716" s="1" t="s">
        <v>484</v>
      </c>
      <c r="M1716">
        <v>0</v>
      </c>
      <c r="N1716">
        <v>3594</v>
      </c>
      <c r="O1716">
        <v>63.648398</v>
      </c>
      <c r="P1716">
        <v>1</v>
      </c>
      <c r="Q1716" s="1" t="s">
        <v>563</v>
      </c>
      <c r="R1716" s="93">
        <v>210093.24</v>
      </c>
      <c r="S1716">
        <v>1114</v>
      </c>
      <c r="T1716">
        <v>1</v>
      </c>
      <c r="U1716" s="1" t="s">
        <v>807</v>
      </c>
      <c r="V1716" s="1"/>
      <c r="W1716">
        <v>6556.57</v>
      </c>
      <c r="X1716">
        <v>57807</v>
      </c>
      <c r="Y1716">
        <v>57809</v>
      </c>
    </row>
    <row r="1717" spans="1:25" ht="15" hidden="1" customHeight="1" x14ac:dyDescent="0.25">
      <c r="A1717" s="1" t="s">
        <v>31</v>
      </c>
      <c r="B1717" s="1" t="s">
        <v>66</v>
      </c>
      <c r="C1717" s="1" t="s">
        <v>156</v>
      </c>
      <c r="D1717">
        <v>14135</v>
      </c>
      <c r="E1717" s="1" t="s">
        <v>243</v>
      </c>
      <c r="F1717" s="1" t="s">
        <v>288</v>
      </c>
      <c r="G1717" s="1" t="s">
        <v>156</v>
      </c>
      <c r="H1717" s="1" t="s">
        <v>1405</v>
      </c>
      <c r="I1717">
        <v>2009</v>
      </c>
      <c r="J1717" s="93">
        <v>184349.5</v>
      </c>
      <c r="K1717">
        <v>12</v>
      </c>
      <c r="L1717" s="1" t="s">
        <v>484</v>
      </c>
      <c r="M1717">
        <v>0</v>
      </c>
      <c r="N1717">
        <v>3594</v>
      </c>
      <c r="O1717">
        <v>51.292256000000002</v>
      </c>
      <c r="P1717">
        <v>1</v>
      </c>
      <c r="Q1717" s="1" t="s">
        <v>562</v>
      </c>
      <c r="R1717" s="93">
        <v>193921.2</v>
      </c>
      <c r="S1717">
        <v>35875.43</v>
      </c>
      <c r="T1717">
        <v>0</v>
      </c>
      <c r="U1717" s="1" t="s">
        <v>808</v>
      </c>
      <c r="V1717" s="1"/>
      <c r="W1717">
        <v>184349.5</v>
      </c>
      <c r="X1717">
        <v>0</v>
      </c>
      <c r="Y1717">
        <v>57807</v>
      </c>
    </row>
    <row r="1718" spans="1:25" ht="15" hidden="1" customHeight="1" x14ac:dyDescent="0.25">
      <c r="A1718" s="1" t="s">
        <v>31</v>
      </c>
      <c r="B1718" s="1" t="s">
        <v>66</v>
      </c>
      <c r="C1718" s="1" t="s">
        <v>156</v>
      </c>
      <c r="D1718">
        <v>14135</v>
      </c>
      <c r="E1718" s="1" t="s">
        <v>243</v>
      </c>
      <c r="F1718" s="1" t="s">
        <v>288</v>
      </c>
      <c r="G1718" s="1" t="s">
        <v>156</v>
      </c>
      <c r="H1718" s="1" t="s">
        <v>1396</v>
      </c>
      <c r="I1718">
        <v>2009</v>
      </c>
      <c r="J1718" s="93">
        <v>169966.28</v>
      </c>
      <c r="K1718">
        <v>12</v>
      </c>
      <c r="L1718" s="1" t="s">
        <v>484</v>
      </c>
      <c r="M1718">
        <v>0</v>
      </c>
      <c r="N1718">
        <v>3594</v>
      </c>
      <c r="O1718">
        <v>47.290359000000002</v>
      </c>
      <c r="P1718">
        <v>1</v>
      </c>
      <c r="Q1718" s="1" t="s">
        <v>563</v>
      </c>
      <c r="R1718" s="93">
        <v>177969.95</v>
      </c>
      <c r="S1718">
        <v>943.66</v>
      </c>
      <c r="T1718">
        <v>1</v>
      </c>
      <c r="U1718" s="1" t="s">
        <v>807</v>
      </c>
      <c r="V1718" s="1"/>
      <c r="W1718">
        <v>4871.49</v>
      </c>
      <c r="X1718">
        <v>57807</v>
      </c>
      <c r="Y1718">
        <v>57809</v>
      </c>
    </row>
    <row r="1719" spans="1:25" ht="15" hidden="1" customHeight="1" x14ac:dyDescent="0.25">
      <c r="A1719" s="1" t="s">
        <v>31</v>
      </c>
      <c r="B1719" s="1" t="s">
        <v>66</v>
      </c>
      <c r="C1719" s="1" t="s">
        <v>156</v>
      </c>
      <c r="D1719">
        <v>14135</v>
      </c>
      <c r="E1719" s="1" t="s">
        <v>243</v>
      </c>
      <c r="F1719" s="1" t="s">
        <v>288</v>
      </c>
      <c r="G1719" s="1" t="s">
        <v>156</v>
      </c>
      <c r="H1719" s="1" t="s">
        <v>1405</v>
      </c>
      <c r="I1719">
        <v>2008</v>
      </c>
      <c r="J1719" s="93">
        <v>171816</v>
      </c>
      <c r="K1719">
        <v>12</v>
      </c>
      <c r="L1719" s="1" t="s">
        <v>484</v>
      </c>
      <c r="M1719">
        <v>0</v>
      </c>
      <c r="N1719">
        <v>3594</v>
      </c>
      <c r="O1719">
        <v>47.805013000000002</v>
      </c>
      <c r="P1719">
        <v>1</v>
      </c>
      <c r="Q1719" s="1" t="s">
        <v>562</v>
      </c>
      <c r="R1719" s="93">
        <v>195213.17</v>
      </c>
      <c r="S1719">
        <v>36114.449999999997</v>
      </c>
      <c r="T1719">
        <v>0</v>
      </c>
      <c r="U1719" s="1" t="s">
        <v>808</v>
      </c>
      <c r="V1719" s="1"/>
      <c r="W1719">
        <v>171816</v>
      </c>
      <c r="X1719">
        <v>0</v>
      </c>
      <c r="Y1719">
        <v>57807</v>
      </c>
    </row>
    <row r="1720" spans="1:25" ht="15" hidden="1" customHeight="1" x14ac:dyDescent="0.25">
      <c r="A1720" s="1" t="s">
        <v>31</v>
      </c>
      <c r="B1720" s="1" t="s">
        <v>66</v>
      </c>
      <c r="C1720" s="1" t="s">
        <v>156</v>
      </c>
      <c r="D1720">
        <v>14135</v>
      </c>
      <c r="E1720" s="1" t="s">
        <v>243</v>
      </c>
      <c r="F1720" s="1" t="s">
        <v>288</v>
      </c>
      <c r="G1720" s="1" t="s">
        <v>156</v>
      </c>
      <c r="H1720" s="1" t="s">
        <v>1396</v>
      </c>
      <c r="I1720">
        <v>2008</v>
      </c>
      <c r="J1720" s="93">
        <v>150615.93</v>
      </c>
      <c r="K1720">
        <v>12</v>
      </c>
      <c r="L1720" s="1" t="s">
        <v>484</v>
      </c>
      <c r="M1720">
        <v>0</v>
      </c>
      <c r="N1720">
        <v>3594</v>
      </c>
      <c r="O1720">
        <v>41.906438000000001</v>
      </c>
      <c r="P1720">
        <v>1</v>
      </c>
      <c r="Q1720" s="1" t="s">
        <v>563</v>
      </c>
      <c r="R1720" s="93">
        <v>168879.73</v>
      </c>
      <c r="S1720">
        <v>895.46</v>
      </c>
      <c r="T1720">
        <v>1</v>
      </c>
      <c r="U1720" s="1" t="s">
        <v>807</v>
      </c>
      <c r="V1720" s="1"/>
      <c r="W1720">
        <v>4316.88</v>
      </c>
      <c r="X1720">
        <v>57807</v>
      </c>
      <c r="Y1720">
        <v>57809</v>
      </c>
    </row>
    <row r="1721" spans="1:25" ht="15" customHeight="1" x14ac:dyDescent="0.25">
      <c r="A1721" s="1" t="s">
        <v>31</v>
      </c>
      <c r="B1721" s="1"/>
      <c r="C1721" s="1" t="s">
        <v>157</v>
      </c>
      <c r="D1721">
        <v>10324</v>
      </c>
      <c r="E1721" s="1"/>
      <c r="F1721" s="1" t="s">
        <v>289</v>
      </c>
      <c r="G1721" s="1" t="s">
        <v>157</v>
      </c>
      <c r="H1721" s="1" t="s">
        <v>1396</v>
      </c>
      <c r="I1721">
        <v>2015</v>
      </c>
      <c r="J1721" s="93">
        <v>63377.33</v>
      </c>
      <c r="K1721">
        <v>5</v>
      </c>
      <c r="L1721" s="1"/>
      <c r="M1721">
        <v>0</v>
      </c>
      <c r="N1721">
        <v>2027</v>
      </c>
      <c r="O1721">
        <v>31.265022999999999</v>
      </c>
      <c r="P1721">
        <v>1</v>
      </c>
      <c r="Q1721" s="1" t="s">
        <v>563</v>
      </c>
      <c r="R1721" s="93">
        <v>70072.710000000006</v>
      </c>
      <c r="S1721">
        <v>128.53</v>
      </c>
      <c r="T1721">
        <v>1</v>
      </c>
      <c r="U1721" s="1"/>
      <c r="V1721" s="1"/>
      <c r="W1721">
        <v>1816.49</v>
      </c>
      <c r="X1721">
        <v>77834</v>
      </c>
      <c r="Y1721">
        <v>77835</v>
      </c>
    </row>
    <row r="1722" spans="1:25" ht="15" customHeight="1" x14ac:dyDescent="0.25">
      <c r="A1722" s="1" t="s">
        <v>31</v>
      </c>
      <c r="B1722" s="1"/>
      <c r="C1722" s="1" t="s">
        <v>157</v>
      </c>
      <c r="D1722">
        <v>10324</v>
      </c>
      <c r="E1722" s="1"/>
      <c r="F1722" s="1" t="s">
        <v>289</v>
      </c>
      <c r="G1722" s="1" t="s">
        <v>157</v>
      </c>
      <c r="H1722" s="1" t="s">
        <v>1405</v>
      </c>
      <c r="I1722">
        <v>2015</v>
      </c>
      <c r="J1722" s="93">
        <v>164027</v>
      </c>
      <c r="K1722">
        <v>5</v>
      </c>
      <c r="L1722" s="1"/>
      <c r="M1722">
        <v>0</v>
      </c>
      <c r="N1722">
        <v>2027</v>
      </c>
      <c r="O1722">
        <v>43.866607000000002</v>
      </c>
      <c r="P1722">
        <v>1</v>
      </c>
      <c r="Q1722" s="1" t="s">
        <v>565</v>
      </c>
      <c r="R1722" s="93">
        <v>184978</v>
      </c>
      <c r="S1722">
        <v>18356.52</v>
      </c>
      <c r="T1722">
        <v>0</v>
      </c>
      <c r="U1722" s="1"/>
      <c r="V1722" s="1"/>
      <c r="W1722">
        <v>88.921999999999997</v>
      </c>
      <c r="X1722">
        <v>0</v>
      </c>
      <c r="Y1722">
        <v>77834</v>
      </c>
    </row>
    <row r="1723" spans="1:25" ht="15" customHeight="1" x14ac:dyDescent="0.25">
      <c r="A1723" s="1" t="s">
        <v>31</v>
      </c>
      <c r="B1723" s="1"/>
      <c r="C1723" s="1" t="s">
        <v>157</v>
      </c>
      <c r="D1723">
        <v>10324</v>
      </c>
      <c r="E1723" s="1"/>
      <c r="F1723" s="1" t="s">
        <v>289</v>
      </c>
      <c r="G1723" s="1" t="s">
        <v>157</v>
      </c>
      <c r="H1723" s="1" t="s">
        <v>1405</v>
      </c>
      <c r="I1723">
        <v>2014</v>
      </c>
      <c r="J1723" s="93">
        <v>856.95</v>
      </c>
      <c r="K1723">
        <v>12</v>
      </c>
      <c r="L1723" s="1"/>
      <c r="M1723">
        <v>0</v>
      </c>
      <c r="N1723">
        <v>2027</v>
      </c>
      <c r="O1723">
        <v>0.42274600000000001</v>
      </c>
      <c r="P1723">
        <v>3</v>
      </c>
      <c r="Q1723" s="1" t="s">
        <v>560</v>
      </c>
      <c r="R1723" s="93">
        <v>856.95</v>
      </c>
      <c r="S1723">
        <v>685.56</v>
      </c>
      <c r="T1723">
        <v>0</v>
      </c>
      <c r="U1723" s="1"/>
      <c r="V1723" s="1"/>
      <c r="W1723">
        <v>856.95</v>
      </c>
      <c r="X1723">
        <v>0</v>
      </c>
      <c r="Y1723">
        <v>77833</v>
      </c>
    </row>
    <row r="1724" spans="1:25" ht="15" customHeight="1" x14ac:dyDescent="0.25">
      <c r="A1724" s="1" t="s">
        <v>31</v>
      </c>
      <c r="B1724" s="1"/>
      <c r="C1724" s="1" t="s">
        <v>157</v>
      </c>
      <c r="D1724">
        <v>10324</v>
      </c>
      <c r="E1724" s="1"/>
      <c r="F1724" s="1" t="s">
        <v>289</v>
      </c>
      <c r="G1724" s="1" t="s">
        <v>157</v>
      </c>
      <c r="H1724" s="1" t="s">
        <v>1405</v>
      </c>
      <c r="I1724">
        <v>2014</v>
      </c>
      <c r="J1724" s="93">
        <v>180.29</v>
      </c>
      <c r="K1724">
        <v>10</v>
      </c>
      <c r="L1724" s="1" t="s">
        <v>421</v>
      </c>
      <c r="M1724">
        <v>0</v>
      </c>
      <c r="N1724">
        <v>2027</v>
      </c>
      <c r="O1724">
        <v>8.8939000000000004E-2</v>
      </c>
      <c r="P1724">
        <v>3</v>
      </c>
      <c r="Q1724" s="1" t="s">
        <v>560</v>
      </c>
      <c r="R1724" s="93">
        <v>180.29</v>
      </c>
      <c r="S1724">
        <v>144.22</v>
      </c>
      <c r="T1724">
        <v>1</v>
      </c>
      <c r="U1724" s="1" t="s">
        <v>631</v>
      </c>
      <c r="V1724" s="1"/>
      <c r="W1724">
        <v>180.28998000000001</v>
      </c>
      <c r="X1724">
        <v>0</v>
      </c>
      <c r="Y1724">
        <v>79476</v>
      </c>
    </row>
    <row r="1725" spans="1:25" ht="15" hidden="1" customHeight="1" x14ac:dyDescent="0.25">
      <c r="A1725" s="1" t="s">
        <v>31</v>
      </c>
      <c r="B1725" s="1"/>
      <c r="C1725" s="1" t="s">
        <v>157</v>
      </c>
      <c r="D1725">
        <v>10324</v>
      </c>
      <c r="E1725" s="1"/>
      <c r="F1725" s="1" t="s">
        <v>289</v>
      </c>
      <c r="G1725" s="1" t="s">
        <v>157</v>
      </c>
      <c r="H1725" s="1" t="s">
        <v>1396</v>
      </c>
      <c r="I1725">
        <v>2013</v>
      </c>
      <c r="J1725" s="93">
        <v>131475.63</v>
      </c>
      <c r="K1725">
        <v>12</v>
      </c>
      <c r="L1725" s="1"/>
      <c r="M1725">
        <v>0</v>
      </c>
      <c r="N1725">
        <v>2027</v>
      </c>
      <c r="O1725">
        <v>64.858975000000001</v>
      </c>
      <c r="P1725">
        <v>1</v>
      </c>
      <c r="Q1725" s="1" t="s">
        <v>563</v>
      </c>
      <c r="R1725" s="93">
        <v>136754.38</v>
      </c>
      <c r="S1725">
        <v>250.84</v>
      </c>
      <c r="T1725">
        <v>1</v>
      </c>
      <c r="U1725" s="1"/>
      <c r="V1725" s="1"/>
      <c r="W1725">
        <v>3768.29</v>
      </c>
      <c r="X1725">
        <v>77834</v>
      </c>
      <c r="Y1725">
        <v>77835</v>
      </c>
    </row>
    <row r="1726" spans="1:25" ht="15" hidden="1" customHeight="1" x14ac:dyDescent="0.25">
      <c r="A1726" s="1" t="s">
        <v>31</v>
      </c>
      <c r="B1726" s="1"/>
      <c r="C1726" s="1" t="s">
        <v>157</v>
      </c>
      <c r="D1726">
        <v>10324</v>
      </c>
      <c r="E1726" s="1"/>
      <c r="F1726" s="1" t="s">
        <v>289</v>
      </c>
      <c r="G1726" s="1" t="s">
        <v>157</v>
      </c>
      <c r="H1726" s="1" t="s">
        <v>1405</v>
      </c>
      <c r="I1726">
        <v>2013</v>
      </c>
      <c r="J1726" s="93">
        <v>152300</v>
      </c>
      <c r="K1726">
        <v>12</v>
      </c>
      <c r="L1726" s="1"/>
      <c r="M1726">
        <v>0</v>
      </c>
      <c r="N1726">
        <v>2027</v>
      </c>
      <c r="O1726">
        <v>75.131961000000004</v>
      </c>
      <c r="P1726">
        <v>1</v>
      </c>
      <c r="Q1726" s="1" t="s">
        <v>565</v>
      </c>
      <c r="R1726" s="93">
        <v>157887.53</v>
      </c>
      <c r="S1726">
        <v>29209.19</v>
      </c>
      <c r="T1726">
        <v>0</v>
      </c>
      <c r="U1726" s="1"/>
      <c r="V1726" s="1"/>
      <c r="W1726">
        <v>152.30000000000001</v>
      </c>
      <c r="X1726">
        <v>0</v>
      </c>
      <c r="Y1726">
        <v>77834</v>
      </c>
    </row>
    <row r="1727" spans="1:25" ht="15" hidden="1" customHeight="1" x14ac:dyDescent="0.25">
      <c r="A1727" s="1" t="s">
        <v>31</v>
      </c>
      <c r="B1727" s="1"/>
      <c r="C1727" s="1" t="s">
        <v>157</v>
      </c>
      <c r="D1727">
        <v>10324</v>
      </c>
      <c r="E1727" s="1"/>
      <c r="F1727" s="1" t="s">
        <v>289</v>
      </c>
      <c r="G1727" s="1" t="s">
        <v>157</v>
      </c>
      <c r="H1727" s="1" t="s">
        <v>1405</v>
      </c>
      <c r="I1727">
        <v>2012</v>
      </c>
      <c r="J1727" s="93">
        <v>173122</v>
      </c>
      <c r="K1727">
        <v>12</v>
      </c>
      <c r="L1727" s="1"/>
      <c r="M1727">
        <v>0</v>
      </c>
      <c r="N1727">
        <v>2027</v>
      </c>
      <c r="O1727">
        <v>85.403778000000003</v>
      </c>
      <c r="P1727">
        <v>1</v>
      </c>
      <c r="Q1727" s="1" t="s">
        <v>565</v>
      </c>
      <c r="R1727" s="93">
        <v>181970.39</v>
      </c>
      <c r="S1727">
        <v>33664.519999999997</v>
      </c>
      <c r="T1727">
        <v>0</v>
      </c>
      <c r="U1727" s="1"/>
      <c r="V1727" s="1"/>
      <c r="W1727">
        <v>173.12200000000001</v>
      </c>
      <c r="X1727">
        <v>0</v>
      </c>
      <c r="Y1727">
        <v>77834</v>
      </c>
    </row>
    <row r="1728" spans="1:25" ht="15" hidden="1" customHeight="1" x14ac:dyDescent="0.25">
      <c r="A1728" s="1" t="s">
        <v>31</v>
      </c>
      <c r="B1728" s="1"/>
      <c r="C1728" s="1" t="s">
        <v>157</v>
      </c>
      <c r="D1728">
        <v>10324</v>
      </c>
      <c r="E1728" s="1"/>
      <c r="F1728" s="1" t="s">
        <v>289</v>
      </c>
      <c r="G1728" s="1" t="s">
        <v>157</v>
      </c>
      <c r="H1728" s="1" t="s">
        <v>1396</v>
      </c>
      <c r="I1728">
        <v>2012</v>
      </c>
      <c r="J1728" s="93">
        <v>179033.85</v>
      </c>
      <c r="K1728">
        <v>12</v>
      </c>
      <c r="L1728" s="1"/>
      <c r="M1728">
        <v>0</v>
      </c>
      <c r="N1728">
        <v>2027</v>
      </c>
      <c r="O1728">
        <v>88.320186000000007</v>
      </c>
      <c r="P1728">
        <v>1</v>
      </c>
      <c r="Q1728" s="1" t="s">
        <v>563</v>
      </c>
      <c r="R1728" s="93">
        <v>194813.97</v>
      </c>
      <c r="S1728">
        <v>1032.97</v>
      </c>
      <c r="T1728">
        <v>1</v>
      </c>
      <c r="U1728" s="1"/>
      <c r="V1728" s="1"/>
      <c r="W1728">
        <v>5131.38</v>
      </c>
      <c r="X1728">
        <v>77834</v>
      </c>
      <c r="Y1728">
        <v>77835</v>
      </c>
    </row>
    <row r="1729" spans="1:25" ht="15" hidden="1" customHeight="1" x14ac:dyDescent="0.25">
      <c r="A1729" s="1" t="s">
        <v>31</v>
      </c>
      <c r="B1729" s="1"/>
      <c r="C1729" s="1" t="s">
        <v>157</v>
      </c>
      <c r="D1729">
        <v>10324</v>
      </c>
      <c r="E1729" s="1"/>
      <c r="F1729" s="1" t="s">
        <v>289</v>
      </c>
      <c r="G1729" s="1" t="s">
        <v>157</v>
      </c>
      <c r="H1729" s="1" t="s">
        <v>1405</v>
      </c>
      <c r="I1729">
        <v>2011</v>
      </c>
      <c r="J1729" s="93">
        <v>168614</v>
      </c>
      <c r="K1729">
        <v>12</v>
      </c>
      <c r="L1729" s="1"/>
      <c r="M1729">
        <v>0</v>
      </c>
      <c r="N1729">
        <v>2027</v>
      </c>
      <c r="O1729">
        <v>83.179912000000002</v>
      </c>
      <c r="P1729">
        <v>1</v>
      </c>
      <c r="Q1729" s="1" t="s">
        <v>565</v>
      </c>
      <c r="R1729" s="93">
        <v>187586.93</v>
      </c>
      <c r="S1729">
        <v>34703.58</v>
      </c>
      <c r="T1729">
        <v>0</v>
      </c>
      <c r="U1729" s="1"/>
      <c r="V1729" s="1"/>
      <c r="W1729">
        <v>168.614</v>
      </c>
      <c r="X1729">
        <v>0</v>
      </c>
      <c r="Y1729">
        <v>77834</v>
      </c>
    </row>
    <row r="1730" spans="1:25" ht="15" hidden="1" customHeight="1" x14ac:dyDescent="0.25">
      <c r="A1730" s="1" t="s">
        <v>31</v>
      </c>
      <c r="B1730" s="1"/>
      <c r="C1730" s="1" t="s">
        <v>157</v>
      </c>
      <c r="D1730">
        <v>10324</v>
      </c>
      <c r="E1730" s="1"/>
      <c r="F1730" s="1" t="s">
        <v>289</v>
      </c>
      <c r="G1730" s="1" t="s">
        <v>157</v>
      </c>
      <c r="H1730" s="1" t="s">
        <v>1396</v>
      </c>
      <c r="I1730">
        <v>2011</v>
      </c>
      <c r="J1730" s="93">
        <v>370032.54</v>
      </c>
      <c r="K1730">
        <v>12</v>
      </c>
      <c r="L1730" s="1"/>
      <c r="M1730">
        <v>0</v>
      </c>
      <c r="N1730">
        <v>2027</v>
      </c>
      <c r="O1730">
        <v>182.54281399999999</v>
      </c>
      <c r="P1730">
        <v>1</v>
      </c>
      <c r="Q1730" s="1" t="s">
        <v>563</v>
      </c>
      <c r="R1730" s="93">
        <v>441751.16</v>
      </c>
      <c r="S1730">
        <v>2342.34</v>
      </c>
      <c r="T1730">
        <v>1</v>
      </c>
      <c r="U1730" s="1"/>
      <c r="V1730" s="1"/>
      <c r="W1730">
        <v>10605.69</v>
      </c>
      <c r="X1730">
        <v>77834</v>
      </c>
      <c r="Y1730">
        <v>77835</v>
      </c>
    </row>
    <row r="1731" spans="1:25" ht="15" hidden="1" customHeight="1" x14ac:dyDescent="0.25">
      <c r="A1731" s="1" t="s">
        <v>31</v>
      </c>
      <c r="B1731" s="1"/>
      <c r="C1731" s="1" t="s">
        <v>157</v>
      </c>
      <c r="D1731">
        <v>10324</v>
      </c>
      <c r="E1731" s="1"/>
      <c r="F1731" s="1" t="s">
        <v>289</v>
      </c>
      <c r="G1731" s="1" t="s">
        <v>157</v>
      </c>
      <c r="H1731" s="1" t="s">
        <v>1405</v>
      </c>
      <c r="I1731">
        <v>2010</v>
      </c>
      <c r="J1731" s="93">
        <v>202193</v>
      </c>
      <c r="K1731">
        <v>12</v>
      </c>
      <c r="L1731" s="1"/>
      <c r="M1731">
        <v>0</v>
      </c>
      <c r="N1731">
        <v>2027</v>
      </c>
      <c r="O1731">
        <v>99.744955000000004</v>
      </c>
      <c r="P1731">
        <v>1</v>
      </c>
      <c r="Q1731" s="1" t="s">
        <v>565</v>
      </c>
      <c r="R1731" s="93">
        <v>186705.07</v>
      </c>
      <c r="S1731">
        <v>34540.449999999997</v>
      </c>
      <c r="T1731">
        <v>0</v>
      </c>
      <c r="U1731" s="1"/>
      <c r="V1731" s="1"/>
      <c r="W1731">
        <v>202.19300000000001</v>
      </c>
      <c r="X1731">
        <v>0</v>
      </c>
      <c r="Y1731">
        <v>77834</v>
      </c>
    </row>
    <row r="1732" spans="1:25" ht="15" hidden="1" customHeight="1" x14ac:dyDescent="0.25">
      <c r="A1732" s="1" t="s">
        <v>31</v>
      </c>
      <c r="B1732" s="1"/>
      <c r="C1732" s="1" t="s">
        <v>157</v>
      </c>
      <c r="D1732">
        <v>10324</v>
      </c>
      <c r="E1732" s="1"/>
      <c r="F1732" s="1" t="s">
        <v>289</v>
      </c>
      <c r="G1732" s="1" t="s">
        <v>157</v>
      </c>
      <c r="H1732" s="1" t="s">
        <v>1396</v>
      </c>
      <c r="I1732">
        <v>2010</v>
      </c>
      <c r="J1732" s="93">
        <v>170616.3</v>
      </c>
      <c r="K1732">
        <v>12</v>
      </c>
      <c r="L1732" s="1"/>
      <c r="M1732">
        <v>0</v>
      </c>
      <c r="N1732">
        <v>2027</v>
      </c>
      <c r="O1732">
        <v>84.167676999999998</v>
      </c>
      <c r="P1732">
        <v>1</v>
      </c>
      <c r="Q1732" s="1" t="s">
        <v>563</v>
      </c>
      <c r="R1732" s="93">
        <v>158079.66</v>
      </c>
      <c r="S1732">
        <v>838.21</v>
      </c>
      <c r="T1732">
        <v>1</v>
      </c>
      <c r="U1732" s="1"/>
      <c r="V1732" s="1"/>
      <c r="W1732">
        <v>4890.12</v>
      </c>
      <c r="X1732">
        <v>77834</v>
      </c>
      <c r="Y1732">
        <v>77835</v>
      </c>
    </row>
    <row r="1733" spans="1:25" ht="15" hidden="1" customHeight="1" x14ac:dyDescent="0.25">
      <c r="A1733" s="1" t="s">
        <v>31</v>
      </c>
      <c r="B1733" s="1"/>
      <c r="C1733" s="1" t="s">
        <v>157</v>
      </c>
      <c r="D1733">
        <v>10324</v>
      </c>
      <c r="E1733" s="1"/>
      <c r="F1733" s="1" t="s">
        <v>289</v>
      </c>
      <c r="G1733" s="1" t="s">
        <v>157</v>
      </c>
      <c r="H1733" s="1" t="s">
        <v>1405</v>
      </c>
      <c r="I1733">
        <v>2009</v>
      </c>
      <c r="J1733" s="93">
        <v>192738</v>
      </c>
      <c r="K1733">
        <v>12</v>
      </c>
      <c r="L1733" s="1"/>
      <c r="M1733">
        <v>0</v>
      </c>
      <c r="N1733">
        <v>2027</v>
      </c>
      <c r="O1733">
        <v>95.080657000000002</v>
      </c>
      <c r="P1733">
        <v>1</v>
      </c>
      <c r="Q1733" s="1" t="s">
        <v>565</v>
      </c>
      <c r="R1733" s="93">
        <v>202923.28</v>
      </c>
      <c r="S1733">
        <v>37540.82</v>
      </c>
      <c r="T1733">
        <v>0</v>
      </c>
      <c r="U1733" s="1"/>
      <c r="V1733" s="1"/>
      <c r="W1733">
        <v>192.738</v>
      </c>
      <c r="X1733">
        <v>0</v>
      </c>
      <c r="Y1733">
        <v>77834</v>
      </c>
    </row>
    <row r="1734" spans="1:25" ht="15" hidden="1" customHeight="1" x14ac:dyDescent="0.25">
      <c r="A1734" s="1" t="s">
        <v>31</v>
      </c>
      <c r="B1734" s="1"/>
      <c r="C1734" s="1" t="s">
        <v>157</v>
      </c>
      <c r="D1734">
        <v>10324</v>
      </c>
      <c r="E1734" s="1"/>
      <c r="F1734" s="1" t="s">
        <v>289</v>
      </c>
      <c r="G1734" s="1" t="s">
        <v>157</v>
      </c>
      <c r="H1734" s="1" t="s">
        <v>1396</v>
      </c>
      <c r="I1734">
        <v>2009</v>
      </c>
      <c r="J1734" s="93">
        <v>330638.92</v>
      </c>
      <c r="K1734">
        <v>12</v>
      </c>
      <c r="L1734" s="1"/>
      <c r="M1734">
        <v>0</v>
      </c>
      <c r="N1734">
        <v>2027</v>
      </c>
      <c r="O1734">
        <v>163.109328</v>
      </c>
      <c r="P1734">
        <v>1</v>
      </c>
      <c r="Q1734" s="1" t="s">
        <v>563</v>
      </c>
      <c r="R1734" s="93">
        <v>673061.24</v>
      </c>
      <c r="S1734">
        <v>3568.81</v>
      </c>
      <c r="T1734">
        <v>1</v>
      </c>
      <c r="U1734" s="1"/>
      <c r="V1734" s="1"/>
      <c r="W1734">
        <v>9476.61</v>
      </c>
      <c r="X1734">
        <v>77834</v>
      </c>
      <c r="Y1734">
        <v>77835</v>
      </c>
    </row>
    <row r="1735" spans="1:25" ht="15" hidden="1" customHeight="1" x14ac:dyDescent="0.25">
      <c r="A1735" s="1" t="s">
        <v>31</v>
      </c>
      <c r="B1735" s="1"/>
      <c r="C1735" s="1" t="s">
        <v>157</v>
      </c>
      <c r="D1735">
        <v>10324</v>
      </c>
      <c r="E1735" s="1"/>
      <c r="F1735" s="1" t="s">
        <v>289</v>
      </c>
      <c r="G1735" s="1" t="s">
        <v>157</v>
      </c>
      <c r="H1735" s="1" t="s">
        <v>1396</v>
      </c>
      <c r="I1735">
        <v>2008</v>
      </c>
      <c r="J1735" s="93">
        <v>128545.58</v>
      </c>
      <c r="K1735">
        <v>12</v>
      </c>
      <c r="L1735" s="1"/>
      <c r="M1735">
        <v>0</v>
      </c>
      <c r="N1735">
        <v>2027</v>
      </c>
      <c r="O1735">
        <v>63.413536000000001</v>
      </c>
      <c r="P1735">
        <v>1</v>
      </c>
      <c r="Q1735" s="1" t="s">
        <v>563</v>
      </c>
      <c r="R1735" s="93">
        <v>149985.81</v>
      </c>
      <c r="S1735">
        <v>795.27</v>
      </c>
      <c r="T1735">
        <v>1</v>
      </c>
      <c r="U1735" s="1"/>
      <c r="V1735" s="1"/>
      <c r="W1735">
        <v>3684.31</v>
      </c>
      <c r="X1735">
        <v>77834</v>
      </c>
      <c r="Y1735">
        <v>77835</v>
      </c>
    </row>
    <row r="1736" spans="1:25" ht="15" hidden="1" customHeight="1" x14ac:dyDescent="0.25">
      <c r="A1736" s="1" t="s">
        <v>31</v>
      </c>
      <c r="B1736" s="1"/>
      <c r="C1736" s="1" t="s">
        <v>157</v>
      </c>
      <c r="D1736">
        <v>10324</v>
      </c>
      <c r="E1736" s="1"/>
      <c r="F1736" s="1" t="s">
        <v>289</v>
      </c>
      <c r="G1736" s="1" t="s">
        <v>157</v>
      </c>
      <c r="H1736" s="1" t="s">
        <v>1405</v>
      </c>
      <c r="I1736">
        <v>2008</v>
      </c>
      <c r="J1736" s="93">
        <v>51515.93</v>
      </c>
      <c r="K1736">
        <v>2</v>
      </c>
      <c r="L1736" s="1" t="s">
        <v>430</v>
      </c>
      <c r="M1736">
        <v>0</v>
      </c>
      <c r="N1736">
        <v>2027</v>
      </c>
      <c r="O1736">
        <v>25.413609999999998</v>
      </c>
      <c r="P1736">
        <v>1</v>
      </c>
      <c r="Q1736" s="1" t="s">
        <v>565</v>
      </c>
      <c r="R1736" s="93">
        <v>67158.039999999994</v>
      </c>
      <c r="S1736">
        <v>12.42</v>
      </c>
      <c r="T1736">
        <v>0</v>
      </c>
      <c r="U1736" s="1"/>
      <c r="V1736" s="1"/>
      <c r="W1736">
        <v>51.515929999999997</v>
      </c>
      <c r="X1736">
        <v>0</v>
      </c>
      <c r="Y1736">
        <v>77899</v>
      </c>
    </row>
    <row r="1737" spans="1:25" ht="15" hidden="1" customHeight="1" x14ac:dyDescent="0.25">
      <c r="A1737" s="1" t="s">
        <v>31</v>
      </c>
      <c r="B1737" s="1"/>
      <c r="C1737" s="1" t="s">
        <v>157</v>
      </c>
      <c r="D1737">
        <v>10324</v>
      </c>
      <c r="E1737" s="1"/>
      <c r="F1737" s="1" t="s">
        <v>289</v>
      </c>
      <c r="G1737" s="1" t="s">
        <v>157</v>
      </c>
      <c r="H1737" s="1" t="s">
        <v>1405</v>
      </c>
      <c r="I1737">
        <v>2008</v>
      </c>
      <c r="J1737" s="93">
        <v>121039</v>
      </c>
      <c r="K1737">
        <v>12</v>
      </c>
      <c r="L1737" s="1"/>
      <c r="M1737">
        <v>0</v>
      </c>
      <c r="N1737">
        <v>2027</v>
      </c>
      <c r="O1737">
        <v>59.710422999999999</v>
      </c>
      <c r="P1737">
        <v>1</v>
      </c>
      <c r="Q1737" s="1" t="s">
        <v>565</v>
      </c>
      <c r="R1737" s="93">
        <v>130166.32</v>
      </c>
      <c r="S1737">
        <v>24080.76</v>
      </c>
      <c r="T1737">
        <v>0</v>
      </c>
      <c r="U1737" s="1"/>
      <c r="V1737" s="1"/>
      <c r="W1737">
        <v>121.039</v>
      </c>
      <c r="X1737">
        <v>0</v>
      </c>
      <c r="Y1737">
        <v>77834</v>
      </c>
    </row>
    <row r="1738" spans="1:25" ht="15" customHeight="1" x14ac:dyDescent="0.25">
      <c r="A1738" s="1" t="s">
        <v>31</v>
      </c>
      <c r="B1738" s="1"/>
      <c r="C1738" s="1" t="s">
        <v>157</v>
      </c>
      <c r="D1738">
        <v>10946</v>
      </c>
      <c r="E1738" s="1" t="s">
        <v>243</v>
      </c>
      <c r="F1738" s="1" t="s">
        <v>362</v>
      </c>
      <c r="G1738" s="1" t="s">
        <v>157</v>
      </c>
      <c r="H1738" s="1" t="s">
        <v>1396</v>
      </c>
      <c r="I1738">
        <v>2015</v>
      </c>
      <c r="J1738" s="93">
        <v>926100</v>
      </c>
      <c r="K1738">
        <v>5</v>
      </c>
      <c r="L1738" s="1"/>
      <c r="M1738">
        <v>0</v>
      </c>
      <c r="N1738">
        <v>0</v>
      </c>
      <c r="O1738">
        <v>9261000</v>
      </c>
      <c r="P1738">
        <v>1</v>
      </c>
      <c r="Q1738" s="1" t="s">
        <v>562</v>
      </c>
      <c r="R1738" s="93">
        <v>1034832.41</v>
      </c>
      <c r="S1738">
        <v>191443995.84999999</v>
      </c>
      <c r="T1738">
        <v>1</v>
      </c>
      <c r="U1738" s="1" t="s">
        <v>809</v>
      </c>
      <c r="V1738" s="1"/>
      <c r="W1738">
        <v>926100</v>
      </c>
      <c r="X1738">
        <v>0</v>
      </c>
      <c r="Y1738">
        <v>86629</v>
      </c>
    </row>
    <row r="1739" spans="1:25" ht="15" customHeight="1" x14ac:dyDescent="0.25">
      <c r="A1739" s="1" t="s">
        <v>31</v>
      </c>
      <c r="B1739" s="1"/>
      <c r="C1739" s="1" t="s">
        <v>157</v>
      </c>
      <c r="D1739">
        <v>10946</v>
      </c>
      <c r="E1739" s="1" t="s">
        <v>243</v>
      </c>
      <c r="F1739" s="1" t="s">
        <v>362</v>
      </c>
      <c r="G1739" s="1" t="s">
        <v>157</v>
      </c>
      <c r="H1739" s="1" t="s">
        <v>1396</v>
      </c>
      <c r="I1739">
        <v>2014</v>
      </c>
      <c r="J1739" s="93">
        <v>1575220</v>
      </c>
      <c r="K1739">
        <v>12</v>
      </c>
      <c r="L1739" s="1"/>
      <c r="M1739">
        <v>0</v>
      </c>
      <c r="N1739">
        <v>0</v>
      </c>
      <c r="O1739">
        <v>15752200</v>
      </c>
      <c r="P1739">
        <v>1</v>
      </c>
      <c r="Q1739" s="1" t="s">
        <v>562</v>
      </c>
      <c r="R1739" s="93">
        <v>1834473.02</v>
      </c>
      <c r="S1739">
        <v>339377508.69999999</v>
      </c>
      <c r="T1739">
        <v>1</v>
      </c>
      <c r="U1739" s="1" t="s">
        <v>809</v>
      </c>
      <c r="V1739" s="1"/>
      <c r="W1739">
        <v>1575220</v>
      </c>
      <c r="X1739">
        <v>0</v>
      </c>
      <c r="Y1739">
        <v>86629</v>
      </c>
    </row>
    <row r="1740" spans="1:25" ht="15" hidden="1" customHeight="1" x14ac:dyDescent="0.25">
      <c r="A1740" s="1" t="s">
        <v>31</v>
      </c>
      <c r="B1740" s="1"/>
      <c r="C1740" s="1" t="s">
        <v>157</v>
      </c>
      <c r="D1740">
        <v>10946</v>
      </c>
      <c r="E1740" s="1" t="s">
        <v>243</v>
      </c>
      <c r="F1740" s="1" t="s">
        <v>362</v>
      </c>
      <c r="G1740" s="1" t="s">
        <v>157</v>
      </c>
      <c r="H1740" s="1" t="s">
        <v>1396</v>
      </c>
      <c r="I1740">
        <v>2013</v>
      </c>
      <c r="J1740" s="93">
        <v>1792570</v>
      </c>
      <c r="K1740">
        <v>12</v>
      </c>
      <c r="L1740" s="1"/>
      <c r="M1740">
        <v>0</v>
      </c>
      <c r="N1740">
        <v>0</v>
      </c>
      <c r="O1740">
        <v>17925700</v>
      </c>
      <c r="P1740">
        <v>1</v>
      </c>
      <c r="Q1740" s="1" t="s">
        <v>562</v>
      </c>
      <c r="R1740" s="93">
        <v>1861056.61</v>
      </c>
      <c r="S1740">
        <v>344295472.85000002</v>
      </c>
      <c r="T1740">
        <v>1</v>
      </c>
      <c r="U1740" s="1" t="s">
        <v>809</v>
      </c>
      <c r="V1740" s="1"/>
      <c r="W1740">
        <v>1792570</v>
      </c>
      <c r="X1740">
        <v>0</v>
      </c>
      <c r="Y1740">
        <v>86629</v>
      </c>
    </row>
    <row r="1741" spans="1:25" ht="15" hidden="1" customHeight="1" x14ac:dyDescent="0.25">
      <c r="A1741" s="1" t="s">
        <v>31</v>
      </c>
      <c r="B1741" s="1"/>
      <c r="C1741" s="1" t="s">
        <v>157</v>
      </c>
      <c r="D1741">
        <v>10946</v>
      </c>
      <c r="E1741" s="1" t="s">
        <v>243</v>
      </c>
      <c r="F1741" s="1" t="s">
        <v>362</v>
      </c>
      <c r="G1741" s="1" t="s">
        <v>157</v>
      </c>
      <c r="H1741" s="1" t="s">
        <v>1396</v>
      </c>
      <c r="I1741">
        <v>2012</v>
      </c>
      <c r="J1741" s="93">
        <v>1823000</v>
      </c>
      <c r="K1741">
        <v>12</v>
      </c>
      <c r="L1741" s="1"/>
      <c r="M1741">
        <v>0</v>
      </c>
      <c r="N1741">
        <v>0</v>
      </c>
      <c r="O1741">
        <v>18230000</v>
      </c>
      <c r="P1741">
        <v>1</v>
      </c>
      <c r="Q1741" s="1" t="s">
        <v>562</v>
      </c>
      <c r="R1741" s="93">
        <v>1904744.47</v>
      </c>
      <c r="S1741">
        <v>352377726.94999999</v>
      </c>
      <c r="T1741">
        <v>1</v>
      </c>
      <c r="U1741" s="1" t="s">
        <v>809</v>
      </c>
      <c r="V1741" s="1"/>
      <c r="W1741">
        <v>1823000</v>
      </c>
      <c r="X1741">
        <v>0</v>
      </c>
      <c r="Y1741">
        <v>86629</v>
      </c>
    </row>
    <row r="1742" spans="1:25" ht="15" hidden="1" customHeight="1" x14ac:dyDescent="0.25">
      <c r="A1742" s="1" t="s">
        <v>31</v>
      </c>
      <c r="B1742" s="1"/>
      <c r="C1742" s="1" t="s">
        <v>157</v>
      </c>
      <c r="D1742">
        <v>10946</v>
      </c>
      <c r="E1742" s="1" t="s">
        <v>243</v>
      </c>
      <c r="F1742" s="1" t="s">
        <v>362</v>
      </c>
      <c r="G1742" s="1" t="s">
        <v>157</v>
      </c>
      <c r="H1742" s="1" t="s">
        <v>1396</v>
      </c>
      <c r="I1742">
        <v>2011</v>
      </c>
      <c r="J1742" s="93">
        <v>1966990</v>
      </c>
      <c r="K1742">
        <v>12</v>
      </c>
      <c r="L1742" s="1"/>
      <c r="M1742">
        <v>0</v>
      </c>
      <c r="N1742">
        <v>0</v>
      </c>
      <c r="O1742">
        <v>19669900</v>
      </c>
      <c r="P1742">
        <v>1</v>
      </c>
      <c r="Q1742" s="1" t="s">
        <v>562</v>
      </c>
      <c r="R1742" s="93">
        <v>2190382.91</v>
      </c>
      <c r="S1742">
        <v>405220838.35000002</v>
      </c>
      <c r="T1742">
        <v>1</v>
      </c>
      <c r="U1742" s="1" t="s">
        <v>809</v>
      </c>
      <c r="V1742" s="1"/>
      <c r="W1742">
        <v>1966990</v>
      </c>
      <c r="X1742">
        <v>0</v>
      </c>
      <c r="Y1742">
        <v>86629</v>
      </c>
    </row>
    <row r="1743" spans="1:25" ht="15" hidden="1" customHeight="1" x14ac:dyDescent="0.25">
      <c r="A1743" s="1" t="s">
        <v>31</v>
      </c>
      <c r="B1743" s="1"/>
      <c r="C1743" s="1" t="s">
        <v>157</v>
      </c>
      <c r="D1743">
        <v>10946</v>
      </c>
      <c r="E1743" s="1" t="s">
        <v>243</v>
      </c>
      <c r="F1743" s="1" t="s">
        <v>362</v>
      </c>
      <c r="G1743" s="1" t="s">
        <v>157</v>
      </c>
      <c r="H1743" s="1" t="s">
        <v>1396</v>
      </c>
      <c r="I1743">
        <v>2010</v>
      </c>
      <c r="J1743" s="93">
        <v>1380070.66</v>
      </c>
      <c r="K1743">
        <v>3</v>
      </c>
      <c r="L1743" s="1" t="s">
        <v>416</v>
      </c>
      <c r="M1743">
        <v>0</v>
      </c>
      <c r="N1743">
        <v>0</v>
      </c>
      <c r="O1743">
        <v>13800706.6</v>
      </c>
      <c r="P1743">
        <v>1</v>
      </c>
      <c r="Q1743" s="1" t="s">
        <v>565</v>
      </c>
      <c r="R1743" s="93">
        <v>1316645.1100000001</v>
      </c>
      <c r="S1743">
        <v>243579.34</v>
      </c>
      <c r="T1743">
        <v>1</v>
      </c>
      <c r="U1743" s="1" t="s">
        <v>809</v>
      </c>
      <c r="V1743" s="1"/>
      <c r="W1743">
        <v>1380.0706600000001</v>
      </c>
      <c r="X1743">
        <v>0</v>
      </c>
      <c r="Y1743">
        <v>79519</v>
      </c>
    </row>
    <row r="1744" spans="1:25" ht="15" hidden="1" customHeight="1" x14ac:dyDescent="0.25">
      <c r="A1744" s="1" t="s">
        <v>31</v>
      </c>
      <c r="B1744" s="1"/>
      <c r="C1744" s="1" t="s">
        <v>157</v>
      </c>
      <c r="D1744">
        <v>10946</v>
      </c>
      <c r="E1744" s="1" t="s">
        <v>243</v>
      </c>
      <c r="F1744" s="1" t="s">
        <v>362</v>
      </c>
      <c r="G1744" s="1" t="s">
        <v>157</v>
      </c>
      <c r="H1744" s="1" t="s">
        <v>1396</v>
      </c>
      <c r="I1744">
        <v>2010</v>
      </c>
      <c r="J1744" s="93">
        <v>886940</v>
      </c>
      <c r="K1744">
        <v>5</v>
      </c>
      <c r="L1744" s="1"/>
      <c r="M1744">
        <v>0</v>
      </c>
      <c r="N1744">
        <v>0</v>
      </c>
      <c r="O1744">
        <v>8869400</v>
      </c>
      <c r="P1744">
        <v>1</v>
      </c>
      <c r="Q1744" s="1" t="s">
        <v>562</v>
      </c>
      <c r="R1744" s="93">
        <v>773232.5</v>
      </c>
      <c r="S1744">
        <v>143048012.5</v>
      </c>
      <c r="T1744">
        <v>1</v>
      </c>
      <c r="U1744" s="1" t="s">
        <v>809</v>
      </c>
      <c r="V1744" s="1"/>
      <c r="W1744">
        <v>886940</v>
      </c>
      <c r="X1744">
        <v>0</v>
      </c>
      <c r="Y1744">
        <v>86629</v>
      </c>
    </row>
    <row r="1745" spans="1:25" ht="15" hidden="1" customHeight="1" x14ac:dyDescent="0.25">
      <c r="A1745" s="1" t="s">
        <v>31</v>
      </c>
      <c r="B1745" s="1"/>
      <c r="C1745" s="1" t="s">
        <v>157</v>
      </c>
      <c r="D1745">
        <v>10946</v>
      </c>
      <c r="E1745" s="1" t="s">
        <v>243</v>
      </c>
      <c r="F1745" s="1" t="s">
        <v>362</v>
      </c>
      <c r="G1745" s="1" t="s">
        <v>157</v>
      </c>
      <c r="H1745" s="1" t="s">
        <v>1396</v>
      </c>
      <c r="I1745">
        <v>2009</v>
      </c>
      <c r="J1745" s="93">
        <v>1332809.6599999999</v>
      </c>
      <c r="K1745">
        <v>4</v>
      </c>
      <c r="L1745" s="1" t="s">
        <v>416</v>
      </c>
      <c r="M1745">
        <v>0</v>
      </c>
      <c r="N1745">
        <v>0</v>
      </c>
      <c r="O1745">
        <v>13328096.6</v>
      </c>
      <c r="P1745">
        <v>1</v>
      </c>
      <c r="Q1745" s="1" t="s">
        <v>565</v>
      </c>
      <c r="R1745" s="93">
        <v>1618260.37</v>
      </c>
      <c r="S1745">
        <v>299378.17</v>
      </c>
      <c r="T1745">
        <v>1</v>
      </c>
      <c r="U1745" s="1" t="s">
        <v>809</v>
      </c>
      <c r="V1745" s="1"/>
      <c r="W1745">
        <v>1332.8096599999999</v>
      </c>
      <c r="X1745">
        <v>0</v>
      </c>
      <c r="Y1745">
        <v>79519</v>
      </c>
    </row>
    <row r="1746" spans="1:25" ht="15" hidden="1" customHeight="1" x14ac:dyDescent="0.25">
      <c r="A1746" s="1" t="s">
        <v>31</v>
      </c>
      <c r="B1746" s="1"/>
      <c r="C1746" s="1" t="s">
        <v>157</v>
      </c>
      <c r="D1746">
        <v>10946</v>
      </c>
      <c r="E1746" s="1" t="s">
        <v>243</v>
      </c>
      <c r="F1746" s="1" t="s">
        <v>362</v>
      </c>
      <c r="G1746" s="1" t="s">
        <v>157</v>
      </c>
      <c r="H1746" s="1" t="s">
        <v>1396</v>
      </c>
      <c r="I1746">
        <v>2008</v>
      </c>
      <c r="J1746" s="93">
        <v>2043201.29</v>
      </c>
      <c r="K1746">
        <v>3</v>
      </c>
      <c r="L1746" s="1" t="s">
        <v>416</v>
      </c>
      <c r="M1746">
        <v>0</v>
      </c>
      <c r="N1746">
        <v>0</v>
      </c>
      <c r="O1746">
        <v>20432012.899999999</v>
      </c>
      <c r="P1746">
        <v>1</v>
      </c>
      <c r="Q1746" s="1" t="s">
        <v>565</v>
      </c>
      <c r="R1746" s="93">
        <v>2523128.27</v>
      </c>
      <c r="S1746">
        <v>466778.73</v>
      </c>
      <c r="T1746">
        <v>1</v>
      </c>
      <c r="U1746" s="1" t="s">
        <v>809</v>
      </c>
      <c r="V1746" s="1"/>
      <c r="W1746">
        <v>2043.20129</v>
      </c>
      <c r="X1746">
        <v>0</v>
      </c>
      <c r="Y1746">
        <v>79519</v>
      </c>
    </row>
    <row r="1747" spans="1:25" ht="15" hidden="1" customHeight="1" x14ac:dyDescent="0.25">
      <c r="A1747" s="1" t="s">
        <v>31</v>
      </c>
      <c r="B1747" s="1"/>
      <c r="C1747" s="1" t="s">
        <v>158</v>
      </c>
      <c r="D1747">
        <v>9521</v>
      </c>
      <c r="E1747" s="1"/>
      <c r="F1747" s="1" t="s">
        <v>290</v>
      </c>
      <c r="G1747" s="1" t="s">
        <v>158</v>
      </c>
      <c r="H1747" s="1" t="s">
        <v>1405</v>
      </c>
      <c r="I1747">
        <v>2015</v>
      </c>
      <c r="J1747" s="93">
        <v>198620</v>
      </c>
      <c r="K1747">
        <v>5</v>
      </c>
      <c r="L1747" s="1"/>
      <c r="M1747">
        <v>0</v>
      </c>
      <c r="N1747">
        <v>2433</v>
      </c>
      <c r="O1747">
        <v>49.648595999999998</v>
      </c>
      <c r="P1747">
        <v>1</v>
      </c>
      <c r="Q1747" s="1" t="s">
        <v>562</v>
      </c>
      <c r="R1747" s="93">
        <v>233592</v>
      </c>
      <c r="S1747">
        <v>8855.18</v>
      </c>
      <c r="T1747">
        <v>0</v>
      </c>
      <c r="U1747" s="1"/>
      <c r="V1747" s="1"/>
      <c r="W1747">
        <v>120800</v>
      </c>
      <c r="X1747">
        <v>0</v>
      </c>
      <c r="Y1747">
        <v>74445</v>
      </c>
    </row>
    <row r="1748" spans="1:25" ht="15" hidden="1" customHeight="1" x14ac:dyDescent="0.25">
      <c r="A1748" s="1" t="s">
        <v>31</v>
      </c>
      <c r="B1748" s="1"/>
      <c r="C1748" s="1" t="s">
        <v>158</v>
      </c>
      <c r="D1748">
        <v>9521</v>
      </c>
      <c r="E1748" s="1"/>
      <c r="F1748" s="1" t="s">
        <v>290</v>
      </c>
      <c r="G1748" s="1" t="s">
        <v>158</v>
      </c>
      <c r="H1748" s="1" t="s">
        <v>1396</v>
      </c>
      <c r="I1748">
        <v>2015</v>
      </c>
      <c r="J1748" s="93">
        <v>143090.87</v>
      </c>
      <c r="K1748">
        <v>5</v>
      </c>
      <c r="L1748" s="1"/>
      <c r="M1748">
        <v>0</v>
      </c>
      <c r="N1748">
        <v>2433</v>
      </c>
      <c r="O1748">
        <v>58.810105999999998</v>
      </c>
      <c r="P1748">
        <v>1</v>
      </c>
      <c r="Q1748" s="1" t="s">
        <v>563</v>
      </c>
      <c r="R1748" s="93">
        <v>143090.87</v>
      </c>
      <c r="S1748">
        <v>262.48</v>
      </c>
      <c r="T1748">
        <v>1</v>
      </c>
      <c r="U1748" s="1"/>
      <c r="V1748" s="1"/>
      <c r="W1748">
        <v>4101.2</v>
      </c>
      <c r="X1748">
        <v>74445</v>
      </c>
      <c r="Y1748">
        <v>74446</v>
      </c>
    </row>
    <row r="1749" spans="1:25" ht="15" hidden="1" customHeight="1" x14ac:dyDescent="0.25">
      <c r="A1749" s="1" t="s">
        <v>31</v>
      </c>
      <c r="B1749" s="1"/>
      <c r="C1749" s="1" t="s">
        <v>157</v>
      </c>
      <c r="D1749">
        <v>10324</v>
      </c>
      <c r="E1749" s="1"/>
      <c r="F1749" s="1" t="s">
        <v>289</v>
      </c>
      <c r="G1749" s="1" t="s">
        <v>157</v>
      </c>
      <c r="H1749" s="1" t="s">
        <v>1405</v>
      </c>
      <c r="I1749">
        <v>2013</v>
      </c>
      <c r="J1749" s="93">
        <v>48473.599999999999</v>
      </c>
      <c r="K1749">
        <v>12</v>
      </c>
      <c r="L1749" s="1"/>
      <c r="M1749">
        <v>0</v>
      </c>
      <c r="N1749">
        <v>2027</v>
      </c>
      <c r="O1749">
        <v>23.912780999999999</v>
      </c>
      <c r="P1749">
        <v>2</v>
      </c>
      <c r="Q1749" s="1" t="s">
        <v>569</v>
      </c>
      <c r="R1749" s="93">
        <v>48473.599999999999</v>
      </c>
      <c r="S1749">
        <v>14542.09</v>
      </c>
      <c r="T1749">
        <v>0</v>
      </c>
      <c r="U1749" s="1"/>
      <c r="V1749" s="1" t="s">
        <v>1293</v>
      </c>
      <c r="W1749">
        <v>48473.595000000001</v>
      </c>
      <c r="X1749">
        <v>0</v>
      </c>
      <c r="Y1749">
        <v>77832</v>
      </c>
    </row>
    <row r="1750" spans="1:25" ht="15" customHeight="1" x14ac:dyDescent="0.25">
      <c r="A1750" s="1" t="s">
        <v>31</v>
      </c>
      <c r="B1750" s="1"/>
      <c r="C1750" s="1" t="s">
        <v>157</v>
      </c>
      <c r="D1750">
        <v>10324</v>
      </c>
      <c r="E1750" s="1"/>
      <c r="F1750" s="1" t="s">
        <v>289</v>
      </c>
      <c r="G1750" s="1" t="s">
        <v>157</v>
      </c>
      <c r="H1750" s="1" t="s">
        <v>1396</v>
      </c>
      <c r="I1750">
        <v>2014</v>
      </c>
      <c r="J1750" s="93">
        <v>117208.77</v>
      </c>
      <c r="K1750">
        <v>12</v>
      </c>
      <c r="L1750" s="1"/>
      <c r="M1750">
        <v>0</v>
      </c>
      <c r="N1750">
        <v>2027</v>
      </c>
      <c r="O1750">
        <v>57.820911000000002</v>
      </c>
      <c r="P1750">
        <v>1</v>
      </c>
      <c r="Q1750" s="1" t="s">
        <v>563</v>
      </c>
      <c r="R1750" s="93">
        <v>137547.22</v>
      </c>
      <c r="S1750">
        <v>252.3</v>
      </c>
      <c r="T1750">
        <v>1</v>
      </c>
      <c r="U1750" s="1"/>
      <c r="V1750" s="1"/>
      <c r="W1750">
        <v>3359.38</v>
      </c>
      <c r="X1750">
        <v>77834</v>
      </c>
      <c r="Y1750">
        <v>77835</v>
      </c>
    </row>
    <row r="1751" spans="1:25" ht="15" hidden="1" customHeight="1" x14ac:dyDescent="0.25">
      <c r="A1751" s="1" t="s">
        <v>31</v>
      </c>
      <c r="B1751" s="1"/>
      <c r="C1751" s="1" t="s">
        <v>158</v>
      </c>
      <c r="D1751">
        <v>9521</v>
      </c>
      <c r="E1751" s="1"/>
      <c r="F1751" s="1" t="s">
        <v>290</v>
      </c>
      <c r="G1751" s="1" t="s">
        <v>158</v>
      </c>
      <c r="H1751" s="1" t="s">
        <v>1405</v>
      </c>
      <c r="I1751">
        <v>2013</v>
      </c>
      <c r="J1751" s="93">
        <v>277250</v>
      </c>
      <c r="K1751">
        <v>12</v>
      </c>
      <c r="L1751" s="1"/>
      <c r="M1751">
        <v>0</v>
      </c>
      <c r="N1751">
        <v>2433</v>
      </c>
      <c r="O1751">
        <v>113.949282</v>
      </c>
      <c r="P1751">
        <v>1</v>
      </c>
      <c r="Q1751" s="1" t="s">
        <v>562</v>
      </c>
      <c r="R1751" s="93">
        <v>284953.06</v>
      </c>
      <c r="S1751">
        <v>18237</v>
      </c>
      <c r="T1751">
        <v>0</v>
      </c>
      <c r="U1751" s="1"/>
      <c r="V1751" s="1"/>
      <c r="W1751">
        <v>277250</v>
      </c>
      <c r="X1751">
        <v>0</v>
      </c>
      <c r="Y1751">
        <v>74445</v>
      </c>
    </row>
    <row r="1752" spans="1:25" ht="15" hidden="1" customHeight="1" x14ac:dyDescent="0.25">
      <c r="A1752" s="1" t="s">
        <v>31</v>
      </c>
      <c r="B1752" s="1"/>
      <c r="C1752" s="1" t="s">
        <v>158</v>
      </c>
      <c r="D1752">
        <v>9521</v>
      </c>
      <c r="E1752" s="1"/>
      <c r="F1752" s="1" t="s">
        <v>290</v>
      </c>
      <c r="G1752" s="1" t="s">
        <v>158</v>
      </c>
      <c r="H1752" s="1" t="s">
        <v>1396</v>
      </c>
      <c r="I1752">
        <v>2013</v>
      </c>
      <c r="J1752" s="93">
        <v>311445.59000000003</v>
      </c>
      <c r="K1752">
        <v>12</v>
      </c>
      <c r="L1752" s="1"/>
      <c r="M1752">
        <v>0</v>
      </c>
      <c r="N1752">
        <v>2433</v>
      </c>
      <c r="O1752">
        <v>128.003612</v>
      </c>
      <c r="P1752">
        <v>1</v>
      </c>
      <c r="Q1752" s="1" t="s">
        <v>563</v>
      </c>
      <c r="R1752" s="93">
        <v>311445.59000000003</v>
      </c>
      <c r="S1752">
        <v>571.28</v>
      </c>
      <c r="T1752">
        <v>1</v>
      </c>
      <c r="U1752" s="1"/>
      <c r="V1752" s="1"/>
      <c r="W1752">
        <v>8926.5</v>
      </c>
      <c r="X1752">
        <v>74445</v>
      </c>
      <c r="Y1752">
        <v>74446</v>
      </c>
    </row>
    <row r="1753" spans="1:25" ht="15" hidden="1" customHeight="1" x14ac:dyDescent="0.25">
      <c r="A1753" s="1" t="s">
        <v>31</v>
      </c>
      <c r="B1753" s="1"/>
      <c r="C1753" s="1" t="s">
        <v>158</v>
      </c>
      <c r="D1753">
        <v>9521</v>
      </c>
      <c r="E1753" s="1"/>
      <c r="F1753" s="1" t="s">
        <v>290</v>
      </c>
      <c r="G1753" s="1" t="s">
        <v>158</v>
      </c>
      <c r="H1753" s="1" t="s">
        <v>1405</v>
      </c>
      <c r="I1753">
        <v>2012</v>
      </c>
      <c r="J1753" s="93">
        <v>297460</v>
      </c>
      <c r="K1753">
        <v>12</v>
      </c>
      <c r="L1753" s="1"/>
      <c r="M1753">
        <v>0</v>
      </c>
      <c r="N1753">
        <v>2433</v>
      </c>
      <c r="O1753">
        <v>122.25555799999999</v>
      </c>
      <c r="P1753">
        <v>1</v>
      </c>
      <c r="Q1753" s="1" t="s">
        <v>562</v>
      </c>
      <c r="R1753" s="93">
        <v>313631.55</v>
      </c>
      <c r="S1753">
        <v>58021.85</v>
      </c>
      <c r="T1753">
        <v>0</v>
      </c>
      <c r="U1753" s="1"/>
      <c r="V1753" s="1"/>
      <c r="W1753">
        <v>297460</v>
      </c>
      <c r="X1753">
        <v>0</v>
      </c>
      <c r="Y1753">
        <v>74445</v>
      </c>
    </row>
    <row r="1754" spans="1:25" ht="15" hidden="1" customHeight="1" x14ac:dyDescent="0.25">
      <c r="A1754" s="1" t="s">
        <v>31</v>
      </c>
      <c r="B1754" s="1"/>
      <c r="C1754" s="1" t="s">
        <v>158</v>
      </c>
      <c r="D1754">
        <v>9521</v>
      </c>
      <c r="E1754" s="1"/>
      <c r="F1754" s="1" t="s">
        <v>290</v>
      </c>
      <c r="G1754" s="1" t="s">
        <v>158</v>
      </c>
      <c r="H1754" s="1" t="s">
        <v>1396</v>
      </c>
      <c r="I1754">
        <v>2012</v>
      </c>
      <c r="J1754" s="93">
        <v>306787.76</v>
      </c>
      <c r="K1754">
        <v>12</v>
      </c>
      <c r="L1754" s="1"/>
      <c r="M1754">
        <v>0</v>
      </c>
      <c r="N1754">
        <v>2433</v>
      </c>
      <c r="O1754">
        <v>126.089252</v>
      </c>
      <c r="P1754">
        <v>1</v>
      </c>
      <c r="Q1754" s="1" t="s">
        <v>563</v>
      </c>
      <c r="R1754" s="93">
        <v>306787.76</v>
      </c>
      <c r="S1754">
        <v>1626.7</v>
      </c>
      <c r="T1754">
        <v>1</v>
      </c>
      <c r="U1754" s="1"/>
      <c r="V1754" s="1"/>
      <c r="W1754">
        <v>8793</v>
      </c>
      <c r="X1754">
        <v>74445</v>
      </c>
      <c r="Y1754">
        <v>74446</v>
      </c>
    </row>
    <row r="1755" spans="1:25" ht="15" hidden="1" customHeight="1" x14ac:dyDescent="0.25">
      <c r="A1755" s="1" t="s">
        <v>31</v>
      </c>
      <c r="B1755" s="1"/>
      <c r="C1755" s="1" t="s">
        <v>158</v>
      </c>
      <c r="D1755">
        <v>9521</v>
      </c>
      <c r="E1755" s="1"/>
      <c r="F1755" s="1" t="s">
        <v>290</v>
      </c>
      <c r="G1755" s="1" t="s">
        <v>158</v>
      </c>
      <c r="H1755" s="1" t="s">
        <v>1396</v>
      </c>
      <c r="I1755">
        <v>2011</v>
      </c>
      <c r="J1755" s="93">
        <v>119072.6</v>
      </c>
      <c r="K1755">
        <v>12</v>
      </c>
      <c r="L1755" s="1"/>
      <c r="M1755">
        <v>0</v>
      </c>
      <c r="N1755">
        <v>2433</v>
      </c>
      <c r="O1755">
        <v>48.938637</v>
      </c>
      <c r="P1755">
        <v>1</v>
      </c>
      <c r="Q1755" s="1" t="s">
        <v>563</v>
      </c>
      <c r="R1755" s="93">
        <v>119072.6</v>
      </c>
      <c r="S1755">
        <v>631.38</v>
      </c>
      <c r="T1755">
        <v>1</v>
      </c>
      <c r="U1755" s="1"/>
      <c r="V1755" s="1"/>
      <c r="W1755">
        <v>3412.8</v>
      </c>
      <c r="X1755">
        <v>74445</v>
      </c>
      <c r="Y1755">
        <v>74446</v>
      </c>
    </row>
    <row r="1756" spans="1:25" ht="15" hidden="1" customHeight="1" x14ac:dyDescent="0.25">
      <c r="A1756" s="1" t="s">
        <v>31</v>
      </c>
      <c r="B1756" s="1"/>
      <c r="C1756" s="1" t="s">
        <v>158</v>
      </c>
      <c r="D1756">
        <v>9521</v>
      </c>
      <c r="E1756" s="1"/>
      <c r="F1756" s="1" t="s">
        <v>290</v>
      </c>
      <c r="G1756" s="1" t="s">
        <v>158</v>
      </c>
      <c r="H1756" s="1" t="s">
        <v>1405</v>
      </c>
      <c r="I1756">
        <v>2011</v>
      </c>
      <c r="J1756" s="93">
        <v>112290</v>
      </c>
      <c r="K1756">
        <v>12</v>
      </c>
      <c r="L1756" s="1"/>
      <c r="M1756">
        <v>0</v>
      </c>
      <c r="N1756">
        <v>2433</v>
      </c>
      <c r="O1756">
        <v>46.151000000000003</v>
      </c>
      <c r="P1756">
        <v>1</v>
      </c>
      <c r="Q1756" s="1" t="s">
        <v>562</v>
      </c>
      <c r="R1756" s="93">
        <v>129772.1</v>
      </c>
      <c r="S1756">
        <v>24007.84</v>
      </c>
      <c r="T1756">
        <v>0</v>
      </c>
      <c r="U1756" s="1"/>
      <c r="V1756" s="1"/>
      <c r="W1756">
        <v>112290</v>
      </c>
      <c r="X1756">
        <v>0</v>
      </c>
      <c r="Y1756">
        <v>74445</v>
      </c>
    </row>
    <row r="1757" spans="1:25" ht="15" hidden="1" customHeight="1" x14ac:dyDescent="0.25">
      <c r="A1757" s="1" t="s">
        <v>31</v>
      </c>
      <c r="B1757" s="1"/>
      <c r="C1757" s="1" t="s">
        <v>158</v>
      </c>
      <c r="D1757">
        <v>9521</v>
      </c>
      <c r="E1757" s="1"/>
      <c r="F1757" s="1" t="s">
        <v>290</v>
      </c>
      <c r="G1757" s="1" t="s">
        <v>158</v>
      </c>
      <c r="H1757" s="1" t="s">
        <v>1405</v>
      </c>
      <c r="I1757">
        <v>2011</v>
      </c>
      <c r="J1757" s="93">
        <v>222728.48</v>
      </c>
      <c r="K1757">
        <v>3</v>
      </c>
      <c r="L1757" s="1" t="s">
        <v>485</v>
      </c>
      <c r="M1757">
        <v>0</v>
      </c>
      <c r="N1757">
        <v>2433</v>
      </c>
      <c r="O1757">
        <v>91.541028999999995</v>
      </c>
      <c r="P1757">
        <v>1</v>
      </c>
      <c r="Q1757" s="1" t="s">
        <v>565</v>
      </c>
      <c r="R1757" s="93">
        <v>222728.48</v>
      </c>
      <c r="S1757">
        <v>41204.769999999997</v>
      </c>
      <c r="T1757">
        <v>0</v>
      </c>
      <c r="U1757" s="1" t="s">
        <v>810</v>
      </c>
      <c r="V1757" s="1"/>
      <c r="W1757">
        <v>222.72847999999999</v>
      </c>
      <c r="X1757">
        <v>0</v>
      </c>
      <c r="Y1757">
        <v>77120</v>
      </c>
    </row>
    <row r="1758" spans="1:25" ht="15" hidden="1" customHeight="1" x14ac:dyDescent="0.25">
      <c r="A1758" s="1" t="s">
        <v>31</v>
      </c>
      <c r="B1758" s="1"/>
      <c r="C1758" s="1" t="s">
        <v>158</v>
      </c>
      <c r="D1758">
        <v>9521</v>
      </c>
      <c r="E1758" s="1"/>
      <c r="F1758" s="1" t="s">
        <v>290</v>
      </c>
      <c r="G1758" s="1" t="s">
        <v>158</v>
      </c>
      <c r="H1758" s="1" t="s">
        <v>1396</v>
      </c>
      <c r="I1758">
        <v>2010</v>
      </c>
      <c r="J1758" s="93">
        <v>0</v>
      </c>
      <c r="K1758">
        <v>12</v>
      </c>
      <c r="L1758" s="1"/>
      <c r="M1758">
        <v>0</v>
      </c>
      <c r="N1758">
        <v>2433</v>
      </c>
      <c r="O1758">
        <v>0</v>
      </c>
      <c r="P1758">
        <v>1</v>
      </c>
      <c r="Q1758" s="1" t="s">
        <v>563</v>
      </c>
      <c r="R1758" s="93">
        <v>0</v>
      </c>
      <c r="S1758">
        <v>0</v>
      </c>
      <c r="T1758">
        <v>1</v>
      </c>
      <c r="U1758" s="1"/>
      <c r="V1758" s="1"/>
      <c r="W1758">
        <v>0</v>
      </c>
      <c r="X1758">
        <v>74445</v>
      </c>
      <c r="Y1758">
        <v>74446</v>
      </c>
    </row>
    <row r="1759" spans="1:25" ht="15" hidden="1" customHeight="1" x14ac:dyDescent="0.25">
      <c r="A1759" s="1" t="s">
        <v>31</v>
      </c>
      <c r="B1759" s="1"/>
      <c r="C1759" s="1" t="s">
        <v>158</v>
      </c>
      <c r="D1759">
        <v>9521</v>
      </c>
      <c r="E1759" s="1"/>
      <c r="F1759" s="1" t="s">
        <v>290</v>
      </c>
      <c r="G1759" s="1" t="s">
        <v>158</v>
      </c>
      <c r="H1759" s="1" t="s">
        <v>1405</v>
      </c>
      <c r="I1759">
        <v>2010</v>
      </c>
      <c r="J1759" s="93">
        <v>0</v>
      </c>
      <c r="K1759">
        <v>12</v>
      </c>
      <c r="L1759" s="1"/>
      <c r="M1759">
        <v>0</v>
      </c>
      <c r="N1759">
        <v>2433</v>
      </c>
      <c r="O1759">
        <v>0</v>
      </c>
      <c r="P1759">
        <v>1</v>
      </c>
      <c r="Q1759" s="1" t="s">
        <v>562</v>
      </c>
      <c r="R1759" s="93">
        <v>0</v>
      </c>
      <c r="S1759">
        <v>0</v>
      </c>
      <c r="T1759">
        <v>0</v>
      </c>
      <c r="U1759" s="1"/>
      <c r="V1759" s="1"/>
      <c r="W1759">
        <v>0</v>
      </c>
      <c r="X1759">
        <v>0</v>
      </c>
      <c r="Y1759">
        <v>74445</v>
      </c>
    </row>
    <row r="1760" spans="1:25" ht="15" hidden="1" customHeight="1" x14ac:dyDescent="0.25">
      <c r="A1760" s="1" t="s">
        <v>31</v>
      </c>
      <c r="B1760" s="1"/>
      <c r="C1760" s="1" t="s">
        <v>158</v>
      </c>
      <c r="D1760">
        <v>9521</v>
      </c>
      <c r="E1760" s="1"/>
      <c r="F1760" s="1" t="s">
        <v>290</v>
      </c>
      <c r="G1760" s="1" t="s">
        <v>158</v>
      </c>
      <c r="H1760" s="1" t="s">
        <v>1405</v>
      </c>
      <c r="I1760">
        <v>2010</v>
      </c>
      <c r="J1760" s="93">
        <v>343913.7</v>
      </c>
      <c r="K1760">
        <v>3</v>
      </c>
      <c r="L1760" s="1" t="s">
        <v>485</v>
      </c>
      <c r="M1760">
        <v>0</v>
      </c>
      <c r="N1760">
        <v>2433</v>
      </c>
      <c r="O1760">
        <v>141.34795099999999</v>
      </c>
      <c r="P1760">
        <v>1</v>
      </c>
      <c r="Q1760" s="1" t="s">
        <v>565</v>
      </c>
      <c r="R1760" s="93">
        <v>343913.7</v>
      </c>
      <c r="S1760">
        <v>63624.02</v>
      </c>
      <c r="T1760">
        <v>0</v>
      </c>
      <c r="U1760" s="1" t="s">
        <v>810</v>
      </c>
      <c r="V1760" s="1"/>
      <c r="W1760">
        <v>343.91370000000001</v>
      </c>
      <c r="X1760">
        <v>0</v>
      </c>
      <c r="Y1760">
        <v>77120</v>
      </c>
    </row>
    <row r="1761" spans="1:25" ht="15" hidden="1" customHeight="1" x14ac:dyDescent="0.25">
      <c r="A1761" s="1" t="s">
        <v>31</v>
      </c>
      <c r="B1761" s="1"/>
      <c r="C1761" s="1" t="s">
        <v>158</v>
      </c>
      <c r="D1761">
        <v>9521</v>
      </c>
      <c r="E1761" s="1"/>
      <c r="F1761" s="1" t="s">
        <v>290</v>
      </c>
      <c r="G1761" s="1" t="s">
        <v>158</v>
      </c>
      <c r="H1761" s="1" t="s">
        <v>1405</v>
      </c>
      <c r="I1761">
        <v>2009</v>
      </c>
      <c r="J1761" s="93">
        <v>0</v>
      </c>
      <c r="K1761">
        <v>12</v>
      </c>
      <c r="L1761" s="1"/>
      <c r="M1761">
        <v>0</v>
      </c>
      <c r="N1761">
        <v>2433</v>
      </c>
      <c r="O1761">
        <v>0</v>
      </c>
      <c r="P1761">
        <v>1</v>
      </c>
      <c r="Q1761" s="1" t="s">
        <v>562</v>
      </c>
      <c r="R1761" s="93">
        <v>0</v>
      </c>
      <c r="S1761">
        <v>0</v>
      </c>
      <c r="T1761">
        <v>0</v>
      </c>
      <c r="U1761" s="1"/>
      <c r="V1761" s="1"/>
      <c r="W1761">
        <v>0</v>
      </c>
      <c r="X1761">
        <v>0</v>
      </c>
      <c r="Y1761">
        <v>74445</v>
      </c>
    </row>
    <row r="1762" spans="1:25" ht="15" hidden="1" customHeight="1" x14ac:dyDescent="0.25">
      <c r="A1762" s="1" t="s">
        <v>31</v>
      </c>
      <c r="B1762" s="1"/>
      <c r="C1762" s="1" t="s">
        <v>158</v>
      </c>
      <c r="D1762">
        <v>9521</v>
      </c>
      <c r="E1762" s="1"/>
      <c r="F1762" s="1" t="s">
        <v>290</v>
      </c>
      <c r="G1762" s="1" t="s">
        <v>158</v>
      </c>
      <c r="H1762" s="1" t="s">
        <v>1396</v>
      </c>
      <c r="I1762">
        <v>2009</v>
      </c>
      <c r="J1762" s="93">
        <v>0</v>
      </c>
      <c r="K1762">
        <v>12</v>
      </c>
      <c r="L1762" s="1"/>
      <c r="M1762">
        <v>0</v>
      </c>
      <c r="N1762">
        <v>2433</v>
      </c>
      <c r="O1762">
        <v>0</v>
      </c>
      <c r="P1762">
        <v>1</v>
      </c>
      <c r="Q1762" s="1" t="s">
        <v>563</v>
      </c>
      <c r="R1762" s="93">
        <v>0</v>
      </c>
      <c r="S1762">
        <v>0</v>
      </c>
      <c r="T1762">
        <v>1</v>
      </c>
      <c r="U1762" s="1"/>
      <c r="V1762" s="1"/>
      <c r="W1762">
        <v>0</v>
      </c>
      <c r="X1762">
        <v>74445</v>
      </c>
      <c r="Y1762">
        <v>74446</v>
      </c>
    </row>
    <row r="1763" spans="1:25" ht="15" hidden="1" customHeight="1" x14ac:dyDescent="0.25">
      <c r="A1763" s="1" t="s">
        <v>31</v>
      </c>
      <c r="B1763" s="1"/>
      <c r="C1763" s="1" t="s">
        <v>158</v>
      </c>
      <c r="D1763">
        <v>9521</v>
      </c>
      <c r="E1763" s="1"/>
      <c r="F1763" s="1" t="s">
        <v>290</v>
      </c>
      <c r="G1763" s="1" t="s">
        <v>158</v>
      </c>
      <c r="H1763" s="1" t="s">
        <v>1405</v>
      </c>
      <c r="I1763">
        <v>2009</v>
      </c>
      <c r="J1763" s="93">
        <v>401794.75</v>
      </c>
      <c r="K1763">
        <v>4</v>
      </c>
      <c r="L1763" s="1" t="s">
        <v>485</v>
      </c>
      <c r="M1763">
        <v>0</v>
      </c>
      <c r="N1763">
        <v>2433</v>
      </c>
      <c r="O1763">
        <v>165.136965</v>
      </c>
      <c r="P1763">
        <v>1</v>
      </c>
      <c r="Q1763" s="1" t="s">
        <v>565</v>
      </c>
      <c r="R1763" s="93">
        <v>401794.75</v>
      </c>
      <c r="S1763">
        <v>74332.03</v>
      </c>
      <c r="T1763">
        <v>0</v>
      </c>
      <c r="U1763" s="1" t="s">
        <v>810</v>
      </c>
      <c r="V1763" s="1"/>
      <c r="W1763">
        <v>401.79475000000002</v>
      </c>
      <c r="X1763">
        <v>0</v>
      </c>
      <c r="Y1763">
        <v>77120</v>
      </c>
    </row>
    <row r="1764" spans="1:25" ht="15" hidden="1" customHeight="1" x14ac:dyDescent="0.25">
      <c r="A1764" s="1" t="s">
        <v>31</v>
      </c>
      <c r="B1764" s="1"/>
      <c r="C1764" s="1" t="s">
        <v>158</v>
      </c>
      <c r="D1764">
        <v>9521</v>
      </c>
      <c r="E1764" s="1"/>
      <c r="F1764" s="1" t="s">
        <v>290</v>
      </c>
      <c r="G1764" s="1" t="s">
        <v>158</v>
      </c>
      <c r="H1764" s="1" t="s">
        <v>1405</v>
      </c>
      <c r="I1764">
        <v>2008</v>
      </c>
      <c r="J1764" s="93">
        <v>0</v>
      </c>
      <c r="K1764">
        <v>12</v>
      </c>
      <c r="L1764" s="1"/>
      <c r="M1764">
        <v>0</v>
      </c>
      <c r="N1764">
        <v>2433</v>
      </c>
      <c r="O1764">
        <v>0</v>
      </c>
      <c r="P1764">
        <v>1</v>
      </c>
      <c r="Q1764" s="1" t="s">
        <v>562</v>
      </c>
      <c r="R1764" s="93">
        <v>0</v>
      </c>
      <c r="S1764">
        <v>0</v>
      </c>
      <c r="T1764">
        <v>0</v>
      </c>
      <c r="U1764" s="1"/>
      <c r="V1764" s="1"/>
      <c r="W1764">
        <v>0</v>
      </c>
      <c r="X1764">
        <v>0</v>
      </c>
      <c r="Y1764">
        <v>74445</v>
      </c>
    </row>
    <row r="1765" spans="1:25" ht="15" hidden="1" customHeight="1" x14ac:dyDescent="0.25">
      <c r="A1765" s="1" t="s">
        <v>31</v>
      </c>
      <c r="B1765" s="1"/>
      <c r="C1765" s="1" t="s">
        <v>158</v>
      </c>
      <c r="D1765">
        <v>9521</v>
      </c>
      <c r="E1765" s="1"/>
      <c r="F1765" s="1" t="s">
        <v>290</v>
      </c>
      <c r="G1765" s="1" t="s">
        <v>158</v>
      </c>
      <c r="H1765" s="1" t="s">
        <v>1396</v>
      </c>
      <c r="I1765">
        <v>2008</v>
      </c>
      <c r="J1765" s="93">
        <v>2.79</v>
      </c>
      <c r="K1765">
        <v>12</v>
      </c>
      <c r="L1765" s="1"/>
      <c r="M1765">
        <v>0</v>
      </c>
      <c r="N1765">
        <v>2433</v>
      </c>
      <c r="O1765">
        <v>1.1460000000000001E-3</v>
      </c>
      <c r="P1765">
        <v>1</v>
      </c>
      <c r="Q1765" s="1" t="s">
        <v>563</v>
      </c>
      <c r="R1765" s="93">
        <v>2.79</v>
      </c>
      <c r="S1765">
        <v>0.01</v>
      </c>
      <c r="T1765">
        <v>1</v>
      </c>
      <c r="U1765" s="1"/>
      <c r="V1765" s="1"/>
      <c r="W1765">
        <v>0.08</v>
      </c>
      <c r="X1765">
        <v>74445</v>
      </c>
      <c r="Y1765">
        <v>74446</v>
      </c>
    </row>
    <row r="1766" spans="1:25" ht="15" hidden="1" customHeight="1" x14ac:dyDescent="0.25">
      <c r="A1766" s="1" t="s">
        <v>31</v>
      </c>
      <c r="B1766" s="1"/>
      <c r="C1766" s="1" t="s">
        <v>158</v>
      </c>
      <c r="D1766">
        <v>9521</v>
      </c>
      <c r="E1766" s="1"/>
      <c r="F1766" s="1" t="s">
        <v>290</v>
      </c>
      <c r="G1766" s="1" t="s">
        <v>158</v>
      </c>
      <c r="H1766" s="1" t="s">
        <v>1405</v>
      </c>
      <c r="I1766">
        <v>2008</v>
      </c>
      <c r="J1766" s="93">
        <v>319737.28000000003</v>
      </c>
      <c r="K1766">
        <v>13</v>
      </c>
      <c r="L1766" s="1" t="s">
        <v>485</v>
      </c>
      <c r="M1766">
        <v>0</v>
      </c>
      <c r="N1766">
        <v>2433</v>
      </c>
      <c r="O1766">
        <v>131.411483</v>
      </c>
      <c r="P1766">
        <v>1</v>
      </c>
      <c r="Q1766" s="1" t="s">
        <v>565</v>
      </c>
      <c r="R1766" s="93">
        <v>319737.28000000003</v>
      </c>
      <c r="S1766">
        <v>59151.39</v>
      </c>
      <c r="T1766">
        <v>0</v>
      </c>
      <c r="U1766" s="1" t="s">
        <v>810</v>
      </c>
      <c r="V1766" s="1"/>
      <c r="W1766">
        <v>319.73728</v>
      </c>
      <c r="X1766">
        <v>0</v>
      </c>
      <c r="Y1766">
        <v>77120</v>
      </c>
    </row>
    <row r="1767" spans="1:25" ht="15" hidden="1" customHeight="1" x14ac:dyDescent="0.25">
      <c r="A1767" s="1" t="s">
        <v>31</v>
      </c>
      <c r="B1767" s="1"/>
      <c r="C1767" s="1" t="s">
        <v>159</v>
      </c>
      <c r="D1767">
        <v>9523</v>
      </c>
      <c r="E1767" s="1"/>
      <c r="F1767" s="1" t="s">
        <v>291</v>
      </c>
      <c r="G1767" s="1" t="s">
        <v>1397</v>
      </c>
      <c r="H1767" s="1" t="s">
        <v>1405</v>
      </c>
      <c r="I1767">
        <v>2015</v>
      </c>
      <c r="J1767" s="93">
        <v>65610</v>
      </c>
      <c r="K1767">
        <v>5</v>
      </c>
      <c r="L1767" s="1"/>
      <c r="M1767">
        <v>0</v>
      </c>
      <c r="N1767">
        <v>2103</v>
      </c>
      <c r="O1767">
        <v>19.12415</v>
      </c>
      <c r="P1767">
        <v>1</v>
      </c>
      <c r="Q1767" s="1" t="s">
        <v>562</v>
      </c>
      <c r="R1767" s="93">
        <v>77124</v>
      </c>
      <c r="S1767">
        <v>2946.98</v>
      </c>
      <c r="T1767">
        <v>0</v>
      </c>
      <c r="U1767" s="1" t="s">
        <v>811</v>
      </c>
      <c r="V1767" s="1"/>
      <c r="W1767">
        <v>40220</v>
      </c>
      <c r="X1767">
        <v>0</v>
      </c>
      <c r="Y1767">
        <v>74453</v>
      </c>
    </row>
    <row r="1768" spans="1:25" ht="15" hidden="1" customHeight="1" x14ac:dyDescent="0.25">
      <c r="A1768" s="1" t="s">
        <v>31</v>
      </c>
      <c r="B1768" s="1"/>
      <c r="C1768" s="1" t="s">
        <v>159</v>
      </c>
      <c r="D1768">
        <v>9523</v>
      </c>
      <c r="E1768" s="1"/>
      <c r="F1768" s="1" t="s">
        <v>291</v>
      </c>
      <c r="G1768" s="1" t="s">
        <v>1397</v>
      </c>
      <c r="H1768" s="1" t="s">
        <v>1396</v>
      </c>
      <c r="I1768">
        <v>2015</v>
      </c>
      <c r="J1768" s="93">
        <v>44777.83</v>
      </c>
      <c r="K1768">
        <v>5</v>
      </c>
      <c r="L1768" s="1"/>
      <c r="M1768">
        <v>0</v>
      </c>
      <c r="N1768">
        <v>2103</v>
      </c>
      <c r="O1768">
        <v>21.291346000000001</v>
      </c>
      <c r="P1768">
        <v>1</v>
      </c>
      <c r="Q1768" s="1" t="s">
        <v>563</v>
      </c>
      <c r="R1768" s="93">
        <v>51497.33</v>
      </c>
      <c r="S1768">
        <v>94.47</v>
      </c>
      <c r="T1768">
        <v>1</v>
      </c>
      <c r="U1768" s="1"/>
      <c r="V1768" s="1"/>
      <c r="W1768">
        <v>1283.4000000000001</v>
      </c>
      <c r="X1768">
        <v>74453</v>
      </c>
      <c r="Y1768">
        <v>74454</v>
      </c>
    </row>
    <row r="1769" spans="1:25" ht="15" customHeight="1" x14ac:dyDescent="0.25">
      <c r="A1769" s="1" t="s">
        <v>31</v>
      </c>
      <c r="B1769" s="1"/>
      <c r="C1769" s="1" t="s">
        <v>157</v>
      </c>
      <c r="D1769">
        <v>10324</v>
      </c>
      <c r="E1769" s="1"/>
      <c r="F1769" s="1" t="s">
        <v>289</v>
      </c>
      <c r="G1769" s="1" t="s">
        <v>157</v>
      </c>
      <c r="H1769" s="1" t="s">
        <v>1405</v>
      </c>
      <c r="I1769">
        <v>2014</v>
      </c>
      <c r="J1769" s="93">
        <v>129363</v>
      </c>
      <c r="K1769">
        <v>12</v>
      </c>
      <c r="L1769" s="1"/>
      <c r="M1769">
        <v>0</v>
      </c>
      <c r="N1769">
        <v>2027</v>
      </c>
      <c r="O1769">
        <v>63.816782000000003</v>
      </c>
      <c r="P1769">
        <v>1</v>
      </c>
      <c r="Q1769" s="1" t="s">
        <v>565</v>
      </c>
      <c r="R1769" s="93">
        <v>151151.85999999999</v>
      </c>
      <c r="S1769">
        <v>27963.07</v>
      </c>
      <c r="T1769">
        <v>0</v>
      </c>
      <c r="U1769" s="1"/>
      <c r="V1769" s="1"/>
      <c r="W1769">
        <v>129.363</v>
      </c>
      <c r="X1769">
        <v>0</v>
      </c>
      <c r="Y1769">
        <v>77834</v>
      </c>
    </row>
    <row r="1770" spans="1:25" ht="15" hidden="1" customHeight="1" x14ac:dyDescent="0.25">
      <c r="A1770" s="1" t="s">
        <v>31</v>
      </c>
      <c r="B1770" s="1"/>
      <c r="C1770" s="1" t="s">
        <v>159</v>
      </c>
      <c r="D1770">
        <v>9523</v>
      </c>
      <c r="E1770" s="1"/>
      <c r="F1770" s="1" t="s">
        <v>291</v>
      </c>
      <c r="G1770" s="1" t="s">
        <v>1397</v>
      </c>
      <c r="H1770" s="1" t="s">
        <v>1396</v>
      </c>
      <c r="I1770">
        <v>2013</v>
      </c>
      <c r="J1770" s="93">
        <v>165239.04999999999</v>
      </c>
      <c r="K1770">
        <v>12</v>
      </c>
      <c r="L1770" s="1"/>
      <c r="M1770">
        <v>0</v>
      </c>
      <c r="N1770">
        <v>2103</v>
      </c>
      <c r="O1770">
        <v>78.569277999999997</v>
      </c>
      <c r="P1770">
        <v>1</v>
      </c>
      <c r="Q1770" s="1" t="s">
        <v>563</v>
      </c>
      <c r="R1770" s="93">
        <v>168575.4</v>
      </c>
      <c r="S1770">
        <v>309.20999999999998</v>
      </c>
      <c r="T1770">
        <v>1</v>
      </c>
      <c r="U1770" s="1"/>
      <c r="V1770" s="1"/>
      <c r="W1770">
        <v>4736</v>
      </c>
      <c r="X1770">
        <v>74453</v>
      </c>
      <c r="Y1770">
        <v>74454</v>
      </c>
    </row>
    <row r="1771" spans="1:25" ht="15" hidden="1" customHeight="1" x14ac:dyDescent="0.25">
      <c r="A1771" s="1" t="s">
        <v>31</v>
      </c>
      <c r="B1771" s="1"/>
      <c r="C1771" s="1" t="s">
        <v>159</v>
      </c>
      <c r="D1771">
        <v>9523</v>
      </c>
      <c r="E1771" s="1"/>
      <c r="F1771" s="1" t="s">
        <v>291</v>
      </c>
      <c r="G1771" s="1" t="s">
        <v>1397</v>
      </c>
      <c r="H1771" s="1" t="s">
        <v>1405</v>
      </c>
      <c r="I1771">
        <v>2013</v>
      </c>
      <c r="J1771" s="93">
        <v>93670</v>
      </c>
      <c r="K1771">
        <v>12</v>
      </c>
      <c r="L1771" s="1"/>
      <c r="M1771">
        <v>0</v>
      </c>
      <c r="N1771">
        <v>2103</v>
      </c>
      <c r="O1771">
        <v>44.539012999999997</v>
      </c>
      <c r="P1771">
        <v>1</v>
      </c>
      <c r="Q1771" s="1" t="s">
        <v>562</v>
      </c>
      <c r="R1771" s="93">
        <v>95605.89</v>
      </c>
      <c r="S1771">
        <v>6118.78</v>
      </c>
      <c r="T1771">
        <v>0</v>
      </c>
      <c r="U1771" s="1" t="s">
        <v>811</v>
      </c>
      <c r="V1771" s="1"/>
      <c r="W1771">
        <v>93670</v>
      </c>
      <c r="X1771">
        <v>0</v>
      </c>
      <c r="Y1771">
        <v>74453</v>
      </c>
    </row>
    <row r="1772" spans="1:25" ht="15" hidden="1" customHeight="1" x14ac:dyDescent="0.25">
      <c r="A1772" s="1" t="s">
        <v>31</v>
      </c>
      <c r="B1772" s="1"/>
      <c r="C1772" s="1" t="s">
        <v>159</v>
      </c>
      <c r="D1772">
        <v>9523</v>
      </c>
      <c r="E1772" s="1"/>
      <c r="F1772" s="1" t="s">
        <v>291</v>
      </c>
      <c r="G1772" s="1" t="s">
        <v>1397</v>
      </c>
      <c r="H1772" s="1" t="s">
        <v>1405</v>
      </c>
      <c r="I1772">
        <v>2012</v>
      </c>
      <c r="J1772" s="93">
        <v>93490</v>
      </c>
      <c r="K1772">
        <v>12</v>
      </c>
      <c r="L1772" s="1"/>
      <c r="M1772">
        <v>0</v>
      </c>
      <c r="N1772">
        <v>2103</v>
      </c>
      <c r="O1772">
        <v>44.453425000000003</v>
      </c>
      <c r="P1772">
        <v>1</v>
      </c>
      <c r="Q1772" s="1" t="s">
        <v>562</v>
      </c>
      <c r="R1772" s="93">
        <v>98207.4</v>
      </c>
      <c r="S1772">
        <v>18168.349999999999</v>
      </c>
      <c r="T1772">
        <v>0</v>
      </c>
      <c r="U1772" s="1" t="s">
        <v>811</v>
      </c>
      <c r="V1772" s="1"/>
      <c r="W1772">
        <v>93490</v>
      </c>
      <c r="X1772">
        <v>0</v>
      </c>
      <c r="Y1772">
        <v>74453</v>
      </c>
    </row>
    <row r="1773" spans="1:25" ht="15" hidden="1" customHeight="1" x14ac:dyDescent="0.25">
      <c r="A1773" s="1" t="s">
        <v>31</v>
      </c>
      <c r="B1773" s="1"/>
      <c r="C1773" s="1" t="s">
        <v>159</v>
      </c>
      <c r="D1773">
        <v>9523</v>
      </c>
      <c r="E1773" s="1"/>
      <c r="F1773" s="1" t="s">
        <v>291</v>
      </c>
      <c r="G1773" s="1" t="s">
        <v>1397</v>
      </c>
      <c r="H1773" s="1" t="s">
        <v>1396</v>
      </c>
      <c r="I1773">
        <v>2012</v>
      </c>
      <c r="J1773" s="93">
        <v>282225.21000000002</v>
      </c>
      <c r="K1773">
        <v>12</v>
      </c>
      <c r="L1773" s="1"/>
      <c r="M1773">
        <v>0</v>
      </c>
      <c r="N1773">
        <v>2103</v>
      </c>
      <c r="O1773">
        <v>134.19485900000001</v>
      </c>
      <c r="P1773">
        <v>1</v>
      </c>
      <c r="Q1773" s="1" t="s">
        <v>563</v>
      </c>
      <c r="R1773" s="93">
        <v>296997.57</v>
      </c>
      <c r="S1773">
        <v>1574.78</v>
      </c>
      <c r="T1773">
        <v>1</v>
      </c>
      <c r="U1773" s="1"/>
      <c r="V1773" s="1"/>
      <c r="W1773">
        <v>8089</v>
      </c>
      <c r="X1773">
        <v>74453</v>
      </c>
      <c r="Y1773">
        <v>74454</v>
      </c>
    </row>
    <row r="1774" spans="1:25" ht="15" hidden="1" customHeight="1" x14ac:dyDescent="0.25">
      <c r="A1774" s="1" t="s">
        <v>31</v>
      </c>
      <c r="B1774" s="1"/>
      <c r="C1774" s="1" t="s">
        <v>159</v>
      </c>
      <c r="D1774">
        <v>9523</v>
      </c>
      <c r="E1774" s="1"/>
      <c r="F1774" s="1" t="s">
        <v>291</v>
      </c>
      <c r="G1774" s="1" t="s">
        <v>1397</v>
      </c>
      <c r="H1774" s="1" t="s">
        <v>1405</v>
      </c>
      <c r="I1774">
        <v>2011</v>
      </c>
      <c r="J1774" s="93">
        <v>96090</v>
      </c>
      <c r="K1774">
        <v>12</v>
      </c>
      <c r="L1774" s="1"/>
      <c r="M1774">
        <v>0</v>
      </c>
      <c r="N1774">
        <v>2103</v>
      </c>
      <c r="O1774">
        <v>45.689695999999998</v>
      </c>
      <c r="P1774">
        <v>1</v>
      </c>
      <c r="Q1774" s="1" t="s">
        <v>562</v>
      </c>
      <c r="R1774" s="93">
        <v>102556.29</v>
      </c>
      <c r="S1774">
        <v>18972.919999999998</v>
      </c>
      <c r="T1774">
        <v>0</v>
      </c>
      <c r="U1774" s="1" t="s">
        <v>811</v>
      </c>
      <c r="V1774" s="1"/>
      <c r="W1774">
        <v>96090</v>
      </c>
      <c r="X1774">
        <v>0</v>
      </c>
      <c r="Y1774">
        <v>74453</v>
      </c>
    </row>
    <row r="1775" spans="1:25" ht="15" hidden="1" customHeight="1" x14ac:dyDescent="0.25">
      <c r="A1775" s="1" t="s">
        <v>31</v>
      </c>
      <c r="B1775" s="1"/>
      <c r="C1775" s="1" t="s">
        <v>159</v>
      </c>
      <c r="D1775">
        <v>9523</v>
      </c>
      <c r="E1775" s="1"/>
      <c r="F1775" s="1" t="s">
        <v>291</v>
      </c>
      <c r="G1775" s="1" t="s">
        <v>1397</v>
      </c>
      <c r="H1775" s="1" t="s">
        <v>1396</v>
      </c>
      <c r="I1775">
        <v>2011</v>
      </c>
      <c r="J1775" s="93">
        <v>191560.06</v>
      </c>
      <c r="K1775">
        <v>12</v>
      </c>
      <c r="L1775" s="1"/>
      <c r="M1775">
        <v>0</v>
      </c>
      <c r="N1775">
        <v>2103</v>
      </c>
      <c r="O1775">
        <v>91.084616999999994</v>
      </c>
      <c r="P1775">
        <v>1</v>
      </c>
      <c r="Q1775" s="1" t="s">
        <v>563</v>
      </c>
      <c r="R1775" s="93">
        <v>202805.83</v>
      </c>
      <c r="S1775">
        <v>1075.3499999999999</v>
      </c>
      <c r="T1775">
        <v>1</v>
      </c>
      <c r="U1775" s="1"/>
      <c r="V1775" s="1"/>
      <c r="W1775">
        <v>5490.4</v>
      </c>
      <c r="X1775">
        <v>74453</v>
      </c>
      <c r="Y1775">
        <v>74454</v>
      </c>
    </row>
    <row r="1776" spans="1:25" ht="15" hidden="1" customHeight="1" x14ac:dyDescent="0.25">
      <c r="A1776" s="1" t="s">
        <v>31</v>
      </c>
      <c r="B1776" s="1"/>
      <c r="C1776" s="1" t="s">
        <v>159</v>
      </c>
      <c r="D1776">
        <v>9523</v>
      </c>
      <c r="E1776" s="1"/>
      <c r="F1776" s="1" t="s">
        <v>291</v>
      </c>
      <c r="G1776" s="1" t="s">
        <v>1397</v>
      </c>
      <c r="H1776" s="1" t="s">
        <v>1396</v>
      </c>
      <c r="I1776">
        <v>2010</v>
      </c>
      <c r="J1776" s="93">
        <v>229122.63</v>
      </c>
      <c r="K1776">
        <v>12</v>
      </c>
      <c r="L1776" s="1"/>
      <c r="M1776">
        <v>0</v>
      </c>
      <c r="N1776">
        <v>2103</v>
      </c>
      <c r="O1776">
        <v>108.94519</v>
      </c>
      <c r="P1776">
        <v>1</v>
      </c>
      <c r="Q1776" s="1" t="s">
        <v>563</v>
      </c>
      <c r="R1776" s="93">
        <v>203329.13</v>
      </c>
      <c r="S1776">
        <v>1078.1099999999999</v>
      </c>
      <c r="T1776">
        <v>1</v>
      </c>
      <c r="U1776" s="1"/>
      <c r="V1776" s="1"/>
      <c r="W1776">
        <v>6567</v>
      </c>
      <c r="X1776">
        <v>74453</v>
      </c>
      <c r="Y1776">
        <v>74454</v>
      </c>
    </row>
    <row r="1777" spans="1:25" ht="15" hidden="1" customHeight="1" x14ac:dyDescent="0.25">
      <c r="A1777" s="1" t="s">
        <v>31</v>
      </c>
      <c r="B1777" s="1"/>
      <c r="C1777" s="1" t="s">
        <v>159</v>
      </c>
      <c r="D1777">
        <v>9523</v>
      </c>
      <c r="E1777" s="1"/>
      <c r="F1777" s="1" t="s">
        <v>291</v>
      </c>
      <c r="G1777" s="1" t="s">
        <v>1397</v>
      </c>
      <c r="H1777" s="1" t="s">
        <v>1405</v>
      </c>
      <c r="I1777">
        <v>2010</v>
      </c>
      <c r="J1777" s="93">
        <v>114960</v>
      </c>
      <c r="K1777">
        <v>12</v>
      </c>
      <c r="L1777" s="1"/>
      <c r="M1777">
        <v>0</v>
      </c>
      <c r="N1777">
        <v>2103</v>
      </c>
      <c r="O1777">
        <v>54.662165000000002</v>
      </c>
      <c r="P1777">
        <v>1</v>
      </c>
      <c r="Q1777" s="1" t="s">
        <v>562</v>
      </c>
      <c r="R1777" s="93">
        <v>102876.83</v>
      </c>
      <c r="S1777">
        <v>19032.21</v>
      </c>
      <c r="T1777">
        <v>0</v>
      </c>
      <c r="U1777" s="1" t="s">
        <v>811</v>
      </c>
      <c r="V1777" s="1"/>
      <c r="W1777">
        <v>114960</v>
      </c>
      <c r="X1777">
        <v>0</v>
      </c>
      <c r="Y1777">
        <v>74453</v>
      </c>
    </row>
    <row r="1778" spans="1:25" ht="15" hidden="1" customHeight="1" x14ac:dyDescent="0.25">
      <c r="A1778" s="1" t="s">
        <v>31</v>
      </c>
      <c r="B1778" s="1"/>
      <c r="C1778" s="1" t="s">
        <v>159</v>
      </c>
      <c r="D1778">
        <v>9523</v>
      </c>
      <c r="E1778" s="1"/>
      <c r="F1778" s="1" t="s">
        <v>291</v>
      </c>
      <c r="G1778" s="1" t="s">
        <v>1397</v>
      </c>
      <c r="H1778" s="1" t="s">
        <v>1396</v>
      </c>
      <c r="I1778">
        <v>2009</v>
      </c>
      <c r="J1778" s="93">
        <v>112530.71</v>
      </c>
      <c r="K1778">
        <v>12</v>
      </c>
      <c r="L1778" s="1"/>
      <c r="M1778">
        <v>0</v>
      </c>
      <c r="N1778">
        <v>2103</v>
      </c>
      <c r="O1778">
        <v>53.507064999999997</v>
      </c>
      <c r="P1778">
        <v>1</v>
      </c>
      <c r="Q1778" s="1" t="s">
        <v>563</v>
      </c>
      <c r="R1778" s="93">
        <v>116492.47</v>
      </c>
      <c r="S1778">
        <v>617.69000000000005</v>
      </c>
      <c r="T1778">
        <v>1</v>
      </c>
      <c r="U1778" s="1"/>
      <c r="V1778" s="1"/>
      <c r="W1778">
        <v>3225.3</v>
      </c>
      <c r="X1778">
        <v>74453</v>
      </c>
      <c r="Y1778">
        <v>74454</v>
      </c>
    </row>
    <row r="1779" spans="1:25" ht="15" hidden="1" customHeight="1" x14ac:dyDescent="0.25">
      <c r="A1779" s="1" t="s">
        <v>31</v>
      </c>
      <c r="B1779" s="1"/>
      <c r="C1779" s="1" t="s">
        <v>159</v>
      </c>
      <c r="D1779">
        <v>9523</v>
      </c>
      <c r="E1779" s="1"/>
      <c r="F1779" s="1" t="s">
        <v>291</v>
      </c>
      <c r="G1779" s="1" t="s">
        <v>1397</v>
      </c>
      <c r="H1779" s="1" t="s">
        <v>1405</v>
      </c>
      <c r="I1779">
        <v>2009</v>
      </c>
      <c r="J1779" s="93">
        <v>86460</v>
      </c>
      <c r="K1779">
        <v>12</v>
      </c>
      <c r="L1779" s="1"/>
      <c r="M1779">
        <v>0</v>
      </c>
      <c r="N1779">
        <v>2103</v>
      </c>
      <c r="O1779">
        <v>41.110740999999997</v>
      </c>
      <c r="P1779">
        <v>1</v>
      </c>
      <c r="Q1779" s="1" t="s">
        <v>562</v>
      </c>
      <c r="R1779" s="93">
        <v>90489.05</v>
      </c>
      <c r="S1779">
        <v>16740.47</v>
      </c>
      <c r="T1779">
        <v>0</v>
      </c>
      <c r="U1779" s="1" t="s">
        <v>811</v>
      </c>
      <c r="V1779" s="1"/>
      <c r="W1779">
        <v>86460</v>
      </c>
      <c r="X1779">
        <v>0</v>
      </c>
      <c r="Y1779">
        <v>74453</v>
      </c>
    </row>
    <row r="1780" spans="1:25" ht="15" hidden="1" customHeight="1" x14ac:dyDescent="0.25">
      <c r="A1780" s="1" t="s">
        <v>31</v>
      </c>
      <c r="B1780" s="1"/>
      <c r="C1780" s="1" t="s">
        <v>159</v>
      </c>
      <c r="D1780">
        <v>9523</v>
      </c>
      <c r="E1780" s="1"/>
      <c r="F1780" s="1" t="s">
        <v>291</v>
      </c>
      <c r="G1780" s="1" t="s">
        <v>1397</v>
      </c>
      <c r="H1780" s="1" t="s">
        <v>1405</v>
      </c>
      <c r="I1780">
        <v>2008</v>
      </c>
      <c r="J1780" s="93">
        <v>78370</v>
      </c>
      <c r="K1780">
        <v>12</v>
      </c>
      <c r="L1780" s="1"/>
      <c r="M1780">
        <v>0</v>
      </c>
      <c r="N1780">
        <v>2103</v>
      </c>
      <c r="O1780">
        <v>37.264037999999999</v>
      </c>
      <c r="P1780">
        <v>1</v>
      </c>
      <c r="Q1780" s="1" t="s">
        <v>562</v>
      </c>
      <c r="R1780" s="93">
        <v>90694.84</v>
      </c>
      <c r="S1780">
        <v>16778.55</v>
      </c>
      <c r="T1780">
        <v>0</v>
      </c>
      <c r="U1780" s="1" t="s">
        <v>811</v>
      </c>
      <c r="V1780" s="1"/>
      <c r="W1780">
        <v>78370</v>
      </c>
      <c r="X1780">
        <v>0</v>
      </c>
      <c r="Y1780">
        <v>74453</v>
      </c>
    </row>
    <row r="1781" spans="1:25" ht="15" hidden="1" customHeight="1" x14ac:dyDescent="0.25">
      <c r="A1781" s="1" t="s">
        <v>31</v>
      </c>
      <c r="B1781" s="1"/>
      <c r="C1781" s="1" t="s">
        <v>159</v>
      </c>
      <c r="D1781">
        <v>9523</v>
      </c>
      <c r="E1781" s="1"/>
      <c r="F1781" s="1" t="s">
        <v>291</v>
      </c>
      <c r="G1781" s="1" t="s">
        <v>1397</v>
      </c>
      <c r="H1781" s="1" t="s">
        <v>1396</v>
      </c>
      <c r="I1781">
        <v>2008</v>
      </c>
      <c r="J1781" s="93">
        <v>71503.58</v>
      </c>
      <c r="K1781">
        <v>12</v>
      </c>
      <c r="L1781" s="1"/>
      <c r="M1781">
        <v>0</v>
      </c>
      <c r="N1781">
        <v>2103</v>
      </c>
      <c r="O1781">
        <v>33.999133999999998</v>
      </c>
      <c r="P1781">
        <v>1</v>
      </c>
      <c r="Q1781" s="1" t="s">
        <v>563</v>
      </c>
      <c r="R1781" s="93">
        <v>82921.52</v>
      </c>
      <c r="S1781">
        <v>439.68</v>
      </c>
      <c r="T1781">
        <v>1</v>
      </c>
      <c r="U1781" s="1"/>
      <c r="V1781" s="1"/>
      <c r="W1781">
        <v>2049.4</v>
      </c>
      <c r="X1781">
        <v>74453</v>
      </c>
      <c r="Y1781">
        <v>74454</v>
      </c>
    </row>
    <row r="1782" spans="1:25" ht="15" hidden="1" customHeight="1" x14ac:dyDescent="0.25">
      <c r="A1782" s="1" t="s">
        <v>31</v>
      </c>
      <c r="B1782" s="1"/>
      <c r="C1782" s="1" t="s">
        <v>159</v>
      </c>
      <c r="D1782">
        <v>9522</v>
      </c>
      <c r="E1782" s="1"/>
      <c r="F1782" s="1" t="s">
        <v>292</v>
      </c>
      <c r="G1782" s="1" t="s">
        <v>1397</v>
      </c>
      <c r="H1782" s="1" t="s">
        <v>1396</v>
      </c>
      <c r="I1782">
        <v>2015</v>
      </c>
      <c r="J1782" s="93">
        <v>344632.95</v>
      </c>
      <c r="K1782">
        <v>5</v>
      </c>
      <c r="L1782" s="1"/>
      <c r="M1782">
        <v>0</v>
      </c>
      <c r="N1782">
        <v>5224</v>
      </c>
      <c r="O1782">
        <v>65.969821999999994</v>
      </c>
      <c r="P1782">
        <v>1</v>
      </c>
      <c r="Q1782" s="1" t="s">
        <v>563</v>
      </c>
      <c r="R1782" s="93">
        <v>379712.55</v>
      </c>
      <c r="S1782">
        <v>696.52</v>
      </c>
      <c r="T1782">
        <v>1</v>
      </c>
      <c r="U1782" s="1"/>
      <c r="V1782" s="1"/>
      <c r="W1782">
        <v>9877.7000000000007</v>
      </c>
      <c r="X1782">
        <v>74449</v>
      </c>
      <c r="Y1782">
        <v>74450</v>
      </c>
    </row>
    <row r="1783" spans="1:25" ht="15" hidden="1" customHeight="1" x14ac:dyDescent="0.25">
      <c r="A1783" s="1" t="s">
        <v>31</v>
      </c>
      <c r="B1783" s="1"/>
      <c r="C1783" s="1" t="s">
        <v>159</v>
      </c>
      <c r="D1783">
        <v>9522</v>
      </c>
      <c r="E1783" s="1"/>
      <c r="F1783" s="1" t="s">
        <v>292</v>
      </c>
      <c r="G1783" s="1" t="s">
        <v>1397</v>
      </c>
      <c r="H1783" s="1" t="s">
        <v>1405</v>
      </c>
      <c r="I1783">
        <v>2015</v>
      </c>
      <c r="J1783" s="93">
        <v>242270</v>
      </c>
      <c r="K1783">
        <v>5</v>
      </c>
      <c r="L1783" s="1"/>
      <c r="M1783">
        <v>0</v>
      </c>
      <c r="N1783">
        <v>5224</v>
      </c>
      <c r="O1783">
        <v>29.781206000000001</v>
      </c>
      <c r="P1783">
        <v>1</v>
      </c>
      <c r="Q1783" s="1" t="s">
        <v>562</v>
      </c>
      <c r="R1783" s="93">
        <v>285154</v>
      </c>
      <c r="S1783">
        <v>11410.78</v>
      </c>
      <c r="T1783">
        <v>0</v>
      </c>
      <c r="U1783" s="1"/>
      <c r="V1783" s="1"/>
      <c r="W1783">
        <v>155580</v>
      </c>
      <c r="X1783">
        <v>0</v>
      </c>
      <c r="Y1783">
        <v>74449</v>
      </c>
    </row>
    <row r="1784" spans="1:25" ht="15" hidden="1" customHeight="1" x14ac:dyDescent="0.25">
      <c r="A1784" s="1" t="s">
        <v>31</v>
      </c>
      <c r="B1784" s="1"/>
      <c r="C1784" s="1" t="s">
        <v>159</v>
      </c>
      <c r="D1784">
        <v>9522</v>
      </c>
      <c r="E1784" s="1"/>
      <c r="F1784" s="1" t="s">
        <v>292</v>
      </c>
      <c r="G1784" s="1" t="s">
        <v>1397</v>
      </c>
      <c r="H1784" s="1" t="s">
        <v>1405</v>
      </c>
      <c r="I1784">
        <v>2013</v>
      </c>
      <c r="J1784" s="93">
        <v>296570</v>
      </c>
      <c r="K1784">
        <v>12</v>
      </c>
      <c r="L1784" s="1"/>
      <c r="M1784">
        <v>0</v>
      </c>
      <c r="N1784">
        <v>5224</v>
      </c>
      <c r="O1784">
        <v>56.769587000000001</v>
      </c>
      <c r="P1784">
        <v>1</v>
      </c>
      <c r="Q1784" s="1" t="s">
        <v>562</v>
      </c>
      <c r="R1784" s="93">
        <v>303919.93</v>
      </c>
      <c r="S1784">
        <v>19450.88</v>
      </c>
      <c r="T1784">
        <v>0</v>
      </c>
      <c r="U1784" s="1"/>
      <c r="V1784" s="1"/>
      <c r="W1784">
        <v>296570</v>
      </c>
      <c r="X1784">
        <v>0</v>
      </c>
      <c r="Y1784">
        <v>74449</v>
      </c>
    </row>
    <row r="1785" spans="1:25" ht="15" hidden="1" customHeight="1" x14ac:dyDescent="0.25">
      <c r="A1785" s="1" t="s">
        <v>31</v>
      </c>
      <c r="B1785" s="1"/>
      <c r="C1785" s="1" t="s">
        <v>159</v>
      </c>
      <c r="D1785">
        <v>9522</v>
      </c>
      <c r="E1785" s="1"/>
      <c r="F1785" s="1" t="s">
        <v>292</v>
      </c>
      <c r="G1785" s="1" t="s">
        <v>1397</v>
      </c>
      <c r="H1785" s="1" t="s">
        <v>1396</v>
      </c>
      <c r="I1785">
        <v>2013</v>
      </c>
      <c r="J1785" s="93">
        <v>331179.37</v>
      </c>
      <c r="K1785">
        <v>12</v>
      </c>
      <c r="L1785" s="1"/>
      <c r="M1785">
        <v>0</v>
      </c>
      <c r="N1785">
        <v>5224</v>
      </c>
      <c r="O1785">
        <v>63.394531000000001</v>
      </c>
      <c r="P1785">
        <v>1</v>
      </c>
      <c r="Q1785" s="1" t="s">
        <v>563</v>
      </c>
      <c r="R1785" s="93">
        <v>338506.57</v>
      </c>
      <c r="S1785">
        <v>620.92999999999995</v>
      </c>
      <c r="T1785">
        <v>1</v>
      </c>
      <c r="U1785" s="1"/>
      <c r="V1785" s="1"/>
      <c r="W1785">
        <v>9492.1</v>
      </c>
      <c r="X1785">
        <v>74449</v>
      </c>
      <c r="Y1785">
        <v>74450</v>
      </c>
    </row>
    <row r="1786" spans="1:25" ht="15" hidden="1" customHeight="1" x14ac:dyDescent="0.25">
      <c r="A1786" s="1" t="s">
        <v>31</v>
      </c>
      <c r="B1786" s="1"/>
      <c r="C1786" s="1" t="s">
        <v>159</v>
      </c>
      <c r="D1786">
        <v>9522</v>
      </c>
      <c r="E1786" s="1"/>
      <c r="F1786" s="1" t="s">
        <v>292</v>
      </c>
      <c r="G1786" s="1" t="s">
        <v>1397</v>
      </c>
      <c r="H1786" s="1" t="s">
        <v>1405</v>
      </c>
      <c r="I1786">
        <v>2012</v>
      </c>
      <c r="J1786" s="93">
        <v>302740</v>
      </c>
      <c r="K1786">
        <v>12</v>
      </c>
      <c r="L1786" s="1"/>
      <c r="M1786">
        <v>0</v>
      </c>
      <c r="N1786">
        <v>5224</v>
      </c>
      <c r="O1786">
        <v>57.950651000000001</v>
      </c>
      <c r="P1786">
        <v>1</v>
      </c>
      <c r="Q1786" s="1" t="s">
        <v>562</v>
      </c>
      <c r="R1786" s="93">
        <v>316500.11</v>
      </c>
      <c r="S1786">
        <v>58552.53</v>
      </c>
      <c r="T1786">
        <v>0</v>
      </c>
      <c r="U1786" s="1"/>
      <c r="V1786" s="1"/>
      <c r="W1786">
        <v>302740</v>
      </c>
      <c r="X1786">
        <v>0</v>
      </c>
      <c r="Y1786">
        <v>74449</v>
      </c>
    </row>
    <row r="1787" spans="1:25" ht="15" hidden="1" customHeight="1" x14ac:dyDescent="0.25">
      <c r="A1787" s="1" t="s">
        <v>31</v>
      </c>
      <c r="B1787" s="1"/>
      <c r="C1787" s="1" t="s">
        <v>159</v>
      </c>
      <c r="D1787">
        <v>9522</v>
      </c>
      <c r="E1787" s="1"/>
      <c r="F1787" s="1" t="s">
        <v>292</v>
      </c>
      <c r="G1787" s="1" t="s">
        <v>1397</v>
      </c>
      <c r="H1787" s="1" t="s">
        <v>1396</v>
      </c>
      <c r="I1787">
        <v>2012</v>
      </c>
      <c r="J1787" s="93">
        <v>359419.33</v>
      </c>
      <c r="K1787">
        <v>12</v>
      </c>
      <c r="L1787" s="1"/>
      <c r="M1787">
        <v>0</v>
      </c>
      <c r="N1787">
        <v>5224</v>
      </c>
      <c r="O1787">
        <v>68.800239000000005</v>
      </c>
      <c r="P1787">
        <v>1</v>
      </c>
      <c r="Q1787" s="1" t="s">
        <v>563</v>
      </c>
      <c r="R1787" s="93">
        <v>378497.1</v>
      </c>
      <c r="S1787">
        <v>2006.92</v>
      </c>
      <c r="T1787">
        <v>1</v>
      </c>
      <c r="U1787" s="1"/>
      <c r="V1787" s="1"/>
      <c r="W1787">
        <v>10301.5</v>
      </c>
      <c r="X1787">
        <v>74449</v>
      </c>
      <c r="Y1787">
        <v>74450</v>
      </c>
    </row>
    <row r="1788" spans="1:25" ht="15" hidden="1" customHeight="1" x14ac:dyDescent="0.25">
      <c r="A1788" s="1" t="s">
        <v>31</v>
      </c>
      <c r="B1788" s="1"/>
      <c r="C1788" s="1" t="s">
        <v>159</v>
      </c>
      <c r="D1788">
        <v>9522</v>
      </c>
      <c r="E1788" s="1"/>
      <c r="F1788" s="1" t="s">
        <v>292</v>
      </c>
      <c r="G1788" s="1" t="s">
        <v>1397</v>
      </c>
      <c r="H1788" s="1" t="s">
        <v>1396</v>
      </c>
      <c r="I1788">
        <v>2011</v>
      </c>
      <c r="J1788" s="93">
        <v>485860.71</v>
      </c>
      <c r="K1788">
        <v>12</v>
      </c>
      <c r="L1788" s="1"/>
      <c r="M1788">
        <v>0</v>
      </c>
      <c r="N1788">
        <v>5224</v>
      </c>
      <c r="O1788">
        <v>93.003715</v>
      </c>
      <c r="P1788">
        <v>1</v>
      </c>
      <c r="Q1788" s="1" t="s">
        <v>563</v>
      </c>
      <c r="R1788" s="93">
        <v>526615.93000000005</v>
      </c>
      <c r="S1788">
        <v>2792.34</v>
      </c>
      <c r="T1788">
        <v>1</v>
      </c>
      <c r="U1788" s="1"/>
      <c r="V1788" s="1"/>
      <c r="W1788">
        <v>13925.5</v>
      </c>
      <c r="X1788">
        <v>74449</v>
      </c>
      <c r="Y1788">
        <v>74450</v>
      </c>
    </row>
    <row r="1789" spans="1:25" ht="15" hidden="1" customHeight="1" x14ac:dyDescent="0.25">
      <c r="A1789" s="1" t="s">
        <v>31</v>
      </c>
      <c r="B1789" s="1"/>
      <c r="C1789" s="1" t="s">
        <v>159</v>
      </c>
      <c r="D1789">
        <v>9522</v>
      </c>
      <c r="E1789" s="1"/>
      <c r="F1789" s="1" t="s">
        <v>292</v>
      </c>
      <c r="G1789" s="1" t="s">
        <v>1397</v>
      </c>
      <c r="H1789" s="1" t="s">
        <v>1405</v>
      </c>
      <c r="I1789">
        <v>2011</v>
      </c>
      <c r="J1789" s="93">
        <v>320460</v>
      </c>
      <c r="K1789">
        <v>12</v>
      </c>
      <c r="L1789" s="1"/>
      <c r="M1789">
        <v>0</v>
      </c>
      <c r="N1789">
        <v>5224</v>
      </c>
      <c r="O1789">
        <v>61.342623000000003</v>
      </c>
      <c r="P1789">
        <v>1</v>
      </c>
      <c r="Q1789" s="1" t="s">
        <v>562</v>
      </c>
      <c r="R1789" s="93">
        <v>345788.76</v>
      </c>
      <c r="S1789">
        <v>63970.93</v>
      </c>
      <c r="T1789">
        <v>0</v>
      </c>
      <c r="U1789" s="1"/>
      <c r="V1789" s="1"/>
      <c r="W1789">
        <v>320460</v>
      </c>
      <c r="X1789">
        <v>0</v>
      </c>
      <c r="Y1789">
        <v>74449</v>
      </c>
    </row>
    <row r="1790" spans="1:25" ht="15" hidden="1" customHeight="1" x14ac:dyDescent="0.25">
      <c r="A1790" s="1" t="s">
        <v>31</v>
      </c>
      <c r="B1790" s="1"/>
      <c r="C1790" s="1" t="s">
        <v>159</v>
      </c>
      <c r="D1790">
        <v>9522</v>
      </c>
      <c r="E1790" s="1"/>
      <c r="F1790" s="1" t="s">
        <v>292</v>
      </c>
      <c r="G1790" s="1" t="s">
        <v>1397</v>
      </c>
      <c r="H1790" s="1" t="s">
        <v>1396</v>
      </c>
      <c r="I1790">
        <v>2010</v>
      </c>
      <c r="J1790" s="93">
        <v>660931.75</v>
      </c>
      <c r="K1790">
        <v>12</v>
      </c>
      <c r="L1790" s="1"/>
      <c r="M1790">
        <v>0</v>
      </c>
      <c r="N1790">
        <v>5224</v>
      </c>
      <c r="O1790">
        <v>126.515907</v>
      </c>
      <c r="P1790">
        <v>1</v>
      </c>
      <c r="Q1790" s="1" t="s">
        <v>563</v>
      </c>
      <c r="R1790" s="93">
        <v>620484.06999999995</v>
      </c>
      <c r="S1790">
        <v>3290.04</v>
      </c>
      <c r="T1790">
        <v>1</v>
      </c>
      <c r="U1790" s="1"/>
      <c r="V1790" s="1"/>
      <c r="W1790">
        <v>18943.3</v>
      </c>
      <c r="X1790">
        <v>74449</v>
      </c>
      <c r="Y1790">
        <v>74450</v>
      </c>
    </row>
    <row r="1791" spans="1:25" ht="15" hidden="1" customHeight="1" x14ac:dyDescent="0.25">
      <c r="A1791" s="1" t="s">
        <v>31</v>
      </c>
      <c r="B1791" s="1"/>
      <c r="C1791" s="1" t="s">
        <v>159</v>
      </c>
      <c r="D1791">
        <v>9522</v>
      </c>
      <c r="E1791" s="1"/>
      <c r="F1791" s="1" t="s">
        <v>292</v>
      </c>
      <c r="G1791" s="1" t="s">
        <v>1397</v>
      </c>
      <c r="H1791" s="1" t="s">
        <v>1405</v>
      </c>
      <c r="I1791">
        <v>2010</v>
      </c>
      <c r="J1791" s="93">
        <v>490530</v>
      </c>
      <c r="K1791">
        <v>12</v>
      </c>
      <c r="L1791" s="1"/>
      <c r="M1791">
        <v>0</v>
      </c>
      <c r="N1791">
        <v>5224</v>
      </c>
      <c r="O1791">
        <v>93.897513000000004</v>
      </c>
      <c r="P1791">
        <v>1</v>
      </c>
      <c r="Q1791" s="1" t="s">
        <v>562</v>
      </c>
      <c r="R1791" s="93">
        <v>447617.94</v>
      </c>
      <c r="S1791">
        <v>82809.31</v>
      </c>
      <c r="T1791">
        <v>0</v>
      </c>
      <c r="U1791" s="1"/>
      <c r="V1791" s="1"/>
      <c r="W1791">
        <v>490530</v>
      </c>
      <c r="X1791">
        <v>0</v>
      </c>
      <c r="Y1791">
        <v>74449</v>
      </c>
    </row>
    <row r="1792" spans="1:25" ht="15" hidden="1" customHeight="1" x14ac:dyDescent="0.25">
      <c r="A1792" s="1" t="s">
        <v>31</v>
      </c>
      <c r="B1792" s="1"/>
      <c r="C1792" s="1" t="s">
        <v>159</v>
      </c>
      <c r="D1792">
        <v>9522</v>
      </c>
      <c r="E1792" s="1"/>
      <c r="F1792" s="1" t="s">
        <v>292</v>
      </c>
      <c r="G1792" s="1" t="s">
        <v>1397</v>
      </c>
      <c r="H1792" s="1" t="s">
        <v>1405</v>
      </c>
      <c r="I1792">
        <v>2009</v>
      </c>
      <c r="J1792" s="93">
        <v>408920</v>
      </c>
      <c r="K1792">
        <v>12</v>
      </c>
      <c r="L1792" s="1"/>
      <c r="M1792">
        <v>0</v>
      </c>
      <c r="N1792">
        <v>5224</v>
      </c>
      <c r="O1792">
        <v>78.275683000000001</v>
      </c>
      <c r="P1792">
        <v>1</v>
      </c>
      <c r="Q1792" s="1" t="s">
        <v>562</v>
      </c>
      <c r="R1792" s="93">
        <v>439952.57</v>
      </c>
      <c r="S1792">
        <v>81391.22</v>
      </c>
      <c r="T1792">
        <v>0</v>
      </c>
      <c r="U1792" s="1"/>
      <c r="V1792" s="1"/>
      <c r="W1792">
        <v>408920</v>
      </c>
      <c r="X1792">
        <v>0</v>
      </c>
      <c r="Y1792">
        <v>74449</v>
      </c>
    </row>
    <row r="1793" spans="1:25" ht="15" hidden="1" customHeight="1" x14ac:dyDescent="0.25">
      <c r="A1793" s="1" t="s">
        <v>31</v>
      </c>
      <c r="B1793" s="1"/>
      <c r="C1793" s="1" t="s">
        <v>159</v>
      </c>
      <c r="D1793">
        <v>9522</v>
      </c>
      <c r="E1793" s="1"/>
      <c r="F1793" s="1" t="s">
        <v>292</v>
      </c>
      <c r="G1793" s="1" t="s">
        <v>1397</v>
      </c>
      <c r="H1793" s="1" t="s">
        <v>1396</v>
      </c>
      <c r="I1793">
        <v>2009</v>
      </c>
      <c r="J1793" s="93">
        <v>562807.11</v>
      </c>
      <c r="K1793">
        <v>12</v>
      </c>
      <c r="L1793" s="1"/>
      <c r="M1793">
        <v>0</v>
      </c>
      <c r="N1793">
        <v>5224</v>
      </c>
      <c r="O1793">
        <v>107.73283600000001</v>
      </c>
      <c r="P1793">
        <v>1</v>
      </c>
      <c r="Q1793" s="1" t="s">
        <v>563</v>
      </c>
      <c r="R1793" s="93">
        <v>608717.06000000006</v>
      </c>
      <c r="S1793">
        <v>3227.65</v>
      </c>
      <c r="T1793">
        <v>1</v>
      </c>
      <c r="U1793" s="1"/>
      <c r="V1793" s="1"/>
      <c r="W1793">
        <v>16130.9</v>
      </c>
      <c r="X1793">
        <v>74449</v>
      </c>
      <c r="Y1793">
        <v>74450</v>
      </c>
    </row>
    <row r="1794" spans="1:25" ht="15" hidden="1" customHeight="1" x14ac:dyDescent="0.25">
      <c r="A1794" s="1" t="s">
        <v>31</v>
      </c>
      <c r="B1794" s="1"/>
      <c r="C1794" s="1" t="s">
        <v>159</v>
      </c>
      <c r="D1794">
        <v>9522</v>
      </c>
      <c r="E1794" s="1"/>
      <c r="F1794" s="1" t="s">
        <v>292</v>
      </c>
      <c r="G1794" s="1" t="s">
        <v>1397</v>
      </c>
      <c r="H1794" s="1" t="s">
        <v>1405</v>
      </c>
      <c r="I1794">
        <v>2008</v>
      </c>
      <c r="J1794" s="93">
        <v>374700</v>
      </c>
      <c r="K1794">
        <v>12</v>
      </c>
      <c r="L1794" s="1"/>
      <c r="M1794">
        <v>0</v>
      </c>
      <c r="N1794">
        <v>5224</v>
      </c>
      <c r="O1794">
        <v>71.725273000000001</v>
      </c>
      <c r="P1794">
        <v>1</v>
      </c>
      <c r="Q1794" s="1" t="s">
        <v>562</v>
      </c>
      <c r="R1794" s="93">
        <v>431610.97</v>
      </c>
      <c r="S1794">
        <v>79848.039999999994</v>
      </c>
      <c r="T1794">
        <v>0</v>
      </c>
      <c r="U1794" s="1"/>
      <c r="V1794" s="1"/>
      <c r="W1794">
        <v>374700</v>
      </c>
      <c r="X1794">
        <v>0</v>
      </c>
      <c r="Y1794">
        <v>74449</v>
      </c>
    </row>
    <row r="1795" spans="1:25" ht="15" hidden="1" customHeight="1" x14ac:dyDescent="0.25">
      <c r="A1795" s="1" t="s">
        <v>31</v>
      </c>
      <c r="B1795" s="1"/>
      <c r="C1795" s="1" t="s">
        <v>159</v>
      </c>
      <c r="D1795">
        <v>9522</v>
      </c>
      <c r="E1795" s="1"/>
      <c r="F1795" s="1" t="s">
        <v>292</v>
      </c>
      <c r="G1795" s="1" t="s">
        <v>1397</v>
      </c>
      <c r="H1795" s="1" t="s">
        <v>1396</v>
      </c>
      <c r="I1795">
        <v>2008</v>
      </c>
      <c r="J1795" s="93">
        <v>537047.81999999995</v>
      </c>
      <c r="K1795">
        <v>12</v>
      </c>
      <c r="L1795" s="1"/>
      <c r="M1795">
        <v>0</v>
      </c>
      <c r="N1795">
        <v>5224</v>
      </c>
      <c r="O1795">
        <v>102.801979</v>
      </c>
      <c r="P1795">
        <v>1</v>
      </c>
      <c r="Q1795" s="1" t="s">
        <v>563</v>
      </c>
      <c r="R1795" s="93">
        <v>617911.16</v>
      </c>
      <c r="S1795">
        <v>3276.43</v>
      </c>
      <c r="T1795">
        <v>1</v>
      </c>
      <c r="U1795" s="1"/>
      <c r="V1795" s="1"/>
      <c r="W1795">
        <v>15392.6</v>
      </c>
      <c r="X1795">
        <v>74449</v>
      </c>
      <c r="Y1795">
        <v>74450</v>
      </c>
    </row>
    <row r="1796" spans="1:25" ht="15" hidden="1" customHeight="1" x14ac:dyDescent="0.25">
      <c r="A1796" s="1" t="s">
        <v>31</v>
      </c>
      <c r="B1796" s="1"/>
      <c r="C1796" s="1" t="s">
        <v>158</v>
      </c>
      <c r="D1796">
        <v>9521</v>
      </c>
      <c r="E1796" s="1"/>
      <c r="F1796" s="1" t="s">
        <v>290</v>
      </c>
      <c r="G1796" s="1" t="s">
        <v>158</v>
      </c>
      <c r="H1796" s="1" t="s">
        <v>1405</v>
      </c>
      <c r="I1796">
        <v>2013</v>
      </c>
      <c r="J1796" s="93">
        <v>92671.87</v>
      </c>
      <c r="K1796">
        <v>12</v>
      </c>
      <c r="L1796" s="1"/>
      <c r="M1796">
        <v>0</v>
      </c>
      <c r="N1796">
        <v>2433</v>
      </c>
      <c r="O1796">
        <v>38.087981999999997</v>
      </c>
      <c r="P1796">
        <v>2</v>
      </c>
      <c r="Q1796" s="1" t="s">
        <v>569</v>
      </c>
      <c r="R1796" s="93">
        <v>92671.87</v>
      </c>
      <c r="S1796">
        <v>27801.57</v>
      </c>
      <c r="T1796">
        <v>0</v>
      </c>
      <c r="U1796" s="1" t="s">
        <v>1015</v>
      </c>
      <c r="V1796" s="1" t="s">
        <v>329</v>
      </c>
      <c r="W1796">
        <v>92671.884999999995</v>
      </c>
      <c r="X1796">
        <v>0</v>
      </c>
      <c r="Y1796">
        <v>74443</v>
      </c>
    </row>
    <row r="1797" spans="1:25" ht="15" hidden="1" customHeight="1" x14ac:dyDescent="0.25">
      <c r="A1797" s="1" t="s">
        <v>31</v>
      </c>
      <c r="B1797" s="1"/>
      <c r="C1797" s="1" t="s">
        <v>159</v>
      </c>
      <c r="D1797">
        <v>10229</v>
      </c>
      <c r="E1797" s="1"/>
      <c r="F1797" s="1" t="s">
        <v>377</v>
      </c>
      <c r="G1797" s="1" t="s">
        <v>1397</v>
      </c>
      <c r="H1797" s="1" t="s">
        <v>1405</v>
      </c>
      <c r="I1797">
        <v>2013</v>
      </c>
      <c r="J1797" s="93">
        <v>25656.45</v>
      </c>
      <c r="K1797">
        <v>13</v>
      </c>
      <c r="L1797" s="1" t="s">
        <v>524</v>
      </c>
      <c r="M1797">
        <v>0</v>
      </c>
      <c r="N1797">
        <v>0</v>
      </c>
      <c r="O1797">
        <v>256564.5</v>
      </c>
      <c r="P1797">
        <v>2</v>
      </c>
      <c r="Q1797" s="1" t="s">
        <v>569</v>
      </c>
      <c r="R1797" s="93">
        <v>25656.45</v>
      </c>
      <c r="S1797">
        <v>12032.88</v>
      </c>
      <c r="T1797">
        <v>1</v>
      </c>
      <c r="U1797" s="1"/>
      <c r="V1797" s="1"/>
      <c r="W1797">
        <v>25656.439409999999</v>
      </c>
      <c r="X1797">
        <v>0</v>
      </c>
      <c r="Y1797">
        <v>77492</v>
      </c>
    </row>
    <row r="1798" spans="1:25" ht="15" hidden="1" customHeight="1" x14ac:dyDescent="0.25">
      <c r="A1798" s="1" t="s">
        <v>31</v>
      </c>
      <c r="B1798" s="1" t="s">
        <v>66</v>
      </c>
      <c r="C1798" s="1" t="s">
        <v>156</v>
      </c>
      <c r="D1798">
        <v>5467</v>
      </c>
      <c r="E1798" s="1"/>
      <c r="F1798" s="1" t="s">
        <v>287</v>
      </c>
      <c r="G1798" s="1" t="s">
        <v>156</v>
      </c>
      <c r="H1798" s="1" t="s">
        <v>1405</v>
      </c>
      <c r="I1798">
        <v>2012</v>
      </c>
      <c r="J1798" s="93">
        <v>263158.5</v>
      </c>
      <c r="K1798">
        <v>12</v>
      </c>
      <c r="L1798" s="1" t="s">
        <v>429</v>
      </c>
      <c r="M1798">
        <v>0</v>
      </c>
      <c r="N1798">
        <v>6415</v>
      </c>
      <c r="O1798">
        <v>41.021729000000001</v>
      </c>
      <c r="P1798">
        <v>2</v>
      </c>
      <c r="Q1798" s="1" t="s">
        <v>569</v>
      </c>
      <c r="R1798" s="93">
        <v>263158.5</v>
      </c>
      <c r="S1798">
        <v>105263.4</v>
      </c>
      <c r="T1798">
        <v>0</v>
      </c>
      <c r="U1798" s="1" t="s">
        <v>1012</v>
      </c>
      <c r="V1798" s="1" t="s">
        <v>1291</v>
      </c>
      <c r="W1798">
        <v>263158.5</v>
      </c>
      <c r="X1798">
        <v>0</v>
      </c>
      <c r="Y1798">
        <v>57798</v>
      </c>
    </row>
    <row r="1799" spans="1:25" ht="15" hidden="1" customHeight="1" x14ac:dyDescent="0.25">
      <c r="A1799" s="1" t="s">
        <v>31</v>
      </c>
      <c r="B1799" s="1" t="s">
        <v>66</v>
      </c>
      <c r="C1799" s="1" t="s">
        <v>156</v>
      </c>
      <c r="D1799">
        <v>5467</v>
      </c>
      <c r="E1799" s="1"/>
      <c r="F1799" s="1" t="s">
        <v>287</v>
      </c>
      <c r="G1799" s="1" t="s">
        <v>156</v>
      </c>
      <c r="H1799" s="1" t="s">
        <v>1405</v>
      </c>
      <c r="I1799">
        <v>2011</v>
      </c>
      <c r="J1799" s="93">
        <v>252452.75</v>
      </c>
      <c r="K1799">
        <v>12</v>
      </c>
      <c r="L1799" s="1" t="s">
        <v>429</v>
      </c>
      <c r="M1799">
        <v>0</v>
      </c>
      <c r="N1799">
        <v>6415</v>
      </c>
      <c r="O1799">
        <v>39.352893000000002</v>
      </c>
      <c r="P1799">
        <v>2</v>
      </c>
      <c r="Q1799" s="1" t="s">
        <v>569</v>
      </c>
      <c r="R1799" s="93">
        <v>252452.75</v>
      </c>
      <c r="S1799">
        <v>118400.34</v>
      </c>
      <c r="T1799">
        <v>0</v>
      </c>
      <c r="U1799" s="1" t="s">
        <v>1012</v>
      </c>
      <c r="V1799" s="1" t="s">
        <v>1291</v>
      </c>
      <c r="W1799">
        <v>252452.75</v>
      </c>
      <c r="X1799">
        <v>0</v>
      </c>
      <c r="Y1799">
        <v>57798</v>
      </c>
    </row>
    <row r="1800" spans="1:25" ht="15" hidden="1" customHeight="1" x14ac:dyDescent="0.25">
      <c r="A1800" s="1" t="s">
        <v>31</v>
      </c>
      <c r="B1800" s="1" t="s">
        <v>66</v>
      </c>
      <c r="C1800" s="1" t="s">
        <v>156</v>
      </c>
      <c r="D1800">
        <v>5467</v>
      </c>
      <c r="E1800" s="1"/>
      <c r="F1800" s="1" t="s">
        <v>287</v>
      </c>
      <c r="G1800" s="1" t="s">
        <v>156</v>
      </c>
      <c r="H1800" s="1" t="s">
        <v>1405</v>
      </c>
      <c r="I1800">
        <v>2010</v>
      </c>
      <c r="J1800" s="93">
        <v>229091.4</v>
      </c>
      <c r="K1800">
        <v>12</v>
      </c>
      <c r="L1800" s="1" t="s">
        <v>429</v>
      </c>
      <c r="M1800">
        <v>0</v>
      </c>
      <c r="N1800">
        <v>6415</v>
      </c>
      <c r="O1800">
        <v>35.711274000000003</v>
      </c>
      <c r="P1800">
        <v>2</v>
      </c>
      <c r="Q1800" s="1" t="s">
        <v>569</v>
      </c>
      <c r="R1800" s="93">
        <v>229091.4</v>
      </c>
      <c r="S1800">
        <v>107443.87</v>
      </c>
      <c r="T1800">
        <v>0</v>
      </c>
      <c r="U1800" s="1" t="s">
        <v>1012</v>
      </c>
      <c r="V1800" s="1" t="s">
        <v>1291</v>
      </c>
      <c r="W1800">
        <v>229091.4</v>
      </c>
      <c r="X1800">
        <v>0</v>
      </c>
      <c r="Y1800">
        <v>57798</v>
      </c>
    </row>
    <row r="1801" spans="1:25" ht="15" hidden="1" customHeight="1" x14ac:dyDescent="0.25">
      <c r="A1801" s="1" t="s">
        <v>31</v>
      </c>
      <c r="B1801" s="1" t="s">
        <v>66</v>
      </c>
      <c r="C1801" s="1" t="s">
        <v>156</v>
      </c>
      <c r="D1801">
        <v>5467</v>
      </c>
      <c r="E1801" s="1"/>
      <c r="F1801" s="1" t="s">
        <v>287</v>
      </c>
      <c r="G1801" s="1" t="s">
        <v>156</v>
      </c>
      <c r="H1801" s="1" t="s">
        <v>1405</v>
      </c>
      <c r="I1801">
        <v>2009</v>
      </c>
      <c r="J1801" s="93">
        <v>188340</v>
      </c>
      <c r="K1801">
        <v>12</v>
      </c>
      <c r="L1801" s="1" t="s">
        <v>429</v>
      </c>
      <c r="M1801">
        <v>0</v>
      </c>
      <c r="N1801">
        <v>6415</v>
      </c>
      <c r="O1801">
        <v>29.358855999999999</v>
      </c>
      <c r="P1801">
        <v>2</v>
      </c>
      <c r="Q1801" s="1" t="s">
        <v>569</v>
      </c>
      <c r="R1801" s="93">
        <v>188340</v>
      </c>
      <c r="S1801">
        <v>88331.47</v>
      </c>
      <c r="T1801">
        <v>0</v>
      </c>
      <c r="U1801" s="1" t="s">
        <v>1012</v>
      </c>
      <c r="V1801" s="1" t="s">
        <v>1291</v>
      </c>
      <c r="W1801">
        <v>188340</v>
      </c>
      <c r="X1801">
        <v>0</v>
      </c>
      <c r="Y1801">
        <v>57798</v>
      </c>
    </row>
    <row r="1802" spans="1:25" ht="15" hidden="1" customHeight="1" x14ac:dyDescent="0.25">
      <c r="A1802" s="1" t="s">
        <v>31</v>
      </c>
      <c r="B1802" s="1" t="s">
        <v>66</v>
      </c>
      <c r="C1802" s="1" t="s">
        <v>156</v>
      </c>
      <c r="D1802">
        <v>5467</v>
      </c>
      <c r="E1802" s="1"/>
      <c r="F1802" s="1" t="s">
        <v>287</v>
      </c>
      <c r="G1802" s="1" t="s">
        <v>156</v>
      </c>
      <c r="H1802" s="1" t="s">
        <v>1405</v>
      </c>
      <c r="I1802">
        <v>2008</v>
      </c>
      <c r="J1802" s="93">
        <v>199339.65</v>
      </c>
      <c r="K1802">
        <v>12</v>
      </c>
      <c r="L1802" s="1" t="s">
        <v>429</v>
      </c>
      <c r="M1802">
        <v>0</v>
      </c>
      <c r="N1802">
        <v>6415</v>
      </c>
      <c r="O1802">
        <v>31.073505999999998</v>
      </c>
      <c r="P1802">
        <v>2</v>
      </c>
      <c r="Q1802" s="1" t="s">
        <v>569</v>
      </c>
      <c r="R1802" s="93">
        <v>199339.65</v>
      </c>
      <c r="S1802">
        <v>93490.31</v>
      </c>
      <c r="T1802">
        <v>0</v>
      </c>
      <c r="U1802" s="1" t="s">
        <v>1012</v>
      </c>
      <c r="V1802" s="1" t="s">
        <v>1291</v>
      </c>
      <c r="W1802">
        <v>199339.65</v>
      </c>
      <c r="X1802">
        <v>0</v>
      </c>
      <c r="Y1802">
        <v>57798</v>
      </c>
    </row>
    <row r="1803" spans="1:25" ht="15" hidden="1" customHeight="1" x14ac:dyDescent="0.25">
      <c r="A1803" s="1" t="s">
        <v>31</v>
      </c>
      <c r="B1803" s="1"/>
      <c r="C1803" s="1" t="s">
        <v>159</v>
      </c>
      <c r="D1803">
        <v>9522</v>
      </c>
      <c r="E1803" s="1"/>
      <c r="F1803" s="1" t="s">
        <v>292</v>
      </c>
      <c r="G1803" s="1" t="s">
        <v>1397</v>
      </c>
      <c r="H1803" s="1" t="s">
        <v>1405</v>
      </c>
      <c r="I1803">
        <v>2013</v>
      </c>
      <c r="J1803" s="93">
        <v>321521.27</v>
      </c>
      <c r="K1803">
        <v>12</v>
      </c>
      <c r="L1803" s="1"/>
      <c r="M1803">
        <v>0</v>
      </c>
      <c r="N1803">
        <v>5224</v>
      </c>
      <c r="O1803">
        <v>61.545771999999999</v>
      </c>
      <c r="P1803">
        <v>2</v>
      </c>
      <c r="Q1803" s="1" t="s">
        <v>569</v>
      </c>
      <c r="R1803" s="93">
        <v>321521.27</v>
      </c>
      <c r="S1803">
        <v>96456.39</v>
      </c>
      <c r="T1803">
        <v>0</v>
      </c>
      <c r="U1803" s="1"/>
      <c r="V1803" s="1" t="s">
        <v>1294</v>
      </c>
      <c r="W1803">
        <v>321521.27</v>
      </c>
      <c r="X1803">
        <v>0</v>
      </c>
      <c r="Y1803">
        <v>74447</v>
      </c>
    </row>
    <row r="1804" spans="1:25" ht="15" hidden="1" customHeight="1" x14ac:dyDescent="0.25">
      <c r="A1804" s="1" t="s">
        <v>31</v>
      </c>
      <c r="B1804" s="1" t="s">
        <v>66</v>
      </c>
      <c r="C1804" s="1" t="s">
        <v>156</v>
      </c>
      <c r="D1804">
        <v>5467</v>
      </c>
      <c r="E1804" s="1"/>
      <c r="F1804" s="1" t="s">
        <v>287</v>
      </c>
      <c r="G1804" s="1" t="s">
        <v>156</v>
      </c>
      <c r="H1804" s="1" t="s">
        <v>1405</v>
      </c>
      <c r="I1804">
        <v>2014</v>
      </c>
      <c r="J1804" s="93">
        <v>241046.39999999999</v>
      </c>
      <c r="K1804">
        <v>12</v>
      </c>
      <c r="L1804" s="1" t="s">
        <v>429</v>
      </c>
      <c r="M1804">
        <v>0</v>
      </c>
      <c r="N1804">
        <v>6415</v>
      </c>
      <c r="O1804">
        <v>37.574846000000001</v>
      </c>
      <c r="P1804">
        <v>2</v>
      </c>
      <c r="Q1804" s="1" t="s">
        <v>569</v>
      </c>
      <c r="S1804">
        <v>96418.559999999998</v>
      </c>
      <c r="T1804">
        <v>0</v>
      </c>
      <c r="U1804" s="1" t="s">
        <v>1012</v>
      </c>
      <c r="V1804" s="1" t="s">
        <v>1291</v>
      </c>
      <c r="W1804">
        <v>241046.39999999999</v>
      </c>
      <c r="X1804">
        <v>0</v>
      </c>
      <c r="Y1804">
        <v>57798</v>
      </c>
    </row>
    <row r="1805" spans="1:25" ht="15" hidden="1" customHeight="1" x14ac:dyDescent="0.25">
      <c r="A1805" s="1" t="s">
        <v>31</v>
      </c>
      <c r="B1805" s="1" t="s">
        <v>66</v>
      </c>
      <c r="C1805" s="1" t="s">
        <v>156</v>
      </c>
      <c r="D1805">
        <v>14135</v>
      </c>
      <c r="E1805" s="1" t="s">
        <v>243</v>
      </c>
      <c r="F1805" s="1" t="s">
        <v>288</v>
      </c>
      <c r="G1805" s="1" t="s">
        <v>156</v>
      </c>
      <c r="H1805" s="1" t="s">
        <v>1405</v>
      </c>
      <c r="I1805">
        <v>2012</v>
      </c>
      <c r="J1805" s="93">
        <v>138866.85</v>
      </c>
      <c r="K1805">
        <v>12</v>
      </c>
      <c r="L1805" s="1" t="s">
        <v>429</v>
      </c>
      <c r="M1805">
        <v>0</v>
      </c>
      <c r="N1805">
        <v>3594</v>
      </c>
      <c r="O1805">
        <v>38.637447000000002</v>
      </c>
      <c r="P1805">
        <v>2</v>
      </c>
      <c r="Q1805" s="1" t="s">
        <v>569</v>
      </c>
      <c r="R1805" s="93">
        <v>138866.85</v>
      </c>
      <c r="S1805">
        <v>55546.74</v>
      </c>
      <c r="T1805">
        <v>0</v>
      </c>
      <c r="U1805" s="1" t="s">
        <v>1013</v>
      </c>
      <c r="V1805" s="1" t="s">
        <v>1292</v>
      </c>
      <c r="W1805">
        <v>138866.85</v>
      </c>
      <c r="X1805">
        <v>0</v>
      </c>
      <c r="Y1805">
        <v>57799</v>
      </c>
    </row>
    <row r="1806" spans="1:25" ht="15" hidden="1" customHeight="1" x14ac:dyDescent="0.25">
      <c r="A1806" s="1" t="s">
        <v>31</v>
      </c>
      <c r="B1806" s="1" t="s">
        <v>66</v>
      </c>
      <c r="C1806" s="1" t="s">
        <v>156</v>
      </c>
      <c r="D1806">
        <v>14135</v>
      </c>
      <c r="E1806" s="1" t="s">
        <v>243</v>
      </c>
      <c r="F1806" s="1" t="s">
        <v>288</v>
      </c>
      <c r="G1806" s="1" t="s">
        <v>156</v>
      </c>
      <c r="H1806" s="1" t="s">
        <v>1405</v>
      </c>
      <c r="I1806">
        <v>2011</v>
      </c>
      <c r="J1806" s="93">
        <v>122987.65</v>
      </c>
      <c r="K1806">
        <v>12</v>
      </c>
      <c r="L1806" s="1" t="s">
        <v>429</v>
      </c>
      <c r="M1806">
        <v>0</v>
      </c>
      <c r="N1806">
        <v>3594</v>
      </c>
      <c r="O1806">
        <v>34.219316999999997</v>
      </c>
      <c r="P1806">
        <v>2</v>
      </c>
      <c r="Q1806" s="1" t="s">
        <v>569</v>
      </c>
      <c r="R1806" s="93">
        <v>122987.65</v>
      </c>
      <c r="S1806">
        <v>57681.22</v>
      </c>
      <c r="T1806">
        <v>0</v>
      </c>
      <c r="U1806" s="1" t="s">
        <v>1013</v>
      </c>
      <c r="V1806" s="1" t="s">
        <v>1292</v>
      </c>
      <c r="W1806">
        <v>122987.64982000001</v>
      </c>
      <c r="X1806">
        <v>0</v>
      </c>
      <c r="Y1806">
        <v>57799</v>
      </c>
    </row>
    <row r="1807" spans="1:25" ht="15" hidden="1" customHeight="1" x14ac:dyDescent="0.25">
      <c r="A1807" s="1" t="s">
        <v>31</v>
      </c>
      <c r="B1807" s="1" t="s">
        <v>66</v>
      </c>
      <c r="C1807" s="1" t="s">
        <v>156</v>
      </c>
      <c r="D1807">
        <v>14135</v>
      </c>
      <c r="E1807" s="1" t="s">
        <v>243</v>
      </c>
      <c r="F1807" s="1" t="s">
        <v>288</v>
      </c>
      <c r="G1807" s="1" t="s">
        <v>156</v>
      </c>
      <c r="H1807" s="1" t="s">
        <v>1405</v>
      </c>
      <c r="I1807">
        <v>2010</v>
      </c>
      <c r="J1807" s="93">
        <v>131770.29999999999</v>
      </c>
      <c r="K1807">
        <v>12</v>
      </c>
      <c r="L1807" s="1" t="s">
        <v>429</v>
      </c>
      <c r="M1807">
        <v>0</v>
      </c>
      <c r="N1807">
        <v>3594</v>
      </c>
      <c r="O1807">
        <v>36.662947000000003</v>
      </c>
      <c r="P1807">
        <v>2</v>
      </c>
      <c r="Q1807" s="1" t="s">
        <v>569</v>
      </c>
      <c r="R1807" s="93">
        <v>131770.29999999999</v>
      </c>
      <c r="S1807">
        <v>61800.27</v>
      </c>
      <c r="T1807">
        <v>0</v>
      </c>
      <c r="U1807" s="1" t="s">
        <v>1013</v>
      </c>
      <c r="V1807" s="1" t="s">
        <v>1292</v>
      </c>
      <c r="W1807">
        <v>131770.29999999999</v>
      </c>
      <c r="X1807">
        <v>0</v>
      </c>
      <c r="Y1807">
        <v>57799</v>
      </c>
    </row>
    <row r="1808" spans="1:25" ht="15" hidden="1" customHeight="1" x14ac:dyDescent="0.25">
      <c r="A1808" s="1" t="s">
        <v>31</v>
      </c>
      <c r="B1808" s="1" t="s">
        <v>66</v>
      </c>
      <c r="C1808" s="1" t="s">
        <v>156</v>
      </c>
      <c r="D1808">
        <v>14135</v>
      </c>
      <c r="E1808" s="1" t="s">
        <v>243</v>
      </c>
      <c r="F1808" s="1" t="s">
        <v>288</v>
      </c>
      <c r="G1808" s="1" t="s">
        <v>156</v>
      </c>
      <c r="H1808" s="1" t="s">
        <v>1405</v>
      </c>
      <c r="I1808">
        <v>2009</v>
      </c>
      <c r="J1808" s="93">
        <v>127228.05</v>
      </c>
      <c r="K1808">
        <v>12</v>
      </c>
      <c r="L1808" s="1" t="s">
        <v>429</v>
      </c>
      <c r="M1808">
        <v>0</v>
      </c>
      <c r="N1808">
        <v>3594</v>
      </c>
      <c r="O1808">
        <v>35.399140000000003</v>
      </c>
      <c r="P1808">
        <v>2</v>
      </c>
      <c r="Q1808" s="1" t="s">
        <v>569</v>
      </c>
      <c r="R1808" s="93">
        <v>127228.05</v>
      </c>
      <c r="S1808">
        <v>59669.96</v>
      </c>
      <c r="T1808">
        <v>0</v>
      </c>
      <c r="U1808" s="1" t="s">
        <v>1013</v>
      </c>
      <c r="V1808" s="1" t="s">
        <v>1292</v>
      </c>
      <c r="W1808">
        <v>127228.05</v>
      </c>
      <c r="X1808">
        <v>0</v>
      </c>
      <c r="Y1808">
        <v>57799</v>
      </c>
    </row>
    <row r="1809" spans="1:25" ht="15" hidden="1" customHeight="1" x14ac:dyDescent="0.25">
      <c r="A1809" s="1" t="s">
        <v>31</v>
      </c>
      <c r="B1809" s="1" t="s">
        <v>66</v>
      </c>
      <c r="C1809" s="1" t="s">
        <v>156</v>
      </c>
      <c r="D1809">
        <v>14135</v>
      </c>
      <c r="E1809" s="1" t="s">
        <v>243</v>
      </c>
      <c r="F1809" s="1" t="s">
        <v>288</v>
      </c>
      <c r="G1809" s="1" t="s">
        <v>156</v>
      </c>
      <c r="H1809" s="1" t="s">
        <v>1405</v>
      </c>
      <c r="I1809">
        <v>2008</v>
      </c>
      <c r="J1809" s="93">
        <v>128382.35</v>
      </c>
      <c r="K1809">
        <v>12</v>
      </c>
      <c r="L1809" s="1" t="s">
        <v>429</v>
      </c>
      <c r="M1809">
        <v>0</v>
      </c>
      <c r="N1809">
        <v>3594</v>
      </c>
      <c r="O1809">
        <v>35.720305000000003</v>
      </c>
      <c r="P1809">
        <v>2</v>
      </c>
      <c r="Q1809" s="1" t="s">
        <v>569</v>
      </c>
      <c r="R1809" s="93">
        <v>128382.35</v>
      </c>
      <c r="S1809">
        <v>60211.34</v>
      </c>
      <c r="T1809">
        <v>0</v>
      </c>
      <c r="U1809" s="1" t="s">
        <v>1013</v>
      </c>
      <c r="V1809" s="1" t="s">
        <v>1292</v>
      </c>
      <c r="W1809">
        <v>128382.35</v>
      </c>
      <c r="X1809">
        <v>0</v>
      </c>
      <c r="Y1809">
        <v>57799</v>
      </c>
    </row>
    <row r="1810" spans="1:25" ht="15" hidden="1" customHeight="1" x14ac:dyDescent="0.25">
      <c r="A1810" s="1" t="s">
        <v>31</v>
      </c>
      <c r="B1810" s="1" t="s">
        <v>66</v>
      </c>
      <c r="C1810" s="1" t="s">
        <v>156</v>
      </c>
      <c r="D1810">
        <v>14135</v>
      </c>
      <c r="E1810" s="1" t="s">
        <v>243</v>
      </c>
      <c r="F1810" s="1" t="s">
        <v>288</v>
      </c>
      <c r="G1810" s="1" t="s">
        <v>156</v>
      </c>
      <c r="H1810" s="1" t="s">
        <v>1405</v>
      </c>
      <c r="I1810">
        <v>2014</v>
      </c>
      <c r="J1810" s="93">
        <v>117833.34</v>
      </c>
      <c r="K1810">
        <v>12</v>
      </c>
      <c r="L1810" s="1" t="s">
        <v>429</v>
      </c>
      <c r="M1810">
        <v>0</v>
      </c>
      <c r="N1810">
        <v>3594</v>
      </c>
      <c r="O1810">
        <v>32.785214000000003</v>
      </c>
      <c r="P1810">
        <v>2</v>
      </c>
      <c r="Q1810" s="1" t="s">
        <v>569</v>
      </c>
      <c r="S1810">
        <v>47133.33</v>
      </c>
      <c r="T1810">
        <v>0</v>
      </c>
      <c r="U1810" s="1" t="s">
        <v>1013</v>
      </c>
      <c r="V1810" s="1" t="s">
        <v>1292</v>
      </c>
      <c r="W1810">
        <v>117833.353</v>
      </c>
      <c r="X1810">
        <v>0</v>
      </c>
      <c r="Y1810">
        <v>57799</v>
      </c>
    </row>
    <row r="1811" spans="1:25" ht="15" customHeight="1" x14ac:dyDescent="0.25">
      <c r="A1811" s="1" t="s">
        <v>31</v>
      </c>
      <c r="B1811" s="1"/>
      <c r="C1811" s="1" t="s">
        <v>157</v>
      </c>
      <c r="D1811">
        <v>10324</v>
      </c>
      <c r="E1811" s="1"/>
      <c r="F1811" s="1" t="s">
        <v>289</v>
      </c>
      <c r="G1811" s="1" t="s">
        <v>157</v>
      </c>
      <c r="H1811" s="1" t="s">
        <v>1405</v>
      </c>
      <c r="I1811">
        <v>2014</v>
      </c>
      <c r="J1811" s="93">
        <v>52700.03</v>
      </c>
      <c r="K1811">
        <v>12</v>
      </c>
      <c r="L1811" s="1"/>
      <c r="M1811">
        <v>0</v>
      </c>
      <c r="N1811">
        <v>2027</v>
      </c>
      <c r="O1811">
        <v>25.997744999999998</v>
      </c>
      <c r="P1811">
        <v>2</v>
      </c>
      <c r="Q1811" s="1" t="s">
        <v>569</v>
      </c>
      <c r="S1811">
        <v>15810.01</v>
      </c>
      <c r="T1811">
        <v>0</v>
      </c>
      <c r="U1811" s="1"/>
      <c r="V1811" s="1" t="s">
        <v>1293</v>
      </c>
      <c r="W1811">
        <v>52700.031999999999</v>
      </c>
      <c r="X1811">
        <v>0</v>
      </c>
      <c r="Y1811">
        <v>77832</v>
      </c>
    </row>
    <row r="1812" spans="1:25" ht="15" hidden="1" customHeight="1" x14ac:dyDescent="0.25">
      <c r="A1812" s="1" t="s">
        <v>31</v>
      </c>
      <c r="B1812" s="1"/>
      <c r="C1812" s="1" t="s">
        <v>157</v>
      </c>
      <c r="D1812">
        <v>10324</v>
      </c>
      <c r="E1812" s="1"/>
      <c r="F1812" s="1" t="s">
        <v>289</v>
      </c>
      <c r="G1812" s="1" t="s">
        <v>157</v>
      </c>
      <c r="H1812" s="1" t="s">
        <v>1405</v>
      </c>
      <c r="I1812">
        <v>2012</v>
      </c>
      <c r="J1812" s="93">
        <v>57626.19</v>
      </c>
      <c r="K1812">
        <v>12</v>
      </c>
      <c r="L1812" s="1"/>
      <c r="M1812">
        <v>0</v>
      </c>
      <c r="N1812">
        <v>2027</v>
      </c>
      <c r="O1812">
        <v>28.427896</v>
      </c>
      <c r="P1812">
        <v>2</v>
      </c>
      <c r="Q1812" s="1" t="s">
        <v>569</v>
      </c>
      <c r="R1812" s="93">
        <v>57626.19</v>
      </c>
      <c r="S1812">
        <v>23050.49</v>
      </c>
      <c r="T1812">
        <v>0</v>
      </c>
      <c r="U1812" s="1"/>
      <c r="V1812" s="1" t="s">
        <v>1293</v>
      </c>
      <c r="W1812">
        <v>57626.188999999998</v>
      </c>
      <c r="X1812">
        <v>0</v>
      </c>
      <c r="Y1812">
        <v>77832</v>
      </c>
    </row>
    <row r="1813" spans="1:25" ht="15" hidden="1" customHeight="1" x14ac:dyDescent="0.25">
      <c r="A1813" s="1" t="s">
        <v>31</v>
      </c>
      <c r="B1813" s="1"/>
      <c r="C1813" s="1" t="s">
        <v>157</v>
      </c>
      <c r="D1813">
        <v>10324</v>
      </c>
      <c r="E1813" s="1"/>
      <c r="F1813" s="1" t="s">
        <v>289</v>
      </c>
      <c r="G1813" s="1" t="s">
        <v>157</v>
      </c>
      <c r="H1813" s="1" t="s">
        <v>1405</v>
      </c>
      <c r="I1813">
        <v>2011</v>
      </c>
      <c r="J1813" s="93">
        <v>58042.13</v>
      </c>
      <c r="K1813">
        <v>12</v>
      </c>
      <c r="L1813" s="1"/>
      <c r="M1813">
        <v>0</v>
      </c>
      <c r="N1813">
        <v>2027</v>
      </c>
      <c r="O1813">
        <v>28.633085999999999</v>
      </c>
      <c r="P1813">
        <v>2</v>
      </c>
      <c r="Q1813" s="1" t="s">
        <v>569</v>
      </c>
      <c r="R1813" s="93">
        <v>58042.13</v>
      </c>
      <c r="S1813">
        <v>27221.75</v>
      </c>
      <c r="T1813">
        <v>0</v>
      </c>
      <c r="U1813" s="1"/>
      <c r="V1813" s="1" t="s">
        <v>1293</v>
      </c>
      <c r="W1813">
        <v>58042.125</v>
      </c>
      <c r="X1813">
        <v>0</v>
      </c>
      <c r="Y1813">
        <v>77832</v>
      </c>
    </row>
    <row r="1814" spans="1:25" ht="15" hidden="1" customHeight="1" x14ac:dyDescent="0.25">
      <c r="A1814" s="1" t="s">
        <v>31</v>
      </c>
      <c r="B1814" s="1"/>
      <c r="C1814" s="1" t="s">
        <v>157</v>
      </c>
      <c r="D1814">
        <v>10324</v>
      </c>
      <c r="E1814" s="1"/>
      <c r="F1814" s="1" t="s">
        <v>289</v>
      </c>
      <c r="G1814" s="1" t="s">
        <v>157</v>
      </c>
      <c r="H1814" s="1" t="s">
        <v>1405</v>
      </c>
      <c r="I1814">
        <v>2010</v>
      </c>
      <c r="J1814" s="93">
        <v>83685.899999999994</v>
      </c>
      <c r="K1814">
        <v>12</v>
      </c>
      <c r="L1814" s="1"/>
      <c r="M1814">
        <v>0</v>
      </c>
      <c r="N1814">
        <v>2027</v>
      </c>
      <c r="O1814">
        <v>41.283557000000002</v>
      </c>
      <c r="P1814">
        <v>2</v>
      </c>
      <c r="Q1814" s="1" t="s">
        <v>569</v>
      </c>
      <c r="R1814" s="93">
        <v>83685.899999999994</v>
      </c>
      <c r="S1814">
        <v>39248.69</v>
      </c>
      <c r="T1814">
        <v>0</v>
      </c>
      <c r="U1814" s="1"/>
      <c r="V1814" s="1" t="s">
        <v>1293</v>
      </c>
      <c r="W1814">
        <v>83685.907999999996</v>
      </c>
      <c r="X1814">
        <v>0</v>
      </c>
      <c r="Y1814">
        <v>77832</v>
      </c>
    </row>
    <row r="1815" spans="1:25" ht="15" hidden="1" customHeight="1" x14ac:dyDescent="0.25">
      <c r="A1815" s="1" t="s">
        <v>31</v>
      </c>
      <c r="B1815" s="1"/>
      <c r="C1815" s="1" t="s">
        <v>157</v>
      </c>
      <c r="D1815">
        <v>10324</v>
      </c>
      <c r="E1815" s="1"/>
      <c r="F1815" s="1" t="s">
        <v>289</v>
      </c>
      <c r="G1815" s="1" t="s">
        <v>157</v>
      </c>
      <c r="H1815" s="1" t="s">
        <v>1405</v>
      </c>
      <c r="I1815">
        <v>2009</v>
      </c>
      <c r="J1815" s="93">
        <v>84893.1</v>
      </c>
      <c r="K1815">
        <v>12</v>
      </c>
      <c r="L1815" s="1"/>
      <c r="M1815">
        <v>0</v>
      </c>
      <c r="N1815">
        <v>2027</v>
      </c>
      <c r="O1815">
        <v>41.879088000000003</v>
      </c>
      <c r="P1815">
        <v>2</v>
      </c>
      <c r="Q1815" s="1" t="s">
        <v>569</v>
      </c>
      <c r="R1815" s="93">
        <v>84893.1</v>
      </c>
      <c r="S1815">
        <v>39814.870000000003</v>
      </c>
      <c r="T1815">
        <v>0</v>
      </c>
      <c r="U1815" s="1"/>
      <c r="V1815" s="1" t="s">
        <v>1293</v>
      </c>
      <c r="W1815">
        <v>84893.099000000002</v>
      </c>
      <c r="X1815">
        <v>0</v>
      </c>
      <c r="Y1815">
        <v>77832</v>
      </c>
    </row>
    <row r="1816" spans="1:25" ht="15" hidden="1" customHeight="1" x14ac:dyDescent="0.25">
      <c r="A1816" s="1" t="s">
        <v>31</v>
      </c>
      <c r="B1816" s="1"/>
      <c r="C1816" s="1" t="s">
        <v>157</v>
      </c>
      <c r="D1816">
        <v>10324</v>
      </c>
      <c r="E1816" s="1"/>
      <c r="F1816" s="1" t="s">
        <v>289</v>
      </c>
      <c r="G1816" s="1" t="s">
        <v>157</v>
      </c>
      <c r="H1816" s="1" t="s">
        <v>1405</v>
      </c>
      <c r="I1816">
        <v>2008</v>
      </c>
      <c r="J1816" s="93">
        <v>27368.25</v>
      </c>
      <c r="K1816">
        <v>4</v>
      </c>
      <c r="L1816" s="1" t="s">
        <v>513</v>
      </c>
      <c r="M1816">
        <v>0</v>
      </c>
      <c r="N1816">
        <v>2027</v>
      </c>
      <c r="O1816">
        <v>13.501182999999999</v>
      </c>
      <c r="P1816">
        <v>2</v>
      </c>
      <c r="Q1816" s="1" t="s">
        <v>569</v>
      </c>
      <c r="R1816" s="93">
        <v>27368.25</v>
      </c>
      <c r="S1816">
        <v>12835.7</v>
      </c>
      <c r="T1816">
        <v>0</v>
      </c>
      <c r="U1816" s="1" t="s">
        <v>1014</v>
      </c>
      <c r="V1816" s="1"/>
      <c r="W1816">
        <v>27368.25806</v>
      </c>
      <c r="X1816">
        <v>0</v>
      </c>
      <c r="Y1816">
        <v>77896</v>
      </c>
    </row>
    <row r="1817" spans="1:25" ht="15" hidden="1" customHeight="1" x14ac:dyDescent="0.25">
      <c r="A1817" s="1" t="s">
        <v>31</v>
      </c>
      <c r="B1817" s="1"/>
      <c r="C1817" s="1" t="s">
        <v>157</v>
      </c>
      <c r="D1817">
        <v>10324</v>
      </c>
      <c r="E1817" s="1"/>
      <c r="F1817" s="1" t="s">
        <v>289</v>
      </c>
      <c r="G1817" s="1" t="s">
        <v>157</v>
      </c>
      <c r="H1817" s="1" t="s">
        <v>1405</v>
      </c>
      <c r="I1817">
        <v>2008</v>
      </c>
      <c r="J1817" s="93">
        <v>54714.400000000001</v>
      </c>
      <c r="K1817">
        <v>12</v>
      </c>
      <c r="L1817" s="1"/>
      <c r="M1817">
        <v>0</v>
      </c>
      <c r="N1817">
        <v>2027</v>
      </c>
      <c r="O1817">
        <v>26.991465000000002</v>
      </c>
      <c r="P1817">
        <v>2</v>
      </c>
      <c r="Q1817" s="1" t="s">
        <v>569</v>
      </c>
      <c r="R1817" s="93">
        <v>54714.400000000001</v>
      </c>
      <c r="S1817">
        <v>25661.05</v>
      </c>
      <c r="T1817">
        <v>0</v>
      </c>
      <c r="U1817" s="1"/>
      <c r="V1817" s="1" t="s">
        <v>1293</v>
      </c>
      <c r="W1817">
        <v>54714.377999999997</v>
      </c>
      <c r="X1817">
        <v>0</v>
      </c>
      <c r="Y1817">
        <v>77832</v>
      </c>
    </row>
    <row r="1818" spans="1:25" ht="15" hidden="1" customHeight="1" x14ac:dyDescent="0.25">
      <c r="A1818" s="1" t="s">
        <v>31</v>
      </c>
      <c r="B1818" s="1"/>
      <c r="C1818" s="1" t="s">
        <v>158</v>
      </c>
      <c r="D1818">
        <v>9521</v>
      </c>
      <c r="E1818" s="1"/>
      <c r="F1818" s="1" t="s">
        <v>290</v>
      </c>
      <c r="G1818" s="1" t="s">
        <v>158</v>
      </c>
      <c r="H1818" s="1" t="s">
        <v>1405</v>
      </c>
      <c r="I1818">
        <v>2014</v>
      </c>
      <c r="J1818" s="93">
        <v>94992.66</v>
      </c>
      <c r="K1818">
        <v>12</v>
      </c>
      <c r="L1818" s="1"/>
      <c r="M1818">
        <v>0</v>
      </c>
      <c r="N1818">
        <v>2433</v>
      </c>
      <c r="O1818">
        <v>39.041823000000001</v>
      </c>
      <c r="P1818">
        <v>2</v>
      </c>
      <c r="Q1818" s="1" t="s">
        <v>569</v>
      </c>
      <c r="S1818">
        <v>28497.79</v>
      </c>
      <c r="T1818">
        <v>0</v>
      </c>
      <c r="U1818" s="1" t="s">
        <v>1015</v>
      </c>
      <c r="V1818" s="1" t="s">
        <v>329</v>
      </c>
      <c r="W1818">
        <v>94992.683000000005</v>
      </c>
      <c r="X1818">
        <v>0</v>
      </c>
      <c r="Y1818">
        <v>74443</v>
      </c>
    </row>
    <row r="1819" spans="1:25" ht="15" hidden="1" customHeight="1" x14ac:dyDescent="0.25">
      <c r="A1819" s="1" t="s">
        <v>31</v>
      </c>
      <c r="B1819" s="1"/>
      <c r="C1819" s="1" t="s">
        <v>159</v>
      </c>
      <c r="D1819">
        <v>10229</v>
      </c>
      <c r="E1819" s="1"/>
      <c r="F1819" s="1" t="s">
        <v>377</v>
      </c>
      <c r="G1819" s="1" t="s">
        <v>1397</v>
      </c>
      <c r="H1819" s="1" t="s">
        <v>1405</v>
      </c>
      <c r="I1819">
        <v>2014</v>
      </c>
      <c r="J1819" s="93">
        <v>25884.57</v>
      </c>
      <c r="K1819">
        <v>12</v>
      </c>
      <c r="L1819" s="1" t="s">
        <v>524</v>
      </c>
      <c r="M1819">
        <v>0</v>
      </c>
      <c r="N1819">
        <v>0</v>
      </c>
      <c r="O1819">
        <v>258845.7</v>
      </c>
      <c r="P1819">
        <v>2</v>
      </c>
      <c r="Q1819" s="1" t="s">
        <v>569</v>
      </c>
      <c r="S1819">
        <v>12139.86</v>
      </c>
      <c r="T1819">
        <v>1</v>
      </c>
      <c r="U1819" s="1"/>
      <c r="V1819" s="1"/>
      <c r="W1819">
        <v>25884.558799999999</v>
      </c>
      <c r="X1819">
        <v>0</v>
      </c>
      <c r="Y1819">
        <v>77492</v>
      </c>
    </row>
    <row r="1820" spans="1:25" ht="15" hidden="1" customHeight="1" x14ac:dyDescent="0.25">
      <c r="A1820" s="1" t="s">
        <v>31</v>
      </c>
      <c r="B1820" s="1"/>
      <c r="C1820" s="1" t="s">
        <v>158</v>
      </c>
      <c r="D1820">
        <v>9521</v>
      </c>
      <c r="E1820" s="1"/>
      <c r="F1820" s="1" t="s">
        <v>290</v>
      </c>
      <c r="G1820" s="1" t="s">
        <v>158</v>
      </c>
      <c r="H1820" s="1" t="s">
        <v>1405</v>
      </c>
      <c r="I1820">
        <v>2012</v>
      </c>
      <c r="J1820" s="93">
        <v>91579.44</v>
      </c>
      <c r="K1820">
        <v>12</v>
      </c>
      <c r="L1820" s="1"/>
      <c r="M1820">
        <v>0</v>
      </c>
      <c r="N1820">
        <v>2433</v>
      </c>
      <c r="O1820">
        <v>37.638995000000001</v>
      </c>
      <c r="P1820">
        <v>2</v>
      </c>
      <c r="Q1820" s="1" t="s">
        <v>569</v>
      </c>
      <c r="R1820" s="93">
        <v>91579.44</v>
      </c>
      <c r="S1820">
        <v>36631.79</v>
      </c>
      <c r="T1820">
        <v>0</v>
      </c>
      <c r="U1820" s="1" t="s">
        <v>1015</v>
      </c>
      <c r="V1820" s="1" t="s">
        <v>329</v>
      </c>
      <c r="W1820">
        <v>91579.432000000001</v>
      </c>
      <c r="X1820">
        <v>0</v>
      </c>
      <c r="Y1820">
        <v>74443</v>
      </c>
    </row>
    <row r="1821" spans="1:25" ht="15" hidden="1" customHeight="1" x14ac:dyDescent="0.25">
      <c r="A1821" s="1" t="s">
        <v>31</v>
      </c>
      <c r="B1821" s="1"/>
      <c r="C1821" s="1" t="s">
        <v>158</v>
      </c>
      <c r="D1821">
        <v>9521</v>
      </c>
      <c r="E1821" s="1"/>
      <c r="F1821" s="1" t="s">
        <v>290</v>
      </c>
      <c r="G1821" s="1" t="s">
        <v>158</v>
      </c>
      <c r="H1821" s="1" t="s">
        <v>1405</v>
      </c>
      <c r="I1821">
        <v>2011</v>
      </c>
      <c r="J1821" s="93">
        <v>99991.62</v>
      </c>
      <c r="K1821">
        <v>12</v>
      </c>
      <c r="L1821" s="1"/>
      <c r="M1821">
        <v>0</v>
      </c>
      <c r="N1821">
        <v>2433</v>
      </c>
      <c r="O1821">
        <v>41.096387</v>
      </c>
      <c r="P1821">
        <v>2</v>
      </c>
      <c r="Q1821" s="1" t="s">
        <v>569</v>
      </c>
      <c r="R1821" s="93">
        <v>99991.62</v>
      </c>
      <c r="S1821">
        <v>46896.08</v>
      </c>
      <c r="T1821">
        <v>0</v>
      </c>
      <c r="U1821" s="1" t="s">
        <v>1015</v>
      </c>
      <c r="V1821" s="1" t="s">
        <v>329</v>
      </c>
      <c r="W1821">
        <v>99991.626999999993</v>
      </c>
      <c r="X1821">
        <v>0</v>
      </c>
      <c r="Y1821">
        <v>74443</v>
      </c>
    </row>
    <row r="1822" spans="1:25" ht="15" hidden="1" customHeight="1" x14ac:dyDescent="0.25">
      <c r="A1822" s="1" t="s">
        <v>31</v>
      </c>
      <c r="B1822" s="1"/>
      <c r="C1822" s="1" t="s">
        <v>158</v>
      </c>
      <c r="D1822">
        <v>9521</v>
      </c>
      <c r="E1822" s="1"/>
      <c r="F1822" s="1" t="s">
        <v>290</v>
      </c>
      <c r="G1822" s="1" t="s">
        <v>158</v>
      </c>
      <c r="H1822" s="1" t="s">
        <v>1405</v>
      </c>
      <c r="I1822">
        <v>2010</v>
      </c>
      <c r="J1822" s="93">
        <v>96310.02</v>
      </c>
      <c r="K1822">
        <v>12</v>
      </c>
      <c r="L1822" s="1"/>
      <c r="M1822">
        <v>0</v>
      </c>
      <c r="N1822">
        <v>2433</v>
      </c>
      <c r="O1822">
        <v>39.583255000000001</v>
      </c>
      <c r="P1822">
        <v>2</v>
      </c>
      <c r="Q1822" s="1" t="s">
        <v>569</v>
      </c>
      <c r="R1822" s="93">
        <v>96310.02</v>
      </c>
      <c r="S1822">
        <v>45169.4</v>
      </c>
      <c r="T1822">
        <v>0</v>
      </c>
      <c r="U1822" s="1" t="s">
        <v>1015</v>
      </c>
      <c r="V1822" s="1" t="s">
        <v>329</v>
      </c>
      <c r="W1822">
        <v>96310.028999999995</v>
      </c>
      <c r="X1822">
        <v>0</v>
      </c>
      <c r="Y1822">
        <v>74443</v>
      </c>
    </row>
    <row r="1823" spans="1:25" ht="15" hidden="1" customHeight="1" x14ac:dyDescent="0.25">
      <c r="A1823" s="1" t="s">
        <v>31</v>
      </c>
      <c r="B1823" s="1"/>
      <c r="C1823" s="1" t="s">
        <v>158</v>
      </c>
      <c r="D1823">
        <v>9521</v>
      </c>
      <c r="E1823" s="1"/>
      <c r="F1823" s="1" t="s">
        <v>290</v>
      </c>
      <c r="G1823" s="1" t="s">
        <v>158</v>
      </c>
      <c r="H1823" s="1" t="s">
        <v>1405</v>
      </c>
      <c r="I1823">
        <v>2009</v>
      </c>
      <c r="J1823" s="93">
        <v>97723.77</v>
      </c>
      <c r="K1823">
        <v>12</v>
      </c>
      <c r="L1823" s="1"/>
      <c r="M1823">
        <v>0</v>
      </c>
      <c r="N1823">
        <v>2433</v>
      </c>
      <c r="O1823">
        <v>40.164304000000001</v>
      </c>
      <c r="P1823">
        <v>2</v>
      </c>
      <c r="Q1823" s="1" t="s">
        <v>569</v>
      </c>
      <c r="R1823" s="93">
        <v>97723.77</v>
      </c>
      <c r="S1823">
        <v>45832.45</v>
      </c>
      <c r="T1823">
        <v>0</v>
      </c>
      <c r="U1823" s="1" t="s">
        <v>1015</v>
      </c>
      <c r="V1823" s="1" t="s">
        <v>329</v>
      </c>
      <c r="W1823">
        <v>97723.778000000006</v>
      </c>
      <c r="X1823">
        <v>0</v>
      </c>
      <c r="Y1823">
        <v>74443</v>
      </c>
    </row>
    <row r="1824" spans="1:25" ht="15" hidden="1" customHeight="1" x14ac:dyDescent="0.25">
      <c r="A1824" s="1" t="s">
        <v>31</v>
      </c>
      <c r="B1824" s="1"/>
      <c r="C1824" s="1" t="s">
        <v>158</v>
      </c>
      <c r="D1824">
        <v>9521</v>
      </c>
      <c r="E1824" s="1"/>
      <c r="F1824" s="1" t="s">
        <v>290</v>
      </c>
      <c r="G1824" s="1" t="s">
        <v>158</v>
      </c>
      <c r="H1824" s="1" t="s">
        <v>1405</v>
      </c>
      <c r="I1824">
        <v>2008</v>
      </c>
      <c r="J1824" s="93">
        <v>85182.67</v>
      </c>
      <c r="K1824">
        <v>12</v>
      </c>
      <c r="L1824" s="1"/>
      <c r="M1824">
        <v>0</v>
      </c>
      <c r="N1824">
        <v>2433</v>
      </c>
      <c r="O1824">
        <v>35.009932999999997</v>
      </c>
      <c r="P1824">
        <v>2</v>
      </c>
      <c r="Q1824" s="1" t="s">
        <v>569</v>
      </c>
      <c r="R1824" s="93">
        <v>85182.67</v>
      </c>
      <c r="S1824">
        <v>39950.65</v>
      </c>
      <c r="T1824">
        <v>0</v>
      </c>
      <c r="U1824" s="1" t="s">
        <v>1015</v>
      </c>
      <c r="V1824" s="1" t="s">
        <v>329</v>
      </c>
      <c r="W1824">
        <v>85182.642000000007</v>
      </c>
      <c r="X1824">
        <v>0</v>
      </c>
      <c r="Y1824">
        <v>74443</v>
      </c>
    </row>
    <row r="1825" spans="1:25" ht="15" hidden="1" customHeight="1" x14ac:dyDescent="0.25">
      <c r="A1825" s="1" t="s">
        <v>31</v>
      </c>
      <c r="B1825" s="1"/>
      <c r="C1825" s="1" t="s">
        <v>159</v>
      </c>
      <c r="D1825">
        <v>9522</v>
      </c>
      <c r="E1825" s="1"/>
      <c r="F1825" s="1" t="s">
        <v>292</v>
      </c>
      <c r="G1825" s="1" t="s">
        <v>1397</v>
      </c>
      <c r="H1825" s="1" t="s">
        <v>1405</v>
      </c>
      <c r="I1825">
        <v>2014</v>
      </c>
      <c r="J1825" s="93">
        <v>306624.67</v>
      </c>
      <c r="K1825">
        <v>12</v>
      </c>
      <c r="L1825" s="1"/>
      <c r="M1825">
        <v>0</v>
      </c>
      <c r="N1825">
        <v>5224</v>
      </c>
      <c r="O1825">
        <v>58.694257</v>
      </c>
      <c r="P1825">
        <v>2</v>
      </c>
      <c r="Q1825" s="1" t="s">
        <v>569</v>
      </c>
      <c r="S1825">
        <v>91987.41</v>
      </c>
      <c r="T1825">
        <v>0</v>
      </c>
      <c r="U1825" s="1"/>
      <c r="V1825" s="1" t="s">
        <v>1294</v>
      </c>
      <c r="W1825">
        <v>306624.67</v>
      </c>
      <c r="X1825">
        <v>0</v>
      </c>
      <c r="Y1825">
        <v>74447</v>
      </c>
    </row>
    <row r="1826" spans="1:25" ht="15" hidden="1" customHeight="1" x14ac:dyDescent="0.25">
      <c r="A1826" s="1" t="s">
        <v>31</v>
      </c>
      <c r="B1826" s="1" t="s">
        <v>66</v>
      </c>
      <c r="C1826" s="1" t="s">
        <v>156</v>
      </c>
      <c r="D1826">
        <v>5467</v>
      </c>
      <c r="E1826" s="1"/>
      <c r="F1826" s="1" t="s">
        <v>287</v>
      </c>
      <c r="G1826" s="1" t="s">
        <v>156</v>
      </c>
      <c r="H1826" s="1" t="s">
        <v>1405</v>
      </c>
      <c r="I1826">
        <v>2015</v>
      </c>
      <c r="J1826" s="93">
        <v>246658</v>
      </c>
      <c r="K1826">
        <v>5</v>
      </c>
      <c r="L1826" s="1" t="s">
        <v>429</v>
      </c>
      <c r="M1826">
        <v>0</v>
      </c>
      <c r="N1826">
        <v>6415</v>
      </c>
      <c r="O1826">
        <v>18.039438000000001</v>
      </c>
      <c r="P1826">
        <v>2</v>
      </c>
      <c r="Q1826" s="1" t="s">
        <v>569</v>
      </c>
      <c r="S1826">
        <v>46289.919999999998</v>
      </c>
      <c r="T1826">
        <v>0</v>
      </c>
      <c r="U1826" s="1" t="s">
        <v>1012</v>
      </c>
      <c r="V1826" s="1" t="s">
        <v>1291</v>
      </c>
      <c r="W1826">
        <v>115724.8</v>
      </c>
      <c r="X1826">
        <v>0</v>
      </c>
      <c r="Y1826">
        <v>57798</v>
      </c>
    </row>
    <row r="1827" spans="1:25" ht="15" hidden="1" customHeight="1" x14ac:dyDescent="0.25">
      <c r="A1827" s="1" t="s">
        <v>31</v>
      </c>
      <c r="B1827" s="1"/>
      <c r="C1827" s="1" t="s">
        <v>159</v>
      </c>
      <c r="D1827">
        <v>10229</v>
      </c>
      <c r="E1827" s="1"/>
      <c r="F1827" s="1" t="s">
        <v>377</v>
      </c>
      <c r="G1827" s="1" t="s">
        <v>1397</v>
      </c>
      <c r="H1827" s="1" t="s">
        <v>1405</v>
      </c>
      <c r="I1827">
        <v>2012</v>
      </c>
      <c r="J1827" s="93">
        <v>25936.36</v>
      </c>
      <c r="K1827">
        <v>10</v>
      </c>
      <c r="L1827" s="1" t="s">
        <v>524</v>
      </c>
      <c r="M1827">
        <v>0</v>
      </c>
      <c r="N1827">
        <v>0</v>
      </c>
      <c r="O1827">
        <v>259363.6</v>
      </c>
      <c r="P1827">
        <v>2</v>
      </c>
      <c r="Q1827" s="1" t="s">
        <v>569</v>
      </c>
      <c r="R1827" s="93">
        <v>25936.36</v>
      </c>
      <c r="S1827">
        <v>12164.15</v>
      </c>
      <c r="T1827">
        <v>1</v>
      </c>
      <c r="U1827" s="1"/>
      <c r="V1827" s="1"/>
      <c r="W1827">
        <v>25936.36363</v>
      </c>
      <c r="X1827">
        <v>0</v>
      </c>
      <c r="Y1827">
        <v>77492</v>
      </c>
    </row>
    <row r="1828" spans="1:25" ht="15" hidden="1" customHeight="1" x14ac:dyDescent="0.25">
      <c r="A1828" s="1" t="s">
        <v>31</v>
      </c>
      <c r="B1828" s="1"/>
      <c r="C1828" s="1" t="s">
        <v>159</v>
      </c>
      <c r="D1828">
        <v>10229</v>
      </c>
      <c r="E1828" s="1"/>
      <c r="F1828" s="1" t="s">
        <v>377</v>
      </c>
      <c r="G1828" s="1" t="s">
        <v>1397</v>
      </c>
      <c r="H1828" s="1" t="s">
        <v>1405</v>
      </c>
      <c r="I1828">
        <v>2011</v>
      </c>
      <c r="J1828" s="93">
        <v>33541.129999999997</v>
      </c>
      <c r="K1828">
        <v>11</v>
      </c>
      <c r="L1828" s="1" t="s">
        <v>524</v>
      </c>
      <c r="M1828">
        <v>0</v>
      </c>
      <c r="N1828">
        <v>0</v>
      </c>
      <c r="O1828">
        <v>335411.3</v>
      </c>
      <c r="P1828">
        <v>2</v>
      </c>
      <c r="Q1828" s="1" t="s">
        <v>569</v>
      </c>
      <c r="R1828" s="93">
        <v>33541.129999999997</v>
      </c>
      <c r="S1828">
        <v>15730.79</v>
      </c>
      <c r="T1828">
        <v>1</v>
      </c>
      <c r="U1828" s="1"/>
      <c r="V1828" s="1"/>
      <c r="W1828">
        <v>33541.125540000001</v>
      </c>
      <c r="X1828">
        <v>0</v>
      </c>
      <c r="Y1828">
        <v>77492</v>
      </c>
    </row>
    <row r="1829" spans="1:25" ht="15" hidden="1" customHeight="1" x14ac:dyDescent="0.25">
      <c r="A1829" s="1" t="s">
        <v>31</v>
      </c>
      <c r="B1829" s="1"/>
      <c r="C1829" s="1" t="s">
        <v>159</v>
      </c>
      <c r="D1829">
        <v>10229</v>
      </c>
      <c r="E1829" s="1"/>
      <c r="F1829" s="1" t="s">
        <v>377</v>
      </c>
      <c r="G1829" s="1" t="s">
        <v>1397</v>
      </c>
      <c r="H1829" s="1" t="s">
        <v>1405</v>
      </c>
      <c r="I1829">
        <v>2010</v>
      </c>
      <c r="J1829" s="93">
        <v>27395.68</v>
      </c>
      <c r="K1829">
        <v>12</v>
      </c>
      <c r="L1829" s="1" t="s">
        <v>524</v>
      </c>
      <c r="M1829">
        <v>0</v>
      </c>
      <c r="N1829">
        <v>0</v>
      </c>
      <c r="O1829">
        <v>273956.8</v>
      </c>
      <c r="P1829">
        <v>2</v>
      </c>
      <c r="Q1829" s="1" t="s">
        <v>569</v>
      </c>
      <c r="R1829" s="93">
        <v>27395.68</v>
      </c>
      <c r="S1829">
        <v>12848.57</v>
      </c>
      <c r="T1829">
        <v>1</v>
      </c>
      <c r="U1829" s="1"/>
      <c r="V1829" s="1"/>
      <c r="W1829">
        <v>27395.66819</v>
      </c>
      <c r="X1829">
        <v>0</v>
      </c>
      <c r="Y1829">
        <v>77492</v>
      </c>
    </row>
    <row r="1830" spans="1:25" ht="15" hidden="1" customHeight="1" x14ac:dyDescent="0.25">
      <c r="A1830" s="1" t="s">
        <v>31</v>
      </c>
      <c r="B1830" s="1"/>
      <c r="C1830" s="1" t="s">
        <v>159</v>
      </c>
      <c r="D1830">
        <v>10229</v>
      </c>
      <c r="E1830" s="1"/>
      <c r="F1830" s="1" t="s">
        <v>377</v>
      </c>
      <c r="G1830" s="1" t="s">
        <v>1397</v>
      </c>
      <c r="H1830" s="1" t="s">
        <v>1405</v>
      </c>
      <c r="I1830">
        <v>2009</v>
      </c>
      <c r="J1830" s="93">
        <v>30540.720000000001</v>
      </c>
      <c r="K1830">
        <v>11</v>
      </c>
      <c r="L1830" s="1" t="s">
        <v>524</v>
      </c>
      <c r="M1830">
        <v>0</v>
      </c>
      <c r="N1830">
        <v>0</v>
      </c>
      <c r="O1830">
        <v>305407.2</v>
      </c>
      <c r="P1830">
        <v>2</v>
      </c>
      <c r="Q1830" s="1" t="s">
        <v>569</v>
      </c>
      <c r="R1830" s="93">
        <v>30540.720000000001</v>
      </c>
      <c r="S1830">
        <v>14323.6</v>
      </c>
      <c r="T1830">
        <v>1</v>
      </c>
      <c r="U1830" s="1"/>
      <c r="V1830" s="1"/>
      <c r="W1830">
        <v>30540.726760000001</v>
      </c>
      <c r="X1830">
        <v>0</v>
      </c>
      <c r="Y1830">
        <v>77492</v>
      </c>
    </row>
    <row r="1831" spans="1:25" ht="15" hidden="1" customHeight="1" x14ac:dyDescent="0.25">
      <c r="A1831" s="1" t="s">
        <v>31</v>
      </c>
      <c r="B1831" s="1"/>
      <c r="C1831" s="1" t="s">
        <v>159</v>
      </c>
      <c r="D1831">
        <v>10229</v>
      </c>
      <c r="E1831" s="1"/>
      <c r="F1831" s="1" t="s">
        <v>377</v>
      </c>
      <c r="G1831" s="1" t="s">
        <v>1397</v>
      </c>
      <c r="H1831" s="1" t="s">
        <v>1405</v>
      </c>
      <c r="I1831">
        <v>2008</v>
      </c>
      <c r="J1831" s="93">
        <v>30080.240000000002</v>
      </c>
      <c r="K1831">
        <v>11</v>
      </c>
      <c r="L1831" s="1" t="s">
        <v>524</v>
      </c>
      <c r="M1831">
        <v>0</v>
      </c>
      <c r="N1831">
        <v>0</v>
      </c>
      <c r="O1831">
        <v>300802.40000000002</v>
      </c>
      <c r="P1831">
        <v>2</v>
      </c>
      <c r="Q1831" s="1" t="s">
        <v>569</v>
      </c>
      <c r="R1831" s="93">
        <v>30080.240000000002</v>
      </c>
      <c r="S1831">
        <v>14107.64</v>
      </c>
      <c r="T1831">
        <v>1</v>
      </c>
      <c r="U1831" s="1"/>
      <c r="V1831" s="1"/>
      <c r="W1831">
        <v>30080.240989999998</v>
      </c>
      <c r="X1831">
        <v>0</v>
      </c>
      <c r="Y1831">
        <v>77492</v>
      </c>
    </row>
    <row r="1832" spans="1:25" ht="15" hidden="1" customHeight="1" x14ac:dyDescent="0.25">
      <c r="A1832" s="1" t="s">
        <v>31</v>
      </c>
      <c r="B1832" s="1" t="s">
        <v>66</v>
      </c>
      <c r="C1832" s="1" t="s">
        <v>156</v>
      </c>
      <c r="D1832">
        <v>14135</v>
      </c>
      <c r="E1832" s="1" t="s">
        <v>243</v>
      </c>
      <c r="F1832" s="1" t="s">
        <v>288</v>
      </c>
      <c r="G1832" s="1" t="s">
        <v>156</v>
      </c>
      <c r="H1832" s="1" t="s">
        <v>1405</v>
      </c>
      <c r="I1832">
        <v>2015</v>
      </c>
      <c r="J1832" s="93">
        <v>111366</v>
      </c>
      <c r="K1832">
        <v>5</v>
      </c>
      <c r="L1832" s="1" t="s">
        <v>429</v>
      </c>
      <c r="M1832">
        <v>0</v>
      </c>
      <c r="N1832">
        <v>3594</v>
      </c>
      <c r="O1832">
        <v>13.103152</v>
      </c>
      <c r="P1832">
        <v>2</v>
      </c>
      <c r="Q1832" s="1" t="s">
        <v>569</v>
      </c>
      <c r="S1832">
        <v>18837.62</v>
      </c>
      <c r="T1832">
        <v>0</v>
      </c>
      <c r="U1832" s="1" t="s">
        <v>1013</v>
      </c>
      <c r="V1832" s="1" t="s">
        <v>1292</v>
      </c>
      <c r="W1832">
        <v>47094.044999999998</v>
      </c>
      <c r="X1832">
        <v>0</v>
      </c>
      <c r="Y1832">
        <v>57799</v>
      </c>
    </row>
    <row r="1833" spans="1:25" ht="15" customHeight="1" x14ac:dyDescent="0.25">
      <c r="A1833" s="1" t="s">
        <v>31</v>
      </c>
      <c r="B1833" s="1"/>
      <c r="C1833" s="1" t="s">
        <v>157</v>
      </c>
      <c r="D1833">
        <v>10324</v>
      </c>
      <c r="E1833" s="1"/>
      <c r="F1833" s="1" t="s">
        <v>289</v>
      </c>
      <c r="G1833" s="1" t="s">
        <v>157</v>
      </c>
      <c r="H1833" s="1" t="s">
        <v>1405</v>
      </c>
      <c r="I1833">
        <v>2015</v>
      </c>
      <c r="J1833" s="93">
        <v>43413</v>
      </c>
      <c r="K1833">
        <v>5</v>
      </c>
      <c r="L1833" s="1"/>
      <c r="M1833">
        <v>0</v>
      </c>
      <c r="N1833">
        <v>2027</v>
      </c>
      <c r="O1833">
        <v>10.401035</v>
      </c>
      <c r="P1833">
        <v>2</v>
      </c>
      <c r="Q1833" s="1" t="s">
        <v>569</v>
      </c>
      <c r="S1833">
        <v>6325.18</v>
      </c>
      <c r="T1833">
        <v>0</v>
      </c>
      <c r="U1833" s="1"/>
      <c r="V1833" s="1" t="s">
        <v>1293</v>
      </c>
      <c r="W1833">
        <v>21083.938999999998</v>
      </c>
      <c r="X1833">
        <v>0</v>
      </c>
      <c r="Y1833">
        <v>77832</v>
      </c>
    </row>
    <row r="1834" spans="1:25" ht="15" hidden="1" customHeight="1" x14ac:dyDescent="0.25">
      <c r="A1834" s="1" t="s">
        <v>31</v>
      </c>
      <c r="B1834" s="1"/>
      <c r="C1834" s="1" t="s">
        <v>159</v>
      </c>
      <c r="D1834">
        <v>9522</v>
      </c>
      <c r="E1834" s="1"/>
      <c r="F1834" s="1" t="s">
        <v>292</v>
      </c>
      <c r="G1834" s="1" t="s">
        <v>1397</v>
      </c>
      <c r="H1834" s="1" t="s">
        <v>1405</v>
      </c>
      <c r="I1834">
        <v>2012</v>
      </c>
      <c r="J1834" s="93">
        <v>327708.12</v>
      </c>
      <c r="K1834">
        <v>12</v>
      </c>
      <c r="L1834" s="1"/>
      <c r="M1834">
        <v>0</v>
      </c>
      <c r="N1834">
        <v>5224</v>
      </c>
      <c r="O1834">
        <v>62.730061999999997</v>
      </c>
      <c r="P1834">
        <v>2</v>
      </c>
      <c r="Q1834" s="1" t="s">
        <v>569</v>
      </c>
      <c r="R1834" s="93">
        <v>327708.12</v>
      </c>
      <c r="S1834">
        <v>131083.25</v>
      </c>
      <c r="T1834">
        <v>0</v>
      </c>
      <c r="U1834" s="1"/>
      <c r="V1834" s="1" t="s">
        <v>1294</v>
      </c>
      <c r="W1834">
        <v>327708.12</v>
      </c>
      <c r="X1834">
        <v>0</v>
      </c>
      <c r="Y1834">
        <v>74447</v>
      </c>
    </row>
    <row r="1835" spans="1:25" ht="15" hidden="1" customHeight="1" x14ac:dyDescent="0.25">
      <c r="A1835" s="1" t="s">
        <v>31</v>
      </c>
      <c r="B1835" s="1"/>
      <c r="C1835" s="1" t="s">
        <v>159</v>
      </c>
      <c r="D1835">
        <v>9522</v>
      </c>
      <c r="E1835" s="1"/>
      <c r="F1835" s="1" t="s">
        <v>292</v>
      </c>
      <c r="G1835" s="1" t="s">
        <v>1397</v>
      </c>
      <c r="H1835" s="1" t="s">
        <v>1405</v>
      </c>
      <c r="I1835">
        <v>2011</v>
      </c>
      <c r="J1835" s="93">
        <v>338978.55</v>
      </c>
      <c r="K1835">
        <v>12</v>
      </c>
      <c r="L1835" s="1"/>
      <c r="M1835">
        <v>0</v>
      </c>
      <c r="N1835">
        <v>5224</v>
      </c>
      <c r="O1835">
        <v>64.887454000000005</v>
      </c>
      <c r="P1835">
        <v>2</v>
      </c>
      <c r="Q1835" s="1" t="s">
        <v>569</v>
      </c>
      <c r="R1835" s="93">
        <v>338978.55</v>
      </c>
      <c r="S1835">
        <v>158980.94</v>
      </c>
      <c r="T1835">
        <v>0</v>
      </c>
      <c r="U1835" s="1"/>
      <c r="V1835" s="1" t="s">
        <v>1294</v>
      </c>
      <c r="W1835">
        <v>338978.55</v>
      </c>
      <c r="X1835">
        <v>0</v>
      </c>
      <c r="Y1835">
        <v>74447</v>
      </c>
    </row>
    <row r="1836" spans="1:25" ht="15" hidden="1" customHeight="1" x14ac:dyDescent="0.25">
      <c r="A1836" s="1" t="s">
        <v>31</v>
      </c>
      <c r="B1836" s="1"/>
      <c r="C1836" s="1" t="s">
        <v>159</v>
      </c>
      <c r="D1836">
        <v>9522</v>
      </c>
      <c r="E1836" s="1"/>
      <c r="F1836" s="1" t="s">
        <v>292</v>
      </c>
      <c r="G1836" s="1" t="s">
        <v>1397</v>
      </c>
      <c r="H1836" s="1" t="s">
        <v>1405</v>
      </c>
      <c r="I1836">
        <v>2010</v>
      </c>
      <c r="J1836" s="93">
        <v>339281.68</v>
      </c>
      <c r="K1836">
        <v>12</v>
      </c>
      <c r="L1836" s="1"/>
      <c r="M1836">
        <v>0</v>
      </c>
      <c r="N1836">
        <v>5224</v>
      </c>
      <c r="O1836">
        <v>64.945479000000006</v>
      </c>
      <c r="P1836">
        <v>2</v>
      </c>
      <c r="Q1836" s="1" t="s">
        <v>569</v>
      </c>
      <c r="R1836" s="93">
        <v>339281.68</v>
      </c>
      <c r="S1836">
        <v>159123.12</v>
      </c>
      <c r="T1836">
        <v>0</v>
      </c>
      <c r="U1836" s="1"/>
      <c r="V1836" s="1" t="s">
        <v>1294</v>
      </c>
      <c r="W1836">
        <v>339281.68</v>
      </c>
      <c r="X1836">
        <v>0</v>
      </c>
      <c r="Y1836">
        <v>74447</v>
      </c>
    </row>
    <row r="1837" spans="1:25" ht="15" hidden="1" customHeight="1" x14ac:dyDescent="0.25">
      <c r="A1837" s="1" t="s">
        <v>31</v>
      </c>
      <c r="B1837" s="1"/>
      <c r="C1837" s="1" t="s">
        <v>159</v>
      </c>
      <c r="D1837">
        <v>9522</v>
      </c>
      <c r="E1837" s="1"/>
      <c r="F1837" s="1" t="s">
        <v>292</v>
      </c>
      <c r="G1837" s="1" t="s">
        <v>1397</v>
      </c>
      <c r="H1837" s="1" t="s">
        <v>1405</v>
      </c>
      <c r="I1837">
        <v>2009</v>
      </c>
      <c r="J1837" s="93">
        <v>331983.65999999997</v>
      </c>
      <c r="K1837">
        <v>12</v>
      </c>
      <c r="L1837" s="1"/>
      <c r="M1837">
        <v>0</v>
      </c>
      <c r="N1837">
        <v>5224</v>
      </c>
      <c r="O1837">
        <v>63.548487999999999</v>
      </c>
      <c r="P1837">
        <v>2</v>
      </c>
      <c r="Q1837" s="1" t="s">
        <v>569</v>
      </c>
      <c r="R1837" s="93">
        <v>331983.65999999997</v>
      </c>
      <c r="S1837">
        <v>155700.34</v>
      </c>
      <c r="T1837">
        <v>0</v>
      </c>
      <c r="U1837" s="1"/>
      <c r="V1837" s="1" t="s">
        <v>1294</v>
      </c>
      <c r="W1837">
        <v>331983.65999999997</v>
      </c>
      <c r="X1837">
        <v>0</v>
      </c>
      <c r="Y1837">
        <v>74447</v>
      </c>
    </row>
    <row r="1838" spans="1:25" ht="15" hidden="1" customHeight="1" x14ac:dyDescent="0.25">
      <c r="A1838" s="1" t="s">
        <v>31</v>
      </c>
      <c r="B1838" s="1"/>
      <c r="C1838" s="1" t="s">
        <v>159</v>
      </c>
      <c r="D1838">
        <v>9522</v>
      </c>
      <c r="E1838" s="1"/>
      <c r="F1838" s="1" t="s">
        <v>292</v>
      </c>
      <c r="G1838" s="1" t="s">
        <v>1397</v>
      </c>
      <c r="H1838" s="1" t="s">
        <v>1405</v>
      </c>
      <c r="I1838">
        <v>2008</v>
      </c>
      <c r="J1838" s="93">
        <v>327838.34999999998</v>
      </c>
      <c r="K1838">
        <v>12</v>
      </c>
      <c r="L1838" s="1"/>
      <c r="M1838">
        <v>0</v>
      </c>
      <c r="N1838">
        <v>5224</v>
      </c>
      <c r="O1838">
        <v>62.754990999999997</v>
      </c>
      <c r="P1838">
        <v>2</v>
      </c>
      <c r="Q1838" s="1" t="s">
        <v>569</v>
      </c>
      <c r="R1838" s="93">
        <v>327838.34999999998</v>
      </c>
      <c r="S1838">
        <v>153756.19</v>
      </c>
      <c r="T1838">
        <v>0</v>
      </c>
      <c r="U1838" s="1"/>
      <c r="V1838" s="1" t="s">
        <v>1294</v>
      </c>
      <c r="W1838">
        <v>327838.34999999998</v>
      </c>
      <c r="X1838">
        <v>0</v>
      </c>
      <c r="Y1838">
        <v>74447</v>
      </c>
    </row>
    <row r="1839" spans="1:25" ht="15" hidden="1" customHeight="1" x14ac:dyDescent="0.25">
      <c r="A1839" s="1" t="s">
        <v>31</v>
      </c>
      <c r="B1839" s="1"/>
      <c r="C1839" s="1" t="s">
        <v>158</v>
      </c>
      <c r="D1839">
        <v>9521</v>
      </c>
      <c r="E1839" s="1"/>
      <c r="F1839" s="1" t="s">
        <v>290</v>
      </c>
      <c r="G1839" s="1" t="s">
        <v>158</v>
      </c>
      <c r="H1839" s="1" t="s">
        <v>1396</v>
      </c>
      <c r="I1839">
        <v>2014</v>
      </c>
      <c r="J1839" s="93">
        <v>218564.91</v>
      </c>
      <c r="K1839">
        <v>12</v>
      </c>
      <c r="L1839" s="1"/>
      <c r="M1839">
        <v>0</v>
      </c>
      <c r="N1839">
        <v>2433</v>
      </c>
      <c r="O1839">
        <v>89.829808999999997</v>
      </c>
      <c r="P1839">
        <v>1</v>
      </c>
      <c r="Q1839" s="1" t="s">
        <v>563</v>
      </c>
      <c r="R1839" s="93">
        <v>218564.91</v>
      </c>
      <c r="S1839">
        <v>400.92</v>
      </c>
      <c r="T1839">
        <v>1</v>
      </c>
      <c r="U1839" s="1"/>
      <c r="V1839" s="1"/>
      <c r="W1839">
        <v>6264.3995999999997</v>
      </c>
      <c r="X1839">
        <v>74445</v>
      </c>
      <c r="Y1839">
        <v>74446</v>
      </c>
    </row>
    <row r="1840" spans="1:25" ht="15" hidden="1" customHeight="1" x14ac:dyDescent="0.25">
      <c r="A1840" s="1" t="s">
        <v>31</v>
      </c>
      <c r="B1840" s="1"/>
      <c r="C1840" s="1" t="s">
        <v>158</v>
      </c>
      <c r="D1840">
        <v>9521</v>
      </c>
      <c r="E1840" s="1"/>
      <c r="F1840" s="1" t="s">
        <v>290</v>
      </c>
      <c r="G1840" s="1" t="s">
        <v>158</v>
      </c>
      <c r="H1840" s="1" t="s">
        <v>1405</v>
      </c>
      <c r="I1840">
        <v>2014</v>
      </c>
      <c r="J1840" s="93">
        <v>554.64</v>
      </c>
      <c r="K1840">
        <v>12</v>
      </c>
      <c r="L1840" s="1"/>
      <c r="M1840">
        <v>0</v>
      </c>
      <c r="N1840">
        <v>2433</v>
      </c>
      <c r="O1840">
        <v>0.22795599999999999</v>
      </c>
      <c r="P1840">
        <v>3</v>
      </c>
      <c r="Q1840" s="1" t="s">
        <v>560</v>
      </c>
      <c r="R1840" s="93">
        <v>554.64</v>
      </c>
      <c r="S1840">
        <v>443.7</v>
      </c>
      <c r="T1840">
        <v>0</v>
      </c>
      <c r="U1840" s="1" t="s">
        <v>633</v>
      </c>
      <c r="V1840" s="1"/>
      <c r="W1840">
        <v>554.62400000000002</v>
      </c>
      <c r="X1840">
        <v>0</v>
      </c>
      <c r="Y1840">
        <v>74442</v>
      </c>
    </row>
    <row r="1841" spans="1:25" ht="15" hidden="1" customHeight="1" x14ac:dyDescent="0.25">
      <c r="A1841" s="1" t="s">
        <v>31</v>
      </c>
      <c r="B1841" s="1"/>
      <c r="C1841" s="1" t="s">
        <v>158</v>
      </c>
      <c r="D1841">
        <v>9521</v>
      </c>
      <c r="E1841" s="1"/>
      <c r="F1841" s="1" t="s">
        <v>290</v>
      </c>
      <c r="G1841" s="1" t="s">
        <v>158</v>
      </c>
      <c r="H1841" s="1" t="s">
        <v>1405</v>
      </c>
      <c r="I1841">
        <v>2014</v>
      </c>
      <c r="J1841" s="93">
        <v>184.52</v>
      </c>
      <c r="K1841">
        <v>12</v>
      </c>
      <c r="L1841" s="1"/>
      <c r="M1841">
        <v>0</v>
      </c>
      <c r="N1841">
        <v>2433</v>
      </c>
      <c r="O1841">
        <v>7.5837000000000002E-2</v>
      </c>
      <c r="P1841">
        <v>3</v>
      </c>
      <c r="Q1841" s="1" t="s">
        <v>560</v>
      </c>
      <c r="R1841" s="93">
        <v>184.52</v>
      </c>
      <c r="S1841">
        <v>0</v>
      </c>
      <c r="T1841">
        <v>1</v>
      </c>
      <c r="U1841" s="1" t="s">
        <v>634</v>
      </c>
      <c r="V1841" s="1"/>
      <c r="W1841">
        <v>184.52</v>
      </c>
      <c r="X1841">
        <v>0</v>
      </c>
      <c r="Y1841">
        <v>74444</v>
      </c>
    </row>
    <row r="1842" spans="1:25" ht="15" hidden="1" customHeight="1" x14ac:dyDescent="0.25">
      <c r="A1842" s="1" t="s">
        <v>31</v>
      </c>
      <c r="B1842" s="1"/>
      <c r="C1842" s="1" t="s">
        <v>158</v>
      </c>
      <c r="D1842">
        <v>9521</v>
      </c>
      <c r="E1842" s="1"/>
      <c r="F1842" s="1" t="s">
        <v>290</v>
      </c>
      <c r="G1842" s="1" t="s">
        <v>158</v>
      </c>
      <c r="H1842" s="1" t="s">
        <v>1405</v>
      </c>
      <c r="I1842">
        <v>2014</v>
      </c>
      <c r="J1842" s="93">
        <v>193940</v>
      </c>
      <c r="K1842">
        <v>12</v>
      </c>
      <c r="L1842" s="1"/>
      <c r="M1842">
        <v>0</v>
      </c>
      <c r="N1842">
        <v>2433</v>
      </c>
      <c r="O1842">
        <v>79.709012999999999</v>
      </c>
      <c r="P1842">
        <v>1</v>
      </c>
      <c r="Q1842" s="1" t="s">
        <v>562</v>
      </c>
      <c r="R1842" s="93">
        <v>228247.22</v>
      </c>
      <c r="S1842">
        <v>14607.8</v>
      </c>
      <c r="T1842">
        <v>0</v>
      </c>
      <c r="U1842" s="1"/>
      <c r="V1842" s="1"/>
      <c r="W1842">
        <v>193940</v>
      </c>
      <c r="X1842">
        <v>0</v>
      </c>
      <c r="Y1842">
        <v>74445</v>
      </c>
    </row>
    <row r="1843" spans="1:25" ht="15" hidden="1" customHeight="1" x14ac:dyDescent="0.25">
      <c r="A1843" s="1" t="s">
        <v>31</v>
      </c>
      <c r="B1843" s="1"/>
      <c r="C1843" s="1" t="s">
        <v>158</v>
      </c>
      <c r="D1843">
        <v>9521</v>
      </c>
      <c r="E1843" s="1"/>
      <c r="F1843" s="1" t="s">
        <v>290</v>
      </c>
      <c r="G1843" s="1" t="s">
        <v>158</v>
      </c>
      <c r="H1843" s="1" t="s">
        <v>1405</v>
      </c>
      <c r="I1843">
        <v>2015</v>
      </c>
      <c r="J1843" s="93">
        <v>85506</v>
      </c>
      <c r="K1843">
        <v>4</v>
      </c>
      <c r="L1843" s="1"/>
      <c r="M1843">
        <v>0</v>
      </c>
      <c r="N1843">
        <v>2433</v>
      </c>
      <c r="O1843">
        <v>12.638305000000001</v>
      </c>
      <c r="P1843">
        <v>2</v>
      </c>
      <c r="Q1843" s="1" t="s">
        <v>569</v>
      </c>
      <c r="S1843">
        <v>9225.08</v>
      </c>
      <c r="T1843">
        <v>0</v>
      </c>
      <c r="U1843" s="1" t="s">
        <v>1015</v>
      </c>
      <c r="V1843" s="1" t="s">
        <v>329</v>
      </c>
      <c r="W1843">
        <v>30750.26</v>
      </c>
      <c r="X1843">
        <v>0</v>
      </c>
      <c r="Y1843">
        <v>74443</v>
      </c>
    </row>
    <row r="1844" spans="1:25" ht="15" hidden="1" customHeight="1" x14ac:dyDescent="0.25">
      <c r="A1844" s="1" t="s">
        <v>31</v>
      </c>
      <c r="B1844" s="1"/>
      <c r="C1844" s="1" t="s">
        <v>159</v>
      </c>
      <c r="D1844">
        <v>9523</v>
      </c>
      <c r="E1844" s="1"/>
      <c r="F1844" s="1" t="s">
        <v>291</v>
      </c>
      <c r="G1844" s="1" t="s">
        <v>1397</v>
      </c>
      <c r="H1844" s="1" t="s">
        <v>1396</v>
      </c>
      <c r="I1844">
        <v>2014</v>
      </c>
      <c r="J1844" s="93">
        <v>67260.929999999993</v>
      </c>
      <c r="K1844">
        <v>12</v>
      </c>
      <c r="L1844" s="1"/>
      <c r="M1844">
        <v>0</v>
      </c>
      <c r="N1844">
        <v>2103</v>
      </c>
      <c r="O1844">
        <v>31.981802999999999</v>
      </c>
      <c r="P1844">
        <v>1</v>
      </c>
      <c r="Q1844" s="1" t="s">
        <v>563</v>
      </c>
      <c r="R1844" s="93">
        <v>79476.509999999995</v>
      </c>
      <c r="S1844">
        <v>145.80000000000001</v>
      </c>
      <c r="T1844">
        <v>1</v>
      </c>
      <c r="U1844" s="1"/>
      <c r="V1844" s="1"/>
      <c r="W1844">
        <v>1927.8</v>
      </c>
      <c r="X1844">
        <v>74453</v>
      </c>
      <c r="Y1844">
        <v>74454</v>
      </c>
    </row>
    <row r="1845" spans="1:25" ht="15" hidden="1" customHeight="1" x14ac:dyDescent="0.25">
      <c r="A1845" s="1" t="s">
        <v>31</v>
      </c>
      <c r="B1845" s="1"/>
      <c r="C1845" s="1" t="s">
        <v>159</v>
      </c>
      <c r="D1845">
        <v>9522</v>
      </c>
      <c r="E1845" s="1"/>
      <c r="F1845" s="1" t="s">
        <v>292</v>
      </c>
      <c r="G1845" s="1" t="s">
        <v>1397</v>
      </c>
      <c r="H1845" s="1" t="s">
        <v>1396</v>
      </c>
      <c r="I1845">
        <v>2014</v>
      </c>
      <c r="J1845" s="93">
        <v>271744.24</v>
      </c>
      <c r="K1845">
        <v>12</v>
      </c>
      <c r="L1845" s="1"/>
      <c r="M1845">
        <v>0</v>
      </c>
      <c r="N1845">
        <v>5224</v>
      </c>
      <c r="O1845">
        <v>52.017426</v>
      </c>
      <c r="P1845">
        <v>1</v>
      </c>
      <c r="Q1845" s="1" t="s">
        <v>563</v>
      </c>
      <c r="R1845" s="93">
        <v>317076.78000000003</v>
      </c>
      <c r="S1845">
        <v>581.63</v>
      </c>
      <c r="T1845">
        <v>1</v>
      </c>
      <c r="U1845" s="1"/>
      <c r="V1845" s="1"/>
      <c r="W1845">
        <v>7788.6</v>
      </c>
      <c r="X1845">
        <v>74449</v>
      </c>
      <c r="Y1845">
        <v>74450</v>
      </c>
    </row>
    <row r="1846" spans="1:25" ht="15" hidden="1" customHeight="1" x14ac:dyDescent="0.25">
      <c r="A1846" s="1" t="s">
        <v>31</v>
      </c>
      <c r="B1846" s="1"/>
      <c r="C1846" s="1" t="s">
        <v>159</v>
      </c>
      <c r="D1846">
        <v>9523</v>
      </c>
      <c r="E1846" s="1"/>
      <c r="F1846" s="1" t="s">
        <v>291</v>
      </c>
      <c r="G1846" s="1" t="s">
        <v>1397</v>
      </c>
      <c r="H1846" s="1" t="s">
        <v>1405</v>
      </c>
      <c r="I1846">
        <v>2014</v>
      </c>
      <c r="J1846" s="93">
        <v>378.95</v>
      </c>
      <c r="K1846">
        <v>12</v>
      </c>
      <c r="L1846" s="1"/>
      <c r="M1846">
        <v>0</v>
      </c>
      <c r="N1846">
        <v>2103</v>
      </c>
      <c r="O1846">
        <v>0.18018600000000001</v>
      </c>
      <c r="P1846">
        <v>3</v>
      </c>
      <c r="Q1846" s="1" t="s">
        <v>560</v>
      </c>
      <c r="R1846" s="93">
        <v>378.95</v>
      </c>
      <c r="S1846">
        <v>303.16000000000003</v>
      </c>
      <c r="T1846">
        <v>0</v>
      </c>
      <c r="U1846" s="1"/>
      <c r="V1846" s="1"/>
      <c r="W1846">
        <v>378.94200000000001</v>
      </c>
      <c r="X1846">
        <v>0</v>
      </c>
      <c r="Y1846">
        <v>74452</v>
      </c>
    </row>
    <row r="1847" spans="1:25" ht="15" hidden="1" customHeight="1" x14ac:dyDescent="0.25">
      <c r="A1847" s="1" t="s">
        <v>31</v>
      </c>
      <c r="B1847" s="1"/>
      <c r="C1847" s="1" t="s">
        <v>159</v>
      </c>
      <c r="D1847">
        <v>9522</v>
      </c>
      <c r="E1847" s="1"/>
      <c r="F1847" s="1" t="s">
        <v>292</v>
      </c>
      <c r="G1847" s="1" t="s">
        <v>1397</v>
      </c>
      <c r="H1847" s="1" t="s">
        <v>1405</v>
      </c>
      <c r="I1847">
        <v>2014</v>
      </c>
      <c r="J1847" s="93">
        <v>1377.06</v>
      </c>
      <c r="K1847">
        <v>12</v>
      </c>
      <c r="L1847" s="1"/>
      <c r="M1847">
        <v>0</v>
      </c>
      <c r="N1847">
        <v>5224</v>
      </c>
      <c r="O1847">
        <v>0.26359700000000003</v>
      </c>
      <c r="P1847">
        <v>3</v>
      </c>
      <c r="Q1847" s="1" t="s">
        <v>560</v>
      </c>
      <c r="R1847" s="93">
        <v>1377.06</v>
      </c>
      <c r="S1847">
        <v>1101.6500000000001</v>
      </c>
      <c r="T1847">
        <v>0</v>
      </c>
      <c r="U1847" s="1"/>
      <c r="V1847" s="1"/>
      <c r="W1847">
        <v>1377.0609999999999</v>
      </c>
      <c r="X1847">
        <v>0</v>
      </c>
      <c r="Y1847">
        <v>74448</v>
      </c>
    </row>
    <row r="1848" spans="1:25" ht="15" hidden="1" customHeight="1" x14ac:dyDescent="0.25">
      <c r="A1848" s="1" t="s">
        <v>31</v>
      </c>
      <c r="B1848" s="1"/>
      <c r="C1848" s="1" t="s">
        <v>159</v>
      </c>
      <c r="D1848">
        <v>9522</v>
      </c>
      <c r="E1848" s="1"/>
      <c r="F1848" s="1" t="s">
        <v>292</v>
      </c>
      <c r="G1848" s="1" t="s">
        <v>1397</v>
      </c>
      <c r="H1848" s="1" t="s">
        <v>1405</v>
      </c>
      <c r="I1848">
        <v>2014</v>
      </c>
      <c r="J1848" s="93">
        <v>712.56</v>
      </c>
      <c r="K1848">
        <v>12</v>
      </c>
      <c r="L1848" s="1"/>
      <c r="M1848">
        <v>0</v>
      </c>
      <c r="N1848">
        <v>5224</v>
      </c>
      <c r="O1848">
        <v>0.13639799999999999</v>
      </c>
      <c r="P1848">
        <v>3</v>
      </c>
      <c r="Q1848" s="1" t="s">
        <v>560</v>
      </c>
      <c r="R1848" s="93">
        <v>712.56</v>
      </c>
      <c r="S1848">
        <v>0</v>
      </c>
      <c r="T1848">
        <v>1</v>
      </c>
      <c r="U1848" s="1" t="s">
        <v>634</v>
      </c>
      <c r="V1848" s="1"/>
      <c r="W1848">
        <v>712.55399999999997</v>
      </c>
      <c r="X1848">
        <v>0</v>
      </c>
      <c r="Y1848">
        <v>74455</v>
      </c>
    </row>
    <row r="1849" spans="1:25" ht="15" hidden="1" customHeight="1" x14ac:dyDescent="0.25">
      <c r="A1849" s="1" t="s">
        <v>31</v>
      </c>
      <c r="B1849" s="1"/>
      <c r="C1849" s="1" t="s">
        <v>159</v>
      </c>
      <c r="D1849">
        <v>9523</v>
      </c>
      <c r="E1849" s="1"/>
      <c r="F1849" s="1" t="s">
        <v>291</v>
      </c>
      <c r="G1849" s="1" t="s">
        <v>1397</v>
      </c>
      <c r="H1849" s="1" t="s">
        <v>1405</v>
      </c>
      <c r="I1849">
        <v>2014</v>
      </c>
      <c r="J1849" s="93">
        <v>58620</v>
      </c>
      <c r="K1849">
        <v>12</v>
      </c>
      <c r="L1849" s="1"/>
      <c r="M1849">
        <v>0</v>
      </c>
      <c r="N1849">
        <v>2103</v>
      </c>
      <c r="O1849">
        <v>27.873138999999998</v>
      </c>
      <c r="P1849">
        <v>1</v>
      </c>
      <c r="Q1849" s="1" t="s">
        <v>562</v>
      </c>
      <c r="R1849" s="93">
        <v>69739.88</v>
      </c>
      <c r="S1849">
        <v>4463.3500000000004</v>
      </c>
      <c r="T1849">
        <v>0</v>
      </c>
      <c r="U1849" s="1" t="s">
        <v>811</v>
      </c>
      <c r="V1849" s="1"/>
      <c r="W1849">
        <v>58620</v>
      </c>
      <c r="X1849">
        <v>0</v>
      </c>
      <c r="Y1849">
        <v>74453</v>
      </c>
    </row>
    <row r="1850" spans="1:25" ht="15" hidden="1" customHeight="1" x14ac:dyDescent="0.25">
      <c r="A1850" s="1" t="s">
        <v>31</v>
      </c>
      <c r="B1850" s="1"/>
      <c r="C1850" s="1" t="s">
        <v>159</v>
      </c>
      <c r="D1850">
        <v>9522</v>
      </c>
      <c r="E1850" s="1"/>
      <c r="F1850" s="1" t="s">
        <v>292</v>
      </c>
      <c r="G1850" s="1" t="s">
        <v>1397</v>
      </c>
      <c r="H1850" s="1" t="s">
        <v>1405</v>
      </c>
      <c r="I1850">
        <v>2014</v>
      </c>
      <c r="J1850" s="93">
        <v>238560</v>
      </c>
      <c r="K1850">
        <v>12</v>
      </c>
      <c r="L1850" s="1"/>
      <c r="M1850">
        <v>0</v>
      </c>
      <c r="N1850">
        <v>5224</v>
      </c>
      <c r="O1850">
        <v>45.665281999999998</v>
      </c>
      <c r="P1850">
        <v>1</v>
      </c>
      <c r="Q1850" s="1" t="s">
        <v>562</v>
      </c>
      <c r="R1850" s="93">
        <v>282000.46999999997</v>
      </c>
      <c r="S1850">
        <v>18048.02</v>
      </c>
      <c r="T1850">
        <v>0</v>
      </c>
      <c r="U1850" s="1"/>
      <c r="V1850" s="1"/>
      <c r="W1850">
        <v>238560</v>
      </c>
      <c r="X1850">
        <v>0</v>
      </c>
      <c r="Y1850">
        <v>74449</v>
      </c>
    </row>
    <row r="1851" spans="1:25" ht="15" hidden="1" customHeight="1" x14ac:dyDescent="0.25">
      <c r="A1851" s="1" t="s">
        <v>31</v>
      </c>
      <c r="B1851" s="1"/>
      <c r="C1851" s="1" t="s">
        <v>159</v>
      </c>
      <c r="D1851">
        <v>10229</v>
      </c>
      <c r="E1851" s="1"/>
      <c r="F1851" s="1" t="s">
        <v>377</v>
      </c>
      <c r="G1851" s="1" t="s">
        <v>1397</v>
      </c>
      <c r="H1851" s="1" t="s">
        <v>1405</v>
      </c>
      <c r="I1851">
        <v>2015</v>
      </c>
      <c r="J1851" s="93">
        <v>0</v>
      </c>
      <c r="K1851">
        <v>4</v>
      </c>
      <c r="L1851" s="1" t="s">
        <v>524</v>
      </c>
      <c r="M1851">
        <v>0</v>
      </c>
      <c r="N1851">
        <v>0</v>
      </c>
      <c r="O1851">
        <v>90529.4</v>
      </c>
      <c r="P1851">
        <v>2</v>
      </c>
      <c r="Q1851" s="1" t="s">
        <v>569</v>
      </c>
      <c r="S1851">
        <v>4245.83</v>
      </c>
      <c r="T1851">
        <v>1</v>
      </c>
      <c r="U1851" s="1"/>
      <c r="V1851" s="1"/>
      <c r="W1851">
        <v>9052.9411700000001</v>
      </c>
      <c r="X1851">
        <v>0</v>
      </c>
      <c r="Y1851">
        <v>77492</v>
      </c>
    </row>
    <row r="1852" spans="1:25" ht="15" hidden="1" customHeight="1" x14ac:dyDescent="0.25">
      <c r="A1852" s="1" t="s">
        <v>31</v>
      </c>
      <c r="B1852" s="1"/>
      <c r="C1852" s="1" t="s">
        <v>159</v>
      </c>
      <c r="D1852">
        <v>9522</v>
      </c>
      <c r="E1852" s="1"/>
      <c r="F1852" s="1" t="s">
        <v>292</v>
      </c>
      <c r="G1852" s="1" t="s">
        <v>1397</v>
      </c>
      <c r="H1852" s="1" t="s">
        <v>1405</v>
      </c>
      <c r="I1852">
        <v>2015</v>
      </c>
      <c r="J1852" s="93">
        <v>298927</v>
      </c>
      <c r="K1852">
        <v>5</v>
      </c>
      <c r="L1852" s="1"/>
      <c r="M1852">
        <v>0</v>
      </c>
      <c r="N1852">
        <v>5224</v>
      </c>
      <c r="O1852">
        <v>27.089464</v>
      </c>
      <c r="P1852">
        <v>2</v>
      </c>
      <c r="Q1852" s="1" t="s">
        <v>569</v>
      </c>
      <c r="S1852">
        <v>42455.42</v>
      </c>
      <c r="T1852">
        <v>0</v>
      </c>
      <c r="U1852" s="1"/>
      <c r="V1852" s="1" t="s">
        <v>1294</v>
      </c>
      <c r="W1852">
        <v>141518.07</v>
      </c>
      <c r="X1852">
        <v>0</v>
      </c>
      <c r="Y1852">
        <v>74447</v>
      </c>
    </row>
    <row r="1853" spans="1:25" ht="15" hidden="1" customHeight="1" x14ac:dyDescent="0.25">
      <c r="A1853" s="1" t="s">
        <v>32</v>
      </c>
      <c r="B1853" s="1" t="s">
        <v>67</v>
      </c>
      <c r="C1853" s="1" t="s">
        <v>160</v>
      </c>
      <c r="D1853">
        <v>6354</v>
      </c>
      <c r="E1853" s="1"/>
      <c r="F1853" s="1" t="s">
        <v>293</v>
      </c>
      <c r="G1853" s="1" t="s">
        <v>160</v>
      </c>
      <c r="H1853" s="1" t="s">
        <v>1405</v>
      </c>
      <c r="I1853">
        <v>2014</v>
      </c>
      <c r="J1853" s="93">
        <v>165.13</v>
      </c>
      <c r="K1853">
        <v>12</v>
      </c>
      <c r="L1853" s="1" t="s">
        <v>426</v>
      </c>
      <c r="M1853">
        <v>0</v>
      </c>
      <c r="N1853">
        <v>196</v>
      </c>
      <c r="O1853">
        <v>0.84206999999999999</v>
      </c>
      <c r="P1853">
        <v>3</v>
      </c>
      <c r="Q1853" s="1" t="s">
        <v>560</v>
      </c>
      <c r="R1853" s="93">
        <v>165.13</v>
      </c>
      <c r="S1853">
        <v>132.11000000000001</v>
      </c>
      <c r="T1853">
        <v>0</v>
      </c>
      <c r="U1853" s="1" t="s">
        <v>635</v>
      </c>
      <c r="V1853" s="1"/>
      <c r="W1853">
        <v>165.13900000000001</v>
      </c>
      <c r="X1853">
        <v>0</v>
      </c>
      <c r="Y1853">
        <v>62637</v>
      </c>
    </row>
    <row r="1854" spans="1:25" ht="15" hidden="1" customHeight="1" x14ac:dyDescent="0.25">
      <c r="A1854" s="1" t="s">
        <v>32</v>
      </c>
      <c r="B1854" s="1" t="s">
        <v>67</v>
      </c>
      <c r="C1854" s="1" t="s">
        <v>160</v>
      </c>
      <c r="D1854">
        <v>6354</v>
      </c>
      <c r="E1854" s="1"/>
      <c r="F1854" s="1" t="s">
        <v>293</v>
      </c>
      <c r="G1854" s="1" t="s">
        <v>160</v>
      </c>
      <c r="H1854" s="1" t="s">
        <v>1405</v>
      </c>
      <c r="I1854">
        <v>2014</v>
      </c>
      <c r="J1854" s="93">
        <v>6491.44</v>
      </c>
      <c r="K1854">
        <v>12</v>
      </c>
      <c r="L1854" s="1" t="s">
        <v>520</v>
      </c>
      <c r="M1854">
        <v>0</v>
      </c>
      <c r="N1854">
        <v>196</v>
      </c>
      <c r="O1854">
        <v>33.102702000000001</v>
      </c>
      <c r="P1854">
        <v>2</v>
      </c>
      <c r="Q1854" s="1" t="s">
        <v>569</v>
      </c>
      <c r="R1854" s="93">
        <v>6491.44</v>
      </c>
      <c r="S1854">
        <v>2596.58</v>
      </c>
      <c r="T1854">
        <v>0</v>
      </c>
      <c r="U1854" s="1" t="s">
        <v>1016</v>
      </c>
      <c r="V1854" s="1" t="s">
        <v>1295</v>
      </c>
      <c r="W1854">
        <v>6491.4440000000004</v>
      </c>
      <c r="X1854">
        <v>0</v>
      </c>
      <c r="Y1854">
        <v>62635</v>
      </c>
    </row>
    <row r="1855" spans="1:25" ht="15" hidden="1" customHeight="1" x14ac:dyDescent="0.25">
      <c r="A1855" s="1" t="s">
        <v>32</v>
      </c>
      <c r="B1855" s="1" t="s">
        <v>67</v>
      </c>
      <c r="C1855" s="1" t="s">
        <v>160</v>
      </c>
      <c r="D1855">
        <v>6354</v>
      </c>
      <c r="E1855" s="1"/>
      <c r="F1855" s="1" t="s">
        <v>293</v>
      </c>
      <c r="G1855" s="1" t="s">
        <v>160</v>
      </c>
      <c r="H1855" s="1" t="s">
        <v>1405</v>
      </c>
      <c r="I1855">
        <v>2014</v>
      </c>
      <c r="J1855" s="93">
        <v>6864</v>
      </c>
      <c r="K1855">
        <v>12</v>
      </c>
      <c r="L1855" s="1" t="s">
        <v>411</v>
      </c>
      <c r="M1855">
        <v>0</v>
      </c>
      <c r="N1855">
        <v>196</v>
      </c>
      <c r="O1855">
        <v>35.002549000000002</v>
      </c>
      <c r="P1855">
        <v>1</v>
      </c>
      <c r="Q1855" s="1" t="s">
        <v>565</v>
      </c>
      <c r="R1855" s="93">
        <v>8260.4</v>
      </c>
      <c r="S1855">
        <v>528.67999999999995</v>
      </c>
      <c r="T1855">
        <v>0</v>
      </c>
      <c r="U1855" s="1" t="s">
        <v>812</v>
      </c>
      <c r="V1855" s="1"/>
      <c r="W1855">
        <v>6.8639999999999999</v>
      </c>
      <c r="X1855">
        <v>0</v>
      </c>
      <c r="Y1855">
        <v>62636</v>
      </c>
    </row>
    <row r="1856" spans="1:25" ht="15" hidden="1" customHeight="1" x14ac:dyDescent="0.25">
      <c r="A1856" s="1" t="s">
        <v>32</v>
      </c>
      <c r="B1856" s="1"/>
      <c r="C1856" s="1" t="s">
        <v>161</v>
      </c>
      <c r="D1856">
        <v>12292</v>
      </c>
      <c r="E1856" s="1" t="s">
        <v>243</v>
      </c>
      <c r="F1856" s="1" t="s">
        <v>161</v>
      </c>
      <c r="G1856" s="1" t="s">
        <v>161</v>
      </c>
      <c r="H1856" s="1" t="s">
        <v>1405</v>
      </c>
      <c r="I1856">
        <v>2014</v>
      </c>
      <c r="J1856" s="93">
        <v>6.26</v>
      </c>
      <c r="K1856">
        <v>4</v>
      </c>
      <c r="L1856" s="1" t="s">
        <v>431</v>
      </c>
      <c r="M1856">
        <v>0</v>
      </c>
      <c r="N1856">
        <v>68</v>
      </c>
      <c r="O1856">
        <v>9.1923000000000005E-2</v>
      </c>
      <c r="P1856">
        <v>3</v>
      </c>
      <c r="Q1856" s="1" t="s">
        <v>560</v>
      </c>
      <c r="R1856" s="93">
        <v>6.26</v>
      </c>
      <c r="S1856">
        <v>4.99</v>
      </c>
      <c r="T1856">
        <v>0</v>
      </c>
      <c r="U1856" s="1"/>
      <c r="V1856" s="1"/>
      <c r="W1856">
        <v>6.2610900000000003</v>
      </c>
      <c r="X1856">
        <v>0</v>
      </c>
      <c r="Y1856">
        <v>84120</v>
      </c>
    </row>
    <row r="1857" spans="1:25" ht="15" hidden="1" customHeight="1" x14ac:dyDescent="0.25">
      <c r="A1857" s="1" t="s">
        <v>32</v>
      </c>
      <c r="B1857" s="1"/>
      <c r="C1857" s="1" t="s">
        <v>161</v>
      </c>
      <c r="D1857">
        <v>12292</v>
      </c>
      <c r="E1857" s="1" t="s">
        <v>243</v>
      </c>
      <c r="F1857" s="1" t="s">
        <v>161</v>
      </c>
      <c r="G1857" s="1" t="s">
        <v>161</v>
      </c>
      <c r="H1857" s="1" t="s">
        <v>1405</v>
      </c>
      <c r="I1857">
        <v>2014</v>
      </c>
      <c r="J1857" s="93">
        <v>7821.76</v>
      </c>
      <c r="K1857">
        <v>12</v>
      </c>
      <c r="L1857" s="1" t="s">
        <v>441</v>
      </c>
      <c r="M1857">
        <v>0</v>
      </c>
      <c r="N1857">
        <v>68</v>
      </c>
      <c r="O1857">
        <v>114.85697500000001</v>
      </c>
      <c r="P1857">
        <v>2</v>
      </c>
      <c r="Q1857" s="1" t="s">
        <v>569</v>
      </c>
      <c r="R1857" s="93">
        <v>7821.76</v>
      </c>
      <c r="S1857">
        <v>2346.5300000000002</v>
      </c>
      <c r="T1857">
        <v>0</v>
      </c>
      <c r="U1857" s="1" t="s">
        <v>1017</v>
      </c>
      <c r="V1857" s="1" t="s">
        <v>1296</v>
      </c>
      <c r="W1857">
        <v>7821.7610000000004</v>
      </c>
      <c r="X1857">
        <v>0</v>
      </c>
      <c r="Y1857">
        <v>84119</v>
      </c>
    </row>
    <row r="1858" spans="1:25" ht="15" hidden="1" customHeight="1" x14ac:dyDescent="0.25">
      <c r="A1858" s="1" t="s">
        <v>32</v>
      </c>
      <c r="B1858" s="1"/>
      <c r="C1858" s="1" t="s">
        <v>162</v>
      </c>
      <c r="D1858">
        <v>10231</v>
      </c>
      <c r="E1858" s="1"/>
      <c r="F1858" s="1" t="s">
        <v>294</v>
      </c>
      <c r="G1858" s="1" t="s">
        <v>162</v>
      </c>
      <c r="H1858" s="1" t="s">
        <v>1405</v>
      </c>
      <c r="I1858">
        <v>2014</v>
      </c>
      <c r="J1858" s="93">
        <v>196.2</v>
      </c>
      <c r="K1858">
        <v>12</v>
      </c>
      <c r="L1858" s="1" t="s">
        <v>432</v>
      </c>
      <c r="M1858">
        <v>0</v>
      </c>
      <c r="N1858">
        <v>449</v>
      </c>
      <c r="O1858">
        <v>0.43687300000000001</v>
      </c>
      <c r="P1858">
        <v>3</v>
      </c>
      <c r="Q1858" s="1" t="s">
        <v>560</v>
      </c>
      <c r="R1858" s="93">
        <v>196.2</v>
      </c>
      <c r="S1858">
        <v>156.96</v>
      </c>
      <c r="T1858">
        <v>0</v>
      </c>
      <c r="U1858" s="1" t="s">
        <v>636</v>
      </c>
      <c r="V1858" s="1"/>
      <c r="W1858">
        <v>196.2</v>
      </c>
      <c r="X1858">
        <v>0</v>
      </c>
      <c r="Y1858">
        <v>77507</v>
      </c>
    </row>
    <row r="1859" spans="1:25" ht="15" hidden="1" customHeight="1" x14ac:dyDescent="0.25">
      <c r="A1859" s="1" t="s">
        <v>32</v>
      </c>
      <c r="B1859" s="1"/>
      <c r="C1859" s="1" t="s">
        <v>162</v>
      </c>
      <c r="D1859">
        <v>10231</v>
      </c>
      <c r="E1859" s="1"/>
      <c r="F1859" s="1" t="s">
        <v>294</v>
      </c>
      <c r="G1859" s="1" t="s">
        <v>162</v>
      </c>
      <c r="H1859" s="1" t="s">
        <v>1405</v>
      </c>
      <c r="I1859">
        <v>2014</v>
      </c>
      <c r="J1859" s="93">
        <v>5946.13</v>
      </c>
      <c r="K1859">
        <v>12</v>
      </c>
      <c r="L1859" s="1" t="s">
        <v>432</v>
      </c>
      <c r="M1859">
        <v>0</v>
      </c>
      <c r="N1859">
        <v>449</v>
      </c>
      <c r="O1859">
        <v>13.240102</v>
      </c>
      <c r="P1859">
        <v>2</v>
      </c>
      <c r="Q1859" s="1" t="s">
        <v>569</v>
      </c>
      <c r="R1859" s="93">
        <v>5946.13</v>
      </c>
      <c r="S1859">
        <v>1783.84</v>
      </c>
      <c r="T1859">
        <v>0</v>
      </c>
      <c r="U1859" s="1" t="s">
        <v>1018</v>
      </c>
      <c r="V1859" s="1" t="s">
        <v>1297</v>
      </c>
      <c r="W1859">
        <v>5946.1270000000004</v>
      </c>
      <c r="X1859">
        <v>0</v>
      </c>
      <c r="Y1859">
        <v>77506</v>
      </c>
    </row>
    <row r="1860" spans="1:25" ht="15" hidden="1" customHeight="1" x14ac:dyDescent="0.25">
      <c r="A1860" s="1" t="s">
        <v>32</v>
      </c>
      <c r="B1860" s="1"/>
      <c r="C1860" s="1" t="s">
        <v>162</v>
      </c>
      <c r="D1860">
        <v>10231</v>
      </c>
      <c r="E1860" s="1"/>
      <c r="F1860" s="1" t="s">
        <v>294</v>
      </c>
      <c r="G1860" s="1" t="s">
        <v>162</v>
      </c>
      <c r="H1860" s="1" t="s">
        <v>1405</v>
      </c>
      <c r="I1860">
        <v>2014</v>
      </c>
      <c r="J1860" s="93">
        <v>48998</v>
      </c>
      <c r="K1860">
        <v>12</v>
      </c>
      <c r="L1860" s="1" t="s">
        <v>432</v>
      </c>
      <c r="M1860">
        <v>0</v>
      </c>
      <c r="N1860">
        <v>449</v>
      </c>
      <c r="O1860">
        <v>109.102649</v>
      </c>
      <c r="P1860">
        <v>1</v>
      </c>
      <c r="Q1860" s="1" t="s">
        <v>565</v>
      </c>
      <c r="R1860" s="93">
        <v>59305.27</v>
      </c>
      <c r="S1860">
        <v>3795.54</v>
      </c>
      <c r="T1860">
        <v>0</v>
      </c>
      <c r="U1860" s="1" t="s">
        <v>813</v>
      </c>
      <c r="V1860" s="1"/>
      <c r="W1860">
        <v>48.997999999999998</v>
      </c>
      <c r="X1860">
        <v>0</v>
      </c>
      <c r="Y1860">
        <v>77513</v>
      </c>
    </row>
    <row r="1861" spans="1:25" ht="15" hidden="1" customHeight="1" x14ac:dyDescent="0.25">
      <c r="A1861" s="1" t="s">
        <v>32</v>
      </c>
      <c r="B1861" s="1" t="s">
        <v>67</v>
      </c>
      <c r="C1861" s="1" t="s">
        <v>160</v>
      </c>
      <c r="D1861">
        <v>6354</v>
      </c>
      <c r="E1861" s="1"/>
      <c r="F1861" s="1" t="s">
        <v>293</v>
      </c>
      <c r="G1861" s="1" t="s">
        <v>160</v>
      </c>
      <c r="H1861" s="1" t="s">
        <v>1405</v>
      </c>
      <c r="I1861">
        <v>2015</v>
      </c>
      <c r="J1861" s="93">
        <v>231</v>
      </c>
      <c r="K1861">
        <v>5</v>
      </c>
      <c r="L1861" s="1" t="s">
        <v>426</v>
      </c>
      <c r="M1861">
        <v>0</v>
      </c>
      <c r="N1861">
        <v>196</v>
      </c>
      <c r="O1861">
        <v>0.52590499999999996</v>
      </c>
      <c r="P1861">
        <v>3</v>
      </c>
      <c r="Q1861" s="1" t="s">
        <v>560</v>
      </c>
      <c r="R1861" s="93">
        <v>103.13</v>
      </c>
      <c r="S1861">
        <v>82.51</v>
      </c>
      <c r="T1861">
        <v>0</v>
      </c>
      <c r="U1861" s="1" t="s">
        <v>635</v>
      </c>
      <c r="V1861" s="1"/>
      <c r="W1861">
        <v>103.13200000000001</v>
      </c>
      <c r="X1861">
        <v>0</v>
      </c>
      <c r="Y1861">
        <v>62637</v>
      </c>
    </row>
    <row r="1862" spans="1:25" ht="15" hidden="1" customHeight="1" x14ac:dyDescent="0.25">
      <c r="A1862" s="1" t="s">
        <v>32</v>
      </c>
      <c r="B1862" s="1"/>
      <c r="C1862" s="1" t="s">
        <v>162</v>
      </c>
      <c r="D1862">
        <v>10231</v>
      </c>
      <c r="E1862" s="1"/>
      <c r="F1862" s="1" t="s">
        <v>294</v>
      </c>
      <c r="G1862" s="1" t="s">
        <v>162</v>
      </c>
      <c r="H1862" s="1" t="s">
        <v>1396</v>
      </c>
      <c r="I1862">
        <v>2014</v>
      </c>
      <c r="J1862" s="93">
        <v>60667.44</v>
      </c>
      <c r="K1862">
        <v>12</v>
      </c>
      <c r="L1862" s="1"/>
      <c r="M1862">
        <v>0</v>
      </c>
      <c r="N1862">
        <v>449</v>
      </c>
      <c r="O1862">
        <v>135.08670599999999</v>
      </c>
      <c r="P1862">
        <v>1</v>
      </c>
      <c r="Q1862" s="1" t="s">
        <v>563</v>
      </c>
      <c r="R1862" s="93">
        <v>71586.8</v>
      </c>
      <c r="S1862">
        <v>9007.32</v>
      </c>
      <c r="T1862">
        <v>1</v>
      </c>
      <c r="U1862" s="1" t="s">
        <v>814</v>
      </c>
      <c r="V1862" s="1"/>
      <c r="W1862">
        <v>1738.82</v>
      </c>
      <c r="X1862">
        <v>0</v>
      </c>
      <c r="Y1862">
        <v>89939</v>
      </c>
    </row>
    <row r="1863" spans="1:25" ht="15" hidden="1" customHeight="1" x14ac:dyDescent="0.25">
      <c r="A1863" s="1" t="s">
        <v>32</v>
      </c>
      <c r="B1863" s="1" t="s">
        <v>67</v>
      </c>
      <c r="C1863" s="1" t="s">
        <v>160</v>
      </c>
      <c r="D1863">
        <v>6354</v>
      </c>
      <c r="E1863" s="1"/>
      <c r="F1863" s="1" t="s">
        <v>293</v>
      </c>
      <c r="G1863" s="1" t="s">
        <v>160</v>
      </c>
      <c r="H1863" s="1" t="s">
        <v>1405</v>
      </c>
      <c r="I1863">
        <v>2013</v>
      </c>
      <c r="J1863" s="93">
        <v>132.51</v>
      </c>
      <c r="K1863">
        <v>12</v>
      </c>
      <c r="L1863" s="1" t="s">
        <v>426</v>
      </c>
      <c r="M1863">
        <v>0</v>
      </c>
      <c r="N1863">
        <v>196</v>
      </c>
      <c r="O1863">
        <v>0.67572600000000005</v>
      </c>
      <c r="P1863">
        <v>3</v>
      </c>
      <c r="Q1863" s="1" t="s">
        <v>560</v>
      </c>
      <c r="R1863" s="93">
        <v>132.51</v>
      </c>
      <c r="S1863">
        <v>106.01</v>
      </c>
      <c r="T1863">
        <v>0</v>
      </c>
      <c r="U1863" s="1" t="s">
        <v>635</v>
      </c>
      <c r="V1863" s="1"/>
      <c r="W1863">
        <v>132.52699999999999</v>
      </c>
      <c r="X1863">
        <v>0</v>
      </c>
      <c r="Y1863">
        <v>62637</v>
      </c>
    </row>
    <row r="1864" spans="1:25" ht="15" hidden="1" customHeight="1" x14ac:dyDescent="0.25">
      <c r="A1864" s="1" t="s">
        <v>32</v>
      </c>
      <c r="B1864" s="1" t="s">
        <v>67</v>
      </c>
      <c r="C1864" s="1" t="s">
        <v>160</v>
      </c>
      <c r="D1864">
        <v>6354</v>
      </c>
      <c r="E1864" s="1"/>
      <c r="F1864" s="1" t="s">
        <v>293</v>
      </c>
      <c r="G1864" s="1" t="s">
        <v>160</v>
      </c>
      <c r="H1864" s="1" t="s">
        <v>1405</v>
      </c>
      <c r="I1864">
        <v>2012</v>
      </c>
      <c r="J1864" s="93">
        <v>142.87</v>
      </c>
      <c r="K1864">
        <v>12</v>
      </c>
      <c r="L1864" s="1" t="s">
        <v>426</v>
      </c>
      <c r="M1864">
        <v>0</v>
      </c>
      <c r="N1864">
        <v>196</v>
      </c>
      <c r="O1864">
        <v>0.72855599999999998</v>
      </c>
      <c r="P1864">
        <v>3</v>
      </c>
      <c r="Q1864" s="1" t="s">
        <v>560</v>
      </c>
      <c r="R1864" s="93">
        <v>142.87</v>
      </c>
      <c r="S1864">
        <v>114.28</v>
      </c>
      <c r="T1864">
        <v>0</v>
      </c>
      <c r="U1864" s="1" t="s">
        <v>635</v>
      </c>
      <c r="V1864" s="1"/>
      <c r="W1864">
        <v>142.86699999999999</v>
      </c>
      <c r="X1864">
        <v>0</v>
      </c>
      <c r="Y1864">
        <v>62637</v>
      </c>
    </row>
    <row r="1865" spans="1:25" ht="15" hidden="1" customHeight="1" x14ac:dyDescent="0.25">
      <c r="A1865" s="1" t="s">
        <v>32</v>
      </c>
      <c r="B1865" s="1" t="s">
        <v>67</v>
      </c>
      <c r="C1865" s="1" t="s">
        <v>160</v>
      </c>
      <c r="D1865">
        <v>6354</v>
      </c>
      <c r="E1865" s="1"/>
      <c r="F1865" s="1" t="s">
        <v>293</v>
      </c>
      <c r="G1865" s="1" t="s">
        <v>160</v>
      </c>
      <c r="H1865" s="1" t="s">
        <v>1405</v>
      </c>
      <c r="I1865">
        <v>2011</v>
      </c>
      <c r="J1865" s="93">
        <v>139.79</v>
      </c>
      <c r="K1865">
        <v>10</v>
      </c>
      <c r="L1865" s="1" t="s">
        <v>426</v>
      </c>
      <c r="M1865">
        <v>0</v>
      </c>
      <c r="N1865">
        <v>196</v>
      </c>
      <c r="O1865">
        <v>0.71284999999999998</v>
      </c>
      <c r="P1865">
        <v>3</v>
      </c>
      <c r="Q1865" s="1" t="s">
        <v>560</v>
      </c>
      <c r="R1865" s="93">
        <v>139.79</v>
      </c>
      <c r="S1865">
        <v>111.82</v>
      </c>
      <c r="T1865">
        <v>0</v>
      </c>
      <c r="U1865" s="1" t="s">
        <v>635</v>
      </c>
      <c r="V1865" s="1"/>
      <c r="W1865">
        <v>139.76883000000001</v>
      </c>
      <c r="X1865">
        <v>0</v>
      </c>
      <c r="Y1865">
        <v>62637</v>
      </c>
    </row>
    <row r="1866" spans="1:25" ht="15" hidden="1" customHeight="1" x14ac:dyDescent="0.25">
      <c r="A1866" s="1" t="s">
        <v>32</v>
      </c>
      <c r="B1866" s="1" t="s">
        <v>67</v>
      </c>
      <c r="C1866" s="1" t="s">
        <v>160</v>
      </c>
      <c r="D1866">
        <v>6354</v>
      </c>
      <c r="E1866" s="1"/>
      <c r="F1866" s="1" t="s">
        <v>293</v>
      </c>
      <c r="G1866" s="1" t="s">
        <v>160</v>
      </c>
      <c r="H1866" s="1" t="s">
        <v>1405</v>
      </c>
      <c r="I1866">
        <v>2010</v>
      </c>
      <c r="J1866" s="93">
        <v>263.42</v>
      </c>
      <c r="K1866">
        <v>4</v>
      </c>
      <c r="L1866" s="1" t="s">
        <v>426</v>
      </c>
      <c r="M1866">
        <v>0</v>
      </c>
      <c r="N1866">
        <v>196</v>
      </c>
      <c r="O1866">
        <v>1.343294</v>
      </c>
      <c r="P1866">
        <v>3</v>
      </c>
      <c r="Q1866" s="1" t="s">
        <v>560</v>
      </c>
      <c r="R1866" s="93">
        <v>263.42</v>
      </c>
      <c r="S1866">
        <v>210.74</v>
      </c>
      <c r="T1866">
        <v>0</v>
      </c>
      <c r="U1866" s="1" t="s">
        <v>635</v>
      </c>
      <c r="V1866" s="1"/>
      <c r="W1866">
        <v>263.43248</v>
      </c>
      <c r="X1866">
        <v>0</v>
      </c>
      <c r="Y1866">
        <v>62637</v>
      </c>
    </row>
    <row r="1867" spans="1:25" ht="15" hidden="1" customHeight="1" x14ac:dyDescent="0.25">
      <c r="A1867" s="1" t="s">
        <v>32</v>
      </c>
      <c r="B1867" s="1" t="s">
        <v>67</v>
      </c>
      <c r="C1867" s="1" t="s">
        <v>160</v>
      </c>
      <c r="D1867">
        <v>6354</v>
      </c>
      <c r="E1867" s="1"/>
      <c r="F1867" s="1" t="s">
        <v>293</v>
      </c>
      <c r="G1867" s="1" t="s">
        <v>160</v>
      </c>
      <c r="H1867" s="1" t="s">
        <v>1405</v>
      </c>
      <c r="I1867">
        <v>2009</v>
      </c>
      <c r="J1867" s="93">
        <v>235.3</v>
      </c>
      <c r="K1867">
        <v>6</v>
      </c>
      <c r="L1867" s="1" t="s">
        <v>426</v>
      </c>
      <c r="M1867">
        <v>0</v>
      </c>
      <c r="N1867">
        <v>196</v>
      </c>
      <c r="O1867">
        <v>1.1998979999999999</v>
      </c>
      <c r="P1867">
        <v>3</v>
      </c>
      <c r="Q1867" s="1" t="s">
        <v>560</v>
      </c>
      <c r="R1867" s="93">
        <v>235.3</v>
      </c>
      <c r="S1867">
        <v>188.21</v>
      </c>
      <c r="T1867">
        <v>0</v>
      </c>
      <c r="U1867" s="1" t="s">
        <v>635</v>
      </c>
      <c r="V1867" s="1"/>
      <c r="W1867">
        <v>235.28996000000001</v>
      </c>
      <c r="X1867">
        <v>0</v>
      </c>
      <c r="Y1867">
        <v>62637</v>
      </c>
    </row>
    <row r="1868" spans="1:25" ht="15" hidden="1" customHeight="1" x14ac:dyDescent="0.25">
      <c r="A1868" s="1" t="s">
        <v>32</v>
      </c>
      <c r="B1868" s="1" t="s">
        <v>67</v>
      </c>
      <c r="C1868" s="1" t="s">
        <v>160</v>
      </c>
      <c r="D1868">
        <v>6354</v>
      </c>
      <c r="E1868" s="1"/>
      <c r="F1868" s="1" t="s">
        <v>293</v>
      </c>
      <c r="G1868" s="1" t="s">
        <v>160</v>
      </c>
      <c r="H1868" s="1" t="s">
        <v>1405</v>
      </c>
      <c r="I1868">
        <v>2008</v>
      </c>
      <c r="J1868" s="93">
        <v>99.23</v>
      </c>
      <c r="K1868">
        <v>12</v>
      </c>
      <c r="L1868" s="1" t="s">
        <v>426</v>
      </c>
      <c r="M1868">
        <v>0</v>
      </c>
      <c r="N1868">
        <v>196</v>
      </c>
      <c r="O1868">
        <v>0.50601700000000005</v>
      </c>
      <c r="P1868">
        <v>3</v>
      </c>
      <c r="Q1868" s="1" t="s">
        <v>560</v>
      </c>
      <c r="R1868" s="93">
        <v>99.23</v>
      </c>
      <c r="S1868">
        <v>79.36</v>
      </c>
      <c r="T1868">
        <v>0</v>
      </c>
      <c r="U1868" s="1" t="s">
        <v>635</v>
      </c>
      <c r="V1868" s="1"/>
      <c r="W1868">
        <v>99.218739999999997</v>
      </c>
      <c r="X1868">
        <v>0</v>
      </c>
      <c r="Y1868">
        <v>62637</v>
      </c>
    </row>
    <row r="1869" spans="1:25" ht="15" hidden="1" customHeight="1" x14ac:dyDescent="0.25">
      <c r="A1869" s="1" t="s">
        <v>32</v>
      </c>
      <c r="B1869" s="1"/>
      <c r="C1869" s="1" t="s">
        <v>161</v>
      </c>
      <c r="D1869">
        <v>12292</v>
      </c>
      <c r="E1869" s="1" t="s">
        <v>243</v>
      </c>
      <c r="F1869" s="1" t="s">
        <v>161</v>
      </c>
      <c r="G1869" s="1" t="s">
        <v>161</v>
      </c>
      <c r="H1869" s="1" t="s">
        <v>1405</v>
      </c>
      <c r="I1869">
        <v>2013</v>
      </c>
      <c r="J1869" s="93">
        <v>21.06</v>
      </c>
      <c r="K1869">
        <v>4</v>
      </c>
      <c r="L1869" s="1" t="s">
        <v>431</v>
      </c>
      <c r="M1869">
        <v>0</v>
      </c>
      <c r="N1869">
        <v>68</v>
      </c>
      <c r="O1869">
        <v>0.309251</v>
      </c>
      <c r="P1869">
        <v>3</v>
      </c>
      <c r="Q1869" s="1" t="s">
        <v>560</v>
      </c>
      <c r="R1869" s="93">
        <v>21.06</v>
      </c>
      <c r="S1869">
        <v>16.850000000000001</v>
      </c>
      <c r="T1869">
        <v>0</v>
      </c>
      <c r="U1869" s="1"/>
      <c r="V1869" s="1"/>
      <c r="W1869">
        <v>21.07142</v>
      </c>
      <c r="X1869">
        <v>0</v>
      </c>
      <c r="Y1869">
        <v>84120</v>
      </c>
    </row>
    <row r="1870" spans="1:25" ht="15" hidden="1" customHeight="1" x14ac:dyDescent="0.25">
      <c r="A1870" s="1" t="s">
        <v>32</v>
      </c>
      <c r="B1870" s="1"/>
      <c r="C1870" s="1" t="s">
        <v>161</v>
      </c>
      <c r="D1870">
        <v>12292</v>
      </c>
      <c r="E1870" s="1" t="s">
        <v>243</v>
      </c>
      <c r="F1870" s="1" t="s">
        <v>161</v>
      </c>
      <c r="G1870" s="1" t="s">
        <v>161</v>
      </c>
      <c r="H1870" s="1" t="s">
        <v>1405</v>
      </c>
      <c r="I1870">
        <v>2012</v>
      </c>
      <c r="J1870" s="93">
        <v>8.5399999999999991</v>
      </c>
      <c r="K1870">
        <v>4</v>
      </c>
      <c r="L1870" s="1" t="s">
        <v>431</v>
      </c>
      <c r="M1870">
        <v>0</v>
      </c>
      <c r="N1870">
        <v>68</v>
      </c>
      <c r="O1870">
        <v>0.12540299999999999</v>
      </c>
      <c r="P1870">
        <v>3</v>
      </c>
      <c r="Q1870" s="1" t="s">
        <v>560</v>
      </c>
      <c r="R1870" s="93">
        <v>8.5399999999999991</v>
      </c>
      <c r="S1870">
        <v>6.85</v>
      </c>
      <c r="T1870">
        <v>0</v>
      </c>
      <c r="U1870" s="1"/>
      <c r="V1870" s="1"/>
      <c r="W1870">
        <v>8.56752</v>
      </c>
      <c r="X1870">
        <v>0</v>
      </c>
      <c r="Y1870">
        <v>84120</v>
      </c>
    </row>
    <row r="1871" spans="1:25" ht="15" hidden="1" customHeight="1" x14ac:dyDescent="0.25">
      <c r="A1871" s="1" t="s">
        <v>32</v>
      </c>
      <c r="B1871" s="1"/>
      <c r="C1871" s="1" t="s">
        <v>161</v>
      </c>
      <c r="D1871">
        <v>12292</v>
      </c>
      <c r="E1871" s="1" t="s">
        <v>243</v>
      </c>
      <c r="F1871" s="1" t="s">
        <v>161</v>
      </c>
      <c r="G1871" s="1" t="s">
        <v>161</v>
      </c>
      <c r="H1871" s="1" t="s">
        <v>1405</v>
      </c>
      <c r="I1871">
        <v>2011</v>
      </c>
      <c r="J1871" s="93">
        <v>11.74</v>
      </c>
      <c r="K1871">
        <v>4</v>
      </c>
      <c r="L1871" s="1" t="s">
        <v>431</v>
      </c>
      <c r="M1871">
        <v>0</v>
      </c>
      <c r="N1871">
        <v>68</v>
      </c>
      <c r="O1871">
        <v>0.17239299999999999</v>
      </c>
      <c r="P1871">
        <v>3</v>
      </c>
      <c r="Q1871" s="1" t="s">
        <v>560</v>
      </c>
      <c r="R1871" s="93">
        <v>11.74</v>
      </c>
      <c r="S1871">
        <v>9.36</v>
      </c>
      <c r="T1871">
        <v>0</v>
      </c>
      <c r="U1871" s="1"/>
      <c r="V1871" s="1"/>
      <c r="W1871">
        <v>11.713340000000001</v>
      </c>
      <c r="X1871">
        <v>0</v>
      </c>
      <c r="Y1871">
        <v>84120</v>
      </c>
    </row>
    <row r="1872" spans="1:25" ht="15" hidden="1" customHeight="1" x14ac:dyDescent="0.25">
      <c r="A1872" s="1" t="s">
        <v>32</v>
      </c>
      <c r="B1872" s="1"/>
      <c r="C1872" s="1" t="s">
        <v>161</v>
      </c>
      <c r="D1872">
        <v>12292</v>
      </c>
      <c r="E1872" s="1" t="s">
        <v>243</v>
      </c>
      <c r="F1872" s="1" t="s">
        <v>161</v>
      </c>
      <c r="G1872" s="1" t="s">
        <v>161</v>
      </c>
      <c r="H1872" s="1" t="s">
        <v>1405</v>
      </c>
      <c r="I1872">
        <v>2010</v>
      </c>
      <c r="J1872" s="93">
        <v>52.28</v>
      </c>
      <c r="K1872">
        <v>3</v>
      </c>
      <c r="L1872" s="1" t="s">
        <v>431</v>
      </c>
      <c r="M1872">
        <v>0</v>
      </c>
      <c r="N1872">
        <v>68</v>
      </c>
      <c r="O1872">
        <v>0.76769399999999999</v>
      </c>
      <c r="P1872">
        <v>3</v>
      </c>
      <c r="Q1872" s="1" t="s">
        <v>560</v>
      </c>
      <c r="R1872" s="93">
        <v>52.28</v>
      </c>
      <c r="S1872">
        <v>41.83</v>
      </c>
      <c r="T1872">
        <v>0</v>
      </c>
      <c r="U1872" s="1"/>
      <c r="V1872" s="1"/>
      <c r="W1872">
        <v>52.286670000000001</v>
      </c>
      <c r="X1872">
        <v>0</v>
      </c>
      <c r="Y1872">
        <v>84120</v>
      </c>
    </row>
    <row r="1873" spans="1:25" ht="15" hidden="1" customHeight="1" x14ac:dyDescent="0.25">
      <c r="A1873" s="1" t="s">
        <v>32</v>
      </c>
      <c r="B1873" s="1"/>
      <c r="C1873" s="1" t="s">
        <v>162</v>
      </c>
      <c r="D1873">
        <v>10231</v>
      </c>
      <c r="E1873" s="1"/>
      <c r="F1873" s="1" t="s">
        <v>294</v>
      </c>
      <c r="G1873" s="1" t="s">
        <v>162</v>
      </c>
      <c r="H1873" s="1" t="s">
        <v>1405</v>
      </c>
      <c r="I1873">
        <v>2015</v>
      </c>
      <c r="J1873" s="93">
        <v>421</v>
      </c>
      <c r="K1873">
        <v>5</v>
      </c>
      <c r="L1873" s="1" t="s">
        <v>432</v>
      </c>
      <c r="M1873">
        <v>0</v>
      </c>
      <c r="N1873">
        <v>449</v>
      </c>
      <c r="O1873">
        <v>0.35272700000000001</v>
      </c>
      <c r="P1873">
        <v>3</v>
      </c>
      <c r="Q1873" s="1" t="s">
        <v>560</v>
      </c>
      <c r="R1873" s="93">
        <v>158.41</v>
      </c>
      <c r="S1873">
        <v>126.72</v>
      </c>
      <c r="T1873">
        <v>0</v>
      </c>
      <c r="U1873" s="1" t="s">
        <v>636</v>
      </c>
      <c r="V1873" s="1"/>
      <c r="W1873">
        <v>158.40600000000001</v>
      </c>
      <c r="X1873">
        <v>0</v>
      </c>
      <c r="Y1873">
        <v>77507</v>
      </c>
    </row>
    <row r="1874" spans="1:25" ht="15" hidden="1" customHeight="1" x14ac:dyDescent="0.25">
      <c r="A1874" s="1" t="s">
        <v>32</v>
      </c>
      <c r="B1874" s="1"/>
      <c r="C1874" s="1" t="s">
        <v>162</v>
      </c>
      <c r="D1874">
        <v>10231</v>
      </c>
      <c r="E1874" s="1"/>
      <c r="F1874" s="1" t="s">
        <v>294</v>
      </c>
      <c r="G1874" s="1" t="s">
        <v>162</v>
      </c>
      <c r="H1874" s="1" t="s">
        <v>1405</v>
      </c>
      <c r="I1874">
        <v>2013</v>
      </c>
      <c r="J1874" s="93">
        <v>159.6</v>
      </c>
      <c r="K1874">
        <v>12</v>
      </c>
      <c r="L1874" s="1" t="s">
        <v>432</v>
      </c>
      <c r="M1874">
        <v>0</v>
      </c>
      <c r="N1874">
        <v>449</v>
      </c>
      <c r="O1874">
        <v>0.355377</v>
      </c>
      <c r="P1874">
        <v>3</v>
      </c>
      <c r="Q1874" s="1" t="s">
        <v>560</v>
      </c>
      <c r="R1874" s="93">
        <v>159.6</v>
      </c>
      <c r="S1874">
        <v>127.68</v>
      </c>
      <c r="T1874">
        <v>0</v>
      </c>
      <c r="U1874" s="1" t="s">
        <v>636</v>
      </c>
      <c r="V1874" s="1"/>
      <c r="W1874">
        <v>159.6</v>
      </c>
      <c r="X1874">
        <v>0</v>
      </c>
      <c r="Y1874">
        <v>77507</v>
      </c>
    </row>
    <row r="1875" spans="1:25" ht="15" hidden="1" customHeight="1" x14ac:dyDescent="0.25">
      <c r="A1875" s="1" t="s">
        <v>32</v>
      </c>
      <c r="B1875" s="1"/>
      <c r="C1875" s="1" t="s">
        <v>162</v>
      </c>
      <c r="D1875">
        <v>10231</v>
      </c>
      <c r="E1875" s="1"/>
      <c r="F1875" s="1" t="s">
        <v>294</v>
      </c>
      <c r="G1875" s="1" t="s">
        <v>162</v>
      </c>
      <c r="H1875" s="1" t="s">
        <v>1405</v>
      </c>
      <c r="I1875">
        <v>2012</v>
      </c>
      <c r="J1875" s="93">
        <v>162.6</v>
      </c>
      <c r="K1875">
        <v>12</v>
      </c>
      <c r="L1875" s="1" t="s">
        <v>432</v>
      </c>
      <c r="M1875">
        <v>0</v>
      </c>
      <c r="N1875">
        <v>449</v>
      </c>
      <c r="O1875">
        <v>0.36205700000000002</v>
      </c>
      <c r="P1875">
        <v>3</v>
      </c>
      <c r="Q1875" s="1" t="s">
        <v>560</v>
      </c>
      <c r="R1875" s="93">
        <v>162.6</v>
      </c>
      <c r="S1875">
        <v>130.08000000000001</v>
      </c>
      <c r="T1875">
        <v>0</v>
      </c>
      <c r="U1875" s="1" t="s">
        <v>636</v>
      </c>
      <c r="V1875" s="1"/>
      <c r="W1875">
        <v>162.6</v>
      </c>
      <c r="X1875">
        <v>0</v>
      </c>
      <c r="Y1875">
        <v>77507</v>
      </c>
    </row>
    <row r="1876" spans="1:25" ht="15" hidden="1" customHeight="1" x14ac:dyDescent="0.25">
      <c r="A1876" s="1" t="s">
        <v>32</v>
      </c>
      <c r="B1876" s="1"/>
      <c r="C1876" s="1" t="s">
        <v>162</v>
      </c>
      <c r="D1876">
        <v>10231</v>
      </c>
      <c r="E1876" s="1"/>
      <c r="F1876" s="1" t="s">
        <v>294</v>
      </c>
      <c r="G1876" s="1" t="s">
        <v>162</v>
      </c>
      <c r="H1876" s="1" t="s">
        <v>1405</v>
      </c>
      <c r="I1876">
        <v>2011</v>
      </c>
      <c r="J1876" s="93">
        <v>530.53</v>
      </c>
      <c r="K1876">
        <v>12</v>
      </c>
      <c r="L1876" s="1" t="s">
        <v>432</v>
      </c>
      <c r="M1876">
        <v>0</v>
      </c>
      <c r="N1876">
        <v>449</v>
      </c>
      <c r="O1876">
        <v>1.1813180000000001</v>
      </c>
      <c r="P1876">
        <v>3</v>
      </c>
      <c r="Q1876" s="1" t="s">
        <v>560</v>
      </c>
      <c r="R1876" s="93">
        <v>530.53</v>
      </c>
      <c r="S1876">
        <v>424.41</v>
      </c>
      <c r="T1876">
        <v>0</v>
      </c>
      <c r="U1876" s="1" t="s">
        <v>636</v>
      </c>
      <c r="V1876" s="1"/>
      <c r="W1876">
        <v>530.52052000000003</v>
      </c>
      <c r="X1876">
        <v>0</v>
      </c>
      <c r="Y1876">
        <v>77507</v>
      </c>
    </row>
    <row r="1877" spans="1:25" ht="15" hidden="1" customHeight="1" x14ac:dyDescent="0.25">
      <c r="A1877" s="1" t="s">
        <v>32</v>
      </c>
      <c r="B1877" s="1"/>
      <c r="C1877" s="1" t="s">
        <v>162</v>
      </c>
      <c r="D1877">
        <v>10231</v>
      </c>
      <c r="E1877" s="1"/>
      <c r="F1877" s="1" t="s">
        <v>294</v>
      </c>
      <c r="G1877" s="1" t="s">
        <v>162</v>
      </c>
      <c r="H1877" s="1" t="s">
        <v>1405</v>
      </c>
      <c r="I1877">
        <v>2010</v>
      </c>
      <c r="J1877" s="93">
        <v>226.45</v>
      </c>
      <c r="K1877">
        <v>12</v>
      </c>
      <c r="L1877" s="1" t="s">
        <v>432</v>
      </c>
      <c r="M1877">
        <v>0</v>
      </c>
      <c r="N1877">
        <v>449</v>
      </c>
      <c r="O1877">
        <v>0.50422999999999996</v>
      </c>
      <c r="P1877">
        <v>3</v>
      </c>
      <c r="Q1877" s="1" t="s">
        <v>560</v>
      </c>
      <c r="R1877" s="93">
        <v>226.45</v>
      </c>
      <c r="S1877">
        <v>181.16</v>
      </c>
      <c r="T1877">
        <v>0</v>
      </c>
      <c r="U1877" s="1" t="s">
        <v>636</v>
      </c>
      <c r="V1877" s="1"/>
      <c r="W1877">
        <v>226.43664000000001</v>
      </c>
      <c r="X1877">
        <v>0</v>
      </c>
      <c r="Y1877">
        <v>77507</v>
      </c>
    </row>
    <row r="1878" spans="1:25" ht="15" hidden="1" customHeight="1" x14ac:dyDescent="0.25">
      <c r="A1878" s="1" t="s">
        <v>32</v>
      </c>
      <c r="B1878" s="1"/>
      <c r="C1878" s="1" t="s">
        <v>162</v>
      </c>
      <c r="D1878">
        <v>10231</v>
      </c>
      <c r="E1878" s="1"/>
      <c r="F1878" s="1" t="s">
        <v>294</v>
      </c>
      <c r="G1878" s="1" t="s">
        <v>162</v>
      </c>
      <c r="H1878" s="1" t="s">
        <v>1405</v>
      </c>
      <c r="I1878">
        <v>2009</v>
      </c>
      <c r="J1878" s="93">
        <v>193.97</v>
      </c>
      <c r="K1878">
        <v>11</v>
      </c>
      <c r="L1878" s="1" t="s">
        <v>432</v>
      </c>
      <c r="M1878">
        <v>0</v>
      </c>
      <c r="N1878">
        <v>449</v>
      </c>
      <c r="O1878">
        <v>0.43190800000000001</v>
      </c>
      <c r="P1878">
        <v>3</v>
      </c>
      <c r="Q1878" s="1" t="s">
        <v>560</v>
      </c>
      <c r="R1878" s="93">
        <v>193.97</v>
      </c>
      <c r="S1878">
        <v>155.18</v>
      </c>
      <c r="T1878">
        <v>0</v>
      </c>
      <c r="U1878" s="1" t="s">
        <v>636</v>
      </c>
      <c r="V1878" s="1"/>
      <c r="W1878">
        <v>193.97237999999999</v>
      </c>
      <c r="X1878">
        <v>0</v>
      </c>
      <c r="Y1878">
        <v>77507</v>
      </c>
    </row>
    <row r="1879" spans="1:25" ht="15" hidden="1" customHeight="1" x14ac:dyDescent="0.25">
      <c r="A1879" s="1" t="s">
        <v>32</v>
      </c>
      <c r="B1879" s="1"/>
      <c r="C1879" s="1" t="s">
        <v>162</v>
      </c>
      <c r="D1879">
        <v>10231</v>
      </c>
      <c r="E1879" s="1"/>
      <c r="F1879" s="1" t="s">
        <v>294</v>
      </c>
      <c r="G1879" s="1" t="s">
        <v>162</v>
      </c>
      <c r="H1879" s="1" t="s">
        <v>1405</v>
      </c>
      <c r="I1879">
        <v>2008</v>
      </c>
      <c r="J1879" s="93">
        <v>245.04</v>
      </c>
      <c r="K1879">
        <v>10</v>
      </c>
      <c r="L1879" s="1" t="s">
        <v>432</v>
      </c>
      <c r="M1879">
        <v>0</v>
      </c>
      <c r="N1879">
        <v>449</v>
      </c>
      <c r="O1879">
        <v>0.545624</v>
      </c>
      <c r="P1879">
        <v>3</v>
      </c>
      <c r="Q1879" s="1" t="s">
        <v>560</v>
      </c>
      <c r="R1879" s="93">
        <v>245.04</v>
      </c>
      <c r="S1879">
        <v>196.02</v>
      </c>
      <c r="T1879">
        <v>0</v>
      </c>
      <c r="U1879" s="1" t="s">
        <v>636</v>
      </c>
      <c r="V1879" s="1"/>
      <c r="W1879">
        <v>245.02853999999999</v>
      </c>
      <c r="X1879">
        <v>0</v>
      </c>
      <c r="Y1879">
        <v>77507</v>
      </c>
    </row>
    <row r="1880" spans="1:25" ht="15" hidden="1" customHeight="1" x14ac:dyDescent="0.25">
      <c r="A1880" s="1" t="s">
        <v>32</v>
      </c>
      <c r="B1880" s="1" t="s">
        <v>68</v>
      </c>
      <c r="C1880" s="1" t="s">
        <v>163</v>
      </c>
      <c r="D1880">
        <v>5489</v>
      </c>
      <c r="E1880" s="1"/>
      <c r="F1880" s="1" t="s">
        <v>163</v>
      </c>
      <c r="G1880" s="1" t="s">
        <v>163</v>
      </c>
      <c r="H1880" s="1" t="s">
        <v>1396</v>
      </c>
      <c r="I1880">
        <v>2015</v>
      </c>
      <c r="J1880" s="93">
        <v>615</v>
      </c>
      <c r="K1880">
        <v>5</v>
      </c>
      <c r="L1880" s="1"/>
      <c r="M1880">
        <v>0</v>
      </c>
      <c r="N1880">
        <v>2801</v>
      </c>
      <c r="O1880">
        <v>0.219556</v>
      </c>
      <c r="P1880">
        <v>3</v>
      </c>
      <c r="Q1880" s="1" t="s">
        <v>560</v>
      </c>
      <c r="R1880" s="93">
        <v>615</v>
      </c>
      <c r="S1880">
        <v>492</v>
      </c>
      <c r="T1880">
        <v>1</v>
      </c>
      <c r="U1880" s="1" t="s">
        <v>637</v>
      </c>
      <c r="V1880" s="1"/>
      <c r="W1880">
        <v>615</v>
      </c>
      <c r="X1880">
        <v>0</v>
      </c>
      <c r="Y1880">
        <v>58005</v>
      </c>
    </row>
    <row r="1881" spans="1:25" ht="15" hidden="1" customHeight="1" x14ac:dyDescent="0.25">
      <c r="A1881" s="1" t="s">
        <v>32</v>
      </c>
      <c r="B1881" s="1" t="s">
        <v>68</v>
      </c>
      <c r="C1881" s="1" t="s">
        <v>163</v>
      </c>
      <c r="D1881">
        <v>5489</v>
      </c>
      <c r="E1881" s="1"/>
      <c r="F1881" s="1" t="s">
        <v>163</v>
      </c>
      <c r="G1881" s="1" t="s">
        <v>163</v>
      </c>
      <c r="H1881" s="1" t="s">
        <v>1396</v>
      </c>
      <c r="I1881">
        <v>2015</v>
      </c>
      <c r="J1881" s="93">
        <v>51.06</v>
      </c>
      <c r="K1881">
        <v>5</v>
      </c>
      <c r="L1881" s="1"/>
      <c r="M1881">
        <v>0</v>
      </c>
      <c r="N1881">
        <v>2801</v>
      </c>
      <c r="O1881">
        <v>1.8228000000000001E-2</v>
      </c>
      <c r="P1881">
        <v>3</v>
      </c>
      <c r="Q1881" s="1" t="s">
        <v>560</v>
      </c>
      <c r="R1881" s="93">
        <v>51.06</v>
      </c>
      <c r="S1881">
        <v>40.85</v>
      </c>
      <c r="T1881">
        <v>1</v>
      </c>
      <c r="U1881" s="1" t="s">
        <v>638</v>
      </c>
      <c r="V1881" s="1"/>
      <c r="W1881">
        <v>51.057000000000002</v>
      </c>
      <c r="X1881">
        <v>0</v>
      </c>
      <c r="Y1881">
        <v>58106</v>
      </c>
    </row>
    <row r="1882" spans="1:25" ht="15" hidden="1" customHeight="1" x14ac:dyDescent="0.25">
      <c r="A1882" s="1" t="s">
        <v>32</v>
      </c>
      <c r="B1882" s="1" t="s">
        <v>68</v>
      </c>
      <c r="C1882" s="1" t="s">
        <v>163</v>
      </c>
      <c r="D1882">
        <v>5489</v>
      </c>
      <c r="E1882" s="1"/>
      <c r="F1882" s="1" t="s">
        <v>163</v>
      </c>
      <c r="G1882" s="1" t="s">
        <v>163</v>
      </c>
      <c r="H1882" s="1" t="s">
        <v>1405</v>
      </c>
      <c r="I1882">
        <v>2013</v>
      </c>
      <c r="J1882" s="93">
        <v>1144.8</v>
      </c>
      <c r="K1882">
        <v>12</v>
      </c>
      <c r="L1882" s="1"/>
      <c r="M1882">
        <v>0</v>
      </c>
      <c r="N1882">
        <v>2801</v>
      </c>
      <c r="O1882">
        <v>0.408696</v>
      </c>
      <c r="P1882">
        <v>3</v>
      </c>
      <c r="Q1882" s="1" t="s">
        <v>560</v>
      </c>
      <c r="R1882" s="93">
        <v>1144.8</v>
      </c>
      <c r="S1882">
        <v>915.84</v>
      </c>
      <c r="T1882">
        <v>1</v>
      </c>
      <c r="U1882" s="1" t="s">
        <v>637</v>
      </c>
      <c r="V1882" s="1"/>
      <c r="W1882">
        <v>1144.8</v>
      </c>
      <c r="X1882">
        <v>0</v>
      </c>
      <c r="Y1882">
        <v>58005</v>
      </c>
    </row>
    <row r="1883" spans="1:25" ht="15" hidden="1" customHeight="1" x14ac:dyDescent="0.25">
      <c r="A1883" s="1" t="s">
        <v>32</v>
      </c>
      <c r="B1883" s="1" t="s">
        <v>68</v>
      </c>
      <c r="C1883" s="1" t="s">
        <v>163</v>
      </c>
      <c r="D1883">
        <v>5489</v>
      </c>
      <c r="E1883" s="1"/>
      <c r="F1883" s="1" t="s">
        <v>163</v>
      </c>
      <c r="G1883" s="1" t="s">
        <v>163</v>
      </c>
      <c r="H1883" s="1" t="s">
        <v>1405</v>
      </c>
      <c r="I1883">
        <v>2013</v>
      </c>
      <c r="J1883" s="93">
        <v>358.82</v>
      </c>
      <c r="K1883">
        <v>12</v>
      </c>
      <c r="L1883" s="1"/>
      <c r="M1883">
        <v>0</v>
      </c>
      <c r="N1883">
        <v>2801</v>
      </c>
      <c r="O1883">
        <v>0.12809899999999999</v>
      </c>
      <c r="P1883">
        <v>3</v>
      </c>
      <c r="Q1883" s="1" t="s">
        <v>560</v>
      </c>
      <c r="R1883" s="93">
        <v>358.82</v>
      </c>
      <c r="S1883">
        <v>287.08</v>
      </c>
      <c r="T1883">
        <v>1</v>
      </c>
      <c r="U1883" s="1" t="s">
        <v>638</v>
      </c>
      <c r="V1883" s="1"/>
      <c r="W1883">
        <v>358.83300000000003</v>
      </c>
      <c r="X1883">
        <v>0</v>
      </c>
      <c r="Y1883">
        <v>58106</v>
      </c>
    </row>
    <row r="1884" spans="1:25" ht="15" hidden="1" customHeight="1" x14ac:dyDescent="0.25">
      <c r="A1884" s="1" t="s">
        <v>32</v>
      </c>
      <c r="B1884" s="1" t="s">
        <v>68</v>
      </c>
      <c r="C1884" s="1" t="s">
        <v>163</v>
      </c>
      <c r="D1884">
        <v>5489</v>
      </c>
      <c r="E1884" s="1"/>
      <c r="F1884" s="1" t="s">
        <v>163</v>
      </c>
      <c r="G1884" s="1" t="s">
        <v>163</v>
      </c>
      <c r="H1884" s="1" t="s">
        <v>1405</v>
      </c>
      <c r="I1884">
        <v>2012</v>
      </c>
      <c r="J1884" s="93">
        <v>1966.1</v>
      </c>
      <c r="K1884">
        <v>12</v>
      </c>
      <c r="L1884" s="1"/>
      <c r="M1884">
        <v>0</v>
      </c>
      <c r="N1884">
        <v>2801</v>
      </c>
      <c r="O1884">
        <v>0.70190200000000003</v>
      </c>
      <c r="P1884">
        <v>3</v>
      </c>
      <c r="Q1884" s="1" t="s">
        <v>560</v>
      </c>
      <c r="R1884" s="93">
        <v>1966.1</v>
      </c>
      <c r="S1884">
        <v>1572.88</v>
      </c>
      <c r="T1884">
        <v>1</v>
      </c>
      <c r="U1884" s="1" t="s">
        <v>637</v>
      </c>
      <c r="V1884" s="1"/>
      <c r="W1884">
        <v>1966.1</v>
      </c>
      <c r="X1884">
        <v>0</v>
      </c>
      <c r="Y1884">
        <v>58005</v>
      </c>
    </row>
    <row r="1885" spans="1:25" ht="15" hidden="1" customHeight="1" x14ac:dyDescent="0.25">
      <c r="A1885" s="1" t="s">
        <v>32</v>
      </c>
      <c r="B1885" s="1" t="s">
        <v>68</v>
      </c>
      <c r="C1885" s="1" t="s">
        <v>163</v>
      </c>
      <c r="D1885">
        <v>5489</v>
      </c>
      <c r="E1885" s="1"/>
      <c r="F1885" s="1" t="s">
        <v>163</v>
      </c>
      <c r="G1885" s="1" t="s">
        <v>163</v>
      </c>
      <c r="H1885" s="1" t="s">
        <v>1405</v>
      </c>
      <c r="I1885">
        <v>2012</v>
      </c>
      <c r="J1885" s="93">
        <v>265.45999999999998</v>
      </c>
      <c r="K1885">
        <v>12</v>
      </c>
      <c r="L1885" s="1"/>
      <c r="M1885">
        <v>0</v>
      </c>
      <c r="N1885">
        <v>2801</v>
      </c>
      <c r="O1885">
        <v>9.4769000000000006E-2</v>
      </c>
      <c r="P1885">
        <v>3</v>
      </c>
      <c r="Q1885" s="1" t="s">
        <v>560</v>
      </c>
      <c r="R1885" s="93">
        <v>265.45999999999998</v>
      </c>
      <c r="S1885">
        <v>212.37</v>
      </c>
      <c r="T1885">
        <v>1</v>
      </c>
      <c r="U1885" s="1" t="s">
        <v>638</v>
      </c>
      <c r="V1885" s="1"/>
      <c r="W1885">
        <v>265.46800000000002</v>
      </c>
      <c r="X1885">
        <v>0</v>
      </c>
      <c r="Y1885">
        <v>58106</v>
      </c>
    </row>
    <row r="1886" spans="1:25" ht="15" hidden="1" customHeight="1" x14ac:dyDescent="0.25">
      <c r="A1886" s="1" t="s">
        <v>32</v>
      </c>
      <c r="B1886" s="1" t="s">
        <v>68</v>
      </c>
      <c r="C1886" s="1" t="s">
        <v>163</v>
      </c>
      <c r="D1886">
        <v>5489</v>
      </c>
      <c r="E1886" s="1"/>
      <c r="F1886" s="1" t="s">
        <v>163</v>
      </c>
      <c r="G1886" s="1" t="s">
        <v>163</v>
      </c>
      <c r="H1886" s="1" t="s">
        <v>1405</v>
      </c>
      <c r="I1886">
        <v>2011</v>
      </c>
      <c r="J1886" s="93">
        <v>477.81</v>
      </c>
      <c r="K1886">
        <v>12</v>
      </c>
      <c r="L1886" s="1"/>
      <c r="M1886">
        <v>0</v>
      </c>
      <c r="N1886">
        <v>2801</v>
      </c>
      <c r="O1886">
        <v>0.17057900000000001</v>
      </c>
      <c r="P1886">
        <v>3</v>
      </c>
      <c r="Q1886" s="1" t="s">
        <v>560</v>
      </c>
      <c r="R1886" s="93">
        <v>477.81</v>
      </c>
      <c r="S1886">
        <v>382.25</v>
      </c>
      <c r="T1886">
        <v>1</v>
      </c>
      <c r="U1886" s="1" t="s">
        <v>637</v>
      </c>
      <c r="V1886" s="1"/>
      <c r="W1886">
        <v>477.81</v>
      </c>
      <c r="X1886">
        <v>0</v>
      </c>
      <c r="Y1886">
        <v>58005</v>
      </c>
    </row>
    <row r="1887" spans="1:25" ht="15" hidden="1" customHeight="1" x14ac:dyDescent="0.25">
      <c r="A1887" s="1" t="s">
        <v>32</v>
      </c>
      <c r="B1887" s="1" t="s">
        <v>68</v>
      </c>
      <c r="C1887" s="1" t="s">
        <v>163</v>
      </c>
      <c r="D1887">
        <v>5489</v>
      </c>
      <c r="E1887" s="1"/>
      <c r="F1887" s="1" t="s">
        <v>163</v>
      </c>
      <c r="G1887" s="1" t="s">
        <v>163</v>
      </c>
      <c r="H1887" s="1" t="s">
        <v>1405</v>
      </c>
      <c r="I1887">
        <v>2011</v>
      </c>
      <c r="J1887" s="93">
        <v>266.56</v>
      </c>
      <c r="K1887">
        <v>12</v>
      </c>
      <c r="L1887" s="1"/>
      <c r="M1887">
        <v>0</v>
      </c>
      <c r="N1887">
        <v>2801</v>
      </c>
      <c r="O1887">
        <v>9.5161999999999997E-2</v>
      </c>
      <c r="P1887">
        <v>3</v>
      </c>
      <c r="Q1887" s="1" t="s">
        <v>560</v>
      </c>
      <c r="R1887" s="93">
        <v>266.56</v>
      </c>
      <c r="S1887">
        <v>213.25</v>
      </c>
      <c r="T1887">
        <v>1</v>
      </c>
      <c r="U1887" s="1" t="s">
        <v>638</v>
      </c>
      <c r="V1887" s="1"/>
      <c r="W1887">
        <v>266.572</v>
      </c>
      <c r="X1887">
        <v>0</v>
      </c>
      <c r="Y1887">
        <v>58106</v>
      </c>
    </row>
    <row r="1888" spans="1:25" ht="15" hidden="1" customHeight="1" x14ac:dyDescent="0.25">
      <c r="A1888" s="1" t="s">
        <v>32</v>
      </c>
      <c r="B1888" s="1" t="s">
        <v>68</v>
      </c>
      <c r="C1888" s="1" t="s">
        <v>163</v>
      </c>
      <c r="D1888">
        <v>5489</v>
      </c>
      <c r="E1888" s="1"/>
      <c r="F1888" s="1" t="s">
        <v>163</v>
      </c>
      <c r="G1888" s="1" t="s">
        <v>163</v>
      </c>
      <c r="H1888" s="1" t="s">
        <v>1405</v>
      </c>
      <c r="I1888">
        <v>2010</v>
      </c>
      <c r="J1888" s="93">
        <v>0</v>
      </c>
      <c r="K1888">
        <v>12</v>
      </c>
      <c r="L1888" s="1"/>
      <c r="M1888">
        <v>0</v>
      </c>
      <c r="N1888">
        <v>2801</v>
      </c>
      <c r="O1888">
        <v>0</v>
      </c>
      <c r="P1888">
        <v>3</v>
      </c>
      <c r="Q1888" s="1" t="s">
        <v>560</v>
      </c>
      <c r="R1888" s="93">
        <v>0</v>
      </c>
      <c r="S1888">
        <v>0</v>
      </c>
      <c r="T1888">
        <v>1</v>
      </c>
      <c r="U1888" s="1" t="s">
        <v>637</v>
      </c>
      <c r="V1888" s="1"/>
      <c r="W1888">
        <v>0</v>
      </c>
      <c r="X1888">
        <v>0</v>
      </c>
      <c r="Y1888">
        <v>58005</v>
      </c>
    </row>
    <row r="1889" spans="1:25" ht="15" hidden="1" customHeight="1" x14ac:dyDescent="0.25">
      <c r="A1889" s="1" t="s">
        <v>32</v>
      </c>
      <c r="B1889" s="1" t="s">
        <v>68</v>
      </c>
      <c r="C1889" s="1" t="s">
        <v>163</v>
      </c>
      <c r="D1889">
        <v>5489</v>
      </c>
      <c r="E1889" s="1"/>
      <c r="F1889" s="1" t="s">
        <v>163</v>
      </c>
      <c r="G1889" s="1" t="s">
        <v>163</v>
      </c>
      <c r="H1889" s="1" t="s">
        <v>1405</v>
      </c>
      <c r="I1889">
        <v>2010</v>
      </c>
      <c r="J1889" s="93">
        <v>309.33</v>
      </c>
      <c r="K1889">
        <v>12</v>
      </c>
      <c r="L1889" s="1"/>
      <c r="M1889">
        <v>0</v>
      </c>
      <c r="N1889">
        <v>2801</v>
      </c>
      <c r="O1889">
        <v>0.110431</v>
      </c>
      <c r="P1889">
        <v>3</v>
      </c>
      <c r="Q1889" s="1" t="s">
        <v>560</v>
      </c>
      <c r="R1889" s="93">
        <v>309.33</v>
      </c>
      <c r="S1889">
        <v>247.47</v>
      </c>
      <c r="T1889">
        <v>1</v>
      </c>
      <c r="U1889" s="1" t="s">
        <v>638</v>
      </c>
      <c r="V1889" s="1"/>
      <c r="W1889">
        <v>309.33199999999999</v>
      </c>
      <c r="X1889">
        <v>0</v>
      </c>
      <c r="Y1889">
        <v>58106</v>
      </c>
    </row>
    <row r="1890" spans="1:25" ht="15" hidden="1" customHeight="1" x14ac:dyDescent="0.25">
      <c r="A1890" s="1" t="s">
        <v>32</v>
      </c>
      <c r="B1890" s="1" t="s">
        <v>68</v>
      </c>
      <c r="C1890" s="1" t="s">
        <v>163</v>
      </c>
      <c r="D1890">
        <v>5489</v>
      </c>
      <c r="E1890" s="1"/>
      <c r="F1890" s="1" t="s">
        <v>163</v>
      </c>
      <c r="G1890" s="1" t="s">
        <v>163</v>
      </c>
      <c r="H1890" s="1" t="s">
        <v>1405</v>
      </c>
      <c r="I1890">
        <v>2009</v>
      </c>
      <c r="J1890" s="93">
        <v>1940.38</v>
      </c>
      <c r="K1890">
        <v>12</v>
      </c>
      <c r="L1890" s="1"/>
      <c r="M1890">
        <v>0</v>
      </c>
      <c r="N1890">
        <v>2801</v>
      </c>
      <c r="O1890">
        <v>0.69272</v>
      </c>
      <c r="P1890">
        <v>3</v>
      </c>
      <c r="Q1890" s="1" t="s">
        <v>560</v>
      </c>
      <c r="R1890" s="93">
        <v>1940.38</v>
      </c>
      <c r="S1890">
        <v>1552.32</v>
      </c>
      <c r="T1890">
        <v>1</v>
      </c>
      <c r="U1890" s="1" t="s">
        <v>637</v>
      </c>
      <c r="V1890" s="1"/>
      <c r="W1890">
        <v>1940.38</v>
      </c>
      <c r="X1890">
        <v>0</v>
      </c>
      <c r="Y1890">
        <v>58005</v>
      </c>
    </row>
    <row r="1891" spans="1:25" ht="15" hidden="1" customHeight="1" x14ac:dyDescent="0.25">
      <c r="A1891" s="1" t="s">
        <v>32</v>
      </c>
      <c r="B1891" s="1" t="s">
        <v>68</v>
      </c>
      <c r="C1891" s="1" t="s">
        <v>163</v>
      </c>
      <c r="D1891">
        <v>5489</v>
      </c>
      <c r="E1891" s="1"/>
      <c r="F1891" s="1" t="s">
        <v>163</v>
      </c>
      <c r="G1891" s="1" t="s">
        <v>163</v>
      </c>
      <c r="H1891" s="1" t="s">
        <v>1405</v>
      </c>
      <c r="I1891">
        <v>2009</v>
      </c>
      <c r="J1891" s="93">
        <v>271.81</v>
      </c>
      <c r="K1891">
        <v>12</v>
      </c>
      <c r="L1891" s="1"/>
      <c r="M1891">
        <v>0</v>
      </c>
      <c r="N1891">
        <v>2801</v>
      </c>
      <c r="O1891">
        <v>9.7035999999999997E-2</v>
      </c>
      <c r="P1891">
        <v>3</v>
      </c>
      <c r="Q1891" s="1" t="s">
        <v>560</v>
      </c>
      <c r="R1891" s="93">
        <v>271.81</v>
      </c>
      <c r="S1891">
        <v>217.45</v>
      </c>
      <c r="T1891">
        <v>1</v>
      </c>
      <c r="U1891" s="1" t="s">
        <v>638</v>
      </c>
      <c r="V1891" s="1"/>
      <c r="W1891">
        <v>271.81400000000002</v>
      </c>
      <c r="X1891">
        <v>0</v>
      </c>
      <c r="Y1891">
        <v>58106</v>
      </c>
    </row>
    <row r="1892" spans="1:25" ht="15" hidden="1" customHeight="1" x14ac:dyDescent="0.25">
      <c r="A1892" s="1" t="s">
        <v>32</v>
      </c>
      <c r="B1892" s="1" t="s">
        <v>68</v>
      </c>
      <c r="C1892" s="1" t="s">
        <v>163</v>
      </c>
      <c r="D1892">
        <v>5489</v>
      </c>
      <c r="E1892" s="1"/>
      <c r="F1892" s="1" t="s">
        <v>163</v>
      </c>
      <c r="G1892" s="1" t="s">
        <v>163</v>
      </c>
      <c r="H1892" s="1" t="s">
        <v>1405</v>
      </c>
      <c r="I1892">
        <v>2008</v>
      </c>
      <c r="J1892" s="93">
        <v>1834.48</v>
      </c>
      <c r="K1892">
        <v>12</v>
      </c>
      <c r="L1892" s="1"/>
      <c r="M1892">
        <v>0</v>
      </c>
      <c r="N1892">
        <v>2801</v>
      </c>
      <c r="O1892">
        <v>0.654914</v>
      </c>
      <c r="P1892">
        <v>3</v>
      </c>
      <c r="Q1892" s="1" t="s">
        <v>560</v>
      </c>
      <c r="R1892" s="93">
        <v>1834.48</v>
      </c>
      <c r="S1892">
        <v>1467.59</v>
      </c>
      <c r="T1892">
        <v>1</v>
      </c>
      <c r="U1892" s="1" t="s">
        <v>637</v>
      </c>
      <c r="V1892" s="1"/>
      <c r="W1892">
        <v>1834.48</v>
      </c>
      <c r="X1892">
        <v>0</v>
      </c>
      <c r="Y1892">
        <v>58005</v>
      </c>
    </row>
    <row r="1893" spans="1:25" ht="15" hidden="1" customHeight="1" x14ac:dyDescent="0.25">
      <c r="A1893" s="1" t="s">
        <v>32</v>
      </c>
      <c r="B1893" s="1" t="s">
        <v>68</v>
      </c>
      <c r="C1893" s="1" t="s">
        <v>163</v>
      </c>
      <c r="D1893">
        <v>5489</v>
      </c>
      <c r="E1893" s="1"/>
      <c r="F1893" s="1" t="s">
        <v>163</v>
      </c>
      <c r="G1893" s="1" t="s">
        <v>163</v>
      </c>
      <c r="H1893" s="1" t="s">
        <v>1405</v>
      </c>
      <c r="I1893">
        <v>2008</v>
      </c>
      <c r="J1893" s="93">
        <v>258.20999999999998</v>
      </c>
      <c r="K1893">
        <v>12</v>
      </c>
      <c r="L1893" s="1"/>
      <c r="M1893">
        <v>0</v>
      </c>
      <c r="N1893">
        <v>2801</v>
      </c>
      <c r="O1893">
        <v>9.2180999999999999E-2</v>
      </c>
      <c r="P1893">
        <v>3</v>
      </c>
      <c r="Q1893" s="1" t="s">
        <v>560</v>
      </c>
      <c r="R1893" s="93">
        <v>258.20999999999998</v>
      </c>
      <c r="S1893">
        <v>206.59</v>
      </c>
      <c r="T1893">
        <v>1</v>
      </c>
      <c r="U1893" s="1" t="s">
        <v>638</v>
      </c>
      <c r="V1893" s="1"/>
      <c r="W1893">
        <v>258.22800000000001</v>
      </c>
      <c r="X1893">
        <v>0</v>
      </c>
      <c r="Y1893">
        <v>58106</v>
      </c>
    </row>
    <row r="1894" spans="1:25" ht="15" hidden="1" customHeight="1" x14ac:dyDescent="0.25">
      <c r="A1894" s="1" t="s">
        <v>32</v>
      </c>
      <c r="B1894" s="1" t="s">
        <v>68</v>
      </c>
      <c r="C1894" s="1" t="s">
        <v>163</v>
      </c>
      <c r="D1894">
        <v>6031</v>
      </c>
      <c r="E1894" s="1"/>
      <c r="F1894" s="1" t="s">
        <v>295</v>
      </c>
      <c r="G1894" s="1" t="s">
        <v>163</v>
      </c>
      <c r="H1894" s="1" t="s">
        <v>1396</v>
      </c>
      <c r="I1894">
        <v>2015</v>
      </c>
      <c r="J1894" s="93">
        <v>102.37</v>
      </c>
      <c r="K1894">
        <v>4</v>
      </c>
      <c r="L1894" s="1" t="s">
        <v>433</v>
      </c>
      <c r="M1894">
        <v>0</v>
      </c>
      <c r="N1894">
        <v>0</v>
      </c>
      <c r="O1894">
        <v>1023.7</v>
      </c>
      <c r="P1894">
        <v>3</v>
      </c>
      <c r="Q1894" s="1" t="s">
        <v>560</v>
      </c>
      <c r="R1894" s="93">
        <v>102.37</v>
      </c>
      <c r="S1894">
        <v>81.900000000000006</v>
      </c>
      <c r="T1894">
        <v>1</v>
      </c>
      <c r="U1894" s="1" t="s">
        <v>639</v>
      </c>
      <c r="V1894" s="1"/>
      <c r="W1894">
        <v>102.36666</v>
      </c>
      <c r="X1894">
        <v>0</v>
      </c>
      <c r="Y1894">
        <v>60682</v>
      </c>
    </row>
    <row r="1895" spans="1:25" ht="15" hidden="1" customHeight="1" x14ac:dyDescent="0.25">
      <c r="A1895" s="1" t="s">
        <v>32</v>
      </c>
      <c r="B1895" s="1" t="s">
        <v>68</v>
      </c>
      <c r="C1895" s="1" t="s">
        <v>163</v>
      </c>
      <c r="D1895">
        <v>6031</v>
      </c>
      <c r="E1895" s="1"/>
      <c r="F1895" s="1" t="s">
        <v>295</v>
      </c>
      <c r="G1895" s="1" t="s">
        <v>163</v>
      </c>
      <c r="H1895" s="1" t="s">
        <v>1396</v>
      </c>
      <c r="I1895">
        <v>2015</v>
      </c>
      <c r="J1895" s="93">
        <v>842.26</v>
      </c>
      <c r="K1895">
        <v>4</v>
      </c>
      <c r="L1895" s="1" t="s">
        <v>433</v>
      </c>
      <c r="M1895">
        <v>0</v>
      </c>
      <c r="N1895">
        <v>0</v>
      </c>
      <c r="O1895">
        <v>8422.6</v>
      </c>
      <c r="P1895">
        <v>3</v>
      </c>
      <c r="Q1895" s="1" t="s">
        <v>560</v>
      </c>
      <c r="R1895" s="93">
        <v>842.26</v>
      </c>
      <c r="S1895">
        <v>673.8</v>
      </c>
      <c r="T1895">
        <v>0</v>
      </c>
      <c r="U1895" s="1" t="s">
        <v>640</v>
      </c>
      <c r="V1895" s="1"/>
      <c r="W1895">
        <v>842.25554999999997</v>
      </c>
      <c r="X1895">
        <v>0</v>
      </c>
      <c r="Y1895">
        <v>60683</v>
      </c>
    </row>
    <row r="1896" spans="1:25" ht="15" hidden="1" customHeight="1" x14ac:dyDescent="0.25">
      <c r="A1896" s="1" t="s">
        <v>32</v>
      </c>
      <c r="B1896" s="1" t="s">
        <v>68</v>
      </c>
      <c r="C1896" s="1" t="s">
        <v>163</v>
      </c>
      <c r="D1896">
        <v>6031</v>
      </c>
      <c r="E1896" s="1"/>
      <c r="F1896" s="1" t="s">
        <v>295</v>
      </c>
      <c r="G1896" s="1" t="s">
        <v>163</v>
      </c>
      <c r="H1896" s="1" t="s">
        <v>1396</v>
      </c>
      <c r="I1896">
        <v>2015</v>
      </c>
      <c r="J1896" s="93">
        <v>0.68</v>
      </c>
      <c r="K1896">
        <v>4</v>
      </c>
      <c r="L1896" s="1" t="s">
        <v>433</v>
      </c>
      <c r="M1896">
        <v>0</v>
      </c>
      <c r="N1896">
        <v>0</v>
      </c>
      <c r="O1896">
        <v>6.8</v>
      </c>
      <c r="P1896">
        <v>3</v>
      </c>
      <c r="Q1896" s="1" t="s">
        <v>560</v>
      </c>
      <c r="R1896" s="93">
        <v>0.68</v>
      </c>
      <c r="S1896">
        <v>0.54</v>
      </c>
      <c r="T1896">
        <v>1</v>
      </c>
      <c r="U1896" s="1" t="s">
        <v>641</v>
      </c>
      <c r="V1896" s="1"/>
      <c r="W1896">
        <v>0.67722000000000004</v>
      </c>
      <c r="X1896">
        <v>0</v>
      </c>
      <c r="Y1896">
        <v>62512</v>
      </c>
    </row>
    <row r="1897" spans="1:25" ht="15" hidden="1" customHeight="1" x14ac:dyDescent="0.25">
      <c r="A1897" s="1" t="s">
        <v>32</v>
      </c>
      <c r="B1897" s="1" t="s">
        <v>68</v>
      </c>
      <c r="C1897" s="1" t="s">
        <v>163</v>
      </c>
      <c r="D1897">
        <v>6031</v>
      </c>
      <c r="E1897" s="1"/>
      <c r="F1897" s="1" t="s">
        <v>295</v>
      </c>
      <c r="G1897" s="1" t="s">
        <v>163</v>
      </c>
      <c r="H1897" s="1" t="s">
        <v>1405</v>
      </c>
      <c r="I1897">
        <v>2013</v>
      </c>
      <c r="J1897" s="93">
        <v>310.39999999999998</v>
      </c>
      <c r="K1897">
        <v>11</v>
      </c>
      <c r="L1897" s="1" t="s">
        <v>433</v>
      </c>
      <c r="M1897">
        <v>0</v>
      </c>
      <c r="N1897">
        <v>0</v>
      </c>
      <c r="O1897">
        <v>3104</v>
      </c>
      <c r="P1897">
        <v>3</v>
      </c>
      <c r="Q1897" s="1" t="s">
        <v>560</v>
      </c>
      <c r="R1897" s="93">
        <v>310.39999999999998</v>
      </c>
      <c r="S1897">
        <v>248.32</v>
      </c>
      <c r="T1897">
        <v>1</v>
      </c>
      <c r="U1897" s="1" t="s">
        <v>639</v>
      </c>
      <c r="V1897" s="1"/>
      <c r="W1897">
        <v>310.3922</v>
      </c>
      <c r="X1897">
        <v>0</v>
      </c>
      <c r="Y1897">
        <v>60682</v>
      </c>
    </row>
    <row r="1898" spans="1:25" ht="15" hidden="1" customHeight="1" x14ac:dyDescent="0.25">
      <c r="A1898" s="1" t="s">
        <v>32</v>
      </c>
      <c r="B1898" s="1" t="s">
        <v>68</v>
      </c>
      <c r="C1898" s="1" t="s">
        <v>163</v>
      </c>
      <c r="D1898">
        <v>6031</v>
      </c>
      <c r="E1898" s="1"/>
      <c r="F1898" s="1" t="s">
        <v>295</v>
      </c>
      <c r="G1898" s="1" t="s">
        <v>163</v>
      </c>
      <c r="H1898" s="1" t="s">
        <v>1405</v>
      </c>
      <c r="I1898">
        <v>2013</v>
      </c>
      <c r="J1898" s="93">
        <v>661.36</v>
      </c>
      <c r="K1898">
        <v>2</v>
      </c>
      <c r="L1898" s="1" t="s">
        <v>433</v>
      </c>
      <c r="M1898">
        <v>0</v>
      </c>
      <c r="N1898">
        <v>0</v>
      </c>
      <c r="O1898">
        <v>6613.6</v>
      </c>
      <c r="P1898">
        <v>3</v>
      </c>
      <c r="Q1898" s="1" t="s">
        <v>560</v>
      </c>
      <c r="R1898" s="93">
        <v>661.36</v>
      </c>
      <c r="S1898">
        <v>529.11</v>
      </c>
      <c r="T1898">
        <v>0</v>
      </c>
      <c r="U1898" s="1" t="s">
        <v>640</v>
      </c>
      <c r="V1898" s="1"/>
      <c r="W1898">
        <v>661.37552000000005</v>
      </c>
      <c r="X1898">
        <v>0</v>
      </c>
      <c r="Y1898">
        <v>60683</v>
      </c>
    </row>
    <row r="1899" spans="1:25" ht="15" hidden="1" customHeight="1" x14ac:dyDescent="0.25">
      <c r="A1899" s="1" t="s">
        <v>32</v>
      </c>
      <c r="B1899" s="1" t="s">
        <v>68</v>
      </c>
      <c r="C1899" s="1" t="s">
        <v>163</v>
      </c>
      <c r="D1899">
        <v>6031</v>
      </c>
      <c r="E1899" s="1"/>
      <c r="F1899" s="1" t="s">
        <v>295</v>
      </c>
      <c r="G1899" s="1" t="s">
        <v>163</v>
      </c>
      <c r="H1899" s="1" t="s">
        <v>1405</v>
      </c>
      <c r="I1899">
        <v>2013</v>
      </c>
      <c r="J1899" s="93">
        <v>5.05</v>
      </c>
      <c r="K1899">
        <v>11</v>
      </c>
      <c r="L1899" s="1" t="s">
        <v>433</v>
      </c>
      <c r="M1899">
        <v>0</v>
      </c>
      <c r="N1899">
        <v>0</v>
      </c>
      <c r="O1899">
        <v>50.5</v>
      </c>
      <c r="P1899">
        <v>3</v>
      </c>
      <c r="Q1899" s="1" t="s">
        <v>560</v>
      </c>
      <c r="R1899" s="93">
        <v>5.05</v>
      </c>
      <c r="S1899">
        <v>4.03</v>
      </c>
      <c r="T1899">
        <v>1</v>
      </c>
      <c r="U1899" s="1" t="s">
        <v>641</v>
      </c>
      <c r="V1899" s="1"/>
      <c r="W1899">
        <v>5.0461600000000004</v>
      </c>
      <c r="X1899">
        <v>0</v>
      </c>
      <c r="Y1899">
        <v>62512</v>
      </c>
    </row>
    <row r="1900" spans="1:25" ht="15" hidden="1" customHeight="1" x14ac:dyDescent="0.25">
      <c r="A1900" s="1" t="s">
        <v>32</v>
      </c>
      <c r="B1900" s="1" t="s">
        <v>68</v>
      </c>
      <c r="C1900" s="1" t="s">
        <v>163</v>
      </c>
      <c r="D1900">
        <v>6031</v>
      </c>
      <c r="E1900" s="1"/>
      <c r="F1900" s="1" t="s">
        <v>295</v>
      </c>
      <c r="G1900" s="1" t="s">
        <v>163</v>
      </c>
      <c r="H1900" s="1" t="s">
        <v>1405</v>
      </c>
      <c r="I1900">
        <v>2012</v>
      </c>
      <c r="J1900" s="93">
        <v>239.85</v>
      </c>
      <c r="K1900">
        <v>10</v>
      </c>
      <c r="L1900" s="1" t="s">
        <v>433</v>
      </c>
      <c r="M1900">
        <v>0</v>
      </c>
      <c r="N1900">
        <v>0</v>
      </c>
      <c r="O1900">
        <v>2398.5</v>
      </c>
      <c r="P1900">
        <v>3</v>
      </c>
      <c r="Q1900" s="1" t="s">
        <v>560</v>
      </c>
      <c r="R1900" s="93">
        <v>239.85</v>
      </c>
      <c r="S1900">
        <v>191.89</v>
      </c>
      <c r="T1900">
        <v>1</v>
      </c>
      <c r="U1900" s="1" t="s">
        <v>639</v>
      </c>
      <c r="V1900" s="1"/>
      <c r="W1900">
        <v>239.84584000000001</v>
      </c>
      <c r="X1900">
        <v>0</v>
      </c>
      <c r="Y1900">
        <v>60682</v>
      </c>
    </row>
    <row r="1901" spans="1:25" ht="15" hidden="1" customHeight="1" x14ac:dyDescent="0.25">
      <c r="A1901" s="1" t="s">
        <v>32</v>
      </c>
      <c r="B1901" s="1" t="s">
        <v>68</v>
      </c>
      <c r="C1901" s="1" t="s">
        <v>163</v>
      </c>
      <c r="D1901">
        <v>6031</v>
      </c>
      <c r="E1901" s="1"/>
      <c r="F1901" s="1" t="s">
        <v>295</v>
      </c>
      <c r="G1901" s="1" t="s">
        <v>163</v>
      </c>
      <c r="H1901" s="1" t="s">
        <v>1405</v>
      </c>
      <c r="I1901">
        <v>2012</v>
      </c>
      <c r="J1901" s="93">
        <v>1813.82</v>
      </c>
      <c r="K1901">
        <v>9</v>
      </c>
      <c r="L1901" s="1" t="s">
        <v>433</v>
      </c>
      <c r="M1901">
        <v>0</v>
      </c>
      <c r="N1901">
        <v>0</v>
      </c>
      <c r="O1901">
        <v>18138.2</v>
      </c>
      <c r="P1901">
        <v>3</v>
      </c>
      <c r="Q1901" s="1" t="s">
        <v>560</v>
      </c>
      <c r="R1901" s="93">
        <v>1813.82</v>
      </c>
      <c r="S1901">
        <v>1451.04</v>
      </c>
      <c r="T1901">
        <v>0</v>
      </c>
      <c r="U1901" s="1" t="s">
        <v>640</v>
      </c>
      <c r="V1901" s="1"/>
      <c r="W1901">
        <v>1813.80908</v>
      </c>
      <c r="X1901">
        <v>0</v>
      </c>
      <c r="Y1901">
        <v>60683</v>
      </c>
    </row>
    <row r="1902" spans="1:25" ht="15" hidden="1" customHeight="1" x14ac:dyDescent="0.25">
      <c r="A1902" s="1" t="s">
        <v>32</v>
      </c>
      <c r="B1902" s="1" t="s">
        <v>68</v>
      </c>
      <c r="C1902" s="1" t="s">
        <v>163</v>
      </c>
      <c r="D1902">
        <v>6031</v>
      </c>
      <c r="E1902" s="1"/>
      <c r="F1902" s="1" t="s">
        <v>295</v>
      </c>
      <c r="G1902" s="1" t="s">
        <v>163</v>
      </c>
      <c r="H1902" s="1" t="s">
        <v>1405</v>
      </c>
      <c r="I1902">
        <v>2012</v>
      </c>
      <c r="J1902" s="93">
        <v>3.15</v>
      </c>
      <c r="K1902">
        <v>10</v>
      </c>
      <c r="L1902" s="1" t="s">
        <v>433</v>
      </c>
      <c r="M1902">
        <v>0</v>
      </c>
      <c r="N1902">
        <v>0</v>
      </c>
      <c r="O1902">
        <v>31.5</v>
      </c>
      <c r="P1902">
        <v>3</v>
      </c>
      <c r="Q1902" s="1" t="s">
        <v>560</v>
      </c>
      <c r="R1902" s="93">
        <v>3.15</v>
      </c>
      <c r="S1902">
        <v>2.52</v>
      </c>
      <c r="T1902">
        <v>1</v>
      </c>
      <c r="U1902" s="1" t="s">
        <v>641</v>
      </c>
      <c r="V1902" s="1"/>
      <c r="W1902">
        <v>3.1432699999999998</v>
      </c>
      <c r="X1902">
        <v>0</v>
      </c>
      <c r="Y1902">
        <v>62512</v>
      </c>
    </row>
    <row r="1903" spans="1:25" ht="15" hidden="1" customHeight="1" x14ac:dyDescent="0.25">
      <c r="A1903" s="1" t="s">
        <v>32</v>
      </c>
      <c r="B1903" s="1" t="s">
        <v>68</v>
      </c>
      <c r="C1903" s="1" t="s">
        <v>163</v>
      </c>
      <c r="D1903">
        <v>6031</v>
      </c>
      <c r="E1903" s="1"/>
      <c r="F1903" s="1" t="s">
        <v>295</v>
      </c>
      <c r="G1903" s="1" t="s">
        <v>163</v>
      </c>
      <c r="H1903" s="1" t="s">
        <v>1405</v>
      </c>
      <c r="I1903">
        <v>2011</v>
      </c>
      <c r="J1903" s="93">
        <v>393.51</v>
      </c>
      <c r="K1903">
        <v>11</v>
      </c>
      <c r="L1903" s="1" t="s">
        <v>433</v>
      </c>
      <c r="M1903">
        <v>0</v>
      </c>
      <c r="N1903">
        <v>0</v>
      </c>
      <c r="O1903">
        <v>3935.1</v>
      </c>
      <c r="P1903">
        <v>3</v>
      </c>
      <c r="Q1903" s="1" t="s">
        <v>560</v>
      </c>
      <c r="R1903" s="93">
        <v>393.51</v>
      </c>
      <c r="S1903">
        <v>314.8</v>
      </c>
      <c r="T1903">
        <v>1</v>
      </c>
      <c r="U1903" s="1" t="s">
        <v>639</v>
      </c>
      <c r="V1903" s="1"/>
      <c r="W1903">
        <v>393.49892</v>
      </c>
      <c r="X1903">
        <v>0</v>
      </c>
      <c r="Y1903">
        <v>60682</v>
      </c>
    </row>
    <row r="1904" spans="1:25" ht="15" hidden="1" customHeight="1" x14ac:dyDescent="0.25">
      <c r="A1904" s="1" t="s">
        <v>32</v>
      </c>
      <c r="B1904" s="1" t="s">
        <v>68</v>
      </c>
      <c r="C1904" s="1" t="s">
        <v>163</v>
      </c>
      <c r="D1904">
        <v>6031</v>
      </c>
      <c r="E1904" s="1"/>
      <c r="F1904" s="1" t="s">
        <v>295</v>
      </c>
      <c r="G1904" s="1" t="s">
        <v>163</v>
      </c>
      <c r="H1904" s="1" t="s">
        <v>1405</v>
      </c>
      <c r="I1904">
        <v>2011</v>
      </c>
      <c r="J1904" s="93">
        <v>1819.43</v>
      </c>
      <c r="K1904">
        <v>6</v>
      </c>
      <c r="L1904" s="1" t="s">
        <v>433</v>
      </c>
      <c r="M1904">
        <v>0</v>
      </c>
      <c r="N1904">
        <v>0</v>
      </c>
      <c r="O1904">
        <v>18194.3</v>
      </c>
      <c r="P1904">
        <v>3</v>
      </c>
      <c r="Q1904" s="1" t="s">
        <v>560</v>
      </c>
      <c r="R1904" s="93">
        <v>1819.43</v>
      </c>
      <c r="S1904">
        <v>1455.55</v>
      </c>
      <c r="T1904">
        <v>0</v>
      </c>
      <c r="U1904" s="1" t="s">
        <v>640</v>
      </c>
      <c r="V1904" s="1"/>
      <c r="W1904">
        <v>1819.42578</v>
      </c>
      <c r="X1904">
        <v>0</v>
      </c>
      <c r="Y1904">
        <v>60683</v>
      </c>
    </row>
    <row r="1905" spans="1:25" ht="15" hidden="1" customHeight="1" x14ac:dyDescent="0.25">
      <c r="A1905" s="1" t="s">
        <v>32</v>
      </c>
      <c r="B1905" s="1" t="s">
        <v>68</v>
      </c>
      <c r="C1905" s="1" t="s">
        <v>163</v>
      </c>
      <c r="D1905">
        <v>6031</v>
      </c>
      <c r="E1905" s="1"/>
      <c r="F1905" s="1" t="s">
        <v>295</v>
      </c>
      <c r="G1905" s="1" t="s">
        <v>163</v>
      </c>
      <c r="H1905" s="1" t="s">
        <v>1405</v>
      </c>
      <c r="I1905">
        <v>2011</v>
      </c>
      <c r="J1905" s="93">
        <v>3.59</v>
      </c>
      <c r="K1905">
        <v>11</v>
      </c>
      <c r="L1905" s="1" t="s">
        <v>433</v>
      </c>
      <c r="M1905">
        <v>0</v>
      </c>
      <c r="N1905">
        <v>0</v>
      </c>
      <c r="O1905">
        <v>35.9</v>
      </c>
      <c r="P1905">
        <v>3</v>
      </c>
      <c r="Q1905" s="1" t="s">
        <v>560</v>
      </c>
      <c r="R1905" s="93">
        <v>3.59</v>
      </c>
      <c r="S1905">
        <v>2.86</v>
      </c>
      <c r="T1905">
        <v>1</v>
      </c>
      <c r="U1905" s="1" t="s">
        <v>641</v>
      </c>
      <c r="V1905" s="1"/>
      <c r="W1905">
        <v>3.5871900000000001</v>
      </c>
      <c r="X1905">
        <v>0</v>
      </c>
      <c r="Y1905">
        <v>62512</v>
      </c>
    </row>
    <row r="1906" spans="1:25" ht="15" hidden="1" customHeight="1" x14ac:dyDescent="0.25">
      <c r="A1906" s="1" t="s">
        <v>32</v>
      </c>
      <c r="B1906" s="1" t="s">
        <v>68</v>
      </c>
      <c r="C1906" s="1" t="s">
        <v>163</v>
      </c>
      <c r="D1906">
        <v>6031</v>
      </c>
      <c r="E1906" s="1"/>
      <c r="F1906" s="1" t="s">
        <v>295</v>
      </c>
      <c r="G1906" s="1" t="s">
        <v>163</v>
      </c>
      <c r="H1906" s="1" t="s">
        <v>1405</v>
      </c>
      <c r="I1906">
        <v>2010</v>
      </c>
      <c r="J1906" s="93">
        <v>285.60000000000002</v>
      </c>
      <c r="K1906">
        <v>12</v>
      </c>
      <c r="L1906" s="1" t="s">
        <v>433</v>
      </c>
      <c r="M1906">
        <v>0</v>
      </c>
      <c r="N1906">
        <v>0</v>
      </c>
      <c r="O1906">
        <v>2856</v>
      </c>
      <c r="P1906">
        <v>3</v>
      </c>
      <c r="Q1906" s="1" t="s">
        <v>560</v>
      </c>
      <c r="R1906" s="93">
        <v>285.60000000000002</v>
      </c>
      <c r="S1906">
        <v>228.48</v>
      </c>
      <c r="T1906">
        <v>1</v>
      </c>
      <c r="U1906" s="1" t="s">
        <v>639</v>
      </c>
      <c r="V1906" s="1"/>
      <c r="W1906">
        <v>285.59931999999998</v>
      </c>
      <c r="X1906">
        <v>0</v>
      </c>
      <c r="Y1906">
        <v>60682</v>
      </c>
    </row>
    <row r="1907" spans="1:25" ht="15" hidden="1" customHeight="1" x14ac:dyDescent="0.25">
      <c r="A1907" s="1" t="s">
        <v>32</v>
      </c>
      <c r="B1907" s="1" t="s">
        <v>68</v>
      </c>
      <c r="C1907" s="1" t="s">
        <v>163</v>
      </c>
      <c r="D1907">
        <v>6031</v>
      </c>
      <c r="E1907" s="1"/>
      <c r="F1907" s="1" t="s">
        <v>295</v>
      </c>
      <c r="G1907" s="1" t="s">
        <v>163</v>
      </c>
      <c r="H1907" s="1" t="s">
        <v>1405</v>
      </c>
      <c r="I1907">
        <v>2010</v>
      </c>
      <c r="J1907" s="93">
        <v>2035.88</v>
      </c>
      <c r="K1907">
        <v>11</v>
      </c>
      <c r="L1907" s="1" t="s">
        <v>433</v>
      </c>
      <c r="M1907">
        <v>0</v>
      </c>
      <c r="N1907">
        <v>0</v>
      </c>
      <c r="O1907">
        <v>20358.8</v>
      </c>
      <c r="P1907">
        <v>3</v>
      </c>
      <c r="Q1907" s="1" t="s">
        <v>560</v>
      </c>
      <c r="R1907" s="93">
        <v>2035.88</v>
      </c>
      <c r="S1907">
        <v>1628.73</v>
      </c>
      <c r="T1907">
        <v>0</v>
      </c>
      <c r="U1907" s="1" t="s">
        <v>640</v>
      </c>
      <c r="V1907" s="1"/>
      <c r="W1907">
        <v>2035.8896</v>
      </c>
      <c r="X1907">
        <v>0</v>
      </c>
      <c r="Y1907">
        <v>60683</v>
      </c>
    </row>
    <row r="1908" spans="1:25" ht="15" hidden="1" customHeight="1" x14ac:dyDescent="0.25">
      <c r="A1908" s="1" t="s">
        <v>32</v>
      </c>
      <c r="B1908" s="1" t="s">
        <v>68</v>
      </c>
      <c r="C1908" s="1" t="s">
        <v>163</v>
      </c>
      <c r="D1908">
        <v>6031</v>
      </c>
      <c r="E1908" s="1"/>
      <c r="F1908" s="1" t="s">
        <v>295</v>
      </c>
      <c r="G1908" s="1" t="s">
        <v>163</v>
      </c>
      <c r="H1908" s="1" t="s">
        <v>1405</v>
      </c>
      <c r="I1908">
        <v>2010</v>
      </c>
      <c r="J1908" s="93">
        <v>6.53</v>
      </c>
      <c r="K1908">
        <v>12</v>
      </c>
      <c r="L1908" s="1" t="s">
        <v>433</v>
      </c>
      <c r="M1908">
        <v>0</v>
      </c>
      <c r="N1908">
        <v>0</v>
      </c>
      <c r="O1908">
        <v>65.3</v>
      </c>
      <c r="P1908">
        <v>3</v>
      </c>
      <c r="Q1908" s="1" t="s">
        <v>560</v>
      </c>
      <c r="R1908" s="93">
        <v>6.53</v>
      </c>
      <c r="S1908">
        <v>5.23</v>
      </c>
      <c r="T1908">
        <v>1</v>
      </c>
      <c r="U1908" s="1" t="s">
        <v>641</v>
      </c>
      <c r="V1908" s="1"/>
      <c r="W1908">
        <v>6.5260199999999999</v>
      </c>
      <c r="X1908">
        <v>0</v>
      </c>
      <c r="Y1908">
        <v>62512</v>
      </c>
    </row>
    <row r="1909" spans="1:25" ht="15" hidden="1" customHeight="1" x14ac:dyDescent="0.25">
      <c r="A1909" s="1" t="s">
        <v>32</v>
      </c>
      <c r="B1909" s="1" t="s">
        <v>68</v>
      </c>
      <c r="C1909" s="1" t="s">
        <v>163</v>
      </c>
      <c r="D1909">
        <v>6031</v>
      </c>
      <c r="E1909" s="1"/>
      <c r="F1909" s="1" t="s">
        <v>295</v>
      </c>
      <c r="G1909" s="1" t="s">
        <v>163</v>
      </c>
      <c r="H1909" s="1" t="s">
        <v>1405</v>
      </c>
      <c r="I1909">
        <v>2009</v>
      </c>
      <c r="J1909" s="93">
        <v>373.85</v>
      </c>
      <c r="K1909">
        <v>6</v>
      </c>
      <c r="L1909" s="1" t="s">
        <v>433</v>
      </c>
      <c r="M1909">
        <v>0</v>
      </c>
      <c r="N1909">
        <v>0</v>
      </c>
      <c r="O1909">
        <v>3738.5</v>
      </c>
      <c r="P1909">
        <v>3</v>
      </c>
      <c r="Q1909" s="1" t="s">
        <v>560</v>
      </c>
      <c r="R1909" s="93">
        <v>373.85</v>
      </c>
      <c r="S1909">
        <v>299.08</v>
      </c>
      <c r="T1909">
        <v>1</v>
      </c>
      <c r="U1909" s="1" t="s">
        <v>639</v>
      </c>
      <c r="V1909" s="1"/>
      <c r="W1909">
        <v>373.83902</v>
      </c>
      <c r="X1909">
        <v>0</v>
      </c>
      <c r="Y1909">
        <v>60682</v>
      </c>
    </row>
    <row r="1910" spans="1:25" ht="15" hidden="1" customHeight="1" x14ac:dyDescent="0.25">
      <c r="A1910" s="1" t="s">
        <v>32</v>
      </c>
      <c r="B1910" s="1" t="s">
        <v>68</v>
      </c>
      <c r="C1910" s="1" t="s">
        <v>163</v>
      </c>
      <c r="D1910">
        <v>6031</v>
      </c>
      <c r="E1910" s="1"/>
      <c r="F1910" s="1" t="s">
        <v>295</v>
      </c>
      <c r="G1910" s="1" t="s">
        <v>163</v>
      </c>
      <c r="H1910" s="1" t="s">
        <v>1405</v>
      </c>
      <c r="I1910">
        <v>2009</v>
      </c>
      <c r="J1910" s="93">
        <v>2287.0100000000002</v>
      </c>
      <c r="K1910">
        <v>13</v>
      </c>
      <c r="L1910" s="1" t="s">
        <v>433</v>
      </c>
      <c r="M1910">
        <v>0</v>
      </c>
      <c r="N1910">
        <v>0</v>
      </c>
      <c r="O1910">
        <v>22870.1</v>
      </c>
      <c r="P1910">
        <v>3</v>
      </c>
      <c r="Q1910" s="1" t="s">
        <v>560</v>
      </c>
      <c r="R1910" s="93">
        <v>2287.0100000000002</v>
      </c>
      <c r="S1910">
        <v>1829.61</v>
      </c>
      <c r="T1910">
        <v>0</v>
      </c>
      <c r="U1910" s="1" t="s">
        <v>640</v>
      </c>
      <c r="V1910" s="1"/>
      <c r="W1910">
        <v>2287.02943</v>
      </c>
      <c r="X1910">
        <v>0</v>
      </c>
      <c r="Y1910">
        <v>60683</v>
      </c>
    </row>
    <row r="1911" spans="1:25" ht="15" hidden="1" customHeight="1" x14ac:dyDescent="0.25">
      <c r="A1911" s="1" t="s">
        <v>32</v>
      </c>
      <c r="B1911" s="1" t="s">
        <v>68</v>
      </c>
      <c r="C1911" s="1" t="s">
        <v>163</v>
      </c>
      <c r="D1911">
        <v>6031</v>
      </c>
      <c r="E1911" s="1"/>
      <c r="F1911" s="1" t="s">
        <v>295</v>
      </c>
      <c r="G1911" s="1" t="s">
        <v>163</v>
      </c>
      <c r="H1911" s="1" t="s">
        <v>1405</v>
      </c>
      <c r="I1911">
        <v>2009</v>
      </c>
      <c r="J1911" s="93">
        <v>8.6199999999999992</v>
      </c>
      <c r="K1911">
        <v>12</v>
      </c>
      <c r="L1911" s="1" t="s">
        <v>433</v>
      </c>
      <c r="M1911">
        <v>0</v>
      </c>
      <c r="N1911">
        <v>0</v>
      </c>
      <c r="O1911">
        <v>86.2</v>
      </c>
      <c r="P1911">
        <v>3</v>
      </c>
      <c r="Q1911" s="1" t="s">
        <v>560</v>
      </c>
      <c r="R1911" s="93">
        <v>8.6199999999999992</v>
      </c>
      <c r="S1911">
        <v>6.88</v>
      </c>
      <c r="T1911">
        <v>1</v>
      </c>
      <c r="U1911" s="1" t="s">
        <v>641</v>
      </c>
      <c r="V1911" s="1"/>
      <c r="W1911">
        <v>8.6229999999999993</v>
      </c>
      <c r="X1911">
        <v>0</v>
      </c>
      <c r="Y1911">
        <v>62512</v>
      </c>
    </row>
    <row r="1912" spans="1:25" ht="15" hidden="1" customHeight="1" x14ac:dyDescent="0.25">
      <c r="A1912" s="1" t="s">
        <v>32</v>
      </c>
      <c r="B1912" s="1" t="s">
        <v>68</v>
      </c>
      <c r="C1912" s="1" t="s">
        <v>163</v>
      </c>
      <c r="D1912">
        <v>6031</v>
      </c>
      <c r="E1912" s="1"/>
      <c r="F1912" s="1" t="s">
        <v>295</v>
      </c>
      <c r="G1912" s="1" t="s">
        <v>163</v>
      </c>
      <c r="H1912" s="1" t="s">
        <v>1405</v>
      </c>
      <c r="I1912">
        <v>2008</v>
      </c>
      <c r="J1912" s="93">
        <v>328.78</v>
      </c>
      <c r="K1912">
        <v>12</v>
      </c>
      <c r="L1912" s="1" t="s">
        <v>433</v>
      </c>
      <c r="M1912">
        <v>0</v>
      </c>
      <c r="N1912">
        <v>0</v>
      </c>
      <c r="O1912">
        <v>3287.8</v>
      </c>
      <c r="P1912">
        <v>3</v>
      </c>
      <c r="Q1912" s="1" t="s">
        <v>560</v>
      </c>
      <c r="R1912" s="93">
        <v>328.78</v>
      </c>
      <c r="S1912">
        <v>263.02</v>
      </c>
      <c r="T1912">
        <v>1</v>
      </c>
      <c r="U1912" s="1" t="s">
        <v>639</v>
      </c>
      <c r="V1912" s="1"/>
      <c r="W1912">
        <v>328.78748000000002</v>
      </c>
      <c r="X1912">
        <v>0</v>
      </c>
      <c r="Y1912">
        <v>60682</v>
      </c>
    </row>
    <row r="1913" spans="1:25" ht="15" hidden="1" customHeight="1" x14ac:dyDescent="0.25">
      <c r="A1913" s="1" t="s">
        <v>32</v>
      </c>
      <c r="B1913" s="1" t="s">
        <v>68</v>
      </c>
      <c r="C1913" s="1" t="s">
        <v>163</v>
      </c>
      <c r="D1913">
        <v>6031</v>
      </c>
      <c r="E1913" s="1"/>
      <c r="F1913" s="1" t="s">
        <v>295</v>
      </c>
      <c r="G1913" s="1" t="s">
        <v>163</v>
      </c>
      <c r="H1913" s="1" t="s">
        <v>1405</v>
      </c>
      <c r="I1913">
        <v>2008</v>
      </c>
      <c r="J1913" s="93">
        <v>2100.79</v>
      </c>
      <c r="K1913">
        <v>12</v>
      </c>
      <c r="L1913" s="1" t="s">
        <v>433</v>
      </c>
      <c r="M1913">
        <v>0</v>
      </c>
      <c r="N1913">
        <v>0</v>
      </c>
      <c r="O1913">
        <v>21007.9</v>
      </c>
      <c r="P1913">
        <v>3</v>
      </c>
      <c r="Q1913" s="1" t="s">
        <v>560</v>
      </c>
      <c r="R1913" s="93">
        <v>2100.79</v>
      </c>
      <c r="S1913">
        <v>1680.64</v>
      </c>
      <c r="T1913">
        <v>0</v>
      </c>
      <c r="U1913" s="1" t="s">
        <v>640</v>
      </c>
      <c r="V1913" s="1"/>
      <c r="W1913">
        <v>2100.7931699999999</v>
      </c>
      <c r="X1913">
        <v>0</v>
      </c>
      <c r="Y1913">
        <v>60683</v>
      </c>
    </row>
    <row r="1914" spans="1:25" ht="15" hidden="1" customHeight="1" x14ac:dyDescent="0.25">
      <c r="A1914" s="1" t="s">
        <v>32</v>
      </c>
      <c r="B1914" s="1" t="s">
        <v>68</v>
      </c>
      <c r="C1914" s="1" t="s">
        <v>163</v>
      </c>
      <c r="D1914">
        <v>6031</v>
      </c>
      <c r="E1914" s="1"/>
      <c r="F1914" s="1" t="s">
        <v>295</v>
      </c>
      <c r="G1914" s="1" t="s">
        <v>163</v>
      </c>
      <c r="H1914" s="1" t="s">
        <v>1405</v>
      </c>
      <c r="I1914">
        <v>2008</v>
      </c>
      <c r="J1914" s="93">
        <v>5.0199999999999996</v>
      </c>
      <c r="K1914">
        <v>12</v>
      </c>
      <c r="L1914" s="1" t="s">
        <v>433</v>
      </c>
      <c r="M1914">
        <v>0</v>
      </c>
      <c r="N1914">
        <v>0</v>
      </c>
      <c r="O1914">
        <v>50.2</v>
      </c>
      <c r="P1914">
        <v>3</v>
      </c>
      <c r="Q1914" s="1" t="s">
        <v>560</v>
      </c>
      <c r="R1914" s="93">
        <v>5.0199999999999996</v>
      </c>
      <c r="S1914">
        <v>4.0199999999999996</v>
      </c>
      <c r="T1914">
        <v>1</v>
      </c>
      <c r="U1914" s="1" t="s">
        <v>641</v>
      </c>
      <c r="V1914" s="1"/>
      <c r="W1914">
        <v>5.0134400000000001</v>
      </c>
      <c r="X1914">
        <v>0</v>
      </c>
      <c r="Y1914">
        <v>62512</v>
      </c>
    </row>
    <row r="1915" spans="1:25" ht="15" hidden="1" customHeight="1" x14ac:dyDescent="0.25">
      <c r="A1915" s="1" t="s">
        <v>32</v>
      </c>
      <c r="B1915" s="1"/>
      <c r="C1915" s="1" t="s">
        <v>164</v>
      </c>
      <c r="D1915">
        <v>10207</v>
      </c>
      <c r="E1915" s="1"/>
      <c r="F1915" s="1" t="s">
        <v>296</v>
      </c>
      <c r="G1915" s="1" t="s">
        <v>164</v>
      </c>
      <c r="H1915" s="1" t="s">
        <v>1405</v>
      </c>
      <c r="I1915">
        <v>2015</v>
      </c>
      <c r="J1915" s="93">
        <v>171</v>
      </c>
      <c r="K1915">
        <v>5</v>
      </c>
      <c r="L1915" s="1" t="s">
        <v>426</v>
      </c>
      <c r="M1915">
        <v>0</v>
      </c>
      <c r="N1915">
        <v>505</v>
      </c>
      <c r="O1915">
        <v>0.11809500000000001</v>
      </c>
      <c r="P1915">
        <v>3</v>
      </c>
      <c r="Q1915" s="1" t="s">
        <v>560</v>
      </c>
      <c r="R1915" s="93">
        <v>59.65</v>
      </c>
      <c r="S1915">
        <v>47.73</v>
      </c>
      <c r="T1915">
        <v>0</v>
      </c>
      <c r="U1915" s="1" t="s">
        <v>642</v>
      </c>
      <c r="V1915" s="1"/>
      <c r="W1915">
        <v>59.661000000000001</v>
      </c>
      <c r="X1915">
        <v>0</v>
      </c>
      <c r="Y1915">
        <v>77400</v>
      </c>
    </row>
    <row r="1916" spans="1:25" ht="15" hidden="1" customHeight="1" x14ac:dyDescent="0.25">
      <c r="A1916" s="1" t="s">
        <v>32</v>
      </c>
      <c r="B1916" s="1"/>
      <c r="C1916" s="1" t="s">
        <v>164</v>
      </c>
      <c r="D1916">
        <v>10207</v>
      </c>
      <c r="E1916" s="1"/>
      <c r="F1916" s="1" t="s">
        <v>296</v>
      </c>
      <c r="G1916" s="1" t="s">
        <v>164</v>
      </c>
      <c r="H1916" s="1" t="s">
        <v>1405</v>
      </c>
      <c r="I1916">
        <v>2013</v>
      </c>
      <c r="J1916" s="93">
        <v>296.47000000000003</v>
      </c>
      <c r="K1916">
        <v>12</v>
      </c>
      <c r="L1916" s="1" t="s">
        <v>426</v>
      </c>
      <c r="M1916">
        <v>0</v>
      </c>
      <c r="N1916">
        <v>505</v>
      </c>
      <c r="O1916">
        <v>0.58695299999999995</v>
      </c>
      <c r="P1916">
        <v>3</v>
      </c>
      <c r="Q1916" s="1" t="s">
        <v>560</v>
      </c>
      <c r="R1916" s="93">
        <v>296.47000000000003</v>
      </c>
      <c r="S1916">
        <v>237.18</v>
      </c>
      <c r="T1916">
        <v>0</v>
      </c>
      <c r="U1916" s="1" t="s">
        <v>642</v>
      </c>
      <c r="V1916" s="1"/>
      <c r="W1916">
        <v>296.46100000000001</v>
      </c>
      <c r="X1916">
        <v>0</v>
      </c>
      <c r="Y1916">
        <v>77400</v>
      </c>
    </row>
    <row r="1917" spans="1:25" ht="15" hidden="1" customHeight="1" x14ac:dyDescent="0.25">
      <c r="A1917" s="1" t="s">
        <v>32</v>
      </c>
      <c r="B1917" s="1"/>
      <c r="C1917" s="1" t="s">
        <v>164</v>
      </c>
      <c r="D1917">
        <v>10207</v>
      </c>
      <c r="E1917" s="1"/>
      <c r="F1917" s="1" t="s">
        <v>296</v>
      </c>
      <c r="G1917" s="1" t="s">
        <v>164</v>
      </c>
      <c r="H1917" s="1" t="s">
        <v>1405</v>
      </c>
      <c r="I1917">
        <v>2012</v>
      </c>
      <c r="J1917" s="93">
        <v>315.47000000000003</v>
      </c>
      <c r="K1917">
        <v>12</v>
      </c>
      <c r="L1917" s="1" t="s">
        <v>426</v>
      </c>
      <c r="M1917">
        <v>0</v>
      </c>
      <c r="N1917">
        <v>505</v>
      </c>
      <c r="O1917">
        <v>0.62456900000000004</v>
      </c>
      <c r="P1917">
        <v>3</v>
      </c>
      <c r="Q1917" s="1" t="s">
        <v>560</v>
      </c>
      <c r="R1917" s="93">
        <v>315.47000000000003</v>
      </c>
      <c r="S1917">
        <v>252.37</v>
      </c>
      <c r="T1917">
        <v>0</v>
      </c>
      <c r="U1917" s="1" t="s">
        <v>642</v>
      </c>
      <c r="V1917" s="1"/>
      <c r="W1917">
        <v>315.45600000000002</v>
      </c>
      <c r="X1917">
        <v>0</v>
      </c>
      <c r="Y1917">
        <v>77400</v>
      </c>
    </row>
    <row r="1918" spans="1:25" ht="15" hidden="1" customHeight="1" x14ac:dyDescent="0.25">
      <c r="A1918" s="1" t="s">
        <v>32</v>
      </c>
      <c r="B1918" s="1"/>
      <c r="C1918" s="1" t="s">
        <v>164</v>
      </c>
      <c r="D1918">
        <v>10207</v>
      </c>
      <c r="E1918" s="1"/>
      <c r="F1918" s="1" t="s">
        <v>296</v>
      </c>
      <c r="G1918" s="1" t="s">
        <v>164</v>
      </c>
      <c r="H1918" s="1" t="s">
        <v>1405</v>
      </c>
      <c r="I1918">
        <v>2011</v>
      </c>
      <c r="J1918" s="93">
        <v>514.64</v>
      </c>
      <c r="K1918">
        <v>2</v>
      </c>
      <c r="L1918" s="1" t="s">
        <v>426</v>
      </c>
      <c r="M1918">
        <v>0</v>
      </c>
      <c r="N1918">
        <v>505</v>
      </c>
      <c r="O1918">
        <v>1.0188870000000001</v>
      </c>
      <c r="P1918">
        <v>3</v>
      </c>
      <c r="Q1918" s="1" t="s">
        <v>560</v>
      </c>
      <c r="R1918" s="93">
        <v>514.64</v>
      </c>
      <c r="S1918">
        <v>411.7</v>
      </c>
      <c r="T1918">
        <v>0</v>
      </c>
      <c r="U1918" s="1" t="s">
        <v>642</v>
      </c>
      <c r="V1918" s="1"/>
      <c r="W1918">
        <v>514.65198999999996</v>
      </c>
      <c r="X1918">
        <v>0</v>
      </c>
      <c r="Y1918">
        <v>77400</v>
      </c>
    </row>
    <row r="1919" spans="1:25" ht="15" hidden="1" customHeight="1" x14ac:dyDescent="0.25">
      <c r="A1919" s="1" t="s">
        <v>32</v>
      </c>
      <c r="B1919" s="1"/>
      <c r="C1919" s="1" t="s">
        <v>164</v>
      </c>
      <c r="D1919">
        <v>10207</v>
      </c>
      <c r="E1919" s="1"/>
      <c r="F1919" s="1" t="s">
        <v>296</v>
      </c>
      <c r="G1919" s="1" t="s">
        <v>164</v>
      </c>
      <c r="H1919" s="1" t="s">
        <v>1405</v>
      </c>
      <c r="I1919">
        <v>2010</v>
      </c>
      <c r="J1919" s="93">
        <v>530.96</v>
      </c>
      <c r="K1919">
        <v>1</v>
      </c>
      <c r="L1919" s="1" t="s">
        <v>426</v>
      </c>
      <c r="M1919">
        <v>0</v>
      </c>
      <c r="N1919">
        <v>505</v>
      </c>
      <c r="O1919">
        <v>1.0511969999999999</v>
      </c>
      <c r="P1919">
        <v>3</v>
      </c>
      <c r="Q1919" s="1" t="s">
        <v>560</v>
      </c>
      <c r="R1919" s="93">
        <v>530.96</v>
      </c>
      <c r="S1919">
        <v>424.75</v>
      </c>
      <c r="T1919">
        <v>0</v>
      </c>
      <c r="U1919" s="1" t="s">
        <v>642</v>
      </c>
      <c r="V1919" s="1"/>
      <c r="W1919">
        <v>530.96369000000004</v>
      </c>
      <c r="X1919">
        <v>0</v>
      </c>
      <c r="Y1919">
        <v>77400</v>
      </c>
    </row>
    <row r="1920" spans="1:25" ht="15" hidden="1" customHeight="1" x14ac:dyDescent="0.25">
      <c r="A1920" s="1" t="s">
        <v>32</v>
      </c>
      <c r="B1920" s="1"/>
      <c r="C1920" s="1" t="s">
        <v>164</v>
      </c>
      <c r="D1920">
        <v>10207</v>
      </c>
      <c r="E1920" s="1"/>
      <c r="F1920" s="1" t="s">
        <v>296</v>
      </c>
      <c r="G1920" s="1" t="s">
        <v>164</v>
      </c>
      <c r="H1920" s="1" t="s">
        <v>1405</v>
      </c>
      <c r="I1920">
        <v>2009</v>
      </c>
      <c r="J1920" s="93">
        <v>603.91999999999996</v>
      </c>
      <c r="K1920">
        <v>0</v>
      </c>
      <c r="L1920" s="1" t="s">
        <v>426</v>
      </c>
      <c r="M1920">
        <v>0</v>
      </c>
      <c r="N1920">
        <v>505</v>
      </c>
      <c r="O1920">
        <v>1.1956439999999999</v>
      </c>
      <c r="P1920">
        <v>3</v>
      </c>
      <c r="Q1920" s="1" t="s">
        <v>560</v>
      </c>
      <c r="R1920" s="93">
        <v>603.91999999999996</v>
      </c>
      <c r="S1920">
        <v>483.11</v>
      </c>
      <c r="T1920">
        <v>0</v>
      </c>
      <c r="U1920" s="1" t="s">
        <v>642</v>
      </c>
      <c r="V1920" s="1"/>
      <c r="W1920">
        <v>603.89639</v>
      </c>
      <c r="X1920">
        <v>0</v>
      </c>
      <c r="Y1920">
        <v>77400</v>
      </c>
    </row>
    <row r="1921" spans="1:25" ht="15" hidden="1" customHeight="1" x14ac:dyDescent="0.25">
      <c r="A1921" s="1" t="s">
        <v>32</v>
      </c>
      <c r="B1921" s="1"/>
      <c r="C1921" s="1" t="s">
        <v>164</v>
      </c>
      <c r="D1921">
        <v>10207</v>
      </c>
      <c r="E1921" s="1"/>
      <c r="F1921" s="1" t="s">
        <v>296</v>
      </c>
      <c r="G1921" s="1" t="s">
        <v>164</v>
      </c>
      <c r="H1921" s="1" t="s">
        <v>1405</v>
      </c>
      <c r="I1921">
        <v>2008</v>
      </c>
      <c r="J1921" s="93">
        <v>566.9</v>
      </c>
      <c r="K1921">
        <v>4</v>
      </c>
      <c r="L1921" s="1" t="s">
        <v>426</v>
      </c>
      <c r="M1921">
        <v>0</v>
      </c>
      <c r="N1921">
        <v>505</v>
      </c>
      <c r="O1921">
        <v>1.122352</v>
      </c>
      <c r="P1921">
        <v>3</v>
      </c>
      <c r="Q1921" s="1" t="s">
        <v>560</v>
      </c>
      <c r="R1921" s="93">
        <v>566.9</v>
      </c>
      <c r="S1921">
        <v>453.5</v>
      </c>
      <c r="T1921">
        <v>0</v>
      </c>
      <c r="U1921" s="1" t="s">
        <v>642</v>
      </c>
      <c r="V1921" s="1"/>
      <c r="W1921">
        <v>566.86701000000005</v>
      </c>
      <c r="X1921">
        <v>0</v>
      </c>
      <c r="Y1921">
        <v>77400</v>
      </c>
    </row>
    <row r="1922" spans="1:25" ht="15" hidden="1" customHeight="1" x14ac:dyDescent="0.25">
      <c r="A1922" s="1" t="s">
        <v>32</v>
      </c>
      <c r="B1922" s="1"/>
      <c r="C1922" s="1" t="s">
        <v>165</v>
      </c>
      <c r="D1922">
        <v>10204</v>
      </c>
      <c r="E1922" s="1"/>
      <c r="F1922" s="1" t="s">
        <v>297</v>
      </c>
      <c r="G1922" s="1" t="s">
        <v>165</v>
      </c>
      <c r="H1922" s="1" t="s">
        <v>1405</v>
      </c>
      <c r="I1922">
        <v>2015</v>
      </c>
      <c r="J1922" s="93">
        <v>145</v>
      </c>
      <c r="K1922">
        <v>5</v>
      </c>
      <c r="L1922" s="1" t="s">
        <v>416</v>
      </c>
      <c r="M1922">
        <v>0</v>
      </c>
      <c r="N1922">
        <v>445</v>
      </c>
      <c r="O1922">
        <v>0.12922900000000001</v>
      </c>
      <c r="P1922">
        <v>3</v>
      </c>
      <c r="Q1922" s="1" t="s">
        <v>560</v>
      </c>
      <c r="R1922" s="93">
        <v>57.52</v>
      </c>
      <c r="S1922">
        <v>46.03</v>
      </c>
      <c r="T1922">
        <v>0</v>
      </c>
      <c r="U1922" s="1" t="s">
        <v>643</v>
      </c>
      <c r="V1922" s="1"/>
      <c r="W1922">
        <v>57.527000000000001</v>
      </c>
      <c r="X1922">
        <v>0</v>
      </c>
      <c r="Y1922">
        <v>77387</v>
      </c>
    </row>
    <row r="1923" spans="1:25" ht="15" hidden="1" customHeight="1" x14ac:dyDescent="0.25">
      <c r="A1923" s="1" t="s">
        <v>32</v>
      </c>
      <c r="B1923" s="1"/>
      <c r="C1923" s="1" t="s">
        <v>165</v>
      </c>
      <c r="D1923">
        <v>10204</v>
      </c>
      <c r="E1923" s="1"/>
      <c r="F1923" s="1" t="s">
        <v>297</v>
      </c>
      <c r="G1923" s="1" t="s">
        <v>165</v>
      </c>
      <c r="H1923" s="1" t="s">
        <v>1405</v>
      </c>
      <c r="I1923">
        <v>2013</v>
      </c>
      <c r="J1923" s="93">
        <v>191.9</v>
      </c>
      <c r="K1923">
        <v>12</v>
      </c>
      <c r="L1923" s="1" t="s">
        <v>416</v>
      </c>
      <c r="M1923">
        <v>0</v>
      </c>
      <c r="N1923">
        <v>445</v>
      </c>
      <c r="O1923">
        <v>0.43113899999999999</v>
      </c>
      <c r="P1923">
        <v>3</v>
      </c>
      <c r="Q1923" s="1" t="s">
        <v>560</v>
      </c>
      <c r="R1923" s="93">
        <v>191.9</v>
      </c>
      <c r="S1923">
        <v>153.53</v>
      </c>
      <c r="T1923">
        <v>0</v>
      </c>
      <c r="U1923" s="1" t="s">
        <v>643</v>
      </c>
      <c r="V1923" s="1"/>
      <c r="W1923">
        <v>191.90799999999999</v>
      </c>
      <c r="X1923">
        <v>0</v>
      </c>
      <c r="Y1923">
        <v>77387</v>
      </c>
    </row>
    <row r="1924" spans="1:25" ht="15" hidden="1" customHeight="1" x14ac:dyDescent="0.25">
      <c r="A1924" s="1" t="s">
        <v>32</v>
      </c>
      <c r="B1924" s="1"/>
      <c r="C1924" s="1" t="s">
        <v>165</v>
      </c>
      <c r="D1924">
        <v>10204</v>
      </c>
      <c r="E1924" s="1"/>
      <c r="F1924" s="1" t="s">
        <v>297</v>
      </c>
      <c r="G1924" s="1" t="s">
        <v>165</v>
      </c>
      <c r="H1924" s="1" t="s">
        <v>1405</v>
      </c>
      <c r="I1924">
        <v>2012</v>
      </c>
      <c r="J1924" s="93">
        <v>200.06</v>
      </c>
      <c r="K1924">
        <v>12</v>
      </c>
      <c r="L1924" s="1" t="s">
        <v>416</v>
      </c>
      <c r="M1924">
        <v>0</v>
      </c>
      <c r="N1924">
        <v>445</v>
      </c>
      <c r="O1924">
        <v>0.44947199999999998</v>
      </c>
      <c r="P1924">
        <v>3</v>
      </c>
      <c r="Q1924" s="1" t="s">
        <v>560</v>
      </c>
      <c r="R1924" s="93">
        <v>200.06</v>
      </c>
      <c r="S1924">
        <v>160.04</v>
      </c>
      <c r="T1924">
        <v>0</v>
      </c>
      <c r="U1924" s="1" t="s">
        <v>643</v>
      </c>
      <c r="V1924" s="1"/>
      <c r="W1924">
        <v>200.047</v>
      </c>
      <c r="X1924">
        <v>0</v>
      </c>
      <c r="Y1924">
        <v>77387</v>
      </c>
    </row>
    <row r="1925" spans="1:25" ht="15" hidden="1" customHeight="1" x14ac:dyDescent="0.25">
      <c r="A1925" s="1" t="s">
        <v>32</v>
      </c>
      <c r="B1925" s="1"/>
      <c r="C1925" s="1" t="s">
        <v>165</v>
      </c>
      <c r="D1925">
        <v>10204</v>
      </c>
      <c r="E1925" s="1"/>
      <c r="F1925" s="1" t="s">
        <v>297</v>
      </c>
      <c r="G1925" s="1" t="s">
        <v>165</v>
      </c>
      <c r="H1925" s="1" t="s">
        <v>1405</v>
      </c>
      <c r="I1925">
        <v>2011</v>
      </c>
      <c r="J1925" s="93">
        <v>194.46</v>
      </c>
      <c r="K1925">
        <v>12</v>
      </c>
      <c r="L1925" s="1" t="s">
        <v>416</v>
      </c>
      <c r="M1925">
        <v>0</v>
      </c>
      <c r="N1925">
        <v>445</v>
      </c>
      <c r="O1925">
        <v>0.43689</v>
      </c>
      <c r="P1925">
        <v>3</v>
      </c>
      <c r="Q1925" s="1" t="s">
        <v>560</v>
      </c>
      <c r="R1925" s="93">
        <v>194.46</v>
      </c>
      <c r="S1925">
        <v>155.54</v>
      </c>
      <c r="T1925">
        <v>0</v>
      </c>
      <c r="U1925" s="1" t="s">
        <v>643</v>
      </c>
      <c r="V1925" s="1"/>
      <c r="W1925">
        <v>194.45099999999999</v>
      </c>
      <c r="X1925">
        <v>0</v>
      </c>
      <c r="Y1925">
        <v>77387</v>
      </c>
    </row>
    <row r="1926" spans="1:25" ht="15" hidden="1" customHeight="1" x14ac:dyDescent="0.25">
      <c r="A1926" s="1" t="s">
        <v>32</v>
      </c>
      <c r="B1926" s="1"/>
      <c r="C1926" s="1" t="s">
        <v>165</v>
      </c>
      <c r="D1926">
        <v>10204</v>
      </c>
      <c r="E1926" s="1"/>
      <c r="F1926" s="1" t="s">
        <v>297</v>
      </c>
      <c r="G1926" s="1" t="s">
        <v>165</v>
      </c>
      <c r="H1926" s="1" t="s">
        <v>1405</v>
      </c>
      <c r="I1926">
        <v>2010</v>
      </c>
      <c r="J1926" s="93">
        <v>145.16999999999999</v>
      </c>
      <c r="K1926">
        <v>8</v>
      </c>
      <c r="L1926" s="1" t="s">
        <v>416</v>
      </c>
      <c r="M1926">
        <v>0</v>
      </c>
      <c r="N1926">
        <v>445</v>
      </c>
      <c r="O1926">
        <v>0.32615100000000002</v>
      </c>
      <c r="P1926">
        <v>3</v>
      </c>
      <c r="Q1926" s="1" t="s">
        <v>560</v>
      </c>
      <c r="R1926" s="93">
        <v>145.16999999999999</v>
      </c>
      <c r="S1926">
        <v>116.13</v>
      </c>
      <c r="T1926">
        <v>0</v>
      </c>
      <c r="U1926" s="1" t="s">
        <v>643</v>
      </c>
      <c r="V1926" s="1"/>
      <c r="W1926">
        <v>145.16747000000001</v>
      </c>
      <c r="X1926">
        <v>0</v>
      </c>
      <c r="Y1926">
        <v>77387</v>
      </c>
    </row>
    <row r="1927" spans="1:25" ht="15" hidden="1" customHeight="1" x14ac:dyDescent="0.25">
      <c r="A1927" s="1" t="s">
        <v>32</v>
      </c>
      <c r="B1927" s="1"/>
      <c r="C1927" s="1" t="s">
        <v>165</v>
      </c>
      <c r="D1927">
        <v>10204</v>
      </c>
      <c r="E1927" s="1"/>
      <c r="F1927" s="1" t="s">
        <v>297</v>
      </c>
      <c r="G1927" s="1" t="s">
        <v>165</v>
      </c>
      <c r="H1927" s="1" t="s">
        <v>1405</v>
      </c>
      <c r="I1927">
        <v>2009</v>
      </c>
      <c r="J1927" s="93">
        <v>207.72</v>
      </c>
      <c r="K1927">
        <v>1</v>
      </c>
      <c r="L1927" s="1" t="s">
        <v>416</v>
      </c>
      <c r="M1927">
        <v>0</v>
      </c>
      <c r="N1927">
        <v>445</v>
      </c>
      <c r="O1927">
        <v>0.46668100000000001</v>
      </c>
      <c r="P1927">
        <v>3</v>
      </c>
      <c r="Q1927" s="1" t="s">
        <v>560</v>
      </c>
      <c r="R1927" s="93">
        <v>207.72</v>
      </c>
      <c r="S1927">
        <v>166.15</v>
      </c>
      <c r="T1927">
        <v>0</v>
      </c>
      <c r="U1927" s="1" t="s">
        <v>643</v>
      </c>
      <c r="V1927" s="1"/>
      <c r="W1927">
        <v>207.7199</v>
      </c>
      <c r="X1927">
        <v>0</v>
      </c>
      <c r="Y1927">
        <v>77387</v>
      </c>
    </row>
    <row r="1928" spans="1:25" ht="15" hidden="1" customHeight="1" x14ac:dyDescent="0.25">
      <c r="A1928" s="1" t="s">
        <v>32</v>
      </c>
      <c r="B1928" s="1"/>
      <c r="C1928" s="1" t="s">
        <v>165</v>
      </c>
      <c r="D1928">
        <v>10204</v>
      </c>
      <c r="E1928" s="1"/>
      <c r="F1928" s="1" t="s">
        <v>297</v>
      </c>
      <c r="G1928" s="1" t="s">
        <v>165</v>
      </c>
      <c r="H1928" s="1" t="s">
        <v>1405</v>
      </c>
      <c r="I1928">
        <v>2008</v>
      </c>
      <c r="J1928" s="93">
        <v>216.03</v>
      </c>
      <c r="K1928">
        <v>5</v>
      </c>
      <c r="L1928" s="1" t="s">
        <v>416</v>
      </c>
      <c r="M1928">
        <v>0</v>
      </c>
      <c r="N1928">
        <v>445</v>
      </c>
      <c r="O1928">
        <v>0.48535099999999998</v>
      </c>
      <c r="P1928">
        <v>3</v>
      </c>
      <c r="Q1928" s="1" t="s">
        <v>560</v>
      </c>
      <c r="R1928" s="93">
        <v>216.03</v>
      </c>
      <c r="S1928">
        <v>172.83</v>
      </c>
      <c r="T1928">
        <v>0</v>
      </c>
      <c r="U1928" s="1" t="s">
        <v>643</v>
      </c>
      <c r="V1928" s="1"/>
      <c r="W1928">
        <v>216.02709999999999</v>
      </c>
      <c r="X1928">
        <v>0</v>
      </c>
      <c r="Y1928">
        <v>77387</v>
      </c>
    </row>
    <row r="1929" spans="1:25" ht="15" hidden="1" customHeight="1" x14ac:dyDescent="0.25">
      <c r="A1929" s="1" t="s">
        <v>32</v>
      </c>
      <c r="B1929" s="1" t="s">
        <v>69</v>
      </c>
      <c r="C1929" s="1" t="s">
        <v>166</v>
      </c>
      <c r="D1929">
        <v>13664</v>
      </c>
      <c r="E1929" s="1" t="s">
        <v>243</v>
      </c>
      <c r="F1929" s="1" t="s">
        <v>298</v>
      </c>
      <c r="G1929" s="1" t="s">
        <v>166</v>
      </c>
      <c r="H1929" s="1" t="s">
        <v>1405</v>
      </c>
      <c r="I1929">
        <v>2015</v>
      </c>
      <c r="J1929" s="93">
        <v>16</v>
      </c>
      <c r="K1929">
        <v>5</v>
      </c>
      <c r="L1929" s="1" t="s">
        <v>434</v>
      </c>
      <c r="M1929">
        <v>0</v>
      </c>
      <c r="N1929">
        <v>138</v>
      </c>
      <c r="O1929">
        <v>1.7739999999999999E-2</v>
      </c>
      <c r="P1929">
        <v>3</v>
      </c>
      <c r="Q1929" s="1" t="s">
        <v>560</v>
      </c>
      <c r="R1929" s="93">
        <v>2.4500000000000002</v>
      </c>
      <c r="S1929">
        <v>1.97</v>
      </c>
      <c r="T1929">
        <v>0</v>
      </c>
      <c r="U1929" s="1"/>
      <c r="V1929" s="1"/>
      <c r="W1929">
        <v>2.448</v>
      </c>
      <c r="X1929">
        <v>0</v>
      </c>
      <c r="Y1929">
        <v>91256</v>
      </c>
    </row>
    <row r="1930" spans="1:25" ht="15" hidden="1" customHeight="1" x14ac:dyDescent="0.25">
      <c r="A1930" s="1" t="s">
        <v>32</v>
      </c>
      <c r="B1930" s="1" t="s">
        <v>69</v>
      </c>
      <c r="C1930" s="1" t="s">
        <v>166</v>
      </c>
      <c r="D1930">
        <v>13664</v>
      </c>
      <c r="E1930" s="1" t="s">
        <v>243</v>
      </c>
      <c r="F1930" s="1" t="s">
        <v>298</v>
      </c>
      <c r="G1930" s="1" t="s">
        <v>166</v>
      </c>
      <c r="H1930" s="1" t="s">
        <v>1405</v>
      </c>
      <c r="I1930">
        <v>2013</v>
      </c>
      <c r="J1930" s="93">
        <v>21.68</v>
      </c>
      <c r="K1930">
        <v>4</v>
      </c>
      <c r="L1930" s="1" t="s">
        <v>434</v>
      </c>
      <c r="M1930">
        <v>0</v>
      </c>
      <c r="N1930">
        <v>138</v>
      </c>
      <c r="O1930">
        <v>0.15698699999999999</v>
      </c>
      <c r="P1930">
        <v>3</v>
      </c>
      <c r="Q1930" s="1" t="s">
        <v>560</v>
      </c>
      <c r="R1930" s="93">
        <v>21.68</v>
      </c>
      <c r="S1930">
        <v>17.32</v>
      </c>
      <c r="T1930">
        <v>0</v>
      </c>
      <c r="U1930" s="1"/>
      <c r="V1930" s="1"/>
      <c r="W1930">
        <v>21.669530000000002</v>
      </c>
      <c r="X1930">
        <v>0</v>
      </c>
      <c r="Y1930">
        <v>91256</v>
      </c>
    </row>
    <row r="1931" spans="1:25" ht="15" hidden="1" customHeight="1" x14ac:dyDescent="0.25">
      <c r="A1931" s="1" t="s">
        <v>32</v>
      </c>
      <c r="B1931" s="1" t="s">
        <v>69</v>
      </c>
      <c r="C1931" s="1" t="s">
        <v>166</v>
      </c>
      <c r="D1931">
        <v>13664</v>
      </c>
      <c r="E1931" s="1" t="s">
        <v>243</v>
      </c>
      <c r="F1931" s="1" t="s">
        <v>298</v>
      </c>
      <c r="G1931" s="1" t="s">
        <v>166</v>
      </c>
      <c r="H1931" s="1" t="s">
        <v>1405</v>
      </c>
      <c r="I1931">
        <v>2012</v>
      </c>
      <c r="J1931" s="93">
        <v>0.1</v>
      </c>
      <c r="K1931">
        <v>1</v>
      </c>
      <c r="L1931" s="1" t="s">
        <v>434</v>
      </c>
      <c r="M1931">
        <v>0</v>
      </c>
      <c r="N1931">
        <v>138</v>
      </c>
      <c r="O1931">
        <v>7.2400000000000003E-4</v>
      </c>
      <c r="P1931">
        <v>3</v>
      </c>
      <c r="Q1931" s="1" t="s">
        <v>560</v>
      </c>
      <c r="R1931" s="93">
        <v>0.1</v>
      </c>
      <c r="S1931">
        <v>0.08</v>
      </c>
      <c r="T1931">
        <v>0</v>
      </c>
      <c r="U1931" s="1"/>
      <c r="V1931" s="1"/>
      <c r="W1931">
        <v>0.10446</v>
      </c>
      <c r="X1931">
        <v>0</v>
      </c>
      <c r="Y1931">
        <v>91256</v>
      </c>
    </row>
    <row r="1932" spans="1:25" ht="15" hidden="1" customHeight="1" x14ac:dyDescent="0.25">
      <c r="A1932" s="1" t="s">
        <v>32</v>
      </c>
      <c r="B1932" s="1"/>
      <c r="C1932" s="1" t="s">
        <v>167</v>
      </c>
      <c r="D1932">
        <v>10179</v>
      </c>
      <c r="E1932" s="1"/>
      <c r="F1932" s="1" t="s">
        <v>299</v>
      </c>
      <c r="G1932" s="1" t="s">
        <v>167</v>
      </c>
      <c r="H1932" s="1" t="s">
        <v>1405</v>
      </c>
      <c r="I1932">
        <v>2015</v>
      </c>
      <c r="J1932" s="93">
        <v>645</v>
      </c>
      <c r="K1932">
        <v>5</v>
      </c>
      <c r="L1932" s="1" t="s">
        <v>409</v>
      </c>
      <c r="M1932">
        <v>0</v>
      </c>
      <c r="N1932">
        <v>792</v>
      </c>
      <c r="O1932">
        <v>0.337343</v>
      </c>
      <c r="P1932">
        <v>3</v>
      </c>
      <c r="Q1932" s="1" t="s">
        <v>560</v>
      </c>
      <c r="R1932" s="93">
        <v>267.20999999999998</v>
      </c>
      <c r="S1932">
        <v>0</v>
      </c>
      <c r="T1932">
        <v>0</v>
      </c>
      <c r="U1932" s="1" t="s">
        <v>644</v>
      </c>
      <c r="V1932" s="1"/>
      <c r="W1932">
        <v>267.21100000000001</v>
      </c>
      <c r="X1932">
        <v>0</v>
      </c>
      <c r="Y1932">
        <v>77211</v>
      </c>
    </row>
    <row r="1933" spans="1:25" ht="15" hidden="1" customHeight="1" x14ac:dyDescent="0.25">
      <c r="A1933" s="1" t="s">
        <v>32</v>
      </c>
      <c r="B1933" s="1"/>
      <c r="C1933" s="1" t="s">
        <v>167</v>
      </c>
      <c r="D1933">
        <v>10179</v>
      </c>
      <c r="E1933" s="1"/>
      <c r="F1933" s="1" t="s">
        <v>299</v>
      </c>
      <c r="G1933" s="1" t="s">
        <v>167</v>
      </c>
      <c r="H1933" s="1" t="s">
        <v>1405</v>
      </c>
      <c r="I1933">
        <v>2013</v>
      </c>
      <c r="J1933" s="93">
        <v>700.63</v>
      </c>
      <c r="K1933">
        <v>12</v>
      </c>
      <c r="L1933" s="1" t="s">
        <v>409</v>
      </c>
      <c r="M1933">
        <v>0</v>
      </c>
      <c r="N1933">
        <v>792</v>
      </c>
      <c r="O1933">
        <v>0.88452200000000003</v>
      </c>
      <c r="P1933">
        <v>3</v>
      </c>
      <c r="Q1933" s="1" t="s">
        <v>560</v>
      </c>
      <c r="R1933" s="93">
        <v>700.63</v>
      </c>
      <c r="S1933">
        <v>0</v>
      </c>
      <c r="T1933">
        <v>0</v>
      </c>
      <c r="U1933" s="1" t="s">
        <v>644</v>
      </c>
      <c r="V1933" s="1"/>
      <c r="W1933">
        <v>700.61500000000001</v>
      </c>
      <c r="X1933">
        <v>0</v>
      </c>
      <c r="Y1933">
        <v>77211</v>
      </c>
    </row>
    <row r="1934" spans="1:25" ht="15" hidden="1" customHeight="1" x14ac:dyDescent="0.25">
      <c r="A1934" s="1" t="s">
        <v>32</v>
      </c>
      <c r="B1934" s="1"/>
      <c r="C1934" s="1" t="s">
        <v>167</v>
      </c>
      <c r="D1934">
        <v>10179</v>
      </c>
      <c r="E1934" s="1"/>
      <c r="F1934" s="1" t="s">
        <v>299</v>
      </c>
      <c r="G1934" s="1" t="s">
        <v>167</v>
      </c>
      <c r="H1934" s="1" t="s">
        <v>1405</v>
      </c>
      <c r="I1934">
        <v>2012</v>
      </c>
      <c r="J1934" s="93">
        <v>737.68</v>
      </c>
      <c r="K1934">
        <v>12</v>
      </c>
      <c r="L1934" s="1" t="s">
        <v>409</v>
      </c>
      <c r="M1934">
        <v>0</v>
      </c>
      <c r="N1934">
        <v>792</v>
      </c>
      <c r="O1934">
        <v>0.93129600000000001</v>
      </c>
      <c r="P1934">
        <v>3</v>
      </c>
      <c r="Q1934" s="1" t="s">
        <v>560</v>
      </c>
      <c r="R1934" s="93">
        <v>737.68</v>
      </c>
      <c r="S1934">
        <v>0</v>
      </c>
      <c r="T1934">
        <v>0</v>
      </c>
      <c r="U1934" s="1" t="s">
        <v>644</v>
      </c>
      <c r="V1934" s="1"/>
      <c r="W1934">
        <v>737.69</v>
      </c>
      <c r="X1934">
        <v>0</v>
      </c>
      <c r="Y1934">
        <v>77211</v>
      </c>
    </row>
    <row r="1935" spans="1:25" ht="15" hidden="1" customHeight="1" x14ac:dyDescent="0.25">
      <c r="A1935" s="1" t="s">
        <v>32</v>
      </c>
      <c r="B1935" s="1"/>
      <c r="C1935" s="1" t="s">
        <v>167</v>
      </c>
      <c r="D1935">
        <v>10179</v>
      </c>
      <c r="E1935" s="1"/>
      <c r="F1935" s="1" t="s">
        <v>299</v>
      </c>
      <c r="G1935" s="1" t="s">
        <v>167</v>
      </c>
      <c r="H1935" s="1" t="s">
        <v>1405</v>
      </c>
      <c r="I1935">
        <v>2011</v>
      </c>
      <c r="J1935" s="93">
        <v>867.27</v>
      </c>
      <c r="K1935">
        <v>12</v>
      </c>
      <c r="L1935" s="1" t="s">
        <v>409</v>
      </c>
      <c r="M1935">
        <v>0</v>
      </c>
      <c r="N1935">
        <v>792</v>
      </c>
      <c r="O1935">
        <v>1.0948990000000001</v>
      </c>
      <c r="P1935">
        <v>3</v>
      </c>
      <c r="Q1935" s="1" t="s">
        <v>560</v>
      </c>
      <c r="R1935" s="93">
        <v>867.27</v>
      </c>
      <c r="S1935">
        <v>0</v>
      </c>
      <c r="T1935">
        <v>0</v>
      </c>
      <c r="U1935" s="1" t="s">
        <v>644</v>
      </c>
      <c r="V1935" s="1"/>
      <c r="W1935">
        <v>867.26300000000003</v>
      </c>
      <c r="X1935">
        <v>0</v>
      </c>
      <c r="Y1935">
        <v>77211</v>
      </c>
    </row>
    <row r="1936" spans="1:25" ht="15" hidden="1" customHeight="1" x14ac:dyDescent="0.25">
      <c r="A1936" s="1" t="s">
        <v>32</v>
      </c>
      <c r="B1936" s="1"/>
      <c r="C1936" s="1" t="s">
        <v>167</v>
      </c>
      <c r="D1936">
        <v>10179</v>
      </c>
      <c r="E1936" s="1"/>
      <c r="F1936" s="1" t="s">
        <v>299</v>
      </c>
      <c r="G1936" s="1" t="s">
        <v>167</v>
      </c>
      <c r="H1936" s="1" t="s">
        <v>1405</v>
      </c>
      <c r="I1936">
        <v>2010</v>
      </c>
      <c r="J1936" s="93">
        <v>897.14</v>
      </c>
      <c r="K1936">
        <v>9</v>
      </c>
      <c r="L1936" s="1" t="s">
        <v>409</v>
      </c>
      <c r="M1936">
        <v>0</v>
      </c>
      <c r="N1936">
        <v>792</v>
      </c>
      <c r="O1936">
        <v>1.132609</v>
      </c>
      <c r="P1936">
        <v>3</v>
      </c>
      <c r="Q1936" s="1" t="s">
        <v>560</v>
      </c>
      <c r="R1936" s="93">
        <v>897.14</v>
      </c>
      <c r="S1936">
        <v>0</v>
      </c>
      <c r="T1936">
        <v>0</v>
      </c>
      <c r="U1936" s="1" t="s">
        <v>644</v>
      </c>
      <c r="V1936" s="1"/>
      <c r="W1936">
        <v>897.13383999999996</v>
      </c>
      <c r="X1936">
        <v>0</v>
      </c>
      <c r="Y1936">
        <v>77211</v>
      </c>
    </row>
    <row r="1937" spans="1:25" ht="15" hidden="1" customHeight="1" x14ac:dyDescent="0.25">
      <c r="A1937" s="1" t="s">
        <v>32</v>
      </c>
      <c r="B1937" s="1"/>
      <c r="C1937" s="1" t="s">
        <v>167</v>
      </c>
      <c r="D1937">
        <v>10179</v>
      </c>
      <c r="E1937" s="1"/>
      <c r="F1937" s="1" t="s">
        <v>299</v>
      </c>
      <c r="G1937" s="1" t="s">
        <v>167</v>
      </c>
      <c r="H1937" s="1" t="s">
        <v>1405</v>
      </c>
      <c r="I1937">
        <v>2009</v>
      </c>
      <c r="J1937" s="93">
        <v>1097.1099999999999</v>
      </c>
      <c r="K1937">
        <v>2</v>
      </c>
      <c r="L1937" s="1" t="s">
        <v>409</v>
      </c>
      <c r="M1937">
        <v>0</v>
      </c>
      <c r="N1937">
        <v>792</v>
      </c>
      <c r="O1937">
        <v>1.385065</v>
      </c>
      <c r="P1937">
        <v>3</v>
      </c>
      <c r="Q1937" s="1" t="s">
        <v>560</v>
      </c>
      <c r="R1937" s="93">
        <v>1097.1099999999999</v>
      </c>
      <c r="S1937">
        <v>0</v>
      </c>
      <c r="T1937">
        <v>0</v>
      </c>
      <c r="U1937" s="1" t="s">
        <v>644</v>
      </c>
      <c r="V1937" s="1"/>
      <c r="W1937">
        <v>1097.0716600000001</v>
      </c>
      <c r="X1937">
        <v>0</v>
      </c>
      <c r="Y1937">
        <v>77211</v>
      </c>
    </row>
    <row r="1938" spans="1:25" ht="15" hidden="1" customHeight="1" x14ac:dyDescent="0.25">
      <c r="A1938" s="1" t="s">
        <v>32</v>
      </c>
      <c r="B1938" s="1"/>
      <c r="C1938" s="1" t="s">
        <v>167</v>
      </c>
      <c r="D1938">
        <v>10179</v>
      </c>
      <c r="E1938" s="1"/>
      <c r="F1938" s="1" t="s">
        <v>299</v>
      </c>
      <c r="G1938" s="1" t="s">
        <v>167</v>
      </c>
      <c r="H1938" s="1" t="s">
        <v>1405</v>
      </c>
      <c r="I1938">
        <v>2008</v>
      </c>
      <c r="J1938" s="93">
        <v>1200.54</v>
      </c>
      <c r="K1938">
        <v>5</v>
      </c>
      <c r="L1938" s="1" t="s">
        <v>409</v>
      </c>
      <c r="M1938">
        <v>0</v>
      </c>
      <c r="N1938">
        <v>792</v>
      </c>
      <c r="O1938">
        <v>1.515641</v>
      </c>
      <c r="P1938">
        <v>3</v>
      </c>
      <c r="Q1938" s="1" t="s">
        <v>560</v>
      </c>
      <c r="R1938" s="93">
        <v>1200.54</v>
      </c>
      <c r="S1938">
        <v>0</v>
      </c>
      <c r="T1938">
        <v>0</v>
      </c>
      <c r="U1938" s="1" t="s">
        <v>644</v>
      </c>
      <c r="V1938" s="1"/>
      <c r="W1938">
        <v>1200.5423800000001</v>
      </c>
      <c r="X1938">
        <v>0</v>
      </c>
      <c r="Y1938">
        <v>77211</v>
      </c>
    </row>
    <row r="1939" spans="1:25" ht="15" hidden="1" customHeight="1" x14ac:dyDescent="0.25">
      <c r="A1939" s="1" t="s">
        <v>32</v>
      </c>
      <c r="B1939" s="1" t="s">
        <v>70</v>
      </c>
      <c r="C1939" s="1" t="s">
        <v>168</v>
      </c>
      <c r="D1939">
        <v>13667</v>
      </c>
      <c r="E1939" s="1" t="s">
        <v>243</v>
      </c>
      <c r="F1939" s="1" t="s">
        <v>300</v>
      </c>
      <c r="G1939" s="1" t="s">
        <v>168</v>
      </c>
      <c r="H1939" s="1" t="s">
        <v>1405</v>
      </c>
      <c r="I1939">
        <v>2013</v>
      </c>
      <c r="J1939" s="93">
        <v>642.82000000000005</v>
      </c>
      <c r="K1939">
        <v>2</v>
      </c>
      <c r="L1939" s="1" t="s">
        <v>414</v>
      </c>
      <c r="M1939">
        <v>0</v>
      </c>
      <c r="N1939">
        <v>292</v>
      </c>
      <c r="O1939">
        <v>2.2006839999999999</v>
      </c>
      <c r="P1939">
        <v>3</v>
      </c>
      <c r="Q1939" s="1" t="s">
        <v>560</v>
      </c>
      <c r="R1939" s="93">
        <v>642.82000000000005</v>
      </c>
      <c r="S1939">
        <v>514.25</v>
      </c>
      <c r="T1939">
        <v>0</v>
      </c>
      <c r="U1939" s="1" t="s">
        <v>645</v>
      </c>
      <c r="V1939" s="1"/>
      <c r="W1939">
        <v>642.83848</v>
      </c>
      <c r="X1939">
        <v>0</v>
      </c>
      <c r="Y1939">
        <v>91263</v>
      </c>
    </row>
    <row r="1940" spans="1:25" ht="15" hidden="1" customHeight="1" x14ac:dyDescent="0.25">
      <c r="A1940" s="1" t="s">
        <v>32</v>
      </c>
      <c r="B1940" s="1" t="s">
        <v>70</v>
      </c>
      <c r="C1940" s="1" t="s">
        <v>168</v>
      </c>
      <c r="D1940">
        <v>13667</v>
      </c>
      <c r="E1940" s="1" t="s">
        <v>243</v>
      </c>
      <c r="F1940" s="1" t="s">
        <v>300</v>
      </c>
      <c r="G1940" s="1" t="s">
        <v>168</v>
      </c>
      <c r="H1940" s="1" t="s">
        <v>1405</v>
      </c>
      <c r="I1940">
        <v>2013</v>
      </c>
      <c r="J1940" s="93">
        <v>36.15</v>
      </c>
      <c r="K1940">
        <v>2</v>
      </c>
      <c r="L1940" s="1" t="s">
        <v>414</v>
      </c>
      <c r="M1940">
        <v>0</v>
      </c>
      <c r="N1940">
        <v>292</v>
      </c>
      <c r="O1940">
        <v>0.12375800000000001</v>
      </c>
      <c r="P1940">
        <v>3</v>
      </c>
      <c r="Q1940" s="1" t="s">
        <v>560</v>
      </c>
      <c r="R1940" s="93">
        <v>36.15</v>
      </c>
      <c r="S1940">
        <v>28.93</v>
      </c>
      <c r="T1940">
        <v>0</v>
      </c>
      <c r="U1940" s="1" t="s">
        <v>646</v>
      </c>
      <c r="V1940" s="1"/>
      <c r="W1940">
        <v>36.151679999999999</v>
      </c>
      <c r="X1940">
        <v>0</v>
      </c>
      <c r="Y1940">
        <v>93572</v>
      </c>
    </row>
    <row r="1941" spans="1:25" ht="15" hidden="1" customHeight="1" x14ac:dyDescent="0.25">
      <c r="A1941" s="1" t="s">
        <v>32</v>
      </c>
      <c r="B1941" s="1" t="s">
        <v>70</v>
      </c>
      <c r="C1941" s="1" t="s">
        <v>168</v>
      </c>
      <c r="D1941">
        <v>13667</v>
      </c>
      <c r="E1941" s="1" t="s">
        <v>243</v>
      </c>
      <c r="F1941" s="1" t="s">
        <v>300</v>
      </c>
      <c r="G1941" s="1" t="s">
        <v>168</v>
      </c>
      <c r="H1941" s="1" t="s">
        <v>1405</v>
      </c>
      <c r="I1941">
        <v>2012</v>
      </c>
      <c r="J1941" s="93">
        <v>932.59</v>
      </c>
      <c r="K1941">
        <v>0</v>
      </c>
      <c r="L1941" s="1" t="s">
        <v>414</v>
      </c>
      <c r="M1941">
        <v>0</v>
      </c>
      <c r="N1941">
        <v>292</v>
      </c>
      <c r="O1941">
        <v>3.192707</v>
      </c>
      <c r="P1941">
        <v>3</v>
      </c>
      <c r="Q1941" s="1" t="s">
        <v>560</v>
      </c>
      <c r="R1941" s="93">
        <v>932.59</v>
      </c>
      <c r="S1941">
        <v>746.05</v>
      </c>
      <c r="T1941">
        <v>0</v>
      </c>
      <c r="U1941" s="1" t="s">
        <v>645</v>
      </c>
      <c r="V1941" s="1"/>
      <c r="W1941">
        <v>932.61335999999994</v>
      </c>
      <c r="X1941">
        <v>0</v>
      </c>
      <c r="Y1941">
        <v>91263</v>
      </c>
    </row>
    <row r="1942" spans="1:25" ht="15" hidden="1" customHeight="1" x14ac:dyDescent="0.25">
      <c r="A1942" s="1" t="s">
        <v>32</v>
      </c>
      <c r="B1942" s="1" t="s">
        <v>70</v>
      </c>
      <c r="C1942" s="1" t="s">
        <v>168</v>
      </c>
      <c r="D1942">
        <v>13667</v>
      </c>
      <c r="E1942" s="1" t="s">
        <v>243</v>
      </c>
      <c r="F1942" s="1" t="s">
        <v>300</v>
      </c>
      <c r="G1942" s="1" t="s">
        <v>168</v>
      </c>
      <c r="H1942" s="1" t="s">
        <v>1405</v>
      </c>
      <c r="I1942">
        <v>2011</v>
      </c>
      <c r="J1942" s="93">
        <v>2.5499999999999998</v>
      </c>
      <c r="K1942">
        <v>1</v>
      </c>
      <c r="L1942" s="1" t="s">
        <v>414</v>
      </c>
      <c r="M1942">
        <v>0</v>
      </c>
      <c r="N1942">
        <v>292</v>
      </c>
      <c r="O1942">
        <v>8.7290000000000006E-3</v>
      </c>
      <c r="P1942">
        <v>3</v>
      </c>
      <c r="Q1942" s="1" t="s">
        <v>560</v>
      </c>
      <c r="R1942" s="93">
        <v>2.5499999999999998</v>
      </c>
      <c r="S1942">
        <v>2.04</v>
      </c>
      <c r="T1942">
        <v>0</v>
      </c>
      <c r="U1942" s="1" t="s">
        <v>645</v>
      </c>
      <c r="V1942" s="1"/>
      <c r="W1942">
        <v>2.5481199999999999</v>
      </c>
      <c r="X1942">
        <v>0</v>
      </c>
      <c r="Y1942">
        <v>91263</v>
      </c>
    </row>
    <row r="1943" spans="1:25" ht="15" hidden="1" customHeight="1" x14ac:dyDescent="0.25">
      <c r="A1943" s="1" t="s">
        <v>32</v>
      </c>
      <c r="B1943" s="1" t="s">
        <v>68</v>
      </c>
      <c r="C1943" s="1" t="s">
        <v>163</v>
      </c>
      <c r="D1943">
        <v>5489</v>
      </c>
      <c r="E1943" s="1"/>
      <c r="F1943" s="1" t="s">
        <v>163</v>
      </c>
      <c r="G1943" s="1" t="s">
        <v>163</v>
      </c>
      <c r="H1943" s="1" t="s">
        <v>1405</v>
      </c>
      <c r="I1943">
        <v>2014</v>
      </c>
      <c r="J1943" s="93">
        <v>1416.5</v>
      </c>
      <c r="K1943">
        <v>12</v>
      </c>
      <c r="L1943" s="1"/>
      <c r="M1943">
        <v>0</v>
      </c>
      <c r="N1943">
        <v>2801</v>
      </c>
      <c r="O1943">
        <v>0.50569399999999998</v>
      </c>
      <c r="P1943">
        <v>3</v>
      </c>
      <c r="Q1943" s="1" t="s">
        <v>560</v>
      </c>
      <c r="R1943" s="93">
        <v>1416.5</v>
      </c>
      <c r="S1943">
        <v>1133.2</v>
      </c>
      <c r="T1943">
        <v>1</v>
      </c>
      <c r="U1943" s="1" t="s">
        <v>637</v>
      </c>
      <c r="V1943" s="1"/>
      <c r="W1943">
        <v>1416.5</v>
      </c>
      <c r="X1943">
        <v>0</v>
      </c>
      <c r="Y1943">
        <v>58005</v>
      </c>
    </row>
    <row r="1944" spans="1:25" ht="15" hidden="1" customHeight="1" x14ac:dyDescent="0.25">
      <c r="A1944" s="1" t="s">
        <v>32</v>
      </c>
      <c r="B1944" s="1" t="s">
        <v>68</v>
      </c>
      <c r="C1944" s="1" t="s">
        <v>163</v>
      </c>
      <c r="D1944">
        <v>5489</v>
      </c>
      <c r="E1944" s="1"/>
      <c r="F1944" s="1" t="s">
        <v>163</v>
      </c>
      <c r="G1944" s="1" t="s">
        <v>163</v>
      </c>
      <c r="H1944" s="1" t="s">
        <v>1405</v>
      </c>
      <c r="I1944">
        <v>2014</v>
      </c>
      <c r="J1944" s="93">
        <v>325.83</v>
      </c>
      <c r="K1944">
        <v>12</v>
      </c>
      <c r="L1944" s="1"/>
      <c r="M1944">
        <v>0</v>
      </c>
      <c r="N1944">
        <v>2801</v>
      </c>
      <c r="O1944">
        <v>0.11632199999999999</v>
      </c>
      <c r="P1944">
        <v>3</v>
      </c>
      <c r="Q1944" s="1" t="s">
        <v>560</v>
      </c>
      <c r="R1944" s="93">
        <v>325.83</v>
      </c>
      <c r="S1944">
        <v>260.67</v>
      </c>
      <c r="T1944">
        <v>1</v>
      </c>
      <c r="U1944" s="1" t="s">
        <v>638</v>
      </c>
      <c r="V1944" s="1"/>
      <c r="W1944">
        <v>325.83100000000002</v>
      </c>
      <c r="X1944">
        <v>0</v>
      </c>
      <c r="Y1944">
        <v>58106</v>
      </c>
    </row>
    <row r="1945" spans="1:25" ht="15" hidden="1" customHeight="1" x14ac:dyDescent="0.25">
      <c r="A1945" s="1" t="s">
        <v>32</v>
      </c>
      <c r="B1945" s="1" t="s">
        <v>68</v>
      </c>
      <c r="C1945" s="1" t="s">
        <v>163</v>
      </c>
      <c r="D1945">
        <v>6031</v>
      </c>
      <c r="E1945" s="1"/>
      <c r="F1945" s="1" t="s">
        <v>295</v>
      </c>
      <c r="G1945" s="1" t="s">
        <v>163</v>
      </c>
      <c r="H1945" s="1" t="s">
        <v>1405</v>
      </c>
      <c r="I1945">
        <v>2014</v>
      </c>
      <c r="J1945" s="93">
        <v>325.94</v>
      </c>
      <c r="K1945">
        <v>5</v>
      </c>
      <c r="L1945" s="1" t="s">
        <v>433</v>
      </c>
      <c r="M1945">
        <v>0</v>
      </c>
      <c r="N1945">
        <v>0</v>
      </c>
      <c r="O1945">
        <v>3259.4</v>
      </c>
      <c r="P1945">
        <v>3</v>
      </c>
      <c r="Q1945" s="1" t="s">
        <v>560</v>
      </c>
      <c r="R1945" s="93">
        <v>325.94</v>
      </c>
      <c r="S1945">
        <v>260.74</v>
      </c>
      <c r="T1945">
        <v>1</v>
      </c>
      <c r="U1945" s="1" t="s">
        <v>639</v>
      </c>
      <c r="V1945" s="1"/>
      <c r="W1945">
        <v>325.92865</v>
      </c>
      <c r="X1945">
        <v>0</v>
      </c>
      <c r="Y1945">
        <v>60682</v>
      </c>
    </row>
    <row r="1946" spans="1:25" ht="15" hidden="1" customHeight="1" x14ac:dyDescent="0.25">
      <c r="A1946" s="1" t="s">
        <v>32</v>
      </c>
      <c r="B1946" s="1" t="s">
        <v>68</v>
      </c>
      <c r="C1946" s="1" t="s">
        <v>163</v>
      </c>
      <c r="D1946">
        <v>6031</v>
      </c>
      <c r="E1946" s="1"/>
      <c r="F1946" s="1" t="s">
        <v>295</v>
      </c>
      <c r="G1946" s="1" t="s">
        <v>163</v>
      </c>
      <c r="H1946" s="1" t="s">
        <v>1405</v>
      </c>
      <c r="I1946">
        <v>2014</v>
      </c>
      <c r="J1946" s="93">
        <v>2252.7600000000002</v>
      </c>
      <c r="K1946">
        <v>5</v>
      </c>
      <c r="L1946" s="1" t="s">
        <v>433</v>
      </c>
      <c r="M1946">
        <v>0</v>
      </c>
      <c r="N1946">
        <v>0</v>
      </c>
      <c r="O1946">
        <v>22527.599999999999</v>
      </c>
      <c r="P1946">
        <v>3</v>
      </c>
      <c r="Q1946" s="1" t="s">
        <v>560</v>
      </c>
      <c r="R1946" s="93">
        <v>2252.7600000000002</v>
      </c>
      <c r="S1946">
        <v>1802.2</v>
      </c>
      <c r="T1946">
        <v>0</v>
      </c>
      <c r="U1946" s="1" t="s">
        <v>640</v>
      </c>
      <c r="V1946" s="1"/>
      <c r="W1946">
        <v>2252.7444500000001</v>
      </c>
      <c r="X1946">
        <v>0</v>
      </c>
      <c r="Y1946">
        <v>60683</v>
      </c>
    </row>
    <row r="1947" spans="1:25" ht="15" hidden="1" customHeight="1" x14ac:dyDescent="0.25">
      <c r="A1947" s="1" t="s">
        <v>32</v>
      </c>
      <c r="B1947" s="1" t="s">
        <v>68</v>
      </c>
      <c r="C1947" s="1" t="s">
        <v>163</v>
      </c>
      <c r="D1947">
        <v>6031</v>
      </c>
      <c r="E1947" s="1"/>
      <c r="F1947" s="1" t="s">
        <v>295</v>
      </c>
      <c r="G1947" s="1" t="s">
        <v>163</v>
      </c>
      <c r="H1947" s="1" t="s">
        <v>1405</v>
      </c>
      <c r="I1947">
        <v>2014</v>
      </c>
      <c r="J1947" s="93">
        <v>3.62</v>
      </c>
      <c r="K1947">
        <v>4</v>
      </c>
      <c r="L1947" s="1" t="s">
        <v>433</v>
      </c>
      <c r="M1947">
        <v>0</v>
      </c>
      <c r="N1947">
        <v>0</v>
      </c>
      <c r="O1947">
        <v>36.200000000000003</v>
      </c>
      <c r="P1947">
        <v>3</v>
      </c>
      <c r="Q1947" s="1" t="s">
        <v>560</v>
      </c>
      <c r="R1947" s="93">
        <v>3.62</v>
      </c>
      <c r="S1947">
        <v>2.91</v>
      </c>
      <c r="T1947">
        <v>1</v>
      </c>
      <c r="U1947" s="1" t="s">
        <v>641</v>
      </c>
      <c r="V1947" s="1"/>
      <c r="W1947">
        <v>3.6206999999999998</v>
      </c>
      <c r="X1947">
        <v>0</v>
      </c>
      <c r="Y1947">
        <v>62512</v>
      </c>
    </row>
    <row r="1948" spans="1:25" ht="15" hidden="1" customHeight="1" x14ac:dyDescent="0.25">
      <c r="A1948" s="1" t="s">
        <v>32</v>
      </c>
      <c r="B1948" s="1" t="s">
        <v>68</v>
      </c>
      <c r="C1948" s="1" t="s">
        <v>163</v>
      </c>
      <c r="D1948">
        <v>6031</v>
      </c>
      <c r="E1948" s="1"/>
      <c r="F1948" s="1" t="s">
        <v>295</v>
      </c>
      <c r="G1948" s="1" t="s">
        <v>163</v>
      </c>
      <c r="H1948" s="1" t="s">
        <v>1405</v>
      </c>
      <c r="I1948">
        <v>2014</v>
      </c>
      <c r="J1948" s="93">
        <v>75220.28</v>
      </c>
      <c r="K1948">
        <v>5</v>
      </c>
      <c r="L1948" s="1" t="s">
        <v>433</v>
      </c>
      <c r="M1948">
        <v>0</v>
      </c>
      <c r="N1948">
        <v>0</v>
      </c>
      <c r="O1948">
        <v>752202.8</v>
      </c>
      <c r="P1948">
        <v>1</v>
      </c>
      <c r="Q1948" s="1" t="s">
        <v>562</v>
      </c>
      <c r="R1948" s="93">
        <v>87858.59</v>
      </c>
      <c r="S1948">
        <v>11070.18</v>
      </c>
      <c r="T1948">
        <v>1</v>
      </c>
      <c r="U1948" s="1" t="s">
        <v>816</v>
      </c>
      <c r="V1948" s="1"/>
      <c r="W1948">
        <v>75220.274040000004</v>
      </c>
      <c r="X1948">
        <v>0</v>
      </c>
      <c r="Y1948">
        <v>60629</v>
      </c>
    </row>
    <row r="1949" spans="1:25" ht="15" hidden="1" customHeight="1" x14ac:dyDescent="0.25">
      <c r="A1949" s="1" t="s">
        <v>32</v>
      </c>
      <c r="B1949" s="1" t="s">
        <v>68</v>
      </c>
      <c r="C1949" s="1" t="s">
        <v>163</v>
      </c>
      <c r="D1949">
        <v>6031</v>
      </c>
      <c r="E1949" s="1"/>
      <c r="F1949" s="1" t="s">
        <v>295</v>
      </c>
      <c r="G1949" s="1" t="s">
        <v>163</v>
      </c>
      <c r="H1949" s="1" t="s">
        <v>1405</v>
      </c>
      <c r="I1949">
        <v>2014</v>
      </c>
      <c r="J1949" s="93">
        <v>7395.99</v>
      </c>
      <c r="K1949">
        <v>5</v>
      </c>
      <c r="L1949" s="1" t="s">
        <v>433</v>
      </c>
      <c r="M1949">
        <v>0</v>
      </c>
      <c r="N1949">
        <v>0</v>
      </c>
      <c r="O1949">
        <v>73959.899999999994</v>
      </c>
      <c r="P1949">
        <v>1</v>
      </c>
      <c r="Q1949" s="1" t="s">
        <v>562</v>
      </c>
      <c r="R1949" s="93">
        <v>8894.9</v>
      </c>
      <c r="S1949">
        <v>1120.75</v>
      </c>
      <c r="T1949">
        <v>1</v>
      </c>
      <c r="U1949" s="1" t="s">
        <v>818</v>
      </c>
      <c r="V1949" s="1"/>
      <c r="W1949">
        <v>7395.9789000000001</v>
      </c>
      <c r="X1949">
        <v>0</v>
      </c>
      <c r="Y1949">
        <v>60630</v>
      </c>
    </row>
    <row r="1950" spans="1:25" ht="15" hidden="1" customHeight="1" x14ac:dyDescent="0.25">
      <c r="A1950" s="1" t="s">
        <v>32</v>
      </c>
      <c r="B1950" s="1" t="s">
        <v>68</v>
      </c>
      <c r="C1950" s="1" t="s">
        <v>163</v>
      </c>
      <c r="D1950">
        <v>5489</v>
      </c>
      <c r="E1950" s="1"/>
      <c r="F1950" s="1" t="s">
        <v>163</v>
      </c>
      <c r="G1950" s="1" t="s">
        <v>163</v>
      </c>
      <c r="H1950" s="1" t="s">
        <v>1405</v>
      </c>
      <c r="I1950">
        <v>2014</v>
      </c>
      <c r="J1950" s="93">
        <v>48421.78</v>
      </c>
      <c r="K1950">
        <v>12</v>
      </c>
      <c r="L1950" s="1"/>
      <c r="M1950">
        <v>0</v>
      </c>
      <c r="N1950">
        <v>2801</v>
      </c>
      <c r="O1950">
        <v>17.286701000000001</v>
      </c>
      <c r="P1950">
        <v>2</v>
      </c>
      <c r="Q1950" s="1" t="s">
        <v>569</v>
      </c>
      <c r="R1950" s="93">
        <v>48421.78</v>
      </c>
      <c r="S1950">
        <v>19368.71</v>
      </c>
      <c r="T1950">
        <v>0</v>
      </c>
      <c r="U1950" s="1" t="s">
        <v>1019</v>
      </c>
      <c r="V1950" s="1" t="s">
        <v>1298</v>
      </c>
      <c r="W1950">
        <v>48421.78</v>
      </c>
      <c r="X1950">
        <v>0</v>
      </c>
      <c r="Y1950">
        <v>58001</v>
      </c>
    </row>
    <row r="1951" spans="1:25" ht="15" hidden="1" customHeight="1" x14ac:dyDescent="0.25">
      <c r="A1951" s="1" t="s">
        <v>32</v>
      </c>
      <c r="B1951" s="1" t="s">
        <v>68</v>
      </c>
      <c r="C1951" s="1" t="s">
        <v>163</v>
      </c>
      <c r="D1951">
        <v>5489</v>
      </c>
      <c r="E1951" s="1"/>
      <c r="F1951" s="1" t="s">
        <v>163</v>
      </c>
      <c r="G1951" s="1" t="s">
        <v>163</v>
      </c>
      <c r="H1951" s="1" t="s">
        <v>1405</v>
      </c>
      <c r="I1951">
        <v>2014</v>
      </c>
      <c r="J1951" s="93">
        <v>36415.230000000003</v>
      </c>
      <c r="K1951">
        <v>12</v>
      </c>
      <c r="L1951" s="1"/>
      <c r="M1951">
        <v>0</v>
      </c>
      <c r="N1951">
        <v>2801</v>
      </c>
      <c r="O1951">
        <v>13.000332</v>
      </c>
      <c r="P1951">
        <v>2</v>
      </c>
      <c r="Q1951" s="1" t="s">
        <v>569</v>
      </c>
      <c r="R1951" s="93">
        <v>36415.230000000003</v>
      </c>
      <c r="S1951">
        <v>14566.11</v>
      </c>
      <c r="T1951">
        <v>0</v>
      </c>
      <c r="U1951" s="1" t="s">
        <v>1020</v>
      </c>
      <c r="V1951" s="1" t="s">
        <v>1299</v>
      </c>
      <c r="W1951">
        <v>36415.232000000004</v>
      </c>
      <c r="X1951">
        <v>0</v>
      </c>
      <c r="Y1951">
        <v>58091</v>
      </c>
    </row>
    <row r="1952" spans="1:25" ht="15" hidden="1" customHeight="1" x14ac:dyDescent="0.25">
      <c r="A1952" s="1" t="s">
        <v>32</v>
      </c>
      <c r="B1952" s="1" t="s">
        <v>68</v>
      </c>
      <c r="C1952" s="1" t="s">
        <v>163</v>
      </c>
      <c r="D1952">
        <v>5489</v>
      </c>
      <c r="E1952" s="1"/>
      <c r="F1952" s="1" t="s">
        <v>163</v>
      </c>
      <c r="G1952" s="1" t="s">
        <v>163</v>
      </c>
      <c r="H1952" s="1" t="s">
        <v>1405</v>
      </c>
      <c r="I1952">
        <v>2014</v>
      </c>
      <c r="J1952" s="93">
        <v>7992.42</v>
      </c>
      <c r="K1952">
        <v>12</v>
      </c>
      <c r="L1952" s="1"/>
      <c r="M1952">
        <v>0</v>
      </c>
      <c r="N1952">
        <v>2801</v>
      </c>
      <c r="O1952">
        <v>2.8533140000000001</v>
      </c>
      <c r="P1952">
        <v>2</v>
      </c>
      <c r="Q1952" s="1" t="s">
        <v>569</v>
      </c>
      <c r="R1952" s="93">
        <v>7992.42</v>
      </c>
      <c r="S1952">
        <v>3196.96</v>
      </c>
      <c r="T1952">
        <v>0</v>
      </c>
      <c r="U1952" s="1" t="s">
        <v>1021</v>
      </c>
      <c r="V1952" s="1" t="s">
        <v>1300</v>
      </c>
      <c r="W1952">
        <v>7992.4179999999997</v>
      </c>
      <c r="X1952">
        <v>0</v>
      </c>
      <c r="Y1952">
        <v>58094</v>
      </c>
    </row>
    <row r="1953" spans="1:25" ht="15" hidden="1" customHeight="1" x14ac:dyDescent="0.25">
      <c r="A1953" s="1" t="s">
        <v>32</v>
      </c>
      <c r="B1953" s="1" t="s">
        <v>68</v>
      </c>
      <c r="C1953" s="1" t="s">
        <v>163</v>
      </c>
      <c r="D1953">
        <v>6031</v>
      </c>
      <c r="E1953" s="1"/>
      <c r="F1953" s="1" t="s">
        <v>295</v>
      </c>
      <c r="G1953" s="1" t="s">
        <v>163</v>
      </c>
      <c r="H1953" s="1" t="s">
        <v>1405</v>
      </c>
      <c r="I1953">
        <v>2014</v>
      </c>
      <c r="J1953" s="93">
        <v>0</v>
      </c>
      <c r="K1953">
        <v>4</v>
      </c>
      <c r="L1953" s="1" t="s">
        <v>433</v>
      </c>
      <c r="M1953">
        <v>0</v>
      </c>
      <c r="N1953">
        <v>0</v>
      </c>
      <c r="O1953">
        <v>0</v>
      </c>
      <c r="P1953">
        <v>2</v>
      </c>
      <c r="Q1953" s="1" t="s">
        <v>569</v>
      </c>
      <c r="R1953" s="93">
        <v>0</v>
      </c>
      <c r="S1953">
        <v>0</v>
      </c>
      <c r="T1953">
        <v>0</v>
      </c>
      <c r="U1953" s="1" t="s">
        <v>1023</v>
      </c>
      <c r="V1953" s="1"/>
      <c r="W1953">
        <v>0</v>
      </c>
      <c r="X1953">
        <v>0</v>
      </c>
      <c r="Y1953">
        <v>60687</v>
      </c>
    </row>
    <row r="1954" spans="1:25" ht="15" hidden="1" customHeight="1" x14ac:dyDescent="0.25">
      <c r="A1954" s="1" t="s">
        <v>32</v>
      </c>
      <c r="B1954" s="1" t="s">
        <v>68</v>
      </c>
      <c r="C1954" s="1" t="s">
        <v>163</v>
      </c>
      <c r="D1954">
        <v>6031</v>
      </c>
      <c r="E1954" s="1"/>
      <c r="F1954" s="1" t="s">
        <v>295</v>
      </c>
      <c r="G1954" s="1" t="s">
        <v>163</v>
      </c>
      <c r="H1954" s="1" t="s">
        <v>1405</v>
      </c>
      <c r="I1954">
        <v>2014</v>
      </c>
      <c r="J1954" s="93">
        <v>118606.13</v>
      </c>
      <c r="K1954">
        <v>4</v>
      </c>
      <c r="L1954" s="1" t="s">
        <v>499</v>
      </c>
      <c r="M1954">
        <v>0</v>
      </c>
      <c r="N1954">
        <v>0</v>
      </c>
      <c r="O1954">
        <v>1186061.3</v>
      </c>
      <c r="P1954">
        <v>2</v>
      </c>
      <c r="Q1954" s="1" t="s">
        <v>569</v>
      </c>
      <c r="R1954" s="93">
        <v>118606.13</v>
      </c>
      <c r="S1954">
        <v>47442.46</v>
      </c>
      <c r="T1954">
        <v>1</v>
      </c>
      <c r="U1954" s="1" t="s">
        <v>1022</v>
      </c>
      <c r="V1954" s="1"/>
      <c r="W1954">
        <v>118606.10725</v>
      </c>
      <c r="X1954">
        <v>0</v>
      </c>
      <c r="Y1954">
        <v>60686</v>
      </c>
    </row>
    <row r="1955" spans="1:25" ht="15" hidden="1" customHeight="1" x14ac:dyDescent="0.25">
      <c r="A1955" s="1" t="s">
        <v>32</v>
      </c>
      <c r="B1955" s="1" t="s">
        <v>68</v>
      </c>
      <c r="C1955" s="1" t="s">
        <v>163</v>
      </c>
      <c r="D1955">
        <v>6031</v>
      </c>
      <c r="E1955" s="1"/>
      <c r="F1955" s="1" t="s">
        <v>295</v>
      </c>
      <c r="G1955" s="1" t="s">
        <v>163</v>
      </c>
      <c r="H1955" s="1" t="s">
        <v>1405</v>
      </c>
      <c r="I1955">
        <v>2014</v>
      </c>
      <c r="J1955" s="93">
        <v>2209.75</v>
      </c>
      <c r="K1955">
        <v>4</v>
      </c>
      <c r="L1955" s="1" t="s">
        <v>433</v>
      </c>
      <c r="M1955">
        <v>0</v>
      </c>
      <c r="N1955">
        <v>0</v>
      </c>
      <c r="O1955">
        <v>22097.5</v>
      </c>
      <c r="P1955">
        <v>2</v>
      </c>
      <c r="Q1955" s="1" t="s">
        <v>569</v>
      </c>
      <c r="R1955" s="93">
        <v>2209.75</v>
      </c>
      <c r="S1955">
        <v>883.89</v>
      </c>
      <c r="T1955">
        <v>1</v>
      </c>
      <c r="U1955" s="1" t="s">
        <v>1024</v>
      </c>
      <c r="V1955" s="1"/>
      <c r="W1955">
        <v>2209.7555499999999</v>
      </c>
      <c r="X1955">
        <v>0</v>
      </c>
      <c r="Y1955">
        <v>62511</v>
      </c>
    </row>
    <row r="1956" spans="1:25" ht="15" hidden="1" customHeight="1" x14ac:dyDescent="0.25">
      <c r="A1956" s="1" t="s">
        <v>32</v>
      </c>
      <c r="B1956" s="1"/>
      <c r="C1956" s="1" t="s">
        <v>164</v>
      </c>
      <c r="D1956">
        <v>10207</v>
      </c>
      <c r="E1956" s="1"/>
      <c r="F1956" s="1" t="s">
        <v>296</v>
      </c>
      <c r="G1956" s="1" t="s">
        <v>164</v>
      </c>
      <c r="H1956" s="1" t="s">
        <v>1405</v>
      </c>
      <c r="I1956">
        <v>2014</v>
      </c>
      <c r="J1956" s="93">
        <v>55082.91</v>
      </c>
      <c r="K1956">
        <v>12</v>
      </c>
      <c r="L1956" s="1" t="s">
        <v>399</v>
      </c>
      <c r="M1956">
        <v>0</v>
      </c>
      <c r="N1956">
        <v>505</v>
      </c>
      <c r="O1956">
        <v>109.05347399999999</v>
      </c>
      <c r="P1956">
        <v>1</v>
      </c>
      <c r="Q1956" s="1" t="s">
        <v>564</v>
      </c>
      <c r="R1956" s="93">
        <v>66538.42</v>
      </c>
      <c r="S1956">
        <v>14071.62</v>
      </c>
      <c r="T1956">
        <v>0</v>
      </c>
      <c r="U1956" s="1" t="s">
        <v>820</v>
      </c>
      <c r="V1956" s="1" t="s">
        <v>1209</v>
      </c>
      <c r="W1956">
        <v>5100.2700000000004</v>
      </c>
      <c r="X1956">
        <v>0</v>
      </c>
      <c r="Y1956">
        <v>77402</v>
      </c>
    </row>
    <row r="1957" spans="1:25" ht="15" hidden="1" customHeight="1" x14ac:dyDescent="0.25">
      <c r="A1957" s="1" t="s">
        <v>29</v>
      </c>
      <c r="B1957" s="1"/>
      <c r="C1957" s="1" t="s">
        <v>148</v>
      </c>
      <c r="D1957">
        <v>10206</v>
      </c>
      <c r="E1957" s="1"/>
      <c r="F1957" s="1" t="s">
        <v>281</v>
      </c>
      <c r="G1957" s="1" t="s">
        <v>148</v>
      </c>
      <c r="H1957" s="1" t="s">
        <v>1405</v>
      </c>
      <c r="I1957">
        <v>2014</v>
      </c>
      <c r="J1957" s="93">
        <v>56912.33</v>
      </c>
      <c r="K1957">
        <v>12</v>
      </c>
      <c r="L1957" s="1" t="s">
        <v>399</v>
      </c>
      <c r="M1957">
        <v>0</v>
      </c>
      <c r="N1957">
        <v>439</v>
      </c>
      <c r="O1957">
        <v>129.61131800000001</v>
      </c>
      <c r="P1957">
        <v>1</v>
      </c>
      <c r="Q1957" s="1" t="s">
        <v>564</v>
      </c>
      <c r="R1957" s="93">
        <v>67768.39</v>
      </c>
      <c r="S1957">
        <v>14331.75</v>
      </c>
      <c r="T1957">
        <v>0</v>
      </c>
      <c r="U1957" s="1" t="s">
        <v>797</v>
      </c>
      <c r="V1957" s="1" t="s">
        <v>1203</v>
      </c>
      <c r="W1957">
        <v>5269.66</v>
      </c>
      <c r="X1957">
        <v>0</v>
      </c>
      <c r="Y1957">
        <v>77398</v>
      </c>
    </row>
    <row r="1958" spans="1:25" ht="15" hidden="1" customHeight="1" x14ac:dyDescent="0.25">
      <c r="A1958" s="1" t="s">
        <v>32</v>
      </c>
      <c r="B1958" s="1" t="s">
        <v>68</v>
      </c>
      <c r="C1958" s="1" t="s">
        <v>163</v>
      </c>
      <c r="D1958">
        <v>6031</v>
      </c>
      <c r="E1958" s="1"/>
      <c r="F1958" s="1" t="s">
        <v>295</v>
      </c>
      <c r="G1958" s="1" t="s">
        <v>163</v>
      </c>
      <c r="H1958" s="1" t="s">
        <v>1405</v>
      </c>
      <c r="I1958">
        <v>2014</v>
      </c>
      <c r="J1958" s="93">
        <v>151094.29</v>
      </c>
      <c r="K1958">
        <v>5</v>
      </c>
      <c r="L1958" s="1" t="s">
        <v>433</v>
      </c>
      <c r="M1958">
        <v>0</v>
      </c>
      <c r="N1958">
        <v>0</v>
      </c>
      <c r="O1958">
        <v>1510942.9</v>
      </c>
      <c r="P1958">
        <v>1</v>
      </c>
      <c r="Q1958" s="1" t="s">
        <v>565</v>
      </c>
      <c r="R1958" s="93">
        <v>177634.66</v>
      </c>
      <c r="S1958">
        <v>22381.97</v>
      </c>
      <c r="T1958">
        <v>1</v>
      </c>
      <c r="U1958" s="1" t="s">
        <v>819</v>
      </c>
      <c r="V1958" s="1"/>
      <c r="W1958">
        <v>151.09429</v>
      </c>
      <c r="X1958">
        <v>0</v>
      </c>
      <c r="Y1958">
        <v>60628</v>
      </c>
    </row>
    <row r="1959" spans="1:25" ht="15" hidden="1" customHeight="1" x14ac:dyDescent="0.25">
      <c r="A1959" s="1" t="s">
        <v>32</v>
      </c>
      <c r="B1959" s="1"/>
      <c r="C1959" s="1" t="s">
        <v>164</v>
      </c>
      <c r="D1959">
        <v>10207</v>
      </c>
      <c r="E1959" s="1"/>
      <c r="F1959" s="1" t="s">
        <v>296</v>
      </c>
      <c r="G1959" s="1" t="s">
        <v>164</v>
      </c>
      <c r="H1959" s="1" t="s">
        <v>1405</v>
      </c>
      <c r="I1959">
        <v>2014</v>
      </c>
      <c r="J1959" s="93">
        <v>208.69</v>
      </c>
      <c r="K1959">
        <v>12</v>
      </c>
      <c r="L1959" s="1" t="s">
        <v>426</v>
      </c>
      <c r="M1959">
        <v>0</v>
      </c>
      <c r="N1959">
        <v>505</v>
      </c>
      <c r="O1959">
        <v>0.413165</v>
      </c>
      <c r="P1959">
        <v>3</v>
      </c>
      <c r="Q1959" s="1" t="s">
        <v>560</v>
      </c>
      <c r="R1959" s="93">
        <v>208.69</v>
      </c>
      <c r="S1959">
        <v>166.96</v>
      </c>
      <c r="T1959">
        <v>0</v>
      </c>
      <c r="U1959" s="1" t="s">
        <v>642</v>
      </c>
      <c r="V1959" s="1"/>
      <c r="W1959">
        <v>208.691</v>
      </c>
      <c r="X1959">
        <v>0</v>
      </c>
      <c r="Y1959">
        <v>77400</v>
      </c>
    </row>
    <row r="1960" spans="1:25" ht="15" hidden="1" customHeight="1" x14ac:dyDescent="0.25">
      <c r="A1960" s="1" t="s">
        <v>32</v>
      </c>
      <c r="B1960" s="1"/>
      <c r="C1960" s="1" t="s">
        <v>164</v>
      </c>
      <c r="D1960">
        <v>10207</v>
      </c>
      <c r="E1960" s="1"/>
      <c r="F1960" s="1" t="s">
        <v>296</v>
      </c>
      <c r="G1960" s="1" t="s">
        <v>164</v>
      </c>
      <c r="H1960" s="1" t="s">
        <v>1405</v>
      </c>
      <c r="I1960">
        <v>2014</v>
      </c>
      <c r="J1960" s="93">
        <v>13453.27</v>
      </c>
      <c r="K1960">
        <v>12</v>
      </c>
      <c r="L1960" s="1" t="s">
        <v>426</v>
      </c>
      <c r="M1960">
        <v>0</v>
      </c>
      <c r="N1960">
        <v>505</v>
      </c>
      <c r="O1960">
        <v>26.634864</v>
      </c>
      <c r="P1960">
        <v>2</v>
      </c>
      <c r="Q1960" s="1" t="s">
        <v>569</v>
      </c>
      <c r="R1960" s="93">
        <v>13453.27</v>
      </c>
      <c r="S1960">
        <v>4035.98</v>
      </c>
      <c r="T1960">
        <v>0</v>
      </c>
      <c r="U1960" s="1" t="s">
        <v>1025</v>
      </c>
      <c r="V1960" s="1" t="s">
        <v>1301</v>
      </c>
      <c r="W1960">
        <v>13453.26</v>
      </c>
      <c r="X1960">
        <v>0</v>
      </c>
      <c r="Y1960">
        <v>77399</v>
      </c>
    </row>
    <row r="1961" spans="1:25" ht="15" hidden="1" customHeight="1" x14ac:dyDescent="0.25">
      <c r="A1961" s="1" t="s">
        <v>26</v>
      </c>
      <c r="B1961" s="1"/>
      <c r="C1961" s="1" t="s">
        <v>107</v>
      </c>
      <c r="D1961">
        <v>10124</v>
      </c>
      <c r="E1961" s="1"/>
      <c r="F1961" s="1" t="s">
        <v>359</v>
      </c>
      <c r="G1961" s="1" t="s">
        <v>107</v>
      </c>
      <c r="H1961" s="1" t="s">
        <v>1405</v>
      </c>
      <c r="I1961">
        <v>2014</v>
      </c>
      <c r="J1961" s="93">
        <v>58918.11</v>
      </c>
      <c r="K1961">
        <v>12</v>
      </c>
      <c r="L1961" s="1" t="s">
        <v>400</v>
      </c>
      <c r="M1961">
        <v>0</v>
      </c>
      <c r="N1961">
        <v>780</v>
      </c>
      <c r="O1961">
        <v>75.526354999999995</v>
      </c>
      <c r="P1961">
        <v>1</v>
      </c>
      <c r="Q1961" s="1" t="s">
        <v>564</v>
      </c>
      <c r="R1961" s="93">
        <v>72607.929999999993</v>
      </c>
      <c r="S1961">
        <v>15355.24</v>
      </c>
      <c r="T1961">
        <v>0</v>
      </c>
      <c r="U1961" s="1" t="s">
        <v>759</v>
      </c>
      <c r="V1961" s="1" t="s">
        <v>1184</v>
      </c>
      <c r="W1961">
        <v>5455.38</v>
      </c>
      <c r="X1961">
        <v>0</v>
      </c>
      <c r="Y1961">
        <v>77796</v>
      </c>
    </row>
    <row r="1962" spans="1:25" ht="15" hidden="1" customHeight="1" x14ac:dyDescent="0.25">
      <c r="A1962" s="1" t="s">
        <v>32</v>
      </c>
      <c r="B1962" s="1" t="s">
        <v>67</v>
      </c>
      <c r="C1962" s="1" t="s">
        <v>160</v>
      </c>
      <c r="D1962">
        <v>6354</v>
      </c>
      <c r="E1962" s="1"/>
      <c r="F1962" s="1" t="s">
        <v>293</v>
      </c>
      <c r="G1962" s="1" t="s">
        <v>160</v>
      </c>
      <c r="H1962" s="1" t="s">
        <v>1405</v>
      </c>
      <c r="I1962">
        <v>2015</v>
      </c>
      <c r="J1962" s="93">
        <v>5653</v>
      </c>
      <c r="K1962">
        <v>5</v>
      </c>
      <c r="L1962" s="1" t="s">
        <v>411</v>
      </c>
      <c r="M1962">
        <v>0</v>
      </c>
      <c r="N1962">
        <v>196</v>
      </c>
      <c r="O1962">
        <v>20.790413000000001</v>
      </c>
      <c r="P1962">
        <v>1</v>
      </c>
      <c r="Q1962" s="1" t="s">
        <v>565</v>
      </c>
      <c r="R1962" s="93">
        <v>6868</v>
      </c>
      <c r="S1962">
        <v>305.81</v>
      </c>
      <c r="T1962">
        <v>0</v>
      </c>
      <c r="U1962" s="1" t="s">
        <v>812</v>
      </c>
      <c r="V1962" s="1"/>
      <c r="W1962">
        <v>4.077</v>
      </c>
      <c r="X1962">
        <v>0</v>
      </c>
      <c r="Y1962">
        <v>62636</v>
      </c>
    </row>
    <row r="1963" spans="1:25" ht="15" hidden="1" customHeight="1" x14ac:dyDescent="0.25">
      <c r="A1963" s="1" t="s">
        <v>32</v>
      </c>
      <c r="B1963" s="1" t="s">
        <v>67</v>
      </c>
      <c r="C1963" s="1" t="s">
        <v>160</v>
      </c>
      <c r="D1963">
        <v>6354</v>
      </c>
      <c r="E1963" s="1"/>
      <c r="F1963" s="1" t="s">
        <v>293</v>
      </c>
      <c r="G1963" s="1" t="s">
        <v>160</v>
      </c>
      <c r="H1963" s="1" t="s">
        <v>1405</v>
      </c>
      <c r="I1963">
        <v>2013</v>
      </c>
      <c r="J1963" s="93">
        <v>8678</v>
      </c>
      <c r="K1963">
        <v>12</v>
      </c>
      <c r="L1963" s="1" t="s">
        <v>411</v>
      </c>
      <c r="M1963">
        <v>0</v>
      </c>
      <c r="N1963">
        <v>196</v>
      </c>
      <c r="O1963">
        <v>44.252932000000001</v>
      </c>
      <c r="P1963">
        <v>1</v>
      </c>
      <c r="Q1963" s="1" t="s">
        <v>565</v>
      </c>
      <c r="R1963" s="93">
        <v>9023.92</v>
      </c>
      <c r="S1963">
        <v>577.52</v>
      </c>
      <c r="T1963">
        <v>0</v>
      </c>
      <c r="U1963" s="1" t="s">
        <v>812</v>
      </c>
      <c r="V1963" s="1"/>
      <c r="W1963">
        <v>8.6780000000000008</v>
      </c>
      <c r="X1963">
        <v>0</v>
      </c>
      <c r="Y1963">
        <v>62636</v>
      </c>
    </row>
    <row r="1964" spans="1:25" ht="15" hidden="1" customHeight="1" x14ac:dyDescent="0.25">
      <c r="A1964" s="1" t="s">
        <v>32</v>
      </c>
      <c r="B1964" s="1" t="s">
        <v>67</v>
      </c>
      <c r="C1964" s="1" t="s">
        <v>160</v>
      </c>
      <c r="D1964">
        <v>6354</v>
      </c>
      <c r="E1964" s="1"/>
      <c r="F1964" s="1" t="s">
        <v>293</v>
      </c>
      <c r="G1964" s="1" t="s">
        <v>160</v>
      </c>
      <c r="H1964" s="1" t="s">
        <v>1405</v>
      </c>
      <c r="I1964">
        <v>2012</v>
      </c>
      <c r="J1964" s="93">
        <v>11491.61</v>
      </c>
      <c r="K1964">
        <v>14</v>
      </c>
      <c r="L1964" s="1" t="s">
        <v>411</v>
      </c>
      <c r="M1964">
        <v>0</v>
      </c>
      <c r="N1964">
        <v>196</v>
      </c>
      <c r="O1964">
        <v>58.600763999999998</v>
      </c>
      <c r="P1964">
        <v>1</v>
      </c>
      <c r="Q1964" s="1" t="s">
        <v>565</v>
      </c>
      <c r="R1964" s="93">
        <v>12186.73</v>
      </c>
      <c r="S1964">
        <v>2254.5500000000002</v>
      </c>
      <c r="T1964">
        <v>0</v>
      </c>
      <c r="U1964" s="1" t="s">
        <v>812</v>
      </c>
      <c r="V1964" s="1"/>
      <c r="W1964">
        <v>11.49161</v>
      </c>
      <c r="X1964">
        <v>0</v>
      </c>
      <c r="Y1964">
        <v>62636</v>
      </c>
    </row>
    <row r="1965" spans="1:25" ht="15" hidden="1" customHeight="1" x14ac:dyDescent="0.25">
      <c r="A1965" s="1" t="s">
        <v>32</v>
      </c>
      <c r="B1965" s="1" t="s">
        <v>67</v>
      </c>
      <c r="C1965" s="1" t="s">
        <v>160</v>
      </c>
      <c r="D1965">
        <v>6354</v>
      </c>
      <c r="E1965" s="1"/>
      <c r="F1965" s="1" t="s">
        <v>293</v>
      </c>
      <c r="G1965" s="1" t="s">
        <v>160</v>
      </c>
      <c r="H1965" s="1" t="s">
        <v>1405</v>
      </c>
      <c r="I1965">
        <v>2011</v>
      </c>
      <c r="J1965" s="93">
        <v>9479.58</v>
      </c>
      <c r="K1965">
        <v>9</v>
      </c>
      <c r="L1965" s="1" t="s">
        <v>411</v>
      </c>
      <c r="M1965">
        <v>0</v>
      </c>
      <c r="N1965">
        <v>196</v>
      </c>
      <c r="O1965">
        <v>48.340539999999997</v>
      </c>
      <c r="P1965">
        <v>1</v>
      </c>
      <c r="Q1965" s="1" t="s">
        <v>565</v>
      </c>
      <c r="R1965" s="93">
        <v>10751.6</v>
      </c>
      <c r="S1965">
        <v>1989.05</v>
      </c>
      <c r="T1965">
        <v>0</v>
      </c>
      <c r="U1965" s="1" t="s">
        <v>812</v>
      </c>
      <c r="V1965" s="1"/>
      <c r="W1965">
        <v>9.4795800000000003</v>
      </c>
      <c r="X1965">
        <v>0</v>
      </c>
      <c r="Y1965">
        <v>62636</v>
      </c>
    </row>
    <row r="1966" spans="1:25" ht="15" hidden="1" customHeight="1" x14ac:dyDescent="0.25">
      <c r="A1966" s="1" t="s">
        <v>32</v>
      </c>
      <c r="B1966" s="1" t="s">
        <v>67</v>
      </c>
      <c r="C1966" s="1" t="s">
        <v>160</v>
      </c>
      <c r="D1966">
        <v>6354</v>
      </c>
      <c r="E1966" s="1"/>
      <c r="F1966" s="1" t="s">
        <v>293</v>
      </c>
      <c r="G1966" s="1" t="s">
        <v>160</v>
      </c>
      <c r="H1966" s="1" t="s">
        <v>1405</v>
      </c>
      <c r="I1966">
        <v>2010</v>
      </c>
      <c r="J1966" s="93">
        <v>9340.2000000000007</v>
      </c>
      <c r="K1966">
        <v>4</v>
      </c>
      <c r="L1966" s="1" t="s">
        <v>411</v>
      </c>
      <c r="M1966">
        <v>0</v>
      </c>
      <c r="N1966">
        <v>196</v>
      </c>
      <c r="O1966">
        <v>47.629779999999997</v>
      </c>
      <c r="P1966">
        <v>1</v>
      </c>
      <c r="Q1966" s="1" t="s">
        <v>565</v>
      </c>
      <c r="R1966" s="93">
        <v>9471.1299999999992</v>
      </c>
      <c r="S1966">
        <v>1752.16</v>
      </c>
      <c r="T1966">
        <v>0</v>
      </c>
      <c r="U1966" s="1" t="s">
        <v>812</v>
      </c>
      <c r="V1966" s="1"/>
      <c r="W1966">
        <v>9.3401999999999994</v>
      </c>
      <c r="X1966">
        <v>0</v>
      </c>
      <c r="Y1966">
        <v>62636</v>
      </c>
    </row>
    <row r="1967" spans="1:25" ht="15" hidden="1" customHeight="1" x14ac:dyDescent="0.25">
      <c r="A1967" s="1" t="s">
        <v>32</v>
      </c>
      <c r="B1967" s="1" t="s">
        <v>67</v>
      </c>
      <c r="C1967" s="1" t="s">
        <v>160</v>
      </c>
      <c r="D1967">
        <v>6354</v>
      </c>
      <c r="E1967" s="1"/>
      <c r="F1967" s="1" t="s">
        <v>293</v>
      </c>
      <c r="G1967" s="1" t="s">
        <v>160</v>
      </c>
      <c r="H1967" s="1" t="s">
        <v>1405</v>
      </c>
      <c r="I1967">
        <v>2009</v>
      </c>
      <c r="J1967" s="93">
        <v>11774.56</v>
      </c>
      <c r="K1967">
        <v>6</v>
      </c>
      <c r="L1967" s="1" t="s">
        <v>411</v>
      </c>
      <c r="M1967">
        <v>0</v>
      </c>
      <c r="N1967">
        <v>196</v>
      </c>
      <c r="O1967">
        <v>60.043650999999997</v>
      </c>
      <c r="P1967">
        <v>1</v>
      </c>
      <c r="Q1967" s="1" t="s">
        <v>565</v>
      </c>
      <c r="R1967" s="93">
        <v>15629.71</v>
      </c>
      <c r="S1967">
        <v>2891.49</v>
      </c>
      <c r="T1967">
        <v>0</v>
      </c>
      <c r="U1967" s="1" t="s">
        <v>812</v>
      </c>
      <c r="V1967" s="1"/>
      <c r="W1967">
        <v>11.774559999999999</v>
      </c>
      <c r="X1967">
        <v>0</v>
      </c>
      <c r="Y1967">
        <v>62636</v>
      </c>
    </row>
    <row r="1968" spans="1:25" ht="15" hidden="1" customHeight="1" x14ac:dyDescent="0.25">
      <c r="A1968" s="1" t="s">
        <v>32</v>
      </c>
      <c r="B1968" s="1" t="s">
        <v>67</v>
      </c>
      <c r="C1968" s="1" t="s">
        <v>160</v>
      </c>
      <c r="D1968">
        <v>6354</v>
      </c>
      <c r="E1968" s="1"/>
      <c r="F1968" s="1" t="s">
        <v>293</v>
      </c>
      <c r="G1968" s="1" t="s">
        <v>160</v>
      </c>
      <c r="H1968" s="1" t="s">
        <v>1405</v>
      </c>
      <c r="I1968">
        <v>2008</v>
      </c>
      <c r="J1968" s="93">
        <v>11488.58</v>
      </c>
      <c r="K1968">
        <v>12</v>
      </c>
      <c r="L1968" s="1" t="s">
        <v>411</v>
      </c>
      <c r="M1968">
        <v>0</v>
      </c>
      <c r="N1968">
        <v>196</v>
      </c>
      <c r="O1968">
        <v>58.585312999999999</v>
      </c>
      <c r="P1968">
        <v>1</v>
      </c>
      <c r="Q1968" s="1" t="s">
        <v>565</v>
      </c>
      <c r="R1968" s="93">
        <v>13033.71</v>
      </c>
      <c r="S1968">
        <v>2411.23</v>
      </c>
      <c r="T1968">
        <v>0</v>
      </c>
      <c r="U1968" s="1" t="s">
        <v>812</v>
      </c>
      <c r="V1968" s="1"/>
      <c r="W1968">
        <v>11.488580000000001</v>
      </c>
      <c r="X1968">
        <v>0</v>
      </c>
      <c r="Y1968">
        <v>62636</v>
      </c>
    </row>
    <row r="1969" spans="1:25" ht="15" hidden="1" customHeight="1" x14ac:dyDescent="0.25">
      <c r="A1969" s="1" t="s">
        <v>32</v>
      </c>
      <c r="B1969" s="1"/>
      <c r="C1969" s="1" t="s">
        <v>162</v>
      </c>
      <c r="D1969">
        <v>10231</v>
      </c>
      <c r="E1969" s="1"/>
      <c r="F1969" s="1" t="s">
        <v>294</v>
      </c>
      <c r="G1969" s="1" t="s">
        <v>162</v>
      </c>
      <c r="H1969" s="1" t="s">
        <v>1405</v>
      </c>
      <c r="I1969">
        <v>2015</v>
      </c>
      <c r="J1969" s="93">
        <v>52001</v>
      </c>
      <c r="K1969">
        <v>5</v>
      </c>
      <c r="L1969" s="1" t="s">
        <v>432</v>
      </c>
      <c r="M1969">
        <v>0</v>
      </c>
      <c r="N1969">
        <v>449</v>
      </c>
      <c r="O1969">
        <v>66.323757999999998</v>
      </c>
      <c r="P1969">
        <v>1</v>
      </c>
      <c r="Q1969" s="1" t="s">
        <v>565</v>
      </c>
      <c r="R1969" s="93">
        <v>59995</v>
      </c>
      <c r="S1969">
        <v>2169.15</v>
      </c>
      <c r="T1969">
        <v>0</v>
      </c>
      <c r="U1969" s="1" t="s">
        <v>813</v>
      </c>
      <c r="V1969" s="1"/>
      <c r="W1969">
        <v>29.786000000000001</v>
      </c>
      <c r="X1969">
        <v>0</v>
      </c>
      <c r="Y1969">
        <v>77513</v>
      </c>
    </row>
    <row r="1970" spans="1:25" ht="15" hidden="1" customHeight="1" x14ac:dyDescent="0.25">
      <c r="A1970" s="1" t="s">
        <v>32</v>
      </c>
      <c r="B1970" s="1"/>
      <c r="C1970" s="1" t="s">
        <v>162</v>
      </c>
      <c r="D1970">
        <v>10231</v>
      </c>
      <c r="E1970" s="1"/>
      <c r="F1970" s="1" t="s">
        <v>294</v>
      </c>
      <c r="G1970" s="1" t="s">
        <v>162</v>
      </c>
      <c r="H1970" s="1" t="s">
        <v>1396</v>
      </c>
      <c r="I1970">
        <v>2015</v>
      </c>
      <c r="J1970" s="93">
        <v>29814.9</v>
      </c>
      <c r="K1970">
        <v>5</v>
      </c>
      <c r="L1970" s="1"/>
      <c r="M1970">
        <v>0</v>
      </c>
      <c r="N1970">
        <v>449</v>
      </c>
      <c r="O1970">
        <v>66.388109</v>
      </c>
      <c r="P1970">
        <v>1</v>
      </c>
      <c r="Q1970" s="1" t="s">
        <v>563</v>
      </c>
      <c r="R1970" s="93">
        <v>33456.74</v>
      </c>
      <c r="S1970">
        <v>4209.66</v>
      </c>
      <c r="T1970">
        <v>1</v>
      </c>
      <c r="U1970" s="1" t="s">
        <v>814</v>
      </c>
      <c r="V1970" s="1"/>
      <c r="W1970">
        <v>854.54</v>
      </c>
      <c r="X1970">
        <v>0</v>
      </c>
      <c r="Y1970">
        <v>89939</v>
      </c>
    </row>
    <row r="1971" spans="1:25" ht="15" hidden="1" customHeight="1" x14ac:dyDescent="0.25">
      <c r="A1971" s="1" t="s">
        <v>32</v>
      </c>
      <c r="B1971" s="1"/>
      <c r="C1971" s="1" t="s">
        <v>162</v>
      </c>
      <c r="D1971">
        <v>10231</v>
      </c>
      <c r="E1971" s="1"/>
      <c r="F1971" s="1" t="s">
        <v>294</v>
      </c>
      <c r="G1971" s="1" t="s">
        <v>162</v>
      </c>
      <c r="H1971" s="1" t="s">
        <v>1396</v>
      </c>
      <c r="I1971">
        <v>2013</v>
      </c>
      <c r="J1971" s="93">
        <v>77265.64</v>
      </c>
      <c r="K1971">
        <v>12</v>
      </c>
      <c r="L1971" s="1"/>
      <c r="M1971">
        <v>0</v>
      </c>
      <c r="N1971">
        <v>449</v>
      </c>
      <c r="O1971">
        <v>172.045513</v>
      </c>
      <c r="P1971">
        <v>1</v>
      </c>
      <c r="Q1971" s="1" t="s">
        <v>563</v>
      </c>
      <c r="R1971" s="93">
        <v>80504.22</v>
      </c>
      <c r="S1971">
        <v>10129.35</v>
      </c>
      <c r="T1971">
        <v>1</v>
      </c>
      <c r="U1971" s="1" t="s">
        <v>814</v>
      </c>
      <c r="V1971" s="1"/>
      <c r="W1971">
        <v>2214.5500000000002</v>
      </c>
      <c r="X1971">
        <v>0</v>
      </c>
      <c r="Y1971">
        <v>89939</v>
      </c>
    </row>
    <row r="1972" spans="1:25" ht="15" hidden="1" customHeight="1" x14ac:dyDescent="0.25">
      <c r="A1972" s="1" t="s">
        <v>32</v>
      </c>
      <c r="B1972" s="1"/>
      <c r="C1972" s="1" t="s">
        <v>162</v>
      </c>
      <c r="D1972">
        <v>10231</v>
      </c>
      <c r="E1972" s="1"/>
      <c r="F1972" s="1" t="s">
        <v>294</v>
      </c>
      <c r="G1972" s="1" t="s">
        <v>162</v>
      </c>
      <c r="H1972" s="1" t="s">
        <v>1405</v>
      </c>
      <c r="I1972">
        <v>2013</v>
      </c>
      <c r="J1972" s="93">
        <v>57674</v>
      </c>
      <c r="K1972">
        <v>12</v>
      </c>
      <c r="L1972" s="1" t="s">
        <v>432</v>
      </c>
      <c r="M1972">
        <v>0</v>
      </c>
      <c r="N1972">
        <v>449</v>
      </c>
      <c r="O1972">
        <v>128.42128700000001</v>
      </c>
      <c r="P1972">
        <v>1</v>
      </c>
      <c r="Q1972" s="1" t="s">
        <v>565</v>
      </c>
      <c r="R1972" s="93">
        <v>60702.42</v>
      </c>
      <c r="S1972">
        <v>3884.95</v>
      </c>
      <c r="T1972">
        <v>0</v>
      </c>
      <c r="U1972" s="1" t="s">
        <v>813</v>
      </c>
      <c r="V1972" s="1"/>
      <c r="W1972">
        <v>57.673999999999999</v>
      </c>
      <c r="X1972">
        <v>0</v>
      </c>
      <c r="Y1972">
        <v>77513</v>
      </c>
    </row>
    <row r="1973" spans="1:25" ht="15" hidden="1" customHeight="1" x14ac:dyDescent="0.25">
      <c r="A1973" s="1" t="s">
        <v>32</v>
      </c>
      <c r="B1973" s="1"/>
      <c r="C1973" s="1" t="s">
        <v>162</v>
      </c>
      <c r="D1973">
        <v>10231</v>
      </c>
      <c r="E1973" s="1"/>
      <c r="F1973" s="1" t="s">
        <v>294</v>
      </c>
      <c r="G1973" s="1" t="s">
        <v>162</v>
      </c>
      <c r="H1973" s="1" t="s">
        <v>1396</v>
      </c>
      <c r="I1973">
        <v>2012</v>
      </c>
      <c r="J1973" s="93">
        <v>130314.84</v>
      </c>
      <c r="K1973">
        <v>12</v>
      </c>
      <c r="L1973" s="1"/>
      <c r="M1973">
        <v>0</v>
      </c>
      <c r="N1973">
        <v>449</v>
      </c>
      <c r="O1973">
        <v>290.16887100000002</v>
      </c>
      <c r="P1973">
        <v>1</v>
      </c>
      <c r="Q1973" s="1" t="s">
        <v>563</v>
      </c>
      <c r="R1973" s="93">
        <v>142013.07</v>
      </c>
      <c r="S1973">
        <v>17868.650000000001</v>
      </c>
      <c r="T1973">
        <v>1</v>
      </c>
      <c r="U1973" s="1" t="s">
        <v>814</v>
      </c>
      <c r="V1973" s="1"/>
      <c r="W1973">
        <v>3735.02</v>
      </c>
      <c r="X1973">
        <v>0</v>
      </c>
      <c r="Y1973">
        <v>89939</v>
      </c>
    </row>
    <row r="1974" spans="1:25" ht="15" hidden="1" customHeight="1" x14ac:dyDescent="0.25">
      <c r="A1974" s="1" t="s">
        <v>32</v>
      </c>
      <c r="B1974" s="1"/>
      <c r="C1974" s="1" t="s">
        <v>162</v>
      </c>
      <c r="D1974">
        <v>10231</v>
      </c>
      <c r="E1974" s="1"/>
      <c r="F1974" s="1" t="s">
        <v>294</v>
      </c>
      <c r="G1974" s="1" t="s">
        <v>162</v>
      </c>
      <c r="H1974" s="1" t="s">
        <v>1405</v>
      </c>
      <c r="I1974">
        <v>2012</v>
      </c>
      <c r="J1974" s="93">
        <v>64221</v>
      </c>
      <c r="K1974">
        <v>12</v>
      </c>
      <c r="L1974" s="1" t="s">
        <v>432</v>
      </c>
      <c r="M1974">
        <v>0</v>
      </c>
      <c r="N1974">
        <v>449</v>
      </c>
      <c r="O1974">
        <v>142.99933100000001</v>
      </c>
      <c r="P1974">
        <v>1</v>
      </c>
      <c r="Q1974" s="1" t="s">
        <v>565</v>
      </c>
      <c r="R1974" s="93">
        <v>68153.89</v>
      </c>
      <c r="S1974">
        <v>12608.45</v>
      </c>
      <c r="T1974">
        <v>0</v>
      </c>
      <c r="U1974" s="1" t="s">
        <v>813</v>
      </c>
      <c r="V1974" s="1"/>
      <c r="W1974">
        <v>64.221000000000004</v>
      </c>
      <c r="X1974">
        <v>0</v>
      </c>
      <c r="Y1974">
        <v>77513</v>
      </c>
    </row>
    <row r="1975" spans="1:25" ht="15" hidden="1" customHeight="1" x14ac:dyDescent="0.25">
      <c r="A1975" s="1" t="s">
        <v>32</v>
      </c>
      <c r="B1975" s="1"/>
      <c r="C1975" s="1" t="s">
        <v>162</v>
      </c>
      <c r="D1975">
        <v>10231</v>
      </c>
      <c r="E1975" s="1"/>
      <c r="F1975" s="1" t="s">
        <v>294</v>
      </c>
      <c r="G1975" s="1" t="s">
        <v>162</v>
      </c>
      <c r="H1975" s="1" t="s">
        <v>1405</v>
      </c>
      <c r="I1975">
        <v>2011</v>
      </c>
      <c r="J1975" s="93">
        <v>63197.06</v>
      </c>
      <c r="K1975">
        <v>13</v>
      </c>
      <c r="L1975" s="1" t="s">
        <v>432</v>
      </c>
      <c r="M1975">
        <v>0</v>
      </c>
      <c r="N1975">
        <v>449</v>
      </c>
      <c r="O1975">
        <v>140.71934899999999</v>
      </c>
      <c r="P1975">
        <v>1</v>
      </c>
      <c r="Q1975" s="1" t="s">
        <v>565</v>
      </c>
      <c r="R1975" s="93">
        <v>70548.55</v>
      </c>
      <c r="S1975">
        <v>13051.51</v>
      </c>
      <c r="T1975">
        <v>0</v>
      </c>
      <c r="U1975" s="1" t="s">
        <v>813</v>
      </c>
      <c r="V1975" s="1"/>
      <c r="W1975">
        <v>63.19706</v>
      </c>
      <c r="X1975">
        <v>0</v>
      </c>
      <c r="Y1975">
        <v>77513</v>
      </c>
    </row>
    <row r="1976" spans="1:25" ht="15" hidden="1" customHeight="1" x14ac:dyDescent="0.25">
      <c r="A1976" s="1" t="s">
        <v>32</v>
      </c>
      <c r="B1976" s="1"/>
      <c r="C1976" s="1" t="s">
        <v>162</v>
      </c>
      <c r="D1976">
        <v>10231</v>
      </c>
      <c r="E1976" s="1"/>
      <c r="F1976" s="1" t="s">
        <v>294</v>
      </c>
      <c r="G1976" s="1" t="s">
        <v>162</v>
      </c>
      <c r="H1976" s="1" t="s">
        <v>1396</v>
      </c>
      <c r="I1976">
        <v>2011</v>
      </c>
      <c r="J1976" s="93">
        <v>35099.339999999997</v>
      </c>
      <c r="K1976">
        <v>12</v>
      </c>
      <c r="L1976" s="1"/>
      <c r="M1976">
        <v>0</v>
      </c>
      <c r="N1976">
        <v>449</v>
      </c>
      <c r="O1976">
        <v>78.154843</v>
      </c>
      <c r="P1976">
        <v>1</v>
      </c>
      <c r="Q1976" s="1" t="s">
        <v>563</v>
      </c>
      <c r="R1976" s="93">
        <v>40362.67</v>
      </c>
      <c r="S1976">
        <v>5078.6000000000004</v>
      </c>
      <c r="T1976">
        <v>1</v>
      </c>
      <c r="U1976" s="1" t="s">
        <v>814</v>
      </c>
      <c r="V1976" s="1"/>
      <c r="W1976">
        <v>1006</v>
      </c>
      <c r="X1976">
        <v>0</v>
      </c>
      <c r="Y1976">
        <v>89939</v>
      </c>
    </row>
    <row r="1977" spans="1:25" ht="15" hidden="1" customHeight="1" x14ac:dyDescent="0.25">
      <c r="A1977" s="1" t="s">
        <v>32</v>
      </c>
      <c r="B1977" s="1"/>
      <c r="C1977" s="1" t="s">
        <v>162</v>
      </c>
      <c r="D1977">
        <v>10231</v>
      </c>
      <c r="E1977" s="1"/>
      <c r="F1977" s="1" t="s">
        <v>294</v>
      </c>
      <c r="G1977" s="1" t="s">
        <v>162</v>
      </c>
      <c r="H1977" s="1" t="s">
        <v>1405</v>
      </c>
      <c r="I1977">
        <v>2010</v>
      </c>
      <c r="J1977" s="93">
        <v>78157.38</v>
      </c>
      <c r="K1977">
        <v>12</v>
      </c>
      <c r="L1977" s="1" t="s">
        <v>432</v>
      </c>
      <c r="M1977">
        <v>0</v>
      </c>
      <c r="N1977">
        <v>449</v>
      </c>
      <c r="O1977">
        <v>174.031128</v>
      </c>
      <c r="P1977">
        <v>1</v>
      </c>
      <c r="Q1977" s="1" t="s">
        <v>565</v>
      </c>
      <c r="R1977" s="93">
        <v>70995.679999999993</v>
      </c>
      <c r="S1977">
        <v>13134.19</v>
      </c>
      <c r="T1977">
        <v>0</v>
      </c>
      <c r="U1977" s="1" t="s">
        <v>813</v>
      </c>
      <c r="V1977" s="1"/>
      <c r="W1977">
        <v>78.157380000000003</v>
      </c>
      <c r="X1977">
        <v>0</v>
      </c>
      <c r="Y1977">
        <v>77513</v>
      </c>
    </row>
    <row r="1978" spans="1:25" ht="15" hidden="1" customHeight="1" x14ac:dyDescent="0.25">
      <c r="A1978" s="1" t="s">
        <v>32</v>
      </c>
      <c r="B1978" s="1"/>
      <c r="C1978" s="1" t="s">
        <v>162</v>
      </c>
      <c r="D1978">
        <v>10231</v>
      </c>
      <c r="E1978" s="1"/>
      <c r="F1978" s="1" t="s">
        <v>294</v>
      </c>
      <c r="G1978" s="1" t="s">
        <v>162</v>
      </c>
      <c r="H1978" s="1" t="s">
        <v>1396</v>
      </c>
      <c r="I1978">
        <v>2010</v>
      </c>
      <c r="J1978" s="93">
        <v>0</v>
      </c>
      <c r="K1978">
        <v>12</v>
      </c>
      <c r="L1978" s="1"/>
      <c r="M1978">
        <v>0</v>
      </c>
      <c r="N1978">
        <v>449</v>
      </c>
      <c r="O1978">
        <v>0</v>
      </c>
      <c r="P1978">
        <v>1</v>
      </c>
      <c r="Q1978" s="1" t="s">
        <v>563</v>
      </c>
      <c r="R1978" s="93">
        <v>0</v>
      </c>
      <c r="S1978">
        <v>0</v>
      </c>
      <c r="T1978">
        <v>1</v>
      </c>
      <c r="U1978" s="1" t="s">
        <v>814</v>
      </c>
      <c r="V1978" s="1"/>
      <c r="W1978">
        <v>0</v>
      </c>
      <c r="X1978">
        <v>0</v>
      </c>
      <c r="Y1978">
        <v>89939</v>
      </c>
    </row>
    <row r="1979" spans="1:25" ht="15" hidden="1" customHeight="1" x14ac:dyDescent="0.25">
      <c r="A1979" s="1" t="s">
        <v>32</v>
      </c>
      <c r="B1979" s="1"/>
      <c r="C1979" s="1" t="s">
        <v>162</v>
      </c>
      <c r="D1979">
        <v>10231</v>
      </c>
      <c r="E1979" s="1"/>
      <c r="F1979" s="1" t="s">
        <v>294</v>
      </c>
      <c r="G1979" s="1" t="s">
        <v>162</v>
      </c>
      <c r="H1979" s="1" t="s">
        <v>1396</v>
      </c>
      <c r="I1979">
        <v>2009</v>
      </c>
      <c r="J1979" s="93">
        <v>0</v>
      </c>
      <c r="K1979">
        <v>12</v>
      </c>
      <c r="L1979" s="1"/>
      <c r="M1979">
        <v>0</v>
      </c>
      <c r="N1979">
        <v>449</v>
      </c>
      <c r="O1979">
        <v>0</v>
      </c>
      <c r="P1979">
        <v>1</v>
      </c>
      <c r="Q1979" s="1" t="s">
        <v>563</v>
      </c>
      <c r="R1979" s="93">
        <v>0</v>
      </c>
      <c r="S1979">
        <v>0</v>
      </c>
      <c r="T1979">
        <v>1</v>
      </c>
      <c r="U1979" s="1" t="s">
        <v>814</v>
      </c>
      <c r="V1979" s="1"/>
      <c r="W1979">
        <v>0</v>
      </c>
      <c r="X1979">
        <v>0</v>
      </c>
      <c r="Y1979">
        <v>89939</v>
      </c>
    </row>
    <row r="1980" spans="1:25" ht="15" hidden="1" customHeight="1" x14ac:dyDescent="0.25">
      <c r="A1980" s="1" t="s">
        <v>32</v>
      </c>
      <c r="B1980" s="1"/>
      <c r="C1980" s="1" t="s">
        <v>162</v>
      </c>
      <c r="D1980">
        <v>10231</v>
      </c>
      <c r="E1980" s="1"/>
      <c r="F1980" s="1" t="s">
        <v>294</v>
      </c>
      <c r="G1980" s="1" t="s">
        <v>162</v>
      </c>
      <c r="H1980" s="1" t="s">
        <v>1405</v>
      </c>
      <c r="I1980">
        <v>2009</v>
      </c>
      <c r="J1980" s="93">
        <v>78606.039999999994</v>
      </c>
      <c r="K1980">
        <v>11</v>
      </c>
      <c r="L1980" s="1" t="s">
        <v>432</v>
      </c>
      <c r="M1980">
        <v>0</v>
      </c>
      <c r="N1980">
        <v>449</v>
      </c>
      <c r="O1980">
        <v>175.03014899999999</v>
      </c>
      <c r="P1980">
        <v>1</v>
      </c>
      <c r="Q1980" s="1" t="s">
        <v>565</v>
      </c>
      <c r="R1980" s="93">
        <v>87899.23</v>
      </c>
      <c r="S1980">
        <v>16261.35</v>
      </c>
      <c r="T1980">
        <v>0</v>
      </c>
      <c r="U1980" s="1" t="s">
        <v>813</v>
      </c>
      <c r="V1980" s="1"/>
      <c r="W1980">
        <v>78.606039999999993</v>
      </c>
      <c r="X1980">
        <v>0</v>
      </c>
      <c r="Y1980">
        <v>77513</v>
      </c>
    </row>
    <row r="1981" spans="1:25" ht="15" hidden="1" customHeight="1" x14ac:dyDescent="0.25">
      <c r="A1981" s="1" t="s">
        <v>32</v>
      </c>
      <c r="B1981" s="1"/>
      <c r="C1981" s="1" t="s">
        <v>162</v>
      </c>
      <c r="D1981">
        <v>10231</v>
      </c>
      <c r="E1981" s="1"/>
      <c r="F1981" s="1" t="s">
        <v>294</v>
      </c>
      <c r="G1981" s="1" t="s">
        <v>162</v>
      </c>
      <c r="H1981" s="1" t="s">
        <v>1396</v>
      </c>
      <c r="I1981">
        <v>2008</v>
      </c>
      <c r="J1981" s="93">
        <v>0</v>
      </c>
      <c r="K1981">
        <v>12</v>
      </c>
      <c r="L1981" s="1"/>
      <c r="M1981">
        <v>0</v>
      </c>
      <c r="N1981">
        <v>449</v>
      </c>
      <c r="O1981">
        <v>0</v>
      </c>
      <c r="P1981">
        <v>1</v>
      </c>
      <c r="Q1981" s="1" t="s">
        <v>563</v>
      </c>
      <c r="R1981" s="93">
        <v>0</v>
      </c>
      <c r="S1981">
        <v>0</v>
      </c>
      <c r="T1981">
        <v>1</v>
      </c>
      <c r="U1981" s="1" t="s">
        <v>814</v>
      </c>
      <c r="V1981" s="1"/>
      <c r="W1981">
        <v>0</v>
      </c>
      <c r="X1981">
        <v>0</v>
      </c>
      <c r="Y1981">
        <v>89939</v>
      </c>
    </row>
    <row r="1982" spans="1:25" ht="15" hidden="1" customHeight="1" x14ac:dyDescent="0.25">
      <c r="A1982" s="1" t="s">
        <v>32</v>
      </c>
      <c r="B1982" s="1"/>
      <c r="C1982" s="1" t="s">
        <v>162</v>
      </c>
      <c r="D1982">
        <v>10231</v>
      </c>
      <c r="E1982" s="1"/>
      <c r="F1982" s="1" t="s">
        <v>294</v>
      </c>
      <c r="G1982" s="1" t="s">
        <v>162</v>
      </c>
      <c r="H1982" s="1" t="s">
        <v>1405</v>
      </c>
      <c r="I1982">
        <v>2008</v>
      </c>
      <c r="J1982" s="93">
        <v>77172.81</v>
      </c>
      <c r="K1982">
        <v>10</v>
      </c>
      <c r="L1982" s="1" t="s">
        <v>432</v>
      </c>
      <c r="M1982">
        <v>0</v>
      </c>
      <c r="N1982">
        <v>449</v>
      </c>
      <c r="O1982">
        <v>171.83881</v>
      </c>
      <c r="P1982">
        <v>1</v>
      </c>
      <c r="Q1982" s="1" t="s">
        <v>565</v>
      </c>
      <c r="R1982" s="93">
        <v>89917.96</v>
      </c>
      <c r="S1982">
        <v>16634.830000000002</v>
      </c>
      <c r="T1982">
        <v>0</v>
      </c>
      <c r="U1982" s="1" t="s">
        <v>813</v>
      </c>
      <c r="V1982" s="1"/>
      <c r="W1982">
        <v>77.172809999999998</v>
      </c>
      <c r="X1982">
        <v>0</v>
      </c>
      <c r="Y1982">
        <v>77513</v>
      </c>
    </row>
    <row r="1983" spans="1:25" ht="15" hidden="1" customHeight="1" x14ac:dyDescent="0.25">
      <c r="A1983" s="1" t="s">
        <v>32</v>
      </c>
      <c r="B1983" s="1" t="s">
        <v>68</v>
      </c>
      <c r="C1983" s="1" t="s">
        <v>163</v>
      </c>
      <c r="D1983">
        <v>5489</v>
      </c>
      <c r="E1983" s="1"/>
      <c r="F1983" s="1" t="s">
        <v>163</v>
      </c>
      <c r="G1983" s="1" t="s">
        <v>163</v>
      </c>
      <c r="H1983" s="1" t="s">
        <v>1396</v>
      </c>
      <c r="I1983">
        <v>2015</v>
      </c>
      <c r="J1983" s="93">
        <v>0</v>
      </c>
      <c r="K1983">
        <v>5</v>
      </c>
      <c r="L1983" s="1"/>
      <c r="M1983">
        <v>0</v>
      </c>
      <c r="N1983">
        <v>2801</v>
      </c>
      <c r="O1983">
        <v>39.717596</v>
      </c>
      <c r="P1983">
        <v>1</v>
      </c>
      <c r="Q1983" s="1" t="s">
        <v>564</v>
      </c>
      <c r="R1983" s="93">
        <v>0</v>
      </c>
      <c r="S1983">
        <v>26206.49</v>
      </c>
      <c r="T1983">
        <v>0</v>
      </c>
      <c r="U1983" s="1" t="s">
        <v>815</v>
      </c>
      <c r="V1983" s="1" t="s">
        <v>1208</v>
      </c>
      <c r="W1983">
        <v>10301.200000000001</v>
      </c>
      <c r="X1983">
        <v>0</v>
      </c>
      <c r="Y1983">
        <v>58006</v>
      </c>
    </row>
    <row r="1984" spans="1:25" ht="15" hidden="1" customHeight="1" x14ac:dyDescent="0.25">
      <c r="A1984" s="1" t="s">
        <v>32</v>
      </c>
      <c r="B1984" s="1" t="s">
        <v>68</v>
      </c>
      <c r="C1984" s="1" t="s">
        <v>163</v>
      </c>
      <c r="D1984">
        <v>5489</v>
      </c>
      <c r="E1984" s="1"/>
      <c r="F1984" s="1" t="s">
        <v>163</v>
      </c>
      <c r="G1984" s="1" t="s">
        <v>163</v>
      </c>
      <c r="H1984" s="1" t="s">
        <v>1405</v>
      </c>
      <c r="I1984">
        <v>2013</v>
      </c>
      <c r="J1984" s="93">
        <v>234584.64</v>
      </c>
      <c r="K1984">
        <v>12</v>
      </c>
      <c r="L1984" s="1"/>
      <c r="M1984">
        <v>0</v>
      </c>
      <c r="N1984">
        <v>2801</v>
      </c>
      <c r="O1984">
        <v>83.747326999999999</v>
      </c>
      <c r="P1984">
        <v>1</v>
      </c>
      <c r="Q1984" s="1" t="s">
        <v>564</v>
      </c>
      <c r="R1984" s="93">
        <v>282515.42</v>
      </c>
      <c r="S1984">
        <v>59746.78</v>
      </c>
      <c r="T1984">
        <v>0</v>
      </c>
      <c r="U1984" s="1" t="s">
        <v>815</v>
      </c>
      <c r="V1984" s="1" t="s">
        <v>1208</v>
      </c>
      <c r="W1984">
        <v>21720.799999999999</v>
      </c>
      <c r="X1984">
        <v>0</v>
      </c>
      <c r="Y1984">
        <v>58006</v>
      </c>
    </row>
    <row r="1985" spans="1:25" ht="15" hidden="1" customHeight="1" x14ac:dyDescent="0.25">
      <c r="A1985" s="1" t="s">
        <v>32</v>
      </c>
      <c r="B1985" s="1" t="s">
        <v>68</v>
      </c>
      <c r="C1985" s="1" t="s">
        <v>163</v>
      </c>
      <c r="D1985">
        <v>5489</v>
      </c>
      <c r="E1985" s="1"/>
      <c r="F1985" s="1" t="s">
        <v>163</v>
      </c>
      <c r="G1985" s="1" t="s">
        <v>163</v>
      </c>
      <c r="H1985" s="1" t="s">
        <v>1405</v>
      </c>
      <c r="I1985">
        <v>2012</v>
      </c>
      <c r="J1985" s="93">
        <v>246387.96</v>
      </c>
      <c r="K1985">
        <v>12</v>
      </c>
      <c r="L1985" s="1"/>
      <c r="M1985">
        <v>0</v>
      </c>
      <c r="N1985">
        <v>2801</v>
      </c>
      <c r="O1985">
        <v>87.961143000000007</v>
      </c>
      <c r="P1985">
        <v>1</v>
      </c>
      <c r="Q1985" s="1" t="s">
        <v>564</v>
      </c>
      <c r="R1985" s="93">
        <v>265230.67</v>
      </c>
      <c r="S1985">
        <v>56091.37</v>
      </c>
      <c r="T1985">
        <v>0</v>
      </c>
      <c r="U1985" s="1" t="s">
        <v>815</v>
      </c>
      <c r="V1985" s="1" t="s">
        <v>1208</v>
      </c>
      <c r="W1985">
        <v>22813.7</v>
      </c>
      <c r="X1985">
        <v>0</v>
      </c>
      <c r="Y1985">
        <v>58006</v>
      </c>
    </row>
    <row r="1986" spans="1:25" ht="15" hidden="1" customHeight="1" x14ac:dyDescent="0.25">
      <c r="A1986" s="1" t="s">
        <v>32</v>
      </c>
      <c r="B1986" s="1" t="s">
        <v>68</v>
      </c>
      <c r="C1986" s="1" t="s">
        <v>163</v>
      </c>
      <c r="D1986">
        <v>5489</v>
      </c>
      <c r="E1986" s="1"/>
      <c r="F1986" s="1" t="s">
        <v>163</v>
      </c>
      <c r="G1986" s="1" t="s">
        <v>163</v>
      </c>
      <c r="H1986" s="1" t="s">
        <v>1405</v>
      </c>
      <c r="I1986">
        <v>2011</v>
      </c>
      <c r="J1986" s="93">
        <v>242751.84</v>
      </c>
      <c r="K1986">
        <v>12</v>
      </c>
      <c r="L1986" s="1"/>
      <c r="M1986">
        <v>0</v>
      </c>
      <c r="N1986">
        <v>2801</v>
      </c>
      <c r="O1986">
        <v>86.663038999999998</v>
      </c>
      <c r="P1986">
        <v>1</v>
      </c>
      <c r="Q1986" s="1" t="s">
        <v>564</v>
      </c>
      <c r="R1986" s="93">
        <v>283582.40999999997</v>
      </c>
      <c r="S1986">
        <v>59972.44</v>
      </c>
      <c r="T1986">
        <v>0</v>
      </c>
      <c r="U1986" s="1" t="s">
        <v>815</v>
      </c>
      <c r="V1986" s="1" t="s">
        <v>1208</v>
      </c>
      <c r="W1986">
        <v>22477.023000000001</v>
      </c>
      <c r="X1986">
        <v>0</v>
      </c>
      <c r="Y1986">
        <v>58006</v>
      </c>
    </row>
    <row r="1987" spans="1:25" ht="15" hidden="1" customHeight="1" x14ac:dyDescent="0.25">
      <c r="A1987" s="1" t="s">
        <v>32</v>
      </c>
      <c r="B1987" s="1" t="s">
        <v>68</v>
      </c>
      <c r="C1987" s="1" t="s">
        <v>163</v>
      </c>
      <c r="D1987">
        <v>5489</v>
      </c>
      <c r="E1987" s="1"/>
      <c r="F1987" s="1" t="s">
        <v>163</v>
      </c>
      <c r="G1987" s="1" t="s">
        <v>163</v>
      </c>
      <c r="H1987" s="1" t="s">
        <v>1405</v>
      </c>
      <c r="I1987">
        <v>2010</v>
      </c>
      <c r="J1987" s="93">
        <v>284970.71999999997</v>
      </c>
      <c r="K1987">
        <v>12</v>
      </c>
      <c r="L1987" s="1"/>
      <c r="M1987">
        <v>0</v>
      </c>
      <c r="N1987">
        <v>2801</v>
      </c>
      <c r="O1987">
        <v>101.73528899999999</v>
      </c>
      <c r="P1987">
        <v>1</v>
      </c>
      <c r="Q1987" s="1" t="s">
        <v>564</v>
      </c>
      <c r="R1987" s="93">
        <v>352000.24</v>
      </c>
      <c r="S1987">
        <v>74441.539999999994</v>
      </c>
      <c r="T1987">
        <v>0</v>
      </c>
      <c r="U1987" s="1" t="s">
        <v>815</v>
      </c>
      <c r="V1987" s="1" t="s">
        <v>1208</v>
      </c>
      <c r="W1987">
        <v>26386.178</v>
      </c>
      <c r="X1987">
        <v>0</v>
      </c>
      <c r="Y1987">
        <v>58006</v>
      </c>
    </row>
    <row r="1988" spans="1:25" ht="15" hidden="1" customHeight="1" x14ac:dyDescent="0.25">
      <c r="A1988" s="1" t="s">
        <v>32</v>
      </c>
      <c r="B1988" s="1" t="s">
        <v>68</v>
      </c>
      <c r="C1988" s="1" t="s">
        <v>163</v>
      </c>
      <c r="D1988">
        <v>5489</v>
      </c>
      <c r="E1988" s="1"/>
      <c r="F1988" s="1" t="s">
        <v>163</v>
      </c>
      <c r="G1988" s="1" t="s">
        <v>163</v>
      </c>
      <c r="H1988" s="1" t="s">
        <v>1405</v>
      </c>
      <c r="I1988">
        <v>2009</v>
      </c>
      <c r="J1988" s="93">
        <v>255852</v>
      </c>
      <c r="K1988">
        <v>12</v>
      </c>
      <c r="L1988" s="1"/>
      <c r="M1988">
        <v>0</v>
      </c>
      <c r="N1988">
        <v>2801</v>
      </c>
      <c r="O1988">
        <v>91.339830000000006</v>
      </c>
      <c r="P1988">
        <v>1</v>
      </c>
      <c r="Q1988" s="1" t="s">
        <v>564</v>
      </c>
      <c r="R1988" s="93">
        <v>300504.78999999998</v>
      </c>
      <c r="S1988">
        <v>63551.19</v>
      </c>
      <c r="T1988">
        <v>0</v>
      </c>
      <c r="U1988" s="1" t="s">
        <v>815</v>
      </c>
      <c r="V1988" s="1" t="s">
        <v>1208</v>
      </c>
      <c r="W1988">
        <v>23690</v>
      </c>
      <c r="X1988">
        <v>0</v>
      </c>
      <c r="Y1988">
        <v>58006</v>
      </c>
    </row>
    <row r="1989" spans="1:25" ht="15" hidden="1" customHeight="1" x14ac:dyDescent="0.25">
      <c r="A1989" s="1" t="s">
        <v>32</v>
      </c>
      <c r="B1989" s="1" t="s">
        <v>68</v>
      </c>
      <c r="C1989" s="1" t="s">
        <v>163</v>
      </c>
      <c r="D1989">
        <v>5489</v>
      </c>
      <c r="E1989" s="1"/>
      <c r="F1989" s="1" t="s">
        <v>163</v>
      </c>
      <c r="G1989" s="1" t="s">
        <v>163</v>
      </c>
      <c r="H1989" s="1" t="s">
        <v>1405</v>
      </c>
      <c r="I1989">
        <v>2008</v>
      </c>
      <c r="J1989" s="93">
        <v>238377.60000000001</v>
      </c>
      <c r="K1989">
        <v>12</v>
      </c>
      <c r="L1989" s="1"/>
      <c r="M1989">
        <v>0</v>
      </c>
      <c r="N1989">
        <v>2801</v>
      </c>
      <c r="O1989">
        <v>85.101423999999994</v>
      </c>
      <c r="P1989">
        <v>1</v>
      </c>
      <c r="Q1989" s="1" t="s">
        <v>564</v>
      </c>
      <c r="R1989" s="93">
        <v>283177.90000000002</v>
      </c>
      <c r="S1989">
        <v>59886.89</v>
      </c>
      <c r="T1989">
        <v>0</v>
      </c>
      <c r="U1989" s="1" t="s">
        <v>815</v>
      </c>
      <c r="V1989" s="1" t="s">
        <v>1208</v>
      </c>
      <c r="W1989">
        <v>22072</v>
      </c>
      <c r="X1989">
        <v>0</v>
      </c>
      <c r="Y1989">
        <v>58006</v>
      </c>
    </row>
    <row r="1990" spans="1:25" ht="15" hidden="1" customHeight="1" x14ac:dyDescent="0.25">
      <c r="A1990" s="1" t="s">
        <v>32</v>
      </c>
      <c r="B1990" s="1" t="s">
        <v>68</v>
      </c>
      <c r="C1990" s="1" t="s">
        <v>163</v>
      </c>
      <c r="D1990">
        <v>6031</v>
      </c>
      <c r="E1990" s="1"/>
      <c r="F1990" s="1" t="s">
        <v>295</v>
      </c>
      <c r="G1990" s="1" t="s">
        <v>163</v>
      </c>
      <c r="H1990" s="1" t="s">
        <v>1396</v>
      </c>
      <c r="I1990">
        <v>2015</v>
      </c>
      <c r="J1990" s="93">
        <v>0</v>
      </c>
      <c r="K1990">
        <v>4</v>
      </c>
      <c r="L1990" s="1" t="s">
        <v>433</v>
      </c>
      <c r="M1990">
        <v>0</v>
      </c>
      <c r="N1990">
        <v>0</v>
      </c>
      <c r="O1990">
        <v>377098.4</v>
      </c>
      <c r="P1990">
        <v>1</v>
      </c>
      <c r="Q1990" s="1" t="s">
        <v>562</v>
      </c>
      <c r="R1990" s="93">
        <v>0</v>
      </c>
      <c r="S1990">
        <v>5340.36</v>
      </c>
      <c r="T1990">
        <v>1</v>
      </c>
      <c r="U1990" s="1" t="s">
        <v>816</v>
      </c>
      <c r="V1990" s="1"/>
      <c r="W1990">
        <v>37709.833319999998</v>
      </c>
      <c r="X1990">
        <v>0</v>
      </c>
      <c r="Y1990">
        <v>60629</v>
      </c>
    </row>
    <row r="1991" spans="1:25" ht="15" hidden="1" customHeight="1" x14ac:dyDescent="0.25">
      <c r="A1991" s="1" t="s">
        <v>32</v>
      </c>
      <c r="B1991" s="1" t="s">
        <v>68</v>
      </c>
      <c r="C1991" s="1" t="s">
        <v>163</v>
      </c>
      <c r="D1991">
        <v>6031</v>
      </c>
      <c r="E1991" s="1"/>
      <c r="F1991" s="1" t="s">
        <v>295</v>
      </c>
      <c r="G1991" s="1" t="s">
        <v>163</v>
      </c>
      <c r="H1991" s="1" t="s">
        <v>1396</v>
      </c>
      <c r="I1991">
        <v>2015</v>
      </c>
      <c r="J1991" s="93">
        <v>0</v>
      </c>
      <c r="K1991">
        <v>4</v>
      </c>
      <c r="L1991" s="1" t="s">
        <v>433</v>
      </c>
      <c r="M1991">
        <v>0</v>
      </c>
      <c r="N1991">
        <v>0</v>
      </c>
      <c r="O1991">
        <v>39639.599999999999</v>
      </c>
      <c r="P1991">
        <v>1</v>
      </c>
      <c r="Q1991" s="1" t="s">
        <v>564</v>
      </c>
      <c r="R1991" s="93">
        <v>0</v>
      </c>
      <c r="S1991">
        <v>901.78</v>
      </c>
      <c r="T1991">
        <v>1</v>
      </c>
      <c r="U1991" s="1" t="s">
        <v>817</v>
      </c>
      <c r="V1991" s="1"/>
      <c r="W1991">
        <v>367.03334000000001</v>
      </c>
      <c r="X1991">
        <v>0</v>
      </c>
      <c r="Y1991">
        <v>60685</v>
      </c>
    </row>
    <row r="1992" spans="1:25" ht="15" hidden="1" customHeight="1" x14ac:dyDescent="0.25">
      <c r="A1992" s="1" t="s">
        <v>32</v>
      </c>
      <c r="B1992" s="1" t="s">
        <v>68</v>
      </c>
      <c r="C1992" s="1" t="s">
        <v>163</v>
      </c>
      <c r="D1992">
        <v>6031</v>
      </c>
      <c r="E1992" s="1"/>
      <c r="F1992" s="1" t="s">
        <v>295</v>
      </c>
      <c r="G1992" s="1" t="s">
        <v>163</v>
      </c>
      <c r="H1992" s="1" t="s">
        <v>1396</v>
      </c>
      <c r="I1992">
        <v>2015</v>
      </c>
      <c r="J1992" s="93">
        <v>0</v>
      </c>
      <c r="K1992">
        <v>4</v>
      </c>
      <c r="L1992" s="1" t="s">
        <v>433</v>
      </c>
      <c r="M1992">
        <v>0</v>
      </c>
      <c r="N1992">
        <v>0</v>
      </c>
      <c r="O1992">
        <v>43081.9</v>
      </c>
      <c r="P1992">
        <v>1</v>
      </c>
      <c r="Q1992" s="1" t="s">
        <v>562</v>
      </c>
      <c r="R1992" s="93">
        <v>0</v>
      </c>
      <c r="S1992">
        <v>610.73</v>
      </c>
      <c r="T1992">
        <v>1</v>
      </c>
      <c r="U1992" s="1" t="s">
        <v>818</v>
      </c>
      <c r="V1992" s="1"/>
      <c r="W1992">
        <v>4308.1888900000004</v>
      </c>
      <c r="X1992">
        <v>0</v>
      </c>
      <c r="Y1992">
        <v>60630</v>
      </c>
    </row>
    <row r="1993" spans="1:25" ht="15" hidden="1" customHeight="1" x14ac:dyDescent="0.25">
      <c r="A1993" s="1" t="s">
        <v>32</v>
      </c>
      <c r="B1993" s="1" t="s">
        <v>68</v>
      </c>
      <c r="C1993" s="1" t="s">
        <v>163</v>
      </c>
      <c r="D1993">
        <v>6031</v>
      </c>
      <c r="E1993" s="1"/>
      <c r="F1993" s="1" t="s">
        <v>295</v>
      </c>
      <c r="G1993" s="1" t="s">
        <v>163</v>
      </c>
      <c r="H1993" s="1" t="s">
        <v>1396</v>
      </c>
      <c r="I1993">
        <v>2015</v>
      </c>
      <c r="J1993" s="93">
        <v>0</v>
      </c>
      <c r="K1993">
        <v>4</v>
      </c>
      <c r="L1993" s="1" t="s">
        <v>433</v>
      </c>
      <c r="M1993">
        <v>0</v>
      </c>
      <c r="N1993">
        <v>0</v>
      </c>
      <c r="O1993">
        <v>862906.6</v>
      </c>
      <c r="P1993">
        <v>1</v>
      </c>
      <c r="Q1993" s="1" t="s">
        <v>565</v>
      </c>
      <c r="R1993" s="93">
        <v>0</v>
      </c>
      <c r="S1993">
        <v>12259.84</v>
      </c>
      <c r="T1993">
        <v>1</v>
      </c>
      <c r="U1993" s="1" t="s">
        <v>819</v>
      </c>
      <c r="V1993" s="1"/>
      <c r="W1993">
        <v>86.290660000000003</v>
      </c>
      <c r="X1993">
        <v>0</v>
      </c>
      <c r="Y1993">
        <v>60628</v>
      </c>
    </row>
    <row r="1994" spans="1:25" ht="15" hidden="1" customHeight="1" x14ac:dyDescent="0.25">
      <c r="A1994" s="1" t="s">
        <v>32</v>
      </c>
      <c r="B1994" s="1" t="s">
        <v>68</v>
      </c>
      <c r="C1994" s="1" t="s">
        <v>163</v>
      </c>
      <c r="D1994">
        <v>6031</v>
      </c>
      <c r="E1994" s="1"/>
      <c r="F1994" s="1" t="s">
        <v>295</v>
      </c>
      <c r="G1994" s="1" t="s">
        <v>163</v>
      </c>
      <c r="H1994" s="1" t="s">
        <v>1405</v>
      </c>
      <c r="I1994">
        <v>2013</v>
      </c>
      <c r="J1994" s="93">
        <v>77486.02</v>
      </c>
      <c r="K1994">
        <v>11</v>
      </c>
      <c r="L1994" s="1" t="s">
        <v>433</v>
      </c>
      <c r="M1994">
        <v>0</v>
      </c>
      <c r="N1994">
        <v>0</v>
      </c>
      <c r="O1994">
        <v>774860.2</v>
      </c>
      <c r="P1994">
        <v>1</v>
      </c>
      <c r="Q1994" s="1" t="s">
        <v>562</v>
      </c>
      <c r="R1994" s="93">
        <v>95994.8</v>
      </c>
      <c r="S1994">
        <v>12095.34</v>
      </c>
      <c r="T1994">
        <v>1</v>
      </c>
      <c r="U1994" s="1" t="s">
        <v>816</v>
      </c>
      <c r="V1994" s="1"/>
      <c r="W1994">
        <v>77486.017619999999</v>
      </c>
      <c r="X1994">
        <v>0</v>
      </c>
      <c r="Y1994">
        <v>60629</v>
      </c>
    </row>
    <row r="1995" spans="1:25" ht="15" hidden="1" customHeight="1" x14ac:dyDescent="0.25">
      <c r="A1995" s="1" t="s">
        <v>32</v>
      </c>
      <c r="B1995" s="1" t="s">
        <v>68</v>
      </c>
      <c r="C1995" s="1" t="s">
        <v>163</v>
      </c>
      <c r="D1995">
        <v>6031</v>
      </c>
      <c r="E1995" s="1"/>
      <c r="F1995" s="1" t="s">
        <v>295</v>
      </c>
      <c r="G1995" s="1" t="s">
        <v>163</v>
      </c>
      <c r="H1995" s="1" t="s">
        <v>1405</v>
      </c>
      <c r="I1995">
        <v>2013</v>
      </c>
      <c r="J1995" s="93">
        <v>5428.81</v>
      </c>
      <c r="K1995">
        <v>10</v>
      </c>
      <c r="L1995" s="1" t="s">
        <v>433</v>
      </c>
      <c r="M1995">
        <v>0</v>
      </c>
      <c r="N1995">
        <v>0</v>
      </c>
      <c r="O1995">
        <v>54288.1</v>
      </c>
      <c r="P1995">
        <v>1</v>
      </c>
      <c r="Q1995" s="1" t="s">
        <v>564</v>
      </c>
      <c r="R1995" s="93">
        <v>8776.77</v>
      </c>
      <c r="S1995">
        <v>1856.13</v>
      </c>
      <c r="T1995">
        <v>1</v>
      </c>
      <c r="U1995" s="1" t="s">
        <v>817</v>
      </c>
      <c r="V1995" s="1"/>
      <c r="W1995">
        <v>502.66813000000002</v>
      </c>
      <c r="X1995">
        <v>0</v>
      </c>
      <c r="Y1995">
        <v>60685</v>
      </c>
    </row>
    <row r="1996" spans="1:25" ht="15" hidden="1" customHeight="1" x14ac:dyDescent="0.25">
      <c r="A1996" s="1" t="s">
        <v>32</v>
      </c>
      <c r="B1996" s="1" t="s">
        <v>68</v>
      </c>
      <c r="C1996" s="1" t="s">
        <v>163</v>
      </c>
      <c r="D1996">
        <v>6031</v>
      </c>
      <c r="E1996" s="1"/>
      <c r="F1996" s="1" t="s">
        <v>295</v>
      </c>
      <c r="G1996" s="1" t="s">
        <v>163</v>
      </c>
      <c r="H1996" s="1" t="s">
        <v>1405</v>
      </c>
      <c r="I1996">
        <v>2013</v>
      </c>
      <c r="J1996" s="93">
        <v>7166.56</v>
      </c>
      <c r="K1996">
        <v>11</v>
      </c>
      <c r="L1996" s="1" t="s">
        <v>433</v>
      </c>
      <c r="M1996">
        <v>0</v>
      </c>
      <c r="N1996">
        <v>0</v>
      </c>
      <c r="O1996">
        <v>71665.600000000006</v>
      </c>
      <c r="P1996">
        <v>1</v>
      </c>
      <c r="Q1996" s="1" t="s">
        <v>562</v>
      </c>
      <c r="R1996" s="93">
        <v>7540.71</v>
      </c>
      <c r="S1996">
        <v>950.13</v>
      </c>
      <c r="T1996">
        <v>1</v>
      </c>
      <c r="U1996" s="1" t="s">
        <v>818</v>
      </c>
      <c r="V1996" s="1"/>
      <c r="W1996">
        <v>7166.5509599999996</v>
      </c>
      <c r="X1996">
        <v>0</v>
      </c>
      <c r="Y1996">
        <v>60630</v>
      </c>
    </row>
    <row r="1997" spans="1:25" ht="15" hidden="1" customHeight="1" x14ac:dyDescent="0.25">
      <c r="A1997" s="1" t="s">
        <v>32</v>
      </c>
      <c r="B1997" s="1" t="s">
        <v>68</v>
      </c>
      <c r="C1997" s="1" t="s">
        <v>163</v>
      </c>
      <c r="D1997">
        <v>6031</v>
      </c>
      <c r="E1997" s="1"/>
      <c r="F1997" s="1" t="s">
        <v>295</v>
      </c>
      <c r="G1997" s="1" t="s">
        <v>163</v>
      </c>
      <c r="H1997" s="1" t="s">
        <v>1405</v>
      </c>
      <c r="I1997">
        <v>2013</v>
      </c>
      <c r="J1997" s="93">
        <v>170263.15</v>
      </c>
      <c r="K1997">
        <v>11</v>
      </c>
      <c r="L1997" s="1" t="s">
        <v>433</v>
      </c>
      <c r="M1997">
        <v>0</v>
      </c>
      <c r="N1997">
        <v>0</v>
      </c>
      <c r="O1997">
        <v>1702631.5</v>
      </c>
      <c r="P1997">
        <v>1</v>
      </c>
      <c r="Q1997" s="1" t="s">
        <v>565</v>
      </c>
      <c r="R1997" s="93">
        <v>196253.54</v>
      </c>
      <c r="S1997">
        <v>24727.96</v>
      </c>
      <c r="T1997">
        <v>1</v>
      </c>
      <c r="U1997" s="1" t="s">
        <v>819</v>
      </c>
      <c r="V1997" s="1"/>
      <c r="W1997">
        <v>170.26315</v>
      </c>
      <c r="X1997">
        <v>0</v>
      </c>
      <c r="Y1997">
        <v>60628</v>
      </c>
    </row>
    <row r="1998" spans="1:25" ht="15" hidden="1" customHeight="1" x14ac:dyDescent="0.25">
      <c r="A1998" s="1" t="s">
        <v>32</v>
      </c>
      <c r="B1998" s="1" t="s">
        <v>68</v>
      </c>
      <c r="C1998" s="1" t="s">
        <v>163</v>
      </c>
      <c r="D1998">
        <v>6031</v>
      </c>
      <c r="E1998" s="1"/>
      <c r="F1998" s="1" t="s">
        <v>295</v>
      </c>
      <c r="G1998" s="1" t="s">
        <v>163</v>
      </c>
      <c r="H1998" s="1" t="s">
        <v>1405</v>
      </c>
      <c r="I1998">
        <v>2012</v>
      </c>
      <c r="J1998" s="93">
        <v>189746.55</v>
      </c>
      <c r="K1998">
        <v>10</v>
      </c>
      <c r="L1998" s="1" t="s">
        <v>433</v>
      </c>
      <c r="M1998">
        <v>0</v>
      </c>
      <c r="N1998">
        <v>0</v>
      </c>
      <c r="O1998">
        <v>1897465.5</v>
      </c>
      <c r="P1998">
        <v>1</v>
      </c>
      <c r="Q1998" s="1" t="s">
        <v>565</v>
      </c>
      <c r="R1998" s="93">
        <v>202051.18</v>
      </c>
      <c r="S1998">
        <v>25458.46</v>
      </c>
      <c r="T1998">
        <v>1</v>
      </c>
      <c r="U1998" s="1" t="s">
        <v>819</v>
      </c>
      <c r="V1998" s="1"/>
      <c r="W1998">
        <v>189.74655000000001</v>
      </c>
      <c r="X1998">
        <v>0</v>
      </c>
      <c r="Y1998">
        <v>60628</v>
      </c>
    </row>
    <row r="1999" spans="1:25" ht="15" hidden="1" customHeight="1" x14ac:dyDescent="0.25">
      <c r="A1999" s="1" t="s">
        <v>32</v>
      </c>
      <c r="B1999" s="1" t="s">
        <v>68</v>
      </c>
      <c r="C1999" s="1" t="s">
        <v>163</v>
      </c>
      <c r="D1999">
        <v>6031</v>
      </c>
      <c r="E1999" s="1"/>
      <c r="F1999" s="1" t="s">
        <v>295</v>
      </c>
      <c r="G1999" s="1" t="s">
        <v>163</v>
      </c>
      <c r="H1999" s="1" t="s">
        <v>1405</v>
      </c>
      <c r="I1999">
        <v>2012</v>
      </c>
      <c r="J1999" s="93">
        <v>74443.47</v>
      </c>
      <c r="K1999">
        <v>10</v>
      </c>
      <c r="L1999" s="1" t="s">
        <v>433</v>
      </c>
      <c r="M1999">
        <v>0</v>
      </c>
      <c r="N1999">
        <v>0</v>
      </c>
      <c r="O1999">
        <v>744434.7</v>
      </c>
      <c r="P1999">
        <v>1</v>
      </c>
      <c r="Q1999" s="1" t="s">
        <v>562</v>
      </c>
      <c r="R1999" s="93">
        <v>81037.13</v>
      </c>
      <c r="S1999">
        <v>10210.69</v>
      </c>
      <c r="T1999">
        <v>1</v>
      </c>
      <c r="U1999" s="1" t="s">
        <v>816</v>
      </c>
      <c r="V1999" s="1"/>
      <c r="W1999">
        <v>74443.474979999999</v>
      </c>
      <c r="X1999">
        <v>0</v>
      </c>
      <c r="Y1999">
        <v>60629</v>
      </c>
    </row>
    <row r="2000" spans="1:25" ht="15" hidden="1" customHeight="1" x14ac:dyDescent="0.25">
      <c r="A2000" s="1" t="s">
        <v>32</v>
      </c>
      <c r="B2000" s="1" t="s">
        <v>68</v>
      </c>
      <c r="C2000" s="1" t="s">
        <v>163</v>
      </c>
      <c r="D2000">
        <v>6031</v>
      </c>
      <c r="E2000" s="1"/>
      <c r="F2000" s="1" t="s">
        <v>295</v>
      </c>
      <c r="G2000" s="1" t="s">
        <v>163</v>
      </c>
      <c r="H2000" s="1" t="s">
        <v>1405</v>
      </c>
      <c r="I2000">
        <v>2012</v>
      </c>
      <c r="J2000" s="93">
        <v>8205.42</v>
      </c>
      <c r="K2000">
        <v>10</v>
      </c>
      <c r="L2000" s="1" t="s">
        <v>433</v>
      </c>
      <c r="M2000">
        <v>0</v>
      </c>
      <c r="N2000">
        <v>0</v>
      </c>
      <c r="O2000">
        <v>82054.2</v>
      </c>
      <c r="P2000">
        <v>1</v>
      </c>
      <c r="Q2000" s="1" t="s">
        <v>562</v>
      </c>
      <c r="R2000" s="93">
        <v>8720.3799999999992</v>
      </c>
      <c r="S2000">
        <v>1098.76</v>
      </c>
      <c r="T2000">
        <v>1</v>
      </c>
      <c r="U2000" s="1" t="s">
        <v>818</v>
      </c>
      <c r="V2000" s="1"/>
      <c r="W2000">
        <v>8205.4145900000003</v>
      </c>
      <c r="X2000">
        <v>0</v>
      </c>
      <c r="Y2000">
        <v>60630</v>
      </c>
    </row>
    <row r="2001" spans="1:25" ht="15" hidden="1" customHeight="1" x14ac:dyDescent="0.25">
      <c r="A2001" s="1" t="s">
        <v>32</v>
      </c>
      <c r="B2001" s="1" t="s">
        <v>68</v>
      </c>
      <c r="C2001" s="1" t="s">
        <v>163</v>
      </c>
      <c r="D2001">
        <v>6031</v>
      </c>
      <c r="E2001" s="1"/>
      <c r="F2001" s="1" t="s">
        <v>295</v>
      </c>
      <c r="G2001" s="1" t="s">
        <v>163</v>
      </c>
      <c r="H2001" s="1" t="s">
        <v>1405</v>
      </c>
      <c r="I2001">
        <v>2012</v>
      </c>
      <c r="J2001" s="93">
        <v>5414.82</v>
      </c>
      <c r="K2001">
        <v>10</v>
      </c>
      <c r="L2001" s="1" t="s">
        <v>433</v>
      </c>
      <c r="M2001">
        <v>0</v>
      </c>
      <c r="N2001">
        <v>0</v>
      </c>
      <c r="O2001">
        <v>54148.2</v>
      </c>
      <c r="P2001">
        <v>1</v>
      </c>
      <c r="Q2001" s="1" t="s">
        <v>564</v>
      </c>
      <c r="R2001" s="93">
        <v>6134.38</v>
      </c>
      <c r="S2001">
        <v>1297.32</v>
      </c>
      <c r="T2001">
        <v>1</v>
      </c>
      <c r="U2001" s="1" t="s">
        <v>817</v>
      </c>
      <c r="V2001" s="1"/>
      <c r="W2001">
        <v>501.37186000000003</v>
      </c>
      <c r="X2001">
        <v>0</v>
      </c>
      <c r="Y2001">
        <v>60685</v>
      </c>
    </row>
    <row r="2002" spans="1:25" ht="15" hidden="1" customHeight="1" x14ac:dyDescent="0.25">
      <c r="A2002" s="1" t="s">
        <v>32</v>
      </c>
      <c r="B2002" s="1" t="s">
        <v>68</v>
      </c>
      <c r="C2002" s="1" t="s">
        <v>163</v>
      </c>
      <c r="D2002">
        <v>6031</v>
      </c>
      <c r="E2002" s="1"/>
      <c r="F2002" s="1" t="s">
        <v>295</v>
      </c>
      <c r="G2002" s="1" t="s">
        <v>163</v>
      </c>
      <c r="H2002" s="1" t="s">
        <v>1405</v>
      </c>
      <c r="I2002">
        <v>2011</v>
      </c>
      <c r="J2002" s="93">
        <v>7194.19</v>
      </c>
      <c r="K2002">
        <v>11</v>
      </c>
      <c r="L2002" s="1" t="s">
        <v>433</v>
      </c>
      <c r="M2002">
        <v>0</v>
      </c>
      <c r="N2002">
        <v>0</v>
      </c>
      <c r="O2002">
        <v>71941.899999999994</v>
      </c>
      <c r="P2002">
        <v>1</v>
      </c>
      <c r="Q2002" s="1" t="s">
        <v>562</v>
      </c>
      <c r="R2002" s="93">
        <v>7655.15</v>
      </c>
      <c r="S2002">
        <v>964.55</v>
      </c>
      <c r="T2002">
        <v>1</v>
      </c>
      <c r="U2002" s="1" t="s">
        <v>818</v>
      </c>
      <c r="V2002" s="1"/>
      <c r="W2002">
        <v>7194.1892500000004</v>
      </c>
      <c r="X2002">
        <v>0</v>
      </c>
      <c r="Y2002">
        <v>60630</v>
      </c>
    </row>
    <row r="2003" spans="1:25" ht="15" hidden="1" customHeight="1" x14ac:dyDescent="0.25">
      <c r="A2003" s="1" t="s">
        <v>32</v>
      </c>
      <c r="B2003" s="1" t="s">
        <v>68</v>
      </c>
      <c r="C2003" s="1" t="s">
        <v>163</v>
      </c>
      <c r="D2003">
        <v>6031</v>
      </c>
      <c r="E2003" s="1"/>
      <c r="F2003" s="1" t="s">
        <v>295</v>
      </c>
      <c r="G2003" s="1" t="s">
        <v>163</v>
      </c>
      <c r="H2003" s="1" t="s">
        <v>1405</v>
      </c>
      <c r="I2003">
        <v>2011</v>
      </c>
      <c r="J2003" s="93">
        <v>186642.43</v>
      </c>
      <c r="K2003">
        <v>11</v>
      </c>
      <c r="L2003" s="1" t="s">
        <v>433</v>
      </c>
      <c r="M2003">
        <v>0</v>
      </c>
      <c r="N2003">
        <v>0</v>
      </c>
      <c r="O2003">
        <v>1866424.3</v>
      </c>
      <c r="P2003">
        <v>1</v>
      </c>
      <c r="Q2003" s="1" t="s">
        <v>565</v>
      </c>
      <c r="R2003" s="93">
        <v>203653.98</v>
      </c>
      <c r="S2003">
        <v>25660.400000000001</v>
      </c>
      <c r="T2003">
        <v>1</v>
      </c>
      <c r="U2003" s="1" t="s">
        <v>819</v>
      </c>
      <c r="V2003" s="1"/>
      <c r="W2003">
        <v>186.64242999999999</v>
      </c>
      <c r="X2003">
        <v>0</v>
      </c>
      <c r="Y2003">
        <v>60628</v>
      </c>
    </row>
    <row r="2004" spans="1:25" ht="15" hidden="1" customHeight="1" x14ac:dyDescent="0.25">
      <c r="A2004" s="1" t="s">
        <v>32</v>
      </c>
      <c r="B2004" s="1" t="s">
        <v>68</v>
      </c>
      <c r="C2004" s="1" t="s">
        <v>163</v>
      </c>
      <c r="D2004">
        <v>6031</v>
      </c>
      <c r="E2004" s="1"/>
      <c r="F2004" s="1" t="s">
        <v>295</v>
      </c>
      <c r="G2004" s="1" t="s">
        <v>163</v>
      </c>
      <c r="H2004" s="1" t="s">
        <v>1405</v>
      </c>
      <c r="I2004">
        <v>2011</v>
      </c>
      <c r="J2004" s="93">
        <v>75121.56</v>
      </c>
      <c r="K2004">
        <v>11</v>
      </c>
      <c r="L2004" s="1" t="s">
        <v>433</v>
      </c>
      <c r="M2004">
        <v>0</v>
      </c>
      <c r="N2004">
        <v>0</v>
      </c>
      <c r="O2004">
        <v>751215.6</v>
      </c>
      <c r="P2004">
        <v>1</v>
      </c>
      <c r="Q2004" s="1" t="s">
        <v>562</v>
      </c>
      <c r="R2004" s="93">
        <v>83295.66</v>
      </c>
      <c r="S2004">
        <v>10495.25</v>
      </c>
      <c r="T2004">
        <v>1</v>
      </c>
      <c r="U2004" s="1" t="s">
        <v>816</v>
      </c>
      <c r="V2004" s="1"/>
      <c r="W2004">
        <v>75121.561289999998</v>
      </c>
      <c r="X2004">
        <v>0</v>
      </c>
      <c r="Y2004">
        <v>60629</v>
      </c>
    </row>
    <row r="2005" spans="1:25" ht="15" hidden="1" customHeight="1" x14ac:dyDescent="0.25">
      <c r="A2005" s="1" t="s">
        <v>32</v>
      </c>
      <c r="B2005" s="1" t="s">
        <v>68</v>
      </c>
      <c r="C2005" s="1" t="s">
        <v>163</v>
      </c>
      <c r="D2005">
        <v>6031</v>
      </c>
      <c r="E2005" s="1"/>
      <c r="F2005" s="1" t="s">
        <v>295</v>
      </c>
      <c r="G2005" s="1" t="s">
        <v>163</v>
      </c>
      <c r="H2005" s="1" t="s">
        <v>1405</v>
      </c>
      <c r="I2005">
        <v>2011</v>
      </c>
      <c r="J2005" s="93">
        <v>5977.19</v>
      </c>
      <c r="K2005">
        <v>11</v>
      </c>
      <c r="L2005" s="1" t="s">
        <v>433</v>
      </c>
      <c r="M2005">
        <v>0</v>
      </c>
      <c r="N2005">
        <v>0</v>
      </c>
      <c r="O2005">
        <v>59771.9</v>
      </c>
      <c r="P2005">
        <v>1</v>
      </c>
      <c r="Q2005" s="1" t="s">
        <v>564</v>
      </c>
      <c r="R2005" s="93">
        <v>7244.67</v>
      </c>
      <c r="S2005">
        <v>1532.11</v>
      </c>
      <c r="T2005">
        <v>1</v>
      </c>
      <c r="U2005" s="1" t="s">
        <v>817</v>
      </c>
      <c r="V2005" s="1"/>
      <c r="W2005">
        <v>553.44321000000002</v>
      </c>
      <c r="X2005">
        <v>0</v>
      </c>
      <c r="Y2005">
        <v>60685</v>
      </c>
    </row>
    <row r="2006" spans="1:25" ht="15" hidden="1" customHeight="1" x14ac:dyDescent="0.25">
      <c r="A2006" s="1" t="s">
        <v>32</v>
      </c>
      <c r="B2006" s="1" t="s">
        <v>68</v>
      </c>
      <c r="C2006" s="1" t="s">
        <v>163</v>
      </c>
      <c r="D2006">
        <v>6031</v>
      </c>
      <c r="E2006" s="1"/>
      <c r="F2006" s="1" t="s">
        <v>295</v>
      </c>
      <c r="G2006" s="1" t="s">
        <v>163</v>
      </c>
      <c r="H2006" s="1" t="s">
        <v>1405</v>
      </c>
      <c r="I2006">
        <v>2010</v>
      </c>
      <c r="J2006" s="93">
        <v>9969.89</v>
      </c>
      <c r="K2006">
        <v>12</v>
      </c>
      <c r="L2006" s="1" t="s">
        <v>433</v>
      </c>
      <c r="M2006">
        <v>0</v>
      </c>
      <c r="N2006">
        <v>0</v>
      </c>
      <c r="O2006">
        <v>99698.9</v>
      </c>
      <c r="P2006">
        <v>1</v>
      </c>
      <c r="Q2006" s="1" t="s">
        <v>562</v>
      </c>
      <c r="R2006" s="93">
        <v>9024.02</v>
      </c>
      <c r="S2006">
        <v>1137.03</v>
      </c>
      <c r="T2006">
        <v>1</v>
      </c>
      <c r="U2006" s="1" t="s">
        <v>818</v>
      </c>
      <c r="V2006" s="1"/>
      <c r="W2006">
        <v>9969.8879500000003</v>
      </c>
      <c r="X2006">
        <v>0</v>
      </c>
      <c r="Y2006">
        <v>60630</v>
      </c>
    </row>
    <row r="2007" spans="1:25" ht="15" hidden="1" customHeight="1" x14ac:dyDescent="0.25">
      <c r="A2007" s="1" t="s">
        <v>32</v>
      </c>
      <c r="B2007" s="1" t="s">
        <v>68</v>
      </c>
      <c r="C2007" s="1" t="s">
        <v>163</v>
      </c>
      <c r="D2007">
        <v>6031</v>
      </c>
      <c r="E2007" s="1"/>
      <c r="F2007" s="1" t="s">
        <v>295</v>
      </c>
      <c r="G2007" s="1" t="s">
        <v>163</v>
      </c>
      <c r="H2007" s="1" t="s">
        <v>1405</v>
      </c>
      <c r="I2007">
        <v>2010</v>
      </c>
      <c r="J2007" s="93">
        <v>227672.91</v>
      </c>
      <c r="K2007">
        <v>12</v>
      </c>
      <c r="L2007" s="1" t="s">
        <v>433</v>
      </c>
      <c r="M2007">
        <v>0</v>
      </c>
      <c r="N2007">
        <v>0</v>
      </c>
      <c r="O2007">
        <v>2276729.1</v>
      </c>
      <c r="P2007">
        <v>1</v>
      </c>
      <c r="Q2007" s="1" t="s">
        <v>565</v>
      </c>
      <c r="R2007" s="93">
        <v>217664.68</v>
      </c>
      <c r="S2007">
        <v>27425.74</v>
      </c>
      <c r="T2007">
        <v>1</v>
      </c>
      <c r="U2007" s="1" t="s">
        <v>819</v>
      </c>
      <c r="V2007" s="1"/>
      <c r="W2007">
        <v>227.67291</v>
      </c>
      <c r="X2007">
        <v>0</v>
      </c>
      <c r="Y2007">
        <v>60628</v>
      </c>
    </row>
    <row r="2008" spans="1:25" ht="15" hidden="1" customHeight="1" x14ac:dyDescent="0.25">
      <c r="A2008" s="1" t="s">
        <v>32</v>
      </c>
      <c r="B2008" s="1" t="s">
        <v>68</v>
      </c>
      <c r="C2008" s="1" t="s">
        <v>163</v>
      </c>
      <c r="D2008">
        <v>6031</v>
      </c>
      <c r="E2008" s="1"/>
      <c r="F2008" s="1" t="s">
        <v>295</v>
      </c>
      <c r="G2008" s="1" t="s">
        <v>163</v>
      </c>
      <c r="H2008" s="1" t="s">
        <v>1405</v>
      </c>
      <c r="I2008">
        <v>2010</v>
      </c>
      <c r="J2008" s="93">
        <v>83202.95</v>
      </c>
      <c r="K2008">
        <v>12</v>
      </c>
      <c r="L2008" s="1" t="s">
        <v>433</v>
      </c>
      <c r="M2008">
        <v>0</v>
      </c>
      <c r="N2008">
        <v>0</v>
      </c>
      <c r="O2008">
        <v>832029.5</v>
      </c>
      <c r="P2008">
        <v>1</v>
      </c>
      <c r="Q2008" s="1" t="s">
        <v>562</v>
      </c>
      <c r="R2008" s="93">
        <v>92640.31</v>
      </c>
      <c r="S2008">
        <v>11672.67</v>
      </c>
      <c r="T2008">
        <v>1</v>
      </c>
      <c r="U2008" s="1" t="s">
        <v>816</v>
      </c>
      <c r="V2008" s="1"/>
      <c r="W2008">
        <v>83202.943969999993</v>
      </c>
      <c r="X2008">
        <v>0</v>
      </c>
      <c r="Y2008">
        <v>60629</v>
      </c>
    </row>
    <row r="2009" spans="1:25" ht="15" hidden="1" customHeight="1" x14ac:dyDescent="0.25">
      <c r="A2009" s="1" t="s">
        <v>32</v>
      </c>
      <c r="B2009" s="1" t="s">
        <v>68</v>
      </c>
      <c r="C2009" s="1" t="s">
        <v>163</v>
      </c>
      <c r="D2009">
        <v>6031</v>
      </c>
      <c r="E2009" s="1"/>
      <c r="F2009" s="1" t="s">
        <v>295</v>
      </c>
      <c r="G2009" s="1" t="s">
        <v>163</v>
      </c>
      <c r="H2009" s="1" t="s">
        <v>1405</v>
      </c>
      <c r="I2009">
        <v>2010</v>
      </c>
      <c r="J2009" s="93">
        <v>7232.57</v>
      </c>
      <c r="K2009">
        <v>11</v>
      </c>
      <c r="L2009" s="1" t="s">
        <v>433</v>
      </c>
      <c r="M2009">
        <v>0</v>
      </c>
      <c r="N2009">
        <v>0</v>
      </c>
      <c r="O2009">
        <v>72325.7</v>
      </c>
      <c r="P2009">
        <v>1</v>
      </c>
      <c r="Q2009" s="1" t="s">
        <v>564</v>
      </c>
      <c r="R2009" s="93">
        <v>10877.31</v>
      </c>
      <c r="S2009">
        <v>2300.34</v>
      </c>
      <c r="T2009">
        <v>1</v>
      </c>
      <c r="U2009" s="1" t="s">
        <v>817</v>
      </c>
      <c r="V2009" s="1"/>
      <c r="W2009">
        <v>669.68308999999999</v>
      </c>
      <c r="X2009">
        <v>0</v>
      </c>
      <c r="Y2009">
        <v>60685</v>
      </c>
    </row>
    <row r="2010" spans="1:25" ht="15" hidden="1" customHeight="1" x14ac:dyDescent="0.25">
      <c r="A2010" s="1" t="s">
        <v>32</v>
      </c>
      <c r="B2010" s="1" t="s">
        <v>68</v>
      </c>
      <c r="C2010" s="1" t="s">
        <v>163</v>
      </c>
      <c r="D2010">
        <v>6031</v>
      </c>
      <c r="E2010" s="1"/>
      <c r="F2010" s="1" t="s">
        <v>295</v>
      </c>
      <c r="G2010" s="1" t="s">
        <v>163</v>
      </c>
      <c r="H2010" s="1" t="s">
        <v>1405</v>
      </c>
      <c r="I2010">
        <v>2009</v>
      </c>
      <c r="J2010" s="93">
        <v>7410.39</v>
      </c>
      <c r="K2010">
        <v>12</v>
      </c>
      <c r="L2010" s="1" t="s">
        <v>433</v>
      </c>
      <c r="M2010">
        <v>0</v>
      </c>
      <c r="N2010">
        <v>0</v>
      </c>
      <c r="O2010">
        <v>74103.899999999994</v>
      </c>
      <c r="P2010">
        <v>1</v>
      </c>
      <c r="Q2010" s="1" t="s">
        <v>562</v>
      </c>
      <c r="R2010" s="93">
        <v>7861.44</v>
      </c>
      <c r="S2010">
        <v>990.53</v>
      </c>
      <c r="T2010">
        <v>1</v>
      </c>
      <c r="U2010" s="1" t="s">
        <v>818</v>
      </c>
      <c r="V2010" s="1"/>
      <c r="W2010">
        <v>7410.3777</v>
      </c>
      <c r="X2010">
        <v>0</v>
      </c>
      <c r="Y2010">
        <v>60630</v>
      </c>
    </row>
    <row r="2011" spans="1:25" ht="15" hidden="1" customHeight="1" x14ac:dyDescent="0.25">
      <c r="A2011" s="1" t="s">
        <v>32</v>
      </c>
      <c r="B2011" s="1" t="s">
        <v>68</v>
      </c>
      <c r="C2011" s="1" t="s">
        <v>163</v>
      </c>
      <c r="D2011">
        <v>6031</v>
      </c>
      <c r="E2011" s="1"/>
      <c r="F2011" s="1" t="s">
        <v>295</v>
      </c>
      <c r="G2011" s="1" t="s">
        <v>163</v>
      </c>
      <c r="H2011" s="1" t="s">
        <v>1405</v>
      </c>
      <c r="I2011">
        <v>2009</v>
      </c>
      <c r="J2011" s="93">
        <v>200189.41</v>
      </c>
      <c r="K2011">
        <v>12</v>
      </c>
      <c r="L2011" s="1" t="s">
        <v>433</v>
      </c>
      <c r="M2011">
        <v>0</v>
      </c>
      <c r="N2011">
        <v>0</v>
      </c>
      <c r="O2011">
        <v>2001894.1</v>
      </c>
      <c r="P2011">
        <v>1</v>
      </c>
      <c r="Q2011" s="1" t="s">
        <v>565</v>
      </c>
      <c r="R2011" s="93">
        <v>222199.14</v>
      </c>
      <c r="S2011">
        <v>27997.11</v>
      </c>
      <c r="T2011">
        <v>1</v>
      </c>
      <c r="U2011" s="1" t="s">
        <v>819</v>
      </c>
      <c r="V2011" s="1"/>
      <c r="W2011">
        <v>200.18941000000001</v>
      </c>
      <c r="X2011">
        <v>0</v>
      </c>
      <c r="Y2011">
        <v>60628</v>
      </c>
    </row>
    <row r="2012" spans="1:25" ht="15" hidden="1" customHeight="1" x14ac:dyDescent="0.25">
      <c r="A2012" s="1" t="s">
        <v>32</v>
      </c>
      <c r="B2012" s="1" t="s">
        <v>68</v>
      </c>
      <c r="C2012" s="1" t="s">
        <v>163</v>
      </c>
      <c r="D2012">
        <v>6031</v>
      </c>
      <c r="E2012" s="1"/>
      <c r="F2012" s="1" t="s">
        <v>295</v>
      </c>
      <c r="G2012" s="1" t="s">
        <v>163</v>
      </c>
      <c r="H2012" s="1" t="s">
        <v>1405</v>
      </c>
      <c r="I2012">
        <v>2009</v>
      </c>
      <c r="J2012" s="93">
        <v>78841.69</v>
      </c>
      <c r="K2012">
        <v>12</v>
      </c>
      <c r="L2012" s="1" t="s">
        <v>433</v>
      </c>
      <c r="M2012">
        <v>0</v>
      </c>
      <c r="N2012">
        <v>0</v>
      </c>
      <c r="O2012">
        <v>788416.9</v>
      </c>
      <c r="P2012">
        <v>1</v>
      </c>
      <c r="Q2012" s="1" t="s">
        <v>562</v>
      </c>
      <c r="R2012" s="93">
        <v>93361.85</v>
      </c>
      <c r="S2012">
        <v>11763.58</v>
      </c>
      <c r="T2012">
        <v>1</v>
      </c>
      <c r="U2012" s="1" t="s">
        <v>816</v>
      </c>
      <c r="V2012" s="1"/>
      <c r="W2012">
        <v>78841.688850000006</v>
      </c>
      <c r="X2012">
        <v>0</v>
      </c>
      <c r="Y2012">
        <v>60629</v>
      </c>
    </row>
    <row r="2013" spans="1:25" ht="15" hidden="1" customHeight="1" x14ac:dyDescent="0.25">
      <c r="A2013" s="1" t="s">
        <v>32</v>
      </c>
      <c r="B2013" s="1" t="s">
        <v>68</v>
      </c>
      <c r="C2013" s="1" t="s">
        <v>163</v>
      </c>
      <c r="D2013">
        <v>6031</v>
      </c>
      <c r="E2013" s="1"/>
      <c r="F2013" s="1" t="s">
        <v>295</v>
      </c>
      <c r="G2013" s="1" t="s">
        <v>163</v>
      </c>
      <c r="H2013" s="1" t="s">
        <v>1405</v>
      </c>
      <c r="I2013">
        <v>2009</v>
      </c>
      <c r="J2013" s="93">
        <v>13554.09</v>
      </c>
      <c r="K2013">
        <v>12</v>
      </c>
      <c r="L2013" s="1" t="s">
        <v>433</v>
      </c>
      <c r="M2013">
        <v>0</v>
      </c>
      <c r="N2013">
        <v>0</v>
      </c>
      <c r="O2013">
        <v>135540.9</v>
      </c>
      <c r="P2013">
        <v>1</v>
      </c>
      <c r="Q2013" s="1" t="s">
        <v>564</v>
      </c>
      <c r="R2013" s="93">
        <v>20172.43</v>
      </c>
      <c r="S2013">
        <v>4266.09</v>
      </c>
      <c r="T2013">
        <v>1</v>
      </c>
      <c r="U2013" s="1" t="s">
        <v>817</v>
      </c>
      <c r="V2013" s="1"/>
      <c r="W2013">
        <v>1255.0089700000001</v>
      </c>
      <c r="X2013">
        <v>0</v>
      </c>
      <c r="Y2013">
        <v>60685</v>
      </c>
    </row>
    <row r="2014" spans="1:25" ht="15" hidden="1" customHeight="1" x14ac:dyDescent="0.25">
      <c r="A2014" s="1" t="s">
        <v>32</v>
      </c>
      <c r="B2014" s="1" t="s">
        <v>68</v>
      </c>
      <c r="C2014" s="1" t="s">
        <v>163</v>
      </c>
      <c r="D2014">
        <v>6031</v>
      </c>
      <c r="E2014" s="1"/>
      <c r="F2014" s="1" t="s">
        <v>295</v>
      </c>
      <c r="G2014" s="1" t="s">
        <v>163</v>
      </c>
      <c r="H2014" s="1" t="s">
        <v>1405</v>
      </c>
      <c r="I2014">
        <v>2008</v>
      </c>
      <c r="J2014" s="93">
        <v>58968.24</v>
      </c>
      <c r="K2014">
        <v>12</v>
      </c>
      <c r="L2014" s="1" t="s">
        <v>433</v>
      </c>
      <c r="M2014">
        <v>0</v>
      </c>
      <c r="N2014">
        <v>0</v>
      </c>
      <c r="O2014">
        <v>589682.4</v>
      </c>
      <c r="P2014">
        <v>1</v>
      </c>
      <c r="Q2014" s="1" t="s">
        <v>562</v>
      </c>
      <c r="R2014" s="93">
        <v>67768.350000000006</v>
      </c>
      <c r="S2014">
        <v>8538.83</v>
      </c>
      <c r="T2014">
        <v>1</v>
      </c>
      <c r="U2014" s="1" t="s">
        <v>816</v>
      </c>
      <c r="V2014" s="1"/>
      <c r="W2014">
        <v>58968.238140000001</v>
      </c>
      <c r="X2014">
        <v>0</v>
      </c>
      <c r="Y2014">
        <v>60629</v>
      </c>
    </row>
    <row r="2015" spans="1:25" ht="15" hidden="1" customHeight="1" x14ac:dyDescent="0.25">
      <c r="A2015" s="1" t="s">
        <v>32</v>
      </c>
      <c r="B2015" s="1" t="s">
        <v>68</v>
      </c>
      <c r="C2015" s="1" t="s">
        <v>163</v>
      </c>
      <c r="D2015">
        <v>6031</v>
      </c>
      <c r="E2015" s="1"/>
      <c r="F2015" s="1" t="s">
        <v>295</v>
      </c>
      <c r="G2015" s="1" t="s">
        <v>163</v>
      </c>
      <c r="H2015" s="1" t="s">
        <v>1405</v>
      </c>
      <c r="I2015">
        <v>2008</v>
      </c>
      <c r="J2015" s="93">
        <v>3336.41</v>
      </c>
      <c r="K2015">
        <v>12</v>
      </c>
      <c r="L2015" s="1" t="s">
        <v>433</v>
      </c>
      <c r="M2015">
        <v>0</v>
      </c>
      <c r="N2015">
        <v>0</v>
      </c>
      <c r="O2015">
        <v>33364.1</v>
      </c>
      <c r="P2015">
        <v>1</v>
      </c>
      <c r="Q2015" s="1" t="s">
        <v>562</v>
      </c>
      <c r="R2015" s="93">
        <v>3987.42</v>
      </c>
      <c r="S2015">
        <v>502.42</v>
      </c>
      <c r="T2015">
        <v>1</v>
      </c>
      <c r="U2015" s="1" t="s">
        <v>818</v>
      </c>
      <c r="V2015" s="1"/>
      <c r="W2015">
        <v>3336.4117700000002</v>
      </c>
      <c r="X2015">
        <v>0</v>
      </c>
      <c r="Y2015">
        <v>60630</v>
      </c>
    </row>
    <row r="2016" spans="1:25" ht="15" hidden="1" customHeight="1" x14ac:dyDescent="0.25">
      <c r="A2016" s="1" t="s">
        <v>32</v>
      </c>
      <c r="B2016" s="1" t="s">
        <v>68</v>
      </c>
      <c r="C2016" s="1" t="s">
        <v>163</v>
      </c>
      <c r="D2016">
        <v>6031</v>
      </c>
      <c r="E2016" s="1"/>
      <c r="F2016" s="1" t="s">
        <v>295</v>
      </c>
      <c r="G2016" s="1" t="s">
        <v>163</v>
      </c>
      <c r="H2016" s="1" t="s">
        <v>1405</v>
      </c>
      <c r="I2016">
        <v>2008</v>
      </c>
      <c r="J2016" s="93">
        <v>184738.35</v>
      </c>
      <c r="K2016">
        <v>12</v>
      </c>
      <c r="L2016" s="1" t="s">
        <v>433</v>
      </c>
      <c r="M2016">
        <v>0</v>
      </c>
      <c r="N2016">
        <v>0</v>
      </c>
      <c r="O2016">
        <v>1847383.5</v>
      </c>
      <c r="P2016">
        <v>1</v>
      </c>
      <c r="Q2016" s="1" t="s">
        <v>565</v>
      </c>
      <c r="R2016" s="93">
        <v>212817.23</v>
      </c>
      <c r="S2016">
        <v>26814.97</v>
      </c>
      <c r="T2016">
        <v>1</v>
      </c>
      <c r="U2016" s="1" t="s">
        <v>819</v>
      </c>
      <c r="V2016" s="1"/>
      <c r="W2016">
        <v>184.73835</v>
      </c>
      <c r="X2016">
        <v>0</v>
      </c>
      <c r="Y2016">
        <v>60628</v>
      </c>
    </row>
    <row r="2017" spans="1:25" ht="15" hidden="1" customHeight="1" x14ac:dyDescent="0.25">
      <c r="A2017" s="1" t="s">
        <v>32</v>
      </c>
      <c r="B2017" s="1" t="s">
        <v>68</v>
      </c>
      <c r="C2017" s="1" t="s">
        <v>163</v>
      </c>
      <c r="D2017">
        <v>6031</v>
      </c>
      <c r="E2017" s="1"/>
      <c r="F2017" s="1" t="s">
        <v>295</v>
      </c>
      <c r="G2017" s="1" t="s">
        <v>163</v>
      </c>
      <c r="H2017" s="1" t="s">
        <v>1405</v>
      </c>
      <c r="I2017">
        <v>2008</v>
      </c>
      <c r="J2017" s="93">
        <v>4207.37</v>
      </c>
      <c r="K2017">
        <v>12</v>
      </c>
      <c r="L2017" s="1" t="s">
        <v>433</v>
      </c>
      <c r="M2017">
        <v>0</v>
      </c>
      <c r="N2017">
        <v>0</v>
      </c>
      <c r="O2017">
        <v>42073.7</v>
      </c>
      <c r="P2017">
        <v>1</v>
      </c>
      <c r="Q2017" s="1" t="s">
        <v>564</v>
      </c>
      <c r="R2017" s="93">
        <v>4655.5</v>
      </c>
      <c r="S2017">
        <v>984.55</v>
      </c>
      <c r="T2017">
        <v>1</v>
      </c>
      <c r="U2017" s="1" t="s">
        <v>817</v>
      </c>
      <c r="V2017" s="1"/>
      <c r="W2017">
        <v>389.57191</v>
      </c>
      <c r="X2017">
        <v>0</v>
      </c>
      <c r="Y2017">
        <v>60685</v>
      </c>
    </row>
    <row r="2018" spans="1:25" ht="15" hidden="1" customHeight="1" x14ac:dyDescent="0.25">
      <c r="A2018" s="1" t="s">
        <v>32</v>
      </c>
      <c r="B2018" s="1"/>
      <c r="C2018" s="1" t="s">
        <v>164</v>
      </c>
      <c r="D2018">
        <v>10207</v>
      </c>
      <c r="E2018" s="1"/>
      <c r="F2018" s="1" t="s">
        <v>296</v>
      </c>
      <c r="G2018" s="1" t="s">
        <v>164</v>
      </c>
      <c r="H2018" s="1" t="s">
        <v>1405</v>
      </c>
      <c r="I2018">
        <v>2015</v>
      </c>
      <c r="J2018" s="93">
        <v>51160</v>
      </c>
      <c r="K2018">
        <v>5</v>
      </c>
      <c r="L2018" s="1" t="s">
        <v>399</v>
      </c>
      <c r="M2018">
        <v>0</v>
      </c>
      <c r="N2018">
        <v>505</v>
      </c>
      <c r="O2018">
        <v>67.361768999999995</v>
      </c>
      <c r="P2018">
        <v>1</v>
      </c>
      <c r="Q2018" s="1" t="s">
        <v>564</v>
      </c>
      <c r="R2018" s="93">
        <v>59152</v>
      </c>
      <c r="S2018">
        <v>8069.37</v>
      </c>
      <c r="T2018">
        <v>0</v>
      </c>
      <c r="U2018" s="1" t="s">
        <v>820</v>
      </c>
      <c r="V2018" s="1" t="s">
        <v>1209</v>
      </c>
      <c r="W2018">
        <v>3150.41</v>
      </c>
      <c r="X2018">
        <v>0</v>
      </c>
      <c r="Y2018">
        <v>77402</v>
      </c>
    </row>
    <row r="2019" spans="1:25" ht="15" hidden="1" customHeight="1" x14ac:dyDescent="0.25">
      <c r="A2019" s="1" t="s">
        <v>32</v>
      </c>
      <c r="B2019" s="1"/>
      <c r="C2019" s="1" t="s">
        <v>164</v>
      </c>
      <c r="D2019">
        <v>10207</v>
      </c>
      <c r="E2019" s="1"/>
      <c r="F2019" s="1" t="s">
        <v>296</v>
      </c>
      <c r="G2019" s="1" t="s">
        <v>164</v>
      </c>
      <c r="H2019" s="1" t="s">
        <v>1405</v>
      </c>
      <c r="I2019">
        <v>2013</v>
      </c>
      <c r="J2019" s="93">
        <v>74438.009999999995</v>
      </c>
      <c r="K2019">
        <v>12</v>
      </c>
      <c r="L2019" s="1" t="s">
        <v>399</v>
      </c>
      <c r="M2019">
        <v>0</v>
      </c>
      <c r="N2019">
        <v>505</v>
      </c>
      <c r="O2019">
        <v>147.372817</v>
      </c>
      <c r="P2019">
        <v>1</v>
      </c>
      <c r="Q2019" s="1" t="s">
        <v>564</v>
      </c>
      <c r="R2019" s="93">
        <v>77736.39</v>
      </c>
      <c r="S2019">
        <v>16439.82</v>
      </c>
      <c r="T2019">
        <v>0</v>
      </c>
      <c r="U2019" s="1" t="s">
        <v>820</v>
      </c>
      <c r="V2019" s="1" t="s">
        <v>1209</v>
      </c>
      <c r="W2019">
        <v>6892.41</v>
      </c>
      <c r="X2019">
        <v>0</v>
      </c>
      <c r="Y2019">
        <v>77402</v>
      </c>
    </row>
    <row r="2020" spans="1:25" ht="15" hidden="1" customHeight="1" x14ac:dyDescent="0.25">
      <c r="A2020" s="1" t="s">
        <v>32</v>
      </c>
      <c r="B2020" s="1"/>
      <c r="C2020" s="1" t="s">
        <v>164</v>
      </c>
      <c r="D2020">
        <v>10207</v>
      </c>
      <c r="E2020" s="1"/>
      <c r="F2020" s="1" t="s">
        <v>296</v>
      </c>
      <c r="G2020" s="1" t="s">
        <v>164</v>
      </c>
      <c r="H2020" s="1" t="s">
        <v>1405</v>
      </c>
      <c r="I2020">
        <v>2012</v>
      </c>
      <c r="J2020" s="93">
        <v>90262.61</v>
      </c>
      <c r="K2020">
        <v>12</v>
      </c>
      <c r="L2020" s="1" t="s">
        <v>399</v>
      </c>
      <c r="M2020">
        <v>0</v>
      </c>
      <c r="N2020">
        <v>505</v>
      </c>
      <c r="O2020">
        <v>178.70245399999999</v>
      </c>
      <c r="P2020">
        <v>1</v>
      </c>
      <c r="Q2020" s="1" t="s">
        <v>564</v>
      </c>
      <c r="R2020" s="93">
        <v>94315.31</v>
      </c>
      <c r="S2020">
        <v>19945.97</v>
      </c>
      <c r="T2020">
        <v>0</v>
      </c>
      <c r="U2020" s="1" t="s">
        <v>820</v>
      </c>
      <c r="V2020" s="1" t="s">
        <v>1209</v>
      </c>
      <c r="W2020">
        <v>8357.65</v>
      </c>
      <c r="X2020">
        <v>0</v>
      </c>
      <c r="Y2020">
        <v>77402</v>
      </c>
    </row>
    <row r="2021" spans="1:25" ht="15" hidden="1" customHeight="1" x14ac:dyDescent="0.25">
      <c r="A2021" s="1" t="s">
        <v>32</v>
      </c>
      <c r="B2021" s="1"/>
      <c r="C2021" s="1" t="s">
        <v>164</v>
      </c>
      <c r="D2021">
        <v>10207</v>
      </c>
      <c r="E2021" s="1"/>
      <c r="F2021" s="1" t="s">
        <v>296</v>
      </c>
      <c r="G2021" s="1" t="s">
        <v>164</v>
      </c>
      <c r="H2021" s="1" t="s">
        <v>1405</v>
      </c>
      <c r="I2021">
        <v>2011</v>
      </c>
      <c r="J2021" s="93">
        <v>75706.259999999995</v>
      </c>
      <c r="K2021">
        <v>2</v>
      </c>
      <c r="L2021" s="1" t="s">
        <v>399</v>
      </c>
      <c r="M2021">
        <v>0</v>
      </c>
      <c r="N2021">
        <v>505</v>
      </c>
      <c r="O2021">
        <v>149.88370599999999</v>
      </c>
      <c r="P2021">
        <v>1</v>
      </c>
      <c r="Q2021" s="1" t="s">
        <v>564</v>
      </c>
      <c r="R2021" s="93">
        <v>88464.65</v>
      </c>
      <c r="S2021">
        <v>18708.63</v>
      </c>
      <c r="T2021">
        <v>0</v>
      </c>
      <c r="U2021" s="1" t="s">
        <v>820</v>
      </c>
      <c r="V2021" s="1" t="s">
        <v>1209</v>
      </c>
      <c r="W2021">
        <v>7009.8386099999998</v>
      </c>
      <c r="X2021">
        <v>0</v>
      </c>
      <c r="Y2021">
        <v>77402</v>
      </c>
    </row>
    <row r="2022" spans="1:25" ht="15" hidden="1" customHeight="1" x14ac:dyDescent="0.25">
      <c r="A2022" s="1" t="s">
        <v>32</v>
      </c>
      <c r="B2022" s="1"/>
      <c r="C2022" s="1" t="s">
        <v>164</v>
      </c>
      <c r="D2022">
        <v>10207</v>
      </c>
      <c r="E2022" s="1"/>
      <c r="F2022" s="1" t="s">
        <v>296</v>
      </c>
      <c r="G2022" s="1" t="s">
        <v>164</v>
      </c>
      <c r="H2022" s="1" t="s">
        <v>1405</v>
      </c>
      <c r="I2022">
        <v>2010</v>
      </c>
      <c r="J2022" s="93">
        <v>93370.96</v>
      </c>
      <c r="K2022">
        <v>2</v>
      </c>
      <c r="L2022" s="1" t="s">
        <v>399</v>
      </c>
      <c r="M2022">
        <v>0</v>
      </c>
      <c r="N2022">
        <v>505</v>
      </c>
      <c r="O2022">
        <v>184.85638399999999</v>
      </c>
      <c r="P2022">
        <v>1</v>
      </c>
      <c r="Q2022" s="1" t="s">
        <v>564</v>
      </c>
      <c r="R2022" s="93">
        <v>123519.85</v>
      </c>
      <c r="S2022">
        <v>26122.15</v>
      </c>
      <c r="T2022">
        <v>0</v>
      </c>
      <c r="U2022" s="1" t="s">
        <v>820</v>
      </c>
      <c r="V2022" s="1" t="s">
        <v>1209</v>
      </c>
      <c r="W2022">
        <v>8645.4579799999992</v>
      </c>
      <c r="X2022">
        <v>0</v>
      </c>
      <c r="Y2022">
        <v>77402</v>
      </c>
    </row>
    <row r="2023" spans="1:25" ht="15" hidden="1" customHeight="1" x14ac:dyDescent="0.25">
      <c r="A2023" s="1" t="s">
        <v>32</v>
      </c>
      <c r="B2023" s="1"/>
      <c r="C2023" s="1" t="s">
        <v>164</v>
      </c>
      <c r="D2023">
        <v>10207</v>
      </c>
      <c r="E2023" s="1"/>
      <c r="F2023" s="1" t="s">
        <v>296</v>
      </c>
      <c r="G2023" s="1" t="s">
        <v>164</v>
      </c>
      <c r="H2023" s="1" t="s">
        <v>1405</v>
      </c>
      <c r="I2023">
        <v>2009</v>
      </c>
      <c r="J2023" s="93">
        <v>81765.89</v>
      </c>
      <c r="K2023">
        <v>1</v>
      </c>
      <c r="L2023" s="1" t="s">
        <v>399</v>
      </c>
      <c r="M2023">
        <v>0</v>
      </c>
      <c r="N2023">
        <v>505</v>
      </c>
      <c r="O2023">
        <v>161.88059699999999</v>
      </c>
      <c r="P2023">
        <v>1</v>
      </c>
      <c r="Q2023" s="1" t="s">
        <v>564</v>
      </c>
      <c r="R2023" s="93">
        <v>117265.51</v>
      </c>
      <c r="S2023">
        <v>24799.49</v>
      </c>
      <c r="T2023">
        <v>0</v>
      </c>
      <c r="U2023" s="1" t="s">
        <v>820</v>
      </c>
      <c r="V2023" s="1" t="s">
        <v>1209</v>
      </c>
      <c r="W2023">
        <v>7570.9198299999998</v>
      </c>
      <c r="X2023">
        <v>0</v>
      </c>
      <c r="Y2023">
        <v>77402</v>
      </c>
    </row>
    <row r="2024" spans="1:25" ht="15" hidden="1" customHeight="1" x14ac:dyDescent="0.25">
      <c r="A2024" s="1" t="s">
        <v>32</v>
      </c>
      <c r="B2024" s="1"/>
      <c r="C2024" s="1" t="s">
        <v>164</v>
      </c>
      <c r="D2024">
        <v>10207</v>
      </c>
      <c r="E2024" s="1"/>
      <c r="F2024" s="1" t="s">
        <v>296</v>
      </c>
      <c r="G2024" s="1" t="s">
        <v>164</v>
      </c>
      <c r="H2024" s="1" t="s">
        <v>1405</v>
      </c>
      <c r="I2024">
        <v>2008</v>
      </c>
      <c r="J2024" s="93">
        <v>73036.990000000005</v>
      </c>
      <c r="K2024">
        <v>5</v>
      </c>
      <c r="L2024" s="1" t="s">
        <v>399</v>
      </c>
      <c r="M2024">
        <v>0</v>
      </c>
      <c r="N2024">
        <v>505</v>
      </c>
      <c r="O2024">
        <v>144.59906899999999</v>
      </c>
      <c r="P2024">
        <v>1</v>
      </c>
      <c r="Q2024" s="1" t="s">
        <v>564</v>
      </c>
      <c r="R2024" s="93">
        <v>86384.01</v>
      </c>
      <c r="S2024">
        <v>18268.61</v>
      </c>
      <c r="T2024">
        <v>0</v>
      </c>
      <c r="U2024" s="1" t="s">
        <v>820</v>
      </c>
      <c r="V2024" s="1" t="s">
        <v>1209</v>
      </c>
      <c r="W2024">
        <v>6762.6846999999998</v>
      </c>
      <c r="X2024">
        <v>0</v>
      </c>
      <c r="Y2024">
        <v>77402</v>
      </c>
    </row>
    <row r="2025" spans="1:25" ht="15" hidden="1" customHeight="1" x14ac:dyDescent="0.25">
      <c r="A2025" s="1" t="s">
        <v>32</v>
      </c>
      <c r="B2025" s="1"/>
      <c r="C2025" s="1" t="s">
        <v>165</v>
      </c>
      <c r="D2025">
        <v>10204</v>
      </c>
      <c r="E2025" s="1"/>
      <c r="F2025" s="1" t="s">
        <v>297</v>
      </c>
      <c r="G2025" s="1" t="s">
        <v>165</v>
      </c>
      <c r="H2025" s="1" t="s">
        <v>1405</v>
      </c>
      <c r="I2025">
        <v>2015</v>
      </c>
      <c r="J2025" s="93">
        <v>46988</v>
      </c>
      <c r="K2025">
        <v>5</v>
      </c>
      <c r="L2025" s="1" t="s">
        <v>486</v>
      </c>
      <c r="M2025">
        <v>0</v>
      </c>
      <c r="N2025">
        <v>445</v>
      </c>
      <c r="O2025">
        <v>58.387462999999997</v>
      </c>
      <c r="P2025">
        <v>1</v>
      </c>
      <c r="Q2025" s="1" t="s">
        <v>564</v>
      </c>
      <c r="R2025" s="93">
        <v>53036</v>
      </c>
      <c r="S2025">
        <v>6126.16</v>
      </c>
      <c r="T2025">
        <v>0</v>
      </c>
      <c r="U2025" s="1" t="s">
        <v>821</v>
      </c>
      <c r="V2025" s="1" t="s">
        <v>1210</v>
      </c>
      <c r="W2025">
        <v>2406.3200000000002</v>
      </c>
      <c r="X2025">
        <v>0</v>
      </c>
      <c r="Y2025">
        <v>77388</v>
      </c>
    </row>
    <row r="2026" spans="1:25" ht="15" hidden="1" customHeight="1" x14ac:dyDescent="0.25">
      <c r="A2026" s="1" t="s">
        <v>32</v>
      </c>
      <c r="B2026" s="1"/>
      <c r="C2026" s="1" t="s">
        <v>165</v>
      </c>
      <c r="D2026">
        <v>10204</v>
      </c>
      <c r="E2026" s="1"/>
      <c r="F2026" s="1" t="s">
        <v>297</v>
      </c>
      <c r="G2026" s="1" t="s">
        <v>165</v>
      </c>
      <c r="H2026" s="1" t="s">
        <v>1405</v>
      </c>
      <c r="I2026">
        <v>2013</v>
      </c>
      <c r="J2026" s="93">
        <v>52063.87</v>
      </c>
      <c r="K2026">
        <v>12</v>
      </c>
      <c r="L2026" s="1" t="s">
        <v>486</v>
      </c>
      <c r="M2026">
        <v>0</v>
      </c>
      <c r="N2026">
        <v>445</v>
      </c>
      <c r="O2026">
        <v>116.971175</v>
      </c>
      <c r="P2026">
        <v>1</v>
      </c>
      <c r="Q2026" s="1" t="s">
        <v>564</v>
      </c>
      <c r="R2026" s="93">
        <v>54584.52</v>
      </c>
      <c r="S2026">
        <v>11543.63</v>
      </c>
      <c r="T2026">
        <v>0</v>
      </c>
      <c r="U2026" s="1" t="s">
        <v>821</v>
      </c>
      <c r="V2026" s="1" t="s">
        <v>1210</v>
      </c>
      <c r="W2026">
        <v>4820.7299999999996</v>
      </c>
      <c r="X2026">
        <v>0</v>
      </c>
      <c r="Y2026">
        <v>77388</v>
      </c>
    </row>
    <row r="2027" spans="1:25" ht="15" hidden="1" customHeight="1" x14ac:dyDescent="0.25">
      <c r="A2027" s="1" t="s">
        <v>32</v>
      </c>
      <c r="B2027" s="1"/>
      <c r="C2027" s="1" t="s">
        <v>165</v>
      </c>
      <c r="D2027">
        <v>10204</v>
      </c>
      <c r="E2027" s="1"/>
      <c r="F2027" s="1" t="s">
        <v>297</v>
      </c>
      <c r="G2027" s="1" t="s">
        <v>165</v>
      </c>
      <c r="H2027" s="1" t="s">
        <v>1405</v>
      </c>
      <c r="I2027">
        <v>2012</v>
      </c>
      <c r="J2027" s="93">
        <v>54163.62</v>
      </c>
      <c r="K2027">
        <v>12</v>
      </c>
      <c r="L2027" s="1" t="s">
        <v>486</v>
      </c>
      <c r="M2027">
        <v>0</v>
      </c>
      <c r="N2027">
        <v>445</v>
      </c>
      <c r="O2027">
        <v>121.688654</v>
      </c>
      <c r="P2027">
        <v>1</v>
      </c>
      <c r="Q2027" s="1" t="s">
        <v>564</v>
      </c>
      <c r="R2027" s="93">
        <v>56625.23</v>
      </c>
      <c r="S2027">
        <v>11975.18</v>
      </c>
      <c r="T2027">
        <v>0</v>
      </c>
      <c r="U2027" s="1" t="s">
        <v>821</v>
      </c>
      <c r="V2027" s="1" t="s">
        <v>1210</v>
      </c>
      <c r="W2027">
        <v>5015.1499999999996</v>
      </c>
      <c r="X2027">
        <v>0</v>
      </c>
      <c r="Y2027">
        <v>77388</v>
      </c>
    </row>
    <row r="2028" spans="1:25" ht="15" hidden="1" customHeight="1" x14ac:dyDescent="0.25">
      <c r="A2028" s="1" t="s">
        <v>32</v>
      </c>
      <c r="B2028" s="1"/>
      <c r="C2028" s="1" t="s">
        <v>165</v>
      </c>
      <c r="D2028">
        <v>10204</v>
      </c>
      <c r="E2028" s="1"/>
      <c r="F2028" s="1" t="s">
        <v>297</v>
      </c>
      <c r="G2028" s="1" t="s">
        <v>165</v>
      </c>
      <c r="H2028" s="1" t="s">
        <v>1405</v>
      </c>
      <c r="I2028">
        <v>2011</v>
      </c>
      <c r="J2028" s="93">
        <v>55424.36</v>
      </c>
      <c r="K2028">
        <v>12</v>
      </c>
      <c r="L2028" s="1" t="s">
        <v>486</v>
      </c>
      <c r="M2028">
        <v>0</v>
      </c>
      <c r="N2028">
        <v>445</v>
      </c>
      <c r="O2028">
        <v>124.521141</v>
      </c>
      <c r="P2028">
        <v>1</v>
      </c>
      <c r="Q2028" s="1" t="s">
        <v>564</v>
      </c>
      <c r="R2028" s="93">
        <v>61726.81</v>
      </c>
      <c r="S2028">
        <v>13054.08</v>
      </c>
      <c r="T2028">
        <v>0</v>
      </c>
      <c r="U2028" s="1" t="s">
        <v>821</v>
      </c>
      <c r="V2028" s="1" t="s">
        <v>1210</v>
      </c>
      <c r="W2028">
        <v>5131.8851800000002</v>
      </c>
      <c r="X2028">
        <v>0</v>
      </c>
      <c r="Y2028">
        <v>77388</v>
      </c>
    </row>
    <row r="2029" spans="1:25" ht="15" hidden="1" customHeight="1" x14ac:dyDescent="0.25">
      <c r="A2029" s="1" t="s">
        <v>32</v>
      </c>
      <c r="B2029" s="1"/>
      <c r="C2029" s="1" t="s">
        <v>165</v>
      </c>
      <c r="D2029">
        <v>10204</v>
      </c>
      <c r="E2029" s="1"/>
      <c r="F2029" s="1" t="s">
        <v>297</v>
      </c>
      <c r="G2029" s="1" t="s">
        <v>165</v>
      </c>
      <c r="H2029" s="1" t="s">
        <v>1405</v>
      </c>
      <c r="I2029">
        <v>2010</v>
      </c>
      <c r="J2029" s="93">
        <v>69154.539999999994</v>
      </c>
      <c r="K2029">
        <v>2</v>
      </c>
      <c r="L2029" s="1" t="s">
        <v>486</v>
      </c>
      <c r="M2029">
        <v>0</v>
      </c>
      <c r="N2029">
        <v>445</v>
      </c>
      <c r="O2029">
        <v>155.36854600000001</v>
      </c>
      <c r="P2029">
        <v>1</v>
      </c>
      <c r="Q2029" s="1" t="s">
        <v>564</v>
      </c>
      <c r="R2029" s="93">
        <v>89659.7</v>
      </c>
      <c r="S2029">
        <v>18961.37</v>
      </c>
      <c r="T2029">
        <v>0</v>
      </c>
      <c r="U2029" s="1" t="s">
        <v>821</v>
      </c>
      <c r="V2029" s="1" t="s">
        <v>1210</v>
      </c>
      <c r="W2029">
        <v>6403.1975000000002</v>
      </c>
      <c r="X2029">
        <v>0</v>
      </c>
      <c r="Y2029">
        <v>77388</v>
      </c>
    </row>
    <row r="2030" spans="1:25" ht="15" hidden="1" customHeight="1" x14ac:dyDescent="0.25">
      <c r="A2030" s="1" t="s">
        <v>32</v>
      </c>
      <c r="B2030" s="1"/>
      <c r="C2030" s="1" t="s">
        <v>165</v>
      </c>
      <c r="D2030">
        <v>10204</v>
      </c>
      <c r="E2030" s="1"/>
      <c r="F2030" s="1" t="s">
        <v>297</v>
      </c>
      <c r="G2030" s="1" t="s">
        <v>165</v>
      </c>
      <c r="H2030" s="1" t="s">
        <v>1405</v>
      </c>
      <c r="I2030">
        <v>2009</v>
      </c>
      <c r="J2030" s="93">
        <v>78009.320000000007</v>
      </c>
      <c r="K2030">
        <v>1</v>
      </c>
      <c r="L2030" s="1" t="s">
        <v>486</v>
      </c>
      <c r="M2030">
        <v>0</v>
      </c>
      <c r="N2030">
        <v>445</v>
      </c>
      <c r="O2030">
        <v>175.26245700000001</v>
      </c>
      <c r="P2030">
        <v>1</v>
      </c>
      <c r="Q2030" s="1" t="s">
        <v>564</v>
      </c>
      <c r="R2030" s="93">
        <v>111873.94</v>
      </c>
      <c r="S2030">
        <v>23659.279999999999</v>
      </c>
      <c r="T2030">
        <v>0</v>
      </c>
      <c r="U2030" s="1" t="s">
        <v>821</v>
      </c>
      <c r="V2030" s="1" t="s">
        <v>1210</v>
      </c>
      <c r="W2030">
        <v>7223.0839400000004</v>
      </c>
      <c r="X2030">
        <v>0</v>
      </c>
      <c r="Y2030">
        <v>77388</v>
      </c>
    </row>
    <row r="2031" spans="1:25" ht="15" hidden="1" customHeight="1" x14ac:dyDescent="0.25">
      <c r="A2031" s="1" t="s">
        <v>32</v>
      </c>
      <c r="B2031" s="1"/>
      <c r="C2031" s="1" t="s">
        <v>165</v>
      </c>
      <c r="D2031">
        <v>10204</v>
      </c>
      <c r="E2031" s="1"/>
      <c r="F2031" s="1" t="s">
        <v>297</v>
      </c>
      <c r="G2031" s="1" t="s">
        <v>165</v>
      </c>
      <c r="H2031" s="1" t="s">
        <v>1405</v>
      </c>
      <c r="I2031">
        <v>2008</v>
      </c>
      <c r="J2031" s="93">
        <v>68155.429999999993</v>
      </c>
      <c r="K2031">
        <v>5</v>
      </c>
      <c r="L2031" s="1" t="s">
        <v>486</v>
      </c>
      <c r="M2031">
        <v>0</v>
      </c>
      <c r="N2031">
        <v>445</v>
      </c>
      <c r="O2031">
        <v>153.12385900000001</v>
      </c>
      <c r="P2031">
        <v>1</v>
      </c>
      <c r="Q2031" s="1" t="s">
        <v>564</v>
      </c>
      <c r="R2031" s="93">
        <v>79426.490000000005</v>
      </c>
      <c r="S2031">
        <v>16797.23</v>
      </c>
      <c r="T2031">
        <v>0</v>
      </c>
      <c r="U2031" s="1" t="s">
        <v>821</v>
      </c>
      <c r="V2031" s="1" t="s">
        <v>1210</v>
      </c>
      <c r="W2031">
        <v>6310.6871600000004</v>
      </c>
      <c r="X2031">
        <v>0</v>
      </c>
      <c r="Y2031">
        <v>77388</v>
      </c>
    </row>
    <row r="2032" spans="1:25" ht="15" hidden="1" customHeight="1" x14ac:dyDescent="0.25">
      <c r="A2032" s="1" t="s">
        <v>32</v>
      </c>
      <c r="B2032" s="1" t="s">
        <v>69</v>
      </c>
      <c r="C2032" s="1" t="s">
        <v>166</v>
      </c>
      <c r="D2032">
        <v>13664</v>
      </c>
      <c r="E2032" s="1" t="s">
        <v>243</v>
      </c>
      <c r="F2032" s="1" t="s">
        <v>298</v>
      </c>
      <c r="G2032" s="1" t="s">
        <v>166</v>
      </c>
      <c r="H2032" s="1" t="s">
        <v>1405</v>
      </c>
      <c r="I2032">
        <v>2015</v>
      </c>
      <c r="J2032" s="93">
        <v>28064</v>
      </c>
      <c r="K2032">
        <v>5</v>
      </c>
      <c r="L2032" s="1" t="s">
        <v>422</v>
      </c>
      <c r="M2032">
        <v>0</v>
      </c>
      <c r="N2032">
        <v>138</v>
      </c>
      <c r="O2032">
        <v>112.631788</v>
      </c>
      <c r="P2032">
        <v>1</v>
      </c>
      <c r="Q2032" s="1" t="s">
        <v>566</v>
      </c>
      <c r="R2032" s="93">
        <v>32232</v>
      </c>
      <c r="S2032">
        <v>3609.78</v>
      </c>
      <c r="T2032">
        <v>0</v>
      </c>
      <c r="U2032" s="1" t="s">
        <v>822</v>
      </c>
      <c r="V2032" s="1" t="s">
        <v>1211</v>
      </c>
      <c r="W2032">
        <v>1388.79</v>
      </c>
      <c r="X2032">
        <v>0</v>
      </c>
      <c r="Y2032">
        <v>92671</v>
      </c>
    </row>
    <row r="2033" spans="1:25" ht="15" hidden="1" customHeight="1" x14ac:dyDescent="0.25">
      <c r="A2033" s="1" t="s">
        <v>32</v>
      </c>
      <c r="B2033" s="1" t="s">
        <v>69</v>
      </c>
      <c r="C2033" s="1" t="s">
        <v>166</v>
      </c>
      <c r="D2033">
        <v>13664</v>
      </c>
      <c r="E2033" s="1" t="s">
        <v>243</v>
      </c>
      <c r="F2033" s="1" t="s">
        <v>298</v>
      </c>
      <c r="G2033" s="1" t="s">
        <v>166</v>
      </c>
      <c r="H2033" s="1" t="s">
        <v>1405</v>
      </c>
      <c r="I2033">
        <v>2013</v>
      </c>
      <c r="J2033" s="93">
        <v>25646.43</v>
      </c>
      <c r="K2033">
        <v>5</v>
      </c>
      <c r="L2033" s="1" t="s">
        <v>422</v>
      </c>
      <c r="M2033">
        <v>0</v>
      </c>
      <c r="N2033">
        <v>138</v>
      </c>
      <c r="O2033">
        <v>185.70912300000001</v>
      </c>
      <c r="P2033">
        <v>1</v>
      </c>
      <c r="Q2033" s="1" t="s">
        <v>566</v>
      </c>
      <c r="R2033" s="93">
        <v>36740.61</v>
      </c>
      <c r="S2033">
        <v>7492.45</v>
      </c>
      <c r="T2033">
        <v>0</v>
      </c>
      <c r="U2033" s="1" t="s">
        <v>822</v>
      </c>
      <c r="V2033" s="1" t="s">
        <v>1211</v>
      </c>
      <c r="W2033">
        <v>2289.8599800000002</v>
      </c>
      <c r="X2033">
        <v>0</v>
      </c>
      <c r="Y2033">
        <v>92671</v>
      </c>
    </row>
    <row r="2034" spans="1:25" ht="15" hidden="1" customHeight="1" x14ac:dyDescent="0.25">
      <c r="A2034" s="1" t="s">
        <v>32</v>
      </c>
      <c r="B2034" s="1" t="s">
        <v>69</v>
      </c>
      <c r="C2034" s="1" t="s">
        <v>166</v>
      </c>
      <c r="D2034">
        <v>13664</v>
      </c>
      <c r="E2034" s="1" t="s">
        <v>243</v>
      </c>
      <c r="F2034" s="1" t="s">
        <v>298</v>
      </c>
      <c r="G2034" s="1" t="s">
        <v>166</v>
      </c>
      <c r="H2034" s="1" t="s">
        <v>1405</v>
      </c>
      <c r="I2034">
        <v>2012</v>
      </c>
      <c r="J2034" s="93">
        <v>30064.48</v>
      </c>
      <c r="K2034">
        <v>1</v>
      </c>
      <c r="L2034" s="1" t="s">
        <v>422</v>
      </c>
      <c r="M2034">
        <v>0</v>
      </c>
      <c r="N2034">
        <v>138</v>
      </c>
      <c r="O2034">
        <v>217.700796</v>
      </c>
      <c r="P2034">
        <v>1</v>
      </c>
      <c r="Q2034" s="1" t="s">
        <v>566</v>
      </c>
      <c r="R2034" s="93">
        <v>33734.78</v>
      </c>
      <c r="S2034">
        <v>6879.47</v>
      </c>
      <c r="T2034">
        <v>0</v>
      </c>
      <c r="U2034" s="1" t="s">
        <v>822</v>
      </c>
      <c r="V2034" s="1" t="s">
        <v>1211</v>
      </c>
      <c r="W2034">
        <v>2684.3290000000002</v>
      </c>
      <c r="X2034">
        <v>0</v>
      </c>
      <c r="Y2034">
        <v>92671</v>
      </c>
    </row>
    <row r="2035" spans="1:25" ht="15" hidden="1" customHeight="1" x14ac:dyDescent="0.25">
      <c r="A2035" s="1" t="s">
        <v>32</v>
      </c>
      <c r="B2035" s="1" t="s">
        <v>69</v>
      </c>
      <c r="C2035" s="1" t="s">
        <v>166</v>
      </c>
      <c r="D2035">
        <v>13664</v>
      </c>
      <c r="E2035" s="1" t="s">
        <v>243</v>
      </c>
      <c r="F2035" s="1" t="s">
        <v>298</v>
      </c>
      <c r="G2035" s="1" t="s">
        <v>166</v>
      </c>
      <c r="H2035" s="1" t="s">
        <v>1405</v>
      </c>
      <c r="I2035">
        <v>2011</v>
      </c>
      <c r="J2035" s="93">
        <v>27546.799999999999</v>
      </c>
      <c r="K2035">
        <v>1</v>
      </c>
      <c r="L2035" s="1" t="s">
        <v>422</v>
      </c>
      <c r="M2035">
        <v>0</v>
      </c>
      <c r="N2035">
        <v>138</v>
      </c>
      <c r="O2035">
        <v>199.46994900000001</v>
      </c>
      <c r="P2035">
        <v>1</v>
      </c>
      <c r="Q2035" s="1" t="s">
        <v>566</v>
      </c>
      <c r="R2035" s="93">
        <v>32914.44</v>
      </c>
      <c r="S2035">
        <v>6712.2</v>
      </c>
      <c r="T2035">
        <v>0</v>
      </c>
      <c r="U2035" s="1" t="s">
        <v>822</v>
      </c>
      <c r="V2035" s="1" t="s">
        <v>1211</v>
      </c>
      <c r="W2035">
        <v>2459.53602</v>
      </c>
      <c r="X2035">
        <v>0</v>
      </c>
      <c r="Y2035">
        <v>92671</v>
      </c>
    </row>
    <row r="2036" spans="1:25" ht="15" hidden="1" customHeight="1" x14ac:dyDescent="0.25">
      <c r="A2036" s="1" t="s">
        <v>32</v>
      </c>
      <c r="B2036" s="1" t="s">
        <v>69</v>
      </c>
      <c r="C2036" s="1" t="s">
        <v>166</v>
      </c>
      <c r="D2036">
        <v>13664</v>
      </c>
      <c r="E2036" s="1" t="s">
        <v>243</v>
      </c>
      <c r="F2036" s="1" t="s">
        <v>298</v>
      </c>
      <c r="G2036" s="1" t="s">
        <v>166</v>
      </c>
      <c r="H2036" s="1" t="s">
        <v>1405</v>
      </c>
      <c r="I2036">
        <v>2010</v>
      </c>
      <c r="J2036" s="93">
        <v>20287.240000000002</v>
      </c>
      <c r="K2036">
        <v>2</v>
      </c>
      <c r="L2036" s="1" t="s">
        <v>422</v>
      </c>
      <c r="M2036">
        <v>0</v>
      </c>
      <c r="N2036">
        <v>138</v>
      </c>
      <c r="O2036">
        <v>146.902534</v>
      </c>
      <c r="P2036">
        <v>1</v>
      </c>
      <c r="Q2036" s="1" t="s">
        <v>566</v>
      </c>
      <c r="R2036" s="93">
        <v>26954.65</v>
      </c>
      <c r="S2036">
        <v>5496.82</v>
      </c>
      <c r="T2036">
        <v>0</v>
      </c>
      <c r="U2036" s="1" t="s">
        <v>822</v>
      </c>
      <c r="V2036" s="1" t="s">
        <v>1211</v>
      </c>
      <c r="W2036">
        <v>1811.36247</v>
      </c>
      <c r="X2036">
        <v>0</v>
      </c>
      <c r="Y2036">
        <v>92671</v>
      </c>
    </row>
    <row r="2037" spans="1:25" ht="15" hidden="1" customHeight="1" x14ac:dyDescent="0.25">
      <c r="A2037" s="1" t="s">
        <v>32</v>
      </c>
      <c r="B2037" s="1" t="s">
        <v>69</v>
      </c>
      <c r="C2037" s="1" t="s">
        <v>166</v>
      </c>
      <c r="D2037">
        <v>13664</v>
      </c>
      <c r="E2037" s="1" t="s">
        <v>243</v>
      </c>
      <c r="F2037" s="1" t="s">
        <v>298</v>
      </c>
      <c r="G2037" s="1" t="s">
        <v>166</v>
      </c>
      <c r="H2037" s="1" t="s">
        <v>1405</v>
      </c>
      <c r="I2037">
        <v>2009</v>
      </c>
      <c r="J2037" s="93">
        <v>25920.43</v>
      </c>
      <c r="K2037">
        <v>1</v>
      </c>
      <c r="L2037" s="1" t="s">
        <v>422</v>
      </c>
      <c r="M2037">
        <v>0</v>
      </c>
      <c r="N2037">
        <v>138</v>
      </c>
      <c r="O2037">
        <v>187.69319300000001</v>
      </c>
      <c r="P2037">
        <v>1</v>
      </c>
      <c r="Q2037" s="1" t="s">
        <v>566</v>
      </c>
      <c r="R2037" s="93">
        <v>36772.99</v>
      </c>
      <c r="S2037">
        <v>7499.06</v>
      </c>
      <c r="T2037">
        <v>0</v>
      </c>
      <c r="U2037" s="1" t="s">
        <v>822</v>
      </c>
      <c r="V2037" s="1" t="s">
        <v>1211</v>
      </c>
      <c r="W2037">
        <v>2314.3224500000001</v>
      </c>
      <c r="X2037">
        <v>0</v>
      </c>
      <c r="Y2037">
        <v>92671</v>
      </c>
    </row>
    <row r="2038" spans="1:25" ht="15" hidden="1" customHeight="1" x14ac:dyDescent="0.25">
      <c r="A2038" s="1" t="s">
        <v>32</v>
      </c>
      <c r="B2038" s="1" t="s">
        <v>69</v>
      </c>
      <c r="C2038" s="1" t="s">
        <v>166</v>
      </c>
      <c r="D2038">
        <v>13664</v>
      </c>
      <c r="E2038" s="1" t="s">
        <v>243</v>
      </c>
      <c r="F2038" s="1" t="s">
        <v>298</v>
      </c>
      <c r="G2038" s="1" t="s">
        <v>166</v>
      </c>
      <c r="H2038" s="1" t="s">
        <v>1405</v>
      </c>
      <c r="I2038">
        <v>2008</v>
      </c>
      <c r="J2038" s="93">
        <v>34224.720000000001</v>
      </c>
      <c r="K2038">
        <v>1</v>
      </c>
      <c r="L2038" s="1" t="s">
        <v>422</v>
      </c>
      <c r="M2038">
        <v>0</v>
      </c>
      <c r="N2038">
        <v>138</v>
      </c>
      <c r="O2038">
        <v>247.82563300000001</v>
      </c>
      <c r="P2038">
        <v>1</v>
      </c>
      <c r="Q2038" s="1" t="s">
        <v>566</v>
      </c>
      <c r="R2038" s="93">
        <v>44480.03</v>
      </c>
      <c r="S2038">
        <v>9070.76</v>
      </c>
      <c r="T2038">
        <v>0</v>
      </c>
      <c r="U2038" s="1" t="s">
        <v>822</v>
      </c>
      <c r="V2038" s="1" t="s">
        <v>1211</v>
      </c>
      <c r="W2038">
        <v>3055.7777000000001</v>
      </c>
      <c r="X2038">
        <v>0</v>
      </c>
      <c r="Y2038">
        <v>92671</v>
      </c>
    </row>
    <row r="2039" spans="1:25" ht="15" hidden="1" customHeight="1" x14ac:dyDescent="0.25">
      <c r="A2039" s="1" t="s">
        <v>32</v>
      </c>
      <c r="B2039" s="1"/>
      <c r="C2039" s="1" t="s">
        <v>167</v>
      </c>
      <c r="D2039">
        <v>10179</v>
      </c>
      <c r="E2039" s="1"/>
      <c r="F2039" s="1" t="s">
        <v>299</v>
      </c>
      <c r="G2039" s="1" t="s">
        <v>167</v>
      </c>
      <c r="H2039" s="1" t="s">
        <v>1405</v>
      </c>
      <c r="I2039">
        <v>2015</v>
      </c>
      <c r="J2039" s="93">
        <v>88223</v>
      </c>
      <c r="K2039">
        <v>5</v>
      </c>
      <c r="L2039" s="1" t="s">
        <v>487</v>
      </c>
      <c r="M2039">
        <v>0</v>
      </c>
      <c r="N2039">
        <v>792</v>
      </c>
      <c r="O2039">
        <v>58.424011999999998</v>
      </c>
      <c r="P2039">
        <v>1</v>
      </c>
      <c r="Q2039" s="1" t="s">
        <v>564</v>
      </c>
      <c r="R2039" s="93">
        <v>101936</v>
      </c>
      <c r="S2039">
        <v>10952.26</v>
      </c>
      <c r="T2039">
        <v>0</v>
      </c>
      <c r="U2039" s="1" t="s">
        <v>823</v>
      </c>
      <c r="V2039" s="1" t="s">
        <v>1212</v>
      </c>
      <c r="W2039">
        <v>4284.97</v>
      </c>
      <c r="X2039">
        <v>0</v>
      </c>
      <c r="Y2039">
        <v>77212</v>
      </c>
    </row>
    <row r="2040" spans="1:25" ht="15" hidden="1" customHeight="1" x14ac:dyDescent="0.25">
      <c r="A2040" s="1" t="s">
        <v>32</v>
      </c>
      <c r="B2040" s="1"/>
      <c r="C2040" s="1" t="s">
        <v>167</v>
      </c>
      <c r="D2040">
        <v>10179</v>
      </c>
      <c r="E2040" s="1"/>
      <c r="F2040" s="1" t="s">
        <v>299</v>
      </c>
      <c r="G2040" s="1" t="s">
        <v>167</v>
      </c>
      <c r="H2040" s="1" t="s">
        <v>1405</v>
      </c>
      <c r="I2040">
        <v>2013</v>
      </c>
      <c r="J2040" s="93">
        <v>105105.61</v>
      </c>
      <c r="K2040">
        <v>12</v>
      </c>
      <c r="L2040" s="1" t="s">
        <v>487</v>
      </c>
      <c r="M2040">
        <v>0</v>
      </c>
      <c r="N2040">
        <v>792</v>
      </c>
      <c r="O2040">
        <v>132.69234900000001</v>
      </c>
      <c r="P2040">
        <v>1</v>
      </c>
      <c r="Q2040" s="1" t="s">
        <v>564</v>
      </c>
      <c r="R2040" s="93">
        <v>110711.82</v>
      </c>
      <c r="S2040">
        <v>23413.48</v>
      </c>
      <c r="T2040">
        <v>0</v>
      </c>
      <c r="U2040" s="1" t="s">
        <v>823</v>
      </c>
      <c r="V2040" s="1" t="s">
        <v>1212</v>
      </c>
      <c r="W2040">
        <v>9732</v>
      </c>
      <c r="X2040">
        <v>0</v>
      </c>
      <c r="Y2040">
        <v>77212</v>
      </c>
    </row>
    <row r="2041" spans="1:25" ht="15" hidden="1" customHeight="1" x14ac:dyDescent="0.25">
      <c r="A2041" s="1" t="s">
        <v>32</v>
      </c>
      <c r="B2041" s="1"/>
      <c r="C2041" s="1" t="s">
        <v>167</v>
      </c>
      <c r="D2041">
        <v>10179</v>
      </c>
      <c r="E2041" s="1"/>
      <c r="F2041" s="1" t="s">
        <v>299</v>
      </c>
      <c r="G2041" s="1" t="s">
        <v>167</v>
      </c>
      <c r="H2041" s="1" t="s">
        <v>1405</v>
      </c>
      <c r="I2041">
        <v>2012</v>
      </c>
      <c r="J2041" s="93">
        <v>111325.86</v>
      </c>
      <c r="K2041">
        <v>12</v>
      </c>
      <c r="L2041" s="1" t="s">
        <v>487</v>
      </c>
      <c r="M2041">
        <v>0</v>
      </c>
      <c r="N2041">
        <v>792</v>
      </c>
      <c r="O2041">
        <v>140.545208</v>
      </c>
      <c r="P2041">
        <v>1</v>
      </c>
      <c r="Q2041" s="1" t="s">
        <v>564</v>
      </c>
      <c r="R2041" s="93">
        <v>116902.64</v>
      </c>
      <c r="S2041">
        <v>24722.76</v>
      </c>
      <c r="T2041">
        <v>0</v>
      </c>
      <c r="U2041" s="1" t="s">
        <v>823</v>
      </c>
      <c r="V2041" s="1" t="s">
        <v>1212</v>
      </c>
      <c r="W2041">
        <v>10307.950000000001</v>
      </c>
      <c r="X2041">
        <v>0</v>
      </c>
      <c r="Y2041">
        <v>77212</v>
      </c>
    </row>
    <row r="2042" spans="1:25" ht="15" hidden="1" customHeight="1" x14ac:dyDescent="0.25">
      <c r="A2042" s="1" t="s">
        <v>32</v>
      </c>
      <c r="B2042" s="1"/>
      <c r="C2042" s="1" t="s">
        <v>167</v>
      </c>
      <c r="D2042">
        <v>10179</v>
      </c>
      <c r="E2042" s="1"/>
      <c r="F2042" s="1" t="s">
        <v>299</v>
      </c>
      <c r="G2042" s="1" t="s">
        <v>167</v>
      </c>
      <c r="H2042" s="1" t="s">
        <v>1405</v>
      </c>
      <c r="I2042">
        <v>2011</v>
      </c>
      <c r="J2042" s="93">
        <v>108722.73</v>
      </c>
      <c r="K2042">
        <v>10</v>
      </c>
      <c r="L2042" s="1" t="s">
        <v>487</v>
      </c>
      <c r="M2042">
        <v>0</v>
      </c>
      <c r="N2042">
        <v>792</v>
      </c>
      <c r="O2042">
        <v>137.25884300000001</v>
      </c>
      <c r="P2042">
        <v>1</v>
      </c>
      <c r="Q2042" s="1" t="s">
        <v>564</v>
      </c>
      <c r="R2042" s="93">
        <v>121396.04</v>
      </c>
      <c r="S2042">
        <v>25673.02</v>
      </c>
      <c r="T2042">
        <v>0</v>
      </c>
      <c r="U2042" s="1" t="s">
        <v>823</v>
      </c>
      <c r="V2042" s="1" t="s">
        <v>1212</v>
      </c>
      <c r="W2042">
        <v>10066.92</v>
      </c>
      <c r="X2042">
        <v>0</v>
      </c>
      <c r="Y2042">
        <v>77212</v>
      </c>
    </row>
    <row r="2043" spans="1:25" ht="15" hidden="1" customHeight="1" x14ac:dyDescent="0.25">
      <c r="A2043" s="1" t="s">
        <v>32</v>
      </c>
      <c r="B2043" s="1"/>
      <c r="C2043" s="1" t="s">
        <v>167</v>
      </c>
      <c r="D2043">
        <v>10179</v>
      </c>
      <c r="E2043" s="1"/>
      <c r="F2043" s="1" t="s">
        <v>299</v>
      </c>
      <c r="G2043" s="1" t="s">
        <v>167</v>
      </c>
      <c r="H2043" s="1" t="s">
        <v>1405</v>
      </c>
      <c r="I2043">
        <v>2010</v>
      </c>
      <c r="J2043" s="93">
        <v>111449.32</v>
      </c>
      <c r="K2043">
        <v>5</v>
      </c>
      <c r="L2043" s="1" t="s">
        <v>487</v>
      </c>
      <c r="M2043">
        <v>0</v>
      </c>
      <c r="N2043">
        <v>792</v>
      </c>
      <c r="O2043">
        <v>140.70107300000001</v>
      </c>
      <c r="P2043">
        <v>1</v>
      </c>
      <c r="Q2043" s="1" t="s">
        <v>564</v>
      </c>
      <c r="R2043" s="93">
        <v>111925.8</v>
      </c>
      <c r="S2043">
        <v>23670.25</v>
      </c>
      <c r="T2043">
        <v>0</v>
      </c>
      <c r="U2043" s="1" t="s">
        <v>823</v>
      </c>
      <c r="V2043" s="1" t="s">
        <v>1212</v>
      </c>
      <c r="W2043">
        <v>10319.380510000001</v>
      </c>
      <c r="X2043">
        <v>0</v>
      </c>
      <c r="Y2043">
        <v>77212</v>
      </c>
    </row>
    <row r="2044" spans="1:25" ht="15" hidden="1" customHeight="1" x14ac:dyDescent="0.25">
      <c r="A2044" s="1" t="s">
        <v>32</v>
      </c>
      <c r="B2044" s="1"/>
      <c r="C2044" s="1" t="s">
        <v>167</v>
      </c>
      <c r="D2044">
        <v>10179</v>
      </c>
      <c r="E2044" s="1"/>
      <c r="F2044" s="1" t="s">
        <v>299</v>
      </c>
      <c r="G2044" s="1" t="s">
        <v>167</v>
      </c>
      <c r="H2044" s="1" t="s">
        <v>1405</v>
      </c>
      <c r="I2044">
        <v>2009</v>
      </c>
      <c r="J2044" s="93">
        <v>143401.43</v>
      </c>
      <c r="K2044">
        <v>2</v>
      </c>
      <c r="L2044" s="1" t="s">
        <v>487</v>
      </c>
      <c r="M2044">
        <v>0</v>
      </c>
      <c r="N2044">
        <v>792</v>
      </c>
      <c r="O2044">
        <v>181.03955300000001</v>
      </c>
      <c r="P2044">
        <v>1</v>
      </c>
      <c r="Q2044" s="1" t="s">
        <v>564</v>
      </c>
      <c r="R2044" s="93">
        <v>199707.63</v>
      </c>
      <c r="S2044">
        <v>42234.47</v>
      </c>
      <c r="T2044">
        <v>0</v>
      </c>
      <c r="U2044" s="1" t="s">
        <v>823</v>
      </c>
      <c r="V2044" s="1" t="s">
        <v>1212</v>
      </c>
      <c r="W2044">
        <v>13277.90674</v>
      </c>
      <c r="X2044">
        <v>0</v>
      </c>
      <c r="Y2044">
        <v>77212</v>
      </c>
    </row>
    <row r="2045" spans="1:25" ht="15" hidden="1" customHeight="1" x14ac:dyDescent="0.25">
      <c r="A2045" s="1" t="s">
        <v>32</v>
      </c>
      <c r="B2045" s="1"/>
      <c r="C2045" s="1" t="s">
        <v>167</v>
      </c>
      <c r="D2045">
        <v>10179</v>
      </c>
      <c r="E2045" s="1"/>
      <c r="F2045" s="1" t="s">
        <v>299</v>
      </c>
      <c r="G2045" s="1" t="s">
        <v>167</v>
      </c>
      <c r="H2045" s="1" t="s">
        <v>1405</v>
      </c>
      <c r="I2045">
        <v>2008</v>
      </c>
      <c r="J2045" s="93">
        <v>115853.83</v>
      </c>
      <c r="K2045">
        <v>5</v>
      </c>
      <c r="L2045" s="1" t="s">
        <v>487</v>
      </c>
      <c r="M2045">
        <v>0</v>
      </c>
      <c r="N2045">
        <v>792</v>
      </c>
      <c r="O2045">
        <v>146.26162099999999</v>
      </c>
      <c r="P2045">
        <v>1</v>
      </c>
      <c r="Q2045" s="1" t="s">
        <v>564</v>
      </c>
      <c r="R2045" s="93">
        <v>135032.91</v>
      </c>
      <c r="S2045">
        <v>28556.95</v>
      </c>
      <c r="T2045">
        <v>0</v>
      </c>
      <c r="U2045" s="1" t="s">
        <v>823</v>
      </c>
      <c r="V2045" s="1" t="s">
        <v>1212</v>
      </c>
      <c r="W2045">
        <v>10727.20721</v>
      </c>
      <c r="X2045">
        <v>0</v>
      </c>
      <c r="Y2045">
        <v>77212</v>
      </c>
    </row>
    <row r="2046" spans="1:25" ht="15" hidden="1" customHeight="1" x14ac:dyDescent="0.25">
      <c r="A2046" s="1" t="s">
        <v>30</v>
      </c>
      <c r="B2046" s="1"/>
      <c r="C2046" s="1" t="s">
        <v>150</v>
      </c>
      <c r="D2046">
        <v>10208</v>
      </c>
      <c r="E2046" s="1"/>
      <c r="F2046" s="1" t="s">
        <v>283</v>
      </c>
      <c r="G2046" s="1" t="s">
        <v>150</v>
      </c>
      <c r="H2046" s="1" t="s">
        <v>1405</v>
      </c>
      <c r="I2046">
        <v>2014</v>
      </c>
      <c r="J2046" s="93">
        <v>62527.45</v>
      </c>
      <c r="K2046">
        <v>12</v>
      </c>
      <c r="L2046" s="1" t="s">
        <v>482</v>
      </c>
      <c r="M2046">
        <v>0</v>
      </c>
      <c r="N2046">
        <v>741</v>
      </c>
      <c r="O2046">
        <v>84.371137000000004</v>
      </c>
      <c r="P2046">
        <v>1</v>
      </c>
      <c r="Q2046" s="1" t="s">
        <v>564</v>
      </c>
      <c r="R2046" s="93">
        <v>74279.58</v>
      </c>
      <c r="S2046">
        <v>15708.74</v>
      </c>
      <c r="T2046">
        <v>0</v>
      </c>
      <c r="U2046" s="1" t="s">
        <v>798</v>
      </c>
      <c r="V2046" s="1" t="s">
        <v>1204</v>
      </c>
      <c r="W2046">
        <v>5789.5778</v>
      </c>
      <c r="X2046">
        <v>0</v>
      </c>
      <c r="Y2046">
        <v>77414</v>
      </c>
    </row>
    <row r="2047" spans="1:25" ht="15" hidden="1" customHeight="1" x14ac:dyDescent="0.25">
      <c r="A2047" s="1" t="s">
        <v>32</v>
      </c>
      <c r="B2047" s="1"/>
      <c r="C2047" s="1" t="s">
        <v>165</v>
      </c>
      <c r="D2047">
        <v>10204</v>
      </c>
      <c r="E2047" s="1"/>
      <c r="F2047" s="1" t="s">
        <v>297</v>
      </c>
      <c r="G2047" s="1" t="s">
        <v>165</v>
      </c>
      <c r="H2047" s="1" t="s">
        <v>1405</v>
      </c>
      <c r="I2047">
        <v>2014</v>
      </c>
      <c r="J2047" s="93">
        <v>162.13</v>
      </c>
      <c r="K2047">
        <v>12</v>
      </c>
      <c r="L2047" s="1" t="s">
        <v>416</v>
      </c>
      <c r="M2047">
        <v>0</v>
      </c>
      <c r="N2047">
        <v>445</v>
      </c>
      <c r="O2047">
        <v>0.364255</v>
      </c>
      <c r="P2047">
        <v>3</v>
      </c>
      <c r="Q2047" s="1" t="s">
        <v>560</v>
      </c>
      <c r="R2047" s="93">
        <v>162.13</v>
      </c>
      <c r="S2047">
        <v>129.71</v>
      </c>
      <c r="T2047">
        <v>0</v>
      </c>
      <c r="U2047" s="1" t="s">
        <v>643</v>
      </c>
      <c r="V2047" s="1"/>
      <c r="W2047">
        <v>162.12200000000001</v>
      </c>
      <c r="X2047">
        <v>0</v>
      </c>
      <c r="Y2047">
        <v>77387</v>
      </c>
    </row>
    <row r="2048" spans="1:25" ht="15" hidden="1" customHeight="1" x14ac:dyDescent="0.25">
      <c r="A2048" s="1" t="s">
        <v>32</v>
      </c>
      <c r="B2048" s="1"/>
      <c r="C2048" s="1" t="s">
        <v>165</v>
      </c>
      <c r="D2048">
        <v>10204</v>
      </c>
      <c r="E2048" s="1"/>
      <c r="F2048" s="1" t="s">
        <v>297</v>
      </c>
      <c r="G2048" s="1" t="s">
        <v>165</v>
      </c>
      <c r="H2048" s="1" t="s">
        <v>1405</v>
      </c>
      <c r="I2048">
        <v>2014</v>
      </c>
      <c r="J2048" s="93">
        <v>11133.04</v>
      </c>
      <c r="K2048">
        <v>12</v>
      </c>
      <c r="L2048" s="1" t="s">
        <v>423</v>
      </c>
      <c r="M2048">
        <v>0</v>
      </c>
      <c r="N2048">
        <v>445</v>
      </c>
      <c r="O2048">
        <v>25.012446000000001</v>
      </c>
      <c r="P2048">
        <v>2</v>
      </c>
      <c r="Q2048" s="1" t="s">
        <v>569</v>
      </c>
      <c r="R2048" s="93">
        <v>11133.04</v>
      </c>
      <c r="S2048">
        <v>3339.9</v>
      </c>
      <c r="T2048">
        <v>0</v>
      </c>
      <c r="U2048" s="1" t="s">
        <v>1026</v>
      </c>
      <c r="V2048" s="1" t="s">
        <v>1302</v>
      </c>
      <c r="W2048">
        <v>11133.040999999999</v>
      </c>
      <c r="X2048">
        <v>0</v>
      </c>
      <c r="Y2048">
        <v>77386</v>
      </c>
    </row>
    <row r="2049" spans="1:25" ht="15" hidden="1" customHeight="1" x14ac:dyDescent="0.25">
      <c r="A2049" s="1" t="s">
        <v>27</v>
      </c>
      <c r="B2049" s="1"/>
      <c r="C2049" s="1" t="s">
        <v>126</v>
      </c>
      <c r="D2049">
        <v>10017</v>
      </c>
      <c r="E2049" s="1"/>
      <c r="F2049" s="1" t="s">
        <v>267</v>
      </c>
      <c r="G2049" s="1" t="s">
        <v>267</v>
      </c>
      <c r="H2049" s="1" t="s">
        <v>1405</v>
      </c>
      <c r="I2049">
        <v>2014</v>
      </c>
      <c r="J2049" s="93">
        <v>64216.79</v>
      </c>
      <c r="K2049">
        <v>12</v>
      </c>
      <c r="L2049" s="1" t="s">
        <v>405</v>
      </c>
      <c r="M2049">
        <v>0</v>
      </c>
      <c r="N2049">
        <v>602</v>
      </c>
      <c r="O2049">
        <v>106.654691</v>
      </c>
      <c r="P2049">
        <v>1</v>
      </c>
      <c r="Q2049" s="1" t="s">
        <v>564</v>
      </c>
      <c r="R2049" s="93">
        <v>76070.320000000007</v>
      </c>
      <c r="S2049">
        <v>16087.47</v>
      </c>
      <c r="T2049">
        <v>0</v>
      </c>
      <c r="U2049" s="1"/>
      <c r="V2049" s="1" t="s">
        <v>1193</v>
      </c>
      <c r="W2049">
        <v>5946</v>
      </c>
      <c r="X2049">
        <v>0</v>
      </c>
      <c r="Y2049">
        <v>76521</v>
      </c>
    </row>
    <row r="2050" spans="1:25" ht="15" hidden="1" customHeight="1" x14ac:dyDescent="0.25">
      <c r="A2050" s="1" t="s">
        <v>32</v>
      </c>
      <c r="B2050" s="1" t="s">
        <v>69</v>
      </c>
      <c r="C2050" s="1" t="s">
        <v>166</v>
      </c>
      <c r="D2050">
        <v>13664</v>
      </c>
      <c r="E2050" s="1" t="s">
        <v>243</v>
      </c>
      <c r="F2050" s="1" t="s">
        <v>298</v>
      </c>
      <c r="G2050" s="1" t="s">
        <v>166</v>
      </c>
      <c r="H2050" s="1" t="s">
        <v>1405</v>
      </c>
      <c r="I2050">
        <v>2014</v>
      </c>
      <c r="J2050" s="93">
        <v>17.37</v>
      </c>
      <c r="K2050">
        <v>12</v>
      </c>
      <c r="L2050" s="1" t="s">
        <v>434</v>
      </c>
      <c r="M2050">
        <v>0</v>
      </c>
      <c r="N2050">
        <v>138</v>
      </c>
      <c r="O2050">
        <v>0.125778</v>
      </c>
      <c r="P2050">
        <v>3</v>
      </c>
      <c r="Q2050" s="1" t="s">
        <v>560</v>
      </c>
      <c r="R2050" s="93">
        <v>17.37</v>
      </c>
      <c r="S2050">
        <v>13.9</v>
      </c>
      <c r="T2050">
        <v>0</v>
      </c>
      <c r="U2050" s="1"/>
      <c r="V2050" s="1"/>
      <c r="W2050">
        <v>17.375</v>
      </c>
      <c r="X2050">
        <v>0</v>
      </c>
      <c r="Y2050">
        <v>91256</v>
      </c>
    </row>
    <row r="2051" spans="1:25" ht="15" hidden="1" customHeight="1" x14ac:dyDescent="0.25">
      <c r="A2051" s="1" t="s">
        <v>32</v>
      </c>
      <c r="B2051" s="1" t="s">
        <v>69</v>
      </c>
      <c r="C2051" s="1" t="s">
        <v>166</v>
      </c>
      <c r="D2051">
        <v>13664</v>
      </c>
      <c r="E2051" s="1" t="s">
        <v>243</v>
      </c>
      <c r="F2051" s="1" t="s">
        <v>298</v>
      </c>
      <c r="G2051" s="1" t="s">
        <v>166</v>
      </c>
      <c r="H2051" s="1" t="s">
        <v>1405</v>
      </c>
      <c r="I2051">
        <v>2014</v>
      </c>
      <c r="J2051" s="93">
        <v>1669.74</v>
      </c>
      <c r="K2051">
        <v>12</v>
      </c>
      <c r="L2051" s="1" t="s">
        <v>422</v>
      </c>
      <c r="M2051">
        <v>0</v>
      </c>
      <c r="N2051">
        <v>138</v>
      </c>
      <c r="O2051">
        <v>12.090802999999999</v>
      </c>
      <c r="P2051">
        <v>2</v>
      </c>
      <c r="Q2051" s="1" t="s">
        <v>569</v>
      </c>
      <c r="R2051" s="93">
        <v>1669.74</v>
      </c>
      <c r="S2051">
        <v>500.93</v>
      </c>
      <c r="T2051">
        <v>0</v>
      </c>
      <c r="U2051" s="1" t="s">
        <v>1027</v>
      </c>
      <c r="V2051" s="1" t="s">
        <v>1303</v>
      </c>
      <c r="W2051">
        <v>1669.748</v>
      </c>
      <c r="X2051">
        <v>0</v>
      </c>
      <c r="Y2051">
        <v>91255</v>
      </c>
    </row>
    <row r="2052" spans="1:25" ht="15" hidden="1" customHeight="1" x14ac:dyDescent="0.25">
      <c r="A2052" s="1" t="s">
        <v>32</v>
      </c>
      <c r="B2052" s="1" t="s">
        <v>67</v>
      </c>
      <c r="C2052" s="1" t="s">
        <v>160</v>
      </c>
      <c r="D2052">
        <v>6354</v>
      </c>
      <c r="E2052" s="1"/>
      <c r="F2052" s="1" t="s">
        <v>293</v>
      </c>
      <c r="G2052" s="1" t="s">
        <v>160</v>
      </c>
      <c r="H2052" s="1" t="s">
        <v>1405</v>
      </c>
      <c r="I2052">
        <v>2015</v>
      </c>
      <c r="J2052" s="93">
        <v>7268</v>
      </c>
      <c r="K2052">
        <v>5</v>
      </c>
      <c r="L2052" s="1" t="s">
        <v>520</v>
      </c>
      <c r="M2052">
        <v>0</v>
      </c>
      <c r="N2052">
        <v>196</v>
      </c>
      <c r="O2052">
        <v>16.669861999999998</v>
      </c>
      <c r="P2052">
        <v>2</v>
      </c>
      <c r="Q2052" s="1" t="s">
        <v>569</v>
      </c>
      <c r="R2052" s="93">
        <v>3268.96</v>
      </c>
      <c r="S2052">
        <v>1307.5899999999999</v>
      </c>
      <c r="T2052">
        <v>0</v>
      </c>
      <c r="U2052" s="1" t="s">
        <v>1016</v>
      </c>
      <c r="V2052" s="1" t="s">
        <v>1295</v>
      </c>
      <c r="W2052">
        <v>3268.9609999999998</v>
      </c>
      <c r="X2052">
        <v>0</v>
      </c>
      <c r="Y2052">
        <v>62635</v>
      </c>
    </row>
    <row r="2053" spans="1:25" ht="15" hidden="1" customHeight="1" x14ac:dyDescent="0.25">
      <c r="A2053" s="1" t="s">
        <v>32</v>
      </c>
      <c r="B2053" s="1" t="s">
        <v>67</v>
      </c>
      <c r="C2053" s="1" t="s">
        <v>160</v>
      </c>
      <c r="D2053">
        <v>6354</v>
      </c>
      <c r="E2053" s="1"/>
      <c r="F2053" s="1" t="s">
        <v>293</v>
      </c>
      <c r="G2053" s="1" t="s">
        <v>160</v>
      </c>
      <c r="H2053" s="1" t="s">
        <v>1405</v>
      </c>
      <c r="I2053">
        <v>2013</v>
      </c>
      <c r="J2053" s="93">
        <v>6766.01</v>
      </c>
      <c r="K2053">
        <v>12</v>
      </c>
      <c r="L2053" s="1" t="s">
        <v>520</v>
      </c>
      <c r="M2053">
        <v>0</v>
      </c>
      <c r="N2053">
        <v>196</v>
      </c>
      <c r="O2053">
        <v>34.502854999999997</v>
      </c>
      <c r="P2053">
        <v>2</v>
      </c>
      <c r="Q2053" s="1" t="s">
        <v>569</v>
      </c>
      <c r="R2053" s="93">
        <v>6766.01</v>
      </c>
      <c r="S2053">
        <v>2706.41</v>
      </c>
      <c r="T2053">
        <v>0</v>
      </c>
      <c r="U2053" s="1" t="s">
        <v>1016</v>
      </c>
      <c r="V2053" s="1" t="s">
        <v>1295</v>
      </c>
      <c r="W2053">
        <v>6766.0219999999999</v>
      </c>
      <c r="X2053">
        <v>0</v>
      </c>
      <c r="Y2053">
        <v>62635</v>
      </c>
    </row>
    <row r="2054" spans="1:25" ht="15" hidden="1" customHeight="1" x14ac:dyDescent="0.25">
      <c r="A2054" s="1" t="s">
        <v>32</v>
      </c>
      <c r="B2054" s="1" t="s">
        <v>67</v>
      </c>
      <c r="C2054" s="1" t="s">
        <v>160</v>
      </c>
      <c r="D2054">
        <v>6354</v>
      </c>
      <c r="E2054" s="1"/>
      <c r="F2054" s="1" t="s">
        <v>293</v>
      </c>
      <c r="G2054" s="1" t="s">
        <v>160</v>
      </c>
      <c r="H2054" s="1" t="s">
        <v>1405</v>
      </c>
      <c r="I2054">
        <v>2012</v>
      </c>
      <c r="J2054" s="93">
        <v>5960.66</v>
      </c>
      <c r="K2054">
        <v>12</v>
      </c>
      <c r="L2054" s="1" t="s">
        <v>520</v>
      </c>
      <c r="M2054">
        <v>0</v>
      </c>
      <c r="N2054">
        <v>196</v>
      </c>
      <c r="O2054">
        <v>30.396021999999999</v>
      </c>
      <c r="P2054">
        <v>2</v>
      </c>
      <c r="Q2054" s="1" t="s">
        <v>569</v>
      </c>
      <c r="R2054" s="93">
        <v>5960.66</v>
      </c>
      <c r="S2054">
        <v>2384.2600000000002</v>
      </c>
      <c r="T2054">
        <v>0</v>
      </c>
      <c r="U2054" s="1" t="s">
        <v>1016</v>
      </c>
      <c r="V2054" s="1" t="s">
        <v>1295</v>
      </c>
      <c r="W2054">
        <v>5960.6679999999997</v>
      </c>
      <c r="X2054">
        <v>0</v>
      </c>
      <c r="Y2054">
        <v>62635</v>
      </c>
    </row>
    <row r="2055" spans="1:25" ht="15" hidden="1" customHeight="1" x14ac:dyDescent="0.25">
      <c r="A2055" s="1" t="s">
        <v>32</v>
      </c>
      <c r="B2055" s="1" t="s">
        <v>67</v>
      </c>
      <c r="C2055" s="1" t="s">
        <v>160</v>
      </c>
      <c r="D2055">
        <v>6354</v>
      </c>
      <c r="E2055" s="1"/>
      <c r="F2055" s="1" t="s">
        <v>293</v>
      </c>
      <c r="G2055" s="1" t="s">
        <v>160</v>
      </c>
      <c r="H2055" s="1" t="s">
        <v>1405</v>
      </c>
      <c r="I2055">
        <v>2011</v>
      </c>
      <c r="J2055" s="93">
        <v>6102.2</v>
      </c>
      <c r="K2055">
        <v>12</v>
      </c>
      <c r="L2055" s="1" t="s">
        <v>520</v>
      </c>
      <c r="M2055">
        <v>0</v>
      </c>
      <c r="N2055">
        <v>196</v>
      </c>
      <c r="O2055">
        <v>31.117796999999999</v>
      </c>
      <c r="P2055">
        <v>2</v>
      </c>
      <c r="Q2055" s="1" t="s">
        <v>569</v>
      </c>
      <c r="R2055" s="93">
        <v>6102.2</v>
      </c>
      <c r="S2055">
        <v>2861.92</v>
      </c>
      <c r="T2055">
        <v>0</v>
      </c>
      <c r="U2055" s="1" t="s">
        <v>1016</v>
      </c>
      <c r="V2055" s="1" t="s">
        <v>1295</v>
      </c>
      <c r="W2055">
        <v>6102.2021199999999</v>
      </c>
      <c r="X2055">
        <v>0</v>
      </c>
      <c r="Y2055">
        <v>62635</v>
      </c>
    </row>
    <row r="2056" spans="1:25" ht="15" hidden="1" customHeight="1" x14ac:dyDescent="0.25">
      <c r="A2056" s="1" t="s">
        <v>32</v>
      </c>
      <c r="B2056" s="1" t="s">
        <v>67</v>
      </c>
      <c r="C2056" s="1" t="s">
        <v>160</v>
      </c>
      <c r="D2056">
        <v>6354</v>
      </c>
      <c r="E2056" s="1"/>
      <c r="F2056" s="1" t="s">
        <v>293</v>
      </c>
      <c r="G2056" s="1" t="s">
        <v>160</v>
      </c>
      <c r="H2056" s="1" t="s">
        <v>1405</v>
      </c>
      <c r="I2056">
        <v>2010</v>
      </c>
      <c r="J2056" s="93">
        <v>6134.42</v>
      </c>
      <c r="K2056">
        <v>4</v>
      </c>
      <c r="L2056" s="1" t="s">
        <v>520</v>
      </c>
      <c r="M2056">
        <v>0</v>
      </c>
      <c r="N2056">
        <v>196</v>
      </c>
      <c r="O2056">
        <v>31.2821</v>
      </c>
      <c r="P2056">
        <v>2</v>
      </c>
      <c r="Q2056" s="1" t="s">
        <v>569</v>
      </c>
      <c r="R2056" s="93">
        <v>6134.42</v>
      </c>
      <c r="S2056">
        <v>2877.05</v>
      </c>
      <c r="T2056">
        <v>0</v>
      </c>
      <c r="U2056" s="1" t="s">
        <v>1016</v>
      </c>
      <c r="V2056" s="1" t="s">
        <v>1295</v>
      </c>
      <c r="W2056">
        <v>6134.42328</v>
      </c>
      <c r="X2056">
        <v>0</v>
      </c>
      <c r="Y2056">
        <v>62635</v>
      </c>
    </row>
    <row r="2057" spans="1:25" ht="15" hidden="1" customHeight="1" x14ac:dyDescent="0.25">
      <c r="A2057" s="1" t="s">
        <v>32</v>
      </c>
      <c r="B2057" s="1" t="s">
        <v>67</v>
      </c>
      <c r="C2057" s="1" t="s">
        <v>160</v>
      </c>
      <c r="D2057">
        <v>6354</v>
      </c>
      <c r="E2057" s="1"/>
      <c r="F2057" s="1" t="s">
        <v>293</v>
      </c>
      <c r="G2057" s="1" t="s">
        <v>160</v>
      </c>
      <c r="H2057" s="1" t="s">
        <v>1405</v>
      </c>
      <c r="I2057">
        <v>2009</v>
      </c>
      <c r="J2057" s="93">
        <v>6590.91</v>
      </c>
      <c r="K2057">
        <v>6</v>
      </c>
      <c r="L2057" s="1" t="s">
        <v>520</v>
      </c>
      <c r="M2057">
        <v>0</v>
      </c>
      <c r="N2057">
        <v>196</v>
      </c>
      <c r="O2057">
        <v>33.609943000000001</v>
      </c>
      <c r="P2057">
        <v>2</v>
      </c>
      <c r="Q2057" s="1" t="s">
        <v>569</v>
      </c>
      <c r="R2057" s="93">
        <v>6590.91</v>
      </c>
      <c r="S2057">
        <v>3091.15</v>
      </c>
      <c r="T2057">
        <v>0</v>
      </c>
      <c r="U2057" s="1" t="s">
        <v>1016</v>
      </c>
      <c r="V2057" s="1" t="s">
        <v>1295</v>
      </c>
      <c r="W2057">
        <v>6590.9388499999995</v>
      </c>
      <c r="X2057">
        <v>0</v>
      </c>
      <c r="Y2057">
        <v>62635</v>
      </c>
    </row>
    <row r="2058" spans="1:25" ht="15" hidden="1" customHeight="1" x14ac:dyDescent="0.25">
      <c r="A2058" s="1" t="s">
        <v>32</v>
      </c>
      <c r="B2058" s="1" t="s">
        <v>67</v>
      </c>
      <c r="C2058" s="1" t="s">
        <v>160</v>
      </c>
      <c r="D2058">
        <v>6354</v>
      </c>
      <c r="E2058" s="1"/>
      <c r="F2058" s="1" t="s">
        <v>293</v>
      </c>
      <c r="G2058" s="1" t="s">
        <v>160</v>
      </c>
      <c r="H2058" s="1" t="s">
        <v>1405</v>
      </c>
      <c r="I2058">
        <v>2008</v>
      </c>
      <c r="J2058" s="93">
        <v>7183.1</v>
      </c>
      <c r="K2058">
        <v>12</v>
      </c>
      <c r="L2058" s="1" t="s">
        <v>520</v>
      </c>
      <c r="M2058">
        <v>0</v>
      </c>
      <c r="N2058">
        <v>196</v>
      </c>
      <c r="O2058">
        <v>36.629779999999997</v>
      </c>
      <c r="P2058">
        <v>2</v>
      </c>
      <c r="Q2058" s="1" t="s">
        <v>569</v>
      </c>
      <c r="R2058" s="93">
        <v>7183.1</v>
      </c>
      <c r="S2058">
        <v>3368.88</v>
      </c>
      <c r="T2058">
        <v>0</v>
      </c>
      <c r="U2058" s="1" t="s">
        <v>1016</v>
      </c>
      <c r="V2058" s="1" t="s">
        <v>1295</v>
      </c>
      <c r="W2058">
        <v>7183.0937599999997</v>
      </c>
      <c r="X2058">
        <v>0</v>
      </c>
      <c r="Y2058">
        <v>62635</v>
      </c>
    </row>
    <row r="2059" spans="1:25" ht="15" hidden="1" customHeight="1" x14ac:dyDescent="0.25">
      <c r="A2059" s="1" t="s">
        <v>32</v>
      </c>
      <c r="B2059" s="1"/>
      <c r="C2059" s="1" t="s">
        <v>161</v>
      </c>
      <c r="D2059">
        <v>12292</v>
      </c>
      <c r="E2059" s="1" t="s">
        <v>243</v>
      </c>
      <c r="F2059" s="1" t="s">
        <v>161</v>
      </c>
      <c r="G2059" s="1" t="s">
        <v>161</v>
      </c>
      <c r="H2059" s="1" t="s">
        <v>1405</v>
      </c>
      <c r="I2059">
        <v>2015</v>
      </c>
      <c r="J2059" s="93">
        <v>8133</v>
      </c>
      <c r="K2059">
        <v>5</v>
      </c>
      <c r="L2059" s="1" t="s">
        <v>441</v>
      </c>
      <c r="M2059">
        <v>0</v>
      </c>
      <c r="N2059">
        <v>68</v>
      </c>
      <c r="O2059">
        <v>71.116885999999994</v>
      </c>
      <c r="P2059">
        <v>2</v>
      </c>
      <c r="Q2059" s="1" t="s">
        <v>569</v>
      </c>
      <c r="R2059" s="93">
        <v>4843.0600000000004</v>
      </c>
      <c r="S2059">
        <v>1452.92</v>
      </c>
      <c r="T2059">
        <v>0</v>
      </c>
      <c r="U2059" s="1" t="s">
        <v>1017</v>
      </c>
      <c r="V2059" s="1" t="s">
        <v>1296</v>
      </c>
      <c r="W2059">
        <v>4843.0540000000001</v>
      </c>
      <c r="X2059">
        <v>0</v>
      </c>
      <c r="Y2059">
        <v>84119</v>
      </c>
    </row>
    <row r="2060" spans="1:25" ht="15" hidden="1" customHeight="1" x14ac:dyDescent="0.25">
      <c r="A2060" s="1" t="s">
        <v>32</v>
      </c>
      <c r="B2060" s="1"/>
      <c r="C2060" s="1" t="s">
        <v>161</v>
      </c>
      <c r="D2060">
        <v>12292</v>
      </c>
      <c r="E2060" s="1" t="s">
        <v>243</v>
      </c>
      <c r="F2060" s="1" t="s">
        <v>161</v>
      </c>
      <c r="G2060" s="1" t="s">
        <v>161</v>
      </c>
      <c r="H2060" s="1" t="s">
        <v>1405</v>
      </c>
      <c r="I2060">
        <v>2013</v>
      </c>
      <c r="J2060" s="93">
        <v>9048.2099999999991</v>
      </c>
      <c r="K2060">
        <v>11</v>
      </c>
      <c r="L2060" s="1" t="s">
        <v>441</v>
      </c>
      <c r="M2060">
        <v>0</v>
      </c>
      <c r="N2060">
        <v>68</v>
      </c>
      <c r="O2060">
        <v>132.86651900000001</v>
      </c>
      <c r="P2060">
        <v>2</v>
      </c>
      <c r="Q2060" s="1" t="s">
        <v>569</v>
      </c>
      <c r="R2060" s="93">
        <v>9048.2099999999991</v>
      </c>
      <c r="S2060">
        <v>2714.48</v>
      </c>
      <c r="T2060">
        <v>0</v>
      </c>
      <c r="U2060" s="1" t="s">
        <v>1017</v>
      </c>
      <c r="V2060" s="1" t="s">
        <v>1296</v>
      </c>
      <c r="W2060">
        <v>9048.2127799999998</v>
      </c>
      <c r="X2060">
        <v>0</v>
      </c>
      <c r="Y2060">
        <v>84119</v>
      </c>
    </row>
    <row r="2061" spans="1:25" ht="15" hidden="1" customHeight="1" x14ac:dyDescent="0.25">
      <c r="A2061" s="1" t="s">
        <v>32</v>
      </c>
      <c r="B2061" s="1"/>
      <c r="C2061" s="1" t="s">
        <v>161</v>
      </c>
      <c r="D2061">
        <v>12292</v>
      </c>
      <c r="E2061" s="1" t="s">
        <v>243</v>
      </c>
      <c r="F2061" s="1" t="s">
        <v>161</v>
      </c>
      <c r="G2061" s="1" t="s">
        <v>161</v>
      </c>
      <c r="H2061" s="1" t="s">
        <v>1405</v>
      </c>
      <c r="I2061">
        <v>2012</v>
      </c>
      <c r="J2061" s="93">
        <v>12460.45</v>
      </c>
      <c r="K2061">
        <v>6</v>
      </c>
      <c r="L2061" s="1" t="s">
        <v>441</v>
      </c>
      <c r="M2061">
        <v>0</v>
      </c>
      <c r="N2061">
        <v>68</v>
      </c>
      <c r="O2061">
        <v>182.97283400000001</v>
      </c>
      <c r="P2061">
        <v>2</v>
      </c>
      <c r="Q2061" s="1" t="s">
        <v>569</v>
      </c>
      <c r="R2061" s="93">
        <v>12460.45</v>
      </c>
      <c r="S2061">
        <v>4984.18</v>
      </c>
      <c r="T2061">
        <v>0</v>
      </c>
      <c r="U2061" s="1" t="s">
        <v>1017</v>
      </c>
      <c r="V2061" s="1" t="s">
        <v>1296</v>
      </c>
      <c r="W2061">
        <v>12460.453890000001</v>
      </c>
      <c r="X2061">
        <v>0</v>
      </c>
      <c r="Y2061">
        <v>84119</v>
      </c>
    </row>
    <row r="2062" spans="1:25" ht="15" hidden="1" customHeight="1" x14ac:dyDescent="0.25">
      <c r="A2062" s="1" t="s">
        <v>32</v>
      </c>
      <c r="B2062" s="1"/>
      <c r="C2062" s="1" t="s">
        <v>161</v>
      </c>
      <c r="D2062">
        <v>12292</v>
      </c>
      <c r="E2062" s="1" t="s">
        <v>243</v>
      </c>
      <c r="F2062" s="1" t="s">
        <v>161</v>
      </c>
      <c r="G2062" s="1" t="s">
        <v>161</v>
      </c>
      <c r="H2062" s="1" t="s">
        <v>1405</v>
      </c>
      <c r="I2062">
        <v>2011</v>
      </c>
      <c r="J2062" s="93">
        <v>4718.93</v>
      </c>
      <c r="K2062">
        <v>4</v>
      </c>
      <c r="L2062" s="1" t="s">
        <v>441</v>
      </c>
      <c r="M2062">
        <v>0</v>
      </c>
      <c r="N2062">
        <v>68</v>
      </c>
      <c r="O2062">
        <v>69.294126000000006</v>
      </c>
      <c r="P2062">
        <v>2</v>
      </c>
      <c r="Q2062" s="1" t="s">
        <v>569</v>
      </c>
      <c r="R2062" s="93">
        <v>4718.93</v>
      </c>
      <c r="S2062">
        <v>2213.17</v>
      </c>
      <c r="T2062">
        <v>0</v>
      </c>
      <c r="U2062" s="1" t="s">
        <v>1017</v>
      </c>
      <c r="V2062" s="1" t="s">
        <v>1296</v>
      </c>
      <c r="W2062">
        <v>4718.9348399999999</v>
      </c>
      <c r="X2062">
        <v>0</v>
      </c>
      <c r="Y2062">
        <v>84119</v>
      </c>
    </row>
    <row r="2063" spans="1:25" ht="15" hidden="1" customHeight="1" x14ac:dyDescent="0.25">
      <c r="A2063" s="1" t="s">
        <v>32</v>
      </c>
      <c r="B2063" s="1"/>
      <c r="C2063" s="1" t="s">
        <v>161</v>
      </c>
      <c r="D2063">
        <v>12292</v>
      </c>
      <c r="E2063" s="1" t="s">
        <v>243</v>
      </c>
      <c r="F2063" s="1" t="s">
        <v>161</v>
      </c>
      <c r="G2063" s="1" t="s">
        <v>161</v>
      </c>
      <c r="H2063" s="1" t="s">
        <v>1405</v>
      </c>
      <c r="I2063">
        <v>2010</v>
      </c>
      <c r="J2063" s="93">
        <v>4880.3900000000003</v>
      </c>
      <c r="K2063">
        <v>3</v>
      </c>
      <c r="L2063" s="1" t="s">
        <v>441</v>
      </c>
      <c r="M2063">
        <v>0</v>
      </c>
      <c r="N2063">
        <v>68</v>
      </c>
      <c r="O2063">
        <v>71.665051000000005</v>
      </c>
      <c r="P2063">
        <v>2</v>
      </c>
      <c r="Q2063" s="1" t="s">
        <v>569</v>
      </c>
      <c r="R2063" s="93">
        <v>4880.3900000000003</v>
      </c>
      <c r="S2063">
        <v>2288.9</v>
      </c>
      <c r="T2063">
        <v>0</v>
      </c>
      <c r="U2063" s="1" t="s">
        <v>1017</v>
      </c>
      <c r="V2063" s="1" t="s">
        <v>1296</v>
      </c>
      <c r="W2063">
        <v>4880.3984899999996</v>
      </c>
      <c r="X2063">
        <v>0</v>
      </c>
      <c r="Y2063">
        <v>84119</v>
      </c>
    </row>
    <row r="2064" spans="1:25" ht="15" hidden="1" customHeight="1" x14ac:dyDescent="0.25">
      <c r="A2064" s="1" t="s">
        <v>32</v>
      </c>
      <c r="B2064" s="1"/>
      <c r="C2064" s="1" t="s">
        <v>162</v>
      </c>
      <c r="D2064">
        <v>10231</v>
      </c>
      <c r="E2064" s="1"/>
      <c r="F2064" s="1" t="s">
        <v>294</v>
      </c>
      <c r="G2064" s="1" t="s">
        <v>162</v>
      </c>
      <c r="H2064" s="1" t="s">
        <v>1405</v>
      </c>
      <c r="I2064">
        <v>2015</v>
      </c>
      <c r="J2064" s="93">
        <v>4668</v>
      </c>
      <c r="K2064">
        <v>5</v>
      </c>
      <c r="L2064" s="1" t="s">
        <v>432</v>
      </c>
      <c r="M2064">
        <v>0</v>
      </c>
      <c r="N2064">
        <v>449</v>
      </c>
      <c r="O2064">
        <v>4.5107989999999996</v>
      </c>
      <c r="P2064">
        <v>2</v>
      </c>
      <c r="Q2064" s="1" t="s">
        <v>569</v>
      </c>
      <c r="R2064" s="93">
        <v>2025.8</v>
      </c>
      <c r="S2064">
        <v>607.74</v>
      </c>
      <c r="T2064">
        <v>0</v>
      </c>
      <c r="U2064" s="1" t="s">
        <v>1018</v>
      </c>
      <c r="V2064" s="1" t="s">
        <v>1297</v>
      </c>
      <c r="W2064">
        <v>2025.8030000000001</v>
      </c>
      <c r="X2064">
        <v>0</v>
      </c>
      <c r="Y2064">
        <v>77506</v>
      </c>
    </row>
    <row r="2065" spans="1:25" ht="15" hidden="1" customHeight="1" x14ac:dyDescent="0.25">
      <c r="A2065" s="1" t="s">
        <v>32</v>
      </c>
      <c r="B2065" s="1"/>
      <c r="C2065" s="1" t="s">
        <v>162</v>
      </c>
      <c r="D2065">
        <v>10231</v>
      </c>
      <c r="E2065" s="1"/>
      <c r="F2065" s="1" t="s">
        <v>294</v>
      </c>
      <c r="G2065" s="1" t="s">
        <v>162</v>
      </c>
      <c r="H2065" s="1" t="s">
        <v>1405</v>
      </c>
      <c r="I2065">
        <v>2013</v>
      </c>
      <c r="J2065" s="93">
        <v>6620.39</v>
      </c>
      <c r="K2065">
        <v>12</v>
      </c>
      <c r="L2065" s="1" t="s">
        <v>432</v>
      </c>
      <c r="M2065">
        <v>0</v>
      </c>
      <c r="N2065">
        <v>449</v>
      </c>
      <c r="O2065">
        <v>14.74146</v>
      </c>
      <c r="P2065">
        <v>2</v>
      </c>
      <c r="Q2065" s="1" t="s">
        <v>569</v>
      </c>
      <c r="R2065" s="93">
        <v>6620.39</v>
      </c>
      <c r="S2065">
        <v>1986.14</v>
      </c>
      <c r="T2065">
        <v>0</v>
      </c>
      <c r="U2065" s="1" t="s">
        <v>1018</v>
      </c>
      <c r="V2065" s="1" t="s">
        <v>1297</v>
      </c>
      <c r="W2065">
        <v>6620.4009999999998</v>
      </c>
      <c r="X2065">
        <v>0</v>
      </c>
      <c r="Y2065">
        <v>77506</v>
      </c>
    </row>
    <row r="2066" spans="1:25" ht="15" hidden="1" customHeight="1" x14ac:dyDescent="0.25">
      <c r="A2066" s="1" t="s">
        <v>32</v>
      </c>
      <c r="B2066" s="1"/>
      <c r="C2066" s="1" t="s">
        <v>162</v>
      </c>
      <c r="D2066">
        <v>10231</v>
      </c>
      <c r="E2066" s="1"/>
      <c r="F2066" s="1" t="s">
        <v>294</v>
      </c>
      <c r="G2066" s="1" t="s">
        <v>162</v>
      </c>
      <c r="H2066" s="1" t="s">
        <v>1405</v>
      </c>
      <c r="I2066">
        <v>2012</v>
      </c>
      <c r="J2066" s="93">
        <v>4783.41</v>
      </c>
      <c r="K2066">
        <v>12</v>
      </c>
      <c r="L2066" s="1" t="s">
        <v>432</v>
      </c>
      <c r="M2066">
        <v>0</v>
      </c>
      <c r="N2066">
        <v>449</v>
      </c>
      <c r="O2066">
        <v>10.651102</v>
      </c>
      <c r="P2066">
        <v>2</v>
      </c>
      <c r="Q2066" s="1" t="s">
        <v>569</v>
      </c>
      <c r="R2066" s="93">
        <v>4783.41</v>
      </c>
      <c r="S2066">
        <v>1913.37</v>
      </c>
      <c r="T2066">
        <v>0</v>
      </c>
      <c r="U2066" s="1" t="s">
        <v>1018</v>
      </c>
      <c r="V2066" s="1" t="s">
        <v>1297</v>
      </c>
      <c r="W2066">
        <v>4783.4179999999997</v>
      </c>
      <c r="X2066">
        <v>0</v>
      </c>
      <c r="Y2066">
        <v>77506</v>
      </c>
    </row>
    <row r="2067" spans="1:25" ht="15" hidden="1" customHeight="1" x14ac:dyDescent="0.25">
      <c r="A2067" s="1" t="s">
        <v>32</v>
      </c>
      <c r="B2067" s="1"/>
      <c r="C2067" s="1" t="s">
        <v>162</v>
      </c>
      <c r="D2067">
        <v>10231</v>
      </c>
      <c r="E2067" s="1"/>
      <c r="F2067" s="1" t="s">
        <v>294</v>
      </c>
      <c r="G2067" s="1" t="s">
        <v>162</v>
      </c>
      <c r="H2067" s="1" t="s">
        <v>1405</v>
      </c>
      <c r="I2067">
        <v>2011</v>
      </c>
      <c r="J2067" s="93">
        <v>6203.08</v>
      </c>
      <c r="K2067">
        <v>13</v>
      </c>
      <c r="L2067" s="1" t="s">
        <v>432</v>
      </c>
      <c r="M2067">
        <v>0</v>
      </c>
      <c r="N2067">
        <v>449</v>
      </c>
      <c r="O2067">
        <v>13.812246</v>
      </c>
      <c r="P2067">
        <v>2</v>
      </c>
      <c r="Q2067" s="1" t="s">
        <v>569</v>
      </c>
      <c r="R2067" s="93">
        <v>6203.08</v>
      </c>
      <c r="S2067">
        <v>2909.24</v>
      </c>
      <c r="T2067">
        <v>0</v>
      </c>
      <c r="U2067" s="1" t="s">
        <v>1018</v>
      </c>
      <c r="V2067" s="1" t="s">
        <v>1297</v>
      </c>
      <c r="W2067">
        <v>6203.07665</v>
      </c>
      <c r="X2067">
        <v>0</v>
      </c>
      <c r="Y2067">
        <v>77506</v>
      </c>
    </row>
    <row r="2068" spans="1:25" ht="15" hidden="1" customHeight="1" x14ac:dyDescent="0.25">
      <c r="A2068" s="1" t="s">
        <v>32</v>
      </c>
      <c r="B2068" s="1"/>
      <c r="C2068" s="1" t="s">
        <v>162</v>
      </c>
      <c r="D2068">
        <v>10231</v>
      </c>
      <c r="E2068" s="1"/>
      <c r="F2068" s="1" t="s">
        <v>294</v>
      </c>
      <c r="G2068" s="1" t="s">
        <v>162</v>
      </c>
      <c r="H2068" s="1" t="s">
        <v>1405</v>
      </c>
      <c r="I2068">
        <v>2010</v>
      </c>
      <c r="J2068" s="93">
        <v>6522.85</v>
      </c>
      <c r="K2068">
        <v>12</v>
      </c>
      <c r="L2068" s="1" t="s">
        <v>432</v>
      </c>
      <c r="M2068">
        <v>0</v>
      </c>
      <c r="N2068">
        <v>449</v>
      </c>
      <c r="O2068">
        <v>14.52427</v>
      </c>
      <c r="P2068">
        <v>2</v>
      </c>
      <c r="Q2068" s="1" t="s">
        <v>569</v>
      </c>
      <c r="R2068" s="93">
        <v>6522.85</v>
      </c>
      <c r="S2068">
        <v>3059.21</v>
      </c>
      <c r="T2068">
        <v>0</v>
      </c>
      <c r="U2068" s="1" t="s">
        <v>1018</v>
      </c>
      <c r="V2068" s="1" t="s">
        <v>1297</v>
      </c>
      <c r="W2068">
        <v>6522.8476199999996</v>
      </c>
      <c r="X2068">
        <v>0</v>
      </c>
      <c r="Y2068">
        <v>77506</v>
      </c>
    </row>
    <row r="2069" spans="1:25" ht="15" hidden="1" customHeight="1" x14ac:dyDescent="0.25">
      <c r="A2069" s="1" t="s">
        <v>32</v>
      </c>
      <c r="B2069" s="1"/>
      <c r="C2069" s="1" t="s">
        <v>162</v>
      </c>
      <c r="D2069">
        <v>10231</v>
      </c>
      <c r="E2069" s="1"/>
      <c r="F2069" s="1" t="s">
        <v>294</v>
      </c>
      <c r="G2069" s="1" t="s">
        <v>162</v>
      </c>
      <c r="H2069" s="1" t="s">
        <v>1405</v>
      </c>
      <c r="I2069">
        <v>2009</v>
      </c>
      <c r="J2069" s="93">
        <v>8476.6200000000008</v>
      </c>
      <c r="K2069">
        <v>12</v>
      </c>
      <c r="L2069" s="1" t="s">
        <v>432</v>
      </c>
      <c r="M2069">
        <v>0</v>
      </c>
      <c r="N2069">
        <v>449</v>
      </c>
      <c r="O2069">
        <v>18.874682</v>
      </c>
      <c r="P2069">
        <v>2</v>
      </c>
      <c r="Q2069" s="1" t="s">
        <v>569</v>
      </c>
      <c r="R2069" s="93">
        <v>8476.6200000000008</v>
      </c>
      <c r="S2069">
        <v>3975.53</v>
      </c>
      <c r="T2069">
        <v>0</v>
      </c>
      <c r="U2069" s="1" t="s">
        <v>1018</v>
      </c>
      <c r="V2069" s="1" t="s">
        <v>1297</v>
      </c>
      <c r="W2069">
        <v>8476.6004699999994</v>
      </c>
      <c r="X2069">
        <v>0</v>
      </c>
      <c r="Y2069">
        <v>77506</v>
      </c>
    </row>
    <row r="2070" spans="1:25" ht="15" hidden="1" customHeight="1" x14ac:dyDescent="0.25">
      <c r="A2070" s="1" t="s">
        <v>32</v>
      </c>
      <c r="B2070" s="1"/>
      <c r="C2070" s="1" t="s">
        <v>162</v>
      </c>
      <c r="D2070">
        <v>10231</v>
      </c>
      <c r="E2070" s="1"/>
      <c r="F2070" s="1" t="s">
        <v>294</v>
      </c>
      <c r="G2070" s="1" t="s">
        <v>162</v>
      </c>
      <c r="H2070" s="1" t="s">
        <v>1405</v>
      </c>
      <c r="I2070">
        <v>2008</v>
      </c>
      <c r="J2070" s="93">
        <v>14396.89</v>
      </c>
      <c r="K2070">
        <v>10</v>
      </c>
      <c r="L2070" s="1" t="s">
        <v>432</v>
      </c>
      <c r="M2070">
        <v>0</v>
      </c>
      <c r="N2070">
        <v>449</v>
      </c>
      <c r="O2070">
        <v>32.057203000000001</v>
      </c>
      <c r="P2070">
        <v>2</v>
      </c>
      <c r="Q2070" s="1" t="s">
        <v>569</v>
      </c>
      <c r="R2070" s="93">
        <v>14396.89</v>
      </c>
      <c r="S2070">
        <v>6752.15</v>
      </c>
      <c r="T2070">
        <v>0</v>
      </c>
      <c r="U2070" s="1" t="s">
        <v>1018</v>
      </c>
      <c r="V2070" s="1" t="s">
        <v>1297</v>
      </c>
      <c r="W2070">
        <v>14396.88524</v>
      </c>
      <c r="X2070">
        <v>0</v>
      </c>
      <c r="Y2070">
        <v>77506</v>
      </c>
    </row>
    <row r="2071" spans="1:25" ht="15" hidden="1" customHeight="1" x14ac:dyDescent="0.25">
      <c r="A2071" s="1" t="s">
        <v>32</v>
      </c>
      <c r="B2071" s="1" t="s">
        <v>68</v>
      </c>
      <c r="C2071" s="1" t="s">
        <v>163</v>
      </c>
      <c r="D2071">
        <v>5489</v>
      </c>
      <c r="E2071" s="1"/>
      <c r="F2071" s="1" t="s">
        <v>163</v>
      </c>
      <c r="G2071" s="1" t="s">
        <v>163</v>
      </c>
      <c r="H2071" s="1" t="s">
        <v>1396</v>
      </c>
      <c r="I2071">
        <v>2015</v>
      </c>
      <c r="J2071" s="93">
        <v>0</v>
      </c>
      <c r="K2071">
        <v>5</v>
      </c>
      <c r="L2071" s="1"/>
      <c r="M2071">
        <v>0</v>
      </c>
      <c r="N2071">
        <v>2801</v>
      </c>
      <c r="O2071">
        <v>7.3072889999999999</v>
      </c>
      <c r="P2071">
        <v>2</v>
      </c>
      <c r="Q2071" s="1" t="s">
        <v>569</v>
      </c>
      <c r="R2071" s="93">
        <v>20468.45</v>
      </c>
      <c r="S2071">
        <v>8187.39</v>
      </c>
      <c r="T2071">
        <v>0</v>
      </c>
      <c r="U2071" s="1" t="s">
        <v>1019</v>
      </c>
      <c r="V2071" s="1" t="s">
        <v>1298</v>
      </c>
      <c r="W2071">
        <v>20468.45</v>
      </c>
      <c r="X2071">
        <v>0</v>
      </c>
      <c r="Y2071">
        <v>58001</v>
      </c>
    </row>
    <row r="2072" spans="1:25" ht="15" hidden="1" customHeight="1" x14ac:dyDescent="0.25">
      <c r="A2072" s="1" t="s">
        <v>32</v>
      </c>
      <c r="B2072" s="1" t="s">
        <v>68</v>
      </c>
      <c r="C2072" s="1" t="s">
        <v>163</v>
      </c>
      <c r="D2072">
        <v>5489</v>
      </c>
      <c r="E2072" s="1"/>
      <c r="F2072" s="1" t="s">
        <v>163</v>
      </c>
      <c r="G2072" s="1" t="s">
        <v>163</v>
      </c>
      <c r="H2072" s="1" t="s">
        <v>1396</v>
      </c>
      <c r="I2072">
        <v>2015</v>
      </c>
      <c r="J2072" s="93">
        <v>0</v>
      </c>
      <c r="K2072">
        <v>5</v>
      </c>
      <c r="L2072" s="1"/>
      <c r="M2072">
        <v>0</v>
      </c>
      <c r="N2072">
        <v>2801</v>
      </c>
      <c r="O2072">
        <v>3.8535430000000002</v>
      </c>
      <c r="P2072">
        <v>2</v>
      </c>
      <c r="Q2072" s="1" t="s">
        <v>569</v>
      </c>
      <c r="R2072" s="93">
        <v>10794.16</v>
      </c>
      <c r="S2072">
        <v>4317.68</v>
      </c>
      <c r="T2072">
        <v>0</v>
      </c>
      <c r="U2072" s="1" t="s">
        <v>1020</v>
      </c>
      <c r="V2072" s="1" t="s">
        <v>1299</v>
      </c>
      <c r="W2072">
        <v>10794.16</v>
      </c>
      <c r="X2072">
        <v>0</v>
      </c>
      <c r="Y2072">
        <v>58091</v>
      </c>
    </row>
    <row r="2073" spans="1:25" ht="15" hidden="1" customHeight="1" x14ac:dyDescent="0.25">
      <c r="A2073" s="1" t="s">
        <v>32</v>
      </c>
      <c r="B2073" s="1" t="s">
        <v>68</v>
      </c>
      <c r="C2073" s="1" t="s">
        <v>163</v>
      </c>
      <c r="D2073">
        <v>5489</v>
      </c>
      <c r="E2073" s="1"/>
      <c r="F2073" s="1" t="s">
        <v>163</v>
      </c>
      <c r="G2073" s="1" t="s">
        <v>163</v>
      </c>
      <c r="H2073" s="1" t="s">
        <v>1396</v>
      </c>
      <c r="I2073">
        <v>2015</v>
      </c>
      <c r="J2073" s="93">
        <v>0</v>
      </c>
      <c r="K2073">
        <v>5</v>
      </c>
      <c r="L2073" s="1"/>
      <c r="M2073">
        <v>0</v>
      </c>
      <c r="N2073">
        <v>2801</v>
      </c>
      <c r="O2073">
        <v>1.1522749999999999</v>
      </c>
      <c r="P2073">
        <v>2</v>
      </c>
      <c r="Q2073" s="1" t="s">
        <v>569</v>
      </c>
      <c r="R2073" s="93">
        <v>3227.64</v>
      </c>
      <c r="S2073">
        <v>1291.06</v>
      </c>
      <c r="T2073">
        <v>0</v>
      </c>
      <c r="U2073" s="1" t="s">
        <v>1021</v>
      </c>
      <c r="V2073" s="1" t="s">
        <v>1300</v>
      </c>
      <c r="W2073">
        <v>3227.6439999999998</v>
      </c>
      <c r="X2073">
        <v>0</v>
      </c>
      <c r="Y2073">
        <v>58094</v>
      </c>
    </row>
    <row r="2074" spans="1:25" ht="15" hidden="1" customHeight="1" x14ac:dyDescent="0.25">
      <c r="A2074" s="1" t="s">
        <v>32</v>
      </c>
      <c r="B2074" s="1" t="s">
        <v>68</v>
      </c>
      <c r="C2074" s="1" t="s">
        <v>163</v>
      </c>
      <c r="D2074">
        <v>5489</v>
      </c>
      <c r="E2074" s="1"/>
      <c r="F2074" s="1" t="s">
        <v>163</v>
      </c>
      <c r="G2074" s="1" t="s">
        <v>163</v>
      </c>
      <c r="H2074" s="1" t="s">
        <v>1405</v>
      </c>
      <c r="I2074">
        <v>2013</v>
      </c>
      <c r="J2074" s="93">
        <v>8477.59</v>
      </c>
      <c r="K2074">
        <v>12</v>
      </c>
      <c r="L2074" s="1"/>
      <c r="M2074">
        <v>0</v>
      </c>
      <c r="N2074">
        <v>2801</v>
      </c>
      <c r="O2074">
        <v>3.0265209999999998</v>
      </c>
      <c r="P2074">
        <v>2</v>
      </c>
      <c r="Q2074" s="1" t="s">
        <v>569</v>
      </c>
      <c r="R2074" s="93">
        <v>8477.59</v>
      </c>
      <c r="S2074">
        <v>3391.03</v>
      </c>
      <c r="T2074">
        <v>0</v>
      </c>
      <c r="U2074" s="1" t="s">
        <v>1021</v>
      </c>
      <c r="V2074" s="1" t="s">
        <v>1300</v>
      </c>
      <c r="W2074">
        <v>8477.5859999999993</v>
      </c>
      <c r="X2074">
        <v>0</v>
      </c>
      <c r="Y2074">
        <v>58094</v>
      </c>
    </row>
    <row r="2075" spans="1:25" ht="15" hidden="1" customHeight="1" x14ac:dyDescent="0.25">
      <c r="A2075" s="1" t="s">
        <v>32</v>
      </c>
      <c r="B2075" s="1" t="s">
        <v>68</v>
      </c>
      <c r="C2075" s="1" t="s">
        <v>163</v>
      </c>
      <c r="D2075">
        <v>5489</v>
      </c>
      <c r="E2075" s="1"/>
      <c r="F2075" s="1" t="s">
        <v>163</v>
      </c>
      <c r="G2075" s="1" t="s">
        <v>163</v>
      </c>
      <c r="H2075" s="1" t="s">
        <v>1405</v>
      </c>
      <c r="I2075">
        <v>2013</v>
      </c>
      <c r="J2075" s="93">
        <v>55073.97</v>
      </c>
      <c r="K2075">
        <v>12</v>
      </c>
      <c r="L2075" s="1"/>
      <c r="M2075">
        <v>0</v>
      </c>
      <c r="N2075">
        <v>2801</v>
      </c>
      <c r="O2075">
        <v>19.661549999999998</v>
      </c>
      <c r="P2075">
        <v>2</v>
      </c>
      <c r="Q2075" s="1" t="s">
        <v>569</v>
      </c>
      <c r="R2075" s="93">
        <v>55073.97</v>
      </c>
      <c r="S2075">
        <v>22029.599999999999</v>
      </c>
      <c r="T2075">
        <v>0</v>
      </c>
      <c r="U2075" s="1" t="s">
        <v>1019</v>
      </c>
      <c r="V2075" s="1" t="s">
        <v>1298</v>
      </c>
      <c r="W2075">
        <v>55073.964999999997</v>
      </c>
      <c r="X2075">
        <v>0</v>
      </c>
      <c r="Y2075">
        <v>58001</v>
      </c>
    </row>
    <row r="2076" spans="1:25" ht="15" hidden="1" customHeight="1" x14ac:dyDescent="0.25">
      <c r="A2076" s="1" t="s">
        <v>32</v>
      </c>
      <c r="B2076" s="1" t="s">
        <v>68</v>
      </c>
      <c r="C2076" s="1" t="s">
        <v>163</v>
      </c>
      <c r="D2076">
        <v>5489</v>
      </c>
      <c r="E2076" s="1"/>
      <c r="F2076" s="1" t="s">
        <v>163</v>
      </c>
      <c r="G2076" s="1" t="s">
        <v>163</v>
      </c>
      <c r="H2076" s="1" t="s">
        <v>1405</v>
      </c>
      <c r="I2076">
        <v>2013</v>
      </c>
      <c r="J2076" s="93">
        <v>43978.239999999998</v>
      </c>
      <c r="K2076">
        <v>12</v>
      </c>
      <c r="L2076" s="1"/>
      <c r="M2076">
        <v>0</v>
      </c>
      <c r="N2076">
        <v>2801</v>
      </c>
      <c r="O2076">
        <v>15.700346</v>
      </c>
      <c r="P2076">
        <v>2</v>
      </c>
      <c r="Q2076" s="1" t="s">
        <v>569</v>
      </c>
      <c r="R2076" s="93">
        <v>43978.239999999998</v>
      </c>
      <c r="S2076">
        <v>17591.310000000001</v>
      </c>
      <c r="T2076">
        <v>0</v>
      </c>
      <c r="U2076" s="1" t="s">
        <v>1020</v>
      </c>
      <c r="V2076" s="1" t="s">
        <v>1299</v>
      </c>
      <c r="W2076">
        <v>43978.237999999998</v>
      </c>
      <c r="X2076">
        <v>0</v>
      </c>
      <c r="Y2076">
        <v>58091</v>
      </c>
    </row>
    <row r="2077" spans="1:25" ht="15" hidden="1" customHeight="1" x14ac:dyDescent="0.25">
      <c r="A2077" s="1" t="s">
        <v>32</v>
      </c>
      <c r="B2077" s="1" t="s">
        <v>68</v>
      </c>
      <c r="C2077" s="1" t="s">
        <v>163</v>
      </c>
      <c r="D2077">
        <v>5489</v>
      </c>
      <c r="E2077" s="1"/>
      <c r="F2077" s="1" t="s">
        <v>163</v>
      </c>
      <c r="G2077" s="1" t="s">
        <v>163</v>
      </c>
      <c r="H2077" s="1" t="s">
        <v>1405</v>
      </c>
      <c r="I2077">
        <v>2012</v>
      </c>
      <c r="J2077" s="93">
        <v>63544.93</v>
      </c>
      <c r="K2077">
        <v>12</v>
      </c>
      <c r="L2077" s="1"/>
      <c r="M2077">
        <v>0</v>
      </c>
      <c r="N2077">
        <v>2801</v>
      </c>
      <c r="O2077">
        <v>22.685704999999999</v>
      </c>
      <c r="P2077">
        <v>2</v>
      </c>
      <c r="Q2077" s="1" t="s">
        <v>569</v>
      </c>
      <c r="R2077" s="93">
        <v>63544.93</v>
      </c>
      <c r="S2077">
        <v>25417.97</v>
      </c>
      <c r="T2077">
        <v>0</v>
      </c>
      <c r="U2077" s="1" t="s">
        <v>1019</v>
      </c>
      <c r="V2077" s="1" t="s">
        <v>1298</v>
      </c>
      <c r="W2077">
        <v>63544.934999999998</v>
      </c>
      <c r="X2077">
        <v>0</v>
      </c>
      <c r="Y2077">
        <v>58001</v>
      </c>
    </row>
    <row r="2078" spans="1:25" ht="15" hidden="1" customHeight="1" x14ac:dyDescent="0.25">
      <c r="A2078" s="1" t="s">
        <v>32</v>
      </c>
      <c r="B2078" s="1" t="s">
        <v>68</v>
      </c>
      <c r="C2078" s="1" t="s">
        <v>163</v>
      </c>
      <c r="D2078">
        <v>5489</v>
      </c>
      <c r="E2078" s="1"/>
      <c r="F2078" s="1" t="s">
        <v>163</v>
      </c>
      <c r="G2078" s="1" t="s">
        <v>163</v>
      </c>
      <c r="H2078" s="1" t="s">
        <v>1405</v>
      </c>
      <c r="I2078">
        <v>2012</v>
      </c>
      <c r="J2078" s="93">
        <v>38210.69</v>
      </c>
      <c r="K2078">
        <v>12</v>
      </c>
      <c r="L2078" s="1"/>
      <c r="M2078">
        <v>0</v>
      </c>
      <c r="N2078">
        <v>2801</v>
      </c>
      <c r="O2078">
        <v>13.641315000000001</v>
      </c>
      <c r="P2078">
        <v>2</v>
      </c>
      <c r="Q2078" s="1" t="s">
        <v>569</v>
      </c>
      <c r="R2078" s="93">
        <v>38210.69</v>
      </c>
      <c r="S2078">
        <v>15284.29</v>
      </c>
      <c r="T2078">
        <v>0</v>
      </c>
      <c r="U2078" s="1" t="s">
        <v>1020</v>
      </c>
      <c r="V2078" s="1" t="s">
        <v>1299</v>
      </c>
      <c r="W2078">
        <v>38210.697999999997</v>
      </c>
      <c r="X2078">
        <v>0</v>
      </c>
      <c r="Y2078">
        <v>58091</v>
      </c>
    </row>
    <row r="2079" spans="1:25" ht="15" hidden="1" customHeight="1" x14ac:dyDescent="0.25">
      <c r="A2079" s="1" t="s">
        <v>32</v>
      </c>
      <c r="B2079" s="1" t="s">
        <v>68</v>
      </c>
      <c r="C2079" s="1" t="s">
        <v>163</v>
      </c>
      <c r="D2079">
        <v>5489</v>
      </c>
      <c r="E2079" s="1"/>
      <c r="F2079" s="1" t="s">
        <v>163</v>
      </c>
      <c r="G2079" s="1" t="s">
        <v>163</v>
      </c>
      <c r="H2079" s="1" t="s">
        <v>1405</v>
      </c>
      <c r="I2079">
        <v>2012</v>
      </c>
      <c r="J2079" s="93">
        <v>7506.76</v>
      </c>
      <c r="K2079">
        <v>12</v>
      </c>
      <c r="L2079" s="1"/>
      <c r="M2079">
        <v>0</v>
      </c>
      <c r="N2079">
        <v>2801</v>
      </c>
      <c r="O2079">
        <v>2.679932</v>
      </c>
      <c r="P2079">
        <v>2</v>
      </c>
      <c r="Q2079" s="1" t="s">
        <v>569</v>
      </c>
      <c r="R2079" s="93">
        <v>7506.76</v>
      </c>
      <c r="S2079">
        <v>3002.71</v>
      </c>
      <c r="T2079">
        <v>0</v>
      </c>
      <c r="U2079" s="1" t="s">
        <v>1021</v>
      </c>
      <c r="V2079" s="1" t="s">
        <v>1300</v>
      </c>
      <c r="W2079">
        <v>7506.7719999999999</v>
      </c>
      <c r="X2079">
        <v>0</v>
      </c>
      <c r="Y2079">
        <v>58094</v>
      </c>
    </row>
    <row r="2080" spans="1:25" ht="15" hidden="1" customHeight="1" x14ac:dyDescent="0.25">
      <c r="A2080" s="1" t="s">
        <v>32</v>
      </c>
      <c r="B2080" s="1" t="s">
        <v>68</v>
      </c>
      <c r="C2080" s="1" t="s">
        <v>163</v>
      </c>
      <c r="D2080">
        <v>5489</v>
      </c>
      <c r="E2080" s="1"/>
      <c r="F2080" s="1" t="s">
        <v>163</v>
      </c>
      <c r="G2080" s="1" t="s">
        <v>163</v>
      </c>
      <c r="H2080" s="1" t="s">
        <v>1405</v>
      </c>
      <c r="I2080">
        <v>2011</v>
      </c>
      <c r="J2080" s="93">
        <v>69202.92</v>
      </c>
      <c r="K2080">
        <v>12</v>
      </c>
      <c r="L2080" s="1"/>
      <c r="M2080">
        <v>0</v>
      </c>
      <c r="N2080">
        <v>2801</v>
      </c>
      <c r="O2080">
        <v>24.705622000000002</v>
      </c>
      <c r="P2080">
        <v>2</v>
      </c>
      <c r="Q2080" s="1" t="s">
        <v>569</v>
      </c>
      <c r="R2080" s="93">
        <v>69202.92</v>
      </c>
      <c r="S2080">
        <v>32456.16</v>
      </c>
      <c r="T2080">
        <v>0</v>
      </c>
      <c r="U2080" s="1" t="s">
        <v>1019</v>
      </c>
      <c r="V2080" s="1" t="s">
        <v>1298</v>
      </c>
      <c r="W2080">
        <v>69202.904999999999</v>
      </c>
      <c r="X2080">
        <v>0</v>
      </c>
      <c r="Y2080">
        <v>58001</v>
      </c>
    </row>
    <row r="2081" spans="1:25" ht="15" hidden="1" customHeight="1" x14ac:dyDescent="0.25">
      <c r="A2081" s="1" t="s">
        <v>32</v>
      </c>
      <c r="B2081" s="1" t="s">
        <v>68</v>
      </c>
      <c r="C2081" s="1" t="s">
        <v>163</v>
      </c>
      <c r="D2081">
        <v>5489</v>
      </c>
      <c r="E2081" s="1"/>
      <c r="F2081" s="1" t="s">
        <v>163</v>
      </c>
      <c r="G2081" s="1" t="s">
        <v>163</v>
      </c>
      <c r="H2081" s="1" t="s">
        <v>1405</v>
      </c>
      <c r="I2081">
        <v>2011</v>
      </c>
      <c r="J2081" s="93">
        <v>42798.03</v>
      </c>
      <c r="K2081">
        <v>12</v>
      </c>
      <c r="L2081" s="1"/>
      <c r="M2081">
        <v>0</v>
      </c>
      <c r="N2081">
        <v>2801</v>
      </c>
      <c r="O2081">
        <v>15.279007999999999</v>
      </c>
      <c r="P2081">
        <v>2</v>
      </c>
      <c r="Q2081" s="1" t="s">
        <v>569</v>
      </c>
      <c r="R2081" s="93">
        <v>42798.03</v>
      </c>
      <c r="S2081">
        <v>20072.29</v>
      </c>
      <c r="T2081">
        <v>0</v>
      </c>
      <c r="U2081" s="1" t="s">
        <v>1020</v>
      </c>
      <c r="V2081" s="1" t="s">
        <v>1299</v>
      </c>
      <c r="W2081">
        <v>42798.044000000002</v>
      </c>
      <c r="X2081">
        <v>0</v>
      </c>
      <c r="Y2081">
        <v>58091</v>
      </c>
    </row>
    <row r="2082" spans="1:25" ht="15" hidden="1" customHeight="1" x14ac:dyDescent="0.25">
      <c r="A2082" s="1" t="s">
        <v>32</v>
      </c>
      <c r="B2082" s="1" t="s">
        <v>68</v>
      </c>
      <c r="C2082" s="1" t="s">
        <v>163</v>
      </c>
      <c r="D2082">
        <v>5489</v>
      </c>
      <c r="E2082" s="1"/>
      <c r="F2082" s="1" t="s">
        <v>163</v>
      </c>
      <c r="G2082" s="1" t="s">
        <v>163</v>
      </c>
      <c r="H2082" s="1" t="s">
        <v>1405</v>
      </c>
      <c r="I2082">
        <v>2011</v>
      </c>
      <c r="J2082" s="93">
        <v>7497.98</v>
      </c>
      <c r="K2082">
        <v>12</v>
      </c>
      <c r="L2082" s="1"/>
      <c r="M2082">
        <v>0</v>
      </c>
      <c r="N2082">
        <v>2801</v>
      </c>
      <c r="O2082">
        <v>2.6767979999999998</v>
      </c>
      <c r="P2082">
        <v>2</v>
      </c>
      <c r="Q2082" s="1" t="s">
        <v>569</v>
      </c>
      <c r="R2082" s="93">
        <v>7497.98</v>
      </c>
      <c r="S2082">
        <v>3516.55</v>
      </c>
      <c r="T2082">
        <v>0</v>
      </c>
      <c r="U2082" s="1" t="s">
        <v>1021</v>
      </c>
      <c r="V2082" s="1" t="s">
        <v>1300</v>
      </c>
      <c r="W2082">
        <v>7497.9759999999997</v>
      </c>
      <c r="X2082">
        <v>0</v>
      </c>
      <c r="Y2082">
        <v>58094</v>
      </c>
    </row>
    <row r="2083" spans="1:25" ht="15" hidden="1" customHeight="1" x14ac:dyDescent="0.25">
      <c r="A2083" s="1" t="s">
        <v>32</v>
      </c>
      <c r="B2083" s="1" t="s">
        <v>68</v>
      </c>
      <c r="C2083" s="1" t="s">
        <v>163</v>
      </c>
      <c r="D2083">
        <v>5489</v>
      </c>
      <c r="E2083" s="1"/>
      <c r="F2083" s="1" t="s">
        <v>163</v>
      </c>
      <c r="G2083" s="1" t="s">
        <v>163</v>
      </c>
      <c r="H2083" s="1" t="s">
        <v>1405</v>
      </c>
      <c r="I2083">
        <v>2010</v>
      </c>
      <c r="J2083" s="93">
        <v>70223.77</v>
      </c>
      <c r="K2083">
        <v>12</v>
      </c>
      <c r="L2083" s="1"/>
      <c r="M2083">
        <v>0</v>
      </c>
      <c r="N2083">
        <v>2801</v>
      </c>
      <c r="O2083">
        <v>25.070067999999999</v>
      </c>
      <c r="P2083">
        <v>2</v>
      </c>
      <c r="Q2083" s="1" t="s">
        <v>569</v>
      </c>
      <c r="R2083" s="93">
        <v>70223.77</v>
      </c>
      <c r="S2083">
        <v>32934.93</v>
      </c>
      <c r="T2083">
        <v>0</v>
      </c>
      <c r="U2083" s="1" t="s">
        <v>1019</v>
      </c>
      <c r="V2083" s="1" t="s">
        <v>1298</v>
      </c>
      <c r="W2083">
        <v>70223.759999999995</v>
      </c>
      <c r="X2083">
        <v>0</v>
      </c>
      <c r="Y2083">
        <v>58001</v>
      </c>
    </row>
    <row r="2084" spans="1:25" ht="15" hidden="1" customHeight="1" x14ac:dyDescent="0.25">
      <c r="A2084" s="1" t="s">
        <v>32</v>
      </c>
      <c r="B2084" s="1" t="s">
        <v>68</v>
      </c>
      <c r="C2084" s="1" t="s">
        <v>163</v>
      </c>
      <c r="D2084">
        <v>5489</v>
      </c>
      <c r="E2084" s="1"/>
      <c r="F2084" s="1" t="s">
        <v>163</v>
      </c>
      <c r="G2084" s="1" t="s">
        <v>163</v>
      </c>
      <c r="H2084" s="1" t="s">
        <v>1405</v>
      </c>
      <c r="I2084">
        <v>2010</v>
      </c>
      <c r="J2084" s="93">
        <v>39572.82</v>
      </c>
      <c r="K2084">
        <v>12</v>
      </c>
      <c r="L2084" s="1"/>
      <c r="M2084">
        <v>0</v>
      </c>
      <c r="N2084">
        <v>2801</v>
      </c>
      <c r="O2084">
        <v>14.127599</v>
      </c>
      <c r="P2084">
        <v>2</v>
      </c>
      <c r="Q2084" s="1" t="s">
        <v>569</v>
      </c>
      <c r="R2084" s="93">
        <v>39572.82</v>
      </c>
      <c r="S2084">
        <v>18559.66</v>
      </c>
      <c r="T2084">
        <v>0</v>
      </c>
      <c r="U2084" s="1" t="s">
        <v>1020</v>
      </c>
      <c r="V2084" s="1" t="s">
        <v>1299</v>
      </c>
      <c r="W2084">
        <v>39572.813999999998</v>
      </c>
      <c r="X2084">
        <v>0</v>
      </c>
      <c r="Y2084">
        <v>58091</v>
      </c>
    </row>
    <row r="2085" spans="1:25" ht="15" hidden="1" customHeight="1" x14ac:dyDescent="0.25">
      <c r="A2085" s="1" t="s">
        <v>32</v>
      </c>
      <c r="B2085" s="1" t="s">
        <v>68</v>
      </c>
      <c r="C2085" s="1" t="s">
        <v>163</v>
      </c>
      <c r="D2085">
        <v>5489</v>
      </c>
      <c r="E2085" s="1"/>
      <c r="F2085" s="1" t="s">
        <v>163</v>
      </c>
      <c r="G2085" s="1" t="s">
        <v>163</v>
      </c>
      <c r="H2085" s="1" t="s">
        <v>1405</v>
      </c>
      <c r="I2085">
        <v>2010</v>
      </c>
      <c r="J2085" s="93">
        <v>7601.35</v>
      </c>
      <c r="K2085">
        <v>12</v>
      </c>
      <c r="L2085" s="1"/>
      <c r="M2085">
        <v>0</v>
      </c>
      <c r="N2085">
        <v>2801</v>
      </c>
      <c r="O2085">
        <v>2.7137009999999999</v>
      </c>
      <c r="P2085">
        <v>2</v>
      </c>
      <c r="Q2085" s="1" t="s">
        <v>569</v>
      </c>
      <c r="R2085" s="93">
        <v>7601.35</v>
      </c>
      <c r="S2085">
        <v>3565.01</v>
      </c>
      <c r="T2085">
        <v>0</v>
      </c>
      <c r="U2085" s="1" t="s">
        <v>1021</v>
      </c>
      <c r="V2085" s="1" t="s">
        <v>1300</v>
      </c>
      <c r="W2085">
        <v>7601.35</v>
      </c>
      <c r="X2085">
        <v>0</v>
      </c>
      <c r="Y2085">
        <v>58094</v>
      </c>
    </row>
    <row r="2086" spans="1:25" ht="15" hidden="1" customHeight="1" x14ac:dyDescent="0.25">
      <c r="A2086" s="1" t="s">
        <v>32</v>
      </c>
      <c r="B2086" s="1" t="s">
        <v>68</v>
      </c>
      <c r="C2086" s="1" t="s">
        <v>163</v>
      </c>
      <c r="D2086">
        <v>5489</v>
      </c>
      <c r="E2086" s="1"/>
      <c r="F2086" s="1" t="s">
        <v>163</v>
      </c>
      <c r="G2086" s="1" t="s">
        <v>163</v>
      </c>
      <c r="H2086" s="1" t="s">
        <v>1405</v>
      </c>
      <c r="I2086">
        <v>2009</v>
      </c>
      <c r="J2086" s="93">
        <v>7593.27</v>
      </c>
      <c r="K2086">
        <v>12</v>
      </c>
      <c r="L2086" s="1"/>
      <c r="M2086">
        <v>0</v>
      </c>
      <c r="N2086">
        <v>2801</v>
      </c>
      <c r="O2086">
        <v>2.710817</v>
      </c>
      <c r="P2086">
        <v>2</v>
      </c>
      <c r="Q2086" s="1" t="s">
        <v>569</v>
      </c>
      <c r="R2086" s="93">
        <v>7593.27</v>
      </c>
      <c r="S2086">
        <v>3561.25</v>
      </c>
      <c r="T2086">
        <v>0</v>
      </c>
      <c r="U2086" s="1" t="s">
        <v>1021</v>
      </c>
      <c r="V2086" s="1" t="s">
        <v>1300</v>
      </c>
      <c r="W2086">
        <v>7593.2619999999997</v>
      </c>
      <c r="X2086">
        <v>0</v>
      </c>
      <c r="Y2086">
        <v>58094</v>
      </c>
    </row>
    <row r="2087" spans="1:25" ht="15" hidden="1" customHeight="1" x14ac:dyDescent="0.25">
      <c r="A2087" s="1" t="s">
        <v>32</v>
      </c>
      <c r="B2087" s="1" t="s">
        <v>68</v>
      </c>
      <c r="C2087" s="1" t="s">
        <v>163</v>
      </c>
      <c r="D2087">
        <v>5489</v>
      </c>
      <c r="E2087" s="1"/>
      <c r="F2087" s="1" t="s">
        <v>163</v>
      </c>
      <c r="G2087" s="1" t="s">
        <v>163</v>
      </c>
      <c r="H2087" s="1" t="s">
        <v>1405</v>
      </c>
      <c r="I2087">
        <v>2009</v>
      </c>
      <c r="J2087" s="93">
        <v>63919.85</v>
      </c>
      <c r="K2087">
        <v>12</v>
      </c>
      <c r="L2087" s="1"/>
      <c r="M2087">
        <v>0</v>
      </c>
      <c r="N2087">
        <v>2801</v>
      </c>
      <c r="O2087">
        <v>22.819552999999999</v>
      </c>
      <c r="P2087">
        <v>2</v>
      </c>
      <c r="Q2087" s="1" t="s">
        <v>569</v>
      </c>
      <c r="R2087" s="93">
        <v>63919.85</v>
      </c>
      <c r="S2087">
        <v>29978.41</v>
      </c>
      <c r="T2087">
        <v>0</v>
      </c>
      <c r="U2087" s="1" t="s">
        <v>1019</v>
      </c>
      <c r="V2087" s="1" t="s">
        <v>1298</v>
      </c>
      <c r="W2087">
        <v>63919.845000000001</v>
      </c>
      <c r="X2087">
        <v>0</v>
      </c>
      <c r="Y2087">
        <v>58001</v>
      </c>
    </row>
    <row r="2088" spans="1:25" ht="15" hidden="1" customHeight="1" x14ac:dyDescent="0.25">
      <c r="A2088" s="1" t="s">
        <v>32</v>
      </c>
      <c r="B2088" s="1" t="s">
        <v>68</v>
      </c>
      <c r="C2088" s="1" t="s">
        <v>163</v>
      </c>
      <c r="D2088">
        <v>5489</v>
      </c>
      <c r="E2088" s="1"/>
      <c r="F2088" s="1" t="s">
        <v>163</v>
      </c>
      <c r="G2088" s="1" t="s">
        <v>163</v>
      </c>
      <c r="H2088" s="1" t="s">
        <v>1405</v>
      </c>
      <c r="I2088">
        <v>2009</v>
      </c>
      <c r="J2088" s="93">
        <v>42891.15</v>
      </c>
      <c r="K2088">
        <v>12</v>
      </c>
      <c r="L2088" s="1"/>
      <c r="M2088">
        <v>0</v>
      </c>
      <c r="N2088">
        <v>2801</v>
      </c>
      <c r="O2088">
        <v>15.312252000000001</v>
      </c>
      <c r="P2088">
        <v>2</v>
      </c>
      <c r="Q2088" s="1" t="s">
        <v>569</v>
      </c>
      <c r="R2088" s="93">
        <v>42891.15</v>
      </c>
      <c r="S2088">
        <v>20115.97</v>
      </c>
      <c r="T2088">
        <v>0</v>
      </c>
      <c r="U2088" s="1" t="s">
        <v>1020</v>
      </c>
      <c r="V2088" s="1" t="s">
        <v>1299</v>
      </c>
      <c r="W2088">
        <v>42891.161999999997</v>
      </c>
      <c r="X2088">
        <v>0</v>
      </c>
      <c r="Y2088">
        <v>58091</v>
      </c>
    </row>
    <row r="2089" spans="1:25" ht="15" hidden="1" customHeight="1" x14ac:dyDescent="0.25">
      <c r="A2089" s="1" t="s">
        <v>32</v>
      </c>
      <c r="B2089" s="1" t="s">
        <v>68</v>
      </c>
      <c r="C2089" s="1" t="s">
        <v>163</v>
      </c>
      <c r="D2089">
        <v>5489</v>
      </c>
      <c r="E2089" s="1"/>
      <c r="F2089" s="1" t="s">
        <v>163</v>
      </c>
      <c r="G2089" s="1" t="s">
        <v>163</v>
      </c>
      <c r="H2089" s="1" t="s">
        <v>1405</v>
      </c>
      <c r="I2089">
        <v>2008</v>
      </c>
      <c r="J2089" s="93">
        <v>55416.92</v>
      </c>
      <c r="K2089">
        <v>12</v>
      </c>
      <c r="L2089" s="1"/>
      <c r="M2089">
        <v>0</v>
      </c>
      <c r="N2089">
        <v>2801</v>
      </c>
      <c r="O2089">
        <v>19.783984</v>
      </c>
      <c r="P2089">
        <v>2</v>
      </c>
      <c r="Q2089" s="1" t="s">
        <v>569</v>
      </c>
      <c r="R2089" s="93">
        <v>55416.92</v>
      </c>
      <c r="S2089">
        <v>25990.55</v>
      </c>
      <c r="T2089">
        <v>0</v>
      </c>
      <c r="U2089" s="1" t="s">
        <v>1019</v>
      </c>
      <c r="V2089" s="1" t="s">
        <v>1298</v>
      </c>
      <c r="W2089">
        <v>55416.93</v>
      </c>
      <c r="X2089">
        <v>0</v>
      </c>
      <c r="Y2089">
        <v>58001</v>
      </c>
    </row>
    <row r="2090" spans="1:25" ht="15" hidden="1" customHeight="1" x14ac:dyDescent="0.25">
      <c r="A2090" s="1" t="s">
        <v>32</v>
      </c>
      <c r="B2090" s="1" t="s">
        <v>68</v>
      </c>
      <c r="C2090" s="1" t="s">
        <v>163</v>
      </c>
      <c r="D2090">
        <v>5489</v>
      </c>
      <c r="E2090" s="1"/>
      <c r="F2090" s="1" t="s">
        <v>163</v>
      </c>
      <c r="G2090" s="1" t="s">
        <v>163</v>
      </c>
      <c r="H2090" s="1" t="s">
        <v>1405</v>
      </c>
      <c r="I2090">
        <v>2008</v>
      </c>
      <c r="J2090" s="93">
        <v>44284.19</v>
      </c>
      <c r="K2090">
        <v>12</v>
      </c>
      <c r="L2090" s="1"/>
      <c r="M2090">
        <v>0</v>
      </c>
      <c r="N2090">
        <v>2801</v>
      </c>
      <c r="O2090">
        <v>15.809571</v>
      </c>
      <c r="P2090">
        <v>2</v>
      </c>
      <c r="Q2090" s="1" t="s">
        <v>569</v>
      </c>
      <c r="R2090" s="93">
        <v>44284.19</v>
      </c>
      <c r="S2090">
        <v>20769.28</v>
      </c>
      <c r="T2090">
        <v>0</v>
      </c>
      <c r="U2090" s="1" t="s">
        <v>1020</v>
      </c>
      <c r="V2090" s="1" t="s">
        <v>1299</v>
      </c>
      <c r="W2090">
        <v>44284.188000000002</v>
      </c>
      <c r="X2090">
        <v>0</v>
      </c>
      <c r="Y2090">
        <v>58091</v>
      </c>
    </row>
    <row r="2091" spans="1:25" ht="15" hidden="1" customHeight="1" x14ac:dyDescent="0.25">
      <c r="A2091" s="1" t="s">
        <v>32</v>
      </c>
      <c r="B2091" s="1" t="s">
        <v>68</v>
      </c>
      <c r="C2091" s="1" t="s">
        <v>163</v>
      </c>
      <c r="D2091">
        <v>5489</v>
      </c>
      <c r="E2091" s="1"/>
      <c r="F2091" s="1" t="s">
        <v>163</v>
      </c>
      <c r="G2091" s="1" t="s">
        <v>163</v>
      </c>
      <c r="H2091" s="1" t="s">
        <v>1405</v>
      </c>
      <c r="I2091">
        <v>2008</v>
      </c>
      <c r="J2091" s="93">
        <v>7190.55</v>
      </c>
      <c r="K2091">
        <v>12</v>
      </c>
      <c r="L2091" s="1"/>
      <c r="M2091">
        <v>0</v>
      </c>
      <c r="N2091">
        <v>2801</v>
      </c>
      <c r="O2091">
        <v>2.5670449999999998</v>
      </c>
      <c r="P2091">
        <v>2</v>
      </c>
      <c r="Q2091" s="1" t="s">
        <v>569</v>
      </c>
      <c r="R2091" s="93">
        <v>7190.55</v>
      </c>
      <c r="S2091">
        <v>3372.35</v>
      </c>
      <c r="T2091">
        <v>0</v>
      </c>
      <c r="U2091" s="1" t="s">
        <v>1021</v>
      </c>
      <c r="V2091" s="1" t="s">
        <v>1300</v>
      </c>
      <c r="W2091">
        <v>7190.55</v>
      </c>
      <c r="X2091">
        <v>0</v>
      </c>
      <c r="Y2091">
        <v>58094</v>
      </c>
    </row>
    <row r="2092" spans="1:25" ht="15" hidden="1" customHeight="1" x14ac:dyDescent="0.25">
      <c r="A2092" s="1" t="s">
        <v>32</v>
      </c>
      <c r="B2092" s="1" t="s">
        <v>68</v>
      </c>
      <c r="C2092" s="1" t="s">
        <v>163</v>
      </c>
      <c r="D2092">
        <v>6031</v>
      </c>
      <c r="E2092" s="1"/>
      <c r="F2092" s="1" t="s">
        <v>295</v>
      </c>
      <c r="G2092" s="1" t="s">
        <v>163</v>
      </c>
      <c r="H2092" s="1" t="s">
        <v>1396</v>
      </c>
      <c r="I2092">
        <v>2015</v>
      </c>
      <c r="J2092" s="93">
        <v>0</v>
      </c>
      <c r="K2092">
        <v>3</v>
      </c>
      <c r="L2092" s="1" t="s">
        <v>499</v>
      </c>
      <c r="M2092">
        <v>0</v>
      </c>
      <c r="N2092">
        <v>0</v>
      </c>
      <c r="O2092">
        <v>245814.6</v>
      </c>
      <c r="P2092">
        <v>2</v>
      </c>
      <c r="Q2092" s="1" t="s">
        <v>569</v>
      </c>
      <c r="R2092" s="93">
        <v>24581.46</v>
      </c>
      <c r="S2092">
        <v>9832.59</v>
      </c>
      <c r="T2092">
        <v>1</v>
      </c>
      <c r="U2092" s="1" t="s">
        <v>1022</v>
      </c>
      <c r="V2092" s="1"/>
      <c r="W2092">
        <v>24581.466670000002</v>
      </c>
      <c r="X2092">
        <v>0</v>
      </c>
      <c r="Y2092">
        <v>60686</v>
      </c>
    </row>
    <row r="2093" spans="1:25" ht="15" hidden="1" customHeight="1" x14ac:dyDescent="0.25">
      <c r="A2093" s="1" t="s">
        <v>32</v>
      </c>
      <c r="B2093" s="1" t="s">
        <v>68</v>
      </c>
      <c r="C2093" s="1" t="s">
        <v>163</v>
      </c>
      <c r="D2093">
        <v>6031</v>
      </c>
      <c r="E2093" s="1"/>
      <c r="F2093" s="1" t="s">
        <v>295</v>
      </c>
      <c r="G2093" s="1" t="s">
        <v>163</v>
      </c>
      <c r="H2093" s="1" t="s">
        <v>1396</v>
      </c>
      <c r="I2093">
        <v>2015</v>
      </c>
      <c r="J2093" s="93">
        <v>0</v>
      </c>
      <c r="K2093">
        <v>4</v>
      </c>
      <c r="L2093" s="1" t="s">
        <v>433</v>
      </c>
      <c r="M2093">
        <v>0</v>
      </c>
      <c r="N2093">
        <v>0</v>
      </c>
      <c r="O2093">
        <v>24060</v>
      </c>
      <c r="P2093">
        <v>2</v>
      </c>
      <c r="Q2093" s="1" t="s">
        <v>569</v>
      </c>
      <c r="R2093" s="93">
        <v>2406</v>
      </c>
      <c r="S2093">
        <v>962.4</v>
      </c>
      <c r="T2093">
        <v>0</v>
      </c>
      <c r="U2093" s="1" t="s">
        <v>1023</v>
      </c>
      <c r="V2093" s="1"/>
      <c r="W2093">
        <v>2406</v>
      </c>
      <c r="X2093">
        <v>0</v>
      </c>
      <c r="Y2093">
        <v>60687</v>
      </c>
    </row>
    <row r="2094" spans="1:25" ht="15" hidden="1" customHeight="1" x14ac:dyDescent="0.25">
      <c r="A2094" s="1" t="s">
        <v>32</v>
      </c>
      <c r="B2094" s="1" t="s">
        <v>68</v>
      </c>
      <c r="C2094" s="1" t="s">
        <v>163</v>
      </c>
      <c r="D2094">
        <v>6031</v>
      </c>
      <c r="E2094" s="1"/>
      <c r="F2094" s="1" t="s">
        <v>295</v>
      </c>
      <c r="G2094" s="1" t="s">
        <v>163</v>
      </c>
      <c r="H2094" s="1" t="s">
        <v>1396</v>
      </c>
      <c r="I2094">
        <v>2015</v>
      </c>
      <c r="J2094" s="93">
        <v>0</v>
      </c>
      <c r="K2094">
        <v>4</v>
      </c>
      <c r="L2094" s="1" t="s">
        <v>433</v>
      </c>
      <c r="M2094">
        <v>0</v>
      </c>
      <c r="N2094">
        <v>0</v>
      </c>
      <c r="O2094">
        <v>4906.3999999999996</v>
      </c>
      <c r="P2094">
        <v>2</v>
      </c>
      <c r="Q2094" s="1" t="s">
        <v>569</v>
      </c>
      <c r="R2094" s="93">
        <v>490.64</v>
      </c>
      <c r="S2094">
        <v>196.27</v>
      </c>
      <c r="T2094">
        <v>1</v>
      </c>
      <c r="U2094" s="1" t="s">
        <v>1024</v>
      </c>
      <c r="V2094" s="1"/>
      <c r="W2094">
        <v>490.64445000000001</v>
      </c>
      <c r="X2094">
        <v>0</v>
      </c>
      <c r="Y2094">
        <v>62511</v>
      </c>
    </row>
    <row r="2095" spans="1:25" ht="15" hidden="1" customHeight="1" x14ac:dyDescent="0.25">
      <c r="A2095" s="1" t="s">
        <v>32</v>
      </c>
      <c r="B2095" s="1" t="s">
        <v>68</v>
      </c>
      <c r="C2095" s="1" t="s">
        <v>163</v>
      </c>
      <c r="D2095">
        <v>6031</v>
      </c>
      <c r="E2095" s="1"/>
      <c r="F2095" s="1" t="s">
        <v>295</v>
      </c>
      <c r="G2095" s="1" t="s">
        <v>163</v>
      </c>
      <c r="H2095" s="1" t="s">
        <v>1405</v>
      </c>
      <c r="I2095">
        <v>2013</v>
      </c>
      <c r="J2095" s="93">
        <v>0</v>
      </c>
      <c r="K2095">
        <v>11</v>
      </c>
      <c r="L2095" s="1" t="s">
        <v>433</v>
      </c>
      <c r="M2095">
        <v>0</v>
      </c>
      <c r="N2095">
        <v>0</v>
      </c>
      <c r="O2095">
        <v>0</v>
      </c>
      <c r="P2095">
        <v>2</v>
      </c>
      <c r="Q2095" s="1" t="s">
        <v>569</v>
      </c>
      <c r="R2095" s="93">
        <v>0</v>
      </c>
      <c r="S2095">
        <v>0</v>
      </c>
      <c r="T2095">
        <v>0</v>
      </c>
      <c r="U2095" s="1" t="s">
        <v>1023</v>
      </c>
      <c r="V2095" s="1"/>
      <c r="W2095">
        <v>0</v>
      </c>
      <c r="X2095">
        <v>0</v>
      </c>
      <c r="Y2095">
        <v>60687</v>
      </c>
    </row>
    <row r="2096" spans="1:25" ht="15" hidden="1" customHeight="1" x14ac:dyDescent="0.25">
      <c r="A2096" s="1" t="s">
        <v>32</v>
      </c>
      <c r="B2096" s="1" t="s">
        <v>68</v>
      </c>
      <c r="C2096" s="1" t="s">
        <v>163</v>
      </c>
      <c r="D2096">
        <v>6031</v>
      </c>
      <c r="E2096" s="1"/>
      <c r="F2096" s="1" t="s">
        <v>295</v>
      </c>
      <c r="G2096" s="1" t="s">
        <v>163</v>
      </c>
      <c r="H2096" s="1" t="s">
        <v>1405</v>
      </c>
      <c r="I2096">
        <v>2013</v>
      </c>
      <c r="J2096" s="93">
        <v>105430.93</v>
      </c>
      <c r="K2096">
        <v>9</v>
      </c>
      <c r="L2096" s="1" t="s">
        <v>499</v>
      </c>
      <c r="M2096">
        <v>0</v>
      </c>
      <c r="N2096">
        <v>0</v>
      </c>
      <c r="O2096">
        <v>1054309.3</v>
      </c>
      <c r="P2096">
        <v>2</v>
      </c>
      <c r="Q2096" s="1" t="s">
        <v>569</v>
      </c>
      <c r="R2096" s="93">
        <v>105430.93</v>
      </c>
      <c r="S2096">
        <v>42172.37</v>
      </c>
      <c r="T2096">
        <v>1</v>
      </c>
      <c r="U2096" s="1" t="s">
        <v>1022</v>
      </c>
      <c r="V2096" s="1"/>
      <c r="W2096">
        <v>105430.91761</v>
      </c>
      <c r="X2096">
        <v>0</v>
      </c>
      <c r="Y2096">
        <v>60686</v>
      </c>
    </row>
    <row r="2097" spans="1:25" ht="15" hidden="1" customHeight="1" x14ac:dyDescent="0.25">
      <c r="A2097" s="1" t="s">
        <v>32</v>
      </c>
      <c r="B2097" s="1" t="s">
        <v>68</v>
      </c>
      <c r="C2097" s="1" t="s">
        <v>163</v>
      </c>
      <c r="D2097">
        <v>6031</v>
      </c>
      <c r="E2097" s="1"/>
      <c r="F2097" s="1" t="s">
        <v>295</v>
      </c>
      <c r="G2097" s="1" t="s">
        <v>163</v>
      </c>
      <c r="H2097" s="1" t="s">
        <v>1405</v>
      </c>
      <c r="I2097">
        <v>2013</v>
      </c>
      <c r="J2097" s="93">
        <v>3331.39</v>
      </c>
      <c r="K2097">
        <v>11</v>
      </c>
      <c r="L2097" s="1" t="s">
        <v>433</v>
      </c>
      <c r="M2097">
        <v>0</v>
      </c>
      <c r="N2097">
        <v>0</v>
      </c>
      <c r="O2097">
        <v>33313.9</v>
      </c>
      <c r="P2097">
        <v>2</v>
      </c>
      <c r="Q2097" s="1" t="s">
        <v>569</v>
      </c>
      <c r="R2097" s="93">
        <v>3331.39</v>
      </c>
      <c r="S2097">
        <v>1332.56</v>
      </c>
      <c r="T2097">
        <v>1</v>
      </c>
      <c r="U2097" s="1" t="s">
        <v>1024</v>
      </c>
      <c r="V2097" s="1"/>
      <c r="W2097">
        <v>3331.3812499999999</v>
      </c>
      <c r="X2097">
        <v>0</v>
      </c>
      <c r="Y2097">
        <v>62511</v>
      </c>
    </row>
    <row r="2098" spans="1:25" ht="15" hidden="1" customHeight="1" x14ac:dyDescent="0.25">
      <c r="A2098" s="1" t="s">
        <v>32</v>
      </c>
      <c r="B2098" s="1" t="s">
        <v>68</v>
      </c>
      <c r="C2098" s="1" t="s">
        <v>163</v>
      </c>
      <c r="D2098">
        <v>6031</v>
      </c>
      <c r="E2098" s="1"/>
      <c r="F2098" s="1" t="s">
        <v>295</v>
      </c>
      <c r="G2098" s="1" t="s">
        <v>163</v>
      </c>
      <c r="H2098" s="1" t="s">
        <v>1405</v>
      </c>
      <c r="I2098">
        <v>2012</v>
      </c>
      <c r="J2098" s="93">
        <v>0</v>
      </c>
      <c r="K2098">
        <v>8</v>
      </c>
      <c r="L2098" s="1" t="s">
        <v>433</v>
      </c>
      <c r="M2098">
        <v>0</v>
      </c>
      <c r="N2098">
        <v>0</v>
      </c>
      <c r="O2098">
        <v>0</v>
      </c>
      <c r="P2098">
        <v>2</v>
      </c>
      <c r="Q2098" s="1" t="s">
        <v>569</v>
      </c>
      <c r="R2098" s="93">
        <v>0</v>
      </c>
      <c r="S2098">
        <v>0</v>
      </c>
      <c r="T2098">
        <v>0</v>
      </c>
      <c r="U2098" s="1" t="s">
        <v>1023</v>
      </c>
      <c r="V2098" s="1"/>
      <c r="W2098">
        <v>0</v>
      </c>
      <c r="X2098">
        <v>0</v>
      </c>
      <c r="Y2098">
        <v>60687</v>
      </c>
    </row>
    <row r="2099" spans="1:25" ht="15" hidden="1" customHeight="1" x14ac:dyDescent="0.25">
      <c r="A2099" s="1" t="s">
        <v>32</v>
      </c>
      <c r="B2099" s="1" t="s">
        <v>68</v>
      </c>
      <c r="C2099" s="1" t="s">
        <v>163</v>
      </c>
      <c r="D2099">
        <v>6031</v>
      </c>
      <c r="E2099" s="1"/>
      <c r="F2099" s="1" t="s">
        <v>295</v>
      </c>
      <c r="G2099" s="1" t="s">
        <v>163</v>
      </c>
      <c r="H2099" s="1" t="s">
        <v>1405</v>
      </c>
      <c r="I2099">
        <v>2012</v>
      </c>
      <c r="J2099" s="93">
        <v>114923.93</v>
      </c>
      <c r="K2099">
        <v>8</v>
      </c>
      <c r="L2099" s="1" t="s">
        <v>499</v>
      </c>
      <c r="M2099">
        <v>0</v>
      </c>
      <c r="N2099">
        <v>0</v>
      </c>
      <c r="O2099">
        <v>1149239.3</v>
      </c>
      <c r="P2099">
        <v>2</v>
      </c>
      <c r="Q2099" s="1" t="s">
        <v>569</v>
      </c>
      <c r="R2099" s="93">
        <v>114923.93</v>
      </c>
      <c r="S2099">
        <v>45969.57</v>
      </c>
      <c r="T2099">
        <v>1</v>
      </c>
      <c r="U2099" s="1" t="s">
        <v>1022</v>
      </c>
      <c r="V2099" s="1"/>
      <c r="W2099">
        <v>114923.90846999999</v>
      </c>
      <c r="X2099">
        <v>0</v>
      </c>
      <c r="Y2099">
        <v>60686</v>
      </c>
    </row>
    <row r="2100" spans="1:25" ht="15" hidden="1" customHeight="1" x14ac:dyDescent="0.25">
      <c r="A2100" s="1" t="s">
        <v>32</v>
      </c>
      <c r="B2100" s="1" t="s">
        <v>68</v>
      </c>
      <c r="C2100" s="1" t="s">
        <v>163</v>
      </c>
      <c r="D2100">
        <v>6031</v>
      </c>
      <c r="E2100" s="1"/>
      <c r="F2100" s="1" t="s">
        <v>295</v>
      </c>
      <c r="G2100" s="1" t="s">
        <v>163</v>
      </c>
      <c r="H2100" s="1" t="s">
        <v>1405</v>
      </c>
      <c r="I2100">
        <v>2012</v>
      </c>
      <c r="J2100" s="93">
        <v>1708.62</v>
      </c>
      <c r="K2100">
        <v>10</v>
      </c>
      <c r="L2100" s="1" t="s">
        <v>433</v>
      </c>
      <c r="M2100">
        <v>0</v>
      </c>
      <c r="N2100">
        <v>0</v>
      </c>
      <c r="O2100">
        <v>17086.2</v>
      </c>
      <c r="P2100">
        <v>2</v>
      </c>
      <c r="Q2100" s="1" t="s">
        <v>569</v>
      </c>
      <c r="R2100" s="93">
        <v>1708.62</v>
      </c>
      <c r="S2100">
        <v>683.44</v>
      </c>
      <c r="T2100">
        <v>1</v>
      </c>
      <c r="U2100" s="1" t="s">
        <v>1024</v>
      </c>
      <c r="V2100" s="1"/>
      <c r="W2100">
        <v>1708.6187500000001</v>
      </c>
      <c r="X2100">
        <v>0</v>
      </c>
      <c r="Y2100">
        <v>62511</v>
      </c>
    </row>
    <row r="2101" spans="1:25" ht="15" hidden="1" customHeight="1" x14ac:dyDescent="0.25">
      <c r="A2101" s="1" t="s">
        <v>32</v>
      </c>
      <c r="B2101" s="1" t="s">
        <v>68</v>
      </c>
      <c r="C2101" s="1" t="s">
        <v>163</v>
      </c>
      <c r="D2101">
        <v>6031</v>
      </c>
      <c r="E2101" s="1"/>
      <c r="F2101" s="1" t="s">
        <v>295</v>
      </c>
      <c r="G2101" s="1" t="s">
        <v>163</v>
      </c>
      <c r="H2101" s="1" t="s">
        <v>1405</v>
      </c>
      <c r="I2101">
        <v>2011</v>
      </c>
      <c r="J2101" s="93">
        <v>122910.31</v>
      </c>
      <c r="K2101">
        <v>13</v>
      </c>
      <c r="L2101" s="1" t="s">
        <v>499</v>
      </c>
      <c r="M2101">
        <v>0</v>
      </c>
      <c r="N2101">
        <v>0</v>
      </c>
      <c r="O2101">
        <v>1229103.1000000001</v>
      </c>
      <c r="P2101">
        <v>2</v>
      </c>
      <c r="Q2101" s="1" t="s">
        <v>569</v>
      </c>
      <c r="R2101" s="93">
        <v>122910.31</v>
      </c>
      <c r="S2101">
        <v>57644.92</v>
      </c>
      <c r="T2101">
        <v>1</v>
      </c>
      <c r="U2101" s="1" t="s">
        <v>1022</v>
      </c>
      <c r="V2101" s="1"/>
      <c r="W2101">
        <v>122910.30967</v>
      </c>
      <c r="X2101">
        <v>0</v>
      </c>
      <c r="Y2101">
        <v>60686</v>
      </c>
    </row>
    <row r="2102" spans="1:25" ht="15" hidden="1" customHeight="1" x14ac:dyDescent="0.25">
      <c r="A2102" s="1" t="s">
        <v>32</v>
      </c>
      <c r="B2102" s="1" t="s">
        <v>68</v>
      </c>
      <c r="C2102" s="1" t="s">
        <v>163</v>
      </c>
      <c r="D2102">
        <v>6031</v>
      </c>
      <c r="E2102" s="1"/>
      <c r="F2102" s="1" t="s">
        <v>295</v>
      </c>
      <c r="G2102" s="1" t="s">
        <v>163</v>
      </c>
      <c r="H2102" s="1" t="s">
        <v>1405</v>
      </c>
      <c r="I2102">
        <v>2011</v>
      </c>
      <c r="J2102" s="93">
        <v>924</v>
      </c>
      <c r="K2102">
        <v>11</v>
      </c>
      <c r="L2102" s="1" t="s">
        <v>433</v>
      </c>
      <c r="M2102">
        <v>0</v>
      </c>
      <c r="N2102">
        <v>0</v>
      </c>
      <c r="O2102">
        <v>9240</v>
      </c>
      <c r="P2102">
        <v>2</v>
      </c>
      <c r="Q2102" s="1" t="s">
        <v>569</v>
      </c>
      <c r="R2102" s="93">
        <v>924</v>
      </c>
      <c r="S2102">
        <v>433.36</v>
      </c>
      <c r="T2102">
        <v>0</v>
      </c>
      <c r="U2102" s="1" t="s">
        <v>1023</v>
      </c>
      <c r="V2102" s="1"/>
      <c r="W2102">
        <v>924</v>
      </c>
      <c r="X2102">
        <v>0</v>
      </c>
      <c r="Y2102">
        <v>60687</v>
      </c>
    </row>
    <row r="2103" spans="1:25" ht="15" hidden="1" customHeight="1" x14ac:dyDescent="0.25">
      <c r="A2103" s="1" t="s">
        <v>32</v>
      </c>
      <c r="B2103" s="1" t="s">
        <v>68</v>
      </c>
      <c r="C2103" s="1" t="s">
        <v>163</v>
      </c>
      <c r="D2103">
        <v>6031</v>
      </c>
      <c r="E2103" s="1"/>
      <c r="F2103" s="1" t="s">
        <v>295</v>
      </c>
      <c r="G2103" s="1" t="s">
        <v>163</v>
      </c>
      <c r="H2103" s="1" t="s">
        <v>1405</v>
      </c>
      <c r="I2103">
        <v>2011</v>
      </c>
      <c r="J2103" s="93">
        <v>2044.64</v>
      </c>
      <c r="K2103">
        <v>11</v>
      </c>
      <c r="L2103" s="1" t="s">
        <v>433</v>
      </c>
      <c r="M2103">
        <v>0</v>
      </c>
      <c r="N2103">
        <v>0</v>
      </c>
      <c r="O2103">
        <v>20446.400000000001</v>
      </c>
      <c r="P2103">
        <v>2</v>
      </c>
      <c r="Q2103" s="1" t="s">
        <v>569</v>
      </c>
      <c r="R2103" s="93">
        <v>2044.64</v>
      </c>
      <c r="S2103">
        <v>958.94</v>
      </c>
      <c r="T2103">
        <v>1</v>
      </c>
      <c r="U2103" s="1" t="s">
        <v>1024</v>
      </c>
      <c r="V2103" s="1"/>
      <c r="W2103">
        <v>2044.6322500000001</v>
      </c>
      <c r="X2103">
        <v>0</v>
      </c>
      <c r="Y2103">
        <v>62511</v>
      </c>
    </row>
    <row r="2104" spans="1:25" ht="15" hidden="1" customHeight="1" x14ac:dyDescent="0.25">
      <c r="A2104" s="1" t="s">
        <v>32</v>
      </c>
      <c r="B2104" s="1" t="s">
        <v>68</v>
      </c>
      <c r="C2104" s="1" t="s">
        <v>163</v>
      </c>
      <c r="D2104">
        <v>6031</v>
      </c>
      <c r="E2104" s="1"/>
      <c r="F2104" s="1" t="s">
        <v>295</v>
      </c>
      <c r="G2104" s="1" t="s">
        <v>163</v>
      </c>
      <c r="H2104" s="1" t="s">
        <v>1405</v>
      </c>
      <c r="I2104">
        <v>2010</v>
      </c>
      <c r="J2104" s="93">
        <v>1113</v>
      </c>
      <c r="K2104">
        <v>12</v>
      </c>
      <c r="L2104" s="1" t="s">
        <v>433</v>
      </c>
      <c r="M2104">
        <v>0</v>
      </c>
      <c r="N2104">
        <v>0</v>
      </c>
      <c r="O2104">
        <v>11130</v>
      </c>
      <c r="P2104">
        <v>2</v>
      </c>
      <c r="Q2104" s="1" t="s">
        <v>569</v>
      </c>
      <c r="R2104" s="93">
        <v>1113</v>
      </c>
      <c r="S2104">
        <v>522</v>
      </c>
      <c r="T2104">
        <v>0</v>
      </c>
      <c r="U2104" s="1" t="s">
        <v>1023</v>
      </c>
      <c r="V2104" s="1"/>
      <c r="W2104">
        <v>1113</v>
      </c>
      <c r="X2104">
        <v>0</v>
      </c>
      <c r="Y2104">
        <v>60687</v>
      </c>
    </row>
    <row r="2105" spans="1:25" ht="15" hidden="1" customHeight="1" x14ac:dyDescent="0.25">
      <c r="A2105" s="1" t="s">
        <v>32</v>
      </c>
      <c r="B2105" s="1" t="s">
        <v>68</v>
      </c>
      <c r="C2105" s="1" t="s">
        <v>163</v>
      </c>
      <c r="D2105">
        <v>6031</v>
      </c>
      <c r="E2105" s="1"/>
      <c r="F2105" s="1" t="s">
        <v>295</v>
      </c>
      <c r="G2105" s="1" t="s">
        <v>163</v>
      </c>
      <c r="H2105" s="1" t="s">
        <v>1405</v>
      </c>
      <c r="I2105">
        <v>2010</v>
      </c>
      <c r="J2105" s="93">
        <v>146109.71</v>
      </c>
      <c r="K2105">
        <v>12</v>
      </c>
      <c r="L2105" s="1" t="s">
        <v>499</v>
      </c>
      <c r="M2105">
        <v>0</v>
      </c>
      <c r="N2105">
        <v>0</v>
      </c>
      <c r="O2105">
        <v>1461097.1</v>
      </c>
      <c r="P2105">
        <v>2</v>
      </c>
      <c r="Q2105" s="1" t="s">
        <v>569</v>
      </c>
      <c r="R2105" s="93">
        <v>146109.71</v>
      </c>
      <c r="S2105">
        <v>68525.45</v>
      </c>
      <c r="T2105">
        <v>1</v>
      </c>
      <c r="U2105" s="1" t="s">
        <v>1022</v>
      </c>
      <c r="V2105" s="1"/>
      <c r="W2105">
        <v>146109.71139000001</v>
      </c>
      <c r="X2105">
        <v>0</v>
      </c>
      <c r="Y2105">
        <v>60686</v>
      </c>
    </row>
    <row r="2106" spans="1:25" ht="15" hidden="1" customHeight="1" x14ac:dyDescent="0.25">
      <c r="A2106" s="1" t="s">
        <v>32</v>
      </c>
      <c r="B2106" s="1" t="s">
        <v>68</v>
      </c>
      <c r="C2106" s="1" t="s">
        <v>163</v>
      </c>
      <c r="D2106">
        <v>6031</v>
      </c>
      <c r="E2106" s="1"/>
      <c r="F2106" s="1" t="s">
        <v>295</v>
      </c>
      <c r="G2106" s="1" t="s">
        <v>163</v>
      </c>
      <c r="H2106" s="1" t="s">
        <v>1405</v>
      </c>
      <c r="I2106">
        <v>2010</v>
      </c>
      <c r="J2106" s="93">
        <v>2980.43</v>
      </c>
      <c r="K2106">
        <v>12</v>
      </c>
      <c r="L2106" s="1" t="s">
        <v>433</v>
      </c>
      <c r="M2106">
        <v>0</v>
      </c>
      <c r="N2106">
        <v>0</v>
      </c>
      <c r="O2106">
        <v>29804.3</v>
      </c>
      <c r="P2106">
        <v>2</v>
      </c>
      <c r="Q2106" s="1" t="s">
        <v>569</v>
      </c>
      <c r="R2106" s="93">
        <v>2980.43</v>
      </c>
      <c r="S2106">
        <v>1397.83</v>
      </c>
      <c r="T2106">
        <v>1</v>
      </c>
      <c r="U2106" s="1" t="s">
        <v>1024</v>
      </c>
      <c r="V2106" s="1"/>
      <c r="W2106">
        <v>2980.4414200000001</v>
      </c>
      <c r="X2106">
        <v>0</v>
      </c>
      <c r="Y2106">
        <v>62511</v>
      </c>
    </row>
    <row r="2107" spans="1:25" ht="15" hidden="1" customHeight="1" x14ac:dyDescent="0.25">
      <c r="A2107" s="1" t="s">
        <v>32</v>
      </c>
      <c r="B2107" s="1" t="s">
        <v>68</v>
      </c>
      <c r="C2107" s="1" t="s">
        <v>163</v>
      </c>
      <c r="D2107">
        <v>6031</v>
      </c>
      <c r="E2107" s="1"/>
      <c r="F2107" s="1" t="s">
        <v>295</v>
      </c>
      <c r="G2107" s="1" t="s">
        <v>163</v>
      </c>
      <c r="H2107" s="1" t="s">
        <v>1405</v>
      </c>
      <c r="I2107">
        <v>2009</v>
      </c>
      <c r="J2107" s="93">
        <v>384</v>
      </c>
      <c r="K2107">
        <v>12</v>
      </c>
      <c r="L2107" s="1" t="s">
        <v>433</v>
      </c>
      <c r="M2107">
        <v>0</v>
      </c>
      <c r="N2107">
        <v>0</v>
      </c>
      <c r="O2107">
        <v>3840</v>
      </c>
      <c r="P2107">
        <v>2</v>
      </c>
      <c r="Q2107" s="1" t="s">
        <v>569</v>
      </c>
      <c r="R2107" s="93">
        <v>384</v>
      </c>
      <c r="S2107">
        <v>180.09</v>
      </c>
      <c r="T2107">
        <v>0</v>
      </c>
      <c r="U2107" s="1" t="s">
        <v>1023</v>
      </c>
      <c r="V2107" s="1"/>
      <c r="W2107">
        <v>384</v>
      </c>
      <c r="X2107">
        <v>0</v>
      </c>
      <c r="Y2107">
        <v>60687</v>
      </c>
    </row>
    <row r="2108" spans="1:25" ht="15" hidden="1" customHeight="1" x14ac:dyDescent="0.25">
      <c r="A2108" s="1" t="s">
        <v>32</v>
      </c>
      <c r="B2108" s="1" t="s">
        <v>68</v>
      </c>
      <c r="C2108" s="1" t="s">
        <v>163</v>
      </c>
      <c r="D2108">
        <v>6031</v>
      </c>
      <c r="E2108" s="1"/>
      <c r="F2108" s="1" t="s">
        <v>295</v>
      </c>
      <c r="G2108" s="1" t="s">
        <v>163</v>
      </c>
      <c r="H2108" s="1" t="s">
        <v>1405</v>
      </c>
      <c r="I2108">
        <v>2009</v>
      </c>
      <c r="J2108" s="93">
        <v>158843.04999999999</v>
      </c>
      <c r="K2108">
        <v>12</v>
      </c>
      <c r="L2108" s="1" t="s">
        <v>499</v>
      </c>
      <c r="M2108">
        <v>0</v>
      </c>
      <c r="N2108">
        <v>0</v>
      </c>
      <c r="O2108">
        <v>1588430.5</v>
      </c>
      <c r="P2108">
        <v>2</v>
      </c>
      <c r="Q2108" s="1" t="s">
        <v>569</v>
      </c>
      <c r="R2108" s="93">
        <v>158843.04999999999</v>
      </c>
      <c r="S2108">
        <v>74497.38</v>
      </c>
      <c r="T2108">
        <v>1</v>
      </c>
      <c r="U2108" s="1" t="s">
        <v>1022</v>
      </c>
      <c r="V2108" s="1"/>
      <c r="W2108">
        <v>158843.04954000001</v>
      </c>
      <c r="X2108">
        <v>0</v>
      </c>
      <c r="Y2108">
        <v>60686</v>
      </c>
    </row>
    <row r="2109" spans="1:25" ht="15" hidden="1" customHeight="1" x14ac:dyDescent="0.25">
      <c r="A2109" s="1" t="s">
        <v>32</v>
      </c>
      <c r="B2109" s="1" t="s">
        <v>68</v>
      </c>
      <c r="C2109" s="1" t="s">
        <v>163</v>
      </c>
      <c r="D2109">
        <v>6031</v>
      </c>
      <c r="E2109" s="1"/>
      <c r="F2109" s="1" t="s">
        <v>295</v>
      </c>
      <c r="G2109" s="1" t="s">
        <v>163</v>
      </c>
      <c r="H2109" s="1" t="s">
        <v>1405</v>
      </c>
      <c r="I2109">
        <v>2009</v>
      </c>
      <c r="J2109" s="93">
        <v>4572.59</v>
      </c>
      <c r="K2109">
        <v>12</v>
      </c>
      <c r="L2109" s="1" t="s">
        <v>433</v>
      </c>
      <c r="M2109">
        <v>0</v>
      </c>
      <c r="N2109">
        <v>0</v>
      </c>
      <c r="O2109">
        <v>45725.9</v>
      </c>
      <c r="P2109">
        <v>2</v>
      </c>
      <c r="Q2109" s="1" t="s">
        <v>569</v>
      </c>
      <c r="R2109" s="93">
        <v>4572.59</v>
      </c>
      <c r="S2109">
        <v>2144.5500000000002</v>
      </c>
      <c r="T2109">
        <v>1</v>
      </c>
      <c r="U2109" s="1" t="s">
        <v>1024</v>
      </c>
      <c r="V2109" s="1"/>
      <c r="W2109">
        <v>4572.5851400000001</v>
      </c>
      <c r="X2109">
        <v>0</v>
      </c>
      <c r="Y2109">
        <v>62511</v>
      </c>
    </row>
    <row r="2110" spans="1:25" ht="15" hidden="1" customHeight="1" x14ac:dyDescent="0.25">
      <c r="A2110" s="1" t="s">
        <v>32</v>
      </c>
      <c r="B2110" s="1" t="s">
        <v>68</v>
      </c>
      <c r="C2110" s="1" t="s">
        <v>163</v>
      </c>
      <c r="D2110">
        <v>6031</v>
      </c>
      <c r="E2110" s="1"/>
      <c r="F2110" s="1" t="s">
        <v>295</v>
      </c>
      <c r="G2110" s="1" t="s">
        <v>163</v>
      </c>
      <c r="H2110" s="1" t="s">
        <v>1405</v>
      </c>
      <c r="I2110">
        <v>2008</v>
      </c>
      <c r="J2110" s="93">
        <v>1215</v>
      </c>
      <c r="K2110">
        <v>12</v>
      </c>
      <c r="L2110" s="1" t="s">
        <v>433</v>
      </c>
      <c r="M2110">
        <v>0</v>
      </c>
      <c r="N2110">
        <v>0</v>
      </c>
      <c r="O2110">
        <v>12150</v>
      </c>
      <c r="P2110">
        <v>2</v>
      </c>
      <c r="Q2110" s="1" t="s">
        <v>569</v>
      </c>
      <c r="R2110" s="93">
        <v>1215</v>
      </c>
      <c r="S2110">
        <v>569.84</v>
      </c>
      <c r="T2110">
        <v>0</v>
      </c>
      <c r="U2110" s="1" t="s">
        <v>1023</v>
      </c>
      <c r="V2110" s="1"/>
      <c r="W2110">
        <v>1215</v>
      </c>
      <c r="X2110">
        <v>0</v>
      </c>
      <c r="Y2110">
        <v>60687</v>
      </c>
    </row>
    <row r="2111" spans="1:25" ht="15" hidden="1" customHeight="1" x14ac:dyDescent="0.25">
      <c r="A2111" s="1" t="s">
        <v>32</v>
      </c>
      <c r="B2111" s="1" t="s">
        <v>68</v>
      </c>
      <c r="C2111" s="1" t="s">
        <v>163</v>
      </c>
      <c r="D2111">
        <v>6031</v>
      </c>
      <c r="E2111" s="1"/>
      <c r="F2111" s="1" t="s">
        <v>295</v>
      </c>
      <c r="G2111" s="1" t="s">
        <v>163</v>
      </c>
      <c r="H2111" s="1" t="s">
        <v>1405</v>
      </c>
      <c r="I2111">
        <v>2008</v>
      </c>
      <c r="J2111" s="93">
        <v>117311.39</v>
      </c>
      <c r="K2111">
        <v>8</v>
      </c>
      <c r="L2111" s="1" t="s">
        <v>499</v>
      </c>
      <c r="M2111">
        <v>0</v>
      </c>
      <c r="N2111">
        <v>0</v>
      </c>
      <c r="O2111">
        <v>1173113.8999999999</v>
      </c>
      <c r="P2111">
        <v>2</v>
      </c>
      <c r="Q2111" s="1" t="s">
        <v>569</v>
      </c>
      <c r="R2111" s="93">
        <v>117311.39</v>
      </c>
      <c r="S2111">
        <v>55019.02</v>
      </c>
      <c r="T2111">
        <v>1</v>
      </c>
      <c r="U2111" s="1" t="s">
        <v>1022</v>
      </c>
      <c r="V2111" s="1"/>
      <c r="W2111">
        <v>117311.38657</v>
      </c>
      <c r="X2111">
        <v>0</v>
      </c>
      <c r="Y2111">
        <v>60686</v>
      </c>
    </row>
    <row r="2112" spans="1:25" ht="15" hidden="1" customHeight="1" x14ac:dyDescent="0.25">
      <c r="A2112" s="1" t="s">
        <v>32</v>
      </c>
      <c r="B2112" s="1" t="s">
        <v>68</v>
      </c>
      <c r="C2112" s="1" t="s">
        <v>163</v>
      </c>
      <c r="D2112">
        <v>6031</v>
      </c>
      <c r="E2112" s="1"/>
      <c r="F2112" s="1" t="s">
        <v>295</v>
      </c>
      <c r="G2112" s="1" t="s">
        <v>163</v>
      </c>
      <c r="H2112" s="1" t="s">
        <v>1405</v>
      </c>
      <c r="I2112">
        <v>2008</v>
      </c>
      <c r="J2112" s="93">
        <v>2345.16</v>
      </c>
      <c r="K2112">
        <v>12</v>
      </c>
      <c r="L2112" s="1" t="s">
        <v>433</v>
      </c>
      <c r="M2112">
        <v>0</v>
      </c>
      <c r="N2112">
        <v>0</v>
      </c>
      <c r="O2112">
        <v>23451.599999999999</v>
      </c>
      <c r="P2112">
        <v>2</v>
      </c>
      <c r="Q2112" s="1" t="s">
        <v>569</v>
      </c>
      <c r="R2112" s="93">
        <v>2345.16</v>
      </c>
      <c r="S2112">
        <v>1099.8800000000001</v>
      </c>
      <c r="T2112">
        <v>1</v>
      </c>
      <c r="U2112" s="1" t="s">
        <v>1024</v>
      </c>
      <c r="V2112" s="1"/>
      <c r="W2112">
        <v>2345.1669900000002</v>
      </c>
      <c r="X2112">
        <v>0</v>
      </c>
      <c r="Y2112">
        <v>62511</v>
      </c>
    </row>
    <row r="2113" spans="1:25" ht="15" hidden="1" customHeight="1" x14ac:dyDescent="0.25">
      <c r="A2113" s="1" t="s">
        <v>32</v>
      </c>
      <c r="B2113" s="1"/>
      <c r="C2113" s="1" t="s">
        <v>164</v>
      </c>
      <c r="D2113">
        <v>10207</v>
      </c>
      <c r="E2113" s="1"/>
      <c r="F2113" s="1" t="s">
        <v>296</v>
      </c>
      <c r="G2113" s="1" t="s">
        <v>164</v>
      </c>
      <c r="H2113" s="1" t="s">
        <v>1405</v>
      </c>
      <c r="I2113">
        <v>2015</v>
      </c>
      <c r="J2113" s="93">
        <v>9939</v>
      </c>
      <c r="K2113">
        <v>5</v>
      </c>
      <c r="L2113" s="1" t="s">
        <v>426</v>
      </c>
      <c r="M2113">
        <v>0</v>
      </c>
      <c r="N2113">
        <v>505</v>
      </c>
      <c r="O2113">
        <v>8.0257769999999997</v>
      </c>
      <c r="P2113">
        <v>2</v>
      </c>
      <c r="Q2113" s="1" t="s">
        <v>569</v>
      </c>
      <c r="R2113" s="93">
        <v>4053.82</v>
      </c>
      <c r="S2113">
        <v>1216.1500000000001</v>
      </c>
      <c r="T2113">
        <v>0</v>
      </c>
      <c r="U2113" s="1" t="s">
        <v>1025</v>
      </c>
      <c r="V2113" s="1" t="s">
        <v>1301</v>
      </c>
      <c r="W2113">
        <v>4053.826</v>
      </c>
      <c r="X2113">
        <v>0</v>
      </c>
      <c r="Y2113">
        <v>77399</v>
      </c>
    </row>
    <row r="2114" spans="1:25" ht="15" hidden="1" customHeight="1" x14ac:dyDescent="0.25">
      <c r="A2114" s="1" t="s">
        <v>32</v>
      </c>
      <c r="B2114" s="1"/>
      <c r="C2114" s="1" t="s">
        <v>164</v>
      </c>
      <c r="D2114">
        <v>10207</v>
      </c>
      <c r="E2114" s="1"/>
      <c r="F2114" s="1" t="s">
        <v>296</v>
      </c>
      <c r="G2114" s="1" t="s">
        <v>164</v>
      </c>
      <c r="H2114" s="1" t="s">
        <v>1405</v>
      </c>
      <c r="I2114">
        <v>2013</v>
      </c>
      <c r="J2114" s="93">
        <v>14695.89</v>
      </c>
      <c r="K2114">
        <v>12</v>
      </c>
      <c r="L2114" s="1" t="s">
        <v>426</v>
      </c>
      <c r="M2114">
        <v>0</v>
      </c>
      <c r="N2114">
        <v>505</v>
      </c>
      <c r="O2114">
        <v>29.095009999999998</v>
      </c>
      <c r="P2114">
        <v>2</v>
      </c>
      <c r="Q2114" s="1" t="s">
        <v>569</v>
      </c>
      <c r="R2114" s="93">
        <v>14695.89</v>
      </c>
      <c r="S2114">
        <v>4408.7700000000004</v>
      </c>
      <c r="T2114">
        <v>0</v>
      </c>
      <c r="U2114" s="1" t="s">
        <v>1025</v>
      </c>
      <c r="V2114" s="1" t="s">
        <v>1301</v>
      </c>
      <c r="W2114">
        <v>14695.894</v>
      </c>
      <c r="X2114">
        <v>0</v>
      </c>
      <c r="Y2114">
        <v>77399</v>
      </c>
    </row>
    <row r="2115" spans="1:25" ht="15" hidden="1" customHeight="1" x14ac:dyDescent="0.25">
      <c r="A2115" s="1" t="s">
        <v>32</v>
      </c>
      <c r="B2115" s="1"/>
      <c r="C2115" s="1" t="s">
        <v>164</v>
      </c>
      <c r="D2115">
        <v>10207</v>
      </c>
      <c r="E2115" s="1"/>
      <c r="F2115" s="1" t="s">
        <v>296</v>
      </c>
      <c r="G2115" s="1" t="s">
        <v>164</v>
      </c>
      <c r="H2115" s="1" t="s">
        <v>1405</v>
      </c>
      <c r="I2115">
        <v>2012</v>
      </c>
      <c r="J2115" s="93">
        <v>12294.21</v>
      </c>
      <c r="K2115">
        <v>12</v>
      </c>
      <c r="L2115" s="1" t="s">
        <v>426</v>
      </c>
      <c r="M2115">
        <v>0</v>
      </c>
      <c r="N2115">
        <v>505</v>
      </c>
      <c r="O2115">
        <v>24.340150000000001</v>
      </c>
      <c r="P2115">
        <v>2</v>
      </c>
      <c r="Q2115" s="1" t="s">
        <v>569</v>
      </c>
      <c r="R2115" s="93">
        <v>12294.21</v>
      </c>
      <c r="S2115">
        <v>4917.7</v>
      </c>
      <c r="T2115">
        <v>0</v>
      </c>
      <c r="U2115" s="1" t="s">
        <v>1025</v>
      </c>
      <c r="V2115" s="1" t="s">
        <v>1301</v>
      </c>
      <c r="W2115">
        <v>12294.207</v>
      </c>
      <c r="X2115">
        <v>0</v>
      </c>
      <c r="Y2115">
        <v>77399</v>
      </c>
    </row>
    <row r="2116" spans="1:25" ht="15" hidden="1" customHeight="1" x14ac:dyDescent="0.25">
      <c r="A2116" s="1" t="s">
        <v>32</v>
      </c>
      <c r="B2116" s="1"/>
      <c r="C2116" s="1" t="s">
        <v>164</v>
      </c>
      <c r="D2116">
        <v>10207</v>
      </c>
      <c r="E2116" s="1"/>
      <c r="F2116" s="1" t="s">
        <v>296</v>
      </c>
      <c r="G2116" s="1" t="s">
        <v>164</v>
      </c>
      <c r="H2116" s="1" t="s">
        <v>1405</v>
      </c>
      <c r="I2116">
        <v>2011</v>
      </c>
      <c r="J2116" s="93">
        <v>9790.56</v>
      </c>
      <c r="K2116">
        <v>3</v>
      </c>
      <c r="L2116" s="1" t="s">
        <v>426</v>
      </c>
      <c r="M2116">
        <v>0</v>
      </c>
      <c r="N2116">
        <v>505</v>
      </c>
      <c r="O2116">
        <v>19.383409</v>
      </c>
      <c r="P2116">
        <v>2</v>
      </c>
      <c r="Q2116" s="1" t="s">
        <v>569</v>
      </c>
      <c r="R2116" s="93">
        <v>9790.56</v>
      </c>
      <c r="S2116">
        <v>4591.7700000000004</v>
      </c>
      <c r="T2116">
        <v>0</v>
      </c>
      <c r="U2116" s="1" t="s">
        <v>1025</v>
      </c>
      <c r="V2116" s="1" t="s">
        <v>1301</v>
      </c>
      <c r="W2116">
        <v>9790.5600200000008</v>
      </c>
      <c r="X2116">
        <v>0</v>
      </c>
      <c r="Y2116">
        <v>77399</v>
      </c>
    </row>
    <row r="2117" spans="1:25" ht="15" hidden="1" customHeight="1" x14ac:dyDescent="0.25">
      <c r="A2117" s="1" t="s">
        <v>32</v>
      </c>
      <c r="B2117" s="1"/>
      <c r="C2117" s="1" t="s">
        <v>164</v>
      </c>
      <c r="D2117">
        <v>10207</v>
      </c>
      <c r="E2117" s="1"/>
      <c r="F2117" s="1" t="s">
        <v>296</v>
      </c>
      <c r="G2117" s="1" t="s">
        <v>164</v>
      </c>
      <c r="H2117" s="1" t="s">
        <v>1405</v>
      </c>
      <c r="I2117">
        <v>2010</v>
      </c>
      <c r="J2117" s="93">
        <v>12505.92</v>
      </c>
      <c r="K2117">
        <v>3</v>
      </c>
      <c r="L2117" s="1" t="s">
        <v>426</v>
      </c>
      <c r="M2117">
        <v>0</v>
      </c>
      <c r="N2117">
        <v>505</v>
      </c>
      <c r="O2117">
        <v>24.759295000000002</v>
      </c>
      <c r="P2117">
        <v>2</v>
      </c>
      <c r="Q2117" s="1" t="s">
        <v>569</v>
      </c>
      <c r="R2117" s="93">
        <v>12505.92</v>
      </c>
      <c r="S2117">
        <v>5865.28</v>
      </c>
      <c r="T2117">
        <v>0</v>
      </c>
      <c r="U2117" s="1" t="s">
        <v>1025</v>
      </c>
      <c r="V2117" s="1" t="s">
        <v>1301</v>
      </c>
      <c r="W2117">
        <v>12505.9139</v>
      </c>
      <c r="X2117">
        <v>0</v>
      </c>
      <c r="Y2117">
        <v>77399</v>
      </c>
    </row>
    <row r="2118" spans="1:25" ht="15" hidden="1" customHeight="1" x14ac:dyDescent="0.25">
      <c r="A2118" s="1" t="s">
        <v>32</v>
      </c>
      <c r="B2118" s="1"/>
      <c r="C2118" s="1" t="s">
        <v>164</v>
      </c>
      <c r="D2118">
        <v>10207</v>
      </c>
      <c r="E2118" s="1"/>
      <c r="F2118" s="1" t="s">
        <v>296</v>
      </c>
      <c r="G2118" s="1" t="s">
        <v>164</v>
      </c>
      <c r="H2118" s="1" t="s">
        <v>1405</v>
      </c>
      <c r="I2118">
        <v>2009</v>
      </c>
      <c r="J2118" s="93">
        <v>13360.55</v>
      </c>
      <c r="K2118">
        <v>0</v>
      </c>
      <c r="L2118" s="1" t="s">
        <v>426</v>
      </c>
      <c r="M2118">
        <v>0</v>
      </c>
      <c r="N2118">
        <v>505</v>
      </c>
      <c r="O2118">
        <v>26.451295999999999</v>
      </c>
      <c r="P2118">
        <v>2</v>
      </c>
      <c r="Q2118" s="1" t="s">
        <v>569</v>
      </c>
      <c r="R2118" s="93">
        <v>13360.55</v>
      </c>
      <c r="S2118">
        <v>6266.1</v>
      </c>
      <c r="T2118">
        <v>0</v>
      </c>
      <c r="U2118" s="1" t="s">
        <v>1025</v>
      </c>
      <c r="V2118" s="1" t="s">
        <v>1301</v>
      </c>
      <c r="W2118">
        <v>13360.532209999999</v>
      </c>
      <c r="X2118">
        <v>0</v>
      </c>
      <c r="Y2118">
        <v>77399</v>
      </c>
    </row>
    <row r="2119" spans="1:25" ht="15" hidden="1" customHeight="1" x14ac:dyDescent="0.25">
      <c r="A2119" s="1" t="s">
        <v>32</v>
      </c>
      <c r="B2119" s="1"/>
      <c r="C2119" s="1" t="s">
        <v>164</v>
      </c>
      <c r="D2119">
        <v>10207</v>
      </c>
      <c r="E2119" s="1"/>
      <c r="F2119" s="1" t="s">
        <v>296</v>
      </c>
      <c r="G2119" s="1" t="s">
        <v>164</v>
      </c>
      <c r="H2119" s="1" t="s">
        <v>1405</v>
      </c>
      <c r="I2119">
        <v>2008</v>
      </c>
      <c r="J2119" s="93">
        <v>13203.23</v>
      </c>
      <c r="K2119">
        <v>6</v>
      </c>
      <c r="L2119" s="1" t="s">
        <v>426</v>
      </c>
      <c r="M2119">
        <v>0</v>
      </c>
      <c r="N2119">
        <v>505</v>
      </c>
      <c r="O2119">
        <v>26.139832999999999</v>
      </c>
      <c r="P2119">
        <v>2</v>
      </c>
      <c r="Q2119" s="1" t="s">
        <v>569</v>
      </c>
      <c r="R2119" s="93">
        <v>13203.23</v>
      </c>
      <c r="S2119">
        <v>6192.33</v>
      </c>
      <c r="T2119">
        <v>0</v>
      </c>
      <c r="U2119" s="1" t="s">
        <v>1025</v>
      </c>
      <c r="V2119" s="1" t="s">
        <v>1301</v>
      </c>
      <c r="W2119">
        <v>13203.22892</v>
      </c>
      <c r="X2119">
        <v>0</v>
      </c>
      <c r="Y2119">
        <v>77399</v>
      </c>
    </row>
    <row r="2120" spans="1:25" ht="15" hidden="1" customHeight="1" x14ac:dyDescent="0.25">
      <c r="A2120" s="1" t="s">
        <v>32</v>
      </c>
      <c r="B2120" s="1"/>
      <c r="C2120" s="1" t="s">
        <v>165</v>
      </c>
      <c r="D2120">
        <v>10204</v>
      </c>
      <c r="E2120" s="1"/>
      <c r="F2120" s="1" t="s">
        <v>297</v>
      </c>
      <c r="G2120" s="1" t="s">
        <v>165</v>
      </c>
      <c r="H2120" s="1" t="s">
        <v>1405</v>
      </c>
      <c r="I2120">
        <v>2015</v>
      </c>
      <c r="J2120" s="93">
        <v>9970</v>
      </c>
      <c r="K2120">
        <v>5</v>
      </c>
      <c r="L2120" s="1" t="s">
        <v>423</v>
      </c>
      <c r="M2120">
        <v>0</v>
      </c>
      <c r="N2120">
        <v>445</v>
      </c>
      <c r="O2120">
        <v>8.7925179999999994</v>
      </c>
      <c r="P2120">
        <v>2</v>
      </c>
      <c r="Q2120" s="1" t="s">
        <v>569</v>
      </c>
      <c r="R2120" s="93">
        <v>3913.55</v>
      </c>
      <c r="S2120">
        <v>1174.06</v>
      </c>
      <c r="T2120">
        <v>0</v>
      </c>
      <c r="U2120" s="1" t="s">
        <v>1026</v>
      </c>
      <c r="V2120" s="1" t="s">
        <v>1302</v>
      </c>
      <c r="W2120">
        <v>3913.5410000000002</v>
      </c>
      <c r="X2120">
        <v>0</v>
      </c>
      <c r="Y2120">
        <v>77386</v>
      </c>
    </row>
    <row r="2121" spans="1:25" ht="15" hidden="1" customHeight="1" x14ac:dyDescent="0.25">
      <c r="A2121" s="1" t="s">
        <v>32</v>
      </c>
      <c r="B2121" s="1"/>
      <c r="C2121" s="1" t="s">
        <v>165</v>
      </c>
      <c r="D2121">
        <v>10204</v>
      </c>
      <c r="E2121" s="1"/>
      <c r="F2121" s="1" t="s">
        <v>297</v>
      </c>
      <c r="G2121" s="1" t="s">
        <v>165</v>
      </c>
      <c r="H2121" s="1" t="s">
        <v>1405</v>
      </c>
      <c r="I2121">
        <v>2013</v>
      </c>
      <c r="J2121" s="93">
        <v>12708.84</v>
      </c>
      <c r="K2121">
        <v>12</v>
      </c>
      <c r="L2121" s="1" t="s">
        <v>423</v>
      </c>
      <c r="M2121">
        <v>0</v>
      </c>
      <c r="N2121">
        <v>445</v>
      </c>
      <c r="O2121">
        <v>28.552773999999999</v>
      </c>
      <c r="P2121">
        <v>2</v>
      </c>
      <c r="Q2121" s="1" t="s">
        <v>569</v>
      </c>
      <c r="R2121" s="93">
        <v>12708.84</v>
      </c>
      <c r="S2121">
        <v>3812.64</v>
      </c>
      <c r="T2121">
        <v>0</v>
      </c>
      <c r="U2121" s="1" t="s">
        <v>1026</v>
      </c>
      <c r="V2121" s="1" t="s">
        <v>1302</v>
      </c>
      <c r="W2121">
        <v>12708.844999999999</v>
      </c>
      <c r="X2121">
        <v>0</v>
      </c>
      <c r="Y2121">
        <v>77386</v>
      </c>
    </row>
    <row r="2122" spans="1:25" ht="15" hidden="1" customHeight="1" x14ac:dyDescent="0.25">
      <c r="A2122" s="1" t="s">
        <v>32</v>
      </c>
      <c r="B2122" s="1"/>
      <c r="C2122" s="1" t="s">
        <v>165</v>
      </c>
      <c r="D2122">
        <v>10204</v>
      </c>
      <c r="E2122" s="1"/>
      <c r="F2122" s="1" t="s">
        <v>297</v>
      </c>
      <c r="G2122" s="1" t="s">
        <v>165</v>
      </c>
      <c r="H2122" s="1" t="s">
        <v>1405</v>
      </c>
      <c r="I2122">
        <v>2012</v>
      </c>
      <c r="J2122" s="93">
        <v>12475.99</v>
      </c>
      <c r="K2122">
        <v>12</v>
      </c>
      <c r="L2122" s="1" t="s">
        <v>423</v>
      </c>
      <c r="M2122">
        <v>0</v>
      </c>
      <c r="N2122">
        <v>445</v>
      </c>
      <c r="O2122">
        <v>28.029633</v>
      </c>
      <c r="P2122">
        <v>2</v>
      </c>
      <c r="Q2122" s="1" t="s">
        <v>569</v>
      </c>
      <c r="R2122" s="93">
        <v>12475.99</v>
      </c>
      <c r="S2122">
        <v>4990.3999999999996</v>
      </c>
      <c r="T2122">
        <v>0</v>
      </c>
      <c r="U2122" s="1" t="s">
        <v>1026</v>
      </c>
      <c r="V2122" s="1" t="s">
        <v>1302</v>
      </c>
      <c r="W2122">
        <v>12476.007</v>
      </c>
      <c r="X2122">
        <v>0</v>
      </c>
      <c r="Y2122">
        <v>77386</v>
      </c>
    </row>
    <row r="2123" spans="1:25" ht="15" hidden="1" customHeight="1" x14ac:dyDescent="0.25">
      <c r="A2123" s="1" t="s">
        <v>32</v>
      </c>
      <c r="B2123" s="1"/>
      <c r="C2123" s="1" t="s">
        <v>165</v>
      </c>
      <c r="D2123">
        <v>10204</v>
      </c>
      <c r="E2123" s="1"/>
      <c r="F2123" s="1" t="s">
        <v>297</v>
      </c>
      <c r="G2123" s="1" t="s">
        <v>165</v>
      </c>
      <c r="H2123" s="1" t="s">
        <v>1405</v>
      </c>
      <c r="I2123">
        <v>2011</v>
      </c>
      <c r="J2123" s="93">
        <v>12867.88</v>
      </c>
      <c r="K2123">
        <v>5</v>
      </c>
      <c r="L2123" s="1" t="s">
        <v>423</v>
      </c>
      <c r="M2123">
        <v>0</v>
      </c>
      <c r="N2123">
        <v>445</v>
      </c>
      <c r="O2123">
        <v>28.910087000000001</v>
      </c>
      <c r="P2123">
        <v>2</v>
      </c>
      <c r="Q2123" s="1" t="s">
        <v>569</v>
      </c>
      <c r="R2123" s="93">
        <v>12867.88</v>
      </c>
      <c r="S2123">
        <v>6035.03</v>
      </c>
      <c r="T2123">
        <v>0</v>
      </c>
      <c r="U2123" s="1" t="s">
        <v>1026</v>
      </c>
      <c r="V2123" s="1" t="s">
        <v>1302</v>
      </c>
      <c r="W2123">
        <v>12867.882670000001</v>
      </c>
      <c r="X2123">
        <v>0</v>
      </c>
      <c r="Y2123">
        <v>77386</v>
      </c>
    </row>
    <row r="2124" spans="1:25" ht="15" hidden="1" customHeight="1" x14ac:dyDescent="0.25">
      <c r="A2124" s="1" t="s">
        <v>32</v>
      </c>
      <c r="B2124" s="1"/>
      <c r="C2124" s="1" t="s">
        <v>165</v>
      </c>
      <c r="D2124">
        <v>10204</v>
      </c>
      <c r="E2124" s="1"/>
      <c r="F2124" s="1" t="s">
        <v>297</v>
      </c>
      <c r="G2124" s="1" t="s">
        <v>165</v>
      </c>
      <c r="H2124" s="1" t="s">
        <v>1405</v>
      </c>
      <c r="I2124">
        <v>2010</v>
      </c>
      <c r="J2124" s="93">
        <v>14453.25</v>
      </c>
      <c r="K2124">
        <v>3</v>
      </c>
      <c r="L2124" s="1" t="s">
        <v>423</v>
      </c>
      <c r="M2124">
        <v>0</v>
      </c>
      <c r="N2124">
        <v>445</v>
      </c>
      <c r="O2124">
        <v>32.471916</v>
      </c>
      <c r="P2124">
        <v>2</v>
      </c>
      <c r="Q2124" s="1" t="s">
        <v>569</v>
      </c>
      <c r="R2124" s="93">
        <v>14453.25</v>
      </c>
      <c r="S2124">
        <v>6778.58</v>
      </c>
      <c r="T2124">
        <v>0</v>
      </c>
      <c r="U2124" s="1" t="s">
        <v>1026</v>
      </c>
      <c r="V2124" s="1" t="s">
        <v>1302</v>
      </c>
      <c r="W2124">
        <v>14453.2302</v>
      </c>
      <c r="X2124">
        <v>0</v>
      </c>
      <c r="Y2124">
        <v>77386</v>
      </c>
    </row>
    <row r="2125" spans="1:25" ht="15" hidden="1" customHeight="1" x14ac:dyDescent="0.25">
      <c r="A2125" s="1" t="s">
        <v>32</v>
      </c>
      <c r="B2125" s="1"/>
      <c r="C2125" s="1" t="s">
        <v>165</v>
      </c>
      <c r="D2125">
        <v>10204</v>
      </c>
      <c r="E2125" s="1"/>
      <c r="F2125" s="1" t="s">
        <v>297</v>
      </c>
      <c r="G2125" s="1" t="s">
        <v>165</v>
      </c>
      <c r="H2125" s="1" t="s">
        <v>1405</v>
      </c>
      <c r="I2125">
        <v>2009</v>
      </c>
      <c r="J2125" s="93">
        <v>14953.93</v>
      </c>
      <c r="K2125">
        <v>0</v>
      </c>
      <c r="L2125" s="1" t="s">
        <v>423</v>
      </c>
      <c r="M2125">
        <v>0</v>
      </c>
      <c r="N2125">
        <v>445</v>
      </c>
      <c r="O2125">
        <v>33.596786999999999</v>
      </c>
      <c r="P2125">
        <v>2</v>
      </c>
      <c r="Q2125" s="1" t="s">
        <v>569</v>
      </c>
      <c r="R2125" s="93">
        <v>14953.93</v>
      </c>
      <c r="S2125">
        <v>7013.39</v>
      </c>
      <c r="T2125">
        <v>0</v>
      </c>
      <c r="U2125" s="1" t="s">
        <v>1026</v>
      </c>
      <c r="V2125" s="1" t="s">
        <v>1302</v>
      </c>
      <c r="W2125">
        <v>14953.90741</v>
      </c>
      <c r="X2125">
        <v>0</v>
      </c>
      <c r="Y2125">
        <v>77386</v>
      </c>
    </row>
    <row r="2126" spans="1:25" ht="15" hidden="1" customHeight="1" x14ac:dyDescent="0.25">
      <c r="A2126" s="1" t="s">
        <v>32</v>
      </c>
      <c r="B2126" s="1"/>
      <c r="C2126" s="1" t="s">
        <v>165</v>
      </c>
      <c r="D2126">
        <v>10204</v>
      </c>
      <c r="E2126" s="1"/>
      <c r="F2126" s="1" t="s">
        <v>297</v>
      </c>
      <c r="G2126" s="1" t="s">
        <v>165</v>
      </c>
      <c r="H2126" s="1" t="s">
        <v>1405</v>
      </c>
      <c r="I2126">
        <v>2008</v>
      </c>
      <c r="J2126" s="93">
        <v>16051.45</v>
      </c>
      <c r="K2126">
        <v>7</v>
      </c>
      <c r="L2126" s="1" t="s">
        <v>423</v>
      </c>
      <c r="M2126">
        <v>0</v>
      </c>
      <c r="N2126">
        <v>445</v>
      </c>
      <c r="O2126">
        <v>36.062570000000001</v>
      </c>
      <c r="P2126">
        <v>2</v>
      </c>
      <c r="Q2126" s="1" t="s">
        <v>569</v>
      </c>
      <c r="R2126" s="93">
        <v>16051.45</v>
      </c>
      <c r="S2126">
        <v>7528.14</v>
      </c>
      <c r="T2126">
        <v>0</v>
      </c>
      <c r="U2126" s="1" t="s">
        <v>1026</v>
      </c>
      <c r="V2126" s="1" t="s">
        <v>1302</v>
      </c>
      <c r="W2126">
        <v>16051.43446</v>
      </c>
      <c r="X2126">
        <v>0</v>
      </c>
      <c r="Y2126">
        <v>77386</v>
      </c>
    </row>
    <row r="2127" spans="1:25" ht="15" hidden="1" customHeight="1" x14ac:dyDescent="0.25">
      <c r="A2127" s="1" t="s">
        <v>32</v>
      </c>
      <c r="B2127" s="1" t="s">
        <v>69</v>
      </c>
      <c r="C2127" s="1" t="s">
        <v>166</v>
      </c>
      <c r="D2127">
        <v>13664</v>
      </c>
      <c r="E2127" s="1" t="s">
        <v>243</v>
      </c>
      <c r="F2127" s="1" t="s">
        <v>298</v>
      </c>
      <c r="G2127" s="1" t="s">
        <v>166</v>
      </c>
      <c r="H2127" s="1" t="s">
        <v>1405</v>
      </c>
      <c r="I2127">
        <v>2015</v>
      </c>
      <c r="J2127" s="93">
        <v>1512</v>
      </c>
      <c r="K2127">
        <v>5</v>
      </c>
      <c r="L2127" s="1" t="s">
        <v>422</v>
      </c>
      <c r="M2127">
        <v>0</v>
      </c>
      <c r="N2127">
        <v>138</v>
      </c>
      <c r="O2127">
        <v>4.3294709999999998</v>
      </c>
      <c r="P2127">
        <v>2</v>
      </c>
      <c r="Q2127" s="1" t="s">
        <v>569</v>
      </c>
      <c r="R2127" s="93">
        <v>597.9</v>
      </c>
      <c r="S2127">
        <v>179.36</v>
      </c>
      <c r="T2127">
        <v>0</v>
      </c>
      <c r="U2127" s="1" t="s">
        <v>1027</v>
      </c>
      <c r="V2127" s="1" t="s">
        <v>1303</v>
      </c>
      <c r="W2127">
        <v>597.89099999999996</v>
      </c>
      <c r="X2127">
        <v>0</v>
      </c>
      <c r="Y2127">
        <v>91255</v>
      </c>
    </row>
    <row r="2128" spans="1:25" ht="15" hidden="1" customHeight="1" x14ac:dyDescent="0.25">
      <c r="A2128" s="1" t="s">
        <v>32</v>
      </c>
      <c r="B2128" s="1" t="s">
        <v>69</v>
      </c>
      <c r="C2128" s="1" t="s">
        <v>166</v>
      </c>
      <c r="D2128">
        <v>13664</v>
      </c>
      <c r="E2128" s="1" t="s">
        <v>243</v>
      </c>
      <c r="F2128" s="1" t="s">
        <v>298</v>
      </c>
      <c r="G2128" s="1" t="s">
        <v>166</v>
      </c>
      <c r="H2128" s="1" t="s">
        <v>1405</v>
      </c>
      <c r="I2128">
        <v>2013</v>
      </c>
      <c r="J2128" s="93">
        <v>1522.36</v>
      </c>
      <c r="K2128">
        <v>7</v>
      </c>
      <c r="L2128" s="1" t="s">
        <v>422</v>
      </c>
      <c r="M2128">
        <v>0</v>
      </c>
      <c r="N2128">
        <v>138</v>
      </c>
      <c r="O2128">
        <v>11.023605999999999</v>
      </c>
      <c r="P2128">
        <v>2</v>
      </c>
      <c r="Q2128" s="1" t="s">
        <v>569</v>
      </c>
      <c r="R2128" s="93">
        <v>1522.36</v>
      </c>
      <c r="S2128">
        <v>456.71</v>
      </c>
      <c r="T2128">
        <v>0</v>
      </c>
      <c r="U2128" s="1" t="s">
        <v>1027</v>
      </c>
      <c r="V2128" s="1" t="s">
        <v>1303</v>
      </c>
      <c r="W2128">
        <v>1522.3584599999999</v>
      </c>
      <c r="X2128">
        <v>0</v>
      </c>
      <c r="Y2128">
        <v>91255</v>
      </c>
    </row>
    <row r="2129" spans="1:25" ht="15" hidden="1" customHeight="1" x14ac:dyDescent="0.25">
      <c r="A2129" s="1" t="s">
        <v>32</v>
      </c>
      <c r="B2129" s="1" t="s">
        <v>69</v>
      </c>
      <c r="C2129" s="1" t="s">
        <v>166</v>
      </c>
      <c r="D2129">
        <v>13664</v>
      </c>
      <c r="E2129" s="1" t="s">
        <v>243</v>
      </c>
      <c r="F2129" s="1" t="s">
        <v>298</v>
      </c>
      <c r="G2129" s="1" t="s">
        <v>166</v>
      </c>
      <c r="H2129" s="1" t="s">
        <v>1405</v>
      </c>
      <c r="I2129">
        <v>2012</v>
      </c>
      <c r="J2129" s="93">
        <v>1669.92</v>
      </c>
      <c r="K2129">
        <v>1</v>
      </c>
      <c r="L2129" s="1" t="s">
        <v>422</v>
      </c>
      <c r="M2129">
        <v>0</v>
      </c>
      <c r="N2129">
        <v>138</v>
      </c>
      <c r="O2129">
        <v>12.092107</v>
      </c>
      <c r="P2129">
        <v>2</v>
      </c>
      <c r="Q2129" s="1" t="s">
        <v>569</v>
      </c>
      <c r="R2129" s="93">
        <v>1669.92</v>
      </c>
      <c r="S2129">
        <v>667.97</v>
      </c>
      <c r="T2129">
        <v>0</v>
      </c>
      <c r="U2129" s="1" t="s">
        <v>1027</v>
      </c>
      <c r="V2129" s="1" t="s">
        <v>1303</v>
      </c>
      <c r="W2129">
        <v>1669.92914</v>
      </c>
      <c r="X2129">
        <v>0</v>
      </c>
      <c r="Y2129">
        <v>91255</v>
      </c>
    </row>
    <row r="2130" spans="1:25" ht="15" hidden="1" customHeight="1" x14ac:dyDescent="0.25">
      <c r="A2130" s="1" t="s">
        <v>32</v>
      </c>
      <c r="B2130" s="1" t="s">
        <v>69</v>
      </c>
      <c r="C2130" s="1" t="s">
        <v>166</v>
      </c>
      <c r="D2130">
        <v>13664</v>
      </c>
      <c r="E2130" s="1" t="s">
        <v>243</v>
      </c>
      <c r="F2130" s="1" t="s">
        <v>298</v>
      </c>
      <c r="G2130" s="1" t="s">
        <v>166</v>
      </c>
      <c r="H2130" s="1" t="s">
        <v>1405</v>
      </c>
      <c r="I2130">
        <v>2011</v>
      </c>
      <c r="J2130" s="93">
        <v>1423.62</v>
      </c>
      <c r="K2130">
        <v>1</v>
      </c>
      <c r="L2130" s="1" t="s">
        <v>422</v>
      </c>
      <c r="M2130">
        <v>0</v>
      </c>
      <c r="N2130">
        <v>138</v>
      </c>
      <c r="O2130">
        <v>10.308616000000001</v>
      </c>
      <c r="P2130">
        <v>2</v>
      </c>
      <c r="Q2130" s="1" t="s">
        <v>569</v>
      </c>
      <c r="R2130" s="93">
        <v>1423.62</v>
      </c>
      <c r="S2130">
        <v>667.67</v>
      </c>
      <c r="T2130">
        <v>0</v>
      </c>
      <c r="U2130" s="1" t="s">
        <v>1027</v>
      </c>
      <c r="V2130" s="1" t="s">
        <v>1303</v>
      </c>
      <c r="W2130">
        <v>1423.6315099999999</v>
      </c>
      <c r="X2130">
        <v>0</v>
      </c>
      <c r="Y2130">
        <v>91255</v>
      </c>
    </row>
    <row r="2131" spans="1:25" ht="15" hidden="1" customHeight="1" x14ac:dyDescent="0.25">
      <c r="A2131" s="1" t="s">
        <v>32</v>
      </c>
      <c r="B2131" s="1" t="s">
        <v>69</v>
      </c>
      <c r="C2131" s="1" t="s">
        <v>166</v>
      </c>
      <c r="D2131">
        <v>13664</v>
      </c>
      <c r="E2131" s="1" t="s">
        <v>243</v>
      </c>
      <c r="F2131" s="1" t="s">
        <v>298</v>
      </c>
      <c r="G2131" s="1" t="s">
        <v>166</v>
      </c>
      <c r="H2131" s="1" t="s">
        <v>1405</v>
      </c>
      <c r="I2131">
        <v>2010</v>
      </c>
      <c r="J2131" s="93">
        <v>1204.45</v>
      </c>
      <c r="K2131">
        <v>1</v>
      </c>
      <c r="L2131" s="1" t="s">
        <v>422</v>
      </c>
      <c r="M2131">
        <v>0</v>
      </c>
      <c r="N2131">
        <v>138</v>
      </c>
      <c r="O2131">
        <v>8.7215779999999992</v>
      </c>
      <c r="P2131">
        <v>2</v>
      </c>
      <c r="Q2131" s="1" t="s">
        <v>569</v>
      </c>
      <c r="R2131" s="93">
        <v>1204.45</v>
      </c>
      <c r="S2131">
        <v>564.89</v>
      </c>
      <c r="T2131">
        <v>0</v>
      </c>
      <c r="U2131" s="1" t="s">
        <v>1027</v>
      </c>
      <c r="V2131" s="1" t="s">
        <v>1303</v>
      </c>
      <c r="W2131">
        <v>1204.4830400000001</v>
      </c>
      <c r="X2131">
        <v>0</v>
      </c>
      <c r="Y2131">
        <v>91255</v>
      </c>
    </row>
    <row r="2132" spans="1:25" ht="15" hidden="1" customHeight="1" x14ac:dyDescent="0.25">
      <c r="A2132" s="1" t="s">
        <v>32</v>
      </c>
      <c r="B2132" s="1" t="s">
        <v>69</v>
      </c>
      <c r="C2132" s="1" t="s">
        <v>166</v>
      </c>
      <c r="D2132">
        <v>13664</v>
      </c>
      <c r="E2132" s="1" t="s">
        <v>243</v>
      </c>
      <c r="F2132" s="1" t="s">
        <v>298</v>
      </c>
      <c r="G2132" s="1" t="s">
        <v>166</v>
      </c>
      <c r="H2132" s="1" t="s">
        <v>1405</v>
      </c>
      <c r="I2132">
        <v>2009</v>
      </c>
      <c r="J2132" s="93">
        <v>1157.8900000000001</v>
      </c>
      <c r="K2132">
        <v>0</v>
      </c>
      <c r="L2132" s="1" t="s">
        <v>422</v>
      </c>
      <c r="M2132">
        <v>0</v>
      </c>
      <c r="N2132">
        <v>138</v>
      </c>
      <c r="O2132">
        <v>8.3844309999999993</v>
      </c>
      <c r="P2132">
        <v>2</v>
      </c>
      <c r="Q2132" s="1" t="s">
        <v>569</v>
      </c>
      <c r="R2132" s="93">
        <v>1157.8900000000001</v>
      </c>
      <c r="S2132">
        <v>543.05999999999995</v>
      </c>
      <c r="T2132">
        <v>0</v>
      </c>
      <c r="U2132" s="1" t="s">
        <v>1027</v>
      </c>
      <c r="V2132" s="1" t="s">
        <v>1303</v>
      </c>
      <c r="W2132">
        <v>1157.9310399999999</v>
      </c>
      <c r="X2132">
        <v>0</v>
      </c>
      <c r="Y2132">
        <v>91255</v>
      </c>
    </row>
    <row r="2133" spans="1:25" ht="15" hidden="1" customHeight="1" x14ac:dyDescent="0.25">
      <c r="A2133" s="1" t="s">
        <v>32</v>
      </c>
      <c r="B2133" s="1" t="s">
        <v>69</v>
      </c>
      <c r="C2133" s="1" t="s">
        <v>166</v>
      </c>
      <c r="D2133">
        <v>13664</v>
      </c>
      <c r="E2133" s="1" t="s">
        <v>243</v>
      </c>
      <c r="F2133" s="1" t="s">
        <v>298</v>
      </c>
      <c r="G2133" s="1" t="s">
        <v>166</v>
      </c>
      <c r="H2133" s="1" t="s">
        <v>1405</v>
      </c>
      <c r="I2133">
        <v>2008</v>
      </c>
      <c r="J2133" s="93">
        <v>1226.83</v>
      </c>
      <c r="K2133">
        <v>1</v>
      </c>
      <c r="L2133" s="1" t="s">
        <v>422</v>
      </c>
      <c r="M2133">
        <v>0</v>
      </c>
      <c r="N2133">
        <v>138</v>
      </c>
      <c r="O2133">
        <v>8.8836349999999999</v>
      </c>
      <c r="P2133">
        <v>2</v>
      </c>
      <c r="Q2133" s="1" t="s">
        <v>569</v>
      </c>
      <c r="R2133" s="93">
        <v>1226.83</v>
      </c>
      <c r="S2133">
        <v>575.38</v>
      </c>
      <c r="T2133">
        <v>0</v>
      </c>
      <c r="U2133" s="1" t="s">
        <v>1027</v>
      </c>
      <c r="V2133" s="1" t="s">
        <v>1303</v>
      </c>
      <c r="W2133">
        <v>1226.8199500000001</v>
      </c>
      <c r="X2133">
        <v>0</v>
      </c>
      <c r="Y2133">
        <v>91255</v>
      </c>
    </row>
    <row r="2134" spans="1:25" ht="15" hidden="1" customHeight="1" x14ac:dyDescent="0.25">
      <c r="A2134" s="1" t="s">
        <v>32</v>
      </c>
      <c r="B2134" s="1"/>
      <c r="C2134" s="1" t="s">
        <v>167</v>
      </c>
      <c r="D2134">
        <v>10179</v>
      </c>
      <c r="E2134" s="1"/>
      <c r="F2134" s="1" t="s">
        <v>299</v>
      </c>
      <c r="G2134" s="1" t="s">
        <v>167</v>
      </c>
      <c r="H2134" s="1" t="s">
        <v>1405</v>
      </c>
      <c r="I2134">
        <v>2015</v>
      </c>
      <c r="J2134" s="93">
        <v>38785</v>
      </c>
      <c r="K2134">
        <v>4</v>
      </c>
      <c r="L2134" s="1" t="s">
        <v>409</v>
      </c>
      <c r="M2134">
        <v>0</v>
      </c>
      <c r="N2134">
        <v>792</v>
      </c>
      <c r="O2134">
        <v>17.857984999999999</v>
      </c>
      <c r="P2134">
        <v>2</v>
      </c>
      <c r="Q2134" s="1" t="s">
        <v>569</v>
      </c>
      <c r="R2134" s="93">
        <v>14145.31</v>
      </c>
      <c r="S2134">
        <v>4243.59</v>
      </c>
      <c r="T2134">
        <v>0</v>
      </c>
      <c r="U2134" s="1" t="s">
        <v>1028</v>
      </c>
      <c r="V2134" s="1" t="s">
        <v>1304</v>
      </c>
      <c r="W2134">
        <v>14145.306</v>
      </c>
      <c r="X2134">
        <v>0</v>
      </c>
      <c r="Y2134">
        <v>77210</v>
      </c>
    </row>
    <row r="2135" spans="1:25" ht="15" hidden="1" customHeight="1" x14ac:dyDescent="0.25">
      <c r="A2135" s="1" t="s">
        <v>32</v>
      </c>
      <c r="B2135" s="1"/>
      <c r="C2135" s="1" t="s">
        <v>167</v>
      </c>
      <c r="D2135">
        <v>10179</v>
      </c>
      <c r="E2135" s="1"/>
      <c r="F2135" s="1" t="s">
        <v>299</v>
      </c>
      <c r="G2135" s="1" t="s">
        <v>167</v>
      </c>
      <c r="H2135" s="1" t="s">
        <v>1405</v>
      </c>
      <c r="I2135">
        <v>2013</v>
      </c>
      <c r="J2135" s="93">
        <v>44179.99</v>
      </c>
      <c r="K2135">
        <v>12</v>
      </c>
      <c r="L2135" s="1" t="s">
        <v>409</v>
      </c>
      <c r="M2135">
        <v>0</v>
      </c>
      <c r="N2135">
        <v>792</v>
      </c>
      <c r="O2135">
        <v>55.775773000000001</v>
      </c>
      <c r="P2135">
        <v>2</v>
      </c>
      <c r="Q2135" s="1" t="s">
        <v>569</v>
      </c>
      <c r="R2135" s="93">
        <v>44179.99</v>
      </c>
      <c r="S2135">
        <v>13253.99</v>
      </c>
      <c r="T2135">
        <v>0</v>
      </c>
      <c r="U2135" s="1" t="s">
        <v>1028</v>
      </c>
      <c r="V2135" s="1" t="s">
        <v>1304</v>
      </c>
      <c r="W2135">
        <v>44179.982000000004</v>
      </c>
      <c r="X2135">
        <v>0</v>
      </c>
      <c r="Y2135">
        <v>77210</v>
      </c>
    </row>
    <row r="2136" spans="1:25" ht="15" hidden="1" customHeight="1" x14ac:dyDescent="0.25">
      <c r="A2136" s="1" t="s">
        <v>32</v>
      </c>
      <c r="B2136" s="1"/>
      <c r="C2136" s="1" t="s">
        <v>167</v>
      </c>
      <c r="D2136">
        <v>10179</v>
      </c>
      <c r="E2136" s="1"/>
      <c r="F2136" s="1" t="s">
        <v>299</v>
      </c>
      <c r="G2136" s="1" t="s">
        <v>167</v>
      </c>
      <c r="H2136" s="1" t="s">
        <v>1405</v>
      </c>
      <c r="I2136">
        <v>2012</v>
      </c>
      <c r="J2136" s="93">
        <v>43335.44</v>
      </c>
      <c r="K2136">
        <v>12</v>
      </c>
      <c r="L2136" s="1" t="s">
        <v>409</v>
      </c>
      <c r="M2136">
        <v>0</v>
      </c>
      <c r="N2136">
        <v>792</v>
      </c>
      <c r="O2136">
        <v>54.709555999999999</v>
      </c>
      <c r="P2136">
        <v>2</v>
      </c>
      <c r="Q2136" s="1" t="s">
        <v>569</v>
      </c>
      <c r="R2136" s="93">
        <v>43335.44</v>
      </c>
      <c r="S2136">
        <v>17334.169999999998</v>
      </c>
      <c r="T2136">
        <v>0</v>
      </c>
      <c r="U2136" s="1" t="s">
        <v>1028</v>
      </c>
      <c r="V2136" s="1" t="s">
        <v>1304</v>
      </c>
      <c r="W2136">
        <v>43335.438000000002</v>
      </c>
      <c r="X2136">
        <v>0</v>
      </c>
      <c r="Y2136">
        <v>77210</v>
      </c>
    </row>
    <row r="2137" spans="1:25" ht="15" hidden="1" customHeight="1" x14ac:dyDescent="0.25">
      <c r="A2137" s="1" t="s">
        <v>32</v>
      </c>
      <c r="B2137" s="1"/>
      <c r="C2137" s="1" t="s">
        <v>167</v>
      </c>
      <c r="D2137">
        <v>10179</v>
      </c>
      <c r="E2137" s="1"/>
      <c r="F2137" s="1" t="s">
        <v>299</v>
      </c>
      <c r="G2137" s="1" t="s">
        <v>167</v>
      </c>
      <c r="H2137" s="1" t="s">
        <v>1405</v>
      </c>
      <c r="I2137">
        <v>2011</v>
      </c>
      <c r="J2137" s="93">
        <v>46134.06</v>
      </c>
      <c r="K2137">
        <v>12</v>
      </c>
      <c r="L2137" s="1" t="s">
        <v>409</v>
      </c>
      <c r="M2137">
        <v>0</v>
      </c>
      <c r="N2137">
        <v>792</v>
      </c>
      <c r="O2137">
        <v>58.242721000000003</v>
      </c>
      <c r="P2137">
        <v>2</v>
      </c>
      <c r="Q2137" s="1" t="s">
        <v>569</v>
      </c>
      <c r="R2137" s="93">
        <v>46134.06</v>
      </c>
      <c r="S2137">
        <v>21636.880000000001</v>
      </c>
      <c r="T2137">
        <v>0</v>
      </c>
      <c r="U2137" s="1" t="s">
        <v>1028</v>
      </c>
      <c r="V2137" s="1" t="s">
        <v>1304</v>
      </c>
      <c r="W2137">
        <v>46134.06</v>
      </c>
      <c r="X2137">
        <v>0</v>
      </c>
      <c r="Y2137">
        <v>77210</v>
      </c>
    </row>
    <row r="2138" spans="1:25" ht="15" hidden="1" customHeight="1" x14ac:dyDescent="0.25">
      <c r="A2138" s="1" t="s">
        <v>32</v>
      </c>
      <c r="B2138" s="1"/>
      <c r="C2138" s="1" t="s">
        <v>167</v>
      </c>
      <c r="D2138">
        <v>10179</v>
      </c>
      <c r="E2138" s="1"/>
      <c r="F2138" s="1" t="s">
        <v>299</v>
      </c>
      <c r="G2138" s="1" t="s">
        <v>167</v>
      </c>
      <c r="H2138" s="1" t="s">
        <v>1405</v>
      </c>
      <c r="I2138">
        <v>2010</v>
      </c>
      <c r="J2138" s="93">
        <v>51099.22</v>
      </c>
      <c r="K2138">
        <v>9</v>
      </c>
      <c r="L2138" s="1" t="s">
        <v>409</v>
      </c>
      <c r="M2138">
        <v>0</v>
      </c>
      <c r="N2138">
        <v>792</v>
      </c>
      <c r="O2138">
        <v>64.511071000000001</v>
      </c>
      <c r="P2138">
        <v>2</v>
      </c>
      <c r="Q2138" s="1" t="s">
        <v>569</v>
      </c>
      <c r="R2138" s="93">
        <v>51099.22</v>
      </c>
      <c r="S2138">
        <v>23965.55</v>
      </c>
      <c r="T2138">
        <v>0</v>
      </c>
      <c r="U2138" s="1" t="s">
        <v>1028</v>
      </c>
      <c r="V2138" s="1" t="s">
        <v>1304</v>
      </c>
      <c r="W2138">
        <v>51099.238010000001</v>
      </c>
      <c r="X2138">
        <v>0</v>
      </c>
      <c r="Y2138">
        <v>77210</v>
      </c>
    </row>
    <row r="2139" spans="1:25" ht="15" hidden="1" customHeight="1" x14ac:dyDescent="0.25">
      <c r="A2139" s="1" t="s">
        <v>32</v>
      </c>
      <c r="B2139" s="1"/>
      <c r="C2139" s="1" t="s">
        <v>167</v>
      </c>
      <c r="D2139">
        <v>10179</v>
      </c>
      <c r="E2139" s="1"/>
      <c r="F2139" s="1" t="s">
        <v>299</v>
      </c>
      <c r="G2139" s="1" t="s">
        <v>167</v>
      </c>
      <c r="H2139" s="1" t="s">
        <v>1405</v>
      </c>
      <c r="I2139">
        <v>2009</v>
      </c>
      <c r="J2139" s="93">
        <v>53818.71</v>
      </c>
      <c r="K2139">
        <v>3</v>
      </c>
      <c r="L2139" s="1" t="s">
        <v>409</v>
      </c>
      <c r="M2139">
        <v>0</v>
      </c>
      <c r="N2139">
        <v>792</v>
      </c>
      <c r="O2139">
        <v>67.944337000000004</v>
      </c>
      <c r="P2139">
        <v>2</v>
      </c>
      <c r="Q2139" s="1" t="s">
        <v>569</v>
      </c>
      <c r="R2139" s="93">
        <v>53818.71</v>
      </c>
      <c r="S2139">
        <v>25240.97</v>
      </c>
      <c r="T2139">
        <v>0</v>
      </c>
      <c r="U2139" s="1" t="s">
        <v>1028</v>
      </c>
      <c r="V2139" s="1" t="s">
        <v>1304</v>
      </c>
      <c r="W2139">
        <v>53818.70912</v>
      </c>
      <c r="X2139">
        <v>0</v>
      </c>
      <c r="Y2139">
        <v>77210</v>
      </c>
    </row>
    <row r="2140" spans="1:25" ht="15" hidden="1" customHeight="1" x14ac:dyDescent="0.25">
      <c r="A2140" s="1" t="s">
        <v>32</v>
      </c>
      <c r="B2140" s="1"/>
      <c r="C2140" s="1" t="s">
        <v>167</v>
      </c>
      <c r="D2140">
        <v>10179</v>
      </c>
      <c r="E2140" s="1"/>
      <c r="F2140" s="1" t="s">
        <v>299</v>
      </c>
      <c r="G2140" s="1" t="s">
        <v>167</v>
      </c>
      <c r="H2140" s="1" t="s">
        <v>1405</v>
      </c>
      <c r="I2140">
        <v>2008</v>
      </c>
      <c r="J2140" s="93">
        <v>54268</v>
      </c>
      <c r="K2140">
        <v>7</v>
      </c>
      <c r="L2140" s="1" t="s">
        <v>409</v>
      </c>
      <c r="M2140">
        <v>0</v>
      </c>
      <c r="N2140">
        <v>792</v>
      </c>
      <c r="O2140">
        <v>68.511550999999997</v>
      </c>
      <c r="P2140">
        <v>2</v>
      </c>
      <c r="Q2140" s="1" t="s">
        <v>569</v>
      </c>
      <c r="R2140" s="93">
        <v>54268</v>
      </c>
      <c r="S2140">
        <v>25451.69</v>
      </c>
      <c r="T2140">
        <v>0</v>
      </c>
      <c r="U2140" s="1" t="s">
        <v>1028</v>
      </c>
      <c r="V2140" s="1" t="s">
        <v>1304</v>
      </c>
      <c r="W2140">
        <v>54267.994209999997</v>
      </c>
      <c r="X2140">
        <v>0</v>
      </c>
      <c r="Y2140">
        <v>77210</v>
      </c>
    </row>
    <row r="2141" spans="1:25" ht="15" hidden="1" customHeight="1" x14ac:dyDescent="0.25">
      <c r="A2141" s="1" t="s">
        <v>32</v>
      </c>
      <c r="B2141" s="1" t="s">
        <v>70</v>
      </c>
      <c r="C2141" s="1" t="s">
        <v>168</v>
      </c>
      <c r="D2141">
        <v>13667</v>
      </c>
      <c r="E2141" s="1" t="s">
        <v>243</v>
      </c>
      <c r="F2141" s="1" t="s">
        <v>300</v>
      </c>
      <c r="G2141" s="1" t="s">
        <v>168</v>
      </c>
      <c r="H2141" s="1" t="s">
        <v>1405</v>
      </c>
      <c r="I2141">
        <v>2015</v>
      </c>
      <c r="J2141" s="93">
        <v>29194</v>
      </c>
      <c r="K2141">
        <v>5</v>
      </c>
      <c r="L2141" s="1"/>
      <c r="M2141">
        <v>0</v>
      </c>
      <c r="N2141">
        <v>292</v>
      </c>
      <c r="O2141">
        <v>24.415645000000001</v>
      </c>
      <c r="P2141">
        <v>2</v>
      </c>
      <c r="Q2141" s="1" t="s">
        <v>569</v>
      </c>
      <c r="R2141" s="93">
        <v>7131.81</v>
      </c>
      <c r="S2141">
        <v>2139.54</v>
      </c>
      <c r="T2141">
        <v>0</v>
      </c>
      <c r="U2141" s="1" t="s">
        <v>1029</v>
      </c>
      <c r="V2141" s="1" t="s">
        <v>1305</v>
      </c>
      <c r="W2141">
        <v>7131.8109999999997</v>
      </c>
      <c r="X2141">
        <v>0</v>
      </c>
      <c r="Y2141">
        <v>96386</v>
      </c>
    </row>
    <row r="2142" spans="1:25" ht="15" hidden="1" customHeight="1" x14ac:dyDescent="0.25">
      <c r="A2142" s="1" t="s">
        <v>32</v>
      </c>
      <c r="B2142" s="1" t="s">
        <v>70</v>
      </c>
      <c r="C2142" s="1" t="s">
        <v>168</v>
      </c>
      <c r="D2142">
        <v>13667</v>
      </c>
      <c r="E2142" s="1" t="s">
        <v>243</v>
      </c>
      <c r="F2142" s="1" t="s">
        <v>300</v>
      </c>
      <c r="G2142" s="1" t="s">
        <v>168</v>
      </c>
      <c r="H2142" s="1" t="s">
        <v>1405</v>
      </c>
      <c r="I2142">
        <v>2013</v>
      </c>
      <c r="J2142" s="93">
        <v>732.1</v>
      </c>
      <c r="K2142">
        <v>2</v>
      </c>
      <c r="L2142" s="1" t="s">
        <v>526</v>
      </c>
      <c r="M2142">
        <v>0</v>
      </c>
      <c r="N2142">
        <v>292</v>
      </c>
      <c r="O2142">
        <v>2.5063330000000001</v>
      </c>
      <c r="P2142">
        <v>2</v>
      </c>
      <c r="Q2142" s="1" t="s">
        <v>569</v>
      </c>
      <c r="R2142" s="93">
        <v>732.1</v>
      </c>
      <c r="S2142">
        <v>219.63</v>
      </c>
      <c r="T2142">
        <v>1</v>
      </c>
      <c r="U2142" s="1" t="s">
        <v>1031</v>
      </c>
      <c r="V2142" s="1"/>
      <c r="W2142">
        <v>732.1</v>
      </c>
      <c r="X2142">
        <v>0</v>
      </c>
      <c r="Y2142">
        <v>94556</v>
      </c>
    </row>
    <row r="2143" spans="1:25" ht="15" hidden="1" customHeight="1" x14ac:dyDescent="0.25">
      <c r="A2143" s="1" t="s">
        <v>32</v>
      </c>
      <c r="B2143" s="1"/>
      <c r="C2143" s="1" t="s">
        <v>234</v>
      </c>
      <c r="D2143">
        <v>14504</v>
      </c>
      <c r="E2143" s="1" t="s">
        <v>243</v>
      </c>
      <c r="F2143" s="1" t="s">
        <v>378</v>
      </c>
      <c r="G2143" s="1" t="s">
        <v>378</v>
      </c>
      <c r="H2143" s="1" t="s">
        <v>1405</v>
      </c>
      <c r="I2143">
        <v>2013</v>
      </c>
      <c r="J2143" s="93">
        <v>20102.38</v>
      </c>
      <c r="K2143">
        <v>1</v>
      </c>
      <c r="L2143" s="1" t="s">
        <v>530</v>
      </c>
      <c r="M2143">
        <v>0</v>
      </c>
      <c r="N2143">
        <v>0</v>
      </c>
      <c r="O2143">
        <v>201023.8</v>
      </c>
      <c r="P2143">
        <v>2</v>
      </c>
      <c r="Q2143" s="1" t="s">
        <v>569</v>
      </c>
      <c r="R2143" s="93">
        <v>20102.38</v>
      </c>
      <c r="S2143">
        <v>6030.69</v>
      </c>
      <c r="T2143">
        <v>0</v>
      </c>
      <c r="U2143" s="1" t="s">
        <v>1046</v>
      </c>
      <c r="V2143" s="1"/>
      <c r="W2143">
        <v>20102.361430000001</v>
      </c>
      <c r="X2143">
        <v>0</v>
      </c>
      <c r="Y2143">
        <v>91262</v>
      </c>
    </row>
    <row r="2144" spans="1:25" ht="15" hidden="1" customHeight="1" x14ac:dyDescent="0.25">
      <c r="A2144" s="1" t="s">
        <v>32</v>
      </c>
      <c r="B2144" s="1"/>
      <c r="C2144" s="1" t="s">
        <v>234</v>
      </c>
      <c r="D2144">
        <v>14504</v>
      </c>
      <c r="E2144" s="1" t="s">
        <v>243</v>
      </c>
      <c r="F2144" s="1" t="s">
        <v>378</v>
      </c>
      <c r="G2144" s="1" t="s">
        <v>378</v>
      </c>
      <c r="H2144" s="1" t="s">
        <v>1405</v>
      </c>
      <c r="I2144">
        <v>2012</v>
      </c>
      <c r="J2144" s="93">
        <v>19442.150000000001</v>
      </c>
      <c r="K2144">
        <v>0</v>
      </c>
      <c r="L2144" s="1" t="s">
        <v>530</v>
      </c>
      <c r="M2144">
        <v>0</v>
      </c>
      <c r="N2144">
        <v>0</v>
      </c>
      <c r="O2144">
        <v>194421.5</v>
      </c>
      <c r="P2144">
        <v>2</v>
      </c>
      <c r="Q2144" s="1" t="s">
        <v>569</v>
      </c>
      <c r="R2144" s="93">
        <v>19442.150000000001</v>
      </c>
      <c r="S2144">
        <v>7776.83</v>
      </c>
      <c r="T2144">
        <v>0</v>
      </c>
      <c r="U2144" s="1" t="s">
        <v>1046</v>
      </c>
      <c r="V2144" s="1"/>
      <c r="W2144">
        <v>19442.10324</v>
      </c>
      <c r="X2144">
        <v>0</v>
      </c>
      <c r="Y2144">
        <v>91262</v>
      </c>
    </row>
    <row r="2145" spans="1:25" ht="15" hidden="1" customHeight="1" x14ac:dyDescent="0.25">
      <c r="A2145" s="1" t="s">
        <v>32</v>
      </c>
      <c r="B2145" s="1"/>
      <c r="C2145" s="1" t="s">
        <v>234</v>
      </c>
      <c r="D2145">
        <v>14504</v>
      </c>
      <c r="E2145" s="1" t="s">
        <v>243</v>
      </c>
      <c r="F2145" s="1" t="s">
        <v>378</v>
      </c>
      <c r="G2145" s="1" t="s">
        <v>378</v>
      </c>
      <c r="H2145" s="1" t="s">
        <v>1405</v>
      </c>
      <c r="I2145">
        <v>2011</v>
      </c>
      <c r="J2145" s="93">
        <v>19647.509999999998</v>
      </c>
      <c r="K2145">
        <v>1</v>
      </c>
      <c r="L2145" s="1" t="s">
        <v>530</v>
      </c>
      <c r="M2145">
        <v>0</v>
      </c>
      <c r="N2145">
        <v>0</v>
      </c>
      <c r="O2145">
        <v>196475.1</v>
      </c>
      <c r="P2145">
        <v>2</v>
      </c>
      <c r="Q2145" s="1" t="s">
        <v>569</v>
      </c>
      <c r="R2145" s="93">
        <v>19647.509999999998</v>
      </c>
      <c r="S2145">
        <v>9214.66</v>
      </c>
      <c r="T2145">
        <v>0</v>
      </c>
      <c r="U2145" s="1" t="s">
        <v>1046</v>
      </c>
      <c r="V2145" s="1"/>
      <c r="W2145">
        <v>19647.49494</v>
      </c>
      <c r="X2145">
        <v>0</v>
      </c>
      <c r="Y2145">
        <v>91262</v>
      </c>
    </row>
    <row r="2146" spans="1:25" ht="15" hidden="1" customHeight="1" x14ac:dyDescent="0.25">
      <c r="A2146" s="1" t="s">
        <v>32</v>
      </c>
      <c r="B2146" s="1"/>
      <c r="C2146" s="1" t="s">
        <v>234</v>
      </c>
      <c r="D2146">
        <v>14504</v>
      </c>
      <c r="E2146" s="1" t="s">
        <v>243</v>
      </c>
      <c r="F2146" s="1" t="s">
        <v>378</v>
      </c>
      <c r="G2146" s="1" t="s">
        <v>378</v>
      </c>
      <c r="H2146" s="1" t="s">
        <v>1405</v>
      </c>
      <c r="I2146">
        <v>2010</v>
      </c>
      <c r="J2146" s="93">
        <v>20933.96</v>
      </c>
      <c r="K2146">
        <v>1</v>
      </c>
      <c r="L2146" s="1" t="s">
        <v>530</v>
      </c>
      <c r="M2146">
        <v>0</v>
      </c>
      <c r="N2146">
        <v>0</v>
      </c>
      <c r="O2146">
        <v>209339.6</v>
      </c>
      <c r="P2146">
        <v>2</v>
      </c>
      <c r="Q2146" s="1" t="s">
        <v>569</v>
      </c>
      <c r="R2146" s="93">
        <v>20933.96</v>
      </c>
      <c r="S2146">
        <v>9818</v>
      </c>
      <c r="T2146">
        <v>0</v>
      </c>
      <c r="U2146" s="1" t="s">
        <v>1046</v>
      </c>
      <c r="V2146" s="1"/>
      <c r="W2146">
        <v>20933.979579999999</v>
      </c>
      <c r="X2146">
        <v>0</v>
      </c>
      <c r="Y2146">
        <v>91262</v>
      </c>
    </row>
    <row r="2147" spans="1:25" ht="15" hidden="1" customHeight="1" x14ac:dyDescent="0.25">
      <c r="A2147" s="1" t="s">
        <v>32</v>
      </c>
      <c r="B2147" s="1"/>
      <c r="C2147" s="1" t="s">
        <v>234</v>
      </c>
      <c r="D2147">
        <v>14504</v>
      </c>
      <c r="E2147" s="1" t="s">
        <v>243</v>
      </c>
      <c r="F2147" s="1" t="s">
        <v>378</v>
      </c>
      <c r="G2147" s="1" t="s">
        <v>378</v>
      </c>
      <c r="H2147" s="1" t="s">
        <v>1405</v>
      </c>
      <c r="I2147">
        <v>2009</v>
      </c>
      <c r="J2147" s="93">
        <v>21786.86</v>
      </c>
      <c r="K2147">
        <v>1</v>
      </c>
      <c r="L2147" s="1" t="s">
        <v>530</v>
      </c>
      <c r="M2147">
        <v>0</v>
      </c>
      <c r="N2147">
        <v>0</v>
      </c>
      <c r="O2147">
        <v>217868.6</v>
      </c>
      <c r="P2147">
        <v>2</v>
      </c>
      <c r="Q2147" s="1" t="s">
        <v>569</v>
      </c>
      <c r="R2147" s="93">
        <v>21786.86</v>
      </c>
      <c r="S2147">
        <v>10218.01</v>
      </c>
      <c r="T2147">
        <v>0</v>
      </c>
      <c r="U2147" s="1" t="s">
        <v>1046</v>
      </c>
      <c r="V2147" s="1"/>
      <c r="W2147">
        <v>21786.879079999999</v>
      </c>
      <c r="X2147">
        <v>0</v>
      </c>
      <c r="Y2147">
        <v>91262</v>
      </c>
    </row>
    <row r="2148" spans="1:25" ht="15" hidden="1" customHeight="1" x14ac:dyDescent="0.25">
      <c r="A2148" s="1" t="s">
        <v>32</v>
      </c>
      <c r="B2148" s="1"/>
      <c r="C2148" s="1" t="s">
        <v>234</v>
      </c>
      <c r="D2148">
        <v>14504</v>
      </c>
      <c r="E2148" s="1" t="s">
        <v>243</v>
      </c>
      <c r="F2148" s="1" t="s">
        <v>378</v>
      </c>
      <c r="G2148" s="1" t="s">
        <v>378</v>
      </c>
      <c r="H2148" s="1" t="s">
        <v>1405</v>
      </c>
      <c r="I2148">
        <v>2008</v>
      </c>
      <c r="J2148" s="93">
        <v>21468.46</v>
      </c>
      <c r="K2148">
        <v>4</v>
      </c>
      <c r="L2148" s="1" t="s">
        <v>530</v>
      </c>
      <c r="M2148">
        <v>0</v>
      </c>
      <c r="N2148">
        <v>0</v>
      </c>
      <c r="O2148">
        <v>214684.6</v>
      </c>
      <c r="P2148">
        <v>2</v>
      </c>
      <c r="Q2148" s="1" t="s">
        <v>569</v>
      </c>
      <c r="R2148" s="93">
        <v>21468.46</v>
      </c>
      <c r="S2148">
        <v>10068.700000000001</v>
      </c>
      <c r="T2148">
        <v>0</v>
      </c>
      <c r="U2148" s="1" t="s">
        <v>1046</v>
      </c>
      <c r="V2148" s="1"/>
      <c r="W2148">
        <v>21468.445500000002</v>
      </c>
      <c r="X2148">
        <v>0</v>
      </c>
      <c r="Y2148">
        <v>91262</v>
      </c>
    </row>
    <row r="2149" spans="1:25" ht="15" hidden="1" customHeight="1" x14ac:dyDescent="0.25">
      <c r="A2149" s="1" t="s">
        <v>32</v>
      </c>
      <c r="B2149" s="1"/>
      <c r="C2149" s="1" t="s">
        <v>234</v>
      </c>
      <c r="D2149">
        <v>14504</v>
      </c>
      <c r="E2149" s="1" t="s">
        <v>243</v>
      </c>
      <c r="F2149" s="1" t="s">
        <v>378</v>
      </c>
      <c r="G2149" s="1" t="s">
        <v>378</v>
      </c>
      <c r="H2149" s="1" t="s">
        <v>1405</v>
      </c>
      <c r="I2149">
        <v>2015</v>
      </c>
      <c r="J2149" s="93">
        <v>5579</v>
      </c>
      <c r="K2149">
        <v>1</v>
      </c>
      <c r="L2149" s="1" t="s">
        <v>530</v>
      </c>
      <c r="M2149">
        <v>0</v>
      </c>
      <c r="N2149">
        <v>0</v>
      </c>
      <c r="P2149">
        <v>2</v>
      </c>
      <c r="Q2149" s="1" t="s">
        <v>569</v>
      </c>
      <c r="T2149">
        <v>0</v>
      </c>
      <c r="U2149" s="1" t="s">
        <v>1046</v>
      </c>
      <c r="V2149" s="1"/>
      <c r="X2149">
        <v>0</v>
      </c>
      <c r="Y2149">
        <v>91262</v>
      </c>
    </row>
    <row r="2150" spans="1:25" ht="15" hidden="1" customHeight="1" x14ac:dyDescent="0.25">
      <c r="A2150" s="1" t="s">
        <v>32</v>
      </c>
      <c r="B2150" s="1"/>
      <c r="C2150" s="1" t="s">
        <v>234</v>
      </c>
      <c r="D2150">
        <v>14504</v>
      </c>
      <c r="E2150" s="1" t="s">
        <v>243</v>
      </c>
      <c r="F2150" s="1" t="s">
        <v>378</v>
      </c>
      <c r="G2150" s="1" t="s">
        <v>378</v>
      </c>
      <c r="H2150" s="1" t="s">
        <v>1405</v>
      </c>
      <c r="I2150">
        <v>2014</v>
      </c>
      <c r="J2150" s="93">
        <v>14386.94</v>
      </c>
      <c r="K2150">
        <v>1</v>
      </c>
      <c r="L2150" s="1" t="s">
        <v>530</v>
      </c>
      <c r="M2150">
        <v>0</v>
      </c>
      <c r="N2150">
        <v>0</v>
      </c>
      <c r="O2150">
        <v>43869.4</v>
      </c>
      <c r="P2150">
        <v>2</v>
      </c>
      <c r="Q2150" s="1" t="s">
        <v>569</v>
      </c>
      <c r="R2150" s="93">
        <v>14386.94</v>
      </c>
      <c r="S2150">
        <v>1316.08</v>
      </c>
      <c r="T2150">
        <v>0</v>
      </c>
      <c r="U2150" s="1" t="s">
        <v>1046</v>
      </c>
      <c r="V2150" s="1"/>
      <c r="W2150">
        <v>4386.9437200000002</v>
      </c>
      <c r="X2150">
        <v>0</v>
      </c>
      <c r="Y2150">
        <v>91262</v>
      </c>
    </row>
    <row r="2151" spans="1:25" ht="15" hidden="1" customHeight="1" x14ac:dyDescent="0.25">
      <c r="A2151" s="1" t="s">
        <v>37</v>
      </c>
      <c r="B2151" s="1"/>
      <c r="C2151" s="1" t="s">
        <v>195</v>
      </c>
      <c r="D2151">
        <v>9519</v>
      </c>
      <c r="E2151" s="1"/>
      <c r="F2151" s="1" t="s">
        <v>328</v>
      </c>
      <c r="G2151" s="1" t="s">
        <v>195</v>
      </c>
      <c r="H2151" s="1" t="s">
        <v>1405</v>
      </c>
      <c r="I2151">
        <v>2014</v>
      </c>
      <c r="J2151" s="93">
        <v>67681.45</v>
      </c>
      <c r="K2151">
        <v>12</v>
      </c>
      <c r="L2151" s="1"/>
      <c r="M2151">
        <v>0</v>
      </c>
      <c r="N2151">
        <v>353</v>
      </c>
      <c r="O2151">
        <v>191.677853</v>
      </c>
      <c r="P2151">
        <v>1</v>
      </c>
      <c r="Q2151" s="1" t="s">
        <v>564</v>
      </c>
      <c r="R2151" s="93">
        <v>80764.28</v>
      </c>
      <c r="S2151">
        <v>17080.150000000001</v>
      </c>
      <c r="T2151">
        <v>0</v>
      </c>
      <c r="U2151" s="1"/>
      <c r="V2151" s="1" t="s">
        <v>1221</v>
      </c>
      <c r="W2151">
        <v>6266.8</v>
      </c>
      <c r="X2151">
        <v>0</v>
      </c>
      <c r="Y2151">
        <v>74433</v>
      </c>
    </row>
    <row r="2152" spans="1:25" ht="15" hidden="1" customHeight="1" x14ac:dyDescent="0.25">
      <c r="A2152" s="1" t="s">
        <v>32</v>
      </c>
      <c r="B2152" s="1"/>
      <c r="C2152" s="1" t="s">
        <v>167</v>
      </c>
      <c r="D2152">
        <v>10179</v>
      </c>
      <c r="E2152" s="1"/>
      <c r="F2152" s="1" t="s">
        <v>299</v>
      </c>
      <c r="G2152" s="1" t="s">
        <v>167</v>
      </c>
      <c r="H2152" s="1" t="s">
        <v>1405</v>
      </c>
      <c r="I2152">
        <v>2014</v>
      </c>
      <c r="J2152" s="93">
        <v>592.84</v>
      </c>
      <c r="K2152">
        <v>12</v>
      </c>
      <c r="L2152" s="1" t="s">
        <v>409</v>
      </c>
      <c r="M2152">
        <v>0</v>
      </c>
      <c r="N2152">
        <v>792</v>
      </c>
      <c r="O2152">
        <v>0.74843999999999999</v>
      </c>
      <c r="P2152">
        <v>3</v>
      </c>
      <c r="Q2152" s="1" t="s">
        <v>560</v>
      </c>
      <c r="R2152" s="93">
        <v>592.84</v>
      </c>
      <c r="S2152">
        <v>0</v>
      </c>
      <c r="T2152">
        <v>0</v>
      </c>
      <c r="U2152" s="1" t="s">
        <v>644</v>
      </c>
      <c r="V2152" s="1"/>
      <c r="W2152">
        <v>592.83399999999995</v>
      </c>
      <c r="X2152">
        <v>0</v>
      </c>
      <c r="Y2152">
        <v>77211</v>
      </c>
    </row>
    <row r="2153" spans="1:25" ht="15" hidden="1" customHeight="1" x14ac:dyDescent="0.25">
      <c r="A2153" s="1" t="s">
        <v>32</v>
      </c>
      <c r="B2153" s="1"/>
      <c r="C2153" s="1" t="s">
        <v>167</v>
      </c>
      <c r="D2153">
        <v>10179</v>
      </c>
      <c r="E2153" s="1"/>
      <c r="F2153" s="1" t="s">
        <v>299</v>
      </c>
      <c r="G2153" s="1" t="s">
        <v>167</v>
      </c>
      <c r="H2153" s="1" t="s">
        <v>1405</v>
      </c>
      <c r="I2153">
        <v>2014</v>
      </c>
      <c r="J2153" s="93">
        <v>44961.96</v>
      </c>
      <c r="K2153">
        <v>12</v>
      </c>
      <c r="L2153" s="1" t="s">
        <v>409</v>
      </c>
      <c r="M2153">
        <v>0</v>
      </c>
      <c r="N2153">
        <v>792</v>
      </c>
      <c r="O2153">
        <v>56.762984000000003</v>
      </c>
      <c r="P2153">
        <v>2</v>
      </c>
      <c r="Q2153" s="1" t="s">
        <v>569</v>
      </c>
      <c r="R2153" s="93">
        <v>44961.96</v>
      </c>
      <c r="S2153">
        <v>13488.56</v>
      </c>
      <c r="T2153">
        <v>0</v>
      </c>
      <c r="U2153" s="1" t="s">
        <v>1028</v>
      </c>
      <c r="V2153" s="1" t="s">
        <v>1304</v>
      </c>
      <c r="W2153">
        <v>44961.944000000003</v>
      </c>
      <c r="X2153">
        <v>0</v>
      </c>
      <c r="Y2153">
        <v>77210</v>
      </c>
    </row>
    <row r="2154" spans="1:25" ht="15" hidden="1" customHeight="1" x14ac:dyDescent="0.25">
      <c r="A2154" s="1" t="s">
        <v>32</v>
      </c>
      <c r="B2154" s="1" t="s">
        <v>70</v>
      </c>
      <c r="C2154" s="1" t="s">
        <v>168</v>
      </c>
      <c r="D2154">
        <v>13667</v>
      </c>
      <c r="E2154" s="1" t="s">
        <v>243</v>
      </c>
      <c r="F2154" s="1" t="s">
        <v>300</v>
      </c>
      <c r="G2154" s="1" t="s">
        <v>168</v>
      </c>
      <c r="H2154" s="1" t="s">
        <v>1405</v>
      </c>
      <c r="I2154">
        <v>2015</v>
      </c>
      <c r="J2154" s="93">
        <v>672</v>
      </c>
      <c r="K2154">
        <v>3</v>
      </c>
      <c r="L2154" s="1"/>
      <c r="N2154">
        <v>292</v>
      </c>
      <c r="P2154">
        <v>3</v>
      </c>
      <c r="Q2154" s="1" t="s">
        <v>560</v>
      </c>
      <c r="T2154">
        <v>0</v>
      </c>
      <c r="U2154" s="1" t="s">
        <v>645</v>
      </c>
      <c r="V2154" s="1"/>
      <c r="W2154">
        <v>1026</v>
      </c>
      <c r="X2154">
        <v>0</v>
      </c>
      <c r="Y2154">
        <v>91263</v>
      </c>
    </row>
    <row r="2155" spans="1:25" ht="15" hidden="1" customHeight="1" x14ac:dyDescent="0.25">
      <c r="A2155" s="1" t="s">
        <v>32</v>
      </c>
      <c r="B2155" s="1" t="s">
        <v>70</v>
      </c>
      <c r="C2155" s="1" t="s">
        <v>168</v>
      </c>
      <c r="D2155">
        <v>13667</v>
      </c>
      <c r="E2155" s="1" t="s">
        <v>243</v>
      </c>
      <c r="F2155" s="1" t="s">
        <v>300</v>
      </c>
      <c r="G2155" s="1" t="s">
        <v>168</v>
      </c>
      <c r="H2155" s="1" t="s">
        <v>1405</v>
      </c>
      <c r="I2155">
        <v>2014</v>
      </c>
      <c r="J2155" s="93">
        <v>1026.02</v>
      </c>
      <c r="K2155">
        <v>3</v>
      </c>
      <c r="L2155" s="1" t="s">
        <v>414</v>
      </c>
      <c r="M2155">
        <v>0</v>
      </c>
      <c r="N2155">
        <v>292</v>
      </c>
      <c r="O2155">
        <v>3.5125639999999998</v>
      </c>
      <c r="P2155">
        <v>3</v>
      </c>
      <c r="Q2155" s="1" t="s">
        <v>560</v>
      </c>
      <c r="R2155" s="93">
        <v>1026.02</v>
      </c>
      <c r="S2155">
        <v>820.79</v>
      </c>
      <c r="T2155">
        <v>0</v>
      </c>
      <c r="U2155" s="1" t="s">
        <v>645</v>
      </c>
      <c r="V2155" s="1"/>
      <c r="W2155">
        <v>1026</v>
      </c>
      <c r="X2155">
        <v>0</v>
      </c>
      <c r="Y2155">
        <v>91263</v>
      </c>
    </row>
    <row r="2156" spans="1:25" ht="15" hidden="1" customHeight="1" x14ac:dyDescent="0.25">
      <c r="A2156" s="1" t="s">
        <v>32</v>
      </c>
      <c r="B2156" s="1" t="s">
        <v>70</v>
      </c>
      <c r="C2156" s="1" t="s">
        <v>168</v>
      </c>
      <c r="D2156">
        <v>13667</v>
      </c>
      <c r="E2156" s="1" t="s">
        <v>243</v>
      </c>
      <c r="F2156" s="1" t="s">
        <v>300</v>
      </c>
      <c r="G2156" s="1" t="s">
        <v>168</v>
      </c>
      <c r="H2156" s="1" t="s">
        <v>1405</v>
      </c>
      <c r="I2156">
        <v>2014</v>
      </c>
      <c r="J2156" s="93">
        <v>274.85000000000002</v>
      </c>
      <c r="K2156">
        <v>3</v>
      </c>
      <c r="L2156" s="1" t="s">
        <v>414</v>
      </c>
      <c r="M2156">
        <v>0</v>
      </c>
      <c r="N2156">
        <v>292</v>
      </c>
      <c r="O2156">
        <v>0.940944</v>
      </c>
      <c r="P2156">
        <v>3</v>
      </c>
      <c r="Q2156" s="1" t="s">
        <v>560</v>
      </c>
      <c r="R2156" s="93">
        <v>274.85000000000002</v>
      </c>
      <c r="S2156">
        <v>219.87</v>
      </c>
      <c r="T2156">
        <v>0</v>
      </c>
      <c r="U2156" s="1" t="s">
        <v>646</v>
      </c>
      <c r="V2156" s="1"/>
      <c r="W2156">
        <v>274.84832</v>
      </c>
      <c r="X2156">
        <v>0</v>
      </c>
      <c r="Y2156">
        <v>93572</v>
      </c>
    </row>
    <row r="2157" spans="1:25" ht="15" hidden="1" customHeight="1" x14ac:dyDescent="0.25">
      <c r="A2157" s="1" t="s">
        <v>32</v>
      </c>
      <c r="B2157" s="1" t="s">
        <v>70</v>
      </c>
      <c r="C2157" s="1" t="s">
        <v>168</v>
      </c>
      <c r="D2157">
        <v>13667</v>
      </c>
      <c r="E2157" s="1" t="s">
        <v>243</v>
      </c>
      <c r="F2157" s="1" t="s">
        <v>300</v>
      </c>
      <c r="G2157" s="1" t="s">
        <v>168</v>
      </c>
      <c r="H2157" s="1" t="s">
        <v>1405</v>
      </c>
      <c r="I2157">
        <v>2014</v>
      </c>
      <c r="J2157" s="93">
        <v>9059.99</v>
      </c>
      <c r="K2157">
        <v>3</v>
      </c>
      <c r="L2157" s="1" t="s">
        <v>525</v>
      </c>
      <c r="M2157">
        <v>0</v>
      </c>
      <c r="N2157">
        <v>292</v>
      </c>
      <c r="O2157">
        <v>31.016739999999999</v>
      </c>
      <c r="P2157">
        <v>2</v>
      </c>
      <c r="Q2157" s="1" t="s">
        <v>569</v>
      </c>
      <c r="R2157" s="93">
        <v>9059.99</v>
      </c>
      <c r="S2157">
        <v>2717.99</v>
      </c>
      <c r="T2157">
        <v>0</v>
      </c>
      <c r="U2157" s="1" t="s">
        <v>1030</v>
      </c>
      <c r="V2157" s="1" t="s">
        <v>1306</v>
      </c>
      <c r="W2157">
        <v>9060.0000099999997</v>
      </c>
      <c r="X2157">
        <v>0</v>
      </c>
      <c r="Y2157">
        <v>95928</v>
      </c>
    </row>
    <row r="2158" spans="1:25" ht="15" hidden="1" customHeight="1" x14ac:dyDescent="0.25">
      <c r="A2158" s="1" t="s">
        <v>32</v>
      </c>
      <c r="B2158" s="1" t="s">
        <v>70</v>
      </c>
      <c r="C2158" s="1" t="s">
        <v>168</v>
      </c>
      <c r="D2158">
        <v>13667</v>
      </c>
      <c r="E2158" s="1" t="s">
        <v>243</v>
      </c>
      <c r="F2158" s="1" t="s">
        <v>300</v>
      </c>
      <c r="G2158" s="1" t="s">
        <v>168</v>
      </c>
      <c r="H2158" s="1" t="s">
        <v>1405</v>
      </c>
      <c r="I2158">
        <v>2014</v>
      </c>
      <c r="J2158" s="93">
        <v>10970.31</v>
      </c>
      <c r="K2158">
        <v>6</v>
      </c>
      <c r="L2158" s="1"/>
      <c r="M2158">
        <v>0</v>
      </c>
      <c r="N2158">
        <v>292</v>
      </c>
      <c r="O2158">
        <v>37.556691999999998</v>
      </c>
      <c r="P2158">
        <v>2</v>
      </c>
      <c r="Q2158" s="1" t="s">
        <v>569</v>
      </c>
      <c r="R2158" s="93">
        <v>10970.31</v>
      </c>
      <c r="S2158">
        <v>3291.11</v>
      </c>
      <c r="T2158">
        <v>0</v>
      </c>
      <c r="U2158" s="1" t="s">
        <v>1029</v>
      </c>
      <c r="V2158" s="1" t="s">
        <v>1305</v>
      </c>
      <c r="W2158">
        <v>10970.31018</v>
      </c>
      <c r="X2158">
        <v>0</v>
      </c>
      <c r="Y2158">
        <v>96386</v>
      </c>
    </row>
    <row r="2159" spans="1:25" ht="15" hidden="1" customHeight="1" x14ac:dyDescent="0.25">
      <c r="A2159" s="1" t="s">
        <v>33</v>
      </c>
      <c r="B2159" s="1" t="s">
        <v>71</v>
      </c>
      <c r="C2159" s="1" t="s">
        <v>169</v>
      </c>
      <c r="D2159">
        <v>6071</v>
      </c>
      <c r="E2159" s="1"/>
      <c r="F2159" s="1" t="s">
        <v>301</v>
      </c>
      <c r="G2159" s="1" t="s">
        <v>169</v>
      </c>
      <c r="H2159" s="1" t="s">
        <v>1405</v>
      </c>
      <c r="I2159">
        <v>2014</v>
      </c>
      <c r="J2159" s="93">
        <v>24.47</v>
      </c>
      <c r="K2159">
        <v>12</v>
      </c>
      <c r="L2159" s="1" t="s">
        <v>399</v>
      </c>
      <c r="M2159">
        <v>0</v>
      </c>
      <c r="N2159">
        <v>222</v>
      </c>
      <c r="O2159">
        <v>0.110175</v>
      </c>
      <c r="P2159">
        <v>3</v>
      </c>
      <c r="Q2159" s="1" t="s">
        <v>560</v>
      </c>
      <c r="R2159" s="93">
        <v>24.47</v>
      </c>
      <c r="S2159">
        <v>19.57</v>
      </c>
      <c r="T2159">
        <v>0</v>
      </c>
      <c r="U2159" s="1" t="s">
        <v>647</v>
      </c>
      <c r="V2159" s="1"/>
      <c r="W2159">
        <v>24.466000000000001</v>
      </c>
      <c r="X2159">
        <v>0</v>
      </c>
      <c r="Y2159">
        <v>60884</v>
      </c>
    </row>
    <row r="2160" spans="1:25" ht="15" hidden="1" customHeight="1" x14ac:dyDescent="0.25">
      <c r="A2160" s="1" t="s">
        <v>33</v>
      </c>
      <c r="B2160" s="1" t="s">
        <v>71</v>
      </c>
      <c r="C2160" s="1" t="s">
        <v>169</v>
      </c>
      <c r="D2160">
        <v>6071</v>
      </c>
      <c r="E2160" s="1"/>
      <c r="F2160" s="1" t="s">
        <v>301</v>
      </c>
      <c r="G2160" s="1" t="s">
        <v>169</v>
      </c>
      <c r="H2160" s="1" t="s">
        <v>1405</v>
      </c>
      <c r="I2160">
        <v>2014</v>
      </c>
      <c r="J2160" s="93">
        <v>3774.41</v>
      </c>
      <c r="K2160">
        <v>12</v>
      </c>
      <c r="L2160" s="1" t="s">
        <v>527</v>
      </c>
      <c r="M2160">
        <v>0</v>
      </c>
      <c r="N2160">
        <v>222</v>
      </c>
      <c r="O2160">
        <v>16.994191000000001</v>
      </c>
      <c r="P2160">
        <v>2</v>
      </c>
      <c r="Q2160" s="1" t="s">
        <v>569</v>
      </c>
      <c r="R2160" s="93">
        <v>3774.41</v>
      </c>
      <c r="S2160">
        <v>1509.76</v>
      </c>
      <c r="T2160">
        <v>0</v>
      </c>
      <c r="U2160" s="1" t="s">
        <v>1032</v>
      </c>
      <c r="V2160" s="1" t="s">
        <v>1307</v>
      </c>
      <c r="W2160">
        <v>3774.4</v>
      </c>
      <c r="X2160">
        <v>0</v>
      </c>
      <c r="Y2160">
        <v>60882</v>
      </c>
    </row>
    <row r="2161" spans="1:25" ht="15" hidden="1" customHeight="1" x14ac:dyDescent="0.25">
      <c r="A2161" s="1" t="s">
        <v>33</v>
      </c>
      <c r="B2161" s="1" t="s">
        <v>71</v>
      </c>
      <c r="C2161" s="1" t="s">
        <v>169</v>
      </c>
      <c r="D2161">
        <v>6071</v>
      </c>
      <c r="E2161" s="1"/>
      <c r="F2161" s="1" t="s">
        <v>301</v>
      </c>
      <c r="G2161" s="1" t="s">
        <v>169</v>
      </c>
      <c r="H2161" s="1" t="s">
        <v>1405</v>
      </c>
      <c r="I2161">
        <v>2014</v>
      </c>
      <c r="J2161" s="93">
        <v>24083</v>
      </c>
      <c r="K2161">
        <v>12</v>
      </c>
      <c r="L2161" s="1" t="s">
        <v>488</v>
      </c>
      <c r="M2161">
        <v>0</v>
      </c>
      <c r="N2161">
        <v>222</v>
      </c>
      <c r="O2161">
        <v>108.433138</v>
      </c>
      <c r="P2161">
        <v>1</v>
      </c>
      <c r="Q2161" s="1" t="s">
        <v>565</v>
      </c>
      <c r="R2161" s="93">
        <v>28380.560000000001</v>
      </c>
      <c r="S2161">
        <v>1816.35</v>
      </c>
      <c r="T2161">
        <v>0</v>
      </c>
      <c r="U2161" s="1" t="s">
        <v>824</v>
      </c>
      <c r="V2161" s="1"/>
      <c r="W2161">
        <v>24.082999999999998</v>
      </c>
      <c r="X2161">
        <v>0</v>
      </c>
      <c r="Y2161">
        <v>60883</v>
      </c>
    </row>
    <row r="2162" spans="1:25" ht="15" hidden="1" customHeight="1" x14ac:dyDescent="0.25">
      <c r="A2162" s="1" t="s">
        <v>33</v>
      </c>
      <c r="B2162" s="1" t="s">
        <v>71</v>
      </c>
      <c r="C2162" s="1" t="s">
        <v>169</v>
      </c>
      <c r="D2162">
        <v>6071</v>
      </c>
      <c r="E2162" s="1"/>
      <c r="F2162" s="1" t="s">
        <v>301</v>
      </c>
      <c r="G2162" s="1" t="s">
        <v>169</v>
      </c>
      <c r="H2162" s="1" t="s">
        <v>1405</v>
      </c>
      <c r="I2162">
        <v>2015</v>
      </c>
      <c r="J2162" s="93">
        <v>28</v>
      </c>
      <c r="K2162">
        <v>5</v>
      </c>
      <c r="L2162" s="1" t="s">
        <v>399</v>
      </c>
      <c r="M2162">
        <v>0</v>
      </c>
      <c r="N2162">
        <v>222</v>
      </c>
      <c r="O2162">
        <v>6.2673999999999994E-2</v>
      </c>
      <c r="P2162">
        <v>3</v>
      </c>
      <c r="Q2162" s="1" t="s">
        <v>560</v>
      </c>
      <c r="R2162" s="93">
        <v>13.92</v>
      </c>
      <c r="S2162">
        <v>11.12</v>
      </c>
      <c r="T2162">
        <v>0</v>
      </c>
      <c r="U2162" s="1" t="s">
        <v>647</v>
      </c>
      <c r="V2162" s="1"/>
      <c r="W2162">
        <v>13.904999999999999</v>
      </c>
      <c r="X2162">
        <v>0</v>
      </c>
      <c r="Y2162">
        <v>60884</v>
      </c>
    </row>
    <row r="2163" spans="1:25" ht="15" hidden="1" customHeight="1" x14ac:dyDescent="0.25">
      <c r="A2163" s="1" t="s">
        <v>33</v>
      </c>
      <c r="B2163" s="1" t="s">
        <v>71</v>
      </c>
      <c r="C2163" s="1" t="s">
        <v>169</v>
      </c>
      <c r="D2163">
        <v>6071</v>
      </c>
      <c r="E2163" s="1"/>
      <c r="F2163" s="1" t="s">
        <v>301</v>
      </c>
      <c r="G2163" s="1" t="s">
        <v>169</v>
      </c>
      <c r="H2163" s="1" t="s">
        <v>1405</v>
      </c>
      <c r="I2163">
        <v>2013</v>
      </c>
      <c r="J2163" s="93">
        <v>23.98</v>
      </c>
      <c r="K2163">
        <v>12</v>
      </c>
      <c r="L2163" s="1" t="s">
        <v>399</v>
      </c>
      <c r="M2163">
        <v>0</v>
      </c>
      <c r="N2163">
        <v>222</v>
      </c>
      <c r="O2163">
        <v>0.107969</v>
      </c>
      <c r="P2163">
        <v>3</v>
      </c>
      <c r="Q2163" s="1" t="s">
        <v>560</v>
      </c>
      <c r="R2163" s="93">
        <v>23.98</v>
      </c>
      <c r="S2163">
        <v>19.18</v>
      </c>
      <c r="T2163">
        <v>0</v>
      </c>
      <c r="U2163" s="1" t="s">
        <v>647</v>
      </c>
      <c r="V2163" s="1"/>
      <c r="W2163">
        <v>23.978000000000002</v>
      </c>
      <c r="X2163">
        <v>0</v>
      </c>
      <c r="Y2163">
        <v>60884</v>
      </c>
    </row>
    <row r="2164" spans="1:25" ht="15" hidden="1" customHeight="1" x14ac:dyDescent="0.25">
      <c r="A2164" s="1" t="s">
        <v>33</v>
      </c>
      <c r="B2164" s="1" t="s">
        <v>71</v>
      </c>
      <c r="C2164" s="1" t="s">
        <v>169</v>
      </c>
      <c r="D2164">
        <v>6071</v>
      </c>
      <c r="E2164" s="1"/>
      <c r="F2164" s="1" t="s">
        <v>301</v>
      </c>
      <c r="G2164" s="1" t="s">
        <v>169</v>
      </c>
      <c r="H2164" s="1" t="s">
        <v>1405</v>
      </c>
      <c r="I2164">
        <v>2012</v>
      </c>
      <c r="J2164" s="93">
        <v>50.46</v>
      </c>
      <c r="K2164">
        <v>12</v>
      </c>
      <c r="L2164" s="1" t="s">
        <v>399</v>
      </c>
      <c r="M2164">
        <v>0</v>
      </c>
      <c r="N2164">
        <v>222</v>
      </c>
      <c r="O2164">
        <v>0.22719400000000001</v>
      </c>
      <c r="P2164">
        <v>3</v>
      </c>
      <c r="Q2164" s="1" t="s">
        <v>560</v>
      </c>
      <c r="R2164" s="93">
        <v>50.46</v>
      </c>
      <c r="S2164">
        <v>40.340000000000003</v>
      </c>
      <c r="T2164">
        <v>0</v>
      </c>
      <c r="U2164" s="1" t="s">
        <v>647</v>
      </c>
      <c r="V2164" s="1"/>
      <c r="W2164">
        <v>50.45</v>
      </c>
      <c r="X2164">
        <v>0</v>
      </c>
      <c r="Y2164">
        <v>60884</v>
      </c>
    </row>
    <row r="2165" spans="1:25" ht="15" hidden="1" customHeight="1" x14ac:dyDescent="0.25">
      <c r="A2165" s="1" t="s">
        <v>33</v>
      </c>
      <c r="B2165" s="1" t="s">
        <v>71</v>
      </c>
      <c r="C2165" s="1" t="s">
        <v>169</v>
      </c>
      <c r="D2165">
        <v>6071</v>
      </c>
      <c r="E2165" s="1"/>
      <c r="F2165" s="1" t="s">
        <v>301</v>
      </c>
      <c r="G2165" s="1" t="s">
        <v>169</v>
      </c>
      <c r="H2165" s="1" t="s">
        <v>1405</v>
      </c>
      <c r="I2165">
        <v>2011</v>
      </c>
      <c r="J2165" s="93">
        <v>18.010000000000002</v>
      </c>
      <c r="K2165">
        <v>4</v>
      </c>
      <c r="L2165" s="1" t="s">
        <v>399</v>
      </c>
      <c r="M2165">
        <v>0</v>
      </c>
      <c r="N2165">
        <v>222</v>
      </c>
      <c r="O2165">
        <v>8.1088999999999994E-2</v>
      </c>
      <c r="P2165">
        <v>3</v>
      </c>
      <c r="Q2165" s="1" t="s">
        <v>560</v>
      </c>
      <c r="R2165" s="93">
        <v>18.010000000000002</v>
      </c>
      <c r="S2165">
        <v>14.4</v>
      </c>
      <c r="T2165">
        <v>0</v>
      </c>
      <c r="U2165" s="1" t="s">
        <v>647</v>
      </c>
      <c r="V2165" s="1"/>
      <c r="W2165">
        <v>17.99999</v>
      </c>
      <c r="X2165">
        <v>0</v>
      </c>
      <c r="Y2165">
        <v>60884</v>
      </c>
    </row>
    <row r="2166" spans="1:25" ht="15" hidden="1" customHeight="1" x14ac:dyDescent="0.25">
      <c r="A2166" s="1" t="s">
        <v>33</v>
      </c>
      <c r="B2166" s="1" t="s">
        <v>71</v>
      </c>
      <c r="C2166" s="1" t="s">
        <v>169</v>
      </c>
      <c r="D2166">
        <v>6071</v>
      </c>
      <c r="E2166" s="1"/>
      <c r="F2166" s="1" t="s">
        <v>301</v>
      </c>
      <c r="G2166" s="1" t="s">
        <v>169</v>
      </c>
      <c r="H2166" s="1" t="s">
        <v>1405</v>
      </c>
      <c r="I2166">
        <v>2010</v>
      </c>
      <c r="J2166" s="93">
        <v>31.2</v>
      </c>
      <c r="K2166">
        <v>5</v>
      </c>
      <c r="L2166" s="1" t="s">
        <v>399</v>
      </c>
      <c r="M2166">
        <v>0</v>
      </c>
      <c r="N2166">
        <v>222</v>
      </c>
      <c r="O2166">
        <v>0.14047699999999999</v>
      </c>
      <c r="P2166">
        <v>3</v>
      </c>
      <c r="Q2166" s="1" t="s">
        <v>560</v>
      </c>
      <c r="R2166" s="93">
        <v>31.2</v>
      </c>
      <c r="S2166">
        <v>24.95</v>
      </c>
      <c r="T2166">
        <v>0</v>
      </c>
      <c r="U2166" s="1" t="s">
        <v>647</v>
      </c>
      <c r="V2166" s="1"/>
      <c r="W2166">
        <v>31.197620000000001</v>
      </c>
      <c r="X2166">
        <v>0</v>
      </c>
      <c r="Y2166">
        <v>60884</v>
      </c>
    </row>
    <row r="2167" spans="1:25" ht="15" hidden="1" customHeight="1" x14ac:dyDescent="0.25">
      <c r="A2167" s="1" t="s">
        <v>33</v>
      </c>
      <c r="B2167" s="1" t="s">
        <v>71</v>
      </c>
      <c r="C2167" s="1" t="s">
        <v>169</v>
      </c>
      <c r="D2167">
        <v>6071</v>
      </c>
      <c r="E2167" s="1"/>
      <c r="F2167" s="1" t="s">
        <v>301</v>
      </c>
      <c r="G2167" s="1" t="s">
        <v>169</v>
      </c>
      <c r="H2167" s="1" t="s">
        <v>1405</v>
      </c>
      <c r="I2167">
        <v>2009</v>
      </c>
      <c r="J2167" s="93">
        <v>13.11</v>
      </c>
      <c r="K2167">
        <v>6</v>
      </c>
      <c r="L2167" s="1" t="s">
        <v>399</v>
      </c>
      <c r="M2167">
        <v>0</v>
      </c>
      <c r="N2167">
        <v>222</v>
      </c>
      <c r="O2167">
        <v>5.9027000000000003E-2</v>
      </c>
      <c r="P2167">
        <v>3</v>
      </c>
      <c r="Q2167" s="1" t="s">
        <v>560</v>
      </c>
      <c r="R2167" s="93">
        <v>13.11</v>
      </c>
      <c r="S2167">
        <v>10.49</v>
      </c>
      <c r="T2167">
        <v>0</v>
      </c>
      <c r="U2167" s="1" t="s">
        <v>647</v>
      </c>
      <c r="V2167" s="1"/>
      <c r="W2167">
        <v>13.115550000000001</v>
      </c>
      <c r="X2167">
        <v>0</v>
      </c>
      <c r="Y2167">
        <v>60884</v>
      </c>
    </row>
    <row r="2168" spans="1:25" ht="15" hidden="1" customHeight="1" x14ac:dyDescent="0.25">
      <c r="A2168" s="1" t="s">
        <v>33</v>
      </c>
      <c r="B2168" s="1" t="s">
        <v>71</v>
      </c>
      <c r="C2168" s="1" t="s">
        <v>169</v>
      </c>
      <c r="D2168">
        <v>6071</v>
      </c>
      <c r="E2168" s="1"/>
      <c r="F2168" s="1" t="s">
        <v>301</v>
      </c>
      <c r="G2168" s="1" t="s">
        <v>169</v>
      </c>
      <c r="H2168" s="1" t="s">
        <v>1405</v>
      </c>
      <c r="I2168">
        <v>2008</v>
      </c>
      <c r="J2168" s="93">
        <v>14.91</v>
      </c>
      <c r="K2168">
        <v>6</v>
      </c>
      <c r="L2168" s="1" t="s">
        <v>399</v>
      </c>
      <c r="M2168">
        <v>0</v>
      </c>
      <c r="N2168">
        <v>222</v>
      </c>
      <c r="O2168">
        <v>6.7130999999999996E-2</v>
      </c>
      <c r="P2168">
        <v>3</v>
      </c>
      <c r="Q2168" s="1" t="s">
        <v>560</v>
      </c>
      <c r="R2168" s="93">
        <v>14.91</v>
      </c>
      <c r="S2168">
        <v>11.93</v>
      </c>
      <c r="T2168">
        <v>0</v>
      </c>
      <c r="U2168" s="1" t="s">
        <v>647</v>
      </c>
      <c r="V2168" s="1"/>
      <c r="W2168">
        <v>14.89615</v>
      </c>
      <c r="X2168">
        <v>0</v>
      </c>
      <c r="Y2168">
        <v>60884</v>
      </c>
    </row>
    <row r="2169" spans="1:25" ht="15" customHeight="1" x14ac:dyDescent="0.25">
      <c r="A2169" s="1" t="s">
        <v>33</v>
      </c>
      <c r="B2169" s="1"/>
      <c r="C2169" s="1" t="s">
        <v>170</v>
      </c>
      <c r="D2169">
        <v>10191</v>
      </c>
      <c r="E2169" s="1"/>
      <c r="F2169" s="1" t="s">
        <v>170</v>
      </c>
      <c r="G2169" s="1" t="s">
        <v>170</v>
      </c>
      <c r="H2169" s="1" t="s">
        <v>1396</v>
      </c>
      <c r="I2169">
        <v>2015</v>
      </c>
      <c r="J2169" s="93">
        <v>2.6</v>
      </c>
      <c r="K2169">
        <v>5</v>
      </c>
      <c r="L2169" s="1"/>
      <c r="M2169">
        <v>0</v>
      </c>
      <c r="N2169">
        <v>711</v>
      </c>
      <c r="O2169">
        <v>3.656E-3</v>
      </c>
      <c r="P2169">
        <v>3</v>
      </c>
      <c r="Q2169" s="1" t="s">
        <v>560</v>
      </c>
      <c r="R2169" s="93">
        <v>2.6</v>
      </c>
      <c r="S2169">
        <v>0</v>
      </c>
      <c r="T2169">
        <v>1</v>
      </c>
      <c r="U2169" s="1" t="s">
        <v>648</v>
      </c>
      <c r="V2169" s="1"/>
      <c r="W2169">
        <v>2.6</v>
      </c>
      <c r="X2169">
        <v>0</v>
      </c>
      <c r="Y2169">
        <v>77257</v>
      </c>
    </row>
    <row r="2170" spans="1:25" ht="15" customHeight="1" x14ac:dyDescent="0.25">
      <c r="A2170" s="1" t="s">
        <v>33</v>
      </c>
      <c r="B2170" s="1"/>
      <c r="C2170" s="1" t="s">
        <v>170</v>
      </c>
      <c r="D2170">
        <v>10191</v>
      </c>
      <c r="E2170" s="1"/>
      <c r="F2170" s="1" t="s">
        <v>170</v>
      </c>
      <c r="G2170" s="1" t="s">
        <v>170</v>
      </c>
      <c r="H2170" s="1" t="s">
        <v>1396</v>
      </c>
      <c r="I2170">
        <v>2015</v>
      </c>
      <c r="J2170" s="93">
        <v>22.7</v>
      </c>
      <c r="K2170">
        <v>5</v>
      </c>
      <c r="L2170" s="1"/>
      <c r="M2170">
        <v>0</v>
      </c>
      <c r="N2170">
        <v>711</v>
      </c>
      <c r="O2170">
        <v>3.1921999999999999E-2</v>
      </c>
      <c r="P2170">
        <v>3</v>
      </c>
      <c r="Q2170" s="1" t="s">
        <v>560</v>
      </c>
      <c r="R2170" s="93">
        <v>22.7</v>
      </c>
      <c r="S2170">
        <v>18.16</v>
      </c>
      <c r="T2170">
        <v>0</v>
      </c>
      <c r="U2170" s="1" t="s">
        <v>649</v>
      </c>
      <c r="V2170" s="1"/>
      <c r="W2170">
        <v>22.7</v>
      </c>
      <c r="X2170">
        <v>0</v>
      </c>
      <c r="Y2170">
        <v>77258</v>
      </c>
    </row>
    <row r="2171" spans="1:25" ht="15" hidden="1" customHeight="1" x14ac:dyDescent="0.25">
      <c r="A2171" s="1" t="s">
        <v>33</v>
      </c>
      <c r="B2171" s="1"/>
      <c r="C2171" s="1" t="s">
        <v>170</v>
      </c>
      <c r="D2171">
        <v>10191</v>
      </c>
      <c r="E2171" s="1"/>
      <c r="F2171" s="1" t="s">
        <v>170</v>
      </c>
      <c r="G2171" s="1" t="s">
        <v>170</v>
      </c>
      <c r="H2171" s="1" t="s">
        <v>1396</v>
      </c>
      <c r="I2171">
        <v>2013</v>
      </c>
      <c r="J2171" s="93">
        <v>4.55</v>
      </c>
      <c r="K2171">
        <v>12</v>
      </c>
      <c r="L2171" s="1"/>
      <c r="M2171">
        <v>0</v>
      </c>
      <c r="N2171">
        <v>711</v>
      </c>
      <c r="O2171">
        <v>6.398E-3</v>
      </c>
      <c r="P2171">
        <v>3</v>
      </c>
      <c r="Q2171" s="1" t="s">
        <v>560</v>
      </c>
      <c r="R2171" s="93">
        <v>4.55</v>
      </c>
      <c r="S2171">
        <v>0</v>
      </c>
      <c r="T2171">
        <v>1</v>
      </c>
      <c r="U2171" s="1" t="s">
        <v>648</v>
      </c>
      <c r="V2171" s="1"/>
      <c r="W2171">
        <v>4.55</v>
      </c>
      <c r="X2171">
        <v>0</v>
      </c>
      <c r="Y2171">
        <v>77257</v>
      </c>
    </row>
    <row r="2172" spans="1:25" ht="15" hidden="1" customHeight="1" x14ac:dyDescent="0.25">
      <c r="A2172" s="1" t="s">
        <v>33</v>
      </c>
      <c r="B2172" s="1"/>
      <c r="C2172" s="1" t="s">
        <v>170</v>
      </c>
      <c r="D2172">
        <v>10191</v>
      </c>
      <c r="E2172" s="1"/>
      <c r="F2172" s="1" t="s">
        <v>170</v>
      </c>
      <c r="G2172" s="1" t="s">
        <v>170</v>
      </c>
      <c r="H2172" s="1" t="s">
        <v>1396</v>
      </c>
      <c r="I2172">
        <v>2013</v>
      </c>
      <c r="J2172" s="93">
        <v>38.590000000000003</v>
      </c>
      <c r="K2172">
        <v>12</v>
      </c>
      <c r="L2172" s="1"/>
      <c r="M2172">
        <v>0</v>
      </c>
      <c r="N2172">
        <v>711</v>
      </c>
      <c r="O2172">
        <v>5.4267999999999997E-2</v>
      </c>
      <c r="P2172">
        <v>3</v>
      </c>
      <c r="Q2172" s="1" t="s">
        <v>560</v>
      </c>
      <c r="R2172" s="93">
        <v>38.590000000000003</v>
      </c>
      <c r="S2172">
        <v>30.88</v>
      </c>
      <c r="T2172">
        <v>0</v>
      </c>
      <c r="U2172" s="1" t="s">
        <v>649</v>
      </c>
      <c r="V2172" s="1"/>
      <c r="W2172">
        <v>38.590000000000003</v>
      </c>
      <c r="X2172">
        <v>0</v>
      </c>
      <c r="Y2172">
        <v>77258</v>
      </c>
    </row>
    <row r="2173" spans="1:25" ht="15" hidden="1" customHeight="1" x14ac:dyDescent="0.25">
      <c r="A2173" s="1" t="s">
        <v>33</v>
      </c>
      <c r="B2173" s="1"/>
      <c r="C2173" s="1" t="s">
        <v>170</v>
      </c>
      <c r="D2173">
        <v>10191</v>
      </c>
      <c r="E2173" s="1"/>
      <c r="F2173" s="1" t="s">
        <v>170</v>
      </c>
      <c r="G2173" s="1" t="s">
        <v>170</v>
      </c>
      <c r="H2173" s="1" t="s">
        <v>1396</v>
      </c>
      <c r="I2173">
        <v>2012</v>
      </c>
      <c r="J2173" s="93">
        <v>5.63</v>
      </c>
      <c r="K2173">
        <v>12</v>
      </c>
      <c r="L2173" s="1"/>
      <c r="M2173">
        <v>0</v>
      </c>
      <c r="N2173">
        <v>711</v>
      </c>
      <c r="O2173">
        <v>7.9170000000000004E-3</v>
      </c>
      <c r="P2173">
        <v>3</v>
      </c>
      <c r="Q2173" s="1" t="s">
        <v>560</v>
      </c>
      <c r="R2173" s="93">
        <v>5.63</v>
      </c>
      <c r="S2173">
        <v>0</v>
      </c>
      <c r="T2173">
        <v>1</v>
      </c>
      <c r="U2173" s="1" t="s">
        <v>648</v>
      </c>
      <c r="V2173" s="1"/>
      <c r="W2173">
        <v>5.63</v>
      </c>
      <c r="X2173">
        <v>0</v>
      </c>
      <c r="Y2173">
        <v>77257</v>
      </c>
    </row>
    <row r="2174" spans="1:25" ht="15" hidden="1" customHeight="1" x14ac:dyDescent="0.25">
      <c r="A2174" s="1" t="s">
        <v>33</v>
      </c>
      <c r="B2174" s="1"/>
      <c r="C2174" s="1" t="s">
        <v>170</v>
      </c>
      <c r="D2174">
        <v>10191</v>
      </c>
      <c r="E2174" s="1"/>
      <c r="F2174" s="1" t="s">
        <v>170</v>
      </c>
      <c r="G2174" s="1" t="s">
        <v>170</v>
      </c>
      <c r="H2174" s="1" t="s">
        <v>1396</v>
      </c>
      <c r="I2174">
        <v>2012</v>
      </c>
      <c r="J2174" s="93">
        <v>31.18</v>
      </c>
      <c r="K2174">
        <v>12</v>
      </c>
      <c r="L2174" s="1"/>
      <c r="M2174">
        <v>0</v>
      </c>
      <c r="N2174">
        <v>711</v>
      </c>
      <c r="O2174">
        <v>4.3846999999999997E-2</v>
      </c>
      <c r="P2174">
        <v>3</v>
      </c>
      <c r="Q2174" s="1" t="s">
        <v>560</v>
      </c>
      <c r="R2174" s="93">
        <v>31.18</v>
      </c>
      <c r="S2174">
        <v>24.95</v>
      </c>
      <c r="T2174">
        <v>0</v>
      </c>
      <c r="U2174" s="1" t="s">
        <v>649</v>
      </c>
      <c r="V2174" s="1"/>
      <c r="W2174">
        <v>31.18</v>
      </c>
      <c r="X2174">
        <v>0</v>
      </c>
      <c r="Y2174">
        <v>77258</v>
      </c>
    </row>
    <row r="2175" spans="1:25" ht="15" hidden="1" customHeight="1" x14ac:dyDescent="0.25">
      <c r="A2175" s="1" t="s">
        <v>33</v>
      </c>
      <c r="B2175" s="1"/>
      <c r="C2175" s="1" t="s">
        <v>170</v>
      </c>
      <c r="D2175">
        <v>10191</v>
      </c>
      <c r="E2175" s="1"/>
      <c r="F2175" s="1" t="s">
        <v>170</v>
      </c>
      <c r="G2175" s="1" t="s">
        <v>170</v>
      </c>
      <c r="H2175" s="1" t="s">
        <v>1396</v>
      </c>
      <c r="I2175">
        <v>2011</v>
      </c>
      <c r="J2175" s="93">
        <v>5.73</v>
      </c>
      <c r="K2175">
        <v>12</v>
      </c>
      <c r="L2175" s="1"/>
      <c r="M2175">
        <v>0</v>
      </c>
      <c r="N2175">
        <v>711</v>
      </c>
      <c r="O2175">
        <v>8.0569999999999999E-3</v>
      </c>
      <c r="P2175">
        <v>3</v>
      </c>
      <c r="Q2175" s="1" t="s">
        <v>560</v>
      </c>
      <c r="R2175" s="93">
        <v>5.73</v>
      </c>
      <c r="S2175">
        <v>0</v>
      </c>
      <c r="T2175">
        <v>1</v>
      </c>
      <c r="U2175" s="1" t="s">
        <v>648</v>
      </c>
      <c r="V2175" s="1"/>
      <c r="W2175">
        <v>5.73</v>
      </c>
      <c r="X2175">
        <v>0</v>
      </c>
      <c r="Y2175">
        <v>77257</v>
      </c>
    </row>
    <row r="2176" spans="1:25" ht="15" hidden="1" customHeight="1" x14ac:dyDescent="0.25">
      <c r="A2176" s="1" t="s">
        <v>33</v>
      </c>
      <c r="B2176" s="1"/>
      <c r="C2176" s="1" t="s">
        <v>170</v>
      </c>
      <c r="D2176">
        <v>10191</v>
      </c>
      <c r="E2176" s="1"/>
      <c r="F2176" s="1" t="s">
        <v>170</v>
      </c>
      <c r="G2176" s="1" t="s">
        <v>170</v>
      </c>
      <c r="H2176" s="1" t="s">
        <v>1396</v>
      </c>
      <c r="I2176">
        <v>2011</v>
      </c>
      <c r="J2176" s="93">
        <v>34.020000000000003</v>
      </c>
      <c r="K2176">
        <v>12</v>
      </c>
      <c r="L2176" s="1"/>
      <c r="M2176">
        <v>0</v>
      </c>
      <c r="N2176">
        <v>711</v>
      </c>
      <c r="O2176">
        <v>4.7841000000000002E-2</v>
      </c>
      <c r="P2176">
        <v>3</v>
      </c>
      <c r="Q2176" s="1" t="s">
        <v>560</v>
      </c>
      <c r="R2176" s="93">
        <v>34.020000000000003</v>
      </c>
      <c r="S2176">
        <v>27.24</v>
      </c>
      <c r="T2176">
        <v>0</v>
      </c>
      <c r="U2176" s="1" t="s">
        <v>649</v>
      </c>
      <c r="V2176" s="1"/>
      <c r="W2176">
        <v>34.020679999999999</v>
      </c>
      <c r="X2176">
        <v>0</v>
      </c>
      <c r="Y2176">
        <v>77258</v>
      </c>
    </row>
    <row r="2177" spans="1:25" ht="15" hidden="1" customHeight="1" x14ac:dyDescent="0.25">
      <c r="A2177" s="1" t="s">
        <v>33</v>
      </c>
      <c r="B2177" s="1"/>
      <c r="C2177" s="1" t="s">
        <v>170</v>
      </c>
      <c r="D2177">
        <v>10191</v>
      </c>
      <c r="E2177" s="1"/>
      <c r="F2177" s="1" t="s">
        <v>170</v>
      </c>
      <c r="G2177" s="1" t="s">
        <v>170</v>
      </c>
      <c r="H2177" s="1" t="s">
        <v>1396</v>
      </c>
      <c r="I2177">
        <v>2010</v>
      </c>
      <c r="J2177" s="93">
        <v>3.36</v>
      </c>
      <c r="K2177">
        <v>12</v>
      </c>
      <c r="L2177" s="1"/>
      <c r="M2177">
        <v>0</v>
      </c>
      <c r="N2177">
        <v>711</v>
      </c>
      <c r="O2177">
        <v>4.725E-3</v>
      </c>
      <c r="P2177">
        <v>3</v>
      </c>
      <c r="Q2177" s="1" t="s">
        <v>560</v>
      </c>
      <c r="R2177" s="93">
        <v>3.36</v>
      </c>
      <c r="S2177">
        <v>0</v>
      </c>
      <c r="T2177">
        <v>1</v>
      </c>
      <c r="U2177" s="1" t="s">
        <v>648</v>
      </c>
      <c r="V2177" s="1"/>
      <c r="W2177">
        <v>3.3482099999999999</v>
      </c>
      <c r="X2177">
        <v>0</v>
      </c>
      <c r="Y2177">
        <v>77257</v>
      </c>
    </row>
    <row r="2178" spans="1:25" ht="15" hidden="1" customHeight="1" x14ac:dyDescent="0.25">
      <c r="A2178" s="1" t="s">
        <v>33</v>
      </c>
      <c r="B2178" s="1"/>
      <c r="C2178" s="1" t="s">
        <v>170</v>
      </c>
      <c r="D2178">
        <v>10191</v>
      </c>
      <c r="E2178" s="1"/>
      <c r="F2178" s="1" t="s">
        <v>170</v>
      </c>
      <c r="G2178" s="1" t="s">
        <v>170</v>
      </c>
      <c r="H2178" s="1" t="s">
        <v>1396</v>
      </c>
      <c r="I2178">
        <v>2010</v>
      </c>
      <c r="J2178" s="93">
        <v>57.37</v>
      </c>
      <c r="K2178">
        <v>12</v>
      </c>
      <c r="L2178" s="1"/>
      <c r="M2178">
        <v>0</v>
      </c>
      <c r="N2178">
        <v>711</v>
      </c>
      <c r="O2178">
        <v>8.0676999999999999E-2</v>
      </c>
      <c r="P2178">
        <v>3</v>
      </c>
      <c r="Q2178" s="1" t="s">
        <v>560</v>
      </c>
      <c r="R2178" s="93">
        <v>57.37</v>
      </c>
      <c r="S2178">
        <v>45.9</v>
      </c>
      <c r="T2178">
        <v>0</v>
      </c>
      <c r="U2178" s="1" t="s">
        <v>649</v>
      </c>
      <c r="V2178" s="1"/>
      <c r="W2178">
        <v>57.366930000000004</v>
      </c>
      <c r="X2178">
        <v>0</v>
      </c>
      <c r="Y2178">
        <v>77258</v>
      </c>
    </row>
    <row r="2179" spans="1:25" ht="15" hidden="1" customHeight="1" x14ac:dyDescent="0.25">
      <c r="A2179" s="1" t="s">
        <v>33</v>
      </c>
      <c r="B2179" s="1"/>
      <c r="C2179" s="1" t="s">
        <v>170</v>
      </c>
      <c r="D2179">
        <v>10191</v>
      </c>
      <c r="E2179" s="1"/>
      <c r="F2179" s="1" t="s">
        <v>170</v>
      </c>
      <c r="G2179" s="1" t="s">
        <v>170</v>
      </c>
      <c r="H2179" s="1" t="s">
        <v>1396</v>
      </c>
      <c r="I2179">
        <v>2009</v>
      </c>
      <c r="J2179" s="93">
        <v>6.11</v>
      </c>
      <c r="K2179">
        <v>12</v>
      </c>
      <c r="L2179" s="1"/>
      <c r="M2179">
        <v>0</v>
      </c>
      <c r="N2179">
        <v>711</v>
      </c>
      <c r="O2179">
        <v>8.5920000000000007E-3</v>
      </c>
      <c r="P2179">
        <v>3</v>
      </c>
      <c r="Q2179" s="1" t="s">
        <v>560</v>
      </c>
      <c r="R2179" s="93">
        <v>6.11</v>
      </c>
      <c r="S2179">
        <v>0</v>
      </c>
      <c r="T2179">
        <v>1</v>
      </c>
      <c r="U2179" s="1" t="s">
        <v>648</v>
      </c>
      <c r="V2179" s="1"/>
      <c r="W2179">
        <v>6.1117800000000004</v>
      </c>
      <c r="X2179">
        <v>0</v>
      </c>
      <c r="Y2179">
        <v>77257</v>
      </c>
    </row>
    <row r="2180" spans="1:25" ht="15" hidden="1" customHeight="1" x14ac:dyDescent="0.25">
      <c r="A2180" s="1" t="s">
        <v>33</v>
      </c>
      <c r="B2180" s="1"/>
      <c r="C2180" s="1" t="s">
        <v>170</v>
      </c>
      <c r="D2180">
        <v>10191</v>
      </c>
      <c r="E2180" s="1"/>
      <c r="F2180" s="1" t="s">
        <v>170</v>
      </c>
      <c r="G2180" s="1" t="s">
        <v>170</v>
      </c>
      <c r="H2180" s="1" t="s">
        <v>1396</v>
      </c>
      <c r="I2180">
        <v>2009</v>
      </c>
      <c r="J2180" s="93">
        <v>50.97</v>
      </c>
      <c r="K2180">
        <v>12</v>
      </c>
      <c r="L2180" s="1"/>
      <c r="M2180">
        <v>0</v>
      </c>
      <c r="N2180">
        <v>711</v>
      </c>
      <c r="O2180">
        <v>7.1677000000000005E-2</v>
      </c>
      <c r="P2180">
        <v>3</v>
      </c>
      <c r="Q2180" s="1" t="s">
        <v>560</v>
      </c>
      <c r="R2180" s="93">
        <v>50.97</v>
      </c>
      <c r="S2180">
        <v>40.78</v>
      </c>
      <c r="T2180">
        <v>0</v>
      </c>
      <c r="U2180" s="1" t="s">
        <v>649</v>
      </c>
      <c r="V2180" s="1"/>
      <c r="W2180">
        <v>50.9724</v>
      </c>
      <c r="X2180">
        <v>0</v>
      </c>
      <c r="Y2180">
        <v>77258</v>
      </c>
    </row>
    <row r="2181" spans="1:25" ht="15" hidden="1" customHeight="1" x14ac:dyDescent="0.25">
      <c r="A2181" s="1" t="s">
        <v>33</v>
      </c>
      <c r="B2181" s="1"/>
      <c r="C2181" s="1" t="s">
        <v>170</v>
      </c>
      <c r="D2181">
        <v>10191</v>
      </c>
      <c r="E2181" s="1"/>
      <c r="F2181" s="1" t="s">
        <v>170</v>
      </c>
      <c r="G2181" s="1" t="s">
        <v>170</v>
      </c>
      <c r="H2181" s="1" t="s">
        <v>1396</v>
      </c>
      <c r="I2181">
        <v>2008</v>
      </c>
      <c r="J2181" s="93">
        <v>10.83</v>
      </c>
      <c r="K2181">
        <v>12</v>
      </c>
      <c r="L2181" s="1"/>
      <c r="M2181">
        <v>0</v>
      </c>
      <c r="N2181">
        <v>711</v>
      </c>
      <c r="O2181">
        <v>1.5228999999999999E-2</v>
      </c>
      <c r="P2181">
        <v>3</v>
      </c>
      <c r="Q2181" s="1" t="s">
        <v>560</v>
      </c>
      <c r="R2181" s="93">
        <v>10.83</v>
      </c>
      <c r="S2181">
        <v>0</v>
      </c>
      <c r="T2181">
        <v>1</v>
      </c>
      <c r="U2181" s="1" t="s">
        <v>648</v>
      </c>
      <c r="V2181" s="1"/>
      <c r="W2181">
        <v>10.83</v>
      </c>
      <c r="X2181">
        <v>0</v>
      </c>
      <c r="Y2181">
        <v>77257</v>
      </c>
    </row>
    <row r="2182" spans="1:25" ht="15" hidden="1" customHeight="1" x14ac:dyDescent="0.25">
      <c r="A2182" s="1" t="s">
        <v>33</v>
      </c>
      <c r="B2182" s="1"/>
      <c r="C2182" s="1" t="s">
        <v>170</v>
      </c>
      <c r="D2182">
        <v>10191</v>
      </c>
      <c r="E2182" s="1"/>
      <c r="F2182" s="1" t="s">
        <v>170</v>
      </c>
      <c r="G2182" s="1" t="s">
        <v>170</v>
      </c>
      <c r="H2182" s="1" t="s">
        <v>1396</v>
      </c>
      <c r="I2182">
        <v>2008</v>
      </c>
      <c r="J2182" s="93">
        <v>31.23</v>
      </c>
      <c r="K2182">
        <v>9</v>
      </c>
      <c r="L2182" s="1"/>
      <c r="M2182">
        <v>0</v>
      </c>
      <c r="N2182">
        <v>711</v>
      </c>
      <c r="O2182">
        <v>4.3916999999999998E-2</v>
      </c>
      <c r="P2182">
        <v>3</v>
      </c>
      <c r="Q2182" s="1" t="s">
        <v>560</v>
      </c>
      <c r="R2182" s="93">
        <v>31.23</v>
      </c>
      <c r="S2182">
        <v>24.97</v>
      </c>
      <c r="T2182">
        <v>0</v>
      </c>
      <c r="U2182" s="1" t="s">
        <v>649</v>
      </c>
      <c r="V2182" s="1"/>
      <c r="W2182">
        <v>31.23</v>
      </c>
      <c r="X2182">
        <v>0</v>
      </c>
      <c r="Y2182">
        <v>77258</v>
      </c>
    </row>
    <row r="2183" spans="1:25" ht="15" hidden="1" customHeight="1" x14ac:dyDescent="0.25">
      <c r="A2183" s="1" t="s">
        <v>33</v>
      </c>
      <c r="B2183" s="1"/>
      <c r="C2183" s="1" t="s">
        <v>171</v>
      </c>
      <c r="D2183">
        <v>9517</v>
      </c>
      <c r="E2183" s="1"/>
      <c r="F2183" s="1" t="s">
        <v>302</v>
      </c>
      <c r="G2183" s="1" t="s">
        <v>171</v>
      </c>
      <c r="H2183" s="1" t="s">
        <v>1405</v>
      </c>
      <c r="I2183">
        <v>2015</v>
      </c>
      <c r="J2183" s="93">
        <v>74</v>
      </c>
      <c r="K2183">
        <v>5</v>
      </c>
      <c r="L2183" s="1"/>
      <c r="M2183">
        <v>0</v>
      </c>
      <c r="N2183">
        <v>784</v>
      </c>
      <c r="O2183">
        <v>4.5338000000000003E-2</v>
      </c>
      <c r="P2183">
        <v>3</v>
      </c>
      <c r="Q2183" s="1" t="s">
        <v>560</v>
      </c>
      <c r="R2183" s="93">
        <v>35.549999999999997</v>
      </c>
      <c r="S2183">
        <v>28.44</v>
      </c>
      <c r="T2183">
        <v>0</v>
      </c>
      <c r="U2183" s="1"/>
      <c r="V2183" s="1"/>
      <c r="W2183">
        <v>35.542999999999999</v>
      </c>
      <c r="X2183">
        <v>0</v>
      </c>
      <c r="Y2183">
        <v>74425</v>
      </c>
    </row>
    <row r="2184" spans="1:25" ht="15" hidden="1" customHeight="1" x14ac:dyDescent="0.25">
      <c r="A2184" s="1" t="s">
        <v>33</v>
      </c>
      <c r="B2184" s="1"/>
      <c r="C2184" s="1" t="s">
        <v>171</v>
      </c>
      <c r="D2184">
        <v>9517</v>
      </c>
      <c r="E2184" s="1"/>
      <c r="F2184" s="1" t="s">
        <v>302</v>
      </c>
      <c r="G2184" s="1" t="s">
        <v>171</v>
      </c>
      <c r="H2184" s="1" t="s">
        <v>1405</v>
      </c>
      <c r="I2184">
        <v>2013</v>
      </c>
      <c r="J2184" s="93">
        <v>75.739999999999995</v>
      </c>
      <c r="K2184">
        <v>12</v>
      </c>
      <c r="L2184" s="1"/>
      <c r="M2184">
        <v>0</v>
      </c>
      <c r="N2184">
        <v>784</v>
      </c>
      <c r="O2184">
        <v>9.6593999999999999E-2</v>
      </c>
      <c r="P2184">
        <v>3</v>
      </c>
      <c r="Q2184" s="1" t="s">
        <v>560</v>
      </c>
      <c r="R2184" s="93">
        <v>75.739999999999995</v>
      </c>
      <c r="S2184">
        <v>60.59</v>
      </c>
      <c r="T2184">
        <v>0</v>
      </c>
      <c r="U2184" s="1"/>
      <c r="V2184" s="1"/>
      <c r="W2184">
        <v>75.730999999999995</v>
      </c>
      <c r="X2184">
        <v>0</v>
      </c>
      <c r="Y2184">
        <v>74425</v>
      </c>
    </row>
    <row r="2185" spans="1:25" ht="15" hidden="1" customHeight="1" x14ac:dyDescent="0.25">
      <c r="A2185" s="1" t="s">
        <v>33</v>
      </c>
      <c r="B2185" s="1"/>
      <c r="C2185" s="1" t="s">
        <v>171</v>
      </c>
      <c r="D2185">
        <v>9517</v>
      </c>
      <c r="E2185" s="1"/>
      <c r="F2185" s="1" t="s">
        <v>302</v>
      </c>
      <c r="G2185" s="1" t="s">
        <v>171</v>
      </c>
      <c r="H2185" s="1" t="s">
        <v>1405</v>
      </c>
      <c r="I2185">
        <v>2012</v>
      </c>
      <c r="J2185" s="93">
        <v>74.37</v>
      </c>
      <c r="K2185">
        <v>12</v>
      </c>
      <c r="L2185" s="1"/>
      <c r="M2185">
        <v>0</v>
      </c>
      <c r="N2185">
        <v>784</v>
      </c>
      <c r="O2185">
        <v>9.4847000000000001E-2</v>
      </c>
      <c r="P2185">
        <v>3</v>
      </c>
      <c r="Q2185" s="1" t="s">
        <v>560</v>
      </c>
      <c r="R2185" s="93">
        <v>74.37</v>
      </c>
      <c r="S2185">
        <v>59.5</v>
      </c>
      <c r="T2185">
        <v>0</v>
      </c>
      <c r="U2185" s="1"/>
      <c r="V2185" s="1"/>
      <c r="W2185">
        <v>74.376000000000005</v>
      </c>
      <c r="X2185">
        <v>0</v>
      </c>
      <c r="Y2185">
        <v>74425</v>
      </c>
    </row>
    <row r="2186" spans="1:25" ht="15" hidden="1" customHeight="1" x14ac:dyDescent="0.25">
      <c r="A2186" s="1" t="s">
        <v>33</v>
      </c>
      <c r="B2186" s="1"/>
      <c r="C2186" s="1" t="s">
        <v>171</v>
      </c>
      <c r="D2186">
        <v>9517</v>
      </c>
      <c r="E2186" s="1"/>
      <c r="F2186" s="1" t="s">
        <v>302</v>
      </c>
      <c r="G2186" s="1" t="s">
        <v>171</v>
      </c>
      <c r="H2186" s="1" t="s">
        <v>1405</v>
      </c>
      <c r="I2186">
        <v>2011</v>
      </c>
      <c r="J2186" s="93">
        <v>67.83</v>
      </c>
      <c r="K2186">
        <v>12</v>
      </c>
      <c r="L2186" s="1"/>
      <c r="M2186">
        <v>0</v>
      </c>
      <c r="N2186">
        <v>784</v>
      </c>
      <c r="O2186">
        <v>8.6506E-2</v>
      </c>
      <c r="P2186">
        <v>3</v>
      </c>
      <c r="Q2186" s="1" t="s">
        <v>560</v>
      </c>
      <c r="R2186" s="93">
        <v>67.83</v>
      </c>
      <c r="S2186">
        <v>54.25</v>
      </c>
      <c r="T2186">
        <v>0</v>
      </c>
      <c r="U2186" s="1"/>
      <c r="V2186" s="1"/>
      <c r="W2186">
        <v>67.831999999999994</v>
      </c>
      <c r="X2186">
        <v>0</v>
      </c>
      <c r="Y2186">
        <v>74425</v>
      </c>
    </row>
    <row r="2187" spans="1:25" ht="15" hidden="1" customHeight="1" x14ac:dyDescent="0.25">
      <c r="A2187" s="1" t="s">
        <v>33</v>
      </c>
      <c r="B2187" s="1"/>
      <c r="C2187" s="1" t="s">
        <v>171</v>
      </c>
      <c r="D2187">
        <v>9517</v>
      </c>
      <c r="E2187" s="1"/>
      <c r="F2187" s="1" t="s">
        <v>302</v>
      </c>
      <c r="G2187" s="1" t="s">
        <v>171</v>
      </c>
      <c r="H2187" s="1" t="s">
        <v>1405</v>
      </c>
      <c r="I2187">
        <v>2010</v>
      </c>
      <c r="J2187" s="93">
        <v>76.59</v>
      </c>
      <c r="K2187">
        <v>12</v>
      </c>
      <c r="L2187" s="1"/>
      <c r="M2187">
        <v>0</v>
      </c>
      <c r="N2187">
        <v>784</v>
      </c>
      <c r="O2187">
        <v>9.7678000000000001E-2</v>
      </c>
      <c r="P2187">
        <v>3</v>
      </c>
      <c r="Q2187" s="1" t="s">
        <v>560</v>
      </c>
      <c r="R2187" s="93">
        <v>76.59</v>
      </c>
      <c r="S2187">
        <v>61.28</v>
      </c>
      <c r="T2187">
        <v>0</v>
      </c>
      <c r="U2187" s="1"/>
      <c r="V2187" s="1"/>
      <c r="W2187">
        <v>76.601420000000005</v>
      </c>
      <c r="X2187">
        <v>0</v>
      </c>
      <c r="Y2187">
        <v>74425</v>
      </c>
    </row>
    <row r="2188" spans="1:25" ht="15" hidden="1" customHeight="1" x14ac:dyDescent="0.25">
      <c r="A2188" s="1" t="s">
        <v>33</v>
      </c>
      <c r="B2188" s="1"/>
      <c r="C2188" s="1" t="s">
        <v>171</v>
      </c>
      <c r="D2188">
        <v>9517</v>
      </c>
      <c r="E2188" s="1"/>
      <c r="F2188" s="1" t="s">
        <v>302</v>
      </c>
      <c r="G2188" s="1" t="s">
        <v>171</v>
      </c>
      <c r="H2188" s="1" t="s">
        <v>1405</v>
      </c>
      <c r="I2188">
        <v>2009</v>
      </c>
      <c r="J2188" s="93">
        <v>77.39</v>
      </c>
      <c r="K2188">
        <v>12</v>
      </c>
      <c r="L2188" s="1"/>
      <c r="M2188">
        <v>0</v>
      </c>
      <c r="N2188">
        <v>784</v>
      </c>
      <c r="O2188">
        <v>9.8698999999999995E-2</v>
      </c>
      <c r="P2188">
        <v>3</v>
      </c>
      <c r="Q2188" s="1" t="s">
        <v>560</v>
      </c>
      <c r="R2188" s="93">
        <v>77.39</v>
      </c>
      <c r="S2188">
        <v>61.94</v>
      </c>
      <c r="T2188">
        <v>0</v>
      </c>
      <c r="U2188" s="1"/>
      <c r="V2188" s="1"/>
      <c r="W2188">
        <v>77.419589999999999</v>
      </c>
      <c r="X2188">
        <v>0</v>
      </c>
      <c r="Y2188">
        <v>74425</v>
      </c>
    </row>
    <row r="2189" spans="1:25" ht="15" hidden="1" customHeight="1" x14ac:dyDescent="0.25">
      <c r="A2189" s="1" t="s">
        <v>33</v>
      </c>
      <c r="B2189" s="1"/>
      <c r="C2189" s="1" t="s">
        <v>171</v>
      </c>
      <c r="D2189">
        <v>9517</v>
      </c>
      <c r="E2189" s="1"/>
      <c r="F2189" s="1" t="s">
        <v>302</v>
      </c>
      <c r="G2189" s="1" t="s">
        <v>171</v>
      </c>
      <c r="H2189" s="1" t="s">
        <v>1405</v>
      </c>
      <c r="I2189">
        <v>2008</v>
      </c>
      <c r="J2189" s="93">
        <v>75.69</v>
      </c>
      <c r="K2189">
        <v>12</v>
      </c>
      <c r="L2189" s="1"/>
      <c r="M2189">
        <v>0</v>
      </c>
      <c r="N2189">
        <v>784</v>
      </c>
      <c r="O2189">
        <v>9.6531000000000006E-2</v>
      </c>
      <c r="P2189">
        <v>3</v>
      </c>
      <c r="Q2189" s="1" t="s">
        <v>560</v>
      </c>
      <c r="R2189" s="93">
        <v>75.69</v>
      </c>
      <c r="S2189">
        <v>60.57</v>
      </c>
      <c r="T2189">
        <v>0</v>
      </c>
      <c r="U2189" s="1"/>
      <c r="V2189" s="1"/>
      <c r="W2189">
        <v>75.692999999999998</v>
      </c>
      <c r="X2189">
        <v>0</v>
      </c>
      <c r="Y2189">
        <v>74425</v>
      </c>
    </row>
    <row r="2190" spans="1:25" ht="15" hidden="1" customHeight="1" x14ac:dyDescent="0.25">
      <c r="A2190" s="1" t="s">
        <v>33</v>
      </c>
      <c r="B2190" s="1" t="s">
        <v>72</v>
      </c>
      <c r="C2190" s="1" t="s">
        <v>172</v>
      </c>
      <c r="D2190">
        <v>5300</v>
      </c>
      <c r="E2190" s="1"/>
      <c r="F2190" s="1" t="s">
        <v>303</v>
      </c>
      <c r="G2190" s="1" t="s">
        <v>172</v>
      </c>
      <c r="H2190" s="1" t="s">
        <v>1405</v>
      </c>
      <c r="I2190">
        <v>2013</v>
      </c>
      <c r="J2190" s="93">
        <v>1158.57</v>
      </c>
      <c r="K2190">
        <v>12</v>
      </c>
      <c r="L2190" s="1"/>
      <c r="M2190">
        <v>0</v>
      </c>
      <c r="N2190">
        <v>7375</v>
      </c>
      <c r="O2190">
        <v>0.15709200000000001</v>
      </c>
      <c r="P2190">
        <v>3</v>
      </c>
      <c r="Q2190" s="1" t="s">
        <v>560</v>
      </c>
      <c r="R2190" s="93">
        <v>1158.57</v>
      </c>
      <c r="S2190">
        <v>926.86</v>
      </c>
      <c r="T2190">
        <v>0</v>
      </c>
      <c r="U2190" s="1" t="s">
        <v>650</v>
      </c>
      <c r="V2190" s="1"/>
      <c r="W2190">
        <v>1158.5609999999999</v>
      </c>
      <c r="X2190">
        <v>0</v>
      </c>
      <c r="Y2190">
        <v>56969</v>
      </c>
    </row>
    <row r="2191" spans="1:25" ht="15" hidden="1" customHeight="1" x14ac:dyDescent="0.25">
      <c r="A2191" s="1" t="s">
        <v>33</v>
      </c>
      <c r="B2191" s="1" t="s">
        <v>72</v>
      </c>
      <c r="C2191" s="1" t="s">
        <v>172</v>
      </c>
      <c r="D2191">
        <v>5300</v>
      </c>
      <c r="E2191" s="1"/>
      <c r="F2191" s="1" t="s">
        <v>303</v>
      </c>
      <c r="G2191" s="1" t="s">
        <v>172</v>
      </c>
      <c r="H2191" s="1" t="s">
        <v>1405</v>
      </c>
      <c r="I2191">
        <v>2013</v>
      </c>
      <c r="J2191" s="93">
        <v>82.97</v>
      </c>
      <c r="K2191">
        <v>16</v>
      </c>
      <c r="L2191" s="1" t="s">
        <v>435</v>
      </c>
      <c r="M2191">
        <v>0</v>
      </c>
      <c r="N2191">
        <v>7375</v>
      </c>
      <c r="O2191">
        <v>1.125E-2</v>
      </c>
      <c r="P2191">
        <v>3</v>
      </c>
      <c r="Q2191" s="1" t="s">
        <v>560</v>
      </c>
      <c r="R2191" s="93">
        <v>82.97</v>
      </c>
      <c r="S2191">
        <v>66.39</v>
      </c>
      <c r="T2191">
        <v>0</v>
      </c>
      <c r="U2191" s="1" t="s">
        <v>651</v>
      </c>
      <c r="V2191" s="1"/>
      <c r="W2191">
        <v>82.977090000000004</v>
      </c>
      <c r="X2191">
        <v>0</v>
      </c>
      <c r="Y2191">
        <v>56972</v>
      </c>
    </row>
    <row r="2192" spans="1:25" ht="15" hidden="1" customHeight="1" x14ac:dyDescent="0.25">
      <c r="A2192" s="1" t="s">
        <v>33</v>
      </c>
      <c r="B2192" s="1" t="s">
        <v>72</v>
      </c>
      <c r="C2192" s="1" t="s">
        <v>172</v>
      </c>
      <c r="D2192">
        <v>5300</v>
      </c>
      <c r="E2192" s="1"/>
      <c r="F2192" s="1" t="s">
        <v>303</v>
      </c>
      <c r="G2192" s="1" t="s">
        <v>172</v>
      </c>
      <c r="H2192" s="1" t="s">
        <v>1405</v>
      </c>
      <c r="I2192">
        <v>2013</v>
      </c>
      <c r="J2192" s="93">
        <v>494.97</v>
      </c>
      <c r="K2192">
        <v>12</v>
      </c>
      <c r="L2192" s="1"/>
      <c r="M2192">
        <v>0</v>
      </c>
      <c r="N2192">
        <v>7375</v>
      </c>
      <c r="O2192">
        <v>6.7113000000000006E-2</v>
      </c>
      <c r="P2192">
        <v>3</v>
      </c>
      <c r="Q2192" s="1" t="s">
        <v>560</v>
      </c>
      <c r="R2192" s="93">
        <v>494.97</v>
      </c>
      <c r="S2192">
        <v>395.98</v>
      </c>
      <c r="T2192">
        <v>1</v>
      </c>
      <c r="U2192" s="1" t="s">
        <v>652</v>
      </c>
      <c r="V2192" s="1"/>
      <c r="W2192">
        <v>494.97</v>
      </c>
      <c r="X2192">
        <v>0</v>
      </c>
      <c r="Y2192">
        <v>56992</v>
      </c>
    </row>
    <row r="2193" spans="1:25" ht="15" hidden="1" customHeight="1" x14ac:dyDescent="0.25">
      <c r="A2193" s="1" t="s">
        <v>33</v>
      </c>
      <c r="B2193" s="1" t="s">
        <v>72</v>
      </c>
      <c r="C2193" s="1" t="s">
        <v>172</v>
      </c>
      <c r="D2193">
        <v>5300</v>
      </c>
      <c r="E2193" s="1"/>
      <c r="F2193" s="1" t="s">
        <v>303</v>
      </c>
      <c r="G2193" s="1" t="s">
        <v>172</v>
      </c>
      <c r="H2193" s="1" t="s">
        <v>1405</v>
      </c>
      <c r="I2193">
        <v>2013</v>
      </c>
      <c r="J2193" s="93">
        <v>845445</v>
      </c>
      <c r="K2193">
        <v>12</v>
      </c>
      <c r="L2193" s="1" t="s">
        <v>393</v>
      </c>
      <c r="M2193">
        <v>0</v>
      </c>
      <c r="N2193">
        <v>7375</v>
      </c>
      <c r="O2193">
        <v>114.63505499999999</v>
      </c>
      <c r="P2193">
        <v>1</v>
      </c>
      <c r="Q2193" s="1" t="s">
        <v>562</v>
      </c>
      <c r="R2193" s="93">
        <v>905629.67</v>
      </c>
      <c r="S2193">
        <v>167541.49</v>
      </c>
      <c r="T2193">
        <v>0</v>
      </c>
      <c r="U2193" s="1" t="s">
        <v>825</v>
      </c>
      <c r="V2193" s="1"/>
      <c r="W2193">
        <v>845445</v>
      </c>
      <c r="X2193">
        <v>0</v>
      </c>
      <c r="Y2193">
        <v>56974</v>
      </c>
    </row>
    <row r="2194" spans="1:25" ht="15" hidden="1" customHeight="1" x14ac:dyDescent="0.25">
      <c r="A2194" s="1" t="s">
        <v>33</v>
      </c>
      <c r="B2194" s="1" t="s">
        <v>72</v>
      </c>
      <c r="C2194" s="1" t="s">
        <v>172</v>
      </c>
      <c r="D2194">
        <v>5300</v>
      </c>
      <c r="E2194" s="1"/>
      <c r="F2194" s="1" t="s">
        <v>303</v>
      </c>
      <c r="G2194" s="1" t="s">
        <v>172</v>
      </c>
      <c r="H2194" s="1" t="s">
        <v>1405</v>
      </c>
      <c r="I2194">
        <v>2013</v>
      </c>
      <c r="J2194" s="93">
        <v>284793.56</v>
      </c>
      <c r="K2194">
        <v>12</v>
      </c>
      <c r="L2194" s="1" t="s">
        <v>393</v>
      </c>
      <c r="M2194">
        <v>0</v>
      </c>
      <c r="N2194">
        <v>7375</v>
      </c>
      <c r="O2194">
        <v>38.615552000000001</v>
      </c>
      <c r="P2194">
        <v>2</v>
      </c>
      <c r="Q2194" s="1" t="s">
        <v>569</v>
      </c>
      <c r="R2194" s="93">
        <v>284793.56</v>
      </c>
      <c r="S2194">
        <v>113917.44</v>
      </c>
      <c r="T2194">
        <v>0</v>
      </c>
      <c r="U2194" s="1" t="s">
        <v>1034</v>
      </c>
      <c r="V2194" s="1" t="s">
        <v>1308</v>
      </c>
      <c r="W2194">
        <v>284793.56</v>
      </c>
      <c r="X2194">
        <v>0</v>
      </c>
      <c r="Y2194">
        <v>56967</v>
      </c>
    </row>
    <row r="2195" spans="1:25" ht="15" hidden="1" customHeight="1" x14ac:dyDescent="0.25">
      <c r="A2195" s="1" t="s">
        <v>33</v>
      </c>
      <c r="B2195" s="1" t="s">
        <v>72</v>
      </c>
      <c r="C2195" s="1" t="s">
        <v>172</v>
      </c>
      <c r="D2195">
        <v>5300</v>
      </c>
      <c r="E2195" s="1"/>
      <c r="F2195" s="1" t="s">
        <v>303</v>
      </c>
      <c r="G2195" s="1" t="s">
        <v>172</v>
      </c>
      <c r="H2195" s="1" t="s">
        <v>1405</v>
      </c>
      <c r="I2195">
        <v>2014</v>
      </c>
      <c r="J2195" s="93">
        <v>1071.67</v>
      </c>
      <c r="K2195">
        <v>12</v>
      </c>
      <c r="L2195" s="1"/>
      <c r="M2195">
        <v>0</v>
      </c>
      <c r="N2195">
        <v>7375</v>
      </c>
      <c r="O2195">
        <v>0.14530899999999999</v>
      </c>
      <c r="P2195">
        <v>3</v>
      </c>
      <c r="Q2195" s="1" t="s">
        <v>560</v>
      </c>
      <c r="R2195" s="93">
        <v>1071.67</v>
      </c>
      <c r="S2195">
        <v>857.35</v>
      </c>
      <c r="T2195">
        <v>0</v>
      </c>
      <c r="U2195" s="1" t="s">
        <v>650</v>
      </c>
      <c r="V2195" s="1"/>
      <c r="W2195">
        <v>1071.681</v>
      </c>
      <c r="X2195">
        <v>0</v>
      </c>
      <c r="Y2195">
        <v>56969</v>
      </c>
    </row>
    <row r="2196" spans="1:25" ht="15" hidden="1" customHeight="1" x14ac:dyDescent="0.25">
      <c r="A2196" s="1" t="s">
        <v>33</v>
      </c>
      <c r="B2196" s="1" t="s">
        <v>72</v>
      </c>
      <c r="C2196" s="1" t="s">
        <v>172</v>
      </c>
      <c r="D2196">
        <v>5300</v>
      </c>
      <c r="E2196" s="1"/>
      <c r="F2196" s="1" t="s">
        <v>303</v>
      </c>
      <c r="G2196" s="1" t="s">
        <v>172</v>
      </c>
      <c r="H2196" s="1" t="s">
        <v>1405</v>
      </c>
      <c r="I2196">
        <v>2012</v>
      </c>
      <c r="J2196" s="93">
        <v>1236.92</v>
      </c>
      <c r="K2196">
        <v>12</v>
      </c>
      <c r="L2196" s="1"/>
      <c r="M2196">
        <v>0</v>
      </c>
      <c r="N2196">
        <v>7375</v>
      </c>
      <c r="O2196">
        <v>0.167715</v>
      </c>
      <c r="P2196">
        <v>3</v>
      </c>
      <c r="Q2196" s="1" t="s">
        <v>560</v>
      </c>
      <c r="R2196" s="93">
        <v>1236.92</v>
      </c>
      <c r="S2196">
        <v>989.55</v>
      </c>
      <c r="T2196">
        <v>0</v>
      </c>
      <c r="U2196" s="1" t="s">
        <v>650</v>
      </c>
      <c r="V2196" s="1"/>
      <c r="W2196">
        <v>1236.93</v>
      </c>
      <c r="X2196">
        <v>0</v>
      </c>
      <c r="Y2196">
        <v>56969</v>
      </c>
    </row>
    <row r="2197" spans="1:25" ht="15" hidden="1" customHeight="1" x14ac:dyDescent="0.25">
      <c r="A2197" s="1" t="s">
        <v>33</v>
      </c>
      <c r="B2197" s="1" t="s">
        <v>72</v>
      </c>
      <c r="C2197" s="1" t="s">
        <v>172</v>
      </c>
      <c r="D2197">
        <v>5300</v>
      </c>
      <c r="E2197" s="1"/>
      <c r="F2197" s="1" t="s">
        <v>303</v>
      </c>
      <c r="G2197" s="1" t="s">
        <v>172</v>
      </c>
      <c r="H2197" s="1" t="s">
        <v>1405</v>
      </c>
      <c r="I2197">
        <v>2012</v>
      </c>
      <c r="J2197" s="93">
        <v>39.07</v>
      </c>
      <c r="K2197">
        <v>0</v>
      </c>
      <c r="L2197" s="1" t="s">
        <v>435</v>
      </c>
      <c r="M2197">
        <v>0</v>
      </c>
      <c r="N2197">
        <v>7375</v>
      </c>
      <c r="O2197">
        <v>5.2969999999999996E-3</v>
      </c>
      <c r="P2197">
        <v>3</v>
      </c>
      <c r="Q2197" s="1" t="s">
        <v>560</v>
      </c>
      <c r="R2197" s="93">
        <v>39.07</v>
      </c>
      <c r="S2197">
        <v>31.27</v>
      </c>
      <c r="T2197">
        <v>0</v>
      </c>
      <c r="U2197" s="1" t="s">
        <v>651</v>
      </c>
      <c r="V2197" s="1"/>
      <c r="W2197">
        <v>39.08737</v>
      </c>
      <c r="X2197">
        <v>0</v>
      </c>
      <c r="Y2197">
        <v>56972</v>
      </c>
    </row>
    <row r="2198" spans="1:25" ht="15" hidden="1" customHeight="1" x14ac:dyDescent="0.25">
      <c r="A2198" s="1" t="s">
        <v>33</v>
      </c>
      <c r="B2198" s="1" t="s">
        <v>72</v>
      </c>
      <c r="C2198" s="1" t="s">
        <v>172</v>
      </c>
      <c r="D2198">
        <v>5300</v>
      </c>
      <c r="E2198" s="1"/>
      <c r="F2198" s="1" t="s">
        <v>303</v>
      </c>
      <c r="G2198" s="1" t="s">
        <v>172</v>
      </c>
      <c r="H2198" s="1" t="s">
        <v>1405</v>
      </c>
      <c r="I2198">
        <v>2012</v>
      </c>
      <c r="J2198" s="93">
        <v>453.21</v>
      </c>
      <c r="K2198">
        <v>12</v>
      </c>
      <c r="L2198" s="1"/>
      <c r="M2198">
        <v>0</v>
      </c>
      <c r="N2198">
        <v>7375</v>
      </c>
      <c r="O2198">
        <v>6.1450999999999999E-2</v>
      </c>
      <c r="P2198">
        <v>3</v>
      </c>
      <c r="Q2198" s="1" t="s">
        <v>560</v>
      </c>
      <c r="R2198" s="93">
        <v>453.21</v>
      </c>
      <c r="S2198">
        <v>362.57</v>
      </c>
      <c r="T2198">
        <v>1</v>
      </c>
      <c r="U2198" s="1" t="s">
        <v>652</v>
      </c>
      <c r="V2198" s="1"/>
      <c r="W2198">
        <v>453.21</v>
      </c>
      <c r="X2198">
        <v>0</v>
      </c>
      <c r="Y2198">
        <v>56992</v>
      </c>
    </row>
    <row r="2199" spans="1:25" ht="15" hidden="1" customHeight="1" x14ac:dyDescent="0.25">
      <c r="A2199" s="1" t="s">
        <v>33</v>
      </c>
      <c r="B2199" s="1" t="s">
        <v>72</v>
      </c>
      <c r="C2199" s="1" t="s">
        <v>172</v>
      </c>
      <c r="D2199">
        <v>5300</v>
      </c>
      <c r="E2199" s="1"/>
      <c r="F2199" s="1" t="s">
        <v>303</v>
      </c>
      <c r="G2199" s="1" t="s">
        <v>172</v>
      </c>
      <c r="H2199" s="1" t="s">
        <v>1405</v>
      </c>
      <c r="I2199">
        <v>2011</v>
      </c>
      <c r="J2199" s="93">
        <v>1145.8499999999999</v>
      </c>
      <c r="K2199">
        <v>12</v>
      </c>
      <c r="L2199" s="1"/>
      <c r="M2199">
        <v>0</v>
      </c>
      <c r="N2199">
        <v>7375</v>
      </c>
      <c r="O2199">
        <v>0.15536700000000001</v>
      </c>
      <c r="P2199">
        <v>3</v>
      </c>
      <c r="Q2199" s="1" t="s">
        <v>560</v>
      </c>
      <c r="R2199" s="93">
        <v>1145.8499999999999</v>
      </c>
      <c r="S2199">
        <v>916.71</v>
      </c>
      <c r="T2199">
        <v>0</v>
      </c>
      <c r="U2199" s="1" t="s">
        <v>650</v>
      </c>
      <c r="V2199" s="1"/>
      <c r="W2199">
        <v>1145.8499999999999</v>
      </c>
      <c r="X2199">
        <v>0</v>
      </c>
      <c r="Y2199">
        <v>56969</v>
      </c>
    </row>
    <row r="2200" spans="1:25" ht="15" hidden="1" customHeight="1" x14ac:dyDescent="0.25">
      <c r="A2200" s="1" t="s">
        <v>33</v>
      </c>
      <c r="B2200" s="1" t="s">
        <v>72</v>
      </c>
      <c r="C2200" s="1" t="s">
        <v>172</v>
      </c>
      <c r="D2200">
        <v>5300</v>
      </c>
      <c r="E2200" s="1"/>
      <c r="F2200" s="1" t="s">
        <v>303</v>
      </c>
      <c r="G2200" s="1" t="s">
        <v>172</v>
      </c>
      <c r="H2200" s="1" t="s">
        <v>1405</v>
      </c>
      <c r="I2200">
        <v>2011</v>
      </c>
      <c r="J2200" s="93">
        <v>85.91</v>
      </c>
      <c r="K2200">
        <v>1</v>
      </c>
      <c r="L2200" s="1" t="s">
        <v>435</v>
      </c>
      <c r="M2200">
        <v>0</v>
      </c>
      <c r="N2200">
        <v>7375</v>
      </c>
      <c r="O2200">
        <v>1.1648E-2</v>
      </c>
      <c r="P2200">
        <v>3</v>
      </c>
      <c r="Q2200" s="1" t="s">
        <v>560</v>
      </c>
      <c r="R2200" s="93">
        <v>85.91</v>
      </c>
      <c r="S2200">
        <v>68.709999999999994</v>
      </c>
      <c r="T2200">
        <v>0</v>
      </c>
      <c r="U2200" s="1" t="s">
        <v>651</v>
      </c>
      <c r="V2200" s="1"/>
      <c r="W2200">
        <v>85.937690000000003</v>
      </c>
      <c r="X2200">
        <v>0</v>
      </c>
      <c r="Y2200">
        <v>56972</v>
      </c>
    </row>
    <row r="2201" spans="1:25" ht="15" hidden="1" customHeight="1" x14ac:dyDescent="0.25">
      <c r="A2201" s="1" t="s">
        <v>33</v>
      </c>
      <c r="B2201" s="1" t="s">
        <v>72</v>
      </c>
      <c r="C2201" s="1" t="s">
        <v>172</v>
      </c>
      <c r="D2201">
        <v>5300</v>
      </c>
      <c r="E2201" s="1"/>
      <c r="F2201" s="1" t="s">
        <v>303</v>
      </c>
      <c r="G2201" s="1" t="s">
        <v>172</v>
      </c>
      <c r="H2201" s="1" t="s">
        <v>1405</v>
      </c>
      <c r="I2201">
        <v>2011</v>
      </c>
      <c r="J2201" s="93">
        <v>111.36</v>
      </c>
      <c r="K2201">
        <v>12</v>
      </c>
      <c r="L2201" s="1"/>
      <c r="M2201">
        <v>0</v>
      </c>
      <c r="N2201">
        <v>7375</v>
      </c>
      <c r="O2201">
        <v>1.5099E-2</v>
      </c>
      <c r="P2201">
        <v>3</v>
      </c>
      <c r="Q2201" s="1" t="s">
        <v>560</v>
      </c>
      <c r="R2201" s="93">
        <v>111.36</v>
      </c>
      <c r="S2201">
        <v>89.11</v>
      </c>
      <c r="T2201">
        <v>1</v>
      </c>
      <c r="U2201" s="1" t="s">
        <v>652</v>
      </c>
      <c r="V2201" s="1"/>
      <c r="W2201">
        <v>111.37</v>
      </c>
      <c r="X2201">
        <v>0</v>
      </c>
      <c r="Y2201">
        <v>56992</v>
      </c>
    </row>
    <row r="2202" spans="1:25" ht="15" hidden="1" customHeight="1" x14ac:dyDescent="0.25">
      <c r="A2202" s="1" t="s">
        <v>33</v>
      </c>
      <c r="B2202" s="1" t="s">
        <v>72</v>
      </c>
      <c r="C2202" s="1" t="s">
        <v>172</v>
      </c>
      <c r="D2202">
        <v>5300</v>
      </c>
      <c r="E2202" s="1"/>
      <c r="F2202" s="1" t="s">
        <v>303</v>
      </c>
      <c r="G2202" s="1" t="s">
        <v>172</v>
      </c>
      <c r="H2202" s="1" t="s">
        <v>1405</v>
      </c>
      <c r="I2202">
        <v>2010</v>
      </c>
      <c r="J2202" s="93">
        <v>1181.5899999999999</v>
      </c>
      <c r="K2202">
        <v>12</v>
      </c>
      <c r="L2202" s="1"/>
      <c r="M2202">
        <v>0</v>
      </c>
      <c r="N2202">
        <v>7375</v>
      </c>
      <c r="O2202">
        <v>0.16021299999999999</v>
      </c>
      <c r="P2202">
        <v>3</v>
      </c>
      <c r="Q2202" s="1" t="s">
        <v>560</v>
      </c>
      <c r="R2202" s="93">
        <v>1181.5899999999999</v>
      </c>
      <c r="S2202">
        <v>945.26</v>
      </c>
      <c r="T2202">
        <v>0</v>
      </c>
      <c r="U2202" s="1" t="s">
        <v>650</v>
      </c>
      <c r="V2202" s="1"/>
      <c r="W2202">
        <v>1181.5899999999999</v>
      </c>
      <c r="X2202">
        <v>0</v>
      </c>
      <c r="Y2202">
        <v>56969</v>
      </c>
    </row>
    <row r="2203" spans="1:25" ht="15" hidden="1" customHeight="1" x14ac:dyDescent="0.25">
      <c r="A2203" s="1" t="s">
        <v>33</v>
      </c>
      <c r="B2203" s="1" t="s">
        <v>72</v>
      </c>
      <c r="C2203" s="1" t="s">
        <v>172</v>
      </c>
      <c r="D2203">
        <v>5300</v>
      </c>
      <c r="E2203" s="1"/>
      <c r="F2203" s="1" t="s">
        <v>303</v>
      </c>
      <c r="G2203" s="1" t="s">
        <v>172</v>
      </c>
      <c r="H2203" s="1" t="s">
        <v>1405</v>
      </c>
      <c r="I2203">
        <v>2010</v>
      </c>
      <c r="J2203" s="93">
        <v>88.2</v>
      </c>
      <c r="K2203">
        <v>0</v>
      </c>
      <c r="L2203" s="1" t="s">
        <v>435</v>
      </c>
      <c r="M2203">
        <v>0</v>
      </c>
      <c r="N2203">
        <v>7375</v>
      </c>
      <c r="O2203">
        <v>1.1958999999999999E-2</v>
      </c>
      <c r="P2203">
        <v>3</v>
      </c>
      <c r="Q2203" s="1" t="s">
        <v>560</v>
      </c>
      <c r="R2203" s="93">
        <v>88.2</v>
      </c>
      <c r="S2203">
        <v>70.540000000000006</v>
      </c>
      <c r="T2203">
        <v>0</v>
      </c>
      <c r="U2203" s="1" t="s">
        <v>651</v>
      </c>
      <c r="V2203" s="1"/>
      <c r="W2203">
        <v>88.231570000000005</v>
      </c>
      <c r="X2203">
        <v>0</v>
      </c>
      <c r="Y2203">
        <v>56972</v>
      </c>
    </row>
    <row r="2204" spans="1:25" ht="15" hidden="1" customHeight="1" x14ac:dyDescent="0.25">
      <c r="A2204" s="1" t="s">
        <v>33</v>
      </c>
      <c r="B2204" s="1" t="s">
        <v>72</v>
      </c>
      <c r="C2204" s="1" t="s">
        <v>172</v>
      </c>
      <c r="D2204">
        <v>5300</v>
      </c>
      <c r="E2204" s="1"/>
      <c r="F2204" s="1" t="s">
        <v>303</v>
      </c>
      <c r="G2204" s="1" t="s">
        <v>172</v>
      </c>
      <c r="H2204" s="1" t="s">
        <v>1405</v>
      </c>
      <c r="I2204">
        <v>2010</v>
      </c>
      <c r="J2204" s="93">
        <v>356.47</v>
      </c>
      <c r="K2204">
        <v>12</v>
      </c>
      <c r="L2204" s="1"/>
      <c r="M2204">
        <v>0</v>
      </c>
      <c r="N2204">
        <v>7375</v>
      </c>
      <c r="O2204">
        <v>4.8334000000000002E-2</v>
      </c>
      <c r="P2204">
        <v>3</v>
      </c>
      <c r="Q2204" s="1" t="s">
        <v>560</v>
      </c>
      <c r="R2204" s="93">
        <v>356.47</v>
      </c>
      <c r="S2204">
        <v>285.17</v>
      </c>
      <c r="T2204">
        <v>1</v>
      </c>
      <c r="U2204" s="1" t="s">
        <v>652</v>
      </c>
      <c r="V2204" s="1"/>
      <c r="W2204">
        <v>356.47</v>
      </c>
      <c r="X2204">
        <v>0</v>
      </c>
      <c r="Y2204">
        <v>56992</v>
      </c>
    </row>
    <row r="2205" spans="1:25" ht="15" hidden="1" customHeight="1" x14ac:dyDescent="0.25">
      <c r="A2205" s="1" t="s">
        <v>33</v>
      </c>
      <c r="B2205" s="1" t="s">
        <v>72</v>
      </c>
      <c r="C2205" s="1" t="s">
        <v>172</v>
      </c>
      <c r="D2205">
        <v>5300</v>
      </c>
      <c r="E2205" s="1"/>
      <c r="F2205" s="1" t="s">
        <v>303</v>
      </c>
      <c r="G2205" s="1" t="s">
        <v>172</v>
      </c>
      <c r="H2205" s="1" t="s">
        <v>1405</v>
      </c>
      <c r="I2205">
        <v>2009</v>
      </c>
      <c r="J2205" s="93">
        <v>1095.46</v>
      </c>
      <c r="K2205">
        <v>12</v>
      </c>
      <c r="L2205" s="1"/>
      <c r="M2205">
        <v>0</v>
      </c>
      <c r="N2205">
        <v>7375</v>
      </c>
      <c r="O2205">
        <v>0.148534</v>
      </c>
      <c r="P2205">
        <v>3</v>
      </c>
      <c r="Q2205" s="1" t="s">
        <v>560</v>
      </c>
      <c r="R2205" s="93">
        <v>1095.46</v>
      </c>
      <c r="S2205">
        <v>876.4</v>
      </c>
      <c r="T2205">
        <v>0</v>
      </c>
      <c r="U2205" s="1" t="s">
        <v>650</v>
      </c>
      <c r="V2205" s="1"/>
      <c r="W2205">
        <v>1095.4639999999999</v>
      </c>
      <c r="X2205">
        <v>0</v>
      </c>
      <c r="Y2205">
        <v>56969</v>
      </c>
    </row>
    <row r="2206" spans="1:25" ht="15" hidden="1" customHeight="1" x14ac:dyDescent="0.25">
      <c r="A2206" s="1" t="s">
        <v>33</v>
      </c>
      <c r="B2206" s="1" t="s">
        <v>72</v>
      </c>
      <c r="C2206" s="1" t="s">
        <v>172</v>
      </c>
      <c r="D2206">
        <v>5300</v>
      </c>
      <c r="E2206" s="1"/>
      <c r="F2206" s="1" t="s">
        <v>303</v>
      </c>
      <c r="G2206" s="1" t="s">
        <v>172</v>
      </c>
      <c r="H2206" s="1" t="s">
        <v>1405</v>
      </c>
      <c r="I2206">
        <v>2009</v>
      </c>
      <c r="J2206" s="93">
        <v>88.2</v>
      </c>
      <c r="K2206">
        <v>0</v>
      </c>
      <c r="L2206" s="1" t="s">
        <v>435</v>
      </c>
      <c r="M2206">
        <v>0</v>
      </c>
      <c r="N2206">
        <v>7375</v>
      </c>
      <c r="O2206">
        <v>1.1958999999999999E-2</v>
      </c>
      <c r="P2206">
        <v>3</v>
      </c>
      <c r="Q2206" s="1" t="s">
        <v>560</v>
      </c>
      <c r="R2206" s="93">
        <v>88.2</v>
      </c>
      <c r="S2206">
        <v>70.540000000000006</v>
      </c>
      <c r="T2206">
        <v>0</v>
      </c>
      <c r="U2206" s="1" t="s">
        <v>651</v>
      </c>
      <c r="V2206" s="1"/>
      <c r="W2206">
        <v>88.231570000000005</v>
      </c>
      <c r="X2206">
        <v>0</v>
      </c>
      <c r="Y2206">
        <v>56972</v>
      </c>
    </row>
    <row r="2207" spans="1:25" ht="15" hidden="1" customHeight="1" x14ac:dyDescent="0.25">
      <c r="A2207" s="1" t="s">
        <v>33</v>
      </c>
      <c r="B2207" s="1" t="s">
        <v>72</v>
      </c>
      <c r="C2207" s="1" t="s">
        <v>172</v>
      </c>
      <c r="D2207">
        <v>5300</v>
      </c>
      <c r="E2207" s="1"/>
      <c r="F2207" s="1" t="s">
        <v>303</v>
      </c>
      <c r="G2207" s="1" t="s">
        <v>172</v>
      </c>
      <c r="H2207" s="1" t="s">
        <v>1405</v>
      </c>
      <c r="I2207">
        <v>2009</v>
      </c>
      <c r="J2207" s="93">
        <v>506.33</v>
      </c>
      <c r="K2207">
        <v>12</v>
      </c>
      <c r="L2207" s="1"/>
      <c r="M2207">
        <v>0</v>
      </c>
      <c r="N2207">
        <v>7375</v>
      </c>
      <c r="O2207">
        <v>6.8653000000000006E-2</v>
      </c>
      <c r="P2207">
        <v>3</v>
      </c>
      <c r="Q2207" s="1" t="s">
        <v>560</v>
      </c>
      <c r="R2207" s="93">
        <v>506.33</v>
      </c>
      <c r="S2207">
        <v>405.08</v>
      </c>
      <c r="T2207">
        <v>1</v>
      </c>
      <c r="U2207" s="1" t="s">
        <v>652</v>
      </c>
      <c r="V2207" s="1"/>
      <c r="W2207">
        <v>506.33</v>
      </c>
      <c r="X2207">
        <v>0</v>
      </c>
      <c r="Y2207">
        <v>56992</v>
      </c>
    </row>
    <row r="2208" spans="1:25" ht="15" hidden="1" customHeight="1" x14ac:dyDescent="0.25">
      <c r="A2208" s="1" t="s">
        <v>33</v>
      </c>
      <c r="B2208" s="1" t="s">
        <v>72</v>
      </c>
      <c r="C2208" s="1" t="s">
        <v>172</v>
      </c>
      <c r="D2208">
        <v>5300</v>
      </c>
      <c r="E2208" s="1"/>
      <c r="F2208" s="1" t="s">
        <v>303</v>
      </c>
      <c r="G2208" s="1" t="s">
        <v>172</v>
      </c>
      <c r="H2208" s="1" t="s">
        <v>1405</v>
      </c>
      <c r="I2208">
        <v>2008</v>
      </c>
      <c r="J2208" s="93">
        <v>1146.83</v>
      </c>
      <c r="K2208">
        <v>12</v>
      </c>
      <c r="L2208" s="1"/>
      <c r="M2208">
        <v>0</v>
      </c>
      <c r="N2208">
        <v>7375</v>
      </c>
      <c r="O2208">
        <v>0.1555</v>
      </c>
      <c r="P2208">
        <v>3</v>
      </c>
      <c r="Q2208" s="1" t="s">
        <v>560</v>
      </c>
      <c r="R2208" s="93">
        <v>1146.83</v>
      </c>
      <c r="S2208">
        <v>917.48</v>
      </c>
      <c r="T2208">
        <v>0</v>
      </c>
      <c r="U2208" s="1" t="s">
        <v>650</v>
      </c>
      <c r="V2208" s="1"/>
      <c r="W2208">
        <v>1146.836</v>
      </c>
      <c r="X2208">
        <v>0</v>
      </c>
      <c r="Y2208">
        <v>56969</v>
      </c>
    </row>
    <row r="2209" spans="1:25" ht="15" hidden="1" customHeight="1" x14ac:dyDescent="0.25">
      <c r="A2209" s="1" t="s">
        <v>33</v>
      </c>
      <c r="B2209" s="1" t="s">
        <v>72</v>
      </c>
      <c r="C2209" s="1" t="s">
        <v>172</v>
      </c>
      <c r="D2209">
        <v>5300</v>
      </c>
      <c r="E2209" s="1"/>
      <c r="F2209" s="1" t="s">
        <v>303</v>
      </c>
      <c r="G2209" s="1" t="s">
        <v>172</v>
      </c>
      <c r="H2209" s="1" t="s">
        <v>1405</v>
      </c>
      <c r="I2209">
        <v>2008</v>
      </c>
      <c r="J2209" s="93">
        <v>88.44</v>
      </c>
      <c r="K2209">
        <v>0</v>
      </c>
      <c r="L2209" s="1" t="s">
        <v>435</v>
      </c>
      <c r="M2209">
        <v>0</v>
      </c>
      <c r="N2209">
        <v>7375</v>
      </c>
      <c r="O2209">
        <v>1.1991E-2</v>
      </c>
      <c r="P2209">
        <v>3</v>
      </c>
      <c r="Q2209" s="1" t="s">
        <v>560</v>
      </c>
      <c r="R2209" s="93">
        <v>88.44</v>
      </c>
      <c r="S2209">
        <v>70.739999999999995</v>
      </c>
      <c r="T2209">
        <v>0</v>
      </c>
      <c r="U2209" s="1" t="s">
        <v>651</v>
      </c>
      <c r="V2209" s="1"/>
      <c r="W2209">
        <v>88.473299999999995</v>
      </c>
      <c r="X2209">
        <v>0</v>
      </c>
      <c r="Y2209">
        <v>56972</v>
      </c>
    </row>
    <row r="2210" spans="1:25" ht="15" hidden="1" customHeight="1" x14ac:dyDescent="0.25">
      <c r="A2210" s="1" t="s">
        <v>33</v>
      </c>
      <c r="B2210" s="1" t="s">
        <v>72</v>
      </c>
      <c r="C2210" s="1" t="s">
        <v>172</v>
      </c>
      <c r="D2210">
        <v>5300</v>
      </c>
      <c r="E2210" s="1"/>
      <c r="F2210" s="1" t="s">
        <v>303</v>
      </c>
      <c r="G2210" s="1" t="s">
        <v>172</v>
      </c>
      <c r="H2210" s="1" t="s">
        <v>1405</v>
      </c>
      <c r="I2210">
        <v>2008</v>
      </c>
      <c r="J2210" s="93">
        <v>349.25</v>
      </c>
      <c r="K2210">
        <v>12</v>
      </c>
      <c r="L2210" s="1"/>
      <c r="M2210">
        <v>0</v>
      </c>
      <c r="N2210">
        <v>7375</v>
      </c>
      <c r="O2210">
        <v>4.7355000000000001E-2</v>
      </c>
      <c r="P2210">
        <v>3</v>
      </c>
      <c r="Q2210" s="1" t="s">
        <v>560</v>
      </c>
      <c r="R2210" s="93">
        <v>349.25</v>
      </c>
      <c r="S2210">
        <v>279.39</v>
      </c>
      <c r="T2210">
        <v>1</v>
      </c>
      <c r="U2210" s="1" t="s">
        <v>652</v>
      </c>
      <c r="V2210" s="1"/>
      <c r="W2210">
        <v>349.25</v>
      </c>
      <c r="X2210">
        <v>0</v>
      </c>
      <c r="Y2210">
        <v>56992</v>
      </c>
    </row>
    <row r="2211" spans="1:25" ht="15" hidden="1" customHeight="1" x14ac:dyDescent="0.25">
      <c r="A2211" s="1" t="s">
        <v>33</v>
      </c>
      <c r="B2211" s="1"/>
      <c r="C2211" s="1" t="s">
        <v>173</v>
      </c>
      <c r="D2211">
        <v>5271</v>
      </c>
      <c r="E2211" s="1"/>
      <c r="F2211" s="1" t="s">
        <v>173</v>
      </c>
      <c r="G2211" s="1"/>
      <c r="H2211" s="1" t="s">
        <v>1396</v>
      </c>
      <c r="I2211">
        <v>2015</v>
      </c>
      <c r="J2211" s="93">
        <v>9.5500000000000007</v>
      </c>
      <c r="K2211">
        <v>5</v>
      </c>
      <c r="L2211" s="1" t="s">
        <v>402</v>
      </c>
      <c r="M2211">
        <v>0</v>
      </c>
      <c r="N2211">
        <v>255</v>
      </c>
      <c r="O2211">
        <v>3.7435999999999997E-2</v>
      </c>
      <c r="P2211">
        <v>3</v>
      </c>
      <c r="Q2211" s="1" t="s">
        <v>560</v>
      </c>
      <c r="R2211" s="93">
        <v>9.5500000000000007</v>
      </c>
      <c r="S2211">
        <v>7.63</v>
      </c>
      <c r="T2211">
        <v>0</v>
      </c>
      <c r="U2211" s="1" t="s">
        <v>653</v>
      </c>
      <c r="V2211" s="1"/>
      <c r="W2211">
        <v>9.5440000000000005</v>
      </c>
      <c r="X2211">
        <v>0</v>
      </c>
      <c r="Y2211">
        <v>56832</v>
      </c>
    </row>
    <row r="2212" spans="1:25" ht="15" hidden="1" customHeight="1" x14ac:dyDescent="0.25">
      <c r="A2212" s="1" t="s">
        <v>33</v>
      </c>
      <c r="B2212" s="1"/>
      <c r="C2212" s="1" t="s">
        <v>173</v>
      </c>
      <c r="D2212">
        <v>5271</v>
      </c>
      <c r="E2212" s="1"/>
      <c r="F2212" s="1" t="s">
        <v>173</v>
      </c>
      <c r="G2212" s="1"/>
      <c r="H2212" s="1" t="s">
        <v>1396</v>
      </c>
      <c r="I2212">
        <v>2013</v>
      </c>
      <c r="J2212" s="93">
        <v>68.430000000000007</v>
      </c>
      <c r="K2212">
        <v>12</v>
      </c>
      <c r="L2212" s="1" t="s">
        <v>402</v>
      </c>
      <c r="M2212">
        <v>0</v>
      </c>
      <c r="N2212">
        <v>255</v>
      </c>
      <c r="O2212">
        <v>0.26824700000000001</v>
      </c>
      <c r="P2212">
        <v>3</v>
      </c>
      <c r="Q2212" s="1" t="s">
        <v>560</v>
      </c>
      <c r="R2212" s="93">
        <v>68.430000000000007</v>
      </c>
      <c r="S2212">
        <v>54.76</v>
      </c>
      <c r="T2212">
        <v>0</v>
      </c>
      <c r="U2212" s="1" t="s">
        <v>653</v>
      </c>
      <c r="V2212" s="1"/>
      <c r="W2212">
        <v>68.438999999999993</v>
      </c>
      <c r="X2212">
        <v>0</v>
      </c>
      <c r="Y2212">
        <v>56832</v>
      </c>
    </row>
    <row r="2213" spans="1:25" ht="15" hidden="1" customHeight="1" x14ac:dyDescent="0.25">
      <c r="A2213" s="1" t="s">
        <v>33</v>
      </c>
      <c r="B2213" s="1"/>
      <c r="C2213" s="1" t="s">
        <v>173</v>
      </c>
      <c r="D2213">
        <v>5271</v>
      </c>
      <c r="E2213" s="1"/>
      <c r="F2213" s="1" t="s">
        <v>173</v>
      </c>
      <c r="G2213" s="1"/>
      <c r="H2213" s="1" t="s">
        <v>1396</v>
      </c>
      <c r="I2213">
        <v>2012</v>
      </c>
      <c r="J2213" s="93">
        <v>33.549999999999997</v>
      </c>
      <c r="K2213">
        <v>12</v>
      </c>
      <c r="L2213" s="1" t="s">
        <v>402</v>
      </c>
      <c r="M2213">
        <v>0</v>
      </c>
      <c r="N2213">
        <v>255</v>
      </c>
      <c r="O2213">
        <v>0.131517</v>
      </c>
      <c r="P2213">
        <v>3</v>
      </c>
      <c r="Q2213" s="1" t="s">
        <v>560</v>
      </c>
      <c r="R2213" s="93">
        <v>33.549999999999997</v>
      </c>
      <c r="S2213">
        <v>26.83</v>
      </c>
      <c r="T2213">
        <v>0</v>
      </c>
      <c r="U2213" s="1" t="s">
        <v>653</v>
      </c>
      <c r="V2213" s="1"/>
      <c r="W2213">
        <v>33.54</v>
      </c>
      <c r="X2213">
        <v>0</v>
      </c>
      <c r="Y2213">
        <v>56832</v>
      </c>
    </row>
    <row r="2214" spans="1:25" ht="15" hidden="1" customHeight="1" x14ac:dyDescent="0.25">
      <c r="A2214" s="1" t="s">
        <v>33</v>
      </c>
      <c r="B2214" s="1"/>
      <c r="C2214" s="1" t="s">
        <v>173</v>
      </c>
      <c r="D2214">
        <v>5271</v>
      </c>
      <c r="E2214" s="1"/>
      <c r="F2214" s="1" t="s">
        <v>173</v>
      </c>
      <c r="G2214" s="1"/>
      <c r="H2214" s="1" t="s">
        <v>1396</v>
      </c>
      <c r="I2214">
        <v>2011</v>
      </c>
      <c r="J2214" s="93">
        <v>32.72</v>
      </c>
      <c r="K2214">
        <v>12</v>
      </c>
      <c r="L2214" s="1" t="s">
        <v>402</v>
      </c>
      <c r="M2214">
        <v>0</v>
      </c>
      <c r="N2214">
        <v>255</v>
      </c>
      <c r="O2214">
        <v>0.12826299999999999</v>
      </c>
      <c r="P2214">
        <v>3</v>
      </c>
      <c r="Q2214" s="1" t="s">
        <v>560</v>
      </c>
      <c r="R2214" s="93">
        <v>32.72</v>
      </c>
      <c r="S2214">
        <v>26.16</v>
      </c>
      <c r="T2214">
        <v>0</v>
      </c>
      <c r="U2214" s="1" t="s">
        <v>653</v>
      </c>
      <c r="V2214" s="1"/>
      <c r="W2214">
        <v>32.72</v>
      </c>
      <c r="X2214">
        <v>0</v>
      </c>
      <c r="Y2214">
        <v>56832</v>
      </c>
    </row>
    <row r="2215" spans="1:25" ht="15" hidden="1" customHeight="1" x14ac:dyDescent="0.25">
      <c r="A2215" s="1" t="s">
        <v>33</v>
      </c>
      <c r="B2215" s="1"/>
      <c r="C2215" s="1" t="s">
        <v>173</v>
      </c>
      <c r="D2215">
        <v>5271</v>
      </c>
      <c r="E2215" s="1"/>
      <c r="F2215" s="1" t="s">
        <v>173</v>
      </c>
      <c r="G2215" s="1"/>
      <c r="H2215" s="1" t="s">
        <v>1396</v>
      </c>
      <c r="I2215">
        <v>2010</v>
      </c>
      <c r="J2215" s="93">
        <v>27.44</v>
      </c>
      <c r="K2215">
        <v>12</v>
      </c>
      <c r="L2215" s="1" t="s">
        <v>402</v>
      </c>
      <c r="M2215">
        <v>0</v>
      </c>
      <c r="N2215">
        <v>255</v>
      </c>
      <c r="O2215">
        <v>0.10756499999999999</v>
      </c>
      <c r="P2215">
        <v>3</v>
      </c>
      <c r="Q2215" s="1" t="s">
        <v>560</v>
      </c>
      <c r="R2215" s="93">
        <v>27.44</v>
      </c>
      <c r="S2215">
        <v>21.96</v>
      </c>
      <c r="T2215">
        <v>0</v>
      </c>
      <c r="U2215" s="1" t="s">
        <v>653</v>
      </c>
      <c r="V2215" s="1"/>
      <c r="W2215">
        <v>27.44</v>
      </c>
      <c r="X2215">
        <v>0</v>
      </c>
      <c r="Y2215">
        <v>56832</v>
      </c>
    </row>
    <row r="2216" spans="1:25" ht="15" hidden="1" customHeight="1" x14ac:dyDescent="0.25">
      <c r="A2216" s="1" t="s">
        <v>33</v>
      </c>
      <c r="B2216" s="1"/>
      <c r="C2216" s="1" t="s">
        <v>173</v>
      </c>
      <c r="D2216">
        <v>5271</v>
      </c>
      <c r="E2216" s="1"/>
      <c r="F2216" s="1" t="s">
        <v>173</v>
      </c>
      <c r="G2216" s="1"/>
      <c r="H2216" s="1" t="s">
        <v>1396</v>
      </c>
      <c r="I2216">
        <v>2009</v>
      </c>
      <c r="J2216" s="93">
        <v>48.07</v>
      </c>
      <c r="K2216">
        <v>12</v>
      </c>
      <c r="L2216" s="1" t="s">
        <v>402</v>
      </c>
      <c r="M2216">
        <v>0</v>
      </c>
      <c r="N2216">
        <v>255</v>
      </c>
      <c r="O2216">
        <v>0.18843499999999999</v>
      </c>
      <c r="P2216">
        <v>3</v>
      </c>
      <c r="Q2216" s="1" t="s">
        <v>560</v>
      </c>
      <c r="R2216" s="93">
        <v>48.07</v>
      </c>
      <c r="S2216">
        <v>38.44</v>
      </c>
      <c r="T2216">
        <v>0</v>
      </c>
      <c r="U2216" s="1" t="s">
        <v>653</v>
      </c>
      <c r="V2216" s="1"/>
      <c r="W2216">
        <v>48.066000000000003</v>
      </c>
      <c r="X2216">
        <v>0</v>
      </c>
      <c r="Y2216">
        <v>56832</v>
      </c>
    </row>
    <row r="2217" spans="1:25" ht="15" hidden="1" customHeight="1" x14ac:dyDescent="0.25">
      <c r="A2217" s="1" t="s">
        <v>33</v>
      </c>
      <c r="B2217" s="1"/>
      <c r="C2217" s="1" t="s">
        <v>173</v>
      </c>
      <c r="D2217">
        <v>5271</v>
      </c>
      <c r="E2217" s="1"/>
      <c r="F2217" s="1" t="s">
        <v>173</v>
      </c>
      <c r="G2217" s="1"/>
      <c r="H2217" s="1" t="s">
        <v>1396</v>
      </c>
      <c r="I2217">
        <v>2008</v>
      </c>
      <c r="J2217" s="93">
        <v>30.35</v>
      </c>
      <c r="K2217">
        <v>12</v>
      </c>
      <c r="L2217" s="1" t="s">
        <v>402</v>
      </c>
      <c r="M2217">
        <v>0</v>
      </c>
      <c r="N2217">
        <v>255</v>
      </c>
      <c r="O2217">
        <v>0.11897199999999999</v>
      </c>
      <c r="P2217">
        <v>3</v>
      </c>
      <c r="Q2217" s="1" t="s">
        <v>560</v>
      </c>
      <c r="R2217" s="93">
        <v>30.35</v>
      </c>
      <c r="S2217">
        <v>24.27</v>
      </c>
      <c r="T2217">
        <v>0</v>
      </c>
      <c r="U2217" s="1" t="s">
        <v>653</v>
      </c>
      <c r="V2217" s="1"/>
      <c r="W2217">
        <v>30.344000000000001</v>
      </c>
      <c r="X2217">
        <v>0</v>
      </c>
      <c r="Y2217">
        <v>56832</v>
      </c>
    </row>
    <row r="2218" spans="1:25" ht="15" hidden="1" customHeight="1" x14ac:dyDescent="0.25">
      <c r="A2218" s="1" t="s">
        <v>33</v>
      </c>
      <c r="B2218" s="1"/>
      <c r="C2218" s="1" t="s">
        <v>173</v>
      </c>
      <c r="D2218">
        <v>5271</v>
      </c>
      <c r="E2218" s="1"/>
      <c r="F2218" s="1" t="s">
        <v>173</v>
      </c>
      <c r="G2218" s="1" t="s">
        <v>174</v>
      </c>
      <c r="H2218" s="1" t="s">
        <v>1396</v>
      </c>
      <c r="I2218">
        <v>2015</v>
      </c>
      <c r="J2218" s="93">
        <v>9036</v>
      </c>
      <c r="K2218">
        <v>5</v>
      </c>
      <c r="L2218" s="1" t="s">
        <v>402</v>
      </c>
      <c r="M2218">
        <v>0</v>
      </c>
      <c r="N2218">
        <v>255</v>
      </c>
      <c r="O2218">
        <v>18.749862</v>
      </c>
      <c r="P2218">
        <v>2</v>
      </c>
      <c r="Q2218" s="1" t="s">
        <v>569</v>
      </c>
      <c r="R2218" s="93">
        <v>4783.09</v>
      </c>
      <c r="S2218">
        <v>1434.92</v>
      </c>
      <c r="T2218">
        <v>0</v>
      </c>
      <c r="U2218" s="1" t="s">
        <v>1035</v>
      </c>
      <c r="V2218" s="1"/>
      <c r="W2218">
        <v>4783.08</v>
      </c>
      <c r="X2218">
        <v>0</v>
      </c>
      <c r="Y2218">
        <v>56830</v>
      </c>
    </row>
    <row r="2219" spans="1:25" ht="15" hidden="1" customHeight="1" x14ac:dyDescent="0.25">
      <c r="A2219" s="1" t="s">
        <v>33</v>
      </c>
      <c r="B2219" s="1"/>
      <c r="C2219" s="1" t="s">
        <v>175</v>
      </c>
      <c r="D2219">
        <v>10125</v>
      </c>
      <c r="E2219" s="1"/>
      <c r="F2219" s="1" t="s">
        <v>305</v>
      </c>
      <c r="G2219" s="1" t="s">
        <v>175</v>
      </c>
      <c r="H2219" s="1" t="s">
        <v>1405</v>
      </c>
      <c r="I2219">
        <v>2013</v>
      </c>
      <c r="J2219" s="93">
        <v>689.37</v>
      </c>
      <c r="K2219">
        <v>12</v>
      </c>
      <c r="L2219" s="1"/>
      <c r="M2219">
        <v>0</v>
      </c>
      <c r="N2219">
        <v>2818</v>
      </c>
      <c r="O2219">
        <v>0.24462200000000001</v>
      </c>
      <c r="P2219">
        <v>3</v>
      </c>
      <c r="Q2219" s="1" t="s">
        <v>560</v>
      </c>
      <c r="R2219" s="93">
        <v>689.37</v>
      </c>
      <c r="S2219">
        <v>551.47</v>
      </c>
      <c r="T2219">
        <v>0</v>
      </c>
      <c r="U2219" s="1" t="s">
        <v>655</v>
      </c>
      <c r="V2219" s="1"/>
      <c r="W2219">
        <v>689.36199999999997</v>
      </c>
      <c r="X2219">
        <v>0</v>
      </c>
      <c r="Y2219">
        <v>76942</v>
      </c>
    </row>
    <row r="2220" spans="1:25" ht="15" hidden="1" customHeight="1" x14ac:dyDescent="0.25">
      <c r="A2220" s="1" t="s">
        <v>33</v>
      </c>
      <c r="B2220" s="1"/>
      <c r="C2220" s="1" t="s">
        <v>175</v>
      </c>
      <c r="D2220">
        <v>14590</v>
      </c>
      <c r="E2220" s="1" t="s">
        <v>243</v>
      </c>
      <c r="F2220" s="1" t="s">
        <v>363</v>
      </c>
      <c r="G2220" s="1" t="s">
        <v>175</v>
      </c>
      <c r="H2220" s="1" t="s">
        <v>1405</v>
      </c>
      <c r="I2220">
        <v>2013</v>
      </c>
      <c r="J2220" s="93">
        <v>135490</v>
      </c>
      <c r="K2220">
        <v>12</v>
      </c>
      <c r="L2220" s="1"/>
      <c r="M2220">
        <v>0</v>
      </c>
      <c r="N2220">
        <v>1048</v>
      </c>
      <c r="O2220">
        <v>129.27201600000001</v>
      </c>
      <c r="P2220">
        <v>1</v>
      </c>
      <c r="Q2220" s="1" t="s">
        <v>562</v>
      </c>
      <c r="R2220" s="93">
        <v>144626</v>
      </c>
      <c r="S2220">
        <v>9256.07</v>
      </c>
      <c r="T2220">
        <v>0</v>
      </c>
      <c r="U2220" s="1" t="s">
        <v>829</v>
      </c>
      <c r="V2220" s="1"/>
      <c r="W2220">
        <v>135490</v>
      </c>
      <c r="X2220">
        <v>0</v>
      </c>
      <c r="Y2220">
        <v>76944</v>
      </c>
    </row>
    <row r="2221" spans="1:25" ht="15" hidden="1" customHeight="1" x14ac:dyDescent="0.25">
      <c r="A2221" s="1" t="s">
        <v>33</v>
      </c>
      <c r="B2221" s="1"/>
      <c r="C2221" s="1" t="s">
        <v>175</v>
      </c>
      <c r="D2221">
        <v>10125</v>
      </c>
      <c r="E2221" s="1"/>
      <c r="F2221" s="1" t="s">
        <v>305</v>
      </c>
      <c r="G2221" s="1" t="s">
        <v>175</v>
      </c>
      <c r="H2221" s="1" t="s">
        <v>1405</v>
      </c>
      <c r="I2221">
        <v>2012</v>
      </c>
      <c r="J2221" s="93">
        <v>547.37</v>
      </c>
      <c r="K2221">
        <v>12</v>
      </c>
      <c r="L2221" s="1"/>
      <c r="M2221">
        <v>0</v>
      </c>
      <c r="N2221">
        <v>2818</v>
      </c>
      <c r="O2221">
        <v>0.19423299999999999</v>
      </c>
      <c r="P2221">
        <v>3</v>
      </c>
      <c r="Q2221" s="1" t="s">
        <v>560</v>
      </c>
      <c r="R2221" s="93">
        <v>547.37</v>
      </c>
      <c r="S2221">
        <v>437.89</v>
      </c>
      <c r="T2221">
        <v>0</v>
      </c>
      <c r="U2221" s="1" t="s">
        <v>655</v>
      </c>
      <c r="V2221" s="1"/>
      <c r="W2221">
        <v>547.36800000000005</v>
      </c>
      <c r="X2221">
        <v>0</v>
      </c>
      <c r="Y2221">
        <v>76942</v>
      </c>
    </row>
    <row r="2222" spans="1:25" ht="15" hidden="1" customHeight="1" x14ac:dyDescent="0.25">
      <c r="A2222" s="1" t="s">
        <v>33</v>
      </c>
      <c r="B2222" s="1"/>
      <c r="C2222" s="1" t="s">
        <v>175</v>
      </c>
      <c r="D2222">
        <v>10125</v>
      </c>
      <c r="E2222" s="1"/>
      <c r="F2222" s="1" t="s">
        <v>305</v>
      </c>
      <c r="G2222" s="1" t="s">
        <v>175</v>
      </c>
      <c r="H2222" s="1" t="s">
        <v>1405</v>
      </c>
      <c r="I2222">
        <v>2011</v>
      </c>
      <c r="J2222" s="93">
        <v>499.94</v>
      </c>
      <c r="K2222">
        <v>12</v>
      </c>
      <c r="L2222" s="1"/>
      <c r="M2222">
        <v>0</v>
      </c>
      <c r="N2222">
        <v>2818</v>
      </c>
      <c r="O2222">
        <v>0.17740300000000001</v>
      </c>
      <c r="P2222">
        <v>3</v>
      </c>
      <c r="Q2222" s="1" t="s">
        <v>560</v>
      </c>
      <c r="R2222" s="93">
        <v>499.94</v>
      </c>
      <c r="S2222">
        <v>399.97</v>
      </c>
      <c r="T2222">
        <v>0</v>
      </c>
      <c r="U2222" s="1" t="s">
        <v>655</v>
      </c>
      <c r="V2222" s="1"/>
      <c r="W2222">
        <v>499.94299999999998</v>
      </c>
      <c r="X2222">
        <v>0</v>
      </c>
      <c r="Y2222">
        <v>76942</v>
      </c>
    </row>
    <row r="2223" spans="1:25" ht="15" hidden="1" customHeight="1" x14ac:dyDescent="0.25">
      <c r="A2223" s="1" t="s">
        <v>33</v>
      </c>
      <c r="B2223" s="1"/>
      <c r="C2223" s="1" t="s">
        <v>175</v>
      </c>
      <c r="D2223">
        <v>10125</v>
      </c>
      <c r="E2223" s="1"/>
      <c r="F2223" s="1" t="s">
        <v>305</v>
      </c>
      <c r="G2223" s="1" t="s">
        <v>175</v>
      </c>
      <c r="H2223" s="1" t="s">
        <v>1405</v>
      </c>
      <c r="I2223">
        <v>2010</v>
      </c>
      <c r="J2223" s="93">
        <v>440.55</v>
      </c>
      <c r="K2223">
        <v>12</v>
      </c>
      <c r="L2223" s="1"/>
      <c r="M2223">
        <v>0</v>
      </c>
      <c r="N2223">
        <v>2818</v>
      </c>
      <c r="O2223">
        <v>0.15632799999999999</v>
      </c>
      <c r="P2223">
        <v>3</v>
      </c>
      <c r="Q2223" s="1" t="s">
        <v>560</v>
      </c>
      <c r="R2223" s="93">
        <v>440.55</v>
      </c>
      <c r="S2223">
        <v>352.45</v>
      </c>
      <c r="T2223">
        <v>0</v>
      </c>
      <c r="U2223" s="1" t="s">
        <v>655</v>
      </c>
      <c r="V2223" s="1"/>
      <c r="W2223">
        <v>440.55799999999999</v>
      </c>
      <c r="X2223">
        <v>0</v>
      </c>
      <c r="Y2223">
        <v>76942</v>
      </c>
    </row>
    <row r="2224" spans="1:25" ht="15" hidden="1" customHeight="1" x14ac:dyDescent="0.25">
      <c r="A2224" s="1" t="s">
        <v>33</v>
      </c>
      <c r="B2224" s="1"/>
      <c r="C2224" s="1" t="s">
        <v>175</v>
      </c>
      <c r="D2224">
        <v>10125</v>
      </c>
      <c r="E2224" s="1"/>
      <c r="F2224" s="1" t="s">
        <v>305</v>
      </c>
      <c r="G2224" s="1" t="s">
        <v>175</v>
      </c>
      <c r="H2224" s="1" t="s">
        <v>1405</v>
      </c>
      <c r="I2224">
        <v>2009</v>
      </c>
      <c r="J2224" s="93">
        <v>535.61</v>
      </c>
      <c r="K2224">
        <v>12</v>
      </c>
      <c r="L2224" s="1"/>
      <c r="M2224">
        <v>0</v>
      </c>
      <c r="N2224">
        <v>2818</v>
      </c>
      <c r="O2224">
        <v>0.19006000000000001</v>
      </c>
      <c r="P2224">
        <v>3</v>
      </c>
      <c r="Q2224" s="1" t="s">
        <v>560</v>
      </c>
      <c r="R2224" s="93">
        <v>535.61</v>
      </c>
      <c r="S2224">
        <v>428.5</v>
      </c>
      <c r="T2224">
        <v>0</v>
      </c>
      <c r="U2224" s="1" t="s">
        <v>655</v>
      </c>
      <c r="V2224" s="1"/>
      <c r="W2224">
        <v>535.62099999999998</v>
      </c>
      <c r="X2224">
        <v>0</v>
      </c>
      <c r="Y2224">
        <v>76942</v>
      </c>
    </row>
    <row r="2225" spans="1:25" ht="15" hidden="1" customHeight="1" x14ac:dyDescent="0.25">
      <c r="A2225" s="1" t="s">
        <v>33</v>
      </c>
      <c r="B2225" s="1"/>
      <c r="C2225" s="1" t="s">
        <v>175</v>
      </c>
      <c r="D2225">
        <v>10125</v>
      </c>
      <c r="E2225" s="1"/>
      <c r="F2225" s="1" t="s">
        <v>305</v>
      </c>
      <c r="G2225" s="1" t="s">
        <v>175</v>
      </c>
      <c r="H2225" s="1" t="s">
        <v>1405</v>
      </c>
      <c r="I2225">
        <v>2008</v>
      </c>
      <c r="J2225" s="93">
        <v>481.07</v>
      </c>
      <c r="K2225">
        <v>12</v>
      </c>
      <c r="L2225" s="1"/>
      <c r="M2225">
        <v>0</v>
      </c>
      <c r="N2225">
        <v>2818</v>
      </c>
      <c r="O2225">
        <v>0.170707</v>
      </c>
      <c r="P2225">
        <v>3</v>
      </c>
      <c r="Q2225" s="1" t="s">
        <v>560</v>
      </c>
      <c r="R2225" s="93">
        <v>481.07</v>
      </c>
      <c r="S2225">
        <v>384.81</v>
      </c>
      <c r="T2225">
        <v>0</v>
      </c>
      <c r="U2225" s="1" t="s">
        <v>655</v>
      </c>
      <c r="V2225" s="1"/>
      <c r="W2225">
        <v>481.05200000000002</v>
      </c>
      <c r="X2225">
        <v>0</v>
      </c>
      <c r="Y2225">
        <v>76942</v>
      </c>
    </row>
    <row r="2226" spans="1:25" ht="15" hidden="1" customHeight="1" x14ac:dyDescent="0.25">
      <c r="A2226" s="1" t="s">
        <v>33</v>
      </c>
      <c r="B2226" s="1"/>
      <c r="C2226" s="1" t="s">
        <v>175</v>
      </c>
      <c r="D2226">
        <v>10125</v>
      </c>
      <c r="E2226" s="1"/>
      <c r="F2226" s="1" t="s">
        <v>305</v>
      </c>
      <c r="G2226" s="1" t="s">
        <v>175</v>
      </c>
      <c r="H2226" s="1" t="s">
        <v>1405</v>
      </c>
      <c r="I2226">
        <v>2008</v>
      </c>
      <c r="J2226" s="93">
        <v>37.04</v>
      </c>
      <c r="K2226">
        <v>1</v>
      </c>
      <c r="L2226" s="1" t="s">
        <v>437</v>
      </c>
      <c r="M2226">
        <v>0</v>
      </c>
      <c r="N2226">
        <v>2818</v>
      </c>
      <c r="O2226">
        <v>1.3143E-2</v>
      </c>
      <c r="P2226">
        <v>3</v>
      </c>
      <c r="Q2226" s="1" t="s">
        <v>560</v>
      </c>
      <c r="R2226" s="93">
        <v>37.04</v>
      </c>
      <c r="S2226">
        <v>29.63</v>
      </c>
      <c r="T2226">
        <v>0</v>
      </c>
      <c r="U2226" s="1" t="s">
        <v>655</v>
      </c>
      <c r="V2226" s="1"/>
      <c r="W2226">
        <v>37.037239999999997</v>
      </c>
      <c r="X2226">
        <v>0</v>
      </c>
      <c r="Y2226">
        <v>78854</v>
      </c>
    </row>
    <row r="2227" spans="1:25" ht="15" customHeight="1" x14ac:dyDescent="0.25">
      <c r="A2227" s="1" t="s">
        <v>33</v>
      </c>
      <c r="B2227" s="1"/>
      <c r="C2227" s="1" t="s">
        <v>170</v>
      </c>
      <c r="D2227">
        <v>10191</v>
      </c>
      <c r="E2227" s="1"/>
      <c r="F2227" s="1" t="s">
        <v>170</v>
      </c>
      <c r="G2227" s="1" t="s">
        <v>170</v>
      </c>
      <c r="H2227" s="1" t="s">
        <v>1396</v>
      </c>
      <c r="I2227">
        <v>2014</v>
      </c>
      <c r="J2227" s="93">
        <v>5.96</v>
      </c>
      <c r="K2227">
        <v>12</v>
      </c>
      <c r="L2227" s="1"/>
      <c r="M2227">
        <v>0</v>
      </c>
      <c r="N2227">
        <v>711</v>
      </c>
      <c r="O2227">
        <v>8.3809999999999996E-3</v>
      </c>
      <c r="P2227">
        <v>3</v>
      </c>
      <c r="Q2227" s="1" t="s">
        <v>560</v>
      </c>
      <c r="R2227" s="93">
        <v>5.96</v>
      </c>
      <c r="S2227">
        <v>0</v>
      </c>
      <c r="T2227">
        <v>1</v>
      </c>
      <c r="U2227" s="1" t="s">
        <v>648</v>
      </c>
      <c r="V2227" s="1"/>
      <c r="W2227">
        <v>5.9600099999999996</v>
      </c>
      <c r="X2227">
        <v>0</v>
      </c>
      <c r="Y2227">
        <v>77257</v>
      </c>
    </row>
    <row r="2228" spans="1:25" ht="15" customHeight="1" x14ac:dyDescent="0.25">
      <c r="A2228" s="1" t="s">
        <v>33</v>
      </c>
      <c r="B2228" s="1"/>
      <c r="C2228" s="1" t="s">
        <v>170</v>
      </c>
      <c r="D2228">
        <v>10191</v>
      </c>
      <c r="E2228" s="1"/>
      <c r="F2228" s="1" t="s">
        <v>170</v>
      </c>
      <c r="G2228" s="1" t="s">
        <v>170</v>
      </c>
      <c r="H2228" s="1" t="s">
        <v>1396</v>
      </c>
      <c r="I2228">
        <v>2014</v>
      </c>
      <c r="J2228" s="93">
        <v>69.94</v>
      </c>
      <c r="K2228">
        <v>12</v>
      </c>
      <c r="L2228" s="1"/>
      <c r="M2228">
        <v>0</v>
      </c>
      <c r="N2228">
        <v>711</v>
      </c>
      <c r="O2228">
        <v>9.8353999999999997E-2</v>
      </c>
      <c r="P2228">
        <v>3</v>
      </c>
      <c r="Q2228" s="1" t="s">
        <v>560</v>
      </c>
      <c r="R2228" s="93">
        <v>69.94</v>
      </c>
      <c r="S2228">
        <v>55.93</v>
      </c>
      <c r="T2228">
        <v>0</v>
      </c>
      <c r="U2228" s="1" t="s">
        <v>649</v>
      </c>
      <c r="V2228" s="1"/>
      <c r="W2228">
        <v>69.94</v>
      </c>
      <c r="X2228">
        <v>0</v>
      </c>
      <c r="Y2228">
        <v>77258</v>
      </c>
    </row>
    <row r="2229" spans="1:25" ht="15" customHeight="1" x14ac:dyDescent="0.25">
      <c r="A2229" s="1" t="s">
        <v>33</v>
      </c>
      <c r="B2229" s="1"/>
      <c r="C2229" s="1" t="s">
        <v>170</v>
      </c>
      <c r="D2229">
        <v>10191</v>
      </c>
      <c r="E2229" s="1"/>
      <c r="F2229" s="1" t="s">
        <v>170</v>
      </c>
      <c r="G2229" s="1" t="s">
        <v>170</v>
      </c>
      <c r="H2229" s="1" t="s">
        <v>1396</v>
      </c>
      <c r="I2229">
        <v>2014</v>
      </c>
      <c r="J2229" s="93">
        <v>16213</v>
      </c>
      <c r="K2229">
        <v>12</v>
      </c>
      <c r="L2229" s="1" t="s">
        <v>459</v>
      </c>
      <c r="M2229">
        <v>0</v>
      </c>
      <c r="N2229">
        <v>711</v>
      </c>
      <c r="O2229">
        <v>22.799886999999998</v>
      </c>
      <c r="P2229">
        <v>1</v>
      </c>
      <c r="Q2229" s="1" t="s">
        <v>562</v>
      </c>
      <c r="R2229" s="93">
        <v>19952.349999999999</v>
      </c>
      <c r="S2229">
        <v>1276.95</v>
      </c>
      <c r="T2229">
        <v>0</v>
      </c>
      <c r="U2229" s="1"/>
      <c r="V2229" s="1"/>
      <c r="W2229">
        <v>16212.9997</v>
      </c>
      <c r="X2229">
        <v>0</v>
      </c>
      <c r="Y2229">
        <v>77259</v>
      </c>
    </row>
    <row r="2230" spans="1:25" ht="15" customHeight="1" x14ac:dyDescent="0.25">
      <c r="A2230" s="1" t="s">
        <v>33</v>
      </c>
      <c r="B2230" s="1"/>
      <c r="C2230" s="1" t="s">
        <v>170</v>
      </c>
      <c r="D2230">
        <v>10191</v>
      </c>
      <c r="E2230" s="1"/>
      <c r="F2230" s="1" t="s">
        <v>170</v>
      </c>
      <c r="G2230" s="1" t="s">
        <v>170</v>
      </c>
      <c r="H2230" s="1" t="s">
        <v>1396</v>
      </c>
      <c r="I2230">
        <v>2014</v>
      </c>
      <c r="J2230" s="93">
        <v>15579.94</v>
      </c>
      <c r="K2230">
        <v>12</v>
      </c>
      <c r="L2230" s="1"/>
      <c r="M2230">
        <v>0</v>
      </c>
      <c r="N2230">
        <v>711</v>
      </c>
      <c r="O2230">
        <v>21.909631999999998</v>
      </c>
      <c r="P2230">
        <v>1</v>
      </c>
      <c r="Q2230" s="1" t="s">
        <v>563</v>
      </c>
      <c r="R2230" s="93">
        <v>19308.68</v>
      </c>
      <c r="S2230">
        <v>35.42</v>
      </c>
      <c r="T2230">
        <v>1</v>
      </c>
      <c r="U2230" s="1"/>
      <c r="V2230" s="1"/>
      <c r="W2230">
        <v>446.54500000000002</v>
      </c>
      <c r="X2230">
        <v>77259</v>
      </c>
      <c r="Y2230">
        <v>77260</v>
      </c>
    </row>
    <row r="2231" spans="1:25" ht="15" customHeight="1" x14ac:dyDescent="0.25">
      <c r="A2231" s="1" t="s">
        <v>33</v>
      </c>
      <c r="B2231" s="1"/>
      <c r="C2231" s="1" t="s">
        <v>170</v>
      </c>
      <c r="D2231">
        <v>10191</v>
      </c>
      <c r="E2231" s="1"/>
      <c r="F2231" s="1" t="s">
        <v>170</v>
      </c>
      <c r="G2231" s="1" t="s">
        <v>170</v>
      </c>
      <c r="H2231" s="1" t="s">
        <v>1396</v>
      </c>
      <c r="I2231">
        <v>2014</v>
      </c>
      <c r="J2231" s="93">
        <v>18174.27</v>
      </c>
      <c r="K2231">
        <v>12</v>
      </c>
      <c r="L2231" s="1"/>
      <c r="M2231">
        <v>0</v>
      </c>
      <c r="N2231">
        <v>711</v>
      </c>
      <c r="O2231">
        <v>25.557966</v>
      </c>
      <c r="P2231">
        <v>2</v>
      </c>
      <c r="Q2231" s="1" t="s">
        <v>569</v>
      </c>
      <c r="R2231" s="93">
        <v>18174.27</v>
      </c>
      <c r="S2231">
        <v>5452.27</v>
      </c>
      <c r="T2231">
        <v>0</v>
      </c>
      <c r="U2231" s="1"/>
      <c r="V2231" s="1"/>
      <c r="W2231">
        <v>18174.269</v>
      </c>
      <c r="X2231">
        <v>0</v>
      </c>
      <c r="Y2231">
        <v>77256</v>
      </c>
    </row>
    <row r="2232" spans="1:25" ht="15" hidden="1" customHeight="1" x14ac:dyDescent="0.25">
      <c r="A2232" s="1" t="s">
        <v>33</v>
      </c>
      <c r="B2232" s="1" t="s">
        <v>71</v>
      </c>
      <c r="C2232" s="1" t="s">
        <v>169</v>
      </c>
      <c r="D2232">
        <v>6071</v>
      </c>
      <c r="E2232" s="1"/>
      <c r="F2232" s="1" t="s">
        <v>301</v>
      </c>
      <c r="G2232" s="1" t="s">
        <v>169</v>
      </c>
      <c r="H2232" s="1" t="s">
        <v>1405</v>
      </c>
      <c r="I2232">
        <v>2015</v>
      </c>
      <c r="J2232" s="93">
        <v>30067</v>
      </c>
      <c r="K2232">
        <v>5</v>
      </c>
      <c r="L2232" s="1" t="s">
        <v>488</v>
      </c>
      <c r="M2232">
        <v>0</v>
      </c>
      <c r="N2232">
        <v>222</v>
      </c>
      <c r="O2232">
        <v>80.823953000000003</v>
      </c>
      <c r="P2232">
        <v>1</v>
      </c>
      <c r="Q2232" s="1" t="s">
        <v>565</v>
      </c>
      <c r="R2232" s="93">
        <v>34426</v>
      </c>
      <c r="S2232">
        <v>1289.72</v>
      </c>
      <c r="T2232">
        <v>0</v>
      </c>
      <c r="U2232" s="1" t="s">
        <v>824</v>
      </c>
      <c r="V2232" s="1"/>
      <c r="W2232">
        <v>17.951000000000001</v>
      </c>
      <c r="X2232">
        <v>0</v>
      </c>
      <c r="Y2232">
        <v>60883</v>
      </c>
    </row>
    <row r="2233" spans="1:25" ht="15" hidden="1" customHeight="1" x14ac:dyDescent="0.25">
      <c r="A2233" s="1" t="s">
        <v>33</v>
      </c>
      <c r="B2233" s="1" t="s">
        <v>71</v>
      </c>
      <c r="C2233" s="1" t="s">
        <v>169</v>
      </c>
      <c r="D2233">
        <v>6071</v>
      </c>
      <c r="E2233" s="1"/>
      <c r="F2233" s="1" t="s">
        <v>301</v>
      </c>
      <c r="G2233" s="1" t="s">
        <v>169</v>
      </c>
      <c r="H2233" s="1" t="s">
        <v>1405</v>
      </c>
      <c r="I2233">
        <v>2013</v>
      </c>
      <c r="J2233" s="93">
        <v>32417</v>
      </c>
      <c r="K2233">
        <v>12</v>
      </c>
      <c r="L2233" s="1" t="s">
        <v>488</v>
      </c>
      <c r="M2233">
        <v>0</v>
      </c>
      <c r="N2233">
        <v>222</v>
      </c>
      <c r="O2233">
        <v>145.95677599999999</v>
      </c>
      <c r="P2233">
        <v>1</v>
      </c>
      <c r="Q2233" s="1" t="s">
        <v>565</v>
      </c>
      <c r="R2233" s="93">
        <v>33415.31</v>
      </c>
      <c r="S2233">
        <v>2138.58</v>
      </c>
      <c r="T2233">
        <v>0</v>
      </c>
      <c r="U2233" s="1" t="s">
        <v>824</v>
      </c>
      <c r="V2233" s="1"/>
      <c r="W2233">
        <v>32.417000000000002</v>
      </c>
      <c r="X2233">
        <v>0</v>
      </c>
      <c r="Y2233">
        <v>60883</v>
      </c>
    </row>
    <row r="2234" spans="1:25" ht="15" hidden="1" customHeight="1" x14ac:dyDescent="0.25">
      <c r="A2234" s="1" t="s">
        <v>33</v>
      </c>
      <c r="B2234" s="1" t="s">
        <v>71</v>
      </c>
      <c r="C2234" s="1" t="s">
        <v>169</v>
      </c>
      <c r="D2234">
        <v>6071</v>
      </c>
      <c r="E2234" s="1"/>
      <c r="F2234" s="1" t="s">
        <v>301</v>
      </c>
      <c r="G2234" s="1" t="s">
        <v>169</v>
      </c>
      <c r="H2234" s="1" t="s">
        <v>1405</v>
      </c>
      <c r="I2234">
        <v>2012</v>
      </c>
      <c r="J2234" s="93">
        <v>32456.22</v>
      </c>
      <c r="K2234">
        <v>18</v>
      </c>
      <c r="L2234" s="1" t="s">
        <v>488</v>
      </c>
      <c r="M2234">
        <v>0</v>
      </c>
      <c r="N2234">
        <v>222</v>
      </c>
      <c r="O2234">
        <v>146.133363</v>
      </c>
      <c r="P2234">
        <v>1</v>
      </c>
      <c r="Q2234" s="1" t="s">
        <v>565</v>
      </c>
      <c r="R2234" s="93">
        <v>34839.49</v>
      </c>
      <c r="S2234">
        <v>6445.3</v>
      </c>
      <c r="T2234">
        <v>0</v>
      </c>
      <c r="U2234" s="1" t="s">
        <v>824</v>
      </c>
      <c r="V2234" s="1"/>
      <c r="W2234">
        <v>32.456220000000002</v>
      </c>
      <c r="X2234">
        <v>0</v>
      </c>
      <c r="Y2234">
        <v>60883</v>
      </c>
    </row>
    <row r="2235" spans="1:25" ht="15" hidden="1" customHeight="1" x14ac:dyDescent="0.25">
      <c r="A2235" s="1" t="s">
        <v>33</v>
      </c>
      <c r="B2235" s="1" t="s">
        <v>71</v>
      </c>
      <c r="C2235" s="1" t="s">
        <v>169</v>
      </c>
      <c r="D2235">
        <v>6071</v>
      </c>
      <c r="E2235" s="1"/>
      <c r="F2235" s="1" t="s">
        <v>301</v>
      </c>
      <c r="G2235" s="1" t="s">
        <v>169</v>
      </c>
      <c r="H2235" s="1" t="s">
        <v>1405</v>
      </c>
      <c r="I2235">
        <v>2011</v>
      </c>
      <c r="J2235" s="93">
        <v>31587.79</v>
      </c>
      <c r="K2235">
        <v>15</v>
      </c>
      <c r="L2235" s="1" t="s">
        <v>488</v>
      </c>
      <c r="M2235">
        <v>0</v>
      </c>
      <c r="N2235">
        <v>222</v>
      </c>
      <c r="O2235">
        <v>142.223277</v>
      </c>
      <c r="P2235">
        <v>1</v>
      </c>
      <c r="Q2235" s="1" t="s">
        <v>565</v>
      </c>
      <c r="R2235" s="93">
        <v>37864.35</v>
      </c>
      <c r="S2235">
        <v>7004.9</v>
      </c>
      <c r="T2235">
        <v>0</v>
      </c>
      <c r="U2235" s="1" t="s">
        <v>824</v>
      </c>
      <c r="V2235" s="1"/>
      <c r="W2235">
        <v>31.587789999999998</v>
      </c>
      <c r="X2235">
        <v>0</v>
      </c>
      <c r="Y2235">
        <v>60883</v>
      </c>
    </row>
    <row r="2236" spans="1:25" ht="15" hidden="1" customHeight="1" x14ac:dyDescent="0.25">
      <c r="A2236" s="1" t="s">
        <v>33</v>
      </c>
      <c r="B2236" s="1" t="s">
        <v>71</v>
      </c>
      <c r="C2236" s="1" t="s">
        <v>169</v>
      </c>
      <c r="D2236">
        <v>6071</v>
      </c>
      <c r="E2236" s="1"/>
      <c r="F2236" s="1" t="s">
        <v>301</v>
      </c>
      <c r="G2236" s="1" t="s">
        <v>169</v>
      </c>
      <c r="H2236" s="1" t="s">
        <v>1405</v>
      </c>
      <c r="I2236">
        <v>2010</v>
      </c>
      <c r="J2236" s="93">
        <v>29573.95</v>
      </c>
      <c r="K2236">
        <v>18</v>
      </c>
      <c r="L2236" s="1" t="s">
        <v>488</v>
      </c>
      <c r="M2236">
        <v>0</v>
      </c>
      <c r="N2236">
        <v>222</v>
      </c>
      <c r="O2236">
        <v>133.15601000000001</v>
      </c>
      <c r="P2236">
        <v>1</v>
      </c>
      <c r="Q2236" s="1" t="s">
        <v>565</v>
      </c>
      <c r="R2236" s="93">
        <v>35190.910000000003</v>
      </c>
      <c r="S2236">
        <v>6510.31</v>
      </c>
      <c r="T2236">
        <v>0</v>
      </c>
      <c r="U2236" s="1" t="s">
        <v>824</v>
      </c>
      <c r="V2236" s="1"/>
      <c r="W2236">
        <v>29.57395</v>
      </c>
      <c r="X2236">
        <v>0</v>
      </c>
      <c r="Y2236">
        <v>60883</v>
      </c>
    </row>
    <row r="2237" spans="1:25" ht="15" hidden="1" customHeight="1" x14ac:dyDescent="0.25">
      <c r="A2237" s="1" t="s">
        <v>33</v>
      </c>
      <c r="B2237" s="1" t="s">
        <v>71</v>
      </c>
      <c r="C2237" s="1" t="s">
        <v>169</v>
      </c>
      <c r="D2237">
        <v>6071</v>
      </c>
      <c r="E2237" s="1"/>
      <c r="F2237" s="1" t="s">
        <v>301</v>
      </c>
      <c r="G2237" s="1" t="s">
        <v>169</v>
      </c>
      <c r="H2237" s="1" t="s">
        <v>1405</v>
      </c>
      <c r="I2237">
        <v>2009</v>
      </c>
      <c r="J2237" s="93">
        <v>28887.21</v>
      </c>
      <c r="K2237">
        <v>18</v>
      </c>
      <c r="L2237" s="1" t="s">
        <v>488</v>
      </c>
      <c r="M2237">
        <v>0</v>
      </c>
      <c r="N2237">
        <v>222</v>
      </c>
      <c r="O2237">
        <v>130.06397999999999</v>
      </c>
      <c r="P2237">
        <v>1</v>
      </c>
      <c r="Q2237" s="1" t="s">
        <v>565</v>
      </c>
      <c r="R2237" s="93">
        <v>39383.72</v>
      </c>
      <c r="S2237">
        <v>7285.98</v>
      </c>
      <c r="T2237">
        <v>0</v>
      </c>
      <c r="U2237" s="1" t="s">
        <v>824</v>
      </c>
      <c r="V2237" s="1"/>
      <c r="W2237">
        <v>28.88721</v>
      </c>
      <c r="X2237">
        <v>0</v>
      </c>
      <c r="Y2237">
        <v>60883</v>
      </c>
    </row>
    <row r="2238" spans="1:25" ht="15" hidden="1" customHeight="1" x14ac:dyDescent="0.25">
      <c r="A2238" s="1" t="s">
        <v>33</v>
      </c>
      <c r="B2238" s="1" t="s">
        <v>71</v>
      </c>
      <c r="C2238" s="1" t="s">
        <v>169</v>
      </c>
      <c r="D2238">
        <v>6071</v>
      </c>
      <c r="E2238" s="1"/>
      <c r="F2238" s="1" t="s">
        <v>301</v>
      </c>
      <c r="G2238" s="1" t="s">
        <v>169</v>
      </c>
      <c r="H2238" s="1" t="s">
        <v>1405</v>
      </c>
      <c r="I2238">
        <v>2008</v>
      </c>
      <c r="J2238" s="93">
        <v>29647.86</v>
      </c>
      <c r="K2238">
        <v>18</v>
      </c>
      <c r="L2238" s="1" t="s">
        <v>488</v>
      </c>
      <c r="M2238">
        <v>0</v>
      </c>
      <c r="N2238">
        <v>222</v>
      </c>
      <c r="O2238">
        <v>133.488788</v>
      </c>
      <c r="P2238">
        <v>1</v>
      </c>
      <c r="Q2238" s="1" t="s">
        <v>565</v>
      </c>
      <c r="R2238" s="93">
        <v>34424.36</v>
      </c>
      <c r="S2238">
        <v>6368.5</v>
      </c>
      <c r="T2238">
        <v>0</v>
      </c>
      <c r="U2238" s="1" t="s">
        <v>824</v>
      </c>
      <c r="V2238" s="1"/>
      <c r="W2238">
        <v>29.647860000000001</v>
      </c>
      <c r="X2238">
        <v>0</v>
      </c>
      <c r="Y2238">
        <v>60883</v>
      </c>
    </row>
    <row r="2239" spans="1:25" ht="15" customHeight="1" x14ac:dyDescent="0.25">
      <c r="A2239" s="1" t="s">
        <v>33</v>
      </c>
      <c r="B2239" s="1"/>
      <c r="C2239" s="1" t="s">
        <v>170</v>
      </c>
      <c r="D2239">
        <v>10191</v>
      </c>
      <c r="E2239" s="1"/>
      <c r="F2239" s="1" t="s">
        <v>170</v>
      </c>
      <c r="G2239" s="1" t="s">
        <v>170</v>
      </c>
      <c r="H2239" s="1" t="s">
        <v>1396</v>
      </c>
      <c r="I2239">
        <v>2015</v>
      </c>
      <c r="J2239" s="93">
        <v>0</v>
      </c>
      <c r="K2239">
        <v>5</v>
      </c>
      <c r="L2239" s="1"/>
      <c r="M2239">
        <v>0</v>
      </c>
      <c r="N2239">
        <v>711</v>
      </c>
      <c r="O2239">
        <v>0</v>
      </c>
      <c r="P2239">
        <v>1</v>
      </c>
      <c r="Q2239" s="1" t="s">
        <v>563</v>
      </c>
      <c r="R2239" s="93">
        <v>0</v>
      </c>
      <c r="S2239">
        <v>0</v>
      </c>
      <c r="T2239">
        <v>1</v>
      </c>
      <c r="U2239" s="1"/>
      <c r="V2239" s="1"/>
      <c r="W2239">
        <v>0</v>
      </c>
      <c r="X2239">
        <v>77259</v>
      </c>
      <c r="Y2239">
        <v>77260</v>
      </c>
    </row>
    <row r="2240" spans="1:25" ht="15" customHeight="1" x14ac:dyDescent="0.25">
      <c r="A2240" s="1" t="s">
        <v>33</v>
      </c>
      <c r="B2240" s="1"/>
      <c r="C2240" s="1" t="s">
        <v>170</v>
      </c>
      <c r="D2240">
        <v>10191</v>
      </c>
      <c r="E2240" s="1"/>
      <c r="F2240" s="1" t="s">
        <v>170</v>
      </c>
      <c r="G2240" s="1" t="s">
        <v>170</v>
      </c>
      <c r="H2240" s="1" t="s">
        <v>1396</v>
      </c>
      <c r="I2240">
        <v>2015</v>
      </c>
      <c r="J2240" s="93">
        <v>0</v>
      </c>
      <c r="K2240">
        <v>5</v>
      </c>
      <c r="L2240" s="1" t="s">
        <v>459</v>
      </c>
      <c r="M2240">
        <v>0</v>
      </c>
      <c r="N2240">
        <v>711</v>
      </c>
      <c r="O2240">
        <v>0</v>
      </c>
      <c r="P2240">
        <v>1</v>
      </c>
      <c r="Q2240" s="1" t="s">
        <v>562</v>
      </c>
      <c r="R2240" s="93">
        <v>0</v>
      </c>
      <c r="S2240">
        <v>0</v>
      </c>
      <c r="T2240">
        <v>0</v>
      </c>
      <c r="U2240" s="1"/>
      <c r="V2240" s="1"/>
      <c r="W2240">
        <v>0</v>
      </c>
      <c r="X2240">
        <v>0</v>
      </c>
      <c r="Y2240">
        <v>77259</v>
      </c>
    </row>
    <row r="2241" spans="1:25" ht="15" hidden="1" customHeight="1" x14ac:dyDescent="0.25">
      <c r="A2241" s="1" t="s">
        <v>33</v>
      </c>
      <c r="B2241" s="1"/>
      <c r="C2241" s="1" t="s">
        <v>170</v>
      </c>
      <c r="D2241">
        <v>10191</v>
      </c>
      <c r="E2241" s="1"/>
      <c r="F2241" s="1" t="s">
        <v>170</v>
      </c>
      <c r="G2241" s="1" t="s">
        <v>170</v>
      </c>
      <c r="H2241" s="1" t="s">
        <v>1396</v>
      </c>
      <c r="I2241">
        <v>2013</v>
      </c>
      <c r="J2241" s="93">
        <v>39187</v>
      </c>
      <c r="K2241">
        <v>12</v>
      </c>
      <c r="L2241" s="1" t="s">
        <v>459</v>
      </c>
      <c r="M2241">
        <v>0</v>
      </c>
      <c r="N2241">
        <v>711</v>
      </c>
      <c r="O2241">
        <v>55.107579000000001</v>
      </c>
      <c r="P2241">
        <v>1</v>
      </c>
      <c r="Q2241" s="1" t="s">
        <v>562</v>
      </c>
      <c r="R2241" s="93">
        <v>40710.370000000003</v>
      </c>
      <c r="S2241">
        <v>2605.4699999999998</v>
      </c>
      <c r="T2241">
        <v>0</v>
      </c>
      <c r="U2241" s="1"/>
      <c r="V2241" s="1"/>
      <c r="W2241">
        <v>39187</v>
      </c>
      <c r="X2241">
        <v>0</v>
      </c>
      <c r="Y2241">
        <v>77259</v>
      </c>
    </row>
    <row r="2242" spans="1:25" ht="15" hidden="1" customHeight="1" x14ac:dyDescent="0.25">
      <c r="A2242" s="1" t="s">
        <v>33</v>
      </c>
      <c r="B2242" s="1"/>
      <c r="C2242" s="1" t="s">
        <v>170</v>
      </c>
      <c r="D2242">
        <v>10191</v>
      </c>
      <c r="E2242" s="1"/>
      <c r="F2242" s="1" t="s">
        <v>170</v>
      </c>
      <c r="G2242" s="1" t="s">
        <v>170</v>
      </c>
      <c r="H2242" s="1" t="s">
        <v>1396</v>
      </c>
      <c r="I2242">
        <v>2013</v>
      </c>
      <c r="J2242" s="93">
        <v>40520.76</v>
      </c>
      <c r="K2242">
        <v>12</v>
      </c>
      <c r="L2242" s="1"/>
      <c r="M2242">
        <v>0</v>
      </c>
      <c r="N2242">
        <v>711</v>
      </c>
      <c r="O2242">
        <v>56.983209000000002</v>
      </c>
      <c r="P2242">
        <v>1</v>
      </c>
      <c r="Q2242" s="1" t="s">
        <v>563</v>
      </c>
      <c r="R2242" s="93">
        <v>45187.13</v>
      </c>
      <c r="S2242">
        <v>82.87</v>
      </c>
      <c r="T2242">
        <v>1</v>
      </c>
      <c r="U2242" s="1"/>
      <c r="V2242" s="1"/>
      <c r="W2242">
        <v>1161.3860099999999</v>
      </c>
      <c r="X2242">
        <v>77259</v>
      </c>
      <c r="Y2242">
        <v>77260</v>
      </c>
    </row>
    <row r="2243" spans="1:25" ht="15" hidden="1" customHeight="1" x14ac:dyDescent="0.25">
      <c r="A2243" s="1" t="s">
        <v>33</v>
      </c>
      <c r="B2243" s="1"/>
      <c r="C2243" s="1" t="s">
        <v>170</v>
      </c>
      <c r="D2243">
        <v>10191</v>
      </c>
      <c r="E2243" s="1"/>
      <c r="F2243" s="1" t="s">
        <v>170</v>
      </c>
      <c r="G2243" s="1" t="s">
        <v>170</v>
      </c>
      <c r="H2243" s="1" t="s">
        <v>1396</v>
      </c>
      <c r="I2243">
        <v>2012</v>
      </c>
      <c r="J2243" s="93">
        <v>31529.93</v>
      </c>
      <c r="K2243">
        <v>12</v>
      </c>
      <c r="L2243" s="1"/>
      <c r="M2243">
        <v>0</v>
      </c>
      <c r="N2243">
        <v>711</v>
      </c>
      <c r="O2243">
        <v>44.339655999999998</v>
      </c>
      <c r="P2243">
        <v>1</v>
      </c>
      <c r="Q2243" s="1" t="s">
        <v>563</v>
      </c>
      <c r="R2243" s="93">
        <v>33632.269999999997</v>
      </c>
      <c r="S2243">
        <v>178.34</v>
      </c>
      <c r="T2243">
        <v>1</v>
      </c>
      <c r="U2243" s="1"/>
      <c r="V2243" s="1"/>
      <c r="W2243">
        <v>903.69497000000001</v>
      </c>
      <c r="X2243">
        <v>77259</v>
      </c>
      <c r="Y2243">
        <v>77260</v>
      </c>
    </row>
    <row r="2244" spans="1:25" ht="15" hidden="1" customHeight="1" x14ac:dyDescent="0.25">
      <c r="A2244" s="1" t="s">
        <v>33</v>
      </c>
      <c r="B2244" s="1"/>
      <c r="C2244" s="1" t="s">
        <v>170</v>
      </c>
      <c r="D2244">
        <v>10191</v>
      </c>
      <c r="E2244" s="1"/>
      <c r="F2244" s="1" t="s">
        <v>170</v>
      </c>
      <c r="G2244" s="1" t="s">
        <v>170</v>
      </c>
      <c r="H2244" s="1" t="s">
        <v>1396</v>
      </c>
      <c r="I2244">
        <v>2012</v>
      </c>
      <c r="J2244" s="93">
        <v>30035.21</v>
      </c>
      <c r="K2244">
        <v>13</v>
      </c>
      <c r="L2244" s="1" t="s">
        <v>459</v>
      </c>
      <c r="M2244">
        <v>0</v>
      </c>
      <c r="N2244">
        <v>711</v>
      </c>
      <c r="O2244">
        <v>42.237673999999998</v>
      </c>
      <c r="P2244">
        <v>1</v>
      </c>
      <c r="Q2244" s="1" t="s">
        <v>562</v>
      </c>
      <c r="R2244" s="93">
        <v>32054.75</v>
      </c>
      <c r="S2244">
        <v>5930.14</v>
      </c>
      <c r="T2244">
        <v>0</v>
      </c>
      <c r="U2244" s="1"/>
      <c r="V2244" s="1"/>
      <c r="W2244">
        <v>30035.21429</v>
      </c>
      <c r="X2244">
        <v>0</v>
      </c>
      <c r="Y2244">
        <v>77259</v>
      </c>
    </row>
    <row r="2245" spans="1:25" ht="15" hidden="1" customHeight="1" x14ac:dyDescent="0.25">
      <c r="A2245" s="1" t="s">
        <v>33</v>
      </c>
      <c r="B2245" s="1"/>
      <c r="C2245" s="1" t="s">
        <v>170</v>
      </c>
      <c r="D2245">
        <v>10191</v>
      </c>
      <c r="E2245" s="1"/>
      <c r="F2245" s="1" t="s">
        <v>170</v>
      </c>
      <c r="G2245" s="1" t="s">
        <v>170</v>
      </c>
      <c r="H2245" s="1" t="s">
        <v>1396</v>
      </c>
      <c r="I2245">
        <v>2011</v>
      </c>
      <c r="J2245" s="93">
        <v>2896076.07</v>
      </c>
      <c r="K2245">
        <v>12</v>
      </c>
      <c r="L2245" s="1"/>
      <c r="M2245">
        <v>0</v>
      </c>
      <c r="N2245">
        <v>711</v>
      </c>
      <c r="O2245">
        <v>4072.6706079999999</v>
      </c>
      <c r="P2245">
        <v>1</v>
      </c>
      <c r="Q2245" s="1" t="s">
        <v>563</v>
      </c>
      <c r="R2245" s="93">
        <v>3283596.95</v>
      </c>
      <c r="S2245">
        <v>17410.87</v>
      </c>
      <c r="T2245">
        <v>1</v>
      </c>
      <c r="U2245" s="1"/>
      <c r="V2245" s="1"/>
      <c r="W2245">
        <v>83005.906040000002</v>
      </c>
      <c r="X2245">
        <v>77259</v>
      </c>
      <c r="Y2245">
        <v>77260</v>
      </c>
    </row>
    <row r="2246" spans="1:25" ht="15" hidden="1" customHeight="1" x14ac:dyDescent="0.25">
      <c r="A2246" s="1" t="s">
        <v>33</v>
      </c>
      <c r="B2246" s="1"/>
      <c r="C2246" s="1" t="s">
        <v>170</v>
      </c>
      <c r="D2246">
        <v>10191</v>
      </c>
      <c r="E2246" s="1"/>
      <c r="F2246" s="1" t="s">
        <v>170</v>
      </c>
      <c r="G2246" s="1" t="s">
        <v>170</v>
      </c>
      <c r="H2246" s="1" t="s">
        <v>1396</v>
      </c>
      <c r="I2246">
        <v>2011</v>
      </c>
      <c r="J2246" s="93">
        <v>44458.66</v>
      </c>
      <c r="K2246">
        <v>12</v>
      </c>
      <c r="L2246" s="1" t="s">
        <v>459</v>
      </c>
      <c r="M2246">
        <v>0</v>
      </c>
      <c r="N2246">
        <v>711</v>
      </c>
      <c r="O2246">
        <v>62.520966999999999</v>
      </c>
      <c r="P2246">
        <v>1</v>
      </c>
      <c r="Q2246" s="1" t="s">
        <v>562</v>
      </c>
      <c r="R2246" s="93">
        <v>48695.040000000001</v>
      </c>
      <c r="S2246">
        <v>9008.59</v>
      </c>
      <c r="T2246">
        <v>0</v>
      </c>
      <c r="U2246" s="1"/>
      <c r="V2246" s="1"/>
      <c r="W2246">
        <v>44458.664510000002</v>
      </c>
      <c r="X2246">
        <v>0</v>
      </c>
      <c r="Y2246">
        <v>77259</v>
      </c>
    </row>
    <row r="2247" spans="1:25" ht="15" hidden="1" customHeight="1" x14ac:dyDescent="0.25">
      <c r="A2247" s="1" t="s">
        <v>33</v>
      </c>
      <c r="B2247" s="1"/>
      <c r="C2247" s="1" t="s">
        <v>170</v>
      </c>
      <c r="D2247">
        <v>10191</v>
      </c>
      <c r="E2247" s="1"/>
      <c r="F2247" s="1" t="s">
        <v>170</v>
      </c>
      <c r="G2247" s="1" t="s">
        <v>170</v>
      </c>
      <c r="H2247" s="1" t="s">
        <v>1396</v>
      </c>
      <c r="I2247">
        <v>2010</v>
      </c>
      <c r="J2247" s="93">
        <v>54846.52</v>
      </c>
      <c r="K2247">
        <v>12</v>
      </c>
      <c r="L2247" s="1" t="s">
        <v>459</v>
      </c>
      <c r="M2247">
        <v>0</v>
      </c>
      <c r="N2247">
        <v>711</v>
      </c>
      <c r="O2247">
        <v>77.129123000000007</v>
      </c>
      <c r="P2247">
        <v>1</v>
      </c>
      <c r="Q2247" s="1" t="s">
        <v>562</v>
      </c>
      <c r="R2247" s="93">
        <v>50072.800000000003</v>
      </c>
      <c r="S2247">
        <v>9263.4599999999991</v>
      </c>
      <c r="T2247">
        <v>0</v>
      </c>
      <c r="U2247" s="1"/>
      <c r="V2247" s="1"/>
      <c r="W2247">
        <v>54846.521209999999</v>
      </c>
      <c r="X2247">
        <v>0</v>
      </c>
      <c r="Y2247">
        <v>77259</v>
      </c>
    </row>
    <row r="2248" spans="1:25" ht="15" hidden="1" customHeight="1" x14ac:dyDescent="0.25">
      <c r="A2248" s="1" t="s">
        <v>33</v>
      </c>
      <c r="B2248" s="1"/>
      <c r="C2248" s="1" t="s">
        <v>170</v>
      </c>
      <c r="D2248">
        <v>10191</v>
      </c>
      <c r="E2248" s="1"/>
      <c r="F2248" s="1" t="s">
        <v>170</v>
      </c>
      <c r="G2248" s="1" t="s">
        <v>170</v>
      </c>
      <c r="H2248" s="1" t="s">
        <v>1396</v>
      </c>
      <c r="I2248">
        <v>2010</v>
      </c>
      <c r="J2248" s="93">
        <v>4149558.18</v>
      </c>
      <c r="K2248">
        <v>12</v>
      </c>
      <c r="L2248" s="1"/>
      <c r="M2248">
        <v>0</v>
      </c>
      <c r="N2248">
        <v>711</v>
      </c>
      <c r="O2248">
        <v>5835.4073680000001</v>
      </c>
      <c r="P2248">
        <v>1</v>
      </c>
      <c r="Q2248" s="1" t="s">
        <v>563</v>
      </c>
      <c r="R2248" s="93">
        <v>6158311.7999999998</v>
      </c>
      <c r="S2248">
        <v>32653.71</v>
      </c>
      <c r="T2248">
        <v>1</v>
      </c>
      <c r="U2248" s="1"/>
      <c r="V2248" s="1"/>
      <c r="W2248">
        <v>118932.59299999999</v>
      </c>
      <c r="X2248">
        <v>77259</v>
      </c>
      <c r="Y2248">
        <v>77260</v>
      </c>
    </row>
    <row r="2249" spans="1:25" ht="15" hidden="1" customHeight="1" x14ac:dyDescent="0.25">
      <c r="A2249" s="1" t="s">
        <v>33</v>
      </c>
      <c r="B2249" s="1"/>
      <c r="C2249" s="1" t="s">
        <v>170</v>
      </c>
      <c r="D2249">
        <v>10191</v>
      </c>
      <c r="E2249" s="1"/>
      <c r="F2249" s="1" t="s">
        <v>170</v>
      </c>
      <c r="G2249" s="1" t="s">
        <v>170</v>
      </c>
      <c r="H2249" s="1" t="s">
        <v>1396</v>
      </c>
      <c r="I2249">
        <v>2009</v>
      </c>
      <c r="J2249" s="93">
        <v>50999.15</v>
      </c>
      <c r="K2249">
        <v>11</v>
      </c>
      <c r="L2249" s="1" t="s">
        <v>459</v>
      </c>
      <c r="M2249">
        <v>0</v>
      </c>
      <c r="N2249">
        <v>711</v>
      </c>
      <c r="O2249">
        <v>71.718675000000005</v>
      </c>
      <c r="P2249">
        <v>1</v>
      </c>
      <c r="Q2249" s="1" t="s">
        <v>562</v>
      </c>
      <c r="R2249" s="93">
        <v>53693.24</v>
      </c>
      <c r="S2249">
        <v>9933.24</v>
      </c>
      <c r="T2249">
        <v>0</v>
      </c>
      <c r="U2249" s="1"/>
      <c r="V2249" s="1"/>
      <c r="W2249">
        <v>50999.148390000002</v>
      </c>
      <c r="X2249">
        <v>0</v>
      </c>
      <c r="Y2249">
        <v>77259</v>
      </c>
    </row>
    <row r="2250" spans="1:25" ht="15" hidden="1" customHeight="1" x14ac:dyDescent="0.25">
      <c r="A2250" s="1" t="s">
        <v>33</v>
      </c>
      <c r="B2250" s="1"/>
      <c r="C2250" s="1" t="s">
        <v>170</v>
      </c>
      <c r="D2250">
        <v>10191</v>
      </c>
      <c r="E2250" s="1"/>
      <c r="F2250" s="1" t="s">
        <v>170</v>
      </c>
      <c r="G2250" s="1" t="s">
        <v>170</v>
      </c>
      <c r="H2250" s="1" t="s">
        <v>1396</v>
      </c>
      <c r="I2250">
        <v>2009</v>
      </c>
      <c r="J2250" s="93">
        <v>4058691.26</v>
      </c>
      <c r="K2250">
        <v>12</v>
      </c>
      <c r="L2250" s="1"/>
      <c r="M2250">
        <v>0</v>
      </c>
      <c r="N2250">
        <v>711</v>
      </c>
      <c r="O2250">
        <v>5707.6237650000003</v>
      </c>
      <c r="P2250">
        <v>1</v>
      </c>
      <c r="Q2250" s="1" t="s">
        <v>563</v>
      </c>
      <c r="R2250" s="93">
        <v>4605778.6500000004</v>
      </c>
      <c r="S2250">
        <v>24421.56</v>
      </c>
      <c r="T2250">
        <v>1</v>
      </c>
      <c r="U2250" s="1"/>
      <c r="V2250" s="1"/>
      <c r="W2250">
        <v>116328.21</v>
      </c>
      <c r="X2250">
        <v>77259</v>
      </c>
      <c r="Y2250">
        <v>77260</v>
      </c>
    </row>
    <row r="2251" spans="1:25" ht="15" hidden="1" customHeight="1" x14ac:dyDescent="0.25">
      <c r="A2251" s="1" t="s">
        <v>33</v>
      </c>
      <c r="B2251" s="1"/>
      <c r="C2251" s="1" t="s">
        <v>170</v>
      </c>
      <c r="D2251">
        <v>10191</v>
      </c>
      <c r="E2251" s="1"/>
      <c r="F2251" s="1" t="s">
        <v>170</v>
      </c>
      <c r="G2251" s="1" t="s">
        <v>170</v>
      </c>
      <c r="H2251" s="1" t="s">
        <v>1396</v>
      </c>
      <c r="I2251">
        <v>2008</v>
      </c>
      <c r="J2251" s="93">
        <v>2043489.87</v>
      </c>
      <c r="K2251">
        <v>12</v>
      </c>
      <c r="L2251" s="1"/>
      <c r="M2251">
        <v>0</v>
      </c>
      <c r="N2251">
        <v>711</v>
      </c>
      <c r="O2251">
        <v>2873.7025309999999</v>
      </c>
      <c r="P2251">
        <v>1</v>
      </c>
      <c r="Q2251" s="1" t="s">
        <v>563</v>
      </c>
      <c r="R2251" s="93">
        <v>2351118.0499999998</v>
      </c>
      <c r="S2251">
        <v>12466.52</v>
      </c>
      <c r="T2251">
        <v>1</v>
      </c>
      <c r="U2251" s="1"/>
      <c r="V2251" s="1"/>
      <c r="W2251">
        <v>58569.5</v>
      </c>
      <c r="X2251">
        <v>77259</v>
      </c>
      <c r="Y2251">
        <v>77260</v>
      </c>
    </row>
    <row r="2252" spans="1:25" ht="15" hidden="1" customHeight="1" x14ac:dyDescent="0.25">
      <c r="A2252" s="1" t="s">
        <v>33</v>
      </c>
      <c r="B2252" s="1"/>
      <c r="C2252" s="1" t="s">
        <v>170</v>
      </c>
      <c r="D2252">
        <v>10191</v>
      </c>
      <c r="E2252" s="1"/>
      <c r="F2252" s="1" t="s">
        <v>170</v>
      </c>
      <c r="G2252" s="1" t="s">
        <v>170</v>
      </c>
      <c r="H2252" s="1" t="s">
        <v>1396</v>
      </c>
      <c r="I2252">
        <v>2008</v>
      </c>
      <c r="J2252" s="93">
        <v>275.45</v>
      </c>
      <c r="K2252">
        <v>1</v>
      </c>
      <c r="L2252" s="1" t="s">
        <v>459</v>
      </c>
      <c r="M2252">
        <v>0</v>
      </c>
      <c r="N2252">
        <v>711</v>
      </c>
      <c r="O2252">
        <v>0.38735700000000001</v>
      </c>
      <c r="P2252">
        <v>1</v>
      </c>
      <c r="Q2252" s="1" t="s">
        <v>562</v>
      </c>
      <c r="R2252" s="93">
        <v>294.29000000000002</v>
      </c>
      <c r="S2252">
        <v>54.44</v>
      </c>
      <c r="T2252">
        <v>0</v>
      </c>
      <c r="U2252" s="1"/>
      <c r="V2252" s="1"/>
      <c r="W2252">
        <v>275.45161000000002</v>
      </c>
      <c r="X2252">
        <v>0</v>
      </c>
      <c r="Y2252">
        <v>77259</v>
      </c>
    </row>
    <row r="2253" spans="1:25" ht="15" hidden="1" customHeight="1" x14ac:dyDescent="0.25">
      <c r="A2253" s="1" t="s">
        <v>33</v>
      </c>
      <c r="B2253" s="1"/>
      <c r="C2253" s="1" t="s">
        <v>171</v>
      </c>
      <c r="D2253">
        <v>9517</v>
      </c>
      <c r="E2253" s="1"/>
      <c r="F2253" s="1" t="s">
        <v>302</v>
      </c>
      <c r="G2253" s="1" t="s">
        <v>171</v>
      </c>
      <c r="H2253" s="1" t="s">
        <v>1405</v>
      </c>
      <c r="I2253">
        <v>2015</v>
      </c>
      <c r="J2253" s="93">
        <v>72265</v>
      </c>
      <c r="K2253">
        <v>5</v>
      </c>
      <c r="L2253" s="1"/>
      <c r="M2253">
        <v>0</v>
      </c>
      <c r="N2253">
        <v>784</v>
      </c>
      <c r="O2253">
        <v>57.335799000000002</v>
      </c>
      <c r="P2253">
        <v>1</v>
      </c>
      <c r="Q2253" s="1" t="s">
        <v>562</v>
      </c>
      <c r="R2253" s="93">
        <v>83787</v>
      </c>
      <c r="S2253">
        <v>3243.48</v>
      </c>
      <c r="T2253">
        <v>0</v>
      </c>
      <c r="U2253" s="1"/>
      <c r="V2253" s="1"/>
      <c r="W2253">
        <v>44957</v>
      </c>
      <c r="X2253">
        <v>0</v>
      </c>
      <c r="Y2253">
        <v>74426</v>
      </c>
    </row>
    <row r="2254" spans="1:25" ht="15" hidden="1" customHeight="1" x14ac:dyDescent="0.25">
      <c r="A2254" s="1" t="s">
        <v>33</v>
      </c>
      <c r="B2254" s="1"/>
      <c r="C2254" s="1" t="s">
        <v>171</v>
      </c>
      <c r="D2254">
        <v>9517</v>
      </c>
      <c r="E2254" s="1"/>
      <c r="F2254" s="1" t="s">
        <v>302</v>
      </c>
      <c r="G2254" s="1" t="s">
        <v>171</v>
      </c>
      <c r="H2254" s="1" t="s">
        <v>1396</v>
      </c>
      <c r="I2254">
        <v>2015</v>
      </c>
      <c r="J2254" s="93">
        <v>75843.88</v>
      </c>
      <c r="K2254">
        <v>5</v>
      </c>
      <c r="L2254" s="1"/>
      <c r="M2254">
        <v>0</v>
      </c>
      <c r="N2254">
        <v>784</v>
      </c>
      <c r="O2254">
        <v>96.727305000000001</v>
      </c>
      <c r="P2254">
        <v>1</v>
      </c>
      <c r="Q2254" s="1" t="s">
        <v>563</v>
      </c>
      <c r="R2254" s="93">
        <v>84606.69</v>
      </c>
      <c r="S2254">
        <v>155.19</v>
      </c>
      <c r="T2254">
        <v>1</v>
      </c>
      <c r="U2254" s="1"/>
      <c r="V2254" s="1"/>
      <c r="W2254">
        <v>2173.8000000000002</v>
      </c>
      <c r="X2254">
        <v>74426</v>
      </c>
      <c r="Y2254">
        <v>74427</v>
      </c>
    </row>
    <row r="2255" spans="1:25" ht="15" hidden="1" customHeight="1" x14ac:dyDescent="0.25">
      <c r="A2255" s="1" t="s">
        <v>33</v>
      </c>
      <c r="B2255" s="1"/>
      <c r="C2255" s="1" t="s">
        <v>171</v>
      </c>
      <c r="D2255">
        <v>9517</v>
      </c>
      <c r="E2255" s="1"/>
      <c r="F2255" s="1" t="s">
        <v>302</v>
      </c>
      <c r="G2255" s="1" t="s">
        <v>171</v>
      </c>
      <c r="H2255" s="1" t="s">
        <v>1396</v>
      </c>
      <c r="I2255">
        <v>2013</v>
      </c>
      <c r="J2255" s="93">
        <v>109643.22</v>
      </c>
      <c r="K2255">
        <v>12</v>
      </c>
      <c r="L2255" s="1"/>
      <c r="M2255">
        <v>0</v>
      </c>
      <c r="N2255">
        <v>784</v>
      </c>
      <c r="O2255">
        <v>139.83321000000001</v>
      </c>
      <c r="P2255">
        <v>1</v>
      </c>
      <c r="Q2255" s="1" t="s">
        <v>563</v>
      </c>
      <c r="R2255" s="93">
        <v>112361.78</v>
      </c>
      <c r="S2255">
        <v>206.11</v>
      </c>
      <c r="T2255">
        <v>1</v>
      </c>
      <c r="U2255" s="1"/>
      <c r="V2255" s="1"/>
      <c r="W2255">
        <v>3142.54</v>
      </c>
      <c r="X2255">
        <v>74426</v>
      </c>
      <c r="Y2255">
        <v>74427</v>
      </c>
    </row>
    <row r="2256" spans="1:25" ht="15" hidden="1" customHeight="1" x14ac:dyDescent="0.25">
      <c r="A2256" s="1" t="s">
        <v>33</v>
      </c>
      <c r="B2256" s="1"/>
      <c r="C2256" s="1" t="s">
        <v>171</v>
      </c>
      <c r="D2256">
        <v>9517</v>
      </c>
      <c r="E2256" s="1"/>
      <c r="F2256" s="1" t="s">
        <v>302</v>
      </c>
      <c r="G2256" s="1" t="s">
        <v>171</v>
      </c>
      <c r="H2256" s="1" t="s">
        <v>1405</v>
      </c>
      <c r="I2256">
        <v>2013</v>
      </c>
      <c r="J2256" s="93">
        <v>80317</v>
      </c>
      <c r="K2256">
        <v>12</v>
      </c>
      <c r="L2256" s="1"/>
      <c r="M2256">
        <v>0</v>
      </c>
      <c r="N2256">
        <v>784</v>
      </c>
      <c r="O2256">
        <v>102.432087</v>
      </c>
      <c r="P2256">
        <v>1</v>
      </c>
      <c r="Q2256" s="1" t="s">
        <v>562</v>
      </c>
      <c r="R2256" s="93">
        <v>83565.42</v>
      </c>
      <c r="S2256">
        <v>5348.19</v>
      </c>
      <c r="T2256">
        <v>0</v>
      </c>
      <c r="U2256" s="1"/>
      <c r="V2256" s="1"/>
      <c r="W2256">
        <v>80317</v>
      </c>
      <c r="X2256">
        <v>0</v>
      </c>
      <c r="Y2256">
        <v>74426</v>
      </c>
    </row>
    <row r="2257" spans="1:25" ht="15" hidden="1" customHeight="1" x14ac:dyDescent="0.25">
      <c r="A2257" s="1" t="s">
        <v>33</v>
      </c>
      <c r="B2257" s="1"/>
      <c r="C2257" s="1" t="s">
        <v>171</v>
      </c>
      <c r="D2257">
        <v>9517</v>
      </c>
      <c r="E2257" s="1"/>
      <c r="F2257" s="1" t="s">
        <v>302</v>
      </c>
      <c r="G2257" s="1" t="s">
        <v>171</v>
      </c>
      <c r="H2257" s="1" t="s">
        <v>1396</v>
      </c>
      <c r="I2257">
        <v>2012</v>
      </c>
      <c r="J2257" s="93">
        <v>159334.26</v>
      </c>
      <c r="K2257">
        <v>12</v>
      </c>
      <c r="L2257" s="1"/>
      <c r="M2257">
        <v>0</v>
      </c>
      <c r="N2257">
        <v>784</v>
      </c>
      <c r="O2257">
        <v>203.20655500000001</v>
      </c>
      <c r="P2257">
        <v>1</v>
      </c>
      <c r="Q2257" s="1" t="s">
        <v>563</v>
      </c>
      <c r="R2257" s="93">
        <v>167904.29</v>
      </c>
      <c r="S2257">
        <v>890.3</v>
      </c>
      <c r="T2257">
        <v>1</v>
      </c>
      <c r="U2257" s="1"/>
      <c r="V2257" s="1"/>
      <c r="W2257">
        <v>4566.76</v>
      </c>
      <c r="X2257">
        <v>74426</v>
      </c>
      <c r="Y2257">
        <v>74427</v>
      </c>
    </row>
    <row r="2258" spans="1:25" ht="15" hidden="1" customHeight="1" x14ac:dyDescent="0.25">
      <c r="A2258" s="1" t="s">
        <v>33</v>
      </c>
      <c r="B2258" s="1"/>
      <c r="C2258" s="1" t="s">
        <v>171</v>
      </c>
      <c r="D2258">
        <v>9517</v>
      </c>
      <c r="E2258" s="1"/>
      <c r="F2258" s="1" t="s">
        <v>302</v>
      </c>
      <c r="G2258" s="1" t="s">
        <v>171</v>
      </c>
      <c r="H2258" s="1" t="s">
        <v>1405</v>
      </c>
      <c r="I2258">
        <v>2012</v>
      </c>
      <c r="J2258" s="93">
        <v>86208</v>
      </c>
      <c r="K2258">
        <v>12</v>
      </c>
      <c r="L2258" s="1"/>
      <c r="M2258">
        <v>0</v>
      </c>
      <c r="N2258">
        <v>784</v>
      </c>
      <c r="O2258">
        <v>109.94516</v>
      </c>
      <c r="P2258">
        <v>1</v>
      </c>
      <c r="Q2258" s="1" t="s">
        <v>562</v>
      </c>
      <c r="R2258" s="93">
        <v>91060.98</v>
      </c>
      <c r="S2258">
        <v>16846.28</v>
      </c>
      <c r="T2258">
        <v>0</v>
      </c>
      <c r="U2258" s="1"/>
      <c r="V2258" s="1"/>
      <c r="W2258">
        <v>86208</v>
      </c>
      <c r="X2258">
        <v>0</v>
      </c>
      <c r="Y2258">
        <v>74426</v>
      </c>
    </row>
    <row r="2259" spans="1:25" ht="15" hidden="1" customHeight="1" x14ac:dyDescent="0.25">
      <c r="A2259" s="1" t="s">
        <v>33</v>
      </c>
      <c r="B2259" s="1"/>
      <c r="C2259" s="1" t="s">
        <v>171</v>
      </c>
      <c r="D2259">
        <v>9517</v>
      </c>
      <c r="E2259" s="1"/>
      <c r="F2259" s="1" t="s">
        <v>302</v>
      </c>
      <c r="G2259" s="1" t="s">
        <v>171</v>
      </c>
      <c r="H2259" s="1" t="s">
        <v>1405</v>
      </c>
      <c r="I2259">
        <v>2011</v>
      </c>
      <c r="J2259" s="93">
        <v>88982</v>
      </c>
      <c r="K2259">
        <v>12</v>
      </c>
      <c r="L2259" s="1"/>
      <c r="M2259">
        <v>0</v>
      </c>
      <c r="N2259">
        <v>784</v>
      </c>
      <c r="O2259">
        <v>113.482974</v>
      </c>
      <c r="P2259">
        <v>1</v>
      </c>
      <c r="Q2259" s="1" t="s">
        <v>562</v>
      </c>
      <c r="R2259" s="93">
        <v>97095.89</v>
      </c>
      <c r="S2259">
        <v>17962.72</v>
      </c>
      <c r="T2259">
        <v>0</v>
      </c>
      <c r="U2259" s="1"/>
      <c r="V2259" s="1"/>
      <c r="W2259">
        <v>88982</v>
      </c>
      <c r="X2259">
        <v>0</v>
      </c>
      <c r="Y2259">
        <v>74426</v>
      </c>
    </row>
    <row r="2260" spans="1:25" ht="15" hidden="1" customHeight="1" x14ac:dyDescent="0.25">
      <c r="A2260" s="1" t="s">
        <v>33</v>
      </c>
      <c r="B2260" s="1"/>
      <c r="C2260" s="1" t="s">
        <v>171</v>
      </c>
      <c r="D2260">
        <v>9517</v>
      </c>
      <c r="E2260" s="1"/>
      <c r="F2260" s="1" t="s">
        <v>302</v>
      </c>
      <c r="G2260" s="1" t="s">
        <v>171</v>
      </c>
      <c r="H2260" s="1" t="s">
        <v>1396</v>
      </c>
      <c r="I2260">
        <v>2011</v>
      </c>
      <c r="J2260" s="93">
        <v>160100.44</v>
      </c>
      <c r="K2260">
        <v>12</v>
      </c>
      <c r="L2260" s="1"/>
      <c r="M2260">
        <v>0</v>
      </c>
      <c r="N2260">
        <v>784</v>
      </c>
      <c r="O2260">
        <v>204.18370100000001</v>
      </c>
      <c r="P2260">
        <v>1</v>
      </c>
      <c r="Q2260" s="1" t="s">
        <v>563</v>
      </c>
      <c r="R2260" s="93">
        <v>170880.51</v>
      </c>
      <c r="S2260">
        <v>906.09</v>
      </c>
      <c r="T2260">
        <v>1</v>
      </c>
      <c r="U2260" s="1"/>
      <c r="V2260" s="1"/>
      <c r="W2260">
        <v>4588.72</v>
      </c>
      <c r="X2260">
        <v>74426</v>
      </c>
      <c r="Y2260">
        <v>74427</v>
      </c>
    </row>
    <row r="2261" spans="1:25" ht="15" hidden="1" customHeight="1" x14ac:dyDescent="0.25">
      <c r="A2261" s="1" t="s">
        <v>33</v>
      </c>
      <c r="B2261" s="1"/>
      <c r="C2261" s="1" t="s">
        <v>171</v>
      </c>
      <c r="D2261">
        <v>9517</v>
      </c>
      <c r="E2261" s="1"/>
      <c r="F2261" s="1" t="s">
        <v>302</v>
      </c>
      <c r="G2261" s="1" t="s">
        <v>171</v>
      </c>
      <c r="H2261" s="1" t="s">
        <v>1405</v>
      </c>
      <c r="I2261">
        <v>2010</v>
      </c>
      <c r="J2261" s="93">
        <v>92248.19</v>
      </c>
      <c r="K2261">
        <v>12</v>
      </c>
      <c r="L2261" s="1"/>
      <c r="M2261">
        <v>0</v>
      </c>
      <c r="N2261">
        <v>784</v>
      </c>
      <c r="O2261">
        <v>117.648501</v>
      </c>
      <c r="P2261">
        <v>1</v>
      </c>
      <c r="Q2261" s="1" t="s">
        <v>562</v>
      </c>
      <c r="R2261" s="93">
        <v>112673.1</v>
      </c>
      <c r="S2261">
        <v>20844.52</v>
      </c>
      <c r="T2261">
        <v>0</v>
      </c>
      <c r="U2261" s="1"/>
      <c r="V2261" s="1"/>
      <c r="W2261">
        <v>92248.209000000003</v>
      </c>
      <c r="X2261">
        <v>0</v>
      </c>
      <c r="Y2261">
        <v>74426</v>
      </c>
    </row>
    <row r="2262" spans="1:25" ht="15" hidden="1" customHeight="1" x14ac:dyDescent="0.25">
      <c r="A2262" s="1" t="s">
        <v>33</v>
      </c>
      <c r="B2262" s="1"/>
      <c r="C2262" s="1" t="s">
        <v>171</v>
      </c>
      <c r="D2262">
        <v>9517</v>
      </c>
      <c r="E2262" s="1"/>
      <c r="F2262" s="1" t="s">
        <v>302</v>
      </c>
      <c r="G2262" s="1" t="s">
        <v>171</v>
      </c>
      <c r="H2262" s="1" t="s">
        <v>1396</v>
      </c>
      <c r="I2262">
        <v>2010</v>
      </c>
      <c r="J2262" s="93">
        <v>470358.76</v>
      </c>
      <c r="K2262">
        <v>12</v>
      </c>
      <c r="L2262" s="1"/>
      <c r="M2262">
        <v>0</v>
      </c>
      <c r="N2262">
        <v>784</v>
      </c>
      <c r="O2262">
        <v>599.87088300000005</v>
      </c>
      <c r="P2262">
        <v>1</v>
      </c>
      <c r="Q2262" s="1" t="s">
        <v>563</v>
      </c>
      <c r="R2262" s="93">
        <v>574982.61</v>
      </c>
      <c r="S2262">
        <v>3048.78</v>
      </c>
      <c r="T2262">
        <v>1</v>
      </c>
      <c r="U2262" s="1"/>
      <c r="V2262" s="1"/>
      <c r="W2262">
        <v>13481.1911</v>
      </c>
      <c r="X2262">
        <v>74426</v>
      </c>
      <c r="Y2262">
        <v>74427</v>
      </c>
    </row>
    <row r="2263" spans="1:25" ht="15" hidden="1" customHeight="1" x14ac:dyDescent="0.25">
      <c r="A2263" s="1" t="s">
        <v>33</v>
      </c>
      <c r="B2263" s="1"/>
      <c r="C2263" s="1" t="s">
        <v>171</v>
      </c>
      <c r="D2263">
        <v>9517</v>
      </c>
      <c r="E2263" s="1"/>
      <c r="F2263" s="1" t="s">
        <v>302</v>
      </c>
      <c r="G2263" s="1" t="s">
        <v>171</v>
      </c>
      <c r="H2263" s="1" t="s">
        <v>1396</v>
      </c>
      <c r="I2263">
        <v>2009</v>
      </c>
      <c r="J2263" s="93">
        <v>362409.38</v>
      </c>
      <c r="K2263">
        <v>12</v>
      </c>
      <c r="L2263" s="1"/>
      <c r="M2263">
        <v>0</v>
      </c>
      <c r="N2263">
        <v>784</v>
      </c>
      <c r="O2263">
        <v>462.19790799999998</v>
      </c>
      <c r="P2263">
        <v>1</v>
      </c>
      <c r="Q2263" s="1" t="s">
        <v>563</v>
      </c>
      <c r="R2263" s="93">
        <v>528519.21</v>
      </c>
      <c r="S2263">
        <v>2802.41</v>
      </c>
      <c r="T2263">
        <v>1</v>
      </c>
      <c r="U2263" s="1"/>
      <c r="V2263" s="1"/>
      <c r="W2263">
        <v>10387.1988</v>
      </c>
      <c r="X2263">
        <v>74426</v>
      </c>
      <c r="Y2263">
        <v>74427</v>
      </c>
    </row>
    <row r="2264" spans="1:25" ht="15" hidden="1" customHeight="1" x14ac:dyDescent="0.25">
      <c r="A2264" s="1" t="s">
        <v>33</v>
      </c>
      <c r="B2264" s="1"/>
      <c r="C2264" s="1" t="s">
        <v>171</v>
      </c>
      <c r="D2264">
        <v>9517</v>
      </c>
      <c r="E2264" s="1"/>
      <c r="F2264" s="1" t="s">
        <v>302</v>
      </c>
      <c r="G2264" s="1" t="s">
        <v>171</v>
      </c>
      <c r="H2264" s="1" t="s">
        <v>1405</v>
      </c>
      <c r="I2264">
        <v>2009</v>
      </c>
      <c r="J2264" s="93">
        <v>104998.77</v>
      </c>
      <c r="K2264">
        <v>12</v>
      </c>
      <c r="L2264" s="1"/>
      <c r="M2264">
        <v>0</v>
      </c>
      <c r="N2264">
        <v>784</v>
      </c>
      <c r="O2264">
        <v>133.90992199999999</v>
      </c>
      <c r="P2264">
        <v>1</v>
      </c>
      <c r="Q2264" s="1" t="s">
        <v>562</v>
      </c>
      <c r="R2264" s="93">
        <v>141027.85</v>
      </c>
      <c r="S2264">
        <v>26090.16</v>
      </c>
      <c r="T2264">
        <v>0</v>
      </c>
      <c r="U2264" s="1"/>
      <c r="V2264" s="1"/>
      <c r="W2264">
        <v>104998.784</v>
      </c>
      <c r="X2264">
        <v>0</v>
      </c>
      <c r="Y2264">
        <v>74426</v>
      </c>
    </row>
    <row r="2265" spans="1:25" ht="15" hidden="1" customHeight="1" x14ac:dyDescent="0.25">
      <c r="A2265" s="1" t="s">
        <v>33</v>
      </c>
      <c r="B2265" s="1"/>
      <c r="C2265" s="1" t="s">
        <v>171</v>
      </c>
      <c r="D2265">
        <v>9517</v>
      </c>
      <c r="E2265" s="1"/>
      <c r="F2265" s="1" t="s">
        <v>302</v>
      </c>
      <c r="G2265" s="1" t="s">
        <v>171</v>
      </c>
      <c r="H2265" s="1" t="s">
        <v>1396</v>
      </c>
      <c r="I2265">
        <v>2008</v>
      </c>
      <c r="J2265" s="93">
        <v>124028.36</v>
      </c>
      <c r="K2265">
        <v>12</v>
      </c>
      <c r="L2265" s="1"/>
      <c r="M2265">
        <v>0</v>
      </c>
      <c r="N2265">
        <v>784</v>
      </c>
      <c r="O2265">
        <v>158.17926199999999</v>
      </c>
      <c r="P2265">
        <v>1</v>
      </c>
      <c r="Q2265" s="1" t="s">
        <v>563</v>
      </c>
      <c r="R2265" s="93">
        <v>142902.37</v>
      </c>
      <c r="S2265">
        <v>757.7</v>
      </c>
      <c r="T2265">
        <v>1</v>
      </c>
      <c r="U2265" s="1"/>
      <c r="V2265" s="1"/>
      <c r="W2265">
        <v>3554.84</v>
      </c>
      <c r="X2265">
        <v>74426</v>
      </c>
      <c r="Y2265">
        <v>74427</v>
      </c>
    </row>
    <row r="2266" spans="1:25" ht="15" hidden="1" customHeight="1" x14ac:dyDescent="0.25">
      <c r="A2266" s="1" t="s">
        <v>33</v>
      </c>
      <c r="B2266" s="1"/>
      <c r="C2266" s="1" t="s">
        <v>171</v>
      </c>
      <c r="D2266">
        <v>9517</v>
      </c>
      <c r="E2266" s="1"/>
      <c r="F2266" s="1" t="s">
        <v>302</v>
      </c>
      <c r="G2266" s="1" t="s">
        <v>171</v>
      </c>
      <c r="H2266" s="1" t="s">
        <v>1405</v>
      </c>
      <c r="I2266">
        <v>2008</v>
      </c>
      <c r="J2266" s="93">
        <v>78901</v>
      </c>
      <c r="K2266">
        <v>12</v>
      </c>
      <c r="L2266" s="1"/>
      <c r="M2266">
        <v>0</v>
      </c>
      <c r="N2266">
        <v>784</v>
      </c>
      <c r="O2266">
        <v>100.626195</v>
      </c>
      <c r="P2266">
        <v>1</v>
      </c>
      <c r="Q2266" s="1" t="s">
        <v>562</v>
      </c>
      <c r="R2266" s="93">
        <v>90696.93</v>
      </c>
      <c r="S2266">
        <v>16778.93</v>
      </c>
      <c r="T2266">
        <v>0</v>
      </c>
      <c r="U2266" s="1"/>
      <c r="V2266" s="1"/>
      <c r="W2266">
        <v>78901</v>
      </c>
      <c r="X2266">
        <v>0</v>
      </c>
      <c r="Y2266">
        <v>74426</v>
      </c>
    </row>
    <row r="2267" spans="1:25" ht="15" hidden="1" customHeight="1" x14ac:dyDescent="0.25">
      <c r="A2267" s="1" t="s">
        <v>33</v>
      </c>
      <c r="B2267" s="1" t="s">
        <v>72</v>
      </c>
      <c r="C2267" s="1" t="s">
        <v>172</v>
      </c>
      <c r="D2267">
        <v>5300</v>
      </c>
      <c r="E2267" s="1"/>
      <c r="F2267" s="1" t="s">
        <v>303</v>
      </c>
      <c r="G2267" s="1" t="s">
        <v>172</v>
      </c>
      <c r="H2267" s="1" t="s">
        <v>1405</v>
      </c>
      <c r="I2267">
        <v>2014</v>
      </c>
      <c r="J2267" s="93">
        <v>39.630000000000003</v>
      </c>
      <c r="K2267">
        <v>12</v>
      </c>
      <c r="L2267" s="1" t="s">
        <v>435</v>
      </c>
      <c r="M2267">
        <v>0</v>
      </c>
      <c r="N2267">
        <v>7375</v>
      </c>
      <c r="O2267">
        <v>5.3730000000000002E-3</v>
      </c>
      <c r="P2267">
        <v>3</v>
      </c>
      <c r="Q2267" s="1" t="s">
        <v>560</v>
      </c>
      <c r="R2267" s="93">
        <v>39.630000000000003</v>
      </c>
      <c r="S2267">
        <v>31.7</v>
      </c>
      <c r="T2267">
        <v>0</v>
      </c>
      <c r="U2267" s="1" t="s">
        <v>651</v>
      </c>
      <c r="V2267" s="1"/>
      <c r="W2267">
        <v>39.630000000000003</v>
      </c>
      <c r="X2267">
        <v>0</v>
      </c>
      <c r="Y2267">
        <v>56972</v>
      </c>
    </row>
    <row r="2268" spans="1:25" ht="15" hidden="1" customHeight="1" x14ac:dyDescent="0.25">
      <c r="A2268" s="1" t="s">
        <v>33</v>
      </c>
      <c r="B2268" s="1" t="s">
        <v>72</v>
      </c>
      <c r="C2268" s="1" t="s">
        <v>172</v>
      </c>
      <c r="D2268">
        <v>5300</v>
      </c>
      <c r="E2268" s="1"/>
      <c r="F2268" s="1" t="s">
        <v>303</v>
      </c>
      <c r="G2268" s="1" t="s">
        <v>172</v>
      </c>
      <c r="H2268" s="1" t="s">
        <v>1396</v>
      </c>
      <c r="I2268">
        <v>2015</v>
      </c>
      <c r="J2268" s="93">
        <v>564795.81999999995</v>
      </c>
      <c r="K2268">
        <v>5</v>
      </c>
      <c r="L2268" s="1" t="s">
        <v>393</v>
      </c>
      <c r="M2268">
        <v>0</v>
      </c>
      <c r="N2268">
        <v>7375</v>
      </c>
      <c r="O2268">
        <v>76.581445000000002</v>
      </c>
      <c r="P2268">
        <v>1</v>
      </c>
      <c r="Q2268" s="1" t="s">
        <v>563</v>
      </c>
      <c r="R2268" s="93">
        <v>641893.48</v>
      </c>
      <c r="S2268">
        <v>3403562.45</v>
      </c>
      <c r="T2268">
        <v>1</v>
      </c>
      <c r="U2268" s="1" t="s">
        <v>825</v>
      </c>
      <c r="V2268" s="1"/>
      <c r="W2268">
        <v>16187.9</v>
      </c>
      <c r="X2268">
        <v>0</v>
      </c>
      <c r="Y2268">
        <v>56990</v>
      </c>
    </row>
    <row r="2269" spans="1:25" ht="15" hidden="1" customHeight="1" x14ac:dyDescent="0.25">
      <c r="A2269" s="1" t="s">
        <v>33</v>
      </c>
      <c r="B2269" s="1" t="s">
        <v>72</v>
      </c>
      <c r="C2269" s="1" t="s">
        <v>172</v>
      </c>
      <c r="D2269">
        <v>5300</v>
      </c>
      <c r="E2269" s="1"/>
      <c r="F2269" s="1" t="s">
        <v>303</v>
      </c>
      <c r="G2269" s="1" t="s">
        <v>172</v>
      </c>
      <c r="H2269" s="1" t="s">
        <v>1405</v>
      </c>
      <c r="I2269">
        <v>2014</v>
      </c>
      <c r="J2269" s="93">
        <v>196.25</v>
      </c>
      <c r="K2269">
        <v>11</v>
      </c>
      <c r="L2269" s="1"/>
      <c r="M2269">
        <v>0</v>
      </c>
      <c r="N2269">
        <v>7375</v>
      </c>
      <c r="O2269">
        <v>2.6609000000000001E-2</v>
      </c>
      <c r="P2269">
        <v>3</v>
      </c>
      <c r="Q2269" s="1" t="s">
        <v>560</v>
      </c>
      <c r="R2269" s="93">
        <v>196.25</v>
      </c>
      <c r="S2269">
        <v>156.99</v>
      </c>
      <c r="T2269">
        <v>1</v>
      </c>
      <c r="U2269" s="1" t="s">
        <v>652</v>
      </c>
      <c r="V2269" s="1"/>
      <c r="W2269">
        <v>196.239</v>
      </c>
      <c r="X2269">
        <v>0</v>
      </c>
      <c r="Y2269">
        <v>56992</v>
      </c>
    </row>
    <row r="2270" spans="1:25" ht="15" hidden="1" customHeight="1" x14ac:dyDescent="0.25">
      <c r="A2270" s="1" t="s">
        <v>33</v>
      </c>
      <c r="B2270" s="1" t="s">
        <v>72</v>
      </c>
      <c r="C2270" s="1" t="s">
        <v>172</v>
      </c>
      <c r="D2270">
        <v>5300</v>
      </c>
      <c r="E2270" s="1"/>
      <c r="F2270" s="1" t="s">
        <v>303</v>
      </c>
      <c r="G2270" s="1" t="s">
        <v>172</v>
      </c>
      <c r="H2270" s="1" t="s">
        <v>1396</v>
      </c>
      <c r="I2270">
        <v>2013</v>
      </c>
      <c r="J2270" s="93">
        <v>854351.42</v>
      </c>
      <c r="K2270">
        <v>12</v>
      </c>
      <c r="L2270" s="1" t="s">
        <v>393</v>
      </c>
      <c r="M2270">
        <v>0</v>
      </c>
      <c r="N2270">
        <v>7375</v>
      </c>
      <c r="O2270">
        <v>115.84268899999999</v>
      </c>
      <c r="P2270">
        <v>1</v>
      </c>
      <c r="Q2270" s="1" t="s">
        <v>563</v>
      </c>
      <c r="R2270" s="93">
        <v>898785.13</v>
      </c>
      <c r="S2270">
        <v>4765.6899999999996</v>
      </c>
      <c r="T2270">
        <v>1</v>
      </c>
      <c r="U2270" s="1" t="s">
        <v>825</v>
      </c>
      <c r="V2270" s="1"/>
      <c r="W2270">
        <v>24487</v>
      </c>
      <c r="X2270">
        <v>0</v>
      </c>
      <c r="Y2270">
        <v>56990</v>
      </c>
    </row>
    <row r="2271" spans="1:25" ht="15" hidden="1" customHeight="1" x14ac:dyDescent="0.25">
      <c r="A2271" s="1" t="s">
        <v>33</v>
      </c>
      <c r="B2271" s="1" t="s">
        <v>72</v>
      </c>
      <c r="C2271" s="1" t="s">
        <v>172</v>
      </c>
      <c r="D2271">
        <v>5300</v>
      </c>
      <c r="E2271" s="1"/>
      <c r="F2271" s="1" t="s">
        <v>303</v>
      </c>
      <c r="G2271" s="1" t="s">
        <v>172</v>
      </c>
      <c r="H2271" s="1" t="s">
        <v>1396</v>
      </c>
      <c r="I2271">
        <v>2012</v>
      </c>
      <c r="J2271" s="93">
        <v>1042673.7</v>
      </c>
      <c r="K2271">
        <v>12</v>
      </c>
      <c r="L2271" s="1" t="s">
        <v>393</v>
      </c>
      <c r="M2271">
        <v>0</v>
      </c>
      <c r="N2271">
        <v>7375</v>
      </c>
      <c r="O2271">
        <v>141.377567</v>
      </c>
      <c r="P2271">
        <v>1</v>
      </c>
      <c r="Q2271" s="1" t="s">
        <v>563</v>
      </c>
      <c r="R2271" s="93">
        <v>1117780.17</v>
      </c>
      <c r="S2271">
        <v>5926.9</v>
      </c>
      <c r="T2271">
        <v>1</v>
      </c>
      <c r="U2271" s="1" t="s">
        <v>825</v>
      </c>
      <c r="V2271" s="1"/>
      <c r="W2271">
        <v>29884.6</v>
      </c>
      <c r="X2271">
        <v>0</v>
      </c>
      <c r="Y2271">
        <v>56990</v>
      </c>
    </row>
    <row r="2272" spans="1:25" ht="15" hidden="1" customHeight="1" x14ac:dyDescent="0.25">
      <c r="A2272" s="1" t="s">
        <v>33</v>
      </c>
      <c r="B2272" s="1" t="s">
        <v>72</v>
      </c>
      <c r="C2272" s="1" t="s">
        <v>172</v>
      </c>
      <c r="D2272">
        <v>5300</v>
      </c>
      <c r="E2272" s="1"/>
      <c r="F2272" s="1" t="s">
        <v>303</v>
      </c>
      <c r="G2272" s="1" t="s">
        <v>172</v>
      </c>
      <c r="H2272" s="1" t="s">
        <v>1405</v>
      </c>
      <c r="I2272">
        <v>2012</v>
      </c>
      <c r="J2272" s="93">
        <v>875725</v>
      </c>
      <c r="K2272">
        <v>12</v>
      </c>
      <c r="L2272" s="1" t="s">
        <v>393</v>
      </c>
      <c r="M2272">
        <v>0</v>
      </c>
      <c r="N2272">
        <v>7375</v>
      </c>
      <c r="O2272">
        <v>118.740762</v>
      </c>
      <c r="P2272">
        <v>1</v>
      </c>
      <c r="Q2272" s="1" t="s">
        <v>562</v>
      </c>
      <c r="R2272" s="93">
        <v>946438.51</v>
      </c>
      <c r="S2272">
        <v>175091.1</v>
      </c>
      <c r="T2272">
        <v>0</v>
      </c>
      <c r="U2272" s="1" t="s">
        <v>825</v>
      </c>
      <c r="V2272" s="1"/>
      <c r="W2272">
        <v>875725</v>
      </c>
      <c r="X2272">
        <v>0</v>
      </c>
      <c r="Y2272">
        <v>56974</v>
      </c>
    </row>
    <row r="2273" spans="1:25" ht="15" hidden="1" customHeight="1" x14ac:dyDescent="0.25">
      <c r="A2273" s="1" t="s">
        <v>33</v>
      </c>
      <c r="B2273" s="1" t="s">
        <v>72</v>
      </c>
      <c r="C2273" s="1" t="s">
        <v>172</v>
      </c>
      <c r="D2273">
        <v>5300</v>
      </c>
      <c r="E2273" s="1"/>
      <c r="F2273" s="1" t="s">
        <v>303</v>
      </c>
      <c r="G2273" s="1" t="s">
        <v>172</v>
      </c>
      <c r="H2273" s="1" t="s">
        <v>1396</v>
      </c>
      <c r="I2273">
        <v>2011</v>
      </c>
      <c r="J2273" s="93">
        <v>1041190.88</v>
      </c>
      <c r="K2273">
        <v>12</v>
      </c>
      <c r="L2273" s="1" t="s">
        <v>393</v>
      </c>
      <c r="M2273">
        <v>0</v>
      </c>
      <c r="N2273">
        <v>7375</v>
      </c>
      <c r="O2273">
        <v>141.17651000000001</v>
      </c>
      <c r="P2273">
        <v>1</v>
      </c>
      <c r="Q2273" s="1" t="s">
        <v>563</v>
      </c>
      <c r="R2273" s="93">
        <v>1153637.7</v>
      </c>
      <c r="S2273">
        <v>6117.04</v>
      </c>
      <c r="T2273">
        <v>1</v>
      </c>
      <c r="U2273" s="1" t="s">
        <v>825</v>
      </c>
      <c r="V2273" s="1"/>
      <c r="W2273">
        <v>29842.1001</v>
      </c>
      <c r="X2273">
        <v>0</v>
      </c>
      <c r="Y2273">
        <v>56990</v>
      </c>
    </row>
    <row r="2274" spans="1:25" ht="15" hidden="1" customHeight="1" x14ac:dyDescent="0.25">
      <c r="A2274" s="1" t="s">
        <v>33</v>
      </c>
      <c r="B2274" s="1" t="s">
        <v>72</v>
      </c>
      <c r="C2274" s="1" t="s">
        <v>172</v>
      </c>
      <c r="D2274">
        <v>5300</v>
      </c>
      <c r="E2274" s="1"/>
      <c r="F2274" s="1" t="s">
        <v>303</v>
      </c>
      <c r="G2274" s="1" t="s">
        <v>172</v>
      </c>
      <c r="H2274" s="1" t="s">
        <v>1405</v>
      </c>
      <c r="I2274">
        <v>2011</v>
      </c>
      <c r="J2274" s="93">
        <v>896780</v>
      </c>
      <c r="K2274">
        <v>12</v>
      </c>
      <c r="L2274" s="1" t="s">
        <v>393</v>
      </c>
      <c r="M2274">
        <v>0</v>
      </c>
      <c r="N2274">
        <v>7375</v>
      </c>
      <c r="O2274">
        <v>121.59563900000001</v>
      </c>
      <c r="P2274">
        <v>1</v>
      </c>
      <c r="Q2274" s="1" t="s">
        <v>562</v>
      </c>
      <c r="R2274" s="93">
        <v>1019671.46</v>
      </c>
      <c r="S2274">
        <v>188639.21</v>
      </c>
      <c r="T2274">
        <v>0</v>
      </c>
      <c r="U2274" s="1" t="s">
        <v>825</v>
      </c>
      <c r="V2274" s="1"/>
      <c r="W2274">
        <v>896779.99199999997</v>
      </c>
      <c r="X2274">
        <v>0</v>
      </c>
      <c r="Y2274">
        <v>56974</v>
      </c>
    </row>
    <row r="2275" spans="1:25" ht="15" hidden="1" customHeight="1" x14ac:dyDescent="0.25">
      <c r="A2275" s="1" t="s">
        <v>33</v>
      </c>
      <c r="B2275" s="1" t="s">
        <v>72</v>
      </c>
      <c r="C2275" s="1" t="s">
        <v>172</v>
      </c>
      <c r="D2275">
        <v>5300</v>
      </c>
      <c r="E2275" s="1"/>
      <c r="F2275" s="1" t="s">
        <v>303</v>
      </c>
      <c r="G2275" s="1" t="s">
        <v>172</v>
      </c>
      <c r="H2275" s="1" t="s">
        <v>1396</v>
      </c>
      <c r="I2275">
        <v>2010</v>
      </c>
      <c r="J2275" s="93">
        <v>1173849.6299999999</v>
      </c>
      <c r="K2275">
        <v>12</v>
      </c>
      <c r="L2275" s="1" t="s">
        <v>393</v>
      </c>
      <c r="M2275">
        <v>0</v>
      </c>
      <c r="N2275">
        <v>7375</v>
      </c>
      <c r="O2275">
        <v>159.163893</v>
      </c>
      <c r="P2275">
        <v>1</v>
      </c>
      <c r="Q2275" s="1" t="s">
        <v>563</v>
      </c>
      <c r="R2275" s="93">
        <v>1050972.77</v>
      </c>
      <c r="S2275">
        <v>5572.65</v>
      </c>
      <c r="T2275">
        <v>1</v>
      </c>
      <c r="U2275" s="1" t="s">
        <v>825</v>
      </c>
      <c r="V2275" s="1"/>
      <c r="W2275">
        <v>33644.300000000003</v>
      </c>
      <c r="X2275">
        <v>0</v>
      </c>
      <c r="Y2275">
        <v>56990</v>
      </c>
    </row>
    <row r="2276" spans="1:25" ht="15" hidden="1" customHeight="1" x14ac:dyDescent="0.25">
      <c r="A2276" s="1" t="s">
        <v>33</v>
      </c>
      <c r="B2276" s="1" t="s">
        <v>72</v>
      </c>
      <c r="C2276" s="1" t="s">
        <v>172</v>
      </c>
      <c r="D2276">
        <v>5300</v>
      </c>
      <c r="E2276" s="1"/>
      <c r="F2276" s="1" t="s">
        <v>303</v>
      </c>
      <c r="G2276" s="1" t="s">
        <v>172</v>
      </c>
      <c r="H2276" s="1" t="s">
        <v>1405</v>
      </c>
      <c r="I2276">
        <v>2010</v>
      </c>
      <c r="J2276" s="93">
        <v>1026830.01</v>
      </c>
      <c r="K2276">
        <v>12</v>
      </c>
      <c r="L2276" s="1" t="s">
        <v>393</v>
      </c>
      <c r="M2276">
        <v>0</v>
      </c>
      <c r="N2276">
        <v>7375</v>
      </c>
      <c r="O2276">
        <v>139.229299</v>
      </c>
      <c r="P2276">
        <v>1</v>
      </c>
      <c r="Q2276" s="1" t="s">
        <v>562</v>
      </c>
      <c r="R2276" s="93">
        <v>897174.01</v>
      </c>
      <c r="S2276">
        <v>165977.18</v>
      </c>
      <c r="T2276">
        <v>0</v>
      </c>
      <c r="U2276" s="1" t="s">
        <v>825</v>
      </c>
      <c r="V2276" s="1"/>
      <c r="W2276">
        <v>1026830.01</v>
      </c>
      <c r="X2276">
        <v>0</v>
      </c>
      <c r="Y2276">
        <v>56974</v>
      </c>
    </row>
    <row r="2277" spans="1:25" ht="15" hidden="1" customHeight="1" x14ac:dyDescent="0.25">
      <c r="A2277" s="1" t="s">
        <v>33</v>
      </c>
      <c r="B2277" s="1" t="s">
        <v>72</v>
      </c>
      <c r="C2277" s="1" t="s">
        <v>172</v>
      </c>
      <c r="D2277">
        <v>5300</v>
      </c>
      <c r="E2277" s="1"/>
      <c r="F2277" s="1" t="s">
        <v>303</v>
      </c>
      <c r="G2277" s="1" t="s">
        <v>172</v>
      </c>
      <c r="H2277" s="1" t="s">
        <v>1405</v>
      </c>
      <c r="I2277">
        <v>2009</v>
      </c>
      <c r="J2277" s="93">
        <v>887170</v>
      </c>
      <c r="K2277">
        <v>12</v>
      </c>
      <c r="L2277" s="1" t="s">
        <v>393</v>
      </c>
      <c r="M2277">
        <v>0</v>
      </c>
      <c r="N2277">
        <v>7375</v>
      </c>
      <c r="O2277">
        <v>120.29260600000001</v>
      </c>
      <c r="P2277">
        <v>1</v>
      </c>
      <c r="Q2277" s="1" t="s">
        <v>562</v>
      </c>
      <c r="R2277" s="93">
        <v>966438</v>
      </c>
      <c r="S2277">
        <v>178791.05</v>
      </c>
      <c r="T2277">
        <v>0</v>
      </c>
      <c r="U2277" s="1" t="s">
        <v>825</v>
      </c>
      <c r="V2277" s="1"/>
      <c r="W2277">
        <v>887170</v>
      </c>
      <c r="X2277">
        <v>0</v>
      </c>
      <c r="Y2277">
        <v>56974</v>
      </c>
    </row>
    <row r="2278" spans="1:25" ht="15" hidden="1" customHeight="1" x14ac:dyDescent="0.25">
      <c r="A2278" s="1" t="s">
        <v>33</v>
      </c>
      <c r="B2278" s="1" t="s">
        <v>72</v>
      </c>
      <c r="C2278" s="1" t="s">
        <v>172</v>
      </c>
      <c r="D2278">
        <v>5300</v>
      </c>
      <c r="E2278" s="1"/>
      <c r="F2278" s="1" t="s">
        <v>303</v>
      </c>
      <c r="G2278" s="1" t="s">
        <v>172</v>
      </c>
      <c r="H2278" s="1" t="s">
        <v>1396</v>
      </c>
      <c r="I2278">
        <v>2009</v>
      </c>
      <c r="J2278" s="93">
        <v>923810.46</v>
      </c>
      <c r="K2278">
        <v>12</v>
      </c>
      <c r="L2278" s="1" t="s">
        <v>393</v>
      </c>
      <c r="M2278">
        <v>0</v>
      </c>
      <c r="N2278">
        <v>7375</v>
      </c>
      <c r="O2278">
        <v>125.26073599999999</v>
      </c>
      <c r="P2278">
        <v>1</v>
      </c>
      <c r="Q2278" s="1" t="s">
        <v>563</v>
      </c>
      <c r="R2278" s="93">
        <v>986834.73</v>
      </c>
      <c r="S2278">
        <v>5232.57</v>
      </c>
      <c r="T2278">
        <v>1</v>
      </c>
      <c r="U2278" s="1" t="s">
        <v>825</v>
      </c>
      <c r="V2278" s="1"/>
      <c r="W2278">
        <v>26477.8</v>
      </c>
      <c r="X2278">
        <v>0</v>
      </c>
      <c r="Y2278">
        <v>56990</v>
      </c>
    </row>
    <row r="2279" spans="1:25" ht="15" hidden="1" customHeight="1" x14ac:dyDescent="0.25">
      <c r="A2279" s="1" t="s">
        <v>33</v>
      </c>
      <c r="B2279" s="1" t="s">
        <v>72</v>
      </c>
      <c r="C2279" s="1" t="s">
        <v>172</v>
      </c>
      <c r="D2279">
        <v>5300</v>
      </c>
      <c r="E2279" s="1"/>
      <c r="F2279" s="1" t="s">
        <v>303</v>
      </c>
      <c r="G2279" s="1" t="s">
        <v>172</v>
      </c>
      <c r="H2279" s="1" t="s">
        <v>1396</v>
      </c>
      <c r="I2279">
        <v>2008</v>
      </c>
      <c r="J2279" s="93">
        <v>902398.47</v>
      </c>
      <c r="K2279">
        <v>12</v>
      </c>
      <c r="L2279" s="1" t="s">
        <v>393</v>
      </c>
      <c r="M2279">
        <v>0</v>
      </c>
      <c r="N2279">
        <v>7375</v>
      </c>
      <c r="O2279">
        <v>122.357455</v>
      </c>
      <c r="P2279">
        <v>1</v>
      </c>
      <c r="Q2279" s="1" t="s">
        <v>563</v>
      </c>
      <c r="R2279" s="93">
        <v>1079800.6100000001</v>
      </c>
      <c r="S2279">
        <v>5725.52</v>
      </c>
      <c r="T2279">
        <v>1</v>
      </c>
      <c r="U2279" s="1" t="s">
        <v>825</v>
      </c>
      <c r="V2279" s="1"/>
      <c r="W2279">
        <v>25864.1</v>
      </c>
      <c r="X2279">
        <v>0</v>
      </c>
      <c r="Y2279">
        <v>56990</v>
      </c>
    </row>
    <row r="2280" spans="1:25" ht="15" hidden="1" customHeight="1" x14ac:dyDescent="0.25">
      <c r="A2280" s="1" t="s">
        <v>33</v>
      </c>
      <c r="B2280" s="1" t="s">
        <v>72</v>
      </c>
      <c r="C2280" s="1" t="s">
        <v>172</v>
      </c>
      <c r="D2280">
        <v>5300</v>
      </c>
      <c r="E2280" s="1"/>
      <c r="F2280" s="1" t="s">
        <v>303</v>
      </c>
      <c r="G2280" s="1" t="s">
        <v>172</v>
      </c>
      <c r="H2280" s="1" t="s">
        <v>1405</v>
      </c>
      <c r="I2280">
        <v>2008</v>
      </c>
      <c r="J2280" s="93">
        <v>842660</v>
      </c>
      <c r="K2280">
        <v>12</v>
      </c>
      <c r="L2280" s="1" t="s">
        <v>393</v>
      </c>
      <c r="M2280">
        <v>0</v>
      </c>
      <c r="N2280">
        <v>7375</v>
      </c>
      <c r="O2280">
        <v>114.25743300000001</v>
      </c>
      <c r="P2280">
        <v>1</v>
      </c>
      <c r="Q2280" s="1" t="s">
        <v>562</v>
      </c>
      <c r="R2280" s="93">
        <v>1018025.54</v>
      </c>
      <c r="S2280">
        <v>188334.74</v>
      </c>
      <c r="T2280">
        <v>0</v>
      </c>
      <c r="U2280" s="1" t="s">
        <v>825</v>
      </c>
      <c r="V2280" s="1"/>
      <c r="W2280">
        <v>842659.99699999997</v>
      </c>
      <c r="X2280">
        <v>0</v>
      </c>
      <c r="Y2280">
        <v>56974</v>
      </c>
    </row>
    <row r="2281" spans="1:25" ht="15" hidden="1" customHeight="1" x14ac:dyDescent="0.25">
      <c r="A2281" s="1" t="s">
        <v>33</v>
      </c>
      <c r="B2281" s="1"/>
      <c r="C2281" s="1" t="s">
        <v>173</v>
      </c>
      <c r="D2281">
        <v>5271</v>
      </c>
      <c r="E2281" s="1"/>
      <c r="F2281" s="1" t="s">
        <v>173</v>
      </c>
      <c r="G2281" s="1"/>
      <c r="H2281" s="1" t="s">
        <v>1396</v>
      </c>
      <c r="I2281">
        <v>2015</v>
      </c>
      <c r="J2281" s="93">
        <v>6178</v>
      </c>
      <c r="K2281">
        <v>5</v>
      </c>
      <c r="L2281" s="1" t="s">
        <v>402</v>
      </c>
      <c r="M2281">
        <v>0</v>
      </c>
      <c r="N2281">
        <v>255</v>
      </c>
      <c r="O2281">
        <v>24.217953000000001</v>
      </c>
      <c r="P2281">
        <v>1</v>
      </c>
      <c r="Q2281" s="1" t="s">
        <v>562</v>
      </c>
      <c r="R2281" s="93">
        <v>7066.08</v>
      </c>
      <c r="S2281">
        <v>1307224.8</v>
      </c>
      <c r="T2281">
        <v>0</v>
      </c>
      <c r="U2281" s="1" t="s">
        <v>826</v>
      </c>
      <c r="V2281" s="1"/>
      <c r="W2281">
        <v>6178</v>
      </c>
      <c r="X2281">
        <v>0</v>
      </c>
      <c r="Y2281">
        <v>56831</v>
      </c>
    </row>
    <row r="2282" spans="1:25" ht="15" hidden="1" customHeight="1" x14ac:dyDescent="0.25">
      <c r="A2282" s="1" t="s">
        <v>33</v>
      </c>
      <c r="B2282" s="1"/>
      <c r="C2282" s="1" t="s">
        <v>173</v>
      </c>
      <c r="D2282">
        <v>5271</v>
      </c>
      <c r="E2282" s="1"/>
      <c r="F2282" s="1" t="s">
        <v>173</v>
      </c>
      <c r="G2282" s="1"/>
      <c r="H2282" s="1" t="s">
        <v>1396</v>
      </c>
      <c r="I2282">
        <v>2015</v>
      </c>
      <c r="J2282" s="93">
        <v>9221.7800000000007</v>
      </c>
      <c r="K2282">
        <v>5</v>
      </c>
      <c r="L2282" s="1" t="s">
        <v>402</v>
      </c>
      <c r="M2282">
        <v>0</v>
      </c>
      <c r="N2282">
        <v>255</v>
      </c>
      <c r="O2282">
        <v>36.149666000000003</v>
      </c>
      <c r="P2282">
        <v>1</v>
      </c>
      <c r="Q2282" s="1" t="s">
        <v>563</v>
      </c>
      <c r="R2282" s="93">
        <v>10476.469999999999</v>
      </c>
      <c r="S2282">
        <v>55550.22</v>
      </c>
      <c r="T2282">
        <v>1</v>
      </c>
      <c r="U2282" s="1" t="s">
        <v>826</v>
      </c>
      <c r="V2282" s="1"/>
      <c r="W2282">
        <v>264.31</v>
      </c>
      <c r="X2282">
        <v>0</v>
      </c>
      <c r="Y2282">
        <v>58278</v>
      </c>
    </row>
    <row r="2283" spans="1:25" ht="15" hidden="1" customHeight="1" x14ac:dyDescent="0.25">
      <c r="A2283" s="1" t="s">
        <v>33</v>
      </c>
      <c r="B2283" s="1"/>
      <c r="C2283" s="1" t="s">
        <v>173</v>
      </c>
      <c r="D2283">
        <v>5271</v>
      </c>
      <c r="E2283" s="1"/>
      <c r="F2283" s="1" t="s">
        <v>173</v>
      </c>
      <c r="G2283" s="1"/>
      <c r="H2283" s="1" t="s">
        <v>1396</v>
      </c>
      <c r="I2283">
        <v>2013</v>
      </c>
      <c r="J2283" s="93">
        <v>16583.22</v>
      </c>
      <c r="K2283">
        <v>12</v>
      </c>
      <c r="L2283" s="1" t="s">
        <v>402</v>
      </c>
      <c r="M2283">
        <v>0</v>
      </c>
      <c r="N2283">
        <v>255</v>
      </c>
      <c r="O2283">
        <v>65.006742000000003</v>
      </c>
      <c r="P2283">
        <v>1</v>
      </c>
      <c r="Q2283" s="1" t="s">
        <v>563</v>
      </c>
      <c r="R2283" s="93">
        <v>18059.46</v>
      </c>
      <c r="S2283">
        <v>95.78</v>
      </c>
      <c r="T2283">
        <v>1</v>
      </c>
      <c r="U2283" s="1" t="s">
        <v>826</v>
      </c>
      <c r="V2283" s="1"/>
      <c r="W2283">
        <v>475.3</v>
      </c>
      <c r="X2283">
        <v>0</v>
      </c>
      <c r="Y2283">
        <v>58278</v>
      </c>
    </row>
    <row r="2284" spans="1:25" ht="15" hidden="1" customHeight="1" x14ac:dyDescent="0.25">
      <c r="A2284" s="1" t="s">
        <v>33</v>
      </c>
      <c r="B2284" s="1"/>
      <c r="C2284" s="1" t="s">
        <v>173</v>
      </c>
      <c r="D2284">
        <v>5271</v>
      </c>
      <c r="E2284" s="1"/>
      <c r="F2284" s="1" t="s">
        <v>173</v>
      </c>
      <c r="G2284" s="1"/>
      <c r="H2284" s="1" t="s">
        <v>1396</v>
      </c>
      <c r="I2284">
        <v>2013</v>
      </c>
      <c r="J2284" s="93">
        <v>10795</v>
      </c>
      <c r="K2284">
        <v>12</v>
      </c>
      <c r="L2284" s="1" t="s">
        <v>402</v>
      </c>
      <c r="M2284">
        <v>0</v>
      </c>
      <c r="N2284">
        <v>255</v>
      </c>
      <c r="O2284">
        <v>42.316738000000001</v>
      </c>
      <c r="P2284">
        <v>1</v>
      </c>
      <c r="Q2284" s="1" t="s">
        <v>562</v>
      </c>
      <c r="R2284" s="93">
        <v>11191.66</v>
      </c>
      <c r="S2284">
        <v>2070.46</v>
      </c>
      <c r="T2284">
        <v>0</v>
      </c>
      <c r="U2284" s="1" t="s">
        <v>826</v>
      </c>
      <c r="V2284" s="1"/>
      <c r="W2284">
        <v>10795</v>
      </c>
      <c r="X2284">
        <v>0</v>
      </c>
      <c r="Y2284">
        <v>56831</v>
      </c>
    </row>
    <row r="2285" spans="1:25" ht="15" hidden="1" customHeight="1" x14ac:dyDescent="0.25">
      <c r="A2285" s="1" t="s">
        <v>33</v>
      </c>
      <c r="B2285" s="1"/>
      <c r="C2285" s="1" t="s">
        <v>173</v>
      </c>
      <c r="D2285">
        <v>5271</v>
      </c>
      <c r="E2285" s="1"/>
      <c r="F2285" s="1" t="s">
        <v>173</v>
      </c>
      <c r="G2285" s="1"/>
      <c r="H2285" s="1" t="s">
        <v>1396</v>
      </c>
      <c r="I2285">
        <v>2012</v>
      </c>
      <c r="J2285" s="93">
        <v>22175.02</v>
      </c>
      <c r="K2285">
        <v>12</v>
      </c>
      <c r="L2285" s="1" t="s">
        <v>402</v>
      </c>
      <c r="M2285">
        <v>0</v>
      </c>
      <c r="N2285">
        <v>255</v>
      </c>
      <c r="O2285">
        <v>86.926772999999997</v>
      </c>
      <c r="P2285">
        <v>1</v>
      </c>
      <c r="Q2285" s="1" t="s">
        <v>563</v>
      </c>
      <c r="R2285" s="93">
        <v>23652</v>
      </c>
      <c r="S2285">
        <v>125.41</v>
      </c>
      <c r="T2285">
        <v>1</v>
      </c>
      <c r="U2285" s="1" t="s">
        <v>826</v>
      </c>
      <c r="V2285" s="1"/>
      <c r="W2285">
        <v>635.57000000000005</v>
      </c>
      <c r="X2285">
        <v>0</v>
      </c>
      <c r="Y2285">
        <v>58278</v>
      </c>
    </row>
    <row r="2286" spans="1:25" ht="15" hidden="1" customHeight="1" x14ac:dyDescent="0.25">
      <c r="A2286" s="1" t="s">
        <v>33</v>
      </c>
      <c r="B2286" s="1"/>
      <c r="C2286" s="1" t="s">
        <v>173</v>
      </c>
      <c r="D2286">
        <v>5271</v>
      </c>
      <c r="E2286" s="1"/>
      <c r="F2286" s="1" t="s">
        <v>173</v>
      </c>
      <c r="G2286" s="1"/>
      <c r="H2286" s="1" t="s">
        <v>1396</v>
      </c>
      <c r="I2286">
        <v>2012</v>
      </c>
      <c r="J2286" s="93">
        <v>14606</v>
      </c>
      <c r="K2286">
        <v>12</v>
      </c>
      <c r="L2286" s="1" t="s">
        <v>402</v>
      </c>
      <c r="M2286">
        <v>0</v>
      </c>
      <c r="N2286">
        <v>255</v>
      </c>
      <c r="O2286">
        <v>57.255977999999999</v>
      </c>
      <c r="P2286">
        <v>1</v>
      </c>
      <c r="Q2286" s="1" t="s">
        <v>562</v>
      </c>
      <c r="R2286" s="93">
        <v>15795.3</v>
      </c>
      <c r="S2286">
        <v>2922.13</v>
      </c>
      <c r="T2286">
        <v>0</v>
      </c>
      <c r="U2286" s="1" t="s">
        <v>826</v>
      </c>
      <c r="V2286" s="1"/>
      <c r="W2286">
        <v>14606</v>
      </c>
      <c r="X2286">
        <v>0</v>
      </c>
      <c r="Y2286">
        <v>56831</v>
      </c>
    </row>
    <row r="2287" spans="1:25" ht="15" hidden="1" customHeight="1" x14ac:dyDescent="0.25">
      <c r="A2287" s="1" t="s">
        <v>33</v>
      </c>
      <c r="B2287" s="1"/>
      <c r="C2287" s="1" t="s">
        <v>173</v>
      </c>
      <c r="D2287">
        <v>5271</v>
      </c>
      <c r="E2287" s="1"/>
      <c r="F2287" s="1" t="s">
        <v>173</v>
      </c>
      <c r="G2287" s="1"/>
      <c r="H2287" s="1" t="s">
        <v>1396</v>
      </c>
      <c r="I2287">
        <v>2011</v>
      </c>
      <c r="J2287" s="93">
        <v>13761</v>
      </c>
      <c r="K2287">
        <v>12</v>
      </c>
      <c r="L2287" s="1" t="s">
        <v>402</v>
      </c>
      <c r="M2287">
        <v>0</v>
      </c>
      <c r="N2287">
        <v>255</v>
      </c>
      <c r="O2287">
        <v>53.943550999999999</v>
      </c>
      <c r="P2287">
        <v>1</v>
      </c>
      <c r="Q2287" s="1" t="s">
        <v>562</v>
      </c>
      <c r="R2287" s="93">
        <v>15833.37</v>
      </c>
      <c r="S2287">
        <v>2929.16</v>
      </c>
      <c r="T2287">
        <v>0</v>
      </c>
      <c r="U2287" s="1" t="s">
        <v>826</v>
      </c>
      <c r="V2287" s="1"/>
      <c r="W2287">
        <v>13761</v>
      </c>
      <c r="X2287">
        <v>0</v>
      </c>
      <c r="Y2287">
        <v>56831</v>
      </c>
    </row>
    <row r="2288" spans="1:25" ht="15" hidden="1" customHeight="1" x14ac:dyDescent="0.25">
      <c r="A2288" s="1" t="s">
        <v>33</v>
      </c>
      <c r="B2288" s="1"/>
      <c r="C2288" s="1" t="s">
        <v>173</v>
      </c>
      <c r="D2288">
        <v>5271</v>
      </c>
      <c r="E2288" s="1"/>
      <c r="F2288" s="1" t="s">
        <v>173</v>
      </c>
      <c r="G2288" s="1"/>
      <c r="H2288" s="1" t="s">
        <v>1396</v>
      </c>
      <c r="I2288">
        <v>2011</v>
      </c>
      <c r="J2288" s="93">
        <v>23829.5</v>
      </c>
      <c r="K2288">
        <v>12</v>
      </c>
      <c r="L2288" s="1" t="s">
        <v>402</v>
      </c>
      <c r="M2288">
        <v>0</v>
      </c>
      <c r="N2288">
        <v>255</v>
      </c>
      <c r="O2288">
        <v>93.412386999999995</v>
      </c>
      <c r="P2288">
        <v>1</v>
      </c>
      <c r="Q2288" s="1" t="s">
        <v>563</v>
      </c>
      <c r="R2288" s="93">
        <v>27709.45</v>
      </c>
      <c r="S2288">
        <v>146.94</v>
      </c>
      <c r="T2288">
        <v>1</v>
      </c>
      <c r="U2288" s="1" t="s">
        <v>826</v>
      </c>
      <c r="V2288" s="1"/>
      <c r="W2288">
        <v>682.99</v>
      </c>
      <c r="X2288">
        <v>0</v>
      </c>
      <c r="Y2288">
        <v>58278</v>
      </c>
    </row>
    <row r="2289" spans="1:25" ht="15" hidden="1" customHeight="1" x14ac:dyDescent="0.25">
      <c r="A2289" s="1" t="s">
        <v>33</v>
      </c>
      <c r="B2289" s="1"/>
      <c r="C2289" s="1" t="s">
        <v>173</v>
      </c>
      <c r="D2289">
        <v>5271</v>
      </c>
      <c r="E2289" s="1"/>
      <c r="F2289" s="1" t="s">
        <v>173</v>
      </c>
      <c r="G2289" s="1"/>
      <c r="H2289" s="1" t="s">
        <v>1396</v>
      </c>
      <c r="I2289">
        <v>2010</v>
      </c>
      <c r="J2289" s="93">
        <v>15504</v>
      </c>
      <c r="K2289">
        <v>12</v>
      </c>
      <c r="L2289" s="1" t="s">
        <v>402</v>
      </c>
      <c r="M2289">
        <v>0</v>
      </c>
      <c r="N2289">
        <v>255</v>
      </c>
      <c r="O2289">
        <v>60.776166000000003</v>
      </c>
      <c r="P2289">
        <v>1</v>
      </c>
      <c r="Q2289" s="1" t="s">
        <v>562</v>
      </c>
      <c r="R2289" s="93">
        <v>13878.19</v>
      </c>
      <c r="S2289">
        <v>2567.46</v>
      </c>
      <c r="T2289">
        <v>0</v>
      </c>
      <c r="U2289" s="1" t="s">
        <v>826</v>
      </c>
      <c r="V2289" s="1"/>
      <c r="W2289">
        <v>15504</v>
      </c>
      <c r="X2289">
        <v>0</v>
      </c>
      <c r="Y2289">
        <v>56831</v>
      </c>
    </row>
    <row r="2290" spans="1:25" ht="15" hidden="1" customHeight="1" x14ac:dyDescent="0.25">
      <c r="A2290" s="1" t="s">
        <v>33</v>
      </c>
      <c r="B2290" s="1"/>
      <c r="C2290" s="1" t="s">
        <v>173</v>
      </c>
      <c r="D2290">
        <v>5271</v>
      </c>
      <c r="E2290" s="1"/>
      <c r="F2290" s="1" t="s">
        <v>173</v>
      </c>
      <c r="G2290" s="1"/>
      <c r="H2290" s="1" t="s">
        <v>1396</v>
      </c>
      <c r="I2290">
        <v>2010</v>
      </c>
      <c r="J2290" s="93">
        <v>26041.88</v>
      </c>
      <c r="K2290">
        <v>12</v>
      </c>
      <c r="L2290" s="1" t="s">
        <v>402</v>
      </c>
      <c r="M2290">
        <v>0</v>
      </c>
      <c r="N2290">
        <v>255</v>
      </c>
      <c r="O2290">
        <v>102.084986</v>
      </c>
      <c r="P2290">
        <v>1</v>
      </c>
      <c r="Q2290" s="1" t="s">
        <v>563</v>
      </c>
      <c r="R2290" s="93">
        <v>23871.35</v>
      </c>
      <c r="S2290">
        <v>126.58</v>
      </c>
      <c r="T2290">
        <v>1</v>
      </c>
      <c r="U2290" s="1" t="s">
        <v>826</v>
      </c>
      <c r="V2290" s="1"/>
      <c r="W2290">
        <v>746.4</v>
      </c>
      <c r="X2290">
        <v>0</v>
      </c>
      <c r="Y2290">
        <v>58278</v>
      </c>
    </row>
    <row r="2291" spans="1:25" ht="15" hidden="1" customHeight="1" x14ac:dyDescent="0.25">
      <c r="A2291" s="1" t="s">
        <v>33</v>
      </c>
      <c r="B2291" s="1"/>
      <c r="C2291" s="1" t="s">
        <v>173</v>
      </c>
      <c r="D2291">
        <v>5271</v>
      </c>
      <c r="E2291" s="1"/>
      <c r="F2291" s="1" t="s">
        <v>173</v>
      </c>
      <c r="G2291" s="1"/>
      <c r="H2291" s="1" t="s">
        <v>1396</v>
      </c>
      <c r="I2291">
        <v>2009</v>
      </c>
      <c r="J2291" s="93">
        <v>23107.63</v>
      </c>
      <c r="K2291">
        <v>12</v>
      </c>
      <c r="L2291" s="1" t="s">
        <v>402</v>
      </c>
      <c r="M2291">
        <v>0</v>
      </c>
      <c r="N2291">
        <v>255</v>
      </c>
      <c r="O2291">
        <v>90.582633999999999</v>
      </c>
      <c r="P2291">
        <v>1</v>
      </c>
      <c r="Q2291" s="1" t="s">
        <v>563</v>
      </c>
      <c r="R2291" s="93">
        <v>25665.66</v>
      </c>
      <c r="S2291">
        <v>136.07</v>
      </c>
      <c r="T2291">
        <v>1</v>
      </c>
      <c r="U2291" s="1" t="s">
        <v>826</v>
      </c>
      <c r="V2291" s="1"/>
      <c r="W2291">
        <v>662.3</v>
      </c>
      <c r="X2291">
        <v>0</v>
      </c>
      <c r="Y2291">
        <v>58278</v>
      </c>
    </row>
    <row r="2292" spans="1:25" ht="15" hidden="1" customHeight="1" x14ac:dyDescent="0.25">
      <c r="A2292" s="1" t="s">
        <v>33</v>
      </c>
      <c r="B2292" s="1"/>
      <c r="C2292" s="1" t="s">
        <v>173</v>
      </c>
      <c r="D2292">
        <v>5271</v>
      </c>
      <c r="E2292" s="1"/>
      <c r="F2292" s="1" t="s">
        <v>173</v>
      </c>
      <c r="G2292" s="1"/>
      <c r="H2292" s="1" t="s">
        <v>1396</v>
      </c>
      <c r="I2292">
        <v>2009</v>
      </c>
      <c r="J2292" s="93">
        <v>17405</v>
      </c>
      <c r="K2292">
        <v>12</v>
      </c>
      <c r="L2292" s="1" t="s">
        <v>402</v>
      </c>
      <c r="M2292">
        <v>0</v>
      </c>
      <c r="N2292">
        <v>255</v>
      </c>
      <c r="O2292">
        <v>68.228144999999998</v>
      </c>
      <c r="P2292">
        <v>1</v>
      </c>
      <c r="Q2292" s="1" t="s">
        <v>562</v>
      </c>
      <c r="R2292" s="93">
        <v>18833.810000000001</v>
      </c>
      <c r="S2292">
        <v>3484.26</v>
      </c>
      <c r="T2292">
        <v>0</v>
      </c>
      <c r="U2292" s="1" t="s">
        <v>826</v>
      </c>
      <c r="V2292" s="1"/>
      <c r="W2292">
        <v>17405</v>
      </c>
      <c r="X2292">
        <v>0</v>
      </c>
      <c r="Y2292">
        <v>56831</v>
      </c>
    </row>
    <row r="2293" spans="1:25" ht="15" hidden="1" customHeight="1" x14ac:dyDescent="0.25">
      <c r="A2293" s="1" t="s">
        <v>33</v>
      </c>
      <c r="B2293" s="1"/>
      <c r="C2293" s="1" t="s">
        <v>173</v>
      </c>
      <c r="D2293">
        <v>5271</v>
      </c>
      <c r="E2293" s="1"/>
      <c r="F2293" s="1" t="s">
        <v>173</v>
      </c>
      <c r="G2293" s="1"/>
      <c r="H2293" s="1" t="s">
        <v>1396</v>
      </c>
      <c r="I2293">
        <v>2008</v>
      </c>
      <c r="J2293" s="93">
        <v>23192.43</v>
      </c>
      <c r="K2293">
        <v>12</v>
      </c>
      <c r="L2293" s="1" t="s">
        <v>402</v>
      </c>
      <c r="M2293">
        <v>0</v>
      </c>
      <c r="N2293">
        <v>255</v>
      </c>
      <c r="O2293">
        <v>90.915052000000003</v>
      </c>
      <c r="P2293">
        <v>1</v>
      </c>
      <c r="Q2293" s="1" t="s">
        <v>563</v>
      </c>
      <c r="R2293" s="93">
        <v>27424.89</v>
      </c>
      <c r="S2293">
        <v>145.41</v>
      </c>
      <c r="T2293">
        <v>1</v>
      </c>
      <c r="U2293" s="1" t="s">
        <v>826</v>
      </c>
      <c r="V2293" s="1"/>
      <c r="W2293">
        <v>664.73</v>
      </c>
      <c r="X2293">
        <v>0</v>
      </c>
      <c r="Y2293">
        <v>58278</v>
      </c>
    </row>
    <row r="2294" spans="1:25" ht="15" hidden="1" customHeight="1" x14ac:dyDescent="0.25">
      <c r="A2294" s="1" t="s">
        <v>33</v>
      </c>
      <c r="B2294" s="1"/>
      <c r="C2294" s="1" t="s">
        <v>173</v>
      </c>
      <c r="D2294">
        <v>5271</v>
      </c>
      <c r="E2294" s="1"/>
      <c r="F2294" s="1" t="s">
        <v>173</v>
      </c>
      <c r="G2294" s="1"/>
      <c r="H2294" s="1" t="s">
        <v>1396</v>
      </c>
      <c r="I2294">
        <v>2008</v>
      </c>
      <c r="J2294" s="93">
        <v>17628</v>
      </c>
      <c r="K2294">
        <v>12</v>
      </c>
      <c r="L2294" s="1" t="s">
        <v>402</v>
      </c>
      <c r="M2294">
        <v>0</v>
      </c>
      <c r="N2294">
        <v>255</v>
      </c>
      <c r="O2294">
        <v>69.102311999999998</v>
      </c>
      <c r="P2294">
        <v>1</v>
      </c>
      <c r="Q2294" s="1" t="s">
        <v>562</v>
      </c>
      <c r="R2294" s="93">
        <v>20646.14</v>
      </c>
      <c r="S2294">
        <v>3819.55</v>
      </c>
      <c r="T2294">
        <v>0</v>
      </c>
      <c r="U2294" s="1" t="s">
        <v>826</v>
      </c>
      <c r="V2294" s="1"/>
      <c r="W2294">
        <v>17628</v>
      </c>
      <c r="X2294">
        <v>0</v>
      </c>
      <c r="Y2294">
        <v>56831</v>
      </c>
    </row>
    <row r="2295" spans="1:25" ht="15" hidden="1" customHeight="1" x14ac:dyDescent="0.25">
      <c r="A2295" s="1" t="s">
        <v>33</v>
      </c>
      <c r="B2295" s="1"/>
      <c r="C2295" s="1" t="s">
        <v>173</v>
      </c>
      <c r="D2295">
        <v>5271</v>
      </c>
      <c r="E2295" s="1"/>
      <c r="F2295" s="1" t="s">
        <v>173</v>
      </c>
      <c r="G2295" s="1" t="s">
        <v>174</v>
      </c>
      <c r="H2295" s="1" t="s">
        <v>1396</v>
      </c>
      <c r="I2295">
        <v>2013</v>
      </c>
      <c r="J2295" s="93">
        <v>10987.37</v>
      </c>
      <c r="K2295">
        <v>12</v>
      </c>
      <c r="L2295" s="1" t="s">
        <v>402</v>
      </c>
      <c r="M2295">
        <v>0</v>
      </c>
      <c r="N2295">
        <v>255</v>
      </c>
      <c r="O2295">
        <v>43.070833999999998</v>
      </c>
      <c r="P2295">
        <v>2</v>
      </c>
      <c r="Q2295" s="1" t="s">
        <v>569</v>
      </c>
      <c r="R2295" s="93">
        <v>10987.37</v>
      </c>
      <c r="S2295">
        <v>3296.18</v>
      </c>
      <c r="T2295">
        <v>0</v>
      </c>
      <c r="U2295" s="1" t="s">
        <v>1035</v>
      </c>
      <c r="V2295" s="1"/>
      <c r="W2295">
        <v>10987.365</v>
      </c>
      <c r="X2295">
        <v>0</v>
      </c>
      <c r="Y2295">
        <v>56830</v>
      </c>
    </row>
    <row r="2296" spans="1:25" ht="15" hidden="1" customHeight="1" x14ac:dyDescent="0.25">
      <c r="A2296" s="1" t="s">
        <v>33</v>
      </c>
      <c r="B2296" s="1"/>
      <c r="C2296" s="1" t="s">
        <v>173</v>
      </c>
      <c r="D2296">
        <v>5271</v>
      </c>
      <c r="E2296" s="1"/>
      <c r="F2296" s="1" t="s">
        <v>173</v>
      </c>
      <c r="G2296" s="1" t="s">
        <v>174</v>
      </c>
      <c r="H2296" s="1" t="s">
        <v>1396</v>
      </c>
      <c r="I2296">
        <v>2012</v>
      </c>
      <c r="J2296" s="93">
        <v>12506.64</v>
      </c>
      <c r="K2296">
        <v>12</v>
      </c>
      <c r="L2296" s="1" t="s">
        <v>402</v>
      </c>
      <c r="M2296">
        <v>0</v>
      </c>
      <c r="N2296">
        <v>255</v>
      </c>
      <c r="O2296">
        <v>49.026420999999999</v>
      </c>
      <c r="P2296">
        <v>2</v>
      </c>
      <c r="Q2296" s="1" t="s">
        <v>569</v>
      </c>
      <c r="R2296" s="93">
        <v>12506.64</v>
      </c>
      <c r="S2296">
        <v>5002.66</v>
      </c>
      <c r="T2296">
        <v>0</v>
      </c>
      <c r="U2296" s="1" t="s">
        <v>1035</v>
      </c>
      <c r="V2296" s="1"/>
      <c r="W2296">
        <v>12506.64</v>
      </c>
      <c r="X2296">
        <v>0</v>
      </c>
      <c r="Y2296">
        <v>56830</v>
      </c>
    </row>
    <row r="2297" spans="1:25" ht="15" hidden="1" customHeight="1" x14ac:dyDescent="0.25">
      <c r="A2297" s="1" t="s">
        <v>33</v>
      </c>
      <c r="B2297" s="1"/>
      <c r="C2297" s="1" t="s">
        <v>173</v>
      </c>
      <c r="D2297">
        <v>5271</v>
      </c>
      <c r="E2297" s="1"/>
      <c r="F2297" s="1" t="s">
        <v>173</v>
      </c>
      <c r="G2297" s="1" t="s">
        <v>174</v>
      </c>
      <c r="H2297" s="1" t="s">
        <v>1396</v>
      </c>
      <c r="I2297">
        <v>2011</v>
      </c>
      <c r="J2297" s="93">
        <v>15065.35</v>
      </c>
      <c r="K2297">
        <v>12</v>
      </c>
      <c r="L2297" s="1" t="s">
        <v>402</v>
      </c>
      <c r="M2297">
        <v>0</v>
      </c>
      <c r="N2297">
        <v>255</v>
      </c>
      <c r="O2297">
        <v>59.056643999999999</v>
      </c>
      <c r="P2297">
        <v>2</v>
      </c>
      <c r="Q2297" s="1" t="s">
        <v>569</v>
      </c>
      <c r="R2297" s="93">
        <v>15065.35</v>
      </c>
      <c r="S2297">
        <v>7065.65</v>
      </c>
      <c r="T2297">
        <v>0</v>
      </c>
      <c r="U2297" s="1" t="s">
        <v>1035</v>
      </c>
      <c r="V2297" s="1"/>
      <c r="W2297">
        <v>15065.34</v>
      </c>
      <c r="X2297">
        <v>0</v>
      </c>
      <c r="Y2297">
        <v>56830</v>
      </c>
    </row>
    <row r="2298" spans="1:25" ht="15" hidden="1" customHeight="1" x14ac:dyDescent="0.25">
      <c r="A2298" s="1" t="s">
        <v>33</v>
      </c>
      <c r="B2298" s="1"/>
      <c r="C2298" s="1" t="s">
        <v>173</v>
      </c>
      <c r="D2298">
        <v>5271</v>
      </c>
      <c r="E2298" s="1"/>
      <c r="F2298" s="1" t="s">
        <v>173</v>
      </c>
      <c r="G2298" s="1" t="s">
        <v>174</v>
      </c>
      <c r="H2298" s="1" t="s">
        <v>1396</v>
      </c>
      <c r="I2298">
        <v>2010</v>
      </c>
      <c r="J2298" s="93">
        <v>12153.38</v>
      </c>
      <c r="K2298">
        <v>12</v>
      </c>
      <c r="L2298" s="1" t="s">
        <v>402</v>
      </c>
      <c r="M2298">
        <v>0</v>
      </c>
      <c r="N2298">
        <v>255</v>
      </c>
      <c r="O2298">
        <v>47.641629999999999</v>
      </c>
      <c r="P2298">
        <v>2</v>
      </c>
      <c r="Q2298" s="1" t="s">
        <v>569</v>
      </c>
      <c r="R2298" s="93">
        <v>12153.38</v>
      </c>
      <c r="S2298">
        <v>5699.94</v>
      </c>
      <c r="T2298">
        <v>0</v>
      </c>
      <c r="U2298" s="1" t="s">
        <v>1035</v>
      </c>
      <c r="V2298" s="1"/>
      <c r="W2298">
        <v>12153.39</v>
      </c>
      <c r="X2298">
        <v>0</v>
      </c>
      <c r="Y2298">
        <v>56830</v>
      </c>
    </row>
    <row r="2299" spans="1:25" ht="15" hidden="1" customHeight="1" x14ac:dyDescent="0.25">
      <c r="A2299" s="1" t="s">
        <v>33</v>
      </c>
      <c r="B2299" s="1"/>
      <c r="C2299" s="1" t="s">
        <v>175</v>
      </c>
      <c r="D2299">
        <v>14590</v>
      </c>
      <c r="E2299" s="1" t="s">
        <v>243</v>
      </c>
      <c r="F2299" s="1" t="s">
        <v>363</v>
      </c>
      <c r="G2299" s="1" t="s">
        <v>175</v>
      </c>
      <c r="H2299" s="1" t="s">
        <v>1396</v>
      </c>
      <c r="I2299">
        <v>2015</v>
      </c>
      <c r="J2299" s="93">
        <v>77361.600000000006</v>
      </c>
      <c r="K2299">
        <v>5</v>
      </c>
      <c r="L2299" s="1"/>
      <c r="M2299">
        <v>0</v>
      </c>
      <c r="N2299">
        <v>1048</v>
      </c>
      <c r="O2299">
        <v>73.811277000000004</v>
      </c>
      <c r="P2299">
        <v>1</v>
      </c>
      <c r="Q2299" s="1" t="s">
        <v>563</v>
      </c>
      <c r="R2299" s="93">
        <v>87396.66</v>
      </c>
      <c r="S2299">
        <v>160.32</v>
      </c>
      <c r="T2299">
        <v>1</v>
      </c>
      <c r="U2299" s="1" t="s">
        <v>829</v>
      </c>
      <c r="V2299" s="1"/>
      <c r="W2299">
        <v>2217.3000000000002</v>
      </c>
      <c r="X2299">
        <v>76944</v>
      </c>
      <c r="Y2299">
        <v>76945</v>
      </c>
    </row>
    <row r="2300" spans="1:25" ht="15" hidden="1" customHeight="1" x14ac:dyDescent="0.25">
      <c r="A2300" s="1" t="s">
        <v>33</v>
      </c>
      <c r="B2300" s="1"/>
      <c r="C2300" s="1" t="s">
        <v>175</v>
      </c>
      <c r="D2300">
        <v>10125</v>
      </c>
      <c r="E2300" s="1"/>
      <c r="F2300" s="1" t="s">
        <v>305</v>
      </c>
      <c r="G2300" s="1" t="s">
        <v>175</v>
      </c>
      <c r="H2300" s="1" t="s">
        <v>1405</v>
      </c>
      <c r="I2300">
        <v>2013</v>
      </c>
      <c r="J2300" s="93">
        <v>183070</v>
      </c>
      <c r="K2300">
        <v>12</v>
      </c>
      <c r="L2300" s="1"/>
      <c r="M2300">
        <v>0</v>
      </c>
      <c r="N2300">
        <v>2818</v>
      </c>
      <c r="O2300">
        <v>64.962208000000004</v>
      </c>
      <c r="P2300">
        <v>1</v>
      </c>
      <c r="Q2300" s="1" t="s">
        <v>562</v>
      </c>
      <c r="R2300" s="93">
        <v>194046.52</v>
      </c>
      <c r="S2300">
        <v>12418.97</v>
      </c>
      <c r="T2300">
        <v>0</v>
      </c>
      <c r="U2300" s="1" t="s">
        <v>831</v>
      </c>
      <c r="V2300" s="1"/>
      <c r="W2300">
        <v>183070</v>
      </c>
      <c r="X2300">
        <v>0</v>
      </c>
      <c r="Y2300">
        <v>76943</v>
      </c>
    </row>
    <row r="2301" spans="1:25" ht="15" hidden="1" customHeight="1" x14ac:dyDescent="0.25">
      <c r="A2301" s="1" t="s">
        <v>33</v>
      </c>
      <c r="B2301" s="1"/>
      <c r="C2301" s="1" t="s">
        <v>175</v>
      </c>
      <c r="D2301">
        <v>10125</v>
      </c>
      <c r="E2301" s="1"/>
      <c r="F2301" s="1" t="s">
        <v>305</v>
      </c>
      <c r="G2301" s="1" t="s">
        <v>175</v>
      </c>
      <c r="H2301" s="1" t="s">
        <v>1405</v>
      </c>
      <c r="I2301">
        <v>2013</v>
      </c>
      <c r="J2301" s="93">
        <v>11426.96</v>
      </c>
      <c r="K2301">
        <v>7</v>
      </c>
      <c r="L2301" s="1" t="s">
        <v>528</v>
      </c>
      <c r="M2301">
        <v>0</v>
      </c>
      <c r="N2301">
        <v>2818</v>
      </c>
      <c r="O2301">
        <v>4.0548450000000003</v>
      </c>
      <c r="P2301">
        <v>2</v>
      </c>
      <c r="Q2301" s="1" t="s">
        <v>569</v>
      </c>
      <c r="R2301" s="93">
        <v>11426.96</v>
      </c>
      <c r="S2301">
        <v>3428.11</v>
      </c>
      <c r="T2301">
        <v>1</v>
      </c>
      <c r="U2301" s="1" t="s">
        <v>1038</v>
      </c>
      <c r="V2301" s="1"/>
      <c r="W2301">
        <v>11426.96</v>
      </c>
      <c r="X2301">
        <v>0</v>
      </c>
      <c r="Y2301">
        <v>93977</v>
      </c>
    </row>
    <row r="2302" spans="1:25" ht="15" hidden="1" customHeight="1" x14ac:dyDescent="0.25">
      <c r="A2302" s="1" t="s">
        <v>33</v>
      </c>
      <c r="B2302" s="1"/>
      <c r="C2302" s="1" t="s">
        <v>175</v>
      </c>
      <c r="D2302">
        <v>14590</v>
      </c>
      <c r="E2302" s="1" t="s">
        <v>243</v>
      </c>
      <c r="F2302" s="1" t="s">
        <v>363</v>
      </c>
      <c r="G2302" s="1" t="s">
        <v>175</v>
      </c>
      <c r="H2302" s="1" t="s">
        <v>1396</v>
      </c>
      <c r="I2302">
        <v>2013</v>
      </c>
      <c r="J2302" s="93">
        <v>233592.06</v>
      </c>
      <c r="K2302">
        <v>12</v>
      </c>
      <c r="L2302" s="1"/>
      <c r="M2302">
        <v>0</v>
      </c>
      <c r="N2302">
        <v>1048</v>
      </c>
      <c r="O2302">
        <v>222.87191999999999</v>
      </c>
      <c r="P2302">
        <v>1</v>
      </c>
      <c r="Q2302" s="1" t="s">
        <v>563</v>
      </c>
      <c r="R2302" s="93">
        <v>241643.64</v>
      </c>
      <c r="S2302">
        <v>443.24</v>
      </c>
      <c r="T2302">
        <v>1</v>
      </c>
      <c r="U2302" s="1" t="s">
        <v>829</v>
      </c>
      <c r="V2302" s="1"/>
      <c r="W2302">
        <v>6695.1</v>
      </c>
      <c r="X2302">
        <v>76944</v>
      </c>
      <c r="Y2302">
        <v>76945</v>
      </c>
    </row>
    <row r="2303" spans="1:25" ht="15" hidden="1" customHeight="1" x14ac:dyDescent="0.25">
      <c r="A2303" s="1" t="s">
        <v>33</v>
      </c>
      <c r="B2303" s="1"/>
      <c r="C2303" s="1" t="s">
        <v>175</v>
      </c>
      <c r="D2303">
        <v>14590</v>
      </c>
      <c r="E2303" s="1" t="s">
        <v>243</v>
      </c>
      <c r="F2303" s="1" t="s">
        <v>363</v>
      </c>
      <c r="G2303" s="1" t="s">
        <v>175</v>
      </c>
      <c r="H2303" s="1" t="s">
        <v>1396</v>
      </c>
      <c r="I2303">
        <v>2012</v>
      </c>
      <c r="J2303" s="93">
        <v>238302.19</v>
      </c>
      <c r="K2303">
        <v>12</v>
      </c>
      <c r="L2303" s="1"/>
      <c r="M2303">
        <v>0</v>
      </c>
      <c r="N2303">
        <v>1048</v>
      </c>
      <c r="O2303">
        <v>227.36589000000001</v>
      </c>
      <c r="P2303">
        <v>1</v>
      </c>
      <c r="Q2303" s="1" t="s">
        <v>563</v>
      </c>
      <c r="R2303" s="93">
        <v>263972.46999999997</v>
      </c>
      <c r="S2303">
        <v>1399.68</v>
      </c>
      <c r="T2303">
        <v>1</v>
      </c>
      <c r="U2303" s="1" t="s">
        <v>829</v>
      </c>
      <c r="V2303" s="1"/>
      <c r="W2303">
        <v>6830.1</v>
      </c>
      <c r="X2303">
        <v>76944</v>
      </c>
      <c r="Y2303">
        <v>76945</v>
      </c>
    </row>
    <row r="2304" spans="1:25" ht="15" hidden="1" customHeight="1" x14ac:dyDescent="0.25">
      <c r="A2304" s="1" t="s">
        <v>33</v>
      </c>
      <c r="B2304" s="1"/>
      <c r="C2304" s="1" t="s">
        <v>175</v>
      </c>
      <c r="D2304">
        <v>14590</v>
      </c>
      <c r="E2304" s="1" t="s">
        <v>243</v>
      </c>
      <c r="F2304" s="1" t="s">
        <v>363</v>
      </c>
      <c r="G2304" s="1" t="s">
        <v>175</v>
      </c>
      <c r="H2304" s="1" t="s">
        <v>1405</v>
      </c>
      <c r="I2304">
        <v>2012</v>
      </c>
      <c r="J2304" s="93">
        <v>149760</v>
      </c>
      <c r="K2304">
        <v>12</v>
      </c>
      <c r="L2304" s="1"/>
      <c r="M2304">
        <v>0</v>
      </c>
      <c r="N2304">
        <v>1048</v>
      </c>
      <c r="O2304">
        <v>142.88712899999999</v>
      </c>
      <c r="P2304">
        <v>1</v>
      </c>
      <c r="Q2304" s="1" t="s">
        <v>562</v>
      </c>
      <c r="R2304" s="93">
        <v>163406.82999999999</v>
      </c>
      <c r="S2304">
        <v>30230.27</v>
      </c>
      <c r="T2304">
        <v>0</v>
      </c>
      <c r="U2304" s="1" t="s">
        <v>829</v>
      </c>
      <c r="V2304" s="1"/>
      <c r="W2304">
        <v>149760</v>
      </c>
      <c r="X2304">
        <v>0</v>
      </c>
      <c r="Y2304">
        <v>76944</v>
      </c>
    </row>
    <row r="2305" spans="1:25" ht="15" hidden="1" customHeight="1" x14ac:dyDescent="0.25">
      <c r="A2305" s="1" t="s">
        <v>33</v>
      </c>
      <c r="B2305" s="1"/>
      <c r="C2305" s="1" t="s">
        <v>175</v>
      </c>
      <c r="D2305">
        <v>14590</v>
      </c>
      <c r="E2305" s="1" t="s">
        <v>243</v>
      </c>
      <c r="F2305" s="1" t="s">
        <v>363</v>
      </c>
      <c r="G2305" s="1" t="s">
        <v>175</v>
      </c>
      <c r="H2305" s="1" t="s">
        <v>1396</v>
      </c>
      <c r="I2305">
        <v>2011</v>
      </c>
      <c r="J2305" s="93">
        <v>178301.85</v>
      </c>
      <c r="K2305">
        <v>12</v>
      </c>
      <c r="L2305" s="1"/>
      <c r="M2305">
        <v>0</v>
      </c>
      <c r="N2305">
        <v>1048</v>
      </c>
      <c r="O2305">
        <v>170.11912000000001</v>
      </c>
      <c r="P2305">
        <v>1</v>
      </c>
      <c r="Q2305" s="1" t="s">
        <v>563</v>
      </c>
      <c r="R2305" s="93">
        <v>198080.21</v>
      </c>
      <c r="S2305">
        <v>1050.29</v>
      </c>
      <c r="T2305">
        <v>1</v>
      </c>
      <c r="U2305" s="1" t="s">
        <v>829</v>
      </c>
      <c r="V2305" s="1"/>
      <c r="W2305">
        <v>5110.3999999999996</v>
      </c>
      <c r="X2305">
        <v>76944</v>
      </c>
      <c r="Y2305">
        <v>76945</v>
      </c>
    </row>
    <row r="2306" spans="1:25" ht="15" hidden="1" customHeight="1" x14ac:dyDescent="0.25">
      <c r="A2306" s="1" t="s">
        <v>33</v>
      </c>
      <c r="B2306" s="1"/>
      <c r="C2306" s="1" t="s">
        <v>175</v>
      </c>
      <c r="D2306">
        <v>14590</v>
      </c>
      <c r="E2306" s="1" t="s">
        <v>243</v>
      </c>
      <c r="F2306" s="1" t="s">
        <v>363</v>
      </c>
      <c r="G2306" s="1" t="s">
        <v>175</v>
      </c>
      <c r="H2306" s="1" t="s">
        <v>1405</v>
      </c>
      <c r="I2306">
        <v>2011</v>
      </c>
      <c r="J2306" s="93">
        <v>138140</v>
      </c>
      <c r="K2306">
        <v>12</v>
      </c>
      <c r="L2306" s="1"/>
      <c r="M2306">
        <v>0</v>
      </c>
      <c r="N2306">
        <v>1048</v>
      </c>
      <c r="O2306">
        <v>131.8004</v>
      </c>
      <c r="P2306">
        <v>1</v>
      </c>
      <c r="Q2306" s="1" t="s">
        <v>562</v>
      </c>
      <c r="R2306" s="93">
        <v>153176.73000000001</v>
      </c>
      <c r="S2306">
        <v>28337.69</v>
      </c>
      <c r="T2306">
        <v>0</v>
      </c>
      <c r="U2306" s="1" t="s">
        <v>829</v>
      </c>
      <c r="V2306" s="1"/>
      <c r="W2306">
        <v>138140</v>
      </c>
      <c r="X2306">
        <v>0</v>
      </c>
      <c r="Y2306">
        <v>76944</v>
      </c>
    </row>
    <row r="2307" spans="1:25" ht="15" hidden="1" customHeight="1" x14ac:dyDescent="0.25">
      <c r="A2307" s="1" t="s">
        <v>33</v>
      </c>
      <c r="B2307" s="1"/>
      <c r="C2307" s="1" t="s">
        <v>175</v>
      </c>
      <c r="D2307">
        <v>14590</v>
      </c>
      <c r="E2307" s="1" t="s">
        <v>243</v>
      </c>
      <c r="F2307" s="1" t="s">
        <v>363</v>
      </c>
      <c r="G2307" s="1" t="s">
        <v>175</v>
      </c>
      <c r="H2307" s="1" t="s">
        <v>1405</v>
      </c>
      <c r="I2307">
        <v>2010</v>
      </c>
      <c r="J2307" s="93">
        <v>156550</v>
      </c>
      <c r="K2307">
        <v>12</v>
      </c>
      <c r="L2307" s="1"/>
      <c r="M2307">
        <v>0</v>
      </c>
      <c r="N2307">
        <v>1048</v>
      </c>
      <c r="O2307">
        <v>149.36551800000001</v>
      </c>
      <c r="P2307">
        <v>1</v>
      </c>
      <c r="Q2307" s="1" t="s">
        <v>562</v>
      </c>
      <c r="R2307" s="93">
        <v>142184.59</v>
      </c>
      <c r="S2307">
        <v>26304.15</v>
      </c>
      <c r="T2307">
        <v>0</v>
      </c>
      <c r="U2307" s="1" t="s">
        <v>829</v>
      </c>
      <c r="V2307" s="1"/>
      <c r="W2307">
        <v>156550</v>
      </c>
      <c r="X2307">
        <v>0</v>
      </c>
      <c r="Y2307">
        <v>76944</v>
      </c>
    </row>
    <row r="2308" spans="1:25" ht="15" hidden="1" customHeight="1" x14ac:dyDescent="0.25">
      <c r="A2308" s="1" t="s">
        <v>33</v>
      </c>
      <c r="B2308" s="1"/>
      <c r="C2308" s="1" t="s">
        <v>175</v>
      </c>
      <c r="D2308">
        <v>14590</v>
      </c>
      <c r="E2308" s="1" t="s">
        <v>243</v>
      </c>
      <c r="F2308" s="1" t="s">
        <v>363</v>
      </c>
      <c r="G2308" s="1" t="s">
        <v>175</v>
      </c>
      <c r="H2308" s="1" t="s">
        <v>1396</v>
      </c>
      <c r="I2308">
        <v>2010</v>
      </c>
      <c r="J2308" s="93">
        <v>259079.18</v>
      </c>
      <c r="K2308">
        <v>12</v>
      </c>
      <c r="L2308" s="1"/>
      <c r="M2308">
        <v>0</v>
      </c>
      <c r="N2308">
        <v>1048</v>
      </c>
      <c r="O2308">
        <v>247.18937099999999</v>
      </c>
      <c r="P2308">
        <v>1</v>
      </c>
      <c r="Q2308" s="1" t="s">
        <v>563</v>
      </c>
      <c r="R2308" s="93">
        <v>236151.86</v>
      </c>
      <c r="S2308">
        <v>1252.18</v>
      </c>
      <c r="T2308">
        <v>1</v>
      </c>
      <c r="U2308" s="1" t="s">
        <v>829</v>
      </c>
      <c r="V2308" s="1"/>
      <c r="W2308">
        <v>7425.6</v>
      </c>
      <c r="X2308">
        <v>76944</v>
      </c>
      <c r="Y2308">
        <v>76945</v>
      </c>
    </row>
    <row r="2309" spans="1:25" ht="15" hidden="1" customHeight="1" x14ac:dyDescent="0.25">
      <c r="A2309" s="1" t="s">
        <v>33</v>
      </c>
      <c r="B2309" s="1"/>
      <c r="C2309" s="1" t="s">
        <v>175</v>
      </c>
      <c r="D2309">
        <v>14590</v>
      </c>
      <c r="E2309" s="1" t="s">
        <v>243</v>
      </c>
      <c r="F2309" s="1" t="s">
        <v>363</v>
      </c>
      <c r="G2309" s="1" t="s">
        <v>175</v>
      </c>
      <c r="H2309" s="1" t="s">
        <v>1405</v>
      </c>
      <c r="I2309">
        <v>2009</v>
      </c>
      <c r="J2309" s="93">
        <v>127880</v>
      </c>
      <c r="K2309">
        <v>12</v>
      </c>
      <c r="L2309" s="1"/>
      <c r="M2309">
        <v>0</v>
      </c>
      <c r="N2309">
        <v>1048</v>
      </c>
      <c r="O2309">
        <v>122.011258</v>
      </c>
      <c r="P2309">
        <v>1</v>
      </c>
      <c r="Q2309" s="1" t="s">
        <v>562</v>
      </c>
      <c r="R2309" s="93">
        <v>136328.07</v>
      </c>
      <c r="S2309">
        <v>25220.69</v>
      </c>
      <c r="T2309">
        <v>0</v>
      </c>
      <c r="U2309" s="1" t="s">
        <v>829</v>
      </c>
      <c r="V2309" s="1"/>
      <c r="W2309">
        <v>127880</v>
      </c>
      <c r="X2309">
        <v>0</v>
      </c>
      <c r="Y2309">
        <v>76944</v>
      </c>
    </row>
    <row r="2310" spans="1:25" ht="15" hidden="1" customHeight="1" x14ac:dyDescent="0.25">
      <c r="A2310" s="1" t="s">
        <v>33</v>
      </c>
      <c r="B2310" s="1"/>
      <c r="C2310" s="1" t="s">
        <v>175</v>
      </c>
      <c r="D2310">
        <v>14590</v>
      </c>
      <c r="E2310" s="1" t="s">
        <v>243</v>
      </c>
      <c r="F2310" s="1" t="s">
        <v>363</v>
      </c>
      <c r="G2310" s="1" t="s">
        <v>175</v>
      </c>
      <c r="H2310" s="1" t="s">
        <v>1396</v>
      </c>
      <c r="I2310">
        <v>2009</v>
      </c>
      <c r="J2310" s="93">
        <v>286251.52000000002</v>
      </c>
      <c r="K2310">
        <v>12</v>
      </c>
      <c r="L2310" s="1"/>
      <c r="M2310">
        <v>0</v>
      </c>
      <c r="N2310">
        <v>1048</v>
      </c>
      <c r="O2310">
        <v>273.11470200000002</v>
      </c>
      <c r="P2310">
        <v>1</v>
      </c>
      <c r="Q2310" s="1" t="s">
        <v>563</v>
      </c>
      <c r="R2310" s="93">
        <v>302876.03000000003</v>
      </c>
      <c r="S2310">
        <v>1605.96</v>
      </c>
      <c r="T2310">
        <v>1</v>
      </c>
      <c r="U2310" s="1" t="s">
        <v>829</v>
      </c>
      <c r="V2310" s="1"/>
      <c r="W2310">
        <v>8204.4</v>
      </c>
      <c r="X2310">
        <v>76944</v>
      </c>
      <c r="Y2310">
        <v>76945</v>
      </c>
    </row>
    <row r="2311" spans="1:25" ht="15" hidden="1" customHeight="1" x14ac:dyDescent="0.25">
      <c r="A2311" s="1" t="s">
        <v>33</v>
      </c>
      <c r="B2311" s="1"/>
      <c r="C2311" s="1" t="s">
        <v>175</v>
      </c>
      <c r="D2311">
        <v>14590</v>
      </c>
      <c r="E2311" s="1" t="s">
        <v>243</v>
      </c>
      <c r="F2311" s="1" t="s">
        <v>363</v>
      </c>
      <c r="G2311" s="1" t="s">
        <v>175</v>
      </c>
      <c r="H2311" s="1" t="s">
        <v>1396</v>
      </c>
      <c r="I2311">
        <v>2008</v>
      </c>
      <c r="J2311" s="93">
        <v>213045.33</v>
      </c>
      <c r="K2311">
        <v>12</v>
      </c>
      <c r="L2311" s="1"/>
      <c r="M2311">
        <v>0</v>
      </c>
      <c r="N2311">
        <v>1048</v>
      </c>
      <c r="O2311">
        <v>203.26813200000001</v>
      </c>
      <c r="P2311">
        <v>1</v>
      </c>
      <c r="Q2311" s="1" t="s">
        <v>563</v>
      </c>
      <c r="R2311" s="93">
        <v>243959.08</v>
      </c>
      <c r="S2311">
        <v>1293.56</v>
      </c>
      <c r="T2311">
        <v>1</v>
      </c>
      <c r="U2311" s="1" t="s">
        <v>829</v>
      </c>
      <c r="V2311" s="1"/>
      <c r="W2311">
        <v>6106.2</v>
      </c>
      <c r="X2311">
        <v>76944</v>
      </c>
      <c r="Y2311">
        <v>76945</v>
      </c>
    </row>
    <row r="2312" spans="1:25" ht="15" hidden="1" customHeight="1" x14ac:dyDescent="0.25">
      <c r="A2312" s="1" t="s">
        <v>33</v>
      </c>
      <c r="B2312" s="1"/>
      <c r="C2312" s="1" t="s">
        <v>175</v>
      </c>
      <c r="D2312">
        <v>14590</v>
      </c>
      <c r="E2312" s="1" t="s">
        <v>243</v>
      </c>
      <c r="F2312" s="1" t="s">
        <v>363</v>
      </c>
      <c r="G2312" s="1" t="s">
        <v>175</v>
      </c>
      <c r="H2312" s="1" t="s">
        <v>1405</v>
      </c>
      <c r="I2312">
        <v>2008</v>
      </c>
      <c r="J2312" s="93">
        <v>18208.48</v>
      </c>
      <c r="K2312">
        <v>1</v>
      </c>
      <c r="L2312" s="1" t="s">
        <v>437</v>
      </c>
      <c r="M2312">
        <v>0</v>
      </c>
      <c r="N2312">
        <v>1048</v>
      </c>
      <c r="O2312">
        <v>17.372845999999999</v>
      </c>
      <c r="P2312">
        <v>1</v>
      </c>
      <c r="Q2312" s="1" t="s">
        <v>565</v>
      </c>
      <c r="R2312" s="93">
        <v>23348.68</v>
      </c>
      <c r="S2312">
        <v>4.32</v>
      </c>
      <c r="T2312">
        <v>0</v>
      </c>
      <c r="U2312" s="1" t="s">
        <v>830</v>
      </c>
      <c r="V2312" s="1"/>
      <c r="W2312">
        <v>18.208480000000002</v>
      </c>
      <c r="X2312">
        <v>0</v>
      </c>
      <c r="Y2312">
        <v>78918</v>
      </c>
    </row>
    <row r="2313" spans="1:25" ht="15" hidden="1" customHeight="1" x14ac:dyDescent="0.25">
      <c r="A2313" s="1" t="s">
        <v>33</v>
      </c>
      <c r="B2313" s="1"/>
      <c r="C2313" s="1" t="s">
        <v>175</v>
      </c>
      <c r="D2313">
        <v>14590</v>
      </c>
      <c r="E2313" s="1" t="s">
        <v>243</v>
      </c>
      <c r="F2313" s="1" t="s">
        <v>363</v>
      </c>
      <c r="G2313" s="1" t="s">
        <v>175</v>
      </c>
      <c r="H2313" s="1" t="s">
        <v>1405</v>
      </c>
      <c r="I2313">
        <v>2008</v>
      </c>
      <c r="J2313" s="93">
        <v>100480</v>
      </c>
      <c r="K2313">
        <v>12</v>
      </c>
      <c r="L2313" s="1"/>
      <c r="M2313">
        <v>0</v>
      </c>
      <c r="N2313">
        <v>1048</v>
      </c>
      <c r="O2313">
        <v>95.868713999999997</v>
      </c>
      <c r="P2313">
        <v>1</v>
      </c>
      <c r="Q2313" s="1" t="s">
        <v>562</v>
      </c>
      <c r="R2313" s="93">
        <v>114467.23</v>
      </c>
      <c r="S2313">
        <v>21176.45</v>
      </c>
      <c r="T2313">
        <v>0</v>
      </c>
      <c r="U2313" s="1" t="s">
        <v>829</v>
      </c>
      <c r="V2313" s="1"/>
      <c r="W2313">
        <v>100480</v>
      </c>
      <c r="X2313">
        <v>0</v>
      </c>
      <c r="Y2313">
        <v>76944</v>
      </c>
    </row>
    <row r="2314" spans="1:25" ht="15" hidden="1" customHeight="1" x14ac:dyDescent="0.25">
      <c r="A2314" s="1" t="s">
        <v>33</v>
      </c>
      <c r="B2314" s="1"/>
      <c r="C2314" s="1" t="s">
        <v>175</v>
      </c>
      <c r="D2314">
        <v>10125</v>
      </c>
      <c r="E2314" s="1"/>
      <c r="F2314" s="1" t="s">
        <v>305</v>
      </c>
      <c r="G2314" s="1" t="s">
        <v>175</v>
      </c>
      <c r="H2314" s="1" t="s">
        <v>1405</v>
      </c>
      <c r="I2314">
        <v>2013</v>
      </c>
      <c r="J2314" s="93">
        <v>120473.14</v>
      </c>
      <c r="K2314">
        <v>12</v>
      </c>
      <c r="L2314" s="1"/>
      <c r="M2314">
        <v>0</v>
      </c>
      <c r="N2314">
        <v>2818</v>
      </c>
      <c r="O2314">
        <v>42.749774000000002</v>
      </c>
      <c r="P2314">
        <v>2</v>
      </c>
      <c r="Q2314" s="1" t="s">
        <v>569</v>
      </c>
      <c r="R2314" s="93">
        <v>120473.14</v>
      </c>
      <c r="S2314">
        <v>36141.94</v>
      </c>
      <c r="T2314">
        <v>0</v>
      </c>
      <c r="U2314" s="1" t="s">
        <v>1037</v>
      </c>
      <c r="V2314" s="1" t="s">
        <v>1310</v>
      </c>
      <c r="W2314">
        <v>120473.13</v>
      </c>
      <c r="X2314">
        <v>0</v>
      </c>
      <c r="Y2314">
        <v>76941</v>
      </c>
    </row>
    <row r="2315" spans="1:25" ht="15" hidden="1" customHeight="1" x14ac:dyDescent="0.25">
      <c r="A2315" s="1" t="s">
        <v>33</v>
      </c>
      <c r="B2315" s="1"/>
      <c r="C2315" s="1" t="s">
        <v>175</v>
      </c>
      <c r="D2315">
        <v>10125</v>
      </c>
      <c r="E2315" s="1"/>
      <c r="F2315" s="1" t="s">
        <v>305</v>
      </c>
      <c r="G2315" s="1" t="s">
        <v>175</v>
      </c>
      <c r="H2315" s="1" t="s">
        <v>1396</v>
      </c>
      <c r="I2315">
        <v>2015</v>
      </c>
      <c r="J2315" s="93">
        <v>160602.16</v>
      </c>
      <c r="K2315">
        <v>5</v>
      </c>
      <c r="L2315" s="1"/>
      <c r="M2315">
        <v>0</v>
      </c>
      <c r="N2315">
        <v>2818</v>
      </c>
      <c r="O2315">
        <v>56.989516999999999</v>
      </c>
      <c r="P2315">
        <v>1</v>
      </c>
      <c r="Q2315" s="1" t="s">
        <v>563</v>
      </c>
      <c r="R2315" s="93">
        <v>184596.78</v>
      </c>
      <c r="S2315">
        <v>338.61</v>
      </c>
      <c r="T2315">
        <v>1</v>
      </c>
      <c r="U2315" s="1" t="s">
        <v>831</v>
      </c>
      <c r="V2315" s="1"/>
      <c r="W2315">
        <v>4603.1000000000004</v>
      </c>
      <c r="X2315">
        <v>76943</v>
      </c>
      <c r="Y2315">
        <v>76946</v>
      </c>
    </row>
    <row r="2316" spans="1:25" ht="15" hidden="1" customHeight="1" x14ac:dyDescent="0.25">
      <c r="A2316" s="1" t="s">
        <v>33</v>
      </c>
      <c r="B2316" s="1"/>
      <c r="C2316" s="1" t="s">
        <v>175</v>
      </c>
      <c r="D2316">
        <v>10125</v>
      </c>
      <c r="E2316" s="1"/>
      <c r="F2316" s="1" t="s">
        <v>305</v>
      </c>
      <c r="G2316" s="1" t="s">
        <v>175</v>
      </c>
      <c r="H2316" s="1" t="s">
        <v>1405</v>
      </c>
      <c r="I2316">
        <v>2013</v>
      </c>
      <c r="J2316" s="93">
        <v>19048.16</v>
      </c>
      <c r="K2316">
        <v>5</v>
      </c>
      <c r="L2316" s="1" t="s">
        <v>528</v>
      </c>
      <c r="M2316">
        <v>0</v>
      </c>
      <c r="N2316">
        <v>2818</v>
      </c>
      <c r="O2316">
        <v>6.75922</v>
      </c>
      <c r="P2316">
        <v>2</v>
      </c>
      <c r="Q2316" s="1" t="s">
        <v>569</v>
      </c>
      <c r="R2316" s="93">
        <v>19048.16</v>
      </c>
      <c r="S2316">
        <v>5714.44</v>
      </c>
      <c r="T2316">
        <v>1</v>
      </c>
      <c r="U2316" s="1" t="s">
        <v>1039</v>
      </c>
      <c r="V2316" s="1"/>
      <c r="W2316">
        <v>19048.149990000002</v>
      </c>
      <c r="X2316">
        <v>0</v>
      </c>
      <c r="Y2316">
        <v>94453</v>
      </c>
    </row>
    <row r="2317" spans="1:25" ht="15" hidden="1" customHeight="1" x14ac:dyDescent="0.25">
      <c r="A2317" s="1" t="s">
        <v>33</v>
      </c>
      <c r="B2317" s="1"/>
      <c r="C2317" s="1" t="s">
        <v>175</v>
      </c>
      <c r="D2317">
        <v>10125</v>
      </c>
      <c r="E2317" s="1"/>
      <c r="F2317" s="1" t="s">
        <v>305</v>
      </c>
      <c r="G2317" s="1" t="s">
        <v>175</v>
      </c>
      <c r="H2317" s="1" t="s">
        <v>1396</v>
      </c>
      <c r="I2317">
        <v>2013</v>
      </c>
      <c r="J2317" s="93">
        <v>557036.30000000005</v>
      </c>
      <c r="K2317">
        <v>12</v>
      </c>
      <c r="L2317" s="1"/>
      <c r="M2317">
        <v>0</v>
      </c>
      <c r="N2317">
        <v>2818</v>
      </c>
      <c r="O2317">
        <v>197.66378</v>
      </c>
      <c r="P2317">
        <v>1</v>
      </c>
      <c r="Q2317" s="1" t="s">
        <v>563</v>
      </c>
      <c r="R2317" s="93">
        <v>702245.57</v>
      </c>
      <c r="S2317">
        <v>1288.1600000000001</v>
      </c>
      <c r="T2317">
        <v>1</v>
      </c>
      <c r="U2317" s="1" t="s">
        <v>831</v>
      </c>
      <c r="V2317" s="1"/>
      <c r="W2317">
        <v>15965.5</v>
      </c>
      <c r="X2317">
        <v>76943</v>
      </c>
      <c r="Y2317">
        <v>76946</v>
      </c>
    </row>
    <row r="2318" spans="1:25" ht="15" hidden="1" customHeight="1" x14ac:dyDescent="0.25">
      <c r="A2318" s="1" t="s">
        <v>33</v>
      </c>
      <c r="B2318" s="1"/>
      <c r="C2318" s="1" t="s">
        <v>175</v>
      </c>
      <c r="D2318">
        <v>10125</v>
      </c>
      <c r="E2318" s="1"/>
      <c r="F2318" s="1" t="s">
        <v>305</v>
      </c>
      <c r="G2318" s="1" t="s">
        <v>175</v>
      </c>
      <c r="H2318" s="1" t="s">
        <v>1405</v>
      </c>
      <c r="I2318">
        <v>2012</v>
      </c>
      <c r="J2318" s="93">
        <v>191850</v>
      </c>
      <c r="K2318">
        <v>12</v>
      </c>
      <c r="L2318" s="1"/>
      <c r="M2318">
        <v>0</v>
      </c>
      <c r="N2318">
        <v>2818</v>
      </c>
      <c r="O2318">
        <v>68.077781999999999</v>
      </c>
      <c r="P2318">
        <v>1</v>
      </c>
      <c r="Q2318" s="1" t="s">
        <v>562</v>
      </c>
      <c r="R2318" s="93">
        <v>203362.34</v>
      </c>
      <c r="S2318">
        <v>37622.03</v>
      </c>
      <c r="T2318">
        <v>0</v>
      </c>
      <c r="U2318" s="1" t="s">
        <v>831</v>
      </c>
      <c r="V2318" s="1"/>
      <c r="W2318">
        <v>191850</v>
      </c>
      <c r="X2318">
        <v>0</v>
      </c>
      <c r="Y2318">
        <v>76943</v>
      </c>
    </row>
    <row r="2319" spans="1:25" ht="15" hidden="1" customHeight="1" x14ac:dyDescent="0.25">
      <c r="A2319" s="1" t="s">
        <v>33</v>
      </c>
      <c r="B2319" s="1"/>
      <c r="C2319" s="1" t="s">
        <v>175</v>
      </c>
      <c r="D2319">
        <v>10125</v>
      </c>
      <c r="E2319" s="1"/>
      <c r="F2319" s="1" t="s">
        <v>305</v>
      </c>
      <c r="G2319" s="1" t="s">
        <v>175</v>
      </c>
      <c r="H2319" s="1" t="s">
        <v>1396</v>
      </c>
      <c r="I2319">
        <v>2012</v>
      </c>
      <c r="J2319" s="93">
        <v>541004.32999999996</v>
      </c>
      <c r="K2319">
        <v>12</v>
      </c>
      <c r="L2319" s="1"/>
      <c r="M2319">
        <v>0</v>
      </c>
      <c r="N2319">
        <v>2818</v>
      </c>
      <c r="O2319">
        <v>191.974851</v>
      </c>
      <c r="P2319">
        <v>1</v>
      </c>
      <c r="Q2319" s="1" t="s">
        <v>563</v>
      </c>
      <c r="R2319" s="93">
        <v>591086.09</v>
      </c>
      <c r="S2319">
        <v>3134.16</v>
      </c>
      <c r="T2319">
        <v>1</v>
      </c>
      <c r="U2319" s="1" t="s">
        <v>831</v>
      </c>
      <c r="V2319" s="1"/>
      <c r="W2319">
        <v>15506</v>
      </c>
      <c r="X2319">
        <v>76943</v>
      </c>
      <c r="Y2319">
        <v>76946</v>
      </c>
    </row>
    <row r="2320" spans="1:25" ht="15" hidden="1" customHeight="1" x14ac:dyDescent="0.25">
      <c r="A2320" s="1" t="s">
        <v>33</v>
      </c>
      <c r="B2320" s="1"/>
      <c r="C2320" s="1" t="s">
        <v>175</v>
      </c>
      <c r="D2320">
        <v>10125</v>
      </c>
      <c r="E2320" s="1"/>
      <c r="F2320" s="1" t="s">
        <v>305</v>
      </c>
      <c r="G2320" s="1" t="s">
        <v>175</v>
      </c>
      <c r="H2320" s="1" t="s">
        <v>1405</v>
      </c>
      <c r="I2320">
        <v>2011</v>
      </c>
      <c r="J2320" s="93">
        <v>184320</v>
      </c>
      <c r="K2320">
        <v>12</v>
      </c>
      <c r="L2320" s="1"/>
      <c r="M2320">
        <v>0</v>
      </c>
      <c r="N2320">
        <v>2818</v>
      </c>
      <c r="O2320">
        <v>65.405769000000006</v>
      </c>
      <c r="P2320">
        <v>1</v>
      </c>
      <c r="Q2320" s="1" t="s">
        <v>562</v>
      </c>
      <c r="R2320" s="93">
        <v>203734.3</v>
      </c>
      <c r="S2320">
        <v>37690.839999999997</v>
      </c>
      <c r="T2320">
        <v>0</v>
      </c>
      <c r="U2320" s="1" t="s">
        <v>831</v>
      </c>
      <c r="V2320" s="1"/>
      <c r="W2320">
        <v>184320</v>
      </c>
      <c r="X2320">
        <v>0</v>
      </c>
      <c r="Y2320">
        <v>76943</v>
      </c>
    </row>
    <row r="2321" spans="1:25" ht="15" hidden="1" customHeight="1" x14ac:dyDescent="0.25">
      <c r="A2321" s="1" t="s">
        <v>33</v>
      </c>
      <c r="B2321" s="1"/>
      <c r="C2321" s="1" t="s">
        <v>175</v>
      </c>
      <c r="D2321">
        <v>10125</v>
      </c>
      <c r="E2321" s="1"/>
      <c r="F2321" s="1" t="s">
        <v>305</v>
      </c>
      <c r="G2321" s="1" t="s">
        <v>175</v>
      </c>
      <c r="H2321" s="1" t="s">
        <v>1396</v>
      </c>
      <c r="I2321">
        <v>2011</v>
      </c>
      <c r="J2321" s="93">
        <v>255586.68</v>
      </c>
      <c r="K2321">
        <v>12</v>
      </c>
      <c r="L2321" s="1"/>
      <c r="M2321">
        <v>0</v>
      </c>
      <c r="N2321">
        <v>2818</v>
      </c>
      <c r="O2321">
        <v>90.694680000000005</v>
      </c>
      <c r="P2321">
        <v>1</v>
      </c>
      <c r="Q2321" s="1" t="s">
        <v>563</v>
      </c>
      <c r="R2321" s="93">
        <v>280346.83</v>
      </c>
      <c r="S2321">
        <v>1486.51</v>
      </c>
      <c r="T2321">
        <v>1</v>
      </c>
      <c r="U2321" s="1" t="s">
        <v>831</v>
      </c>
      <c r="V2321" s="1"/>
      <c r="W2321">
        <v>7325.5</v>
      </c>
      <c r="X2321">
        <v>76943</v>
      </c>
      <c r="Y2321">
        <v>76946</v>
      </c>
    </row>
    <row r="2322" spans="1:25" ht="15" hidden="1" customHeight="1" x14ac:dyDescent="0.25">
      <c r="A2322" s="1" t="s">
        <v>33</v>
      </c>
      <c r="B2322" s="1"/>
      <c r="C2322" s="1" t="s">
        <v>175</v>
      </c>
      <c r="D2322">
        <v>10125</v>
      </c>
      <c r="E2322" s="1"/>
      <c r="F2322" s="1" t="s">
        <v>305</v>
      </c>
      <c r="G2322" s="1" t="s">
        <v>175</v>
      </c>
      <c r="H2322" s="1" t="s">
        <v>1405</v>
      </c>
      <c r="I2322">
        <v>2010</v>
      </c>
      <c r="J2322" s="93">
        <v>251470</v>
      </c>
      <c r="K2322">
        <v>12</v>
      </c>
      <c r="L2322" s="1"/>
      <c r="M2322">
        <v>0</v>
      </c>
      <c r="N2322">
        <v>2818</v>
      </c>
      <c r="O2322">
        <v>89.233879999999999</v>
      </c>
      <c r="P2322">
        <v>1</v>
      </c>
      <c r="Q2322" s="1" t="s">
        <v>562</v>
      </c>
      <c r="R2322" s="93">
        <v>227143.05</v>
      </c>
      <c r="S2322">
        <v>42021.47</v>
      </c>
      <c r="T2322">
        <v>0</v>
      </c>
      <c r="U2322" s="1" t="s">
        <v>831</v>
      </c>
      <c r="V2322" s="1"/>
      <c r="W2322">
        <v>251470</v>
      </c>
      <c r="X2322">
        <v>0</v>
      </c>
      <c r="Y2322">
        <v>76943</v>
      </c>
    </row>
    <row r="2323" spans="1:25" ht="15" hidden="1" customHeight="1" x14ac:dyDescent="0.25">
      <c r="A2323" s="1" t="s">
        <v>33</v>
      </c>
      <c r="B2323" s="1"/>
      <c r="C2323" s="1" t="s">
        <v>175</v>
      </c>
      <c r="D2323">
        <v>10125</v>
      </c>
      <c r="E2323" s="1"/>
      <c r="F2323" s="1" t="s">
        <v>305</v>
      </c>
      <c r="G2323" s="1" t="s">
        <v>175</v>
      </c>
      <c r="H2323" s="1" t="s">
        <v>1396</v>
      </c>
      <c r="I2323">
        <v>2010</v>
      </c>
      <c r="J2323" s="93">
        <v>390680.78</v>
      </c>
      <c r="K2323">
        <v>12</v>
      </c>
      <c r="L2323" s="1"/>
      <c r="M2323">
        <v>0</v>
      </c>
      <c r="N2323">
        <v>2818</v>
      </c>
      <c r="O2323">
        <v>138.632688</v>
      </c>
      <c r="P2323">
        <v>1</v>
      </c>
      <c r="Q2323" s="1" t="s">
        <v>563</v>
      </c>
      <c r="R2323" s="93">
        <v>354522.77</v>
      </c>
      <c r="S2323">
        <v>1879.81</v>
      </c>
      <c r="T2323">
        <v>1</v>
      </c>
      <c r="U2323" s="1" t="s">
        <v>831</v>
      </c>
      <c r="V2323" s="1"/>
      <c r="W2323">
        <v>11197.5</v>
      </c>
      <c r="X2323">
        <v>76943</v>
      </c>
      <c r="Y2323">
        <v>76946</v>
      </c>
    </row>
    <row r="2324" spans="1:25" ht="15" hidden="1" customHeight="1" x14ac:dyDescent="0.25">
      <c r="A2324" s="1" t="s">
        <v>33</v>
      </c>
      <c r="B2324" s="1"/>
      <c r="C2324" s="1" t="s">
        <v>175</v>
      </c>
      <c r="D2324">
        <v>10125</v>
      </c>
      <c r="E2324" s="1"/>
      <c r="F2324" s="1" t="s">
        <v>305</v>
      </c>
      <c r="G2324" s="1" t="s">
        <v>175</v>
      </c>
      <c r="H2324" s="1" t="s">
        <v>1405</v>
      </c>
      <c r="I2324">
        <v>2009</v>
      </c>
      <c r="J2324" s="93">
        <v>191570</v>
      </c>
      <c r="K2324">
        <v>12</v>
      </c>
      <c r="L2324" s="1"/>
      <c r="M2324">
        <v>0</v>
      </c>
      <c r="N2324">
        <v>2818</v>
      </c>
      <c r="O2324">
        <v>67.978425000000001</v>
      </c>
      <c r="P2324">
        <v>1</v>
      </c>
      <c r="Q2324" s="1" t="s">
        <v>562</v>
      </c>
      <c r="R2324" s="93">
        <v>203762.24</v>
      </c>
      <c r="S2324">
        <v>37696.03</v>
      </c>
      <c r="T2324">
        <v>0</v>
      </c>
      <c r="U2324" s="1" t="s">
        <v>831</v>
      </c>
      <c r="V2324" s="1"/>
      <c r="W2324">
        <v>191570</v>
      </c>
      <c r="X2324">
        <v>0</v>
      </c>
      <c r="Y2324">
        <v>76943</v>
      </c>
    </row>
    <row r="2325" spans="1:25" ht="15" hidden="1" customHeight="1" x14ac:dyDescent="0.25">
      <c r="A2325" s="1" t="s">
        <v>33</v>
      </c>
      <c r="B2325" s="1"/>
      <c r="C2325" s="1" t="s">
        <v>175</v>
      </c>
      <c r="D2325">
        <v>10125</v>
      </c>
      <c r="E2325" s="1"/>
      <c r="F2325" s="1" t="s">
        <v>305</v>
      </c>
      <c r="G2325" s="1" t="s">
        <v>175</v>
      </c>
      <c r="H2325" s="1" t="s">
        <v>1396</v>
      </c>
      <c r="I2325">
        <v>2009</v>
      </c>
      <c r="J2325" s="93">
        <v>306222.55</v>
      </c>
      <c r="K2325">
        <v>12</v>
      </c>
      <c r="L2325" s="1"/>
      <c r="M2325">
        <v>0</v>
      </c>
      <c r="N2325">
        <v>2818</v>
      </c>
      <c r="O2325">
        <v>108.662769</v>
      </c>
      <c r="P2325">
        <v>1</v>
      </c>
      <c r="Q2325" s="1" t="s">
        <v>563</v>
      </c>
      <c r="R2325" s="93">
        <v>325615.57</v>
      </c>
      <c r="S2325">
        <v>1726.53</v>
      </c>
      <c r="T2325">
        <v>1</v>
      </c>
      <c r="U2325" s="1" t="s">
        <v>831</v>
      </c>
      <c r="V2325" s="1"/>
      <c r="W2325">
        <v>8776.7999999999993</v>
      </c>
      <c r="X2325">
        <v>76943</v>
      </c>
      <c r="Y2325">
        <v>76946</v>
      </c>
    </row>
    <row r="2326" spans="1:25" ht="15" hidden="1" customHeight="1" x14ac:dyDescent="0.25">
      <c r="A2326" s="1" t="s">
        <v>33</v>
      </c>
      <c r="B2326" s="1"/>
      <c r="C2326" s="1" t="s">
        <v>175</v>
      </c>
      <c r="D2326">
        <v>10125</v>
      </c>
      <c r="E2326" s="1"/>
      <c r="F2326" s="1" t="s">
        <v>305</v>
      </c>
      <c r="G2326" s="1" t="s">
        <v>175</v>
      </c>
      <c r="H2326" s="1" t="s">
        <v>1405</v>
      </c>
      <c r="I2326">
        <v>2008</v>
      </c>
      <c r="J2326" s="93">
        <v>23621.82</v>
      </c>
      <c r="K2326">
        <v>1</v>
      </c>
      <c r="L2326" s="1" t="s">
        <v>437</v>
      </c>
      <c r="M2326">
        <v>0</v>
      </c>
      <c r="N2326">
        <v>2818</v>
      </c>
      <c r="O2326">
        <v>8.3821790000000007</v>
      </c>
      <c r="P2326">
        <v>1</v>
      </c>
      <c r="Q2326" s="1" t="s">
        <v>565</v>
      </c>
      <c r="R2326" s="93">
        <v>30382.38</v>
      </c>
      <c r="S2326">
        <v>5.62</v>
      </c>
      <c r="T2326">
        <v>0</v>
      </c>
      <c r="U2326" s="1" t="s">
        <v>831</v>
      </c>
      <c r="V2326" s="1"/>
      <c r="W2326">
        <v>23.62182</v>
      </c>
      <c r="X2326">
        <v>0</v>
      </c>
      <c r="Y2326">
        <v>78917</v>
      </c>
    </row>
    <row r="2327" spans="1:25" ht="15" hidden="1" customHeight="1" x14ac:dyDescent="0.25">
      <c r="A2327" s="1" t="s">
        <v>33</v>
      </c>
      <c r="B2327" s="1"/>
      <c r="C2327" s="1" t="s">
        <v>175</v>
      </c>
      <c r="D2327">
        <v>10125</v>
      </c>
      <c r="E2327" s="1"/>
      <c r="F2327" s="1" t="s">
        <v>305</v>
      </c>
      <c r="G2327" s="1" t="s">
        <v>175</v>
      </c>
      <c r="H2327" s="1" t="s">
        <v>1405</v>
      </c>
      <c r="I2327">
        <v>2008</v>
      </c>
      <c r="J2327" s="93">
        <v>161580</v>
      </c>
      <c r="K2327">
        <v>12</v>
      </c>
      <c r="L2327" s="1"/>
      <c r="M2327">
        <v>0</v>
      </c>
      <c r="N2327">
        <v>2818</v>
      </c>
      <c r="O2327">
        <v>57.336503</v>
      </c>
      <c r="P2327">
        <v>1</v>
      </c>
      <c r="Q2327" s="1" t="s">
        <v>562</v>
      </c>
      <c r="R2327" s="93">
        <v>186149.29</v>
      </c>
      <c r="S2327">
        <v>34437.64</v>
      </c>
      <c r="T2327">
        <v>0</v>
      </c>
      <c r="U2327" s="1" t="s">
        <v>831</v>
      </c>
      <c r="V2327" s="1"/>
      <c r="W2327">
        <v>161580</v>
      </c>
      <c r="X2327">
        <v>0</v>
      </c>
      <c r="Y2327">
        <v>76943</v>
      </c>
    </row>
    <row r="2328" spans="1:25" ht="15" hidden="1" customHeight="1" x14ac:dyDescent="0.25">
      <c r="A2328" s="1" t="s">
        <v>33</v>
      </c>
      <c r="B2328" s="1"/>
      <c r="C2328" s="1" t="s">
        <v>175</v>
      </c>
      <c r="D2328">
        <v>10125</v>
      </c>
      <c r="E2328" s="1"/>
      <c r="F2328" s="1" t="s">
        <v>305</v>
      </c>
      <c r="G2328" s="1" t="s">
        <v>175</v>
      </c>
      <c r="H2328" s="1" t="s">
        <v>1396</v>
      </c>
      <c r="I2328">
        <v>2008</v>
      </c>
      <c r="J2328" s="93">
        <v>256835.76</v>
      </c>
      <c r="K2328">
        <v>12</v>
      </c>
      <c r="L2328" s="1"/>
      <c r="M2328">
        <v>0</v>
      </c>
      <c r="N2328">
        <v>2818</v>
      </c>
      <c r="O2328">
        <v>91.137915000000007</v>
      </c>
      <c r="P2328">
        <v>1</v>
      </c>
      <c r="Q2328" s="1" t="s">
        <v>563</v>
      </c>
      <c r="R2328" s="93">
        <v>297117.98</v>
      </c>
      <c r="S2328">
        <v>1575.42</v>
      </c>
      <c r="T2328">
        <v>1</v>
      </c>
      <c r="U2328" s="1" t="s">
        <v>831</v>
      </c>
      <c r="V2328" s="1"/>
      <c r="W2328">
        <v>7361.3</v>
      </c>
      <c r="X2328">
        <v>76943</v>
      </c>
      <c r="Y2328">
        <v>76946</v>
      </c>
    </row>
    <row r="2329" spans="1:25" ht="15" hidden="1" customHeight="1" x14ac:dyDescent="0.25">
      <c r="A2329" s="1" t="s">
        <v>33</v>
      </c>
      <c r="B2329" s="1"/>
      <c r="C2329" s="1" t="s">
        <v>171</v>
      </c>
      <c r="D2329">
        <v>9517</v>
      </c>
      <c r="E2329" s="1"/>
      <c r="F2329" s="1" t="s">
        <v>302</v>
      </c>
      <c r="G2329" s="1" t="s">
        <v>171</v>
      </c>
      <c r="H2329" s="1" t="s">
        <v>1396</v>
      </c>
      <c r="I2329">
        <v>2014</v>
      </c>
      <c r="J2329" s="93">
        <v>141619.92000000001</v>
      </c>
      <c r="K2329">
        <v>12</v>
      </c>
      <c r="L2329" s="1"/>
      <c r="M2329">
        <v>0</v>
      </c>
      <c r="N2329">
        <v>784</v>
      </c>
      <c r="O2329">
        <v>180.61461499999999</v>
      </c>
      <c r="P2329">
        <v>1</v>
      </c>
      <c r="Q2329" s="1" t="s">
        <v>563</v>
      </c>
      <c r="R2329" s="93">
        <v>166438.66</v>
      </c>
      <c r="S2329">
        <v>305.31</v>
      </c>
      <c r="T2329">
        <v>1</v>
      </c>
      <c r="U2329" s="1"/>
      <c r="V2329" s="1"/>
      <c r="W2329">
        <v>4059.04</v>
      </c>
      <c r="X2329">
        <v>74426</v>
      </c>
      <c r="Y2329">
        <v>74427</v>
      </c>
    </row>
    <row r="2330" spans="1:25" ht="15" hidden="1" customHeight="1" x14ac:dyDescent="0.25">
      <c r="A2330" s="1" t="s">
        <v>33</v>
      </c>
      <c r="B2330" s="1"/>
      <c r="C2330" s="1" t="s">
        <v>171</v>
      </c>
      <c r="D2330">
        <v>9517</v>
      </c>
      <c r="E2330" s="1"/>
      <c r="F2330" s="1" t="s">
        <v>302</v>
      </c>
      <c r="G2330" s="1" t="s">
        <v>171</v>
      </c>
      <c r="H2330" s="1" t="s">
        <v>1405</v>
      </c>
      <c r="I2330">
        <v>2014</v>
      </c>
      <c r="J2330" s="93">
        <v>91.44</v>
      </c>
      <c r="K2330">
        <v>12</v>
      </c>
      <c r="L2330" s="1"/>
      <c r="M2330">
        <v>0</v>
      </c>
      <c r="N2330">
        <v>784</v>
      </c>
      <c r="O2330">
        <v>0.116617</v>
      </c>
      <c r="P2330">
        <v>3</v>
      </c>
      <c r="Q2330" s="1" t="s">
        <v>560</v>
      </c>
      <c r="R2330" s="93">
        <v>91.44</v>
      </c>
      <c r="S2330">
        <v>73.150000000000006</v>
      </c>
      <c r="T2330">
        <v>0</v>
      </c>
      <c r="U2330" s="1"/>
      <c r="V2330" s="1"/>
      <c r="W2330">
        <v>91.436999999999998</v>
      </c>
      <c r="X2330">
        <v>0</v>
      </c>
      <c r="Y2330">
        <v>74425</v>
      </c>
    </row>
    <row r="2331" spans="1:25" ht="15" hidden="1" customHeight="1" x14ac:dyDescent="0.25">
      <c r="A2331" s="1" t="s">
        <v>33</v>
      </c>
      <c r="B2331" s="1"/>
      <c r="C2331" s="1" t="s">
        <v>171</v>
      </c>
      <c r="D2331">
        <v>9517</v>
      </c>
      <c r="E2331" s="1"/>
      <c r="F2331" s="1" t="s">
        <v>302</v>
      </c>
      <c r="G2331" s="1" t="s">
        <v>171</v>
      </c>
      <c r="H2331" s="1" t="s">
        <v>1405</v>
      </c>
      <c r="I2331">
        <v>2014</v>
      </c>
      <c r="J2331" s="93">
        <v>72494</v>
      </c>
      <c r="K2331">
        <v>12</v>
      </c>
      <c r="L2331" s="1"/>
      <c r="M2331">
        <v>0</v>
      </c>
      <c r="N2331">
        <v>784</v>
      </c>
      <c r="O2331">
        <v>92.455043000000003</v>
      </c>
      <c r="P2331">
        <v>1</v>
      </c>
      <c r="Q2331" s="1" t="s">
        <v>562</v>
      </c>
      <c r="R2331" s="93">
        <v>86237.94</v>
      </c>
      <c r="S2331">
        <v>5519.22</v>
      </c>
      <c r="T2331">
        <v>0</v>
      </c>
      <c r="U2331" s="1"/>
      <c r="V2331" s="1"/>
      <c r="W2331">
        <v>72494</v>
      </c>
      <c r="X2331">
        <v>0</v>
      </c>
      <c r="Y2331">
        <v>74426</v>
      </c>
    </row>
    <row r="2332" spans="1:25" ht="15" hidden="1" customHeight="1" x14ac:dyDescent="0.25">
      <c r="A2332" s="1" t="s">
        <v>33</v>
      </c>
      <c r="B2332" s="1"/>
      <c r="C2332" s="1" t="s">
        <v>171</v>
      </c>
      <c r="D2332">
        <v>9517</v>
      </c>
      <c r="E2332" s="1"/>
      <c r="F2332" s="1" t="s">
        <v>302</v>
      </c>
      <c r="G2332" s="1" t="s">
        <v>171</v>
      </c>
      <c r="H2332" s="1" t="s">
        <v>1405</v>
      </c>
      <c r="I2332">
        <v>2014</v>
      </c>
      <c r="J2332" s="93">
        <v>8617.6299999999992</v>
      </c>
      <c r="K2332">
        <v>12</v>
      </c>
      <c r="L2332" s="1"/>
      <c r="M2332">
        <v>0</v>
      </c>
      <c r="N2332">
        <v>784</v>
      </c>
      <c r="O2332">
        <v>10.990473</v>
      </c>
      <c r="P2332">
        <v>2</v>
      </c>
      <c r="Q2332" s="1" t="s">
        <v>569</v>
      </c>
      <c r="R2332" s="93">
        <v>8617.6299999999992</v>
      </c>
      <c r="S2332">
        <v>2585.27</v>
      </c>
      <c r="T2332">
        <v>0</v>
      </c>
      <c r="U2332" s="1" t="s">
        <v>1033</v>
      </c>
      <c r="V2332" s="1"/>
      <c r="W2332">
        <v>8617.6201000000001</v>
      </c>
      <c r="X2332">
        <v>0</v>
      </c>
      <c r="Y2332">
        <v>74424</v>
      </c>
    </row>
    <row r="2333" spans="1:25" ht="15" hidden="1" customHeight="1" x14ac:dyDescent="0.25">
      <c r="A2333" s="1" t="s">
        <v>33</v>
      </c>
      <c r="B2333" s="1" t="s">
        <v>72</v>
      </c>
      <c r="C2333" s="1" t="s">
        <v>172</v>
      </c>
      <c r="D2333">
        <v>5300</v>
      </c>
      <c r="E2333" s="1"/>
      <c r="F2333" s="1" t="s">
        <v>303</v>
      </c>
      <c r="G2333" s="1" t="s">
        <v>172</v>
      </c>
      <c r="H2333" s="1" t="s">
        <v>1396</v>
      </c>
      <c r="I2333">
        <v>2014</v>
      </c>
      <c r="J2333" s="93">
        <v>900828.41</v>
      </c>
      <c r="K2333">
        <v>12</v>
      </c>
      <c r="L2333" s="1" t="s">
        <v>393</v>
      </c>
      <c r="M2333">
        <v>0</v>
      </c>
      <c r="N2333">
        <v>7375</v>
      </c>
      <c r="O2333">
        <v>122.14456800000001</v>
      </c>
      <c r="P2333">
        <v>1</v>
      </c>
      <c r="Q2333" s="1" t="s">
        <v>563</v>
      </c>
      <c r="R2333" s="93">
        <v>1083814.53</v>
      </c>
      <c r="S2333">
        <v>2419247.46</v>
      </c>
      <c r="T2333">
        <v>1</v>
      </c>
      <c r="U2333" s="1" t="s">
        <v>825</v>
      </c>
      <c r="V2333" s="1"/>
      <c r="W2333">
        <v>25819.1</v>
      </c>
      <c r="X2333">
        <v>0</v>
      </c>
      <c r="Y2333">
        <v>56990</v>
      </c>
    </row>
    <row r="2334" spans="1:25" ht="15" hidden="1" customHeight="1" x14ac:dyDescent="0.25">
      <c r="A2334" s="1" t="s">
        <v>33</v>
      </c>
      <c r="B2334" s="1" t="s">
        <v>72</v>
      </c>
      <c r="C2334" s="1" t="s">
        <v>172</v>
      </c>
      <c r="D2334">
        <v>5300</v>
      </c>
      <c r="E2334" s="1"/>
      <c r="F2334" s="1" t="s">
        <v>303</v>
      </c>
      <c r="G2334" s="1" t="s">
        <v>172</v>
      </c>
      <c r="H2334" s="1" t="s">
        <v>1405</v>
      </c>
      <c r="I2334">
        <v>2014</v>
      </c>
      <c r="J2334" s="93">
        <v>790621</v>
      </c>
      <c r="K2334">
        <v>12</v>
      </c>
      <c r="L2334" s="1" t="s">
        <v>393</v>
      </c>
      <c r="M2334">
        <v>0</v>
      </c>
      <c r="N2334">
        <v>7375</v>
      </c>
      <c r="O2334">
        <v>107.201393</v>
      </c>
      <c r="P2334">
        <v>1</v>
      </c>
      <c r="Q2334" s="1" t="s">
        <v>562</v>
      </c>
      <c r="R2334" s="93">
        <v>1012676.02</v>
      </c>
      <c r="S2334">
        <v>75126657.980000004</v>
      </c>
      <c r="T2334">
        <v>0</v>
      </c>
      <c r="U2334" s="1" t="s">
        <v>825</v>
      </c>
      <c r="V2334" s="1"/>
      <c r="W2334">
        <v>790620.99985999998</v>
      </c>
      <c r="X2334">
        <v>0</v>
      </c>
      <c r="Y2334">
        <v>56974</v>
      </c>
    </row>
    <row r="2335" spans="1:25" ht="15" hidden="1" customHeight="1" x14ac:dyDescent="0.25">
      <c r="A2335" s="1" t="s">
        <v>33</v>
      </c>
      <c r="B2335" s="1" t="s">
        <v>72</v>
      </c>
      <c r="C2335" s="1" t="s">
        <v>172</v>
      </c>
      <c r="D2335">
        <v>5300</v>
      </c>
      <c r="E2335" s="1"/>
      <c r="F2335" s="1" t="s">
        <v>303</v>
      </c>
      <c r="G2335" s="1" t="s">
        <v>172</v>
      </c>
      <c r="H2335" s="1" t="s">
        <v>1405</v>
      </c>
      <c r="I2335">
        <v>2014</v>
      </c>
      <c r="J2335" s="93">
        <v>175150.81</v>
      </c>
      <c r="K2335">
        <v>12</v>
      </c>
      <c r="L2335" s="1" t="s">
        <v>393</v>
      </c>
      <c r="M2335">
        <v>0</v>
      </c>
      <c r="N2335">
        <v>7375</v>
      </c>
      <c r="O2335">
        <v>23.748940000000001</v>
      </c>
      <c r="P2335">
        <v>2</v>
      </c>
      <c r="Q2335" s="1" t="s">
        <v>569</v>
      </c>
      <c r="R2335" s="93">
        <v>175150.81</v>
      </c>
      <c r="S2335">
        <v>70060.320000000007</v>
      </c>
      <c r="T2335">
        <v>0</v>
      </c>
      <c r="U2335" s="1" t="s">
        <v>1034</v>
      </c>
      <c r="V2335" s="1" t="s">
        <v>1308</v>
      </c>
      <c r="W2335">
        <v>175150.81</v>
      </c>
      <c r="X2335">
        <v>0</v>
      </c>
      <c r="Y2335">
        <v>56967</v>
      </c>
    </row>
    <row r="2336" spans="1:25" ht="15" hidden="1" customHeight="1" x14ac:dyDescent="0.25">
      <c r="A2336" s="1" t="s">
        <v>33</v>
      </c>
      <c r="B2336" s="1" t="s">
        <v>72</v>
      </c>
      <c r="C2336" s="1" t="s">
        <v>172</v>
      </c>
      <c r="D2336">
        <v>5300</v>
      </c>
      <c r="E2336" s="1"/>
      <c r="F2336" s="1" t="s">
        <v>303</v>
      </c>
      <c r="G2336" s="1" t="s">
        <v>172</v>
      </c>
      <c r="H2336" s="1" t="s">
        <v>1405</v>
      </c>
      <c r="I2336">
        <v>2015</v>
      </c>
      <c r="J2336" s="93">
        <v>1138</v>
      </c>
      <c r="K2336">
        <v>5</v>
      </c>
      <c r="L2336" s="1"/>
      <c r="M2336">
        <v>0</v>
      </c>
      <c r="N2336">
        <v>7375</v>
      </c>
      <c r="O2336">
        <v>6.6049999999999998E-2</v>
      </c>
      <c r="P2336">
        <v>3</v>
      </c>
      <c r="Q2336" s="1" t="s">
        <v>560</v>
      </c>
      <c r="R2336" s="93">
        <v>487.13</v>
      </c>
      <c r="S2336">
        <v>389.72</v>
      </c>
      <c r="T2336">
        <v>0</v>
      </c>
      <c r="U2336" s="1" t="s">
        <v>650</v>
      </c>
      <c r="V2336" s="1"/>
      <c r="W2336">
        <v>487.13600000000002</v>
      </c>
      <c r="X2336">
        <v>0</v>
      </c>
      <c r="Y2336">
        <v>56969</v>
      </c>
    </row>
    <row r="2337" spans="1:25" ht="15" hidden="1" customHeight="1" x14ac:dyDescent="0.25">
      <c r="A2337" s="1" t="s">
        <v>33</v>
      </c>
      <c r="B2337" s="1" t="s">
        <v>72</v>
      </c>
      <c r="C2337" s="1" t="s">
        <v>172</v>
      </c>
      <c r="D2337">
        <v>5300</v>
      </c>
      <c r="E2337" s="1"/>
      <c r="F2337" s="1" t="s">
        <v>303</v>
      </c>
      <c r="G2337" s="1" t="s">
        <v>172</v>
      </c>
      <c r="H2337" s="1" t="s">
        <v>1405</v>
      </c>
      <c r="I2337">
        <v>2015</v>
      </c>
      <c r="J2337" s="93"/>
      <c r="K2337">
        <v>5</v>
      </c>
      <c r="L2337" s="1" t="s">
        <v>435</v>
      </c>
      <c r="M2337">
        <v>0</v>
      </c>
      <c r="N2337">
        <v>7375</v>
      </c>
      <c r="O2337">
        <v>1.369E-3</v>
      </c>
      <c r="P2337">
        <v>3</v>
      </c>
      <c r="Q2337" s="1" t="s">
        <v>560</v>
      </c>
      <c r="R2337" s="93">
        <v>10.1</v>
      </c>
      <c r="S2337">
        <v>8.08</v>
      </c>
      <c r="T2337">
        <v>0</v>
      </c>
      <c r="U2337" s="1" t="s">
        <v>651</v>
      </c>
      <c r="V2337" s="1"/>
      <c r="W2337">
        <v>10.1</v>
      </c>
      <c r="X2337">
        <v>0</v>
      </c>
      <c r="Y2337">
        <v>56972</v>
      </c>
    </row>
    <row r="2338" spans="1:25" ht="15" hidden="1" customHeight="1" x14ac:dyDescent="0.25">
      <c r="A2338" s="1" t="s">
        <v>33</v>
      </c>
      <c r="B2338" s="1" t="s">
        <v>72</v>
      </c>
      <c r="C2338" s="1" t="s">
        <v>172</v>
      </c>
      <c r="D2338">
        <v>5300</v>
      </c>
      <c r="E2338" s="1"/>
      <c r="F2338" s="1" t="s">
        <v>303</v>
      </c>
      <c r="G2338" s="1" t="s">
        <v>172</v>
      </c>
      <c r="H2338" s="1" t="s">
        <v>1405</v>
      </c>
      <c r="I2338">
        <v>2015</v>
      </c>
      <c r="J2338" s="93"/>
      <c r="K2338">
        <v>5</v>
      </c>
      <c r="L2338" s="1"/>
      <c r="M2338">
        <v>0</v>
      </c>
      <c r="N2338">
        <v>7375</v>
      </c>
      <c r="O2338">
        <v>3.1549999999999998E-3</v>
      </c>
      <c r="P2338">
        <v>3</v>
      </c>
      <c r="Q2338" s="1" t="s">
        <v>560</v>
      </c>
      <c r="R2338" s="93">
        <v>23.27</v>
      </c>
      <c r="S2338">
        <v>18.600000000000001</v>
      </c>
      <c r="T2338">
        <v>1</v>
      </c>
      <c r="U2338" s="1" t="s">
        <v>652</v>
      </c>
      <c r="V2338" s="1"/>
      <c r="W2338">
        <v>23.265999999999998</v>
      </c>
      <c r="X2338">
        <v>0</v>
      </c>
      <c r="Y2338">
        <v>56992</v>
      </c>
    </row>
    <row r="2339" spans="1:25" ht="15" hidden="1" customHeight="1" x14ac:dyDescent="0.25">
      <c r="A2339" s="1" t="s">
        <v>33</v>
      </c>
      <c r="B2339" s="1"/>
      <c r="C2339" s="1" t="s">
        <v>173</v>
      </c>
      <c r="D2339">
        <v>5271</v>
      </c>
      <c r="E2339" s="1"/>
      <c r="F2339" s="1" t="s">
        <v>173</v>
      </c>
      <c r="G2339" s="1" t="s">
        <v>174</v>
      </c>
      <c r="H2339" s="1" t="s">
        <v>1396</v>
      </c>
      <c r="I2339">
        <v>2009</v>
      </c>
      <c r="J2339" s="93">
        <v>11214.91</v>
      </c>
      <c r="K2339">
        <v>12</v>
      </c>
      <c r="L2339" s="1" t="s">
        <v>402</v>
      </c>
      <c r="M2339">
        <v>0</v>
      </c>
      <c r="N2339">
        <v>255</v>
      </c>
      <c r="O2339">
        <v>43.962797999999999</v>
      </c>
      <c r="P2339">
        <v>2</v>
      </c>
      <c r="Q2339" s="1" t="s">
        <v>569</v>
      </c>
      <c r="R2339" s="93">
        <v>11214.91</v>
      </c>
      <c r="S2339">
        <v>5259.78</v>
      </c>
      <c r="T2339">
        <v>0</v>
      </c>
      <c r="U2339" s="1" t="s">
        <v>1035</v>
      </c>
      <c r="V2339" s="1"/>
      <c r="W2339">
        <v>11214.9</v>
      </c>
      <c r="X2339">
        <v>0</v>
      </c>
      <c r="Y2339">
        <v>56830</v>
      </c>
    </row>
    <row r="2340" spans="1:25" ht="15" hidden="1" customHeight="1" x14ac:dyDescent="0.25">
      <c r="A2340" s="1" t="s">
        <v>33</v>
      </c>
      <c r="B2340" s="1"/>
      <c r="C2340" s="1" t="s">
        <v>173</v>
      </c>
      <c r="D2340">
        <v>5271</v>
      </c>
      <c r="E2340" s="1"/>
      <c r="F2340" s="1" t="s">
        <v>173</v>
      </c>
      <c r="G2340" s="1" t="s">
        <v>174</v>
      </c>
      <c r="H2340" s="1" t="s">
        <v>1396</v>
      </c>
      <c r="I2340">
        <v>2008</v>
      </c>
      <c r="J2340" s="93">
        <v>10926.88</v>
      </c>
      <c r="K2340">
        <v>12</v>
      </c>
      <c r="L2340" s="1" t="s">
        <v>402</v>
      </c>
      <c r="M2340">
        <v>0</v>
      </c>
      <c r="N2340">
        <v>255</v>
      </c>
      <c r="O2340">
        <v>42.833711999999998</v>
      </c>
      <c r="P2340">
        <v>2</v>
      </c>
      <c r="Q2340" s="1" t="s">
        <v>569</v>
      </c>
      <c r="R2340" s="93">
        <v>10926.88</v>
      </c>
      <c r="S2340">
        <v>5124.6899999999996</v>
      </c>
      <c r="T2340">
        <v>0</v>
      </c>
      <c r="U2340" s="1" t="s">
        <v>1035</v>
      </c>
      <c r="V2340" s="1"/>
      <c r="W2340">
        <v>10926.885</v>
      </c>
      <c r="X2340">
        <v>0</v>
      </c>
      <c r="Y2340">
        <v>56830</v>
      </c>
    </row>
    <row r="2341" spans="1:25" ht="15" hidden="1" customHeight="1" x14ac:dyDescent="0.25">
      <c r="A2341" s="1" t="s">
        <v>35</v>
      </c>
      <c r="B2341" s="1" t="s">
        <v>73</v>
      </c>
      <c r="C2341" s="1" t="s">
        <v>174</v>
      </c>
      <c r="D2341">
        <v>13660</v>
      </c>
      <c r="E2341" s="1"/>
      <c r="F2341" s="1" t="s">
        <v>304</v>
      </c>
      <c r="G2341" s="1" t="s">
        <v>174</v>
      </c>
      <c r="H2341" s="1" t="s">
        <v>1405</v>
      </c>
      <c r="I2341">
        <v>2008</v>
      </c>
      <c r="J2341" s="93">
        <v>12325.68</v>
      </c>
      <c r="K2341">
        <v>1</v>
      </c>
      <c r="L2341" s="1" t="s">
        <v>442</v>
      </c>
      <c r="M2341">
        <v>0</v>
      </c>
      <c r="N2341">
        <v>532</v>
      </c>
      <c r="O2341">
        <v>23.164217000000001</v>
      </c>
      <c r="P2341">
        <v>2</v>
      </c>
      <c r="Q2341" s="1" t="s">
        <v>569</v>
      </c>
      <c r="R2341" s="93">
        <v>12325.68</v>
      </c>
      <c r="S2341">
        <v>5780.75</v>
      </c>
      <c r="T2341">
        <v>0</v>
      </c>
      <c r="U2341" s="1" t="s">
        <v>1036</v>
      </c>
      <c r="V2341" s="1" t="s">
        <v>1309</v>
      </c>
      <c r="W2341">
        <v>12325.700930000001</v>
      </c>
      <c r="X2341">
        <v>0</v>
      </c>
      <c r="Y2341">
        <v>91247</v>
      </c>
    </row>
    <row r="2342" spans="1:25" ht="15" hidden="1" customHeight="1" x14ac:dyDescent="0.25">
      <c r="A2342" s="1" t="s">
        <v>33</v>
      </c>
      <c r="B2342" s="1" t="s">
        <v>71</v>
      </c>
      <c r="C2342" s="1" t="s">
        <v>169</v>
      </c>
      <c r="D2342">
        <v>6071</v>
      </c>
      <c r="E2342" s="1"/>
      <c r="F2342" s="1" t="s">
        <v>301</v>
      </c>
      <c r="G2342" s="1" t="s">
        <v>169</v>
      </c>
      <c r="H2342" s="1" t="s">
        <v>1405</v>
      </c>
      <c r="I2342">
        <v>2015</v>
      </c>
      <c r="J2342" s="93">
        <v>3924</v>
      </c>
      <c r="K2342">
        <v>5</v>
      </c>
      <c r="L2342" s="1" t="s">
        <v>527</v>
      </c>
      <c r="M2342">
        <v>0</v>
      </c>
      <c r="N2342">
        <v>222</v>
      </c>
      <c r="O2342">
        <v>7.2968929999999999</v>
      </c>
      <c r="P2342">
        <v>2</v>
      </c>
      <c r="Q2342" s="1" t="s">
        <v>569</v>
      </c>
      <c r="R2342" s="93">
        <v>1620.64</v>
      </c>
      <c r="S2342">
        <v>648.25</v>
      </c>
      <c r="T2342">
        <v>0</v>
      </c>
      <c r="U2342" s="1" t="s">
        <v>1032</v>
      </c>
      <c r="V2342" s="1" t="s">
        <v>1307</v>
      </c>
      <c r="W2342">
        <v>1620.6320000000001</v>
      </c>
      <c r="X2342">
        <v>0</v>
      </c>
      <c r="Y2342">
        <v>60882</v>
      </c>
    </row>
    <row r="2343" spans="1:25" ht="15" hidden="1" customHeight="1" x14ac:dyDescent="0.25">
      <c r="A2343" s="1" t="s">
        <v>33</v>
      </c>
      <c r="B2343" s="1" t="s">
        <v>71</v>
      </c>
      <c r="C2343" s="1" t="s">
        <v>169</v>
      </c>
      <c r="D2343">
        <v>6071</v>
      </c>
      <c r="E2343" s="1"/>
      <c r="F2343" s="1" t="s">
        <v>301</v>
      </c>
      <c r="G2343" s="1" t="s">
        <v>169</v>
      </c>
      <c r="H2343" s="1" t="s">
        <v>1405</v>
      </c>
      <c r="I2343">
        <v>2013</v>
      </c>
      <c r="J2343" s="93">
        <v>8235.68</v>
      </c>
      <c r="K2343">
        <v>12</v>
      </c>
      <c r="L2343" s="1" t="s">
        <v>527</v>
      </c>
      <c r="M2343">
        <v>0</v>
      </c>
      <c r="N2343">
        <v>222</v>
      </c>
      <c r="O2343">
        <v>37.080953999999998</v>
      </c>
      <c r="P2343">
        <v>2</v>
      </c>
      <c r="Q2343" s="1" t="s">
        <v>569</v>
      </c>
      <c r="R2343" s="93">
        <v>8235.68</v>
      </c>
      <c r="S2343">
        <v>3294.29</v>
      </c>
      <c r="T2343">
        <v>0</v>
      </c>
      <c r="U2343" s="1" t="s">
        <v>1032</v>
      </c>
      <c r="V2343" s="1" t="s">
        <v>1307</v>
      </c>
      <c r="W2343">
        <v>8235.69</v>
      </c>
      <c r="X2343">
        <v>0</v>
      </c>
      <c r="Y2343">
        <v>60882</v>
      </c>
    </row>
    <row r="2344" spans="1:25" ht="15" hidden="1" customHeight="1" x14ac:dyDescent="0.25">
      <c r="A2344" s="1" t="s">
        <v>33</v>
      </c>
      <c r="B2344" s="1" t="s">
        <v>71</v>
      </c>
      <c r="C2344" s="1" t="s">
        <v>169</v>
      </c>
      <c r="D2344">
        <v>6071</v>
      </c>
      <c r="E2344" s="1"/>
      <c r="F2344" s="1" t="s">
        <v>301</v>
      </c>
      <c r="G2344" s="1" t="s">
        <v>169</v>
      </c>
      <c r="H2344" s="1" t="s">
        <v>1405</v>
      </c>
      <c r="I2344">
        <v>2012</v>
      </c>
      <c r="J2344" s="93">
        <v>7026.95</v>
      </c>
      <c r="K2344">
        <v>13</v>
      </c>
      <c r="L2344" s="1" t="s">
        <v>527</v>
      </c>
      <c r="M2344">
        <v>0</v>
      </c>
      <c r="N2344">
        <v>222</v>
      </c>
      <c r="O2344">
        <v>31.638676</v>
      </c>
      <c r="P2344">
        <v>2</v>
      </c>
      <c r="Q2344" s="1" t="s">
        <v>569</v>
      </c>
      <c r="R2344" s="93">
        <v>7026.95</v>
      </c>
      <c r="S2344">
        <v>2810.79</v>
      </c>
      <c r="T2344">
        <v>0</v>
      </c>
      <c r="U2344" s="1" t="s">
        <v>1032</v>
      </c>
      <c r="V2344" s="1" t="s">
        <v>1307</v>
      </c>
      <c r="W2344">
        <v>7026.9534199999998</v>
      </c>
      <c r="X2344">
        <v>0</v>
      </c>
      <c r="Y2344">
        <v>60882</v>
      </c>
    </row>
    <row r="2345" spans="1:25" ht="15" hidden="1" customHeight="1" x14ac:dyDescent="0.25">
      <c r="A2345" s="1" t="s">
        <v>33</v>
      </c>
      <c r="B2345" s="1" t="s">
        <v>71</v>
      </c>
      <c r="C2345" s="1" t="s">
        <v>169</v>
      </c>
      <c r="D2345">
        <v>6071</v>
      </c>
      <c r="E2345" s="1"/>
      <c r="F2345" s="1" t="s">
        <v>301</v>
      </c>
      <c r="G2345" s="1" t="s">
        <v>169</v>
      </c>
      <c r="H2345" s="1" t="s">
        <v>1405</v>
      </c>
      <c r="I2345">
        <v>2011</v>
      </c>
      <c r="J2345" s="93">
        <v>4970.7299999999996</v>
      </c>
      <c r="K2345">
        <v>4</v>
      </c>
      <c r="L2345" s="1" t="s">
        <v>527</v>
      </c>
      <c r="M2345">
        <v>0</v>
      </c>
      <c r="N2345">
        <v>222</v>
      </c>
      <c r="O2345">
        <v>22.380593999999999</v>
      </c>
      <c r="P2345">
        <v>2</v>
      </c>
      <c r="Q2345" s="1" t="s">
        <v>569</v>
      </c>
      <c r="R2345" s="93">
        <v>4970.7299999999996</v>
      </c>
      <c r="S2345">
        <v>2331.27</v>
      </c>
      <c r="T2345">
        <v>0</v>
      </c>
      <c r="U2345" s="1" t="s">
        <v>1032</v>
      </c>
      <c r="V2345" s="1" t="s">
        <v>1307</v>
      </c>
      <c r="W2345">
        <v>4970.7285899999997</v>
      </c>
      <c r="X2345">
        <v>0</v>
      </c>
      <c r="Y2345">
        <v>60882</v>
      </c>
    </row>
    <row r="2346" spans="1:25" ht="15" hidden="1" customHeight="1" x14ac:dyDescent="0.25">
      <c r="A2346" s="1" t="s">
        <v>33</v>
      </c>
      <c r="B2346" s="1" t="s">
        <v>71</v>
      </c>
      <c r="C2346" s="1" t="s">
        <v>169</v>
      </c>
      <c r="D2346">
        <v>6071</v>
      </c>
      <c r="E2346" s="1"/>
      <c r="F2346" s="1" t="s">
        <v>301</v>
      </c>
      <c r="G2346" s="1" t="s">
        <v>169</v>
      </c>
      <c r="H2346" s="1" t="s">
        <v>1405</v>
      </c>
      <c r="I2346">
        <v>2010</v>
      </c>
      <c r="J2346" s="93">
        <v>8830.6200000000008</v>
      </c>
      <c r="K2346">
        <v>5</v>
      </c>
      <c r="L2346" s="1" t="s">
        <v>527</v>
      </c>
      <c r="M2346">
        <v>0</v>
      </c>
      <c r="N2346">
        <v>222</v>
      </c>
      <c r="O2346">
        <v>39.759656999999997</v>
      </c>
      <c r="P2346">
        <v>2</v>
      </c>
      <c r="Q2346" s="1" t="s">
        <v>569</v>
      </c>
      <c r="R2346" s="93">
        <v>8830.6200000000008</v>
      </c>
      <c r="S2346">
        <v>4141.5600000000004</v>
      </c>
      <c r="T2346">
        <v>0</v>
      </c>
      <c r="U2346" s="1" t="s">
        <v>1032</v>
      </c>
      <c r="V2346" s="1" t="s">
        <v>1307</v>
      </c>
      <c r="W2346">
        <v>8830.6249800000005</v>
      </c>
      <c r="X2346">
        <v>0</v>
      </c>
      <c r="Y2346">
        <v>60882</v>
      </c>
    </row>
    <row r="2347" spans="1:25" ht="15" hidden="1" customHeight="1" x14ac:dyDescent="0.25">
      <c r="A2347" s="1" t="s">
        <v>33</v>
      </c>
      <c r="B2347" s="1" t="s">
        <v>71</v>
      </c>
      <c r="C2347" s="1" t="s">
        <v>169</v>
      </c>
      <c r="D2347">
        <v>6071</v>
      </c>
      <c r="E2347" s="1"/>
      <c r="F2347" s="1" t="s">
        <v>301</v>
      </c>
      <c r="G2347" s="1" t="s">
        <v>169</v>
      </c>
      <c r="H2347" s="1" t="s">
        <v>1405</v>
      </c>
      <c r="I2347">
        <v>2009</v>
      </c>
      <c r="J2347" s="93">
        <v>4617.54</v>
      </c>
      <c r="K2347">
        <v>7</v>
      </c>
      <c r="L2347" s="1" t="s">
        <v>527</v>
      </c>
      <c r="M2347">
        <v>0</v>
      </c>
      <c r="N2347">
        <v>222</v>
      </c>
      <c r="O2347">
        <v>20.790364</v>
      </c>
      <c r="P2347">
        <v>2</v>
      </c>
      <c r="Q2347" s="1" t="s">
        <v>569</v>
      </c>
      <c r="R2347" s="93">
        <v>4617.54</v>
      </c>
      <c r="S2347">
        <v>2165.61</v>
      </c>
      <c r="T2347">
        <v>0</v>
      </c>
      <c r="U2347" s="1" t="s">
        <v>1032</v>
      </c>
      <c r="V2347" s="1" t="s">
        <v>1307</v>
      </c>
      <c r="W2347">
        <v>4617.5271599999996</v>
      </c>
      <c r="X2347">
        <v>0</v>
      </c>
      <c r="Y2347">
        <v>60882</v>
      </c>
    </row>
    <row r="2348" spans="1:25" ht="15" hidden="1" customHeight="1" x14ac:dyDescent="0.25">
      <c r="A2348" s="1" t="s">
        <v>33</v>
      </c>
      <c r="B2348" s="1" t="s">
        <v>71</v>
      </c>
      <c r="C2348" s="1" t="s">
        <v>169</v>
      </c>
      <c r="D2348">
        <v>6071</v>
      </c>
      <c r="E2348" s="1"/>
      <c r="F2348" s="1" t="s">
        <v>301</v>
      </c>
      <c r="G2348" s="1" t="s">
        <v>169</v>
      </c>
      <c r="H2348" s="1" t="s">
        <v>1405</v>
      </c>
      <c r="I2348">
        <v>2008</v>
      </c>
      <c r="J2348" s="93">
        <v>4480.91</v>
      </c>
      <c r="K2348">
        <v>6</v>
      </c>
      <c r="L2348" s="1" t="s">
        <v>527</v>
      </c>
      <c r="M2348">
        <v>0</v>
      </c>
      <c r="N2348">
        <v>222</v>
      </c>
      <c r="O2348">
        <v>20.175191000000002</v>
      </c>
      <c r="P2348">
        <v>2</v>
      </c>
      <c r="Q2348" s="1" t="s">
        <v>569</v>
      </c>
      <c r="R2348" s="93">
        <v>4480.91</v>
      </c>
      <c r="S2348">
        <v>2101.5500000000002</v>
      </c>
      <c r="T2348">
        <v>0</v>
      </c>
      <c r="U2348" s="1" t="s">
        <v>1032</v>
      </c>
      <c r="V2348" s="1" t="s">
        <v>1307</v>
      </c>
      <c r="W2348">
        <v>4480.9292100000002</v>
      </c>
      <c r="X2348">
        <v>0</v>
      </c>
      <c r="Y2348">
        <v>60882</v>
      </c>
    </row>
    <row r="2349" spans="1:25" ht="15" customHeight="1" x14ac:dyDescent="0.25">
      <c r="A2349" s="1" t="s">
        <v>33</v>
      </c>
      <c r="B2349" s="1"/>
      <c r="C2349" s="1" t="s">
        <v>170</v>
      </c>
      <c r="D2349">
        <v>10191</v>
      </c>
      <c r="E2349" s="1"/>
      <c r="F2349" s="1" t="s">
        <v>170</v>
      </c>
      <c r="G2349" s="1" t="s">
        <v>170</v>
      </c>
      <c r="H2349" s="1" t="s">
        <v>1396</v>
      </c>
      <c r="I2349">
        <v>2015</v>
      </c>
      <c r="J2349" s="93">
        <v>11430</v>
      </c>
      <c r="K2349">
        <v>5</v>
      </c>
      <c r="L2349" s="1"/>
      <c r="M2349">
        <v>0</v>
      </c>
      <c r="N2349">
        <v>711</v>
      </c>
      <c r="O2349">
        <v>6.7445639999999996</v>
      </c>
      <c r="P2349">
        <v>2</v>
      </c>
      <c r="Q2349" s="1" t="s">
        <v>569</v>
      </c>
      <c r="R2349" s="93">
        <v>4796.0600000000004</v>
      </c>
      <c r="S2349">
        <v>1438.82</v>
      </c>
      <c r="T2349">
        <v>0</v>
      </c>
      <c r="U2349" s="1"/>
      <c r="V2349" s="1"/>
      <c r="W2349">
        <v>4796.0603000000001</v>
      </c>
      <c r="X2349">
        <v>0</v>
      </c>
      <c r="Y2349">
        <v>77256</v>
      </c>
    </row>
    <row r="2350" spans="1:25" ht="15" hidden="1" customHeight="1" x14ac:dyDescent="0.25">
      <c r="A2350" s="1" t="s">
        <v>33</v>
      </c>
      <c r="B2350" s="1"/>
      <c r="C2350" s="1" t="s">
        <v>170</v>
      </c>
      <c r="D2350">
        <v>10191</v>
      </c>
      <c r="E2350" s="1"/>
      <c r="F2350" s="1" t="s">
        <v>170</v>
      </c>
      <c r="G2350" s="1" t="s">
        <v>170</v>
      </c>
      <c r="H2350" s="1" t="s">
        <v>1396</v>
      </c>
      <c r="I2350">
        <v>2013</v>
      </c>
      <c r="J2350" s="93">
        <v>24268.13</v>
      </c>
      <c r="K2350">
        <v>12</v>
      </c>
      <c r="L2350" s="1"/>
      <c r="M2350">
        <v>0</v>
      </c>
      <c r="N2350">
        <v>711</v>
      </c>
      <c r="O2350">
        <v>34.127591000000002</v>
      </c>
      <c r="P2350">
        <v>2</v>
      </c>
      <c r="Q2350" s="1" t="s">
        <v>569</v>
      </c>
      <c r="R2350" s="93">
        <v>24268.13</v>
      </c>
      <c r="S2350">
        <v>7280.44</v>
      </c>
      <c r="T2350">
        <v>0</v>
      </c>
      <c r="U2350" s="1"/>
      <c r="V2350" s="1"/>
      <c r="W2350">
        <v>24268.13</v>
      </c>
      <c r="X2350">
        <v>0</v>
      </c>
      <c r="Y2350">
        <v>77256</v>
      </c>
    </row>
    <row r="2351" spans="1:25" ht="15" hidden="1" customHeight="1" x14ac:dyDescent="0.25">
      <c r="A2351" s="1" t="s">
        <v>33</v>
      </c>
      <c r="B2351" s="1"/>
      <c r="C2351" s="1" t="s">
        <v>170</v>
      </c>
      <c r="D2351">
        <v>10191</v>
      </c>
      <c r="E2351" s="1"/>
      <c r="F2351" s="1" t="s">
        <v>170</v>
      </c>
      <c r="G2351" s="1" t="s">
        <v>170</v>
      </c>
      <c r="H2351" s="1" t="s">
        <v>1396</v>
      </c>
      <c r="I2351">
        <v>2012</v>
      </c>
      <c r="J2351" s="93">
        <v>19742.47</v>
      </c>
      <c r="K2351">
        <v>12</v>
      </c>
      <c r="L2351" s="1"/>
      <c r="M2351">
        <v>0</v>
      </c>
      <c r="N2351">
        <v>711</v>
      </c>
      <c r="O2351">
        <v>27.763282</v>
      </c>
      <c r="P2351">
        <v>2</v>
      </c>
      <c r="Q2351" s="1" t="s">
        <v>569</v>
      </c>
      <c r="R2351" s="93">
        <v>19742.47</v>
      </c>
      <c r="S2351">
        <v>7896.99</v>
      </c>
      <c r="T2351">
        <v>0</v>
      </c>
      <c r="U2351" s="1"/>
      <c r="V2351" s="1"/>
      <c r="W2351">
        <v>19742.48</v>
      </c>
      <c r="X2351">
        <v>0</v>
      </c>
      <c r="Y2351">
        <v>77256</v>
      </c>
    </row>
    <row r="2352" spans="1:25" ht="15" hidden="1" customHeight="1" x14ac:dyDescent="0.25">
      <c r="A2352" s="1" t="s">
        <v>33</v>
      </c>
      <c r="B2352" s="1"/>
      <c r="C2352" s="1" t="s">
        <v>170</v>
      </c>
      <c r="D2352">
        <v>10191</v>
      </c>
      <c r="E2352" s="1"/>
      <c r="F2352" s="1" t="s">
        <v>170</v>
      </c>
      <c r="G2352" s="1" t="s">
        <v>170</v>
      </c>
      <c r="H2352" s="1" t="s">
        <v>1396</v>
      </c>
      <c r="I2352">
        <v>2011</v>
      </c>
      <c r="J2352" s="93">
        <v>14139.5</v>
      </c>
      <c r="K2352">
        <v>12</v>
      </c>
      <c r="L2352" s="1"/>
      <c r="M2352">
        <v>0</v>
      </c>
      <c r="N2352">
        <v>711</v>
      </c>
      <c r="O2352">
        <v>19.883982</v>
      </c>
      <c r="P2352">
        <v>2</v>
      </c>
      <c r="Q2352" s="1" t="s">
        <v>569</v>
      </c>
      <c r="R2352" s="93">
        <v>14139.5</v>
      </c>
      <c r="S2352">
        <v>6631.42</v>
      </c>
      <c r="T2352">
        <v>0</v>
      </c>
      <c r="U2352" s="1"/>
      <c r="V2352" s="1"/>
      <c r="W2352">
        <v>14139.499900000001</v>
      </c>
      <c r="X2352">
        <v>0</v>
      </c>
      <c r="Y2352">
        <v>77256</v>
      </c>
    </row>
    <row r="2353" spans="1:25" ht="15" hidden="1" customHeight="1" x14ac:dyDescent="0.25">
      <c r="A2353" s="1" t="s">
        <v>33</v>
      </c>
      <c r="B2353" s="1"/>
      <c r="C2353" s="1" t="s">
        <v>170</v>
      </c>
      <c r="D2353">
        <v>10191</v>
      </c>
      <c r="E2353" s="1"/>
      <c r="F2353" s="1" t="s">
        <v>170</v>
      </c>
      <c r="G2353" s="1" t="s">
        <v>170</v>
      </c>
      <c r="H2353" s="1" t="s">
        <v>1396</v>
      </c>
      <c r="I2353">
        <v>2010</v>
      </c>
      <c r="J2353" s="93">
        <v>15337.26</v>
      </c>
      <c r="K2353">
        <v>12</v>
      </c>
      <c r="L2353" s="1"/>
      <c r="M2353">
        <v>0</v>
      </c>
      <c r="N2353">
        <v>711</v>
      </c>
      <c r="O2353">
        <v>21.568358</v>
      </c>
      <c r="P2353">
        <v>2</v>
      </c>
      <c r="Q2353" s="1" t="s">
        <v>569</v>
      </c>
      <c r="R2353" s="93">
        <v>15337.26</v>
      </c>
      <c r="S2353">
        <v>7193.17</v>
      </c>
      <c r="T2353">
        <v>0</v>
      </c>
      <c r="U2353" s="1"/>
      <c r="V2353" s="1"/>
      <c r="W2353">
        <v>15337.258599999999</v>
      </c>
      <c r="X2353">
        <v>0</v>
      </c>
      <c r="Y2353">
        <v>77256</v>
      </c>
    </row>
    <row r="2354" spans="1:25" ht="15" hidden="1" customHeight="1" x14ac:dyDescent="0.25">
      <c r="A2354" s="1" t="s">
        <v>33</v>
      </c>
      <c r="B2354" s="1"/>
      <c r="C2354" s="1" t="s">
        <v>170</v>
      </c>
      <c r="D2354">
        <v>10191</v>
      </c>
      <c r="E2354" s="1"/>
      <c r="F2354" s="1" t="s">
        <v>170</v>
      </c>
      <c r="G2354" s="1" t="s">
        <v>170</v>
      </c>
      <c r="H2354" s="1" t="s">
        <v>1396</v>
      </c>
      <c r="I2354">
        <v>2009</v>
      </c>
      <c r="J2354" s="93">
        <v>15727.98</v>
      </c>
      <c r="K2354">
        <v>12</v>
      </c>
      <c r="L2354" s="1"/>
      <c r="M2354">
        <v>0</v>
      </c>
      <c r="N2354">
        <v>711</v>
      </c>
      <c r="O2354">
        <v>22.117816999999999</v>
      </c>
      <c r="P2354">
        <v>2</v>
      </c>
      <c r="Q2354" s="1" t="s">
        <v>569</v>
      </c>
      <c r="R2354" s="93">
        <v>15727.98</v>
      </c>
      <c r="S2354">
        <v>7376.43</v>
      </c>
      <c r="T2354">
        <v>0</v>
      </c>
      <c r="U2354" s="1"/>
      <c r="V2354" s="1"/>
      <c r="W2354">
        <v>15727.978999999999</v>
      </c>
      <c r="X2354">
        <v>0</v>
      </c>
      <c r="Y2354">
        <v>77256</v>
      </c>
    </row>
    <row r="2355" spans="1:25" ht="15" hidden="1" customHeight="1" x14ac:dyDescent="0.25">
      <c r="A2355" s="1" t="s">
        <v>33</v>
      </c>
      <c r="B2355" s="1"/>
      <c r="C2355" s="1" t="s">
        <v>170</v>
      </c>
      <c r="D2355">
        <v>10191</v>
      </c>
      <c r="E2355" s="1"/>
      <c r="F2355" s="1" t="s">
        <v>170</v>
      </c>
      <c r="G2355" s="1" t="s">
        <v>170</v>
      </c>
      <c r="H2355" s="1" t="s">
        <v>1396</v>
      </c>
      <c r="I2355">
        <v>2008</v>
      </c>
      <c r="J2355" s="93">
        <v>13634.12</v>
      </c>
      <c r="K2355">
        <v>12</v>
      </c>
      <c r="L2355" s="1"/>
      <c r="M2355">
        <v>0</v>
      </c>
      <c r="N2355">
        <v>711</v>
      </c>
      <c r="O2355">
        <v>19.173279999999998</v>
      </c>
      <c r="P2355">
        <v>2</v>
      </c>
      <c r="Q2355" s="1" t="s">
        <v>569</v>
      </c>
      <c r="R2355" s="93">
        <v>13634.12</v>
      </c>
      <c r="S2355">
        <v>6394.41</v>
      </c>
      <c r="T2355">
        <v>0</v>
      </c>
      <c r="U2355" s="1"/>
      <c r="V2355" s="1"/>
      <c r="W2355">
        <v>13634.12</v>
      </c>
      <c r="X2355">
        <v>0</v>
      </c>
      <c r="Y2355">
        <v>77256</v>
      </c>
    </row>
    <row r="2356" spans="1:25" ht="15" hidden="1" customHeight="1" x14ac:dyDescent="0.25">
      <c r="A2356" s="1" t="s">
        <v>33</v>
      </c>
      <c r="B2356" s="1"/>
      <c r="C2356" s="1" t="s">
        <v>171</v>
      </c>
      <c r="D2356">
        <v>9517</v>
      </c>
      <c r="E2356" s="1"/>
      <c r="F2356" s="1" t="s">
        <v>302</v>
      </c>
      <c r="G2356" s="1" t="s">
        <v>171</v>
      </c>
      <c r="H2356" s="1" t="s">
        <v>1405</v>
      </c>
      <c r="I2356">
        <v>2015</v>
      </c>
      <c r="J2356" s="93">
        <v>8728</v>
      </c>
      <c r="K2356">
        <v>5</v>
      </c>
      <c r="L2356" s="1"/>
      <c r="M2356">
        <v>0</v>
      </c>
      <c r="N2356">
        <v>784</v>
      </c>
      <c r="O2356">
        <v>5.0714569999999997</v>
      </c>
      <c r="P2356">
        <v>2</v>
      </c>
      <c r="Q2356" s="1" t="s">
        <v>569</v>
      </c>
      <c r="R2356" s="93">
        <v>3976.53</v>
      </c>
      <c r="S2356">
        <v>1192.95</v>
      </c>
      <c r="T2356">
        <v>0</v>
      </c>
      <c r="U2356" s="1" t="s">
        <v>1033</v>
      </c>
      <c r="V2356" s="1"/>
      <c r="W2356">
        <v>3976.5239000000001</v>
      </c>
      <c r="X2356">
        <v>0</v>
      </c>
      <c r="Y2356">
        <v>74424</v>
      </c>
    </row>
    <row r="2357" spans="1:25" ht="15" hidden="1" customHeight="1" x14ac:dyDescent="0.25">
      <c r="A2357" s="1" t="s">
        <v>33</v>
      </c>
      <c r="B2357" s="1"/>
      <c r="C2357" s="1" t="s">
        <v>171</v>
      </c>
      <c r="D2357">
        <v>9517</v>
      </c>
      <c r="E2357" s="1"/>
      <c r="F2357" s="1" t="s">
        <v>302</v>
      </c>
      <c r="G2357" s="1" t="s">
        <v>171</v>
      </c>
      <c r="H2357" s="1" t="s">
        <v>1405</v>
      </c>
      <c r="I2357">
        <v>2013</v>
      </c>
      <c r="J2357" s="93">
        <v>9634.75</v>
      </c>
      <c r="K2357">
        <v>12</v>
      </c>
      <c r="L2357" s="1"/>
      <c r="M2357">
        <v>0</v>
      </c>
      <c r="N2357">
        <v>784</v>
      </c>
      <c r="O2357">
        <v>12.287654</v>
      </c>
      <c r="P2357">
        <v>2</v>
      </c>
      <c r="Q2357" s="1" t="s">
        <v>569</v>
      </c>
      <c r="R2357" s="93">
        <v>9634.75</v>
      </c>
      <c r="S2357">
        <v>2890.46</v>
      </c>
      <c r="T2357">
        <v>0</v>
      </c>
      <c r="U2357" s="1" t="s">
        <v>1033</v>
      </c>
      <c r="V2357" s="1"/>
      <c r="W2357">
        <v>9634.7690000000002</v>
      </c>
      <c r="X2357">
        <v>0</v>
      </c>
      <c r="Y2357">
        <v>74424</v>
      </c>
    </row>
    <row r="2358" spans="1:25" ht="15" hidden="1" customHeight="1" x14ac:dyDescent="0.25">
      <c r="A2358" s="1" t="s">
        <v>33</v>
      </c>
      <c r="B2358" s="1"/>
      <c r="C2358" s="1" t="s">
        <v>171</v>
      </c>
      <c r="D2358">
        <v>9517</v>
      </c>
      <c r="E2358" s="1"/>
      <c r="F2358" s="1" t="s">
        <v>302</v>
      </c>
      <c r="G2358" s="1" t="s">
        <v>171</v>
      </c>
      <c r="H2358" s="1" t="s">
        <v>1405</v>
      </c>
      <c r="I2358">
        <v>2012</v>
      </c>
      <c r="J2358" s="93">
        <v>11652.15</v>
      </c>
      <c r="K2358">
        <v>12</v>
      </c>
      <c r="L2358" s="1"/>
      <c r="M2358">
        <v>0</v>
      </c>
      <c r="N2358">
        <v>784</v>
      </c>
      <c r="O2358">
        <v>14.86054</v>
      </c>
      <c r="P2358">
        <v>2</v>
      </c>
      <c r="Q2358" s="1" t="s">
        <v>569</v>
      </c>
      <c r="R2358" s="93">
        <v>11652.15</v>
      </c>
      <c r="S2358">
        <v>4660.8500000000004</v>
      </c>
      <c r="T2358">
        <v>0</v>
      </c>
      <c r="U2358" s="1" t="s">
        <v>1033</v>
      </c>
      <c r="V2358" s="1"/>
      <c r="W2358">
        <v>11652.1425</v>
      </c>
      <c r="X2358">
        <v>0</v>
      </c>
      <c r="Y2358">
        <v>74424</v>
      </c>
    </row>
    <row r="2359" spans="1:25" ht="15" hidden="1" customHeight="1" x14ac:dyDescent="0.25">
      <c r="A2359" s="1" t="s">
        <v>33</v>
      </c>
      <c r="B2359" s="1"/>
      <c r="C2359" s="1" t="s">
        <v>171</v>
      </c>
      <c r="D2359">
        <v>9517</v>
      </c>
      <c r="E2359" s="1"/>
      <c r="F2359" s="1" t="s">
        <v>302</v>
      </c>
      <c r="G2359" s="1" t="s">
        <v>171</v>
      </c>
      <c r="H2359" s="1" t="s">
        <v>1405</v>
      </c>
      <c r="I2359">
        <v>2011</v>
      </c>
      <c r="J2359" s="93">
        <v>10606.52</v>
      </c>
      <c r="K2359">
        <v>12</v>
      </c>
      <c r="L2359" s="1"/>
      <c r="M2359">
        <v>0</v>
      </c>
      <c r="N2359">
        <v>784</v>
      </c>
      <c r="O2359">
        <v>13.526999</v>
      </c>
      <c r="P2359">
        <v>2</v>
      </c>
      <c r="Q2359" s="1" t="s">
        <v>569</v>
      </c>
      <c r="R2359" s="93">
        <v>10606.52</v>
      </c>
      <c r="S2359">
        <v>4974.4399999999996</v>
      </c>
      <c r="T2359">
        <v>0</v>
      </c>
      <c r="U2359" s="1" t="s">
        <v>1033</v>
      </c>
      <c r="V2359" s="1"/>
      <c r="W2359">
        <v>10606.511500000001</v>
      </c>
      <c r="X2359">
        <v>0</v>
      </c>
      <c r="Y2359">
        <v>74424</v>
      </c>
    </row>
    <row r="2360" spans="1:25" ht="15" hidden="1" customHeight="1" x14ac:dyDescent="0.25">
      <c r="A2360" s="1" t="s">
        <v>33</v>
      </c>
      <c r="B2360" s="1"/>
      <c r="C2360" s="1" t="s">
        <v>171</v>
      </c>
      <c r="D2360">
        <v>9517</v>
      </c>
      <c r="E2360" s="1"/>
      <c r="F2360" s="1" t="s">
        <v>302</v>
      </c>
      <c r="G2360" s="1" t="s">
        <v>171</v>
      </c>
      <c r="H2360" s="1" t="s">
        <v>1405</v>
      </c>
      <c r="I2360">
        <v>2010</v>
      </c>
      <c r="J2360" s="93">
        <v>8894.84</v>
      </c>
      <c r="K2360">
        <v>12</v>
      </c>
      <c r="L2360" s="1"/>
      <c r="M2360">
        <v>0</v>
      </c>
      <c r="N2360">
        <v>784</v>
      </c>
      <c r="O2360">
        <v>11.344011999999999</v>
      </c>
      <c r="P2360">
        <v>2</v>
      </c>
      <c r="Q2360" s="1" t="s">
        <v>569</v>
      </c>
      <c r="R2360" s="93">
        <v>8894.84</v>
      </c>
      <c r="S2360">
        <v>4171.6499999999996</v>
      </c>
      <c r="T2360">
        <v>0</v>
      </c>
      <c r="U2360" s="1" t="s">
        <v>1033</v>
      </c>
      <c r="V2360" s="1"/>
      <c r="W2360">
        <v>8894.8215999999993</v>
      </c>
      <c r="X2360">
        <v>0</v>
      </c>
      <c r="Y2360">
        <v>74424</v>
      </c>
    </row>
    <row r="2361" spans="1:25" ht="15" hidden="1" customHeight="1" x14ac:dyDescent="0.25">
      <c r="A2361" s="1" t="s">
        <v>33</v>
      </c>
      <c r="B2361" s="1"/>
      <c r="C2361" s="1" t="s">
        <v>171</v>
      </c>
      <c r="D2361">
        <v>9517</v>
      </c>
      <c r="E2361" s="1"/>
      <c r="F2361" s="1" t="s">
        <v>302</v>
      </c>
      <c r="G2361" s="1" t="s">
        <v>171</v>
      </c>
      <c r="H2361" s="1" t="s">
        <v>1405</v>
      </c>
      <c r="I2361">
        <v>2009</v>
      </c>
      <c r="J2361" s="93">
        <v>10683.87</v>
      </c>
      <c r="K2361">
        <v>12</v>
      </c>
      <c r="L2361" s="1"/>
      <c r="M2361">
        <v>0</v>
      </c>
      <c r="N2361">
        <v>784</v>
      </c>
      <c r="O2361">
        <v>13.625647000000001</v>
      </c>
      <c r="P2361">
        <v>2</v>
      </c>
      <c r="Q2361" s="1" t="s">
        <v>569</v>
      </c>
      <c r="R2361" s="93">
        <v>10683.87</v>
      </c>
      <c r="S2361">
        <v>5010.7</v>
      </c>
      <c r="T2361">
        <v>0</v>
      </c>
      <c r="U2361" s="1" t="s">
        <v>1033</v>
      </c>
      <c r="V2361" s="1"/>
      <c r="W2361">
        <v>10683.8622</v>
      </c>
      <c r="X2361">
        <v>0</v>
      </c>
      <c r="Y2361">
        <v>74424</v>
      </c>
    </row>
    <row r="2362" spans="1:25" ht="15" hidden="1" customHeight="1" x14ac:dyDescent="0.25">
      <c r="A2362" s="1" t="s">
        <v>33</v>
      </c>
      <c r="B2362" s="1"/>
      <c r="C2362" s="1" t="s">
        <v>171</v>
      </c>
      <c r="D2362">
        <v>9517</v>
      </c>
      <c r="E2362" s="1"/>
      <c r="F2362" s="1" t="s">
        <v>302</v>
      </c>
      <c r="G2362" s="1" t="s">
        <v>171</v>
      </c>
      <c r="H2362" s="1" t="s">
        <v>1405</v>
      </c>
      <c r="I2362">
        <v>2008</v>
      </c>
      <c r="J2362" s="93">
        <v>14111.19</v>
      </c>
      <c r="K2362">
        <v>12</v>
      </c>
      <c r="L2362" s="1"/>
      <c r="M2362">
        <v>0</v>
      </c>
      <c r="N2362">
        <v>784</v>
      </c>
      <c r="O2362">
        <v>17.996670999999999</v>
      </c>
      <c r="P2362">
        <v>2</v>
      </c>
      <c r="Q2362" s="1" t="s">
        <v>569</v>
      </c>
      <c r="R2362" s="93">
        <v>14111.19</v>
      </c>
      <c r="S2362">
        <v>6618.14</v>
      </c>
      <c r="T2362">
        <v>0</v>
      </c>
      <c r="U2362" s="1" t="s">
        <v>1033</v>
      </c>
      <c r="V2362" s="1"/>
      <c r="W2362">
        <v>14111.1875</v>
      </c>
      <c r="X2362">
        <v>0</v>
      </c>
      <c r="Y2362">
        <v>74424</v>
      </c>
    </row>
    <row r="2363" spans="1:25" ht="15" hidden="1" customHeight="1" x14ac:dyDescent="0.25">
      <c r="A2363" s="1" t="s">
        <v>33</v>
      </c>
      <c r="B2363" s="1" t="s">
        <v>72</v>
      </c>
      <c r="C2363" s="1" t="s">
        <v>172</v>
      </c>
      <c r="D2363">
        <v>5300</v>
      </c>
      <c r="E2363" s="1"/>
      <c r="F2363" s="1" t="s">
        <v>303</v>
      </c>
      <c r="G2363" s="1" t="s">
        <v>172</v>
      </c>
      <c r="H2363" s="1" t="s">
        <v>1405</v>
      </c>
      <c r="I2363">
        <v>2015</v>
      </c>
      <c r="J2363" s="93">
        <v>757546</v>
      </c>
      <c r="K2363">
        <v>5</v>
      </c>
      <c r="L2363" s="1" t="s">
        <v>393</v>
      </c>
      <c r="M2363">
        <v>0</v>
      </c>
      <c r="N2363">
        <v>7375</v>
      </c>
      <c r="O2363">
        <v>59.180213999999999</v>
      </c>
      <c r="P2363">
        <v>1</v>
      </c>
      <c r="Q2363" s="1" t="s">
        <v>562</v>
      </c>
      <c r="R2363" s="93">
        <v>925711</v>
      </c>
      <c r="S2363">
        <v>95843312.599999994</v>
      </c>
      <c r="T2363">
        <v>0</v>
      </c>
      <c r="U2363" s="1" t="s">
        <v>825</v>
      </c>
      <c r="V2363" s="1"/>
      <c r="W2363">
        <v>436460</v>
      </c>
      <c r="X2363">
        <v>0</v>
      </c>
      <c r="Y2363">
        <v>56974</v>
      </c>
    </row>
    <row r="2364" spans="1:25" ht="15" hidden="1" customHeight="1" x14ac:dyDescent="0.25">
      <c r="A2364" s="1" t="s">
        <v>33</v>
      </c>
      <c r="B2364" s="1" t="s">
        <v>72</v>
      </c>
      <c r="C2364" s="1" t="s">
        <v>172</v>
      </c>
      <c r="D2364">
        <v>5300</v>
      </c>
      <c r="E2364" s="1"/>
      <c r="F2364" s="1" t="s">
        <v>303</v>
      </c>
      <c r="G2364" s="1" t="s">
        <v>172</v>
      </c>
      <c r="H2364" s="1" t="s">
        <v>1405</v>
      </c>
      <c r="I2364">
        <v>2015</v>
      </c>
      <c r="J2364" s="93">
        <v>127841</v>
      </c>
      <c r="K2364">
        <v>5</v>
      </c>
      <c r="L2364" s="1" t="s">
        <v>393</v>
      </c>
      <c r="M2364">
        <v>0</v>
      </c>
      <c r="N2364">
        <v>7375</v>
      </c>
      <c r="O2364">
        <v>8.2334150000000008</v>
      </c>
      <c r="P2364">
        <v>2</v>
      </c>
      <c r="Q2364" s="1" t="s">
        <v>569</v>
      </c>
      <c r="R2364" s="93">
        <v>60722.26</v>
      </c>
      <c r="S2364">
        <v>24288.9</v>
      </c>
      <c r="T2364">
        <v>0</v>
      </c>
      <c r="U2364" s="1" t="s">
        <v>1034</v>
      </c>
      <c r="V2364" s="1" t="s">
        <v>1308</v>
      </c>
      <c r="W2364">
        <v>60722.26</v>
      </c>
      <c r="X2364">
        <v>0</v>
      </c>
      <c r="Y2364">
        <v>56967</v>
      </c>
    </row>
    <row r="2365" spans="1:25" ht="15" hidden="1" customHeight="1" x14ac:dyDescent="0.25">
      <c r="A2365" s="1" t="s">
        <v>33</v>
      </c>
      <c r="B2365" s="1" t="s">
        <v>72</v>
      </c>
      <c r="C2365" s="1" t="s">
        <v>172</v>
      </c>
      <c r="D2365">
        <v>5300</v>
      </c>
      <c r="E2365" s="1"/>
      <c r="F2365" s="1" t="s">
        <v>303</v>
      </c>
      <c r="G2365" s="1" t="s">
        <v>172</v>
      </c>
      <c r="H2365" s="1" t="s">
        <v>1405</v>
      </c>
      <c r="I2365">
        <v>2012</v>
      </c>
      <c r="J2365" s="93">
        <v>300655.03999999998</v>
      </c>
      <c r="K2365">
        <v>12</v>
      </c>
      <c r="L2365" s="1" t="s">
        <v>393</v>
      </c>
      <c r="M2365">
        <v>0</v>
      </c>
      <c r="N2365">
        <v>7375</v>
      </c>
      <c r="O2365">
        <v>40.766232000000002</v>
      </c>
      <c r="P2365">
        <v>2</v>
      </c>
      <c r="Q2365" s="1" t="s">
        <v>569</v>
      </c>
      <c r="R2365" s="93">
        <v>300655.03999999998</v>
      </c>
      <c r="S2365">
        <v>120262.01</v>
      </c>
      <c r="T2365">
        <v>0</v>
      </c>
      <c r="U2365" s="1" t="s">
        <v>1034</v>
      </c>
      <c r="V2365" s="1" t="s">
        <v>1308</v>
      </c>
      <c r="W2365">
        <v>300655.03999999998</v>
      </c>
      <c r="X2365">
        <v>0</v>
      </c>
      <c r="Y2365">
        <v>56967</v>
      </c>
    </row>
    <row r="2366" spans="1:25" ht="15" hidden="1" customHeight="1" x14ac:dyDescent="0.25">
      <c r="A2366" s="1" t="s">
        <v>33</v>
      </c>
      <c r="B2366" s="1" t="s">
        <v>72</v>
      </c>
      <c r="C2366" s="1" t="s">
        <v>172</v>
      </c>
      <c r="D2366">
        <v>5300</v>
      </c>
      <c r="E2366" s="1"/>
      <c r="F2366" s="1" t="s">
        <v>303</v>
      </c>
      <c r="G2366" s="1" t="s">
        <v>172</v>
      </c>
      <c r="H2366" s="1" t="s">
        <v>1405</v>
      </c>
      <c r="I2366">
        <v>2011</v>
      </c>
      <c r="J2366" s="93">
        <v>283081.15999999997</v>
      </c>
      <c r="K2366">
        <v>12</v>
      </c>
      <c r="L2366" s="1" t="s">
        <v>393</v>
      </c>
      <c r="M2366">
        <v>0</v>
      </c>
      <c r="N2366">
        <v>7375</v>
      </c>
      <c r="O2366">
        <v>38.383364999999998</v>
      </c>
      <c r="P2366">
        <v>2</v>
      </c>
      <c r="Q2366" s="1" t="s">
        <v>569</v>
      </c>
      <c r="R2366" s="93">
        <v>283081.15999999997</v>
      </c>
      <c r="S2366">
        <v>132765.07999999999</v>
      </c>
      <c r="T2366">
        <v>0</v>
      </c>
      <c r="U2366" s="1" t="s">
        <v>1034</v>
      </c>
      <c r="V2366" s="1" t="s">
        <v>1308</v>
      </c>
      <c r="W2366">
        <v>283081.15999999997</v>
      </c>
      <c r="X2366">
        <v>0</v>
      </c>
      <c r="Y2366">
        <v>56967</v>
      </c>
    </row>
    <row r="2367" spans="1:25" ht="15" hidden="1" customHeight="1" x14ac:dyDescent="0.25">
      <c r="A2367" s="1" t="s">
        <v>33</v>
      </c>
      <c r="B2367" s="1" t="s">
        <v>72</v>
      </c>
      <c r="C2367" s="1" t="s">
        <v>172</v>
      </c>
      <c r="D2367">
        <v>5300</v>
      </c>
      <c r="E2367" s="1"/>
      <c r="F2367" s="1" t="s">
        <v>303</v>
      </c>
      <c r="G2367" s="1" t="s">
        <v>172</v>
      </c>
      <c r="H2367" s="1" t="s">
        <v>1405</v>
      </c>
      <c r="I2367">
        <v>2010</v>
      </c>
      <c r="J2367" s="93">
        <v>322591.24</v>
      </c>
      <c r="K2367">
        <v>12</v>
      </c>
      <c r="L2367" s="1" t="s">
        <v>393</v>
      </c>
      <c r="M2367">
        <v>0</v>
      </c>
      <c r="N2367">
        <v>7375</v>
      </c>
      <c r="O2367">
        <v>43.740591000000002</v>
      </c>
      <c r="P2367">
        <v>2</v>
      </c>
      <c r="Q2367" s="1" t="s">
        <v>569</v>
      </c>
      <c r="R2367" s="93">
        <v>322591.24</v>
      </c>
      <c r="S2367">
        <v>151295.29999999999</v>
      </c>
      <c r="T2367">
        <v>0</v>
      </c>
      <c r="U2367" s="1" t="s">
        <v>1034</v>
      </c>
      <c r="V2367" s="1" t="s">
        <v>1308</v>
      </c>
      <c r="W2367">
        <v>322591.24</v>
      </c>
      <c r="X2367">
        <v>0</v>
      </c>
      <c r="Y2367">
        <v>56967</v>
      </c>
    </row>
    <row r="2368" spans="1:25" ht="15" hidden="1" customHeight="1" x14ac:dyDescent="0.25">
      <c r="A2368" s="1" t="s">
        <v>33</v>
      </c>
      <c r="B2368" s="1" t="s">
        <v>72</v>
      </c>
      <c r="C2368" s="1" t="s">
        <v>172</v>
      </c>
      <c r="D2368">
        <v>5300</v>
      </c>
      <c r="E2368" s="1"/>
      <c r="F2368" s="1" t="s">
        <v>303</v>
      </c>
      <c r="G2368" s="1" t="s">
        <v>172</v>
      </c>
      <c r="H2368" s="1" t="s">
        <v>1405</v>
      </c>
      <c r="I2368">
        <v>2009</v>
      </c>
      <c r="J2368" s="93">
        <v>311880.76</v>
      </c>
      <c r="K2368">
        <v>12</v>
      </c>
      <c r="L2368" s="1" t="s">
        <v>393</v>
      </c>
      <c r="M2368">
        <v>0</v>
      </c>
      <c r="N2368">
        <v>7375</v>
      </c>
      <c r="O2368">
        <v>42.288342999999998</v>
      </c>
      <c r="P2368">
        <v>2</v>
      </c>
      <c r="Q2368" s="1" t="s">
        <v>569</v>
      </c>
      <c r="R2368" s="93">
        <v>311880.76</v>
      </c>
      <c r="S2368">
        <v>146272.07</v>
      </c>
      <c r="T2368">
        <v>0</v>
      </c>
      <c r="U2368" s="1" t="s">
        <v>1034</v>
      </c>
      <c r="V2368" s="1" t="s">
        <v>1308</v>
      </c>
      <c r="W2368">
        <v>311880.76</v>
      </c>
      <c r="X2368">
        <v>0</v>
      </c>
      <c r="Y2368">
        <v>56967</v>
      </c>
    </row>
    <row r="2369" spans="1:25" ht="15" hidden="1" customHeight="1" x14ac:dyDescent="0.25">
      <c r="A2369" s="1" t="s">
        <v>33</v>
      </c>
      <c r="B2369" s="1" t="s">
        <v>72</v>
      </c>
      <c r="C2369" s="1" t="s">
        <v>172</v>
      </c>
      <c r="D2369">
        <v>5300</v>
      </c>
      <c r="E2369" s="1"/>
      <c r="F2369" s="1" t="s">
        <v>303</v>
      </c>
      <c r="G2369" s="1" t="s">
        <v>172</v>
      </c>
      <c r="H2369" s="1" t="s">
        <v>1405</v>
      </c>
      <c r="I2369">
        <v>2008</v>
      </c>
      <c r="J2369" s="93">
        <v>363484</v>
      </c>
      <c r="K2369">
        <v>12</v>
      </c>
      <c r="L2369" s="1" t="s">
        <v>393</v>
      </c>
      <c r="M2369">
        <v>0</v>
      </c>
      <c r="N2369">
        <v>7375</v>
      </c>
      <c r="O2369">
        <v>49.285297</v>
      </c>
      <c r="P2369">
        <v>2</v>
      </c>
      <c r="Q2369" s="1" t="s">
        <v>569</v>
      </c>
      <c r="R2369" s="93">
        <v>363484</v>
      </c>
      <c r="S2369">
        <v>170473.99</v>
      </c>
      <c r="T2369">
        <v>0</v>
      </c>
      <c r="U2369" s="1" t="s">
        <v>1034</v>
      </c>
      <c r="V2369" s="1" t="s">
        <v>1308</v>
      </c>
      <c r="W2369">
        <v>363484</v>
      </c>
      <c r="X2369">
        <v>0</v>
      </c>
      <c r="Y2369">
        <v>56967</v>
      </c>
    </row>
    <row r="2370" spans="1:25" ht="15" hidden="1" customHeight="1" x14ac:dyDescent="0.25">
      <c r="A2370" s="1" t="s">
        <v>35</v>
      </c>
      <c r="B2370" s="1" t="s">
        <v>73</v>
      </c>
      <c r="C2370" s="1" t="s">
        <v>174</v>
      </c>
      <c r="D2370">
        <v>13660</v>
      </c>
      <c r="E2370" s="1"/>
      <c r="F2370" s="1" t="s">
        <v>304</v>
      </c>
      <c r="G2370" s="1" t="s">
        <v>174</v>
      </c>
      <c r="H2370" s="1" t="s">
        <v>1405</v>
      </c>
      <c r="I2370">
        <v>2009</v>
      </c>
      <c r="J2370" s="93">
        <v>11660.3</v>
      </c>
      <c r="K2370">
        <v>1</v>
      </c>
      <c r="L2370" s="1" t="s">
        <v>442</v>
      </c>
      <c r="M2370">
        <v>0</v>
      </c>
      <c r="N2370">
        <v>532</v>
      </c>
      <c r="O2370">
        <v>21.913737999999999</v>
      </c>
      <c r="P2370">
        <v>2</v>
      </c>
      <c r="Q2370" s="1" t="s">
        <v>569</v>
      </c>
      <c r="R2370" s="93">
        <v>11660.3</v>
      </c>
      <c r="S2370">
        <v>5468.68</v>
      </c>
      <c r="T2370">
        <v>0</v>
      </c>
      <c r="U2370" s="1" t="s">
        <v>1036</v>
      </c>
      <c r="V2370" s="1" t="s">
        <v>1309</v>
      </c>
      <c r="W2370">
        <v>11660.28853</v>
      </c>
      <c r="X2370">
        <v>0</v>
      </c>
      <c r="Y2370">
        <v>91247</v>
      </c>
    </row>
    <row r="2371" spans="1:25" ht="15" hidden="1" customHeight="1" x14ac:dyDescent="0.25">
      <c r="A2371" s="1" t="s">
        <v>35</v>
      </c>
      <c r="B2371" s="1" t="s">
        <v>73</v>
      </c>
      <c r="C2371" s="1" t="s">
        <v>174</v>
      </c>
      <c r="D2371">
        <v>13660</v>
      </c>
      <c r="E2371" s="1"/>
      <c r="F2371" s="1" t="s">
        <v>304</v>
      </c>
      <c r="G2371" s="1" t="s">
        <v>174</v>
      </c>
      <c r="H2371" s="1" t="s">
        <v>1405</v>
      </c>
      <c r="I2371">
        <v>2010</v>
      </c>
      <c r="J2371" s="93">
        <v>10646.06</v>
      </c>
      <c r="K2371">
        <v>1</v>
      </c>
      <c r="L2371" s="1" t="s">
        <v>442</v>
      </c>
      <c r="M2371">
        <v>0</v>
      </c>
      <c r="N2371">
        <v>532</v>
      </c>
      <c r="O2371">
        <v>20.007629999999999</v>
      </c>
      <c r="P2371">
        <v>2</v>
      </c>
      <c r="Q2371" s="1" t="s">
        <v>569</v>
      </c>
      <c r="R2371" s="93">
        <v>10646.06</v>
      </c>
      <c r="S2371">
        <v>4992.99</v>
      </c>
      <c r="T2371">
        <v>0</v>
      </c>
      <c r="U2371" s="1" t="s">
        <v>1036</v>
      </c>
      <c r="V2371" s="1" t="s">
        <v>1309</v>
      </c>
      <c r="W2371">
        <v>10646.03926</v>
      </c>
      <c r="X2371">
        <v>0</v>
      </c>
      <c r="Y2371">
        <v>91247</v>
      </c>
    </row>
    <row r="2372" spans="1:25" ht="15" hidden="1" customHeight="1" x14ac:dyDescent="0.25">
      <c r="A2372" s="1" t="s">
        <v>35</v>
      </c>
      <c r="B2372" s="1" t="s">
        <v>73</v>
      </c>
      <c r="C2372" s="1" t="s">
        <v>174</v>
      </c>
      <c r="D2372">
        <v>13660</v>
      </c>
      <c r="E2372" s="1"/>
      <c r="F2372" s="1" t="s">
        <v>304</v>
      </c>
      <c r="G2372" s="1" t="s">
        <v>174</v>
      </c>
      <c r="H2372" s="1" t="s">
        <v>1405</v>
      </c>
      <c r="I2372">
        <v>2011</v>
      </c>
      <c r="J2372" s="93">
        <v>9604.3799999999992</v>
      </c>
      <c r="K2372">
        <v>1</v>
      </c>
      <c r="L2372" s="1" t="s">
        <v>442</v>
      </c>
      <c r="M2372">
        <v>0</v>
      </c>
      <c r="N2372">
        <v>532</v>
      </c>
      <c r="O2372">
        <v>18.049952999999999</v>
      </c>
      <c r="P2372">
        <v>2</v>
      </c>
      <c r="Q2372" s="1" t="s">
        <v>569</v>
      </c>
      <c r="R2372" s="93">
        <v>9604.3799999999992</v>
      </c>
      <c r="S2372">
        <v>4504.51</v>
      </c>
      <c r="T2372">
        <v>0</v>
      </c>
      <c r="U2372" s="1" t="s">
        <v>1036</v>
      </c>
      <c r="V2372" s="1" t="s">
        <v>1309</v>
      </c>
      <c r="W2372">
        <v>9604.4035600000007</v>
      </c>
      <c r="X2372">
        <v>0</v>
      </c>
      <c r="Y2372">
        <v>91247</v>
      </c>
    </row>
    <row r="2373" spans="1:25" ht="15" hidden="1" customHeight="1" x14ac:dyDescent="0.25">
      <c r="A2373" s="1" t="s">
        <v>35</v>
      </c>
      <c r="B2373" s="1" t="s">
        <v>73</v>
      </c>
      <c r="C2373" s="1" t="s">
        <v>174</v>
      </c>
      <c r="D2373">
        <v>13660</v>
      </c>
      <c r="E2373" s="1"/>
      <c r="F2373" s="1" t="s">
        <v>304</v>
      </c>
      <c r="G2373" s="1" t="s">
        <v>174</v>
      </c>
      <c r="H2373" s="1" t="s">
        <v>1405</v>
      </c>
      <c r="I2373">
        <v>2012</v>
      </c>
      <c r="J2373" s="93">
        <v>8037.29</v>
      </c>
      <c r="K2373">
        <v>3</v>
      </c>
      <c r="L2373" s="1" t="s">
        <v>442</v>
      </c>
      <c r="M2373">
        <v>0</v>
      </c>
      <c r="N2373">
        <v>532</v>
      </c>
      <c r="O2373">
        <v>15.104848</v>
      </c>
      <c r="P2373">
        <v>2</v>
      </c>
      <c r="Q2373" s="1" t="s">
        <v>569</v>
      </c>
      <c r="R2373" s="93">
        <v>8037.29</v>
      </c>
      <c r="S2373">
        <v>3214.92</v>
      </c>
      <c r="T2373">
        <v>0</v>
      </c>
      <c r="U2373" s="1" t="s">
        <v>1036</v>
      </c>
      <c r="V2373" s="1" t="s">
        <v>1309</v>
      </c>
      <c r="W2373">
        <v>8037.2933300000004</v>
      </c>
      <c r="X2373">
        <v>0</v>
      </c>
      <c r="Y2373">
        <v>91247</v>
      </c>
    </row>
    <row r="2374" spans="1:25" ht="15" hidden="1" customHeight="1" x14ac:dyDescent="0.25">
      <c r="A2374" s="1" t="s">
        <v>35</v>
      </c>
      <c r="B2374" s="1" t="s">
        <v>73</v>
      </c>
      <c r="C2374" s="1" t="s">
        <v>174</v>
      </c>
      <c r="D2374">
        <v>13660</v>
      </c>
      <c r="E2374" s="1"/>
      <c r="F2374" s="1" t="s">
        <v>304</v>
      </c>
      <c r="G2374" s="1" t="s">
        <v>174</v>
      </c>
      <c r="H2374" s="1" t="s">
        <v>1405</v>
      </c>
      <c r="I2374">
        <v>2013</v>
      </c>
      <c r="J2374" s="93">
        <v>12.89</v>
      </c>
      <c r="K2374">
        <v>3</v>
      </c>
      <c r="L2374" s="1" t="s">
        <v>436</v>
      </c>
      <c r="M2374">
        <v>0</v>
      </c>
      <c r="N2374">
        <v>532</v>
      </c>
      <c r="O2374">
        <v>2.4223999999999999E-2</v>
      </c>
      <c r="P2374">
        <v>3</v>
      </c>
      <c r="Q2374" s="1" t="s">
        <v>560</v>
      </c>
      <c r="R2374" s="93">
        <v>12.89</v>
      </c>
      <c r="S2374">
        <v>10.31</v>
      </c>
      <c r="T2374">
        <v>1</v>
      </c>
      <c r="U2374" s="1" t="s">
        <v>654</v>
      </c>
      <c r="V2374" s="1"/>
      <c r="W2374">
        <v>12.89</v>
      </c>
      <c r="X2374">
        <v>0</v>
      </c>
      <c r="Y2374">
        <v>91248</v>
      </c>
    </row>
    <row r="2375" spans="1:25" ht="15" hidden="1" customHeight="1" x14ac:dyDescent="0.25">
      <c r="A2375" s="1" t="s">
        <v>35</v>
      </c>
      <c r="B2375" s="1" t="s">
        <v>73</v>
      </c>
      <c r="C2375" s="1" t="s">
        <v>174</v>
      </c>
      <c r="D2375">
        <v>13660</v>
      </c>
      <c r="E2375" s="1"/>
      <c r="F2375" s="1" t="s">
        <v>304</v>
      </c>
      <c r="G2375" s="1" t="s">
        <v>174</v>
      </c>
      <c r="H2375" s="1" t="s">
        <v>1396</v>
      </c>
      <c r="I2375">
        <v>2013</v>
      </c>
      <c r="J2375" s="93">
        <v>4273.3</v>
      </c>
      <c r="K2375">
        <v>4</v>
      </c>
      <c r="L2375" s="1" t="s">
        <v>442</v>
      </c>
      <c r="M2375">
        <v>0</v>
      </c>
      <c r="N2375">
        <v>532</v>
      </c>
      <c r="O2375">
        <v>8.0310089999999992</v>
      </c>
      <c r="P2375">
        <v>1</v>
      </c>
      <c r="Q2375" s="1" t="s">
        <v>565</v>
      </c>
      <c r="R2375" s="93">
        <v>5237.01</v>
      </c>
      <c r="S2375">
        <v>335.17</v>
      </c>
      <c r="T2375">
        <v>1</v>
      </c>
      <c r="U2375" s="1" t="s">
        <v>827</v>
      </c>
      <c r="V2375" s="1"/>
      <c r="W2375">
        <v>4.2732999999999999</v>
      </c>
      <c r="X2375">
        <v>0</v>
      </c>
      <c r="Y2375">
        <v>94331</v>
      </c>
    </row>
    <row r="2376" spans="1:25" ht="15" hidden="1" customHeight="1" x14ac:dyDescent="0.25">
      <c r="A2376" s="1" t="s">
        <v>35</v>
      </c>
      <c r="B2376" s="1" t="s">
        <v>73</v>
      </c>
      <c r="C2376" s="1" t="s">
        <v>174</v>
      </c>
      <c r="D2376">
        <v>13660</v>
      </c>
      <c r="E2376" s="1"/>
      <c r="F2376" s="1" t="s">
        <v>304</v>
      </c>
      <c r="G2376" s="1" t="s">
        <v>174</v>
      </c>
      <c r="H2376" s="1" t="s">
        <v>1396</v>
      </c>
      <c r="I2376">
        <v>2013</v>
      </c>
      <c r="J2376" s="93">
        <v>16042.38</v>
      </c>
      <c r="K2376">
        <v>4</v>
      </c>
      <c r="L2376" s="1" t="s">
        <v>442</v>
      </c>
      <c r="M2376">
        <v>0</v>
      </c>
      <c r="N2376">
        <v>532</v>
      </c>
      <c r="O2376">
        <v>30.149182</v>
      </c>
      <c r="P2376">
        <v>1</v>
      </c>
      <c r="Q2376" s="1" t="s">
        <v>565</v>
      </c>
      <c r="R2376" s="93">
        <v>18794.14</v>
      </c>
      <c r="S2376">
        <v>1202.83</v>
      </c>
      <c r="T2376">
        <v>1</v>
      </c>
      <c r="U2376" s="1" t="s">
        <v>828</v>
      </c>
      <c r="V2376" s="1"/>
      <c r="W2376">
        <v>16.042380000000001</v>
      </c>
      <c r="X2376">
        <v>0</v>
      </c>
      <c r="Y2376">
        <v>94332</v>
      </c>
    </row>
    <row r="2377" spans="1:25" ht="15" hidden="1" customHeight="1" x14ac:dyDescent="0.25">
      <c r="A2377" s="1" t="s">
        <v>35</v>
      </c>
      <c r="B2377" s="1" t="s">
        <v>73</v>
      </c>
      <c r="C2377" s="1" t="s">
        <v>174</v>
      </c>
      <c r="D2377">
        <v>13660</v>
      </c>
      <c r="E2377" s="1"/>
      <c r="F2377" s="1" t="s">
        <v>304</v>
      </c>
      <c r="G2377" s="1" t="s">
        <v>174</v>
      </c>
      <c r="H2377" s="1" t="s">
        <v>1405</v>
      </c>
      <c r="I2377">
        <v>2013</v>
      </c>
      <c r="J2377" s="93">
        <v>7643.68</v>
      </c>
      <c r="K2377">
        <v>6</v>
      </c>
      <c r="L2377" s="1" t="s">
        <v>442</v>
      </c>
      <c r="M2377">
        <v>0</v>
      </c>
      <c r="N2377">
        <v>532</v>
      </c>
      <c r="O2377">
        <v>14.365119</v>
      </c>
      <c r="P2377">
        <v>2</v>
      </c>
      <c r="Q2377" s="1" t="s">
        <v>569</v>
      </c>
      <c r="R2377" s="93">
        <v>7643.68</v>
      </c>
      <c r="S2377">
        <v>2293.09</v>
      </c>
      <c r="T2377">
        <v>0</v>
      </c>
      <c r="U2377" s="1" t="s">
        <v>1036</v>
      </c>
      <c r="V2377" s="1" t="s">
        <v>1309</v>
      </c>
      <c r="W2377">
        <v>7643.6547600000004</v>
      </c>
      <c r="X2377">
        <v>0</v>
      </c>
      <c r="Y2377">
        <v>91247</v>
      </c>
    </row>
    <row r="2378" spans="1:25" ht="15" hidden="1" customHeight="1" x14ac:dyDescent="0.25">
      <c r="A2378" s="1" t="s">
        <v>35</v>
      </c>
      <c r="B2378" s="1" t="s">
        <v>73</v>
      </c>
      <c r="C2378" s="1" t="s">
        <v>174</v>
      </c>
      <c r="D2378">
        <v>13660</v>
      </c>
      <c r="E2378" s="1"/>
      <c r="F2378" s="1" t="s">
        <v>304</v>
      </c>
      <c r="G2378" s="1" t="s">
        <v>174</v>
      </c>
      <c r="H2378" s="1" t="s">
        <v>1405</v>
      </c>
      <c r="I2378">
        <v>2014</v>
      </c>
      <c r="J2378" s="93">
        <v>8007.35</v>
      </c>
      <c r="K2378">
        <v>11</v>
      </c>
      <c r="L2378" s="1" t="s">
        <v>442</v>
      </c>
      <c r="M2378">
        <v>0</v>
      </c>
      <c r="N2378">
        <v>532</v>
      </c>
      <c r="O2378">
        <v>15.048581</v>
      </c>
      <c r="P2378">
        <v>2</v>
      </c>
      <c r="Q2378" s="1" t="s">
        <v>569</v>
      </c>
      <c r="R2378" s="93">
        <v>8007.35</v>
      </c>
      <c r="S2378">
        <v>2402.21</v>
      </c>
      <c r="T2378">
        <v>0</v>
      </c>
      <c r="U2378" s="1" t="s">
        <v>1036</v>
      </c>
      <c r="V2378" s="1" t="s">
        <v>1309</v>
      </c>
      <c r="W2378">
        <v>8007.3570399999999</v>
      </c>
      <c r="X2378">
        <v>0</v>
      </c>
      <c r="Y2378">
        <v>91247</v>
      </c>
    </row>
    <row r="2379" spans="1:25" ht="15" hidden="1" customHeight="1" x14ac:dyDescent="0.25">
      <c r="A2379" s="1" t="s">
        <v>35</v>
      </c>
      <c r="B2379" s="1" t="s">
        <v>73</v>
      </c>
      <c r="C2379" s="1" t="s">
        <v>174</v>
      </c>
      <c r="D2379">
        <v>13660</v>
      </c>
      <c r="E2379" s="1"/>
      <c r="F2379" s="1" t="s">
        <v>304</v>
      </c>
      <c r="G2379" s="1" t="s">
        <v>174</v>
      </c>
      <c r="H2379" s="1" t="s">
        <v>1396</v>
      </c>
      <c r="I2379">
        <v>2014</v>
      </c>
      <c r="J2379" s="93">
        <v>14643.66</v>
      </c>
      <c r="K2379">
        <v>11</v>
      </c>
      <c r="L2379" s="1" t="s">
        <v>442</v>
      </c>
      <c r="M2379">
        <v>0</v>
      </c>
      <c r="N2379">
        <v>532</v>
      </c>
      <c r="O2379">
        <v>27.520503000000001</v>
      </c>
      <c r="P2379">
        <v>1</v>
      </c>
      <c r="Q2379" s="1" t="s">
        <v>565</v>
      </c>
      <c r="R2379" s="93">
        <v>17891.5</v>
      </c>
      <c r="S2379">
        <v>1145.05</v>
      </c>
      <c r="T2379">
        <v>1</v>
      </c>
      <c r="U2379" s="1" t="s">
        <v>827</v>
      </c>
      <c r="V2379" s="1"/>
      <c r="W2379">
        <v>14.643660000000001</v>
      </c>
      <c r="X2379">
        <v>0</v>
      </c>
      <c r="Y2379">
        <v>94331</v>
      </c>
    </row>
    <row r="2380" spans="1:25" ht="15" hidden="1" customHeight="1" x14ac:dyDescent="0.25">
      <c r="A2380" s="1" t="s">
        <v>35</v>
      </c>
      <c r="B2380" s="1" t="s">
        <v>73</v>
      </c>
      <c r="C2380" s="1" t="s">
        <v>174</v>
      </c>
      <c r="D2380">
        <v>13660</v>
      </c>
      <c r="E2380" s="1"/>
      <c r="F2380" s="1" t="s">
        <v>304</v>
      </c>
      <c r="G2380" s="1" t="s">
        <v>174</v>
      </c>
      <c r="H2380" s="1" t="s">
        <v>1396</v>
      </c>
      <c r="I2380">
        <v>2014</v>
      </c>
      <c r="J2380" s="93">
        <v>43447.32</v>
      </c>
      <c r="K2380">
        <v>11</v>
      </c>
      <c r="L2380" s="1" t="s">
        <v>442</v>
      </c>
      <c r="M2380">
        <v>0</v>
      </c>
      <c r="N2380">
        <v>532</v>
      </c>
      <c r="O2380">
        <v>81.652546000000001</v>
      </c>
      <c r="P2380">
        <v>1</v>
      </c>
      <c r="Q2380" s="1" t="s">
        <v>565</v>
      </c>
      <c r="R2380" s="93">
        <v>52816.87</v>
      </c>
      <c r="S2380">
        <v>3380.29</v>
      </c>
      <c r="T2380">
        <v>1</v>
      </c>
      <c r="U2380" s="1" t="s">
        <v>828</v>
      </c>
      <c r="V2380" s="1"/>
      <c r="W2380">
        <v>43.447319999999998</v>
      </c>
      <c r="X2380">
        <v>0</v>
      </c>
      <c r="Y2380">
        <v>94332</v>
      </c>
    </row>
    <row r="2381" spans="1:25" ht="15" hidden="1" customHeight="1" x14ac:dyDescent="0.25">
      <c r="A2381" s="1" t="s">
        <v>35</v>
      </c>
      <c r="B2381" s="1" t="s">
        <v>73</v>
      </c>
      <c r="C2381" s="1" t="s">
        <v>174</v>
      </c>
      <c r="D2381">
        <v>13660</v>
      </c>
      <c r="E2381" s="1"/>
      <c r="F2381" s="1" t="s">
        <v>304</v>
      </c>
      <c r="G2381" s="1" t="s">
        <v>174</v>
      </c>
      <c r="H2381" s="1" t="s">
        <v>1396</v>
      </c>
      <c r="I2381">
        <v>2015</v>
      </c>
      <c r="J2381" s="93">
        <v>12816.03</v>
      </c>
      <c r="K2381">
        <v>5</v>
      </c>
      <c r="L2381" s="1" t="s">
        <v>442</v>
      </c>
      <c r="M2381">
        <v>0</v>
      </c>
      <c r="N2381">
        <v>532</v>
      </c>
      <c r="O2381">
        <v>24.085754000000001</v>
      </c>
      <c r="P2381">
        <v>1</v>
      </c>
      <c r="Q2381" s="1" t="s">
        <v>565</v>
      </c>
      <c r="R2381" s="93">
        <v>14471.21</v>
      </c>
      <c r="S2381">
        <v>926.16</v>
      </c>
      <c r="T2381">
        <v>1</v>
      </c>
      <c r="U2381" s="1" t="s">
        <v>827</v>
      </c>
      <c r="V2381" s="1"/>
      <c r="W2381">
        <v>12.81603</v>
      </c>
      <c r="X2381">
        <v>0</v>
      </c>
      <c r="Y2381">
        <v>94331</v>
      </c>
    </row>
    <row r="2382" spans="1:25" ht="15" hidden="1" customHeight="1" x14ac:dyDescent="0.25">
      <c r="A2382" s="1" t="s">
        <v>35</v>
      </c>
      <c r="B2382" s="1" t="s">
        <v>73</v>
      </c>
      <c r="C2382" s="1" t="s">
        <v>174</v>
      </c>
      <c r="D2382">
        <v>13660</v>
      </c>
      <c r="E2382" s="1"/>
      <c r="F2382" s="1" t="s">
        <v>304</v>
      </c>
      <c r="G2382" s="1" t="s">
        <v>174</v>
      </c>
      <c r="H2382" s="1" t="s">
        <v>1396</v>
      </c>
      <c r="I2382">
        <v>2015</v>
      </c>
      <c r="J2382" s="93">
        <v>32950.300000000003</v>
      </c>
      <c r="K2382">
        <v>5</v>
      </c>
      <c r="L2382" s="1" t="s">
        <v>442</v>
      </c>
      <c r="M2382">
        <v>0</v>
      </c>
      <c r="N2382">
        <v>532</v>
      </c>
      <c r="O2382">
        <v>61.925013999999997</v>
      </c>
      <c r="P2382">
        <v>1</v>
      </c>
      <c r="Q2382" s="1" t="s">
        <v>565</v>
      </c>
      <c r="R2382" s="93">
        <v>37439.769999999997</v>
      </c>
      <c r="S2382">
        <v>2396.14</v>
      </c>
      <c r="T2382">
        <v>1</v>
      </c>
      <c r="U2382" s="1" t="s">
        <v>828</v>
      </c>
      <c r="V2382" s="1"/>
      <c r="W2382">
        <v>32.950299999999999</v>
      </c>
      <c r="X2382">
        <v>0</v>
      </c>
      <c r="Y2382">
        <v>94332</v>
      </c>
    </row>
    <row r="2383" spans="1:25" ht="15" hidden="1" customHeight="1" x14ac:dyDescent="0.25">
      <c r="A2383" s="1" t="s">
        <v>35</v>
      </c>
      <c r="B2383" s="1"/>
      <c r="C2383" s="1" t="s">
        <v>379</v>
      </c>
      <c r="D2383">
        <v>14571</v>
      </c>
      <c r="E2383" s="1" t="s">
        <v>243</v>
      </c>
      <c r="F2383" s="1" t="s">
        <v>379</v>
      </c>
      <c r="G2383" s="1" t="s">
        <v>379</v>
      </c>
      <c r="H2383" s="1" t="s">
        <v>1405</v>
      </c>
      <c r="I2383">
        <v>2013</v>
      </c>
      <c r="J2383" s="93">
        <v>11897.73</v>
      </c>
      <c r="K2383">
        <v>0</v>
      </c>
      <c r="L2383" s="1" t="s">
        <v>531</v>
      </c>
      <c r="M2383">
        <v>0</v>
      </c>
      <c r="N2383">
        <v>0</v>
      </c>
      <c r="O2383">
        <v>118977.3</v>
      </c>
      <c r="P2383">
        <v>2</v>
      </c>
      <c r="Q2383" s="1" t="s">
        <v>569</v>
      </c>
      <c r="R2383" s="93">
        <v>11897.73</v>
      </c>
      <c r="S2383">
        <v>3569.34</v>
      </c>
      <c r="T2383">
        <v>0</v>
      </c>
      <c r="U2383" s="1" t="s">
        <v>1047</v>
      </c>
      <c r="V2383" s="1" t="s">
        <v>1314</v>
      </c>
      <c r="W2383">
        <v>11897.76007</v>
      </c>
      <c r="X2383">
        <v>0</v>
      </c>
      <c r="Y2383">
        <v>95279</v>
      </c>
    </row>
    <row r="2384" spans="1:25" ht="15" hidden="1" customHeight="1" x14ac:dyDescent="0.25">
      <c r="A2384" s="1" t="s">
        <v>33</v>
      </c>
      <c r="B2384" s="1"/>
      <c r="C2384" s="1" t="s">
        <v>175</v>
      </c>
      <c r="D2384">
        <v>10125</v>
      </c>
      <c r="E2384" s="1"/>
      <c r="F2384" s="1" t="s">
        <v>305</v>
      </c>
      <c r="G2384" s="1" t="s">
        <v>175</v>
      </c>
      <c r="H2384" s="1" t="s">
        <v>1405</v>
      </c>
      <c r="I2384">
        <v>2014</v>
      </c>
      <c r="J2384" s="93">
        <v>468.3</v>
      </c>
      <c r="K2384">
        <v>12</v>
      </c>
      <c r="L2384" s="1"/>
      <c r="M2384">
        <v>0</v>
      </c>
      <c r="N2384">
        <v>2818</v>
      </c>
      <c r="O2384">
        <v>0.16617499999999999</v>
      </c>
      <c r="P2384">
        <v>3</v>
      </c>
      <c r="Q2384" s="1" t="s">
        <v>560</v>
      </c>
      <c r="R2384" s="93">
        <v>468.3</v>
      </c>
      <c r="S2384">
        <v>374.63</v>
      </c>
      <c r="T2384">
        <v>0</v>
      </c>
      <c r="U2384" s="1" t="s">
        <v>655</v>
      </c>
      <c r="V2384" s="1"/>
      <c r="W2384">
        <v>468.29899999999998</v>
      </c>
      <c r="X2384">
        <v>0</v>
      </c>
      <c r="Y2384">
        <v>76942</v>
      </c>
    </row>
    <row r="2385" spans="1:25" ht="15" hidden="1" customHeight="1" x14ac:dyDescent="0.25">
      <c r="A2385" s="1" t="s">
        <v>33</v>
      </c>
      <c r="B2385" s="1"/>
      <c r="C2385" s="1" t="s">
        <v>175</v>
      </c>
      <c r="D2385">
        <v>14590</v>
      </c>
      <c r="E2385" s="1" t="s">
        <v>243</v>
      </c>
      <c r="F2385" s="1" t="s">
        <v>363</v>
      </c>
      <c r="G2385" s="1" t="s">
        <v>175</v>
      </c>
      <c r="H2385" s="1" t="s">
        <v>1405</v>
      </c>
      <c r="I2385">
        <v>2014</v>
      </c>
      <c r="J2385" s="93">
        <v>122250</v>
      </c>
      <c r="K2385">
        <v>12</v>
      </c>
      <c r="L2385" s="1"/>
      <c r="M2385">
        <v>0</v>
      </c>
      <c r="N2385">
        <v>1048</v>
      </c>
      <c r="O2385">
        <v>116.639633</v>
      </c>
      <c r="P2385">
        <v>1</v>
      </c>
      <c r="Q2385" s="1" t="s">
        <v>562</v>
      </c>
      <c r="R2385" s="93">
        <v>151611.21</v>
      </c>
      <c r="S2385">
        <v>9703.1200000000008</v>
      </c>
      <c r="T2385">
        <v>0</v>
      </c>
      <c r="U2385" s="1" t="s">
        <v>829</v>
      </c>
      <c r="V2385" s="1"/>
      <c r="W2385">
        <v>122250</v>
      </c>
      <c r="X2385">
        <v>0</v>
      </c>
      <c r="Y2385">
        <v>76944</v>
      </c>
    </row>
    <row r="2386" spans="1:25" ht="15" hidden="1" customHeight="1" x14ac:dyDescent="0.25">
      <c r="A2386" s="1" t="s">
        <v>33</v>
      </c>
      <c r="B2386" s="1"/>
      <c r="C2386" s="1" t="s">
        <v>175</v>
      </c>
      <c r="D2386">
        <v>10125</v>
      </c>
      <c r="E2386" s="1"/>
      <c r="F2386" s="1" t="s">
        <v>305</v>
      </c>
      <c r="G2386" s="1" t="s">
        <v>175</v>
      </c>
      <c r="H2386" s="1" t="s">
        <v>1405</v>
      </c>
      <c r="I2386">
        <v>2014</v>
      </c>
      <c r="J2386" s="93">
        <v>168540</v>
      </c>
      <c r="K2386">
        <v>12</v>
      </c>
      <c r="L2386" s="1"/>
      <c r="M2386">
        <v>0</v>
      </c>
      <c r="N2386">
        <v>2818</v>
      </c>
      <c r="O2386">
        <v>59.806252000000001</v>
      </c>
      <c r="P2386">
        <v>1</v>
      </c>
      <c r="Q2386" s="1" t="s">
        <v>562</v>
      </c>
      <c r="R2386" s="93">
        <v>204640.45</v>
      </c>
      <c r="S2386">
        <v>13096.99</v>
      </c>
      <c r="T2386">
        <v>0</v>
      </c>
      <c r="U2386" s="1" t="s">
        <v>831</v>
      </c>
      <c r="V2386" s="1"/>
      <c r="W2386">
        <v>168540</v>
      </c>
      <c r="X2386">
        <v>0</v>
      </c>
      <c r="Y2386">
        <v>76943</v>
      </c>
    </row>
    <row r="2387" spans="1:25" ht="15" hidden="1" customHeight="1" x14ac:dyDescent="0.25">
      <c r="A2387" s="1" t="s">
        <v>33</v>
      </c>
      <c r="B2387" s="1"/>
      <c r="C2387" s="1" t="s">
        <v>175</v>
      </c>
      <c r="D2387">
        <v>10125</v>
      </c>
      <c r="E2387" s="1"/>
      <c r="F2387" s="1" t="s">
        <v>305</v>
      </c>
      <c r="G2387" s="1" t="s">
        <v>175</v>
      </c>
      <c r="H2387" s="1" t="s">
        <v>1405</v>
      </c>
      <c r="I2387">
        <v>2014</v>
      </c>
      <c r="J2387" s="93">
        <v>114490.4</v>
      </c>
      <c r="K2387">
        <v>12</v>
      </c>
      <c r="L2387" s="1"/>
      <c r="M2387">
        <v>0</v>
      </c>
      <c r="N2387">
        <v>2818</v>
      </c>
      <c r="O2387">
        <v>40.626804999999997</v>
      </c>
      <c r="P2387">
        <v>2</v>
      </c>
      <c r="Q2387" s="1" t="s">
        <v>569</v>
      </c>
      <c r="R2387" s="93">
        <v>114490.4</v>
      </c>
      <c r="S2387">
        <v>34347.14</v>
      </c>
      <c r="T2387">
        <v>0</v>
      </c>
      <c r="U2387" s="1" t="s">
        <v>1037</v>
      </c>
      <c r="V2387" s="1" t="s">
        <v>1310</v>
      </c>
      <c r="W2387">
        <v>114490.39599999999</v>
      </c>
      <c r="X2387">
        <v>0</v>
      </c>
      <c r="Y2387">
        <v>76941</v>
      </c>
    </row>
    <row r="2388" spans="1:25" ht="15" hidden="1" customHeight="1" x14ac:dyDescent="0.25">
      <c r="A2388" s="1" t="s">
        <v>33</v>
      </c>
      <c r="B2388" s="1"/>
      <c r="C2388" s="1" t="s">
        <v>175</v>
      </c>
      <c r="D2388">
        <v>10125</v>
      </c>
      <c r="E2388" s="1"/>
      <c r="F2388" s="1" t="s">
        <v>305</v>
      </c>
      <c r="G2388" s="1" t="s">
        <v>175</v>
      </c>
      <c r="H2388" s="1" t="s">
        <v>1405</v>
      </c>
      <c r="I2388">
        <v>2012</v>
      </c>
      <c r="J2388" s="93">
        <v>224242.07</v>
      </c>
      <c r="K2388">
        <v>12</v>
      </c>
      <c r="L2388" s="1"/>
      <c r="M2388">
        <v>0</v>
      </c>
      <c r="N2388">
        <v>2818</v>
      </c>
      <c r="O2388">
        <v>79.572075999999996</v>
      </c>
      <c r="P2388">
        <v>2</v>
      </c>
      <c r="Q2388" s="1" t="s">
        <v>569</v>
      </c>
      <c r="R2388" s="93">
        <v>224242.07</v>
      </c>
      <c r="S2388">
        <v>89696.82</v>
      </c>
      <c r="T2388">
        <v>0</v>
      </c>
      <c r="U2388" s="1" t="s">
        <v>1037</v>
      </c>
      <c r="V2388" s="1" t="s">
        <v>1310</v>
      </c>
      <c r="W2388">
        <v>224242.06599999999</v>
      </c>
      <c r="X2388">
        <v>0</v>
      </c>
      <c r="Y2388">
        <v>76941</v>
      </c>
    </row>
    <row r="2389" spans="1:25" ht="15" hidden="1" customHeight="1" x14ac:dyDescent="0.25">
      <c r="A2389" s="1" t="s">
        <v>33</v>
      </c>
      <c r="B2389" s="1"/>
      <c r="C2389" s="1" t="s">
        <v>175</v>
      </c>
      <c r="D2389">
        <v>10125</v>
      </c>
      <c r="E2389" s="1"/>
      <c r="F2389" s="1" t="s">
        <v>305</v>
      </c>
      <c r="G2389" s="1" t="s">
        <v>175</v>
      </c>
      <c r="H2389" s="1" t="s">
        <v>1405</v>
      </c>
      <c r="I2389">
        <v>2011</v>
      </c>
      <c r="J2389" s="93">
        <v>220823.35</v>
      </c>
      <c r="K2389">
        <v>12</v>
      </c>
      <c r="L2389" s="1"/>
      <c r="M2389">
        <v>0</v>
      </c>
      <c r="N2389">
        <v>2818</v>
      </c>
      <c r="O2389">
        <v>78.358947000000001</v>
      </c>
      <c r="P2389">
        <v>2</v>
      </c>
      <c r="Q2389" s="1" t="s">
        <v>569</v>
      </c>
      <c r="R2389" s="93">
        <v>220823.35</v>
      </c>
      <c r="S2389">
        <v>103566.16</v>
      </c>
      <c r="T2389">
        <v>0</v>
      </c>
      <c r="U2389" s="1" t="s">
        <v>1037</v>
      </c>
      <c r="V2389" s="1" t="s">
        <v>1310</v>
      </c>
      <c r="W2389">
        <v>220823.35</v>
      </c>
      <c r="X2389">
        <v>0</v>
      </c>
      <c r="Y2389">
        <v>76941</v>
      </c>
    </row>
    <row r="2390" spans="1:25" ht="15" hidden="1" customHeight="1" x14ac:dyDescent="0.25">
      <c r="A2390" s="1" t="s">
        <v>33</v>
      </c>
      <c r="B2390" s="1"/>
      <c r="C2390" s="1" t="s">
        <v>175</v>
      </c>
      <c r="D2390">
        <v>10125</v>
      </c>
      <c r="E2390" s="1"/>
      <c r="F2390" s="1" t="s">
        <v>305</v>
      </c>
      <c r="G2390" s="1" t="s">
        <v>175</v>
      </c>
      <c r="H2390" s="1" t="s">
        <v>1405</v>
      </c>
      <c r="I2390">
        <v>2010</v>
      </c>
      <c r="J2390" s="93">
        <v>232691.51</v>
      </c>
      <c r="K2390">
        <v>12</v>
      </c>
      <c r="L2390" s="1"/>
      <c r="M2390">
        <v>0</v>
      </c>
      <c r="N2390">
        <v>2818</v>
      </c>
      <c r="O2390">
        <v>82.570352</v>
      </c>
      <c r="P2390">
        <v>2</v>
      </c>
      <c r="Q2390" s="1" t="s">
        <v>569</v>
      </c>
      <c r="R2390" s="93">
        <v>232691.51</v>
      </c>
      <c r="S2390">
        <v>109132.32</v>
      </c>
      <c r="T2390">
        <v>0</v>
      </c>
      <c r="U2390" s="1" t="s">
        <v>1037</v>
      </c>
      <c r="V2390" s="1" t="s">
        <v>1310</v>
      </c>
      <c r="W2390">
        <v>232691.51</v>
      </c>
      <c r="X2390">
        <v>0</v>
      </c>
      <c r="Y2390">
        <v>76941</v>
      </c>
    </row>
    <row r="2391" spans="1:25" ht="15" hidden="1" customHeight="1" x14ac:dyDescent="0.25">
      <c r="A2391" s="1" t="s">
        <v>33</v>
      </c>
      <c r="B2391" s="1"/>
      <c r="C2391" s="1" t="s">
        <v>175</v>
      </c>
      <c r="D2391">
        <v>10125</v>
      </c>
      <c r="E2391" s="1"/>
      <c r="F2391" s="1" t="s">
        <v>305</v>
      </c>
      <c r="G2391" s="1" t="s">
        <v>175</v>
      </c>
      <c r="H2391" s="1" t="s">
        <v>1405</v>
      </c>
      <c r="I2391">
        <v>2009</v>
      </c>
      <c r="J2391" s="93">
        <v>226076.19</v>
      </c>
      <c r="K2391">
        <v>12</v>
      </c>
      <c r="L2391" s="1"/>
      <c r="M2391">
        <v>0</v>
      </c>
      <c r="N2391">
        <v>2818</v>
      </c>
      <c r="O2391">
        <v>80.222911999999994</v>
      </c>
      <c r="P2391">
        <v>2</v>
      </c>
      <c r="Q2391" s="1" t="s">
        <v>569</v>
      </c>
      <c r="R2391" s="93">
        <v>226076.19</v>
      </c>
      <c r="S2391">
        <v>106029.74</v>
      </c>
      <c r="T2391">
        <v>0</v>
      </c>
      <c r="U2391" s="1" t="s">
        <v>1037</v>
      </c>
      <c r="V2391" s="1" t="s">
        <v>1310</v>
      </c>
      <c r="W2391">
        <v>226076.19</v>
      </c>
      <c r="X2391">
        <v>0</v>
      </c>
      <c r="Y2391">
        <v>76941</v>
      </c>
    </row>
    <row r="2392" spans="1:25" ht="15" hidden="1" customHeight="1" x14ac:dyDescent="0.25">
      <c r="A2392" s="1" t="s">
        <v>33</v>
      </c>
      <c r="B2392" s="1"/>
      <c r="C2392" s="1" t="s">
        <v>175</v>
      </c>
      <c r="D2392">
        <v>10125</v>
      </c>
      <c r="E2392" s="1"/>
      <c r="F2392" s="1" t="s">
        <v>305</v>
      </c>
      <c r="G2392" s="1" t="s">
        <v>175</v>
      </c>
      <c r="H2392" s="1" t="s">
        <v>1405</v>
      </c>
      <c r="I2392">
        <v>2008</v>
      </c>
      <c r="J2392" s="93">
        <v>158929.26999999999</v>
      </c>
      <c r="K2392">
        <v>12</v>
      </c>
      <c r="L2392" s="1"/>
      <c r="M2392">
        <v>0</v>
      </c>
      <c r="N2392">
        <v>2818</v>
      </c>
      <c r="O2392">
        <v>56.395893999999998</v>
      </c>
      <c r="P2392">
        <v>2</v>
      </c>
      <c r="Q2392" s="1" t="s">
        <v>569</v>
      </c>
      <c r="R2392" s="93">
        <v>158929.26999999999</v>
      </c>
      <c r="S2392">
        <v>74537.820000000007</v>
      </c>
      <c r="T2392">
        <v>0</v>
      </c>
      <c r="U2392" s="1" t="s">
        <v>1037</v>
      </c>
      <c r="V2392" s="1" t="s">
        <v>1310</v>
      </c>
      <c r="W2392">
        <v>158929.272</v>
      </c>
      <c r="X2392">
        <v>0</v>
      </c>
      <c r="Y2392">
        <v>76941</v>
      </c>
    </row>
    <row r="2393" spans="1:25" ht="15" hidden="1" customHeight="1" x14ac:dyDescent="0.25">
      <c r="A2393" s="1" t="s">
        <v>33</v>
      </c>
      <c r="B2393" s="1"/>
      <c r="C2393" s="1" t="s">
        <v>175</v>
      </c>
      <c r="D2393">
        <v>10125</v>
      </c>
      <c r="E2393" s="1"/>
      <c r="F2393" s="1" t="s">
        <v>305</v>
      </c>
      <c r="G2393" s="1" t="s">
        <v>175</v>
      </c>
      <c r="H2393" s="1" t="s">
        <v>1405</v>
      </c>
      <c r="I2393">
        <v>2008</v>
      </c>
      <c r="J2393" s="93">
        <v>43644</v>
      </c>
      <c r="K2393">
        <v>2</v>
      </c>
      <c r="L2393" s="1" t="s">
        <v>430</v>
      </c>
      <c r="M2393">
        <v>0</v>
      </c>
      <c r="N2393">
        <v>2818</v>
      </c>
      <c r="O2393">
        <v>15.487030000000001</v>
      </c>
      <c r="P2393">
        <v>2</v>
      </c>
      <c r="Q2393" s="1" t="s">
        <v>569</v>
      </c>
      <c r="R2393" s="93">
        <v>43644</v>
      </c>
      <c r="S2393">
        <v>20469.04</v>
      </c>
      <c r="T2393">
        <v>0</v>
      </c>
      <c r="U2393" s="1" t="s">
        <v>1040</v>
      </c>
      <c r="V2393" s="1"/>
      <c r="W2393">
        <v>43644</v>
      </c>
      <c r="X2393">
        <v>0</v>
      </c>
      <c r="Y2393">
        <v>78853</v>
      </c>
    </row>
    <row r="2394" spans="1:25" ht="15" hidden="1" customHeight="1" x14ac:dyDescent="0.25">
      <c r="A2394" s="1" t="s">
        <v>33</v>
      </c>
      <c r="B2394" s="1"/>
      <c r="C2394" s="1" t="s">
        <v>175</v>
      </c>
      <c r="D2394">
        <v>10125</v>
      </c>
      <c r="E2394" s="1"/>
      <c r="F2394" s="1" t="s">
        <v>305</v>
      </c>
      <c r="G2394" s="1" t="s">
        <v>175</v>
      </c>
      <c r="H2394" s="1" t="s">
        <v>1405</v>
      </c>
      <c r="I2394">
        <v>2008</v>
      </c>
      <c r="J2394" s="93">
        <v>26520</v>
      </c>
      <c r="K2394">
        <v>2</v>
      </c>
      <c r="L2394" s="1" t="s">
        <v>529</v>
      </c>
      <c r="M2394">
        <v>0</v>
      </c>
      <c r="N2394">
        <v>2818</v>
      </c>
      <c r="O2394">
        <v>9.4105950000000007</v>
      </c>
      <c r="P2394">
        <v>2</v>
      </c>
      <c r="Q2394" s="1" t="s">
        <v>569</v>
      </c>
      <c r="R2394" s="93">
        <v>26520</v>
      </c>
      <c r="S2394">
        <v>12437.88</v>
      </c>
      <c r="T2394">
        <v>0</v>
      </c>
      <c r="U2394" s="1" t="s">
        <v>1037</v>
      </c>
      <c r="V2394" s="1"/>
      <c r="W2394">
        <v>26520</v>
      </c>
      <c r="X2394">
        <v>0</v>
      </c>
      <c r="Y2394">
        <v>78916</v>
      </c>
    </row>
    <row r="2395" spans="1:25" ht="15" hidden="1" customHeight="1" x14ac:dyDescent="0.25">
      <c r="A2395" s="1" t="s">
        <v>33</v>
      </c>
      <c r="B2395" s="1"/>
      <c r="C2395" s="1" t="s">
        <v>175</v>
      </c>
      <c r="D2395">
        <v>14590</v>
      </c>
      <c r="E2395" s="1" t="s">
        <v>243</v>
      </c>
      <c r="F2395" s="1" t="s">
        <v>363</v>
      </c>
      <c r="G2395" s="1" t="s">
        <v>175</v>
      </c>
      <c r="H2395" s="1" t="s">
        <v>1396</v>
      </c>
      <c r="I2395">
        <v>2014</v>
      </c>
      <c r="J2395" s="93">
        <v>145606.43</v>
      </c>
      <c r="K2395">
        <v>12</v>
      </c>
      <c r="L2395" s="1"/>
      <c r="M2395">
        <v>0</v>
      </c>
      <c r="N2395">
        <v>1048</v>
      </c>
      <c r="O2395">
        <v>138.92417699999999</v>
      </c>
      <c r="P2395">
        <v>1</v>
      </c>
      <c r="Q2395" s="1" t="s">
        <v>563</v>
      </c>
      <c r="R2395" s="93">
        <v>180789.15</v>
      </c>
      <c r="S2395">
        <v>331.63</v>
      </c>
      <c r="T2395">
        <v>1</v>
      </c>
      <c r="U2395" s="1" t="s">
        <v>829</v>
      </c>
      <c r="V2395" s="1"/>
      <c r="W2395">
        <v>4173.3</v>
      </c>
      <c r="X2395">
        <v>76944</v>
      </c>
      <c r="Y2395">
        <v>76945</v>
      </c>
    </row>
    <row r="2396" spans="1:25" ht="15" hidden="1" customHeight="1" x14ac:dyDescent="0.25">
      <c r="A2396" s="1" t="s">
        <v>33</v>
      </c>
      <c r="B2396" s="1"/>
      <c r="C2396" s="1" t="s">
        <v>175</v>
      </c>
      <c r="D2396">
        <v>10125</v>
      </c>
      <c r="E2396" s="1"/>
      <c r="F2396" s="1" t="s">
        <v>305</v>
      </c>
      <c r="G2396" s="1" t="s">
        <v>175</v>
      </c>
      <c r="H2396" s="1" t="s">
        <v>1396</v>
      </c>
      <c r="I2396">
        <v>2014</v>
      </c>
      <c r="J2396" s="93">
        <v>229705.3</v>
      </c>
      <c r="K2396">
        <v>12</v>
      </c>
      <c r="L2396" s="1"/>
      <c r="M2396">
        <v>0</v>
      </c>
      <c r="N2396">
        <v>2818</v>
      </c>
      <c r="O2396">
        <v>81.510698000000005</v>
      </c>
      <c r="P2396">
        <v>1</v>
      </c>
      <c r="Q2396" s="1" t="s">
        <v>563</v>
      </c>
      <c r="R2396" s="93">
        <v>276205.40999999997</v>
      </c>
      <c r="S2396">
        <v>506.65</v>
      </c>
      <c r="T2396">
        <v>1</v>
      </c>
      <c r="U2396" s="1" t="s">
        <v>831</v>
      </c>
      <c r="V2396" s="1"/>
      <c r="W2396">
        <v>6583.6998999999996</v>
      </c>
      <c r="X2396">
        <v>76943</v>
      </c>
      <c r="Y2396">
        <v>76946</v>
      </c>
    </row>
    <row r="2397" spans="1:25" ht="15" hidden="1" customHeight="1" x14ac:dyDescent="0.25">
      <c r="A2397" s="1" t="s">
        <v>33</v>
      </c>
      <c r="B2397" s="1"/>
      <c r="C2397" s="1" t="s">
        <v>175</v>
      </c>
      <c r="D2397">
        <v>10125</v>
      </c>
      <c r="E2397" s="1"/>
      <c r="F2397" s="1" t="s">
        <v>305</v>
      </c>
      <c r="G2397" s="1" t="s">
        <v>175</v>
      </c>
      <c r="H2397" s="1" t="s">
        <v>1405</v>
      </c>
      <c r="I2397">
        <v>2014</v>
      </c>
      <c r="J2397" s="93">
        <v>4910.04</v>
      </c>
      <c r="K2397">
        <v>6</v>
      </c>
      <c r="L2397" s="1" t="s">
        <v>528</v>
      </c>
      <c r="M2397">
        <v>0</v>
      </c>
      <c r="N2397">
        <v>2818</v>
      </c>
      <c r="O2397">
        <v>1.7423219999999999</v>
      </c>
      <c r="P2397">
        <v>2</v>
      </c>
      <c r="Q2397" s="1" t="s">
        <v>569</v>
      </c>
      <c r="R2397" s="93">
        <v>4910.04</v>
      </c>
      <c r="S2397">
        <v>1473.02</v>
      </c>
      <c r="T2397">
        <v>1</v>
      </c>
      <c r="U2397" s="1" t="s">
        <v>1038</v>
      </c>
      <c r="V2397" s="1"/>
      <c r="W2397">
        <v>4910.0399900000002</v>
      </c>
      <c r="X2397">
        <v>0</v>
      </c>
      <c r="Y2397">
        <v>93977</v>
      </c>
    </row>
    <row r="2398" spans="1:25" ht="15" hidden="1" customHeight="1" x14ac:dyDescent="0.25">
      <c r="A2398" s="1" t="s">
        <v>33</v>
      </c>
      <c r="B2398" s="1"/>
      <c r="C2398" s="1" t="s">
        <v>175</v>
      </c>
      <c r="D2398">
        <v>10125</v>
      </c>
      <c r="E2398" s="1"/>
      <c r="F2398" s="1" t="s">
        <v>305</v>
      </c>
      <c r="G2398" s="1" t="s">
        <v>175</v>
      </c>
      <c r="H2398" s="1" t="s">
        <v>1405</v>
      </c>
      <c r="I2398">
        <v>2014</v>
      </c>
      <c r="J2398" s="93">
        <v>13858.84</v>
      </c>
      <c r="K2398">
        <v>6</v>
      </c>
      <c r="L2398" s="1" t="s">
        <v>528</v>
      </c>
      <c r="M2398">
        <v>0</v>
      </c>
      <c r="N2398">
        <v>2818</v>
      </c>
      <c r="O2398">
        <v>4.9177949999999999</v>
      </c>
      <c r="P2398">
        <v>2</v>
      </c>
      <c r="Q2398" s="1" t="s">
        <v>569</v>
      </c>
      <c r="R2398" s="93">
        <v>13858.84</v>
      </c>
      <c r="S2398">
        <v>4157.66</v>
      </c>
      <c r="T2398">
        <v>1</v>
      </c>
      <c r="U2398" s="1" t="s">
        <v>1039</v>
      </c>
      <c r="V2398" s="1"/>
      <c r="W2398">
        <v>13858.85</v>
      </c>
      <c r="X2398">
        <v>0</v>
      </c>
      <c r="Y2398">
        <v>94453</v>
      </c>
    </row>
    <row r="2399" spans="1:25" ht="15" hidden="1" customHeight="1" x14ac:dyDescent="0.25">
      <c r="A2399" s="1" t="s">
        <v>33</v>
      </c>
      <c r="B2399" s="1"/>
      <c r="C2399" s="1" t="s">
        <v>175</v>
      </c>
      <c r="D2399">
        <v>10125</v>
      </c>
      <c r="E2399" s="1"/>
      <c r="F2399" s="1" t="s">
        <v>305</v>
      </c>
      <c r="G2399" s="1" t="s">
        <v>175</v>
      </c>
      <c r="H2399" s="1" t="s">
        <v>1405</v>
      </c>
      <c r="I2399">
        <v>2015</v>
      </c>
      <c r="J2399" s="93">
        <v>445</v>
      </c>
      <c r="K2399">
        <v>5</v>
      </c>
      <c r="L2399" s="1"/>
      <c r="M2399">
        <v>0</v>
      </c>
      <c r="N2399">
        <v>2818</v>
      </c>
      <c r="O2399">
        <v>6.5969E-2</v>
      </c>
      <c r="P2399">
        <v>3</v>
      </c>
      <c r="Q2399" s="1" t="s">
        <v>560</v>
      </c>
      <c r="R2399" s="93">
        <v>185.91</v>
      </c>
      <c r="S2399">
        <v>148.72999999999999</v>
      </c>
      <c r="T2399">
        <v>0</v>
      </c>
      <c r="U2399" s="1" t="s">
        <v>655</v>
      </c>
      <c r="V2399" s="1"/>
      <c r="W2399">
        <v>185.91499999999999</v>
      </c>
      <c r="X2399">
        <v>0</v>
      </c>
      <c r="Y2399">
        <v>76942</v>
      </c>
    </row>
    <row r="2400" spans="1:25" ht="15" hidden="1" customHeight="1" x14ac:dyDescent="0.25">
      <c r="A2400" s="1" t="s">
        <v>33</v>
      </c>
      <c r="B2400" s="1"/>
      <c r="C2400" s="1" t="s">
        <v>175</v>
      </c>
      <c r="D2400">
        <v>14590</v>
      </c>
      <c r="E2400" s="1" t="s">
        <v>243</v>
      </c>
      <c r="F2400" s="1" t="s">
        <v>363</v>
      </c>
      <c r="G2400" s="1" t="s">
        <v>175</v>
      </c>
      <c r="H2400" s="1" t="s">
        <v>1405</v>
      </c>
      <c r="I2400">
        <v>2015</v>
      </c>
      <c r="J2400" s="93">
        <v>136500</v>
      </c>
      <c r="K2400">
        <v>5</v>
      </c>
      <c r="L2400" s="1"/>
      <c r="M2400">
        <v>0</v>
      </c>
      <c r="N2400">
        <v>1048</v>
      </c>
      <c r="O2400">
        <v>69.153706</v>
      </c>
      <c r="P2400">
        <v>1</v>
      </c>
      <c r="Q2400" s="1" t="s">
        <v>562</v>
      </c>
      <c r="R2400" s="93">
        <v>159479</v>
      </c>
      <c r="S2400">
        <v>5228.99</v>
      </c>
      <c r="T2400">
        <v>0</v>
      </c>
      <c r="U2400" s="1" t="s">
        <v>829</v>
      </c>
      <c r="V2400" s="1"/>
      <c r="W2400">
        <v>72480</v>
      </c>
      <c r="X2400">
        <v>0</v>
      </c>
      <c r="Y2400">
        <v>76944</v>
      </c>
    </row>
    <row r="2401" spans="1:25" ht="15" hidden="1" customHeight="1" x14ac:dyDescent="0.25">
      <c r="A2401" s="1" t="s">
        <v>33</v>
      </c>
      <c r="B2401" s="1"/>
      <c r="C2401" s="1" t="s">
        <v>175</v>
      </c>
      <c r="D2401">
        <v>10125</v>
      </c>
      <c r="E2401" s="1"/>
      <c r="F2401" s="1" t="s">
        <v>305</v>
      </c>
      <c r="G2401" s="1" t="s">
        <v>175</v>
      </c>
      <c r="H2401" s="1" t="s">
        <v>1405</v>
      </c>
      <c r="I2401">
        <v>2015</v>
      </c>
      <c r="J2401" s="93">
        <v>190910</v>
      </c>
      <c r="K2401">
        <v>5</v>
      </c>
      <c r="L2401" s="1"/>
      <c r="M2401">
        <v>0</v>
      </c>
      <c r="N2401">
        <v>2818</v>
      </c>
      <c r="O2401">
        <v>39.984386000000001</v>
      </c>
      <c r="P2401">
        <v>1</v>
      </c>
      <c r="Q2401" s="1" t="s">
        <v>562</v>
      </c>
      <c r="R2401" s="93">
        <v>225801</v>
      </c>
      <c r="S2401">
        <v>8234.68</v>
      </c>
      <c r="T2401">
        <v>0</v>
      </c>
      <c r="U2401" s="1" t="s">
        <v>831</v>
      </c>
      <c r="V2401" s="1"/>
      <c r="W2401">
        <v>112680</v>
      </c>
      <c r="X2401">
        <v>0</v>
      </c>
      <c r="Y2401">
        <v>76943</v>
      </c>
    </row>
    <row r="2402" spans="1:25" ht="15" hidden="1" customHeight="1" x14ac:dyDescent="0.25">
      <c r="A2402" s="1" t="s">
        <v>33</v>
      </c>
      <c r="B2402" s="1"/>
      <c r="C2402" s="1" t="s">
        <v>175</v>
      </c>
      <c r="D2402">
        <v>10125</v>
      </c>
      <c r="E2402" s="1"/>
      <c r="F2402" s="1" t="s">
        <v>305</v>
      </c>
      <c r="G2402" s="1" t="s">
        <v>175</v>
      </c>
      <c r="H2402" s="1" t="s">
        <v>1405</v>
      </c>
      <c r="I2402">
        <v>2015</v>
      </c>
      <c r="J2402" s="93">
        <v>117226</v>
      </c>
      <c r="K2402">
        <v>5</v>
      </c>
      <c r="L2402" s="1"/>
      <c r="M2402">
        <v>0</v>
      </c>
      <c r="N2402">
        <v>2818</v>
      </c>
      <c r="O2402">
        <v>16.237997</v>
      </c>
      <c r="P2402">
        <v>2</v>
      </c>
      <c r="Q2402" s="1" t="s">
        <v>569</v>
      </c>
      <c r="R2402" s="93">
        <v>45760.3</v>
      </c>
      <c r="S2402">
        <v>13728.09</v>
      </c>
      <c r="T2402">
        <v>0</v>
      </c>
      <c r="U2402" s="1" t="s">
        <v>1037</v>
      </c>
      <c r="V2402" s="1" t="s">
        <v>1310</v>
      </c>
      <c r="W2402">
        <v>45760.303999999996</v>
      </c>
      <c r="X2402">
        <v>0</v>
      </c>
      <c r="Y2402">
        <v>76941</v>
      </c>
    </row>
    <row r="2403" spans="1:25" ht="15" hidden="1" customHeight="1" x14ac:dyDescent="0.25">
      <c r="A2403" s="1" t="s">
        <v>33</v>
      </c>
      <c r="B2403" s="1"/>
      <c r="C2403" s="1" t="s">
        <v>173</v>
      </c>
      <c r="D2403">
        <v>5271</v>
      </c>
      <c r="E2403" s="1"/>
      <c r="F2403" s="1" t="s">
        <v>173</v>
      </c>
      <c r="G2403" s="1"/>
      <c r="H2403" s="1" t="s">
        <v>1396</v>
      </c>
      <c r="I2403">
        <v>2014</v>
      </c>
      <c r="J2403" s="93">
        <v>14606.7</v>
      </c>
      <c r="K2403">
        <v>12</v>
      </c>
      <c r="L2403" s="1" t="s">
        <v>402</v>
      </c>
      <c r="M2403">
        <v>0</v>
      </c>
      <c r="N2403">
        <v>255</v>
      </c>
      <c r="O2403">
        <v>57.258721999999999</v>
      </c>
      <c r="P2403">
        <v>1</v>
      </c>
      <c r="Q2403" s="1" t="s">
        <v>563</v>
      </c>
      <c r="R2403" s="93">
        <v>17737.07</v>
      </c>
      <c r="S2403">
        <v>39649.589999999997</v>
      </c>
      <c r="T2403">
        <v>1</v>
      </c>
      <c r="U2403" s="1" t="s">
        <v>826</v>
      </c>
      <c r="V2403" s="1"/>
      <c r="W2403">
        <v>418.65</v>
      </c>
      <c r="X2403">
        <v>0</v>
      </c>
      <c r="Y2403">
        <v>58278</v>
      </c>
    </row>
    <row r="2404" spans="1:25" ht="15" hidden="1" customHeight="1" x14ac:dyDescent="0.25">
      <c r="A2404" s="1" t="s">
        <v>33</v>
      </c>
      <c r="B2404" s="1"/>
      <c r="C2404" s="1" t="s">
        <v>173</v>
      </c>
      <c r="D2404">
        <v>5271</v>
      </c>
      <c r="E2404" s="1"/>
      <c r="F2404" s="1" t="s">
        <v>173</v>
      </c>
      <c r="G2404" s="1"/>
      <c r="H2404" s="1" t="s">
        <v>1396</v>
      </c>
      <c r="I2404">
        <v>2014</v>
      </c>
      <c r="J2404" s="93">
        <v>45.47</v>
      </c>
      <c r="K2404">
        <v>12</v>
      </c>
      <c r="L2404" s="1" t="s">
        <v>402</v>
      </c>
      <c r="M2404">
        <v>0</v>
      </c>
      <c r="N2404">
        <v>255</v>
      </c>
      <c r="O2404">
        <v>0.17824300000000001</v>
      </c>
      <c r="P2404">
        <v>3</v>
      </c>
      <c r="Q2404" s="1" t="s">
        <v>560</v>
      </c>
      <c r="R2404" s="93">
        <v>45.47</v>
      </c>
      <c r="S2404">
        <v>36.369999999999997</v>
      </c>
      <c r="T2404">
        <v>0</v>
      </c>
      <c r="U2404" s="1" t="s">
        <v>653</v>
      </c>
      <c r="V2404" s="1"/>
      <c r="W2404">
        <v>45.459000000000003</v>
      </c>
      <c r="X2404">
        <v>0</v>
      </c>
      <c r="Y2404">
        <v>56832</v>
      </c>
    </row>
    <row r="2405" spans="1:25" ht="15" hidden="1" customHeight="1" x14ac:dyDescent="0.25">
      <c r="A2405" s="1" t="s">
        <v>33</v>
      </c>
      <c r="B2405" s="1"/>
      <c r="C2405" s="1" t="s">
        <v>173</v>
      </c>
      <c r="D2405">
        <v>5271</v>
      </c>
      <c r="E2405" s="1"/>
      <c r="F2405" s="1" t="s">
        <v>173</v>
      </c>
      <c r="G2405" s="1"/>
      <c r="H2405" s="1" t="s">
        <v>1396</v>
      </c>
      <c r="I2405">
        <v>2014</v>
      </c>
      <c r="J2405" s="93">
        <v>9700</v>
      </c>
      <c r="K2405">
        <v>12</v>
      </c>
      <c r="L2405" s="1" t="s">
        <v>402</v>
      </c>
      <c r="M2405">
        <v>0</v>
      </c>
      <c r="N2405">
        <v>255</v>
      </c>
      <c r="O2405">
        <v>38.024304000000001</v>
      </c>
      <c r="P2405">
        <v>1</v>
      </c>
      <c r="Q2405" s="1" t="s">
        <v>562</v>
      </c>
      <c r="R2405" s="93">
        <v>11899.11</v>
      </c>
      <c r="S2405">
        <v>725648.57</v>
      </c>
      <c r="T2405">
        <v>0</v>
      </c>
      <c r="U2405" s="1" t="s">
        <v>826</v>
      </c>
      <c r="V2405" s="1"/>
      <c r="W2405">
        <v>9700</v>
      </c>
      <c r="X2405">
        <v>0</v>
      </c>
      <c r="Y2405">
        <v>56831</v>
      </c>
    </row>
    <row r="2406" spans="1:25" ht="15" hidden="1" customHeight="1" x14ac:dyDescent="0.25">
      <c r="A2406" s="1" t="s">
        <v>33</v>
      </c>
      <c r="B2406" s="1"/>
      <c r="C2406" s="1" t="s">
        <v>173</v>
      </c>
      <c r="D2406">
        <v>5271</v>
      </c>
      <c r="E2406" s="1"/>
      <c r="F2406" s="1" t="s">
        <v>173</v>
      </c>
      <c r="G2406" s="1"/>
      <c r="H2406" s="1" t="s">
        <v>1396</v>
      </c>
      <c r="I2406">
        <v>2014</v>
      </c>
      <c r="J2406" s="93">
        <v>11341.11</v>
      </c>
      <c r="K2406">
        <v>12</v>
      </c>
      <c r="L2406" s="1" t="s">
        <v>402</v>
      </c>
      <c r="M2406">
        <v>0</v>
      </c>
      <c r="N2406">
        <v>255</v>
      </c>
      <c r="O2406">
        <v>44.457506000000002</v>
      </c>
      <c r="P2406">
        <v>2</v>
      </c>
      <c r="Q2406" s="1" t="s">
        <v>569</v>
      </c>
      <c r="R2406" s="93">
        <v>11341.11</v>
      </c>
      <c r="S2406">
        <v>3402.32</v>
      </c>
      <c r="T2406">
        <v>0</v>
      </c>
      <c r="U2406" s="1" t="s">
        <v>1035</v>
      </c>
      <c r="V2406" s="1"/>
      <c r="W2406">
        <v>11341.125</v>
      </c>
      <c r="X2406">
        <v>0</v>
      </c>
      <c r="Y2406">
        <v>56830</v>
      </c>
    </row>
    <row r="2407" spans="1:25" ht="15" hidden="1" customHeight="1" x14ac:dyDescent="0.25">
      <c r="A2407" s="1" t="s">
        <v>34</v>
      </c>
      <c r="B2407" s="1" t="s">
        <v>74</v>
      </c>
      <c r="C2407" s="1" t="s">
        <v>176</v>
      </c>
      <c r="D2407">
        <v>13662</v>
      </c>
      <c r="E2407" s="1"/>
      <c r="F2407" s="1" t="s">
        <v>306</v>
      </c>
      <c r="G2407" s="1" t="s">
        <v>176</v>
      </c>
      <c r="H2407" s="1" t="s">
        <v>1405</v>
      </c>
      <c r="I2407">
        <v>2014</v>
      </c>
      <c r="J2407" s="93">
        <v>0.52</v>
      </c>
      <c r="K2407">
        <v>4</v>
      </c>
      <c r="L2407" s="1" t="s">
        <v>438</v>
      </c>
      <c r="M2407">
        <v>0</v>
      </c>
      <c r="N2407">
        <v>129</v>
      </c>
      <c r="O2407">
        <v>4.0270000000000002E-3</v>
      </c>
      <c r="P2407">
        <v>3</v>
      </c>
      <c r="Q2407" s="1" t="s">
        <v>560</v>
      </c>
      <c r="R2407" s="93">
        <v>0.52</v>
      </c>
      <c r="S2407">
        <v>0.41</v>
      </c>
      <c r="T2407">
        <v>0</v>
      </c>
      <c r="U2407" s="1" t="s">
        <v>656</v>
      </c>
      <c r="V2407" s="1"/>
      <c r="W2407">
        <v>0.51766000000000001</v>
      </c>
      <c r="X2407">
        <v>0</v>
      </c>
      <c r="Y2407">
        <v>91252</v>
      </c>
    </row>
    <row r="2408" spans="1:25" ht="15" hidden="1" customHeight="1" x14ac:dyDescent="0.25">
      <c r="A2408" s="1" t="s">
        <v>34</v>
      </c>
      <c r="B2408" s="1" t="s">
        <v>74</v>
      </c>
      <c r="C2408" s="1" t="s">
        <v>176</v>
      </c>
      <c r="D2408">
        <v>13662</v>
      </c>
      <c r="E2408" s="1"/>
      <c r="F2408" s="1" t="s">
        <v>306</v>
      </c>
      <c r="G2408" s="1" t="s">
        <v>176</v>
      </c>
      <c r="H2408" s="1" t="s">
        <v>1405</v>
      </c>
      <c r="I2408">
        <v>2013</v>
      </c>
      <c r="J2408" s="93">
        <v>20430.37</v>
      </c>
      <c r="K2408">
        <v>8</v>
      </c>
      <c r="L2408" s="1" t="s">
        <v>422</v>
      </c>
      <c r="M2408">
        <v>0</v>
      </c>
      <c r="N2408">
        <v>129</v>
      </c>
      <c r="O2408">
        <v>158.252285</v>
      </c>
      <c r="P2408">
        <v>2</v>
      </c>
      <c r="Q2408" s="1" t="s">
        <v>569</v>
      </c>
      <c r="R2408" s="93">
        <v>20430.37</v>
      </c>
      <c r="S2408">
        <v>6129.11</v>
      </c>
      <c r="T2408">
        <v>0</v>
      </c>
      <c r="U2408" s="1" t="s">
        <v>1041</v>
      </c>
      <c r="V2408" s="1" t="s">
        <v>1311</v>
      </c>
      <c r="W2408">
        <v>20430.36289</v>
      </c>
      <c r="X2408">
        <v>0</v>
      </c>
      <c r="Y2408">
        <v>91251</v>
      </c>
    </row>
    <row r="2409" spans="1:25" ht="15" hidden="1" customHeight="1" x14ac:dyDescent="0.25">
      <c r="A2409" s="1" t="s">
        <v>34</v>
      </c>
      <c r="B2409" s="1" t="s">
        <v>74</v>
      </c>
      <c r="C2409" s="1" t="s">
        <v>176</v>
      </c>
      <c r="D2409">
        <v>13662</v>
      </c>
      <c r="E2409" s="1"/>
      <c r="F2409" s="1" t="s">
        <v>306</v>
      </c>
      <c r="G2409" s="1" t="s">
        <v>176</v>
      </c>
      <c r="H2409" s="1" t="s">
        <v>1405</v>
      </c>
      <c r="I2409">
        <v>2013</v>
      </c>
      <c r="J2409" s="93">
        <v>1.1599999999999999</v>
      </c>
      <c r="K2409">
        <v>5</v>
      </c>
      <c r="L2409" s="1" t="s">
        <v>438</v>
      </c>
      <c r="M2409">
        <v>0</v>
      </c>
      <c r="N2409">
        <v>129</v>
      </c>
      <c r="O2409">
        <v>8.9849999999999999E-3</v>
      </c>
      <c r="P2409">
        <v>3</v>
      </c>
      <c r="Q2409" s="1" t="s">
        <v>560</v>
      </c>
      <c r="R2409" s="93">
        <v>1.1599999999999999</v>
      </c>
      <c r="S2409">
        <v>0.91</v>
      </c>
      <c r="T2409">
        <v>0</v>
      </c>
      <c r="U2409" s="1" t="s">
        <v>656</v>
      </c>
      <c r="V2409" s="1"/>
      <c r="W2409">
        <v>1.15676</v>
      </c>
      <c r="X2409">
        <v>0</v>
      </c>
      <c r="Y2409">
        <v>91252</v>
      </c>
    </row>
    <row r="2410" spans="1:25" ht="15" hidden="1" customHeight="1" x14ac:dyDescent="0.25">
      <c r="A2410" s="1" t="s">
        <v>34</v>
      </c>
      <c r="B2410" s="1" t="s">
        <v>74</v>
      </c>
      <c r="C2410" s="1" t="s">
        <v>176</v>
      </c>
      <c r="D2410">
        <v>13662</v>
      </c>
      <c r="E2410" s="1"/>
      <c r="F2410" s="1" t="s">
        <v>306</v>
      </c>
      <c r="G2410" s="1" t="s">
        <v>176</v>
      </c>
      <c r="H2410" s="1" t="s">
        <v>1405</v>
      </c>
      <c r="I2410">
        <v>2012</v>
      </c>
      <c r="J2410" s="93">
        <v>1.1499999999999999</v>
      </c>
      <c r="K2410">
        <v>2</v>
      </c>
      <c r="L2410" s="1" t="s">
        <v>438</v>
      </c>
      <c r="M2410">
        <v>0</v>
      </c>
      <c r="N2410">
        <v>129</v>
      </c>
      <c r="O2410">
        <v>8.907E-3</v>
      </c>
      <c r="P2410">
        <v>3</v>
      </c>
      <c r="Q2410" s="1" t="s">
        <v>560</v>
      </c>
      <c r="R2410" s="93">
        <v>1.1499999999999999</v>
      </c>
      <c r="S2410">
        <v>0.94</v>
      </c>
      <c r="T2410">
        <v>0</v>
      </c>
      <c r="U2410" s="1" t="s">
        <v>656</v>
      </c>
      <c r="V2410" s="1"/>
      <c r="W2410">
        <v>1.1620200000000001</v>
      </c>
      <c r="X2410">
        <v>0</v>
      </c>
      <c r="Y2410">
        <v>91252</v>
      </c>
    </row>
    <row r="2411" spans="1:25" ht="15" hidden="1" customHeight="1" x14ac:dyDescent="0.25">
      <c r="A2411" s="1" t="s">
        <v>34</v>
      </c>
      <c r="B2411" s="1" t="s">
        <v>74</v>
      </c>
      <c r="C2411" s="1" t="s">
        <v>176</v>
      </c>
      <c r="D2411">
        <v>13662</v>
      </c>
      <c r="E2411" s="1"/>
      <c r="F2411" s="1" t="s">
        <v>306</v>
      </c>
      <c r="G2411" s="1" t="s">
        <v>176</v>
      </c>
      <c r="H2411" s="1" t="s">
        <v>1405</v>
      </c>
      <c r="I2411">
        <v>2011</v>
      </c>
      <c r="J2411" s="93">
        <v>0.95</v>
      </c>
      <c r="K2411">
        <v>0</v>
      </c>
      <c r="L2411" s="1" t="s">
        <v>438</v>
      </c>
      <c r="M2411">
        <v>0</v>
      </c>
      <c r="N2411">
        <v>129</v>
      </c>
      <c r="O2411">
        <v>7.358E-3</v>
      </c>
      <c r="P2411">
        <v>3</v>
      </c>
      <c r="Q2411" s="1" t="s">
        <v>560</v>
      </c>
      <c r="R2411" s="93">
        <v>0.95</v>
      </c>
      <c r="S2411">
        <v>0.72</v>
      </c>
      <c r="T2411">
        <v>0</v>
      </c>
      <c r="U2411" s="1" t="s">
        <v>656</v>
      </c>
      <c r="V2411" s="1"/>
      <c r="W2411">
        <v>0.93959999999999999</v>
      </c>
      <c r="X2411">
        <v>0</v>
      </c>
      <c r="Y2411">
        <v>91252</v>
      </c>
    </row>
    <row r="2412" spans="1:25" ht="15" hidden="1" customHeight="1" x14ac:dyDescent="0.25">
      <c r="A2412" s="1" t="s">
        <v>34</v>
      </c>
      <c r="B2412" s="1" t="s">
        <v>74</v>
      </c>
      <c r="C2412" s="1" t="s">
        <v>176</v>
      </c>
      <c r="D2412">
        <v>13662</v>
      </c>
      <c r="E2412" s="1"/>
      <c r="F2412" s="1" t="s">
        <v>306</v>
      </c>
      <c r="G2412" s="1" t="s">
        <v>176</v>
      </c>
      <c r="H2412" s="1" t="s">
        <v>1405</v>
      </c>
      <c r="I2412">
        <v>2010</v>
      </c>
      <c r="J2412" s="93">
        <v>0.95</v>
      </c>
      <c r="K2412">
        <v>0</v>
      </c>
      <c r="L2412" s="1" t="s">
        <v>438</v>
      </c>
      <c r="M2412">
        <v>0</v>
      </c>
      <c r="N2412">
        <v>129</v>
      </c>
      <c r="O2412">
        <v>7.358E-3</v>
      </c>
      <c r="P2412">
        <v>3</v>
      </c>
      <c r="Q2412" s="1" t="s">
        <v>560</v>
      </c>
      <c r="R2412" s="93">
        <v>0.95</v>
      </c>
      <c r="S2412">
        <v>0.72</v>
      </c>
      <c r="T2412">
        <v>0</v>
      </c>
      <c r="U2412" s="1" t="s">
        <v>656</v>
      </c>
      <c r="V2412" s="1"/>
      <c r="W2412">
        <v>0.93959999999999999</v>
      </c>
      <c r="X2412">
        <v>0</v>
      </c>
      <c r="Y2412">
        <v>91252</v>
      </c>
    </row>
    <row r="2413" spans="1:25" ht="15" hidden="1" customHeight="1" x14ac:dyDescent="0.25">
      <c r="A2413" s="1" t="s">
        <v>34</v>
      </c>
      <c r="B2413" s="1" t="s">
        <v>74</v>
      </c>
      <c r="C2413" s="1" t="s">
        <v>176</v>
      </c>
      <c r="D2413">
        <v>13662</v>
      </c>
      <c r="E2413" s="1"/>
      <c r="F2413" s="1" t="s">
        <v>306</v>
      </c>
      <c r="G2413" s="1" t="s">
        <v>176</v>
      </c>
      <c r="H2413" s="1" t="s">
        <v>1405</v>
      </c>
      <c r="I2413">
        <v>2009</v>
      </c>
      <c r="J2413" s="93">
        <v>0.95</v>
      </c>
      <c r="K2413">
        <v>0</v>
      </c>
      <c r="L2413" s="1" t="s">
        <v>438</v>
      </c>
      <c r="M2413">
        <v>0</v>
      </c>
      <c r="N2413">
        <v>129</v>
      </c>
      <c r="O2413">
        <v>7.358E-3</v>
      </c>
      <c r="P2413">
        <v>3</v>
      </c>
      <c r="Q2413" s="1" t="s">
        <v>560</v>
      </c>
      <c r="R2413" s="93">
        <v>0.95</v>
      </c>
      <c r="S2413">
        <v>0.72</v>
      </c>
      <c r="T2413">
        <v>0</v>
      </c>
      <c r="U2413" s="1" t="s">
        <v>656</v>
      </c>
      <c r="V2413" s="1"/>
      <c r="W2413">
        <v>0.93959999999999999</v>
      </c>
      <c r="X2413">
        <v>0</v>
      </c>
      <c r="Y2413">
        <v>91252</v>
      </c>
    </row>
    <row r="2414" spans="1:25" ht="15" hidden="1" customHeight="1" x14ac:dyDescent="0.25">
      <c r="A2414" s="1" t="s">
        <v>34</v>
      </c>
      <c r="B2414" s="1" t="s">
        <v>74</v>
      </c>
      <c r="C2414" s="1" t="s">
        <v>176</v>
      </c>
      <c r="D2414">
        <v>13662</v>
      </c>
      <c r="E2414" s="1"/>
      <c r="F2414" s="1" t="s">
        <v>306</v>
      </c>
      <c r="G2414" s="1" t="s">
        <v>176</v>
      </c>
      <c r="H2414" s="1" t="s">
        <v>1405</v>
      </c>
      <c r="I2414">
        <v>2008</v>
      </c>
      <c r="J2414" s="93">
        <v>0.95</v>
      </c>
      <c r="K2414">
        <v>0</v>
      </c>
      <c r="L2414" s="1" t="s">
        <v>438</v>
      </c>
      <c r="M2414">
        <v>0</v>
      </c>
      <c r="N2414">
        <v>129</v>
      </c>
      <c r="O2414">
        <v>7.358E-3</v>
      </c>
      <c r="P2414">
        <v>3</v>
      </c>
      <c r="Q2414" s="1" t="s">
        <v>560</v>
      </c>
      <c r="R2414" s="93">
        <v>0.95</v>
      </c>
      <c r="S2414">
        <v>0.72</v>
      </c>
      <c r="T2414">
        <v>0</v>
      </c>
      <c r="U2414" s="1" t="s">
        <v>656</v>
      </c>
      <c r="V2414" s="1"/>
      <c r="W2414">
        <v>0.94216999999999995</v>
      </c>
      <c r="X2414">
        <v>0</v>
      </c>
      <c r="Y2414">
        <v>91252</v>
      </c>
    </row>
    <row r="2415" spans="1:25" ht="15" hidden="1" customHeight="1" x14ac:dyDescent="0.25">
      <c r="A2415" s="1" t="s">
        <v>34</v>
      </c>
      <c r="B2415" s="1"/>
      <c r="C2415" s="1" t="s">
        <v>177</v>
      </c>
      <c r="D2415">
        <v>10228</v>
      </c>
      <c r="E2415" s="1"/>
      <c r="F2415" s="1" t="s">
        <v>307</v>
      </c>
      <c r="G2415" s="1" t="s">
        <v>177</v>
      </c>
      <c r="H2415" s="1" t="s">
        <v>1405</v>
      </c>
      <c r="I2415">
        <v>2015</v>
      </c>
      <c r="J2415" s="93">
        <v>24</v>
      </c>
      <c r="K2415">
        <v>5</v>
      </c>
      <c r="L2415" s="1" t="s">
        <v>408</v>
      </c>
      <c r="M2415">
        <v>0</v>
      </c>
      <c r="N2415">
        <v>605</v>
      </c>
      <c r="O2415">
        <v>1.8013000000000001E-2</v>
      </c>
      <c r="P2415">
        <v>3</v>
      </c>
      <c r="Q2415" s="1" t="s">
        <v>560</v>
      </c>
      <c r="R2415" s="93">
        <v>10.9</v>
      </c>
      <c r="S2415">
        <v>8.7200000000000006</v>
      </c>
      <c r="T2415">
        <v>0</v>
      </c>
      <c r="U2415" s="1" t="s">
        <v>657</v>
      </c>
      <c r="V2415" s="1"/>
      <c r="W2415">
        <v>10.9</v>
      </c>
      <c r="X2415">
        <v>0</v>
      </c>
      <c r="Y2415">
        <v>77474</v>
      </c>
    </row>
    <row r="2416" spans="1:25" ht="15" hidden="1" customHeight="1" x14ac:dyDescent="0.25">
      <c r="A2416" s="1" t="s">
        <v>34</v>
      </c>
      <c r="B2416" s="1"/>
      <c r="C2416" s="1" t="s">
        <v>177</v>
      </c>
      <c r="D2416">
        <v>10228</v>
      </c>
      <c r="E2416" s="1"/>
      <c r="F2416" s="1" t="s">
        <v>307</v>
      </c>
      <c r="G2416" s="1" t="s">
        <v>177</v>
      </c>
      <c r="H2416" s="1" t="s">
        <v>1405</v>
      </c>
      <c r="I2416">
        <v>2013</v>
      </c>
      <c r="J2416" s="93">
        <v>34.9</v>
      </c>
      <c r="K2416">
        <v>12</v>
      </c>
      <c r="L2416" s="1" t="s">
        <v>408</v>
      </c>
      <c r="M2416">
        <v>0</v>
      </c>
      <c r="N2416">
        <v>605</v>
      </c>
      <c r="O2416">
        <v>5.7675999999999998E-2</v>
      </c>
      <c r="P2416">
        <v>3</v>
      </c>
      <c r="Q2416" s="1" t="s">
        <v>560</v>
      </c>
      <c r="R2416" s="93">
        <v>34.9</v>
      </c>
      <c r="S2416">
        <v>27.92</v>
      </c>
      <c r="T2416">
        <v>0</v>
      </c>
      <c r="U2416" s="1" t="s">
        <v>657</v>
      </c>
      <c r="V2416" s="1"/>
      <c r="W2416">
        <v>34.9</v>
      </c>
      <c r="X2416">
        <v>0</v>
      </c>
      <c r="Y2416">
        <v>77474</v>
      </c>
    </row>
    <row r="2417" spans="1:25" ht="15" hidden="1" customHeight="1" x14ac:dyDescent="0.25">
      <c r="A2417" s="1" t="s">
        <v>34</v>
      </c>
      <c r="B2417" s="1"/>
      <c r="C2417" s="1" t="s">
        <v>177</v>
      </c>
      <c r="D2417">
        <v>10228</v>
      </c>
      <c r="E2417" s="1"/>
      <c r="F2417" s="1" t="s">
        <v>307</v>
      </c>
      <c r="G2417" s="1" t="s">
        <v>177</v>
      </c>
      <c r="H2417" s="1" t="s">
        <v>1405</v>
      </c>
      <c r="I2417">
        <v>2012</v>
      </c>
      <c r="J2417" s="93">
        <v>27.2</v>
      </c>
      <c r="K2417">
        <v>12</v>
      </c>
      <c r="L2417" s="1" t="s">
        <v>408</v>
      </c>
      <c r="M2417">
        <v>0</v>
      </c>
      <c r="N2417">
        <v>605</v>
      </c>
      <c r="O2417">
        <v>4.4950999999999998E-2</v>
      </c>
      <c r="P2417">
        <v>3</v>
      </c>
      <c r="Q2417" s="1" t="s">
        <v>560</v>
      </c>
      <c r="R2417" s="93">
        <v>27.2</v>
      </c>
      <c r="S2417">
        <v>21.76</v>
      </c>
      <c r="T2417">
        <v>0</v>
      </c>
      <c r="U2417" s="1" t="s">
        <v>657</v>
      </c>
      <c r="V2417" s="1"/>
      <c r="W2417">
        <v>27.2</v>
      </c>
      <c r="X2417">
        <v>0</v>
      </c>
      <c r="Y2417">
        <v>77474</v>
      </c>
    </row>
    <row r="2418" spans="1:25" ht="15" hidden="1" customHeight="1" x14ac:dyDescent="0.25">
      <c r="A2418" s="1" t="s">
        <v>34</v>
      </c>
      <c r="B2418" s="1"/>
      <c r="C2418" s="1" t="s">
        <v>177</v>
      </c>
      <c r="D2418">
        <v>10228</v>
      </c>
      <c r="E2418" s="1"/>
      <c r="F2418" s="1" t="s">
        <v>307</v>
      </c>
      <c r="G2418" s="1" t="s">
        <v>177</v>
      </c>
      <c r="H2418" s="1" t="s">
        <v>1405</v>
      </c>
      <c r="I2418">
        <v>2011</v>
      </c>
      <c r="J2418" s="93">
        <v>27.9</v>
      </c>
      <c r="K2418">
        <v>12</v>
      </c>
      <c r="L2418" s="1" t="s">
        <v>408</v>
      </c>
      <c r="M2418">
        <v>0</v>
      </c>
      <c r="N2418">
        <v>605</v>
      </c>
      <c r="O2418">
        <v>4.6108000000000003E-2</v>
      </c>
      <c r="P2418">
        <v>3</v>
      </c>
      <c r="Q2418" s="1" t="s">
        <v>560</v>
      </c>
      <c r="R2418" s="93">
        <v>27.9</v>
      </c>
      <c r="S2418">
        <v>22.32</v>
      </c>
      <c r="T2418">
        <v>0</v>
      </c>
      <c r="U2418" s="1" t="s">
        <v>657</v>
      </c>
      <c r="V2418" s="1"/>
      <c r="W2418">
        <v>27.9</v>
      </c>
      <c r="X2418">
        <v>0</v>
      </c>
      <c r="Y2418">
        <v>77474</v>
      </c>
    </row>
    <row r="2419" spans="1:25" ht="15" hidden="1" customHeight="1" x14ac:dyDescent="0.25">
      <c r="A2419" s="1" t="s">
        <v>34</v>
      </c>
      <c r="B2419" s="1"/>
      <c r="C2419" s="1" t="s">
        <v>177</v>
      </c>
      <c r="D2419">
        <v>10228</v>
      </c>
      <c r="E2419" s="1"/>
      <c r="F2419" s="1" t="s">
        <v>307</v>
      </c>
      <c r="G2419" s="1" t="s">
        <v>177</v>
      </c>
      <c r="H2419" s="1" t="s">
        <v>1405</v>
      </c>
      <c r="I2419">
        <v>2010</v>
      </c>
      <c r="J2419" s="93">
        <v>26.7</v>
      </c>
      <c r="K2419">
        <v>12</v>
      </c>
      <c r="L2419" s="1" t="s">
        <v>408</v>
      </c>
      <c r="M2419">
        <v>0</v>
      </c>
      <c r="N2419">
        <v>605</v>
      </c>
      <c r="O2419">
        <v>4.4123999999999997E-2</v>
      </c>
      <c r="P2419">
        <v>3</v>
      </c>
      <c r="Q2419" s="1" t="s">
        <v>560</v>
      </c>
      <c r="R2419" s="93">
        <v>26.7</v>
      </c>
      <c r="S2419">
        <v>21.36</v>
      </c>
      <c r="T2419">
        <v>0</v>
      </c>
      <c r="U2419" s="1" t="s">
        <v>657</v>
      </c>
      <c r="V2419" s="1"/>
      <c r="W2419">
        <v>26.7</v>
      </c>
      <c r="X2419">
        <v>0</v>
      </c>
      <c r="Y2419">
        <v>77474</v>
      </c>
    </row>
    <row r="2420" spans="1:25" ht="15" hidden="1" customHeight="1" x14ac:dyDescent="0.25">
      <c r="A2420" s="1" t="s">
        <v>34</v>
      </c>
      <c r="B2420" s="1"/>
      <c r="C2420" s="1" t="s">
        <v>177</v>
      </c>
      <c r="D2420">
        <v>10228</v>
      </c>
      <c r="E2420" s="1"/>
      <c r="F2420" s="1" t="s">
        <v>307</v>
      </c>
      <c r="G2420" s="1" t="s">
        <v>177</v>
      </c>
      <c r="H2420" s="1" t="s">
        <v>1405</v>
      </c>
      <c r="I2420">
        <v>2009</v>
      </c>
      <c r="J2420" s="93">
        <v>32.159999999999997</v>
      </c>
      <c r="K2420">
        <v>12</v>
      </c>
      <c r="L2420" s="1" t="s">
        <v>408</v>
      </c>
      <c r="M2420">
        <v>0</v>
      </c>
      <c r="N2420">
        <v>605</v>
      </c>
      <c r="O2420">
        <v>5.3148000000000001E-2</v>
      </c>
      <c r="P2420">
        <v>3</v>
      </c>
      <c r="Q2420" s="1" t="s">
        <v>560</v>
      </c>
      <c r="R2420" s="93">
        <v>32.159999999999997</v>
      </c>
      <c r="S2420">
        <v>25.73</v>
      </c>
      <c r="T2420">
        <v>0</v>
      </c>
      <c r="U2420" s="1" t="s">
        <v>657</v>
      </c>
      <c r="V2420" s="1"/>
      <c r="W2420">
        <v>32.161619999999999</v>
      </c>
      <c r="X2420">
        <v>0</v>
      </c>
      <c r="Y2420">
        <v>77474</v>
      </c>
    </row>
    <row r="2421" spans="1:25" ht="15" hidden="1" customHeight="1" x14ac:dyDescent="0.25">
      <c r="A2421" s="1" t="s">
        <v>34</v>
      </c>
      <c r="B2421" s="1"/>
      <c r="C2421" s="1" t="s">
        <v>177</v>
      </c>
      <c r="D2421">
        <v>10228</v>
      </c>
      <c r="E2421" s="1"/>
      <c r="F2421" s="1" t="s">
        <v>307</v>
      </c>
      <c r="G2421" s="1" t="s">
        <v>177</v>
      </c>
      <c r="H2421" s="1" t="s">
        <v>1405</v>
      </c>
      <c r="I2421">
        <v>2008</v>
      </c>
      <c r="J2421" s="93">
        <v>33.119999999999997</v>
      </c>
      <c r="K2421">
        <v>6</v>
      </c>
      <c r="L2421" s="1" t="s">
        <v>408</v>
      </c>
      <c r="M2421">
        <v>0</v>
      </c>
      <c r="N2421">
        <v>605</v>
      </c>
      <c r="O2421">
        <v>5.4733999999999998E-2</v>
      </c>
      <c r="P2421">
        <v>3</v>
      </c>
      <c r="Q2421" s="1" t="s">
        <v>560</v>
      </c>
      <c r="R2421" s="93">
        <v>33.119999999999997</v>
      </c>
      <c r="S2421">
        <v>26.5</v>
      </c>
      <c r="T2421">
        <v>0</v>
      </c>
      <c r="U2421" s="1" t="s">
        <v>657</v>
      </c>
      <c r="V2421" s="1"/>
      <c r="W2421">
        <v>33.130479999999999</v>
      </c>
      <c r="X2421">
        <v>0</v>
      </c>
      <c r="Y2421">
        <v>77474</v>
      </c>
    </row>
    <row r="2422" spans="1:25" ht="15" hidden="1" customHeight="1" x14ac:dyDescent="0.25">
      <c r="A2422" s="1" t="s">
        <v>34</v>
      </c>
      <c r="B2422" s="1"/>
      <c r="C2422" s="1" t="s">
        <v>178</v>
      </c>
      <c r="D2422">
        <v>10190</v>
      </c>
      <c r="E2422" s="1"/>
      <c r="F2422" s="1" t="s">
        <v>308</v>
      </c>
      <c r="G2422" s="1" t="s">
        <v>178</v>
      </c>
      <c r="H2422" s="1" t="s">
        <v>1405</v>
      </c>
      <c r="I2422">
        <v>2015</v>
      </c>
      <c r="J2422" s="93">
        <v>61</v>
      </c>
      <c r="K2422">
        <v>5</v>
      </c>
      <c r="L2422" s="1" t="s">
        <v>399</v>
      </c>
      <c r="M2422">
        <v>0</v>
      </c>
      <c r="N2422">
        <v>475</v>
      </c>
      <c r="O2422">
        <v>5.6409000000000001E-2</v>
      </c>
      <c r="P2422">
        <v>3</v>
      </c>
      <c r="Q2422" s="1" t="s">
        <v>560</v>
      </c>
      <c r="R2422" s="93">
        <v>26.8</v>
      </c>
      <c r="S2422">
        <v>21.44</v>
      </c>
      <c r="T2422">
        <v>0</v>
      </c>
      <c r="U2422" s="1"/>
      <c r="V2422" s="1"/>
      <c r="W2422">
        <v>26.8</v>
      </c>
      <c r="X2422">
        <v>0</v>
      </c>
      <c r="Y2422">
        <v>77252</v>
      </c>
    </row>
    <row r="2423" spans="1:25" ht="15" hidden="1" customHeight="1" x14ac:dyDescent="0.25">
      <c r="A2423" s="1" t="s">
        <v>34</v>
      </c>
      <c r="B2423" s="1"/>
      <c r="C2423" s="1" t="s">
        <v>178</v>
      </c>
      <c r="D2423">
        <v>10190</v>
      </c>
      <c r="E2423" s="1"/>
      <c r="F2423" s="1" t="s">
        <v>308</v>
      </c>
      <c r="G2423" s="1" t="s">
        <v>178</v>
      </c>
      <c r="H2423" s="1" t="s">
        <v>1405</v>
      </c>
      <c r="I2423">
        <v>2013</v>
      </c>
      <c r="J2423" s="93">
        <v>53.6</v>
      </c>
      <c r="K2423">
        <v>12</v>
      </c>
      <c r="L2423" s="1" t="s">
        <v>399</v>
      </c>
      <c r="M2423">
        <v>0</v>
      </c>
      <c r="N2423">
        <v>475</v>
      </c>
      <c r="O2423">
        <v>0.112818</v>
      </c>
      <c r="P2423">
        <v>3</v>
      </c>
      <c r="Q2423" s="1" t="s">
        <v>560</v>
      </c>
      <c r="R2423" s="93">
        <v>53.6</v>
      </c>
      <c r="S2423">
        <v>42.88</v>
      </c>
      <c r="T2423">
        <v>0</v>
      </c>
      <c r="U2423" s="1"/>
      <c r="V2423" s="1"/>
      <c r="W2423">
        <v>53.6</v>
      </c>
      <c r="X2423">
        <v>0</v>
      </c>
      <c r="Y2423">
        <v>77252</v>
      </c>
    </row>
    <row r="2424" spans="1:25" ht="15" hidden="1" customHeight="1" x14ac:dyDescent="0.25">
      <c r="A2424" s="1" t="s">
        <v>34</v>
      </c>
      <c r="B2424" s="1"/>
      <c r="C2424" s="1" t="s">
        <v>178</v>
      </c>
      <c r="D2424">
        <v>10190</v>
      </c>
      <c r="E2424" s="1"/>
      <c r="F2424" s="1" t="s">
        <v>308</v>
      </c>
      <c r="G2424" s="1" t="s">
        <v>178</v>
      </c>
      <c r="H2424" s="1" t="s">
        <v>1405</v>
      </c>
      <c r="I2424">
        <v>2012</v>
      </c>
      <c r="J2424" s="93">
        <v>50.3</v>
      </c>
      <c r="K2424">
        <v>12</v>
      </c>
      <c r="L2424" s="1" t="s">
        <v>399</v>
      </c>
      <c r="M2424">
        <v>0</v>
      </c>
      <c r="N2424">
        <v>475</v>
      </c>
      <c r="O2424">
        <v>0.10587199999999999</v>
      </c>
      <c r="P2424">
        <v>3</v>
      </c>
      <c r="Q2424" s="1" t="s">
        <v>560</v>
      </c>
      <c r="R2424" s="93">
        <v>50.3</v>
      </c>
      <c r="S2424">
        <v>40.24</v>
      </c>
      <c r="T2424">
        <v>0</v>
      </c>
      <c r="U2424" s="1"/>
      <c r="V2424" s="1"/>
      <c r="W2424">
        <v>50.3</v>
      </c>
      <c r="X2424">
        <v>0</v>
      </c>
      <c r="Y2424">
        <v>77252</v>
      </c>
    </row>
    <row r="2425" spans="1:25" ht="15" hidden="1" customHeight="1" x14ac:dyDescent="0.25">
      <c r="A2425" s="1" t="s">
        <v>34</v>
      </c>
      <c r="B2425" s="1"/>
      <c r="C2425" s="1" t="s">
        <v>178</v>
      </c>
      <c r="D2425">
        <v>10190</v>
      </c>
      <c r="E2425" s="1"/>
      <c r="F2425" s="1" t="s">
        <v>308</v>
      </c>
      <c r="G2425" s="1" t="s">
        <v>178</v>
      </c>
      <c r="H2425" s="1" t="s">
        <v>1405</v>
      </c>
      <c r="I2425">
        <v>2011</v>
      </c>
      <c r="J2425" s="93">
        <v>99.02</v>
      </c>
      <c r="K2425">
        <v>5</v>
      </c>
      <c r="L2425" s="1" t="s">
        <v>399</v>
      </c>
      <c r="M2425">
        <v>0</v>
      </c>
      <c r="N2425">
        <v>475</v>
      </c>
      <c r="O2425">
        <v>0.20841899999999999</v>
      </c>
      <c r="P2425">
        <v>3</v>
      </c>
      <c r="Q2425" s="1" t="s">
        <v>560</v>
      </c>
      <c r="R2425" s="93">
        <v>99.02</v>
      </c>
      <c r="S2425">
        <v>79.22</v>
      </c>
      <c r="T2425">
        <v>0</v>
      </c>
      <c r="U2425" s="1"/>
      <c r="V2425" s="1"/>
      <c r="W2425">
        <v>99.045460000000006</v>
      </c>
      <c r="X2425">
        <v>0</v>
      </c>
      <c r="Y2425">
        <v>77252</v>
      </c>
    </row>
    <row r="2426" spans="1:25" ht="15" hidden="1" customHeight="1" x14ac:dyDescent="0.25">
      <c r="A2426" s="1" t="s">
        <v>34</v>
      </c>
      <c r="B2426" s="1"/>
      <c r="C2426" s="1" t="s">
        <v>178</v>
      </c>
      <c r="D2426">
        <v>10190</v>
      </c>
      <c r="E2426" s="1"/>
      <c r="F2426" s="1" t="s">
        <v>308</v>
      </c>
      <c r="G2426" s="1" t="s">
        <v>178</v>
      </c>
      <c r="H2426" s="1" t="s">
        <v>1405</v>
      </c>
      <c r="I2426">
        <v>2010</v>
      </c>
      <c r="J2426" s="93">
        <v>98.74</v>
      </c>
      <c r="K2426">
        <v>4</v>
      </c>
      <c r="L2426" s="1" t="s">
        <v>399</v>
      </c>
      <c r="M2426">
        <v>0</v>
      </c>
      <c r="N2426">
        <v>475</v>
      </c>
      <c r="O2426">
        <v>0.20782900000000001</v>
      </c>
      <c r="P2426">
        <v>3</v>
      </c>
      <c r="Q2426" s="1" t="s">
        <v>560</v>
      </c>
      <c r="R2426" s="93">
        <v>98.74</v>
      </c>
      <c r="S2426">
        <v>79</v>
      </c>
      <c r="T2426">
        <v>0</v>
      </c>
      <c r="U2426" s="1"/>
      <c r="V2426" s="1"/>
      <c r="W2426">
        <v>98.723190000000002</v>
      </c>
      <c r="X2426">
        <v>0</v>
      </c>
      <c r="Y2426">
        <v>77252</v>
      </c>
    </row>
    <row r="2427" spans="1:25" ht="15" hidden="1" customHeight="1" x14ac:dyDescent="0.25">
      <c r="A2427" s="1" t="s">
        <v>34</v>
      </c>
      <c r="B2427" s="1"/>
      <c r="C2427" s="1" t="s">
        <v>178</v>
      </c>
      <c r="D2427">
        <v>10190</v>
      </c>
      <c r="E2427" s="1"/>
      <c r="F2427" s="1" t="s">
        <v>308</v>
      </c>
      <c r="G2427" s="1" t="s">
        <v>178</v>
      </c>
      <c r="H2427" s="1" t="s">
        <v>1405</v>
      </c>
      <c r="I2427">
        <v>2009</v>
      </c>
      <c r="J2427" s="93">
        <v>67.650000000000006</v>
      </c>
      <c r="K2427">
        <v>5</v>
      </c>
      <c r="L2427" s="1" t="s">
        <v>399</v>
      </c>
      <c r="M2427">
        <v>0</v>
      </c>
      <c r="N2427">
        <v>475</v>
      </c>
      <c r="O2427">
        <v>0.14239099999999999</v>
      </c>
      <c r="P2427">
        <v>3</v>
      </c>
      <c r="Q2427" s="1" t="s">
        <v>560</v>
      </c>
      <c r="R2427" s="93">
        <v>67.650000000000006</v>
      </c>
      <c r="S2427">
        <v>54.13</v>
      </c>
      <c r="T2427">
        <v>0</v>
      </c>
      <c r="U2427" s="1"/>
      <c r="V2427" s="1"/>
      <c r="W2427">
        <v>67.65992</v>
      </c>
      <c r="X2427">
        <v>0</v>
      </c>
      <c r="Y2427">
        <v>77252</v>
      </c>
    </row>
    <row r="2428" spans="1:25" ht="15" hidden="1" customHeight="1" x14ac:dyDescent="0.25">
      <c r="A2428" s="1" t="s">
        <v>34</v>
      </c>
      <c r="B2428" s="1"/>
      <c r="C2428" s="1" t="s">
        <v>178</v>
      </c>
      <c r="D2428">
        <v>10190</v>
      </c>
      <c r="E2428" s="1"/>
      <c r="F2428" s="1" t="s">
        <v>308</v>
      </c>
      <c r="G2428" s="1" t="s">
        <v>178</v>
      </c>
      <c r="H2428" s="1" t="s">
        <v>1405</v>
      </c>
      <c r="I2428">
        <v>2008</v>
      </c>
      <c r="J2428" s="93">
        <v>53.41</v>
      </c>
      <c r="K2428">
        <v>4</v>
      </c>
      <c r="L2428" s="1" t="s">
        <v>399</v>
      </c>
      <c r="M2428">
        <v>0</v>
      </c>
      <c r="N2428">
        <v>475</v>
      </c>
      <c r="O2428">
        <v>0.112418</v>
      </c>
      <c r="P2428">
        <v>3</v>
      </c>
      <c r="Q2428" s="1" t="s">
        <v>560</v>
      </c>
      <c r="R2428" s="93">
        <v>53.41</v>
      </c>
      <c r="S2428">
        <v>42.71</v>
      </c>
      <c r="T2428">
        <v>0</v>
      </c>
      <c r="U2428" s="1"/>
      <c r="V2428" s="1"/>
      <c r="W2428">
        <v>53.395600000000002</v>
      </c>
      <c r="X2428">
        <v>0</v>
      </c>
      <c r="Y2428">
        <v>77252</v>
      </c>
    </row>
    <row r="2429" spans="1:25" ht="15" hidden="1" customHeight="1" x14ac:dyDescent="0.25">
      <c r="A2429" s="1" t="s">
        <v>34</v>
      </c>
      <c r="B2429" s="1" t="s">
        <v>95</v>
      </c>
      <c r="C2429" s="1" t="s">
        <v>226</v>
      </c>
      <c r="D2429">
        <v>5427</v>
      </c>
      <c r="E2429" s="1"/>
      <c r="F2429" s="1" t="s">
        <v>364</v>
      </c>
      <c r="G2429" s="1" t="s">
        <v>226</v>
      </c>
      <c r="H2429" s="1" t="s">
        <v>1405</v>
      </c>
      <c r="I2429">
        <v>2013</v>
      </c>
      <c r="J2429" s="93">
        <v>2413.34</v>
      </c>
      <c r="K2429">
        <v>12</v>
      </c>
      <c r="L2429" s="1" t="s">
        <v>404</v>
      </c>
      <c r="M2429">
        <v>0</v>
      </c>
      <c r="N2429">
        <v>361</v>
      </c>
      <c r="O2429">
        <v>6.6833010000000002</v>
      </c>
      <c r="P2429">
        <v>2</v>
      </c>
      <c r="Q2429" s="1" t="s">
        <v>569</v>
      </c>
      <c r="R2429" s="93">
        <v>2413.34</v>
      </c>
      <c r="S2429">
        <v>965.33</v>
      </c>
      <c r="T2429">
        <v>0</v>
      </c>
      <c r="U2429" s="1" t="s">
        <v>1042</v>
      </c>
      <c r="V2429" s="1"/>
      <c r="W2429">
        <v>2413.34</v>
      </c>
      <c r="X2429">
        <v>0</v>
      </c>
      <c r="Y2429">
        <v>57397</v>
      </c>
    </row>
    <row r="2430" spans="1:25" ht="15" hidden="1" customHeight="1" x14ac:dyDescent="0.25">
      <c r="A2430" s="1" t="s">
        <v>27</v>
      </c>
      <c r="B2430" s="1" t="s">
        <v>51</v>
      </c>
      <c r="C2430" s="1" t="s">
        <v>114</v>
      </c>
      <c r="D2430">
        <v>5276</v>
      </c>
      <c r="E2430" s="1"/>
      <c r="F2430" s="1" t="s">
        <v>259</v>
      </c>
      <c r="G2430" s="1" t="s">
        <v>114</v>
      </c>
      <c r="H2430" s="1" t="s">
        <v>1405</v>
      </c>
      <c r="I2430">
        <v>2014</v>
      </c>
      <c r="J2430" s="93">
        <v>69154.06</v>
      </c>
      <c r="K2430">
        <v>8</v>
      </c>
      <c r="L2430" s="1" t="s">
        <v>407</v>
      </c>
      <c r="M2430">
        <v>0</v>
      </c>
      <c r="N2430">
        <v>284</v>
      </c>
      <c r="O2430">
        <v>243.414501</v>
      </c>
      <c r="P2430">
        <v>1</v>
      </c>
      <c r="Q2430" s="1" t="s">
        <v>564</v>
      </c>
      <c r="R2430" s="93">
        <v>54295</v>
      </c>
      <c r="S2430">
        <v>11482.38</v>
      </c>
      <c r="T2430">
        <v>0</v>
      </c>
      <c r="U2430" s="1" t="s">
        <v>767</v>
      </c>
      <c r="V2430" s="1"/>
      <c r="W2430">
        <v>6403.1535999999996</v>
      </c>
      <c r="X2430">
        <v>0</v>
      </c>
      <c r="Y2430">
        <v>56862</v>
      </c>
    </row>
    <row r="2431" spans="1:25" ht="15" hidden="1" customHeight="1" x14ac:dyDescent="0.25">
      <c r="A2431" s="1" t="s">
        <v>34</v>
      </c>
      <c r="B2431" s="1" t="s">
        <v>95</v>
      </c>
      <c r="C2431" s="1" t="s">
        <v>226</v>
      </c>
      <c r="D2431">
        <v>5427</v>
      </c>
      <c r="E2431" s="1"/>
      <c r="F2431" s="1" t="s">
        <v>364</v>
      </c>
      <c r="G2431" s="1" t="s">
        <v>226</v>
      </c>
      <c r="H2431" s="1" t="s">
        <v>1405</v>
      </c>
      <c r="I2431">
        <v>2015</v>
      </c>
      <c r="J2431" s="93">
        <v>50053</v>
      </c>
      <c r="K2431">
        <v>5</v>
      </c>
      <c r="L2431" s="1" t="s">
        <v>404</v>
      </c>
      <c r="M2431">
        <v>0</v>
      </c>
      <c r="N2431">
        <v>361</v>
      </c>
      <c r="O2431">
        <v>80.046801000000002</v>
      </c>
      <c r="P2431">
        <v>1</v>
      </c>
      <c r="Q2431" s="1" t="s">
        <v>564</v>
      </c>
      <c r="R2431" s="93">
        <v>58333</v>
      </c>
      <c r="S2431">
        <v>6929.7</v>
      </c>
      <c r="T2431">
        <v>0</v>
      </c>
      <c r="U2431" s="1" t="s">
        <v>832</v>
      </c>
      <c r="V2431" s="1" t="s">
        <v>1213</v>
      </c>
      <c r="W2431">
        <v>2676.38</v>
      </c>
      <c r="X2431">
        <v>0</v>
      </c>
      <c r="Y2431">
        <v>57398</v>
      </c>
    </row>
    <row r="2432" spans="1:25" ht="15" hidden="1" customHeight="1" x14ac:dyDescent="0.25">
      <c r="A2432" s="1" t="s">
        <v>34</v>
      </c>
      <c r="B2432" s="1" t="s">
        <v>95</v>
      </c>
      <c r="C2432" s="1" t="s">
        <v>226</v>
      </c>
      <c r="D2432">
        <v>5427</v>
      </c>
      <c r="E2432" s="1"/>
      <c r="F2432" s="1" t="s">
        <v>364</v>
      </c>
      <c r="G2432" s="1" t="s">
        <v>226</v>
      </c>
      <c r="H2432" s="1" t="s">
        <v>1405</v>
      </c>
      <c r="I2432">
        <v>2013</v>
      </c>
      <c r="J2432" s="93">
        <v>66414.84</v>
      </c>
      <c r="K2432">
        <v>12</v>
      </c>
      <c r="L2432" s="1" t="s">
        <v>404</v>
      </c>
      <c r="M2432">
        <v>0</v>
      </c>
      <c r="N2432">
        <v>361</v>
      </c>
      <c r="O2432">
        <v>183.923677</v>
      </c>
      <c r="P2432">
        <v>1</v>
      </c>
      <c r="Q2432" s="1" t="s">
        <v>564</v>
      </c>
      <c r="R2432" s="93">
        <v>72594.86</v>
      </c>
      <c r="S2432">
        <v>15352.47</v>
      </c>
      <c r="T2432">
        <v>0</v>
      </c>
      <c r="U2432" s="1" t="s">
        <v>832</v>
      </c>
      <c r="V2432" s="1" t="s">
        <v>1213</v>
      </c>
      <c r="W2432">
        <v>6149.52</v>
      </c>
      <c r="X2432">
        <v>0</v>
      </c>
      <c r="Y2432">
        <v>57398</v>
      </c>
    </row>
    <row r="2433" spans="1:25" ht="15" hidden="1" customHeight="1" x14ac:dyDescent="0.25">
      <c r="A2433" s="1" t="s">
        <v>34</v>
      </c>
      <c r="B2433" s="1" t="s">
        <v>95</v>
      </c>
      <c r="C2433" s="1" t="s">
        <v>226</v>
      </c>
      <c r="D2433">
        <v>5427</v>
      </c>
      <c r="E2433" s="1"/>
      <c r="F2433" s="1" t="s">
        <v>364</v>
      </c>
      <c r="G2433" s="1" t="s">
        <v>226</v>
      </c>
      <c r="H2433" s="1" t="s">
        <v>1405</v>
      </c>
      <c r="I2433">
        <v>2012</v>
      </c>
      <c r="J2433" s="93">
        <v>69631.039999999994</v>
      </c>
      <c r="K2433">
        <v>12</v>
      </c>
      <c r="L2433" s="1" t="s">
        <v>404</v>
      </c>
      <c r="M2433">
        <v>0</v>
      </c>
      <c r="N2433">
        <v>361</v>
      </c>
      <c r="O2433">
        <v>192.83035100000001</v>
      </c>
      <c r="P2433">
        <v>1</v>
      </c>
      <c r="Q2433" s="1" t="s">
        <v>564</v>
      </c>
      <c r="R2433" s="93">
        <v>74780.350000000006</v>
      </c>
      <c r="S2433">
        <v>15814.66</v>
      </c>
      <c r="T2433">
        <v>0</v>
      </c>
      <c r="U2433" s="1" t="s">
        <v>832</v>
      </c>
      <c r="V2433" s="1" t="s">
        <v>1213</v>
      </c>
      <c r="W2433">
        <v>6447.32</v>
      </c>
      <c r="X2433">
        <v>0</v>
      </c>
      <c r="Y2433">
        <v>57398</v>
      </c>
    </row>
    <row r="2434" spans="1:25" ht="15" hidden="1" customHeight="1" x14ac:dyDescent="0.25">
      <c r="A2434" s="1" t="s">
        <v>34</v>
      </c>
      <c r="B2434" s="1" t="s">
        <v>95</v>
      </c>
      <c r="C2434" s="1" t="s">
        <v>226</v>
      </c>
      <c r="D2434">
        <v>5427</v>
      </c>
      <c r="E2434" s="1"/>
      <c r="F2434" s="1" t="s">
        <v>364</v>
      </c>
      <c r="G2434" s="1" t="s">
        <v>226</v>
      </c>
      <c r="H2434" s="1" t="s">
        <v>1405</v>
      </c>
      <c r="I2434">
        <v>2011</v>
      </c>
      <c r="J2434" s="93">
        <v>62701.36</v>
      </c>
      <c r="K2434">
        <v>12</v>
      </c>
      <c r="L2434" s="1" t="s">
        <v>404</v>
      </c>
      <c r="M2434">
        <v>0</v>
      </c>
      <c r="N2434">
        <v>361</v>
      </c>
      <c r="O2434">
        <v>173.63987800000001</v>
      </c>
      <c r="P2434">
        <v>1</v>
      </c>
      <c r="Q2434" s="1" t="s">
        <v>564</v>
      </c>
      <c r="R2434" s="93">
        <v>70176.509999999995</v>
      </c>
      <c r="S2434">
        <v>14841.04</v>
      </c>
      <c r="T2434">
        <v>0</v>
      </c>
      <c r="U2434" s="1" t="s">
        <v>832</v>
      </c>
      <c r="V2434" s="1" t="s">
        <v>1213</v>
      </c>
      <c r="W2434">
        <v>5805.68</v>
      </c>
      <c r="X2434">
        <v>0</v>
      </c>
      <c r="Y2434">
        <v>57398</v>
      </c>
    </row>
    <row r="2435" spans="1:25" ht="15" hidden="1" customHeight="1" x14ac:dyDescent="0.25">
      <c r="A2435" s="1" t="s">
        <v>34</v>
      </c>
      <c r="B2435" s="1" t="s">
        <v>95</v>
      </c>
      <c r="C2435" s="1" t="s">
        <v>226</v>
      </c>
      <c r="D2435">
        <v>5427</v>
      </c>
      <c r="E2435" s="1"/>
      <c r="F2435" s="1" t="s">
        <v>364</v>
      </c>
      <c r="G2435" s="1" t="s">
        <v>226</v>
      </c>
      <c r="H2435" s="1" t="s">
        <v>1405</v>
      </c>
      <c r="I2435">
        <v>2010</v>
      </c>
      <c r="J2435" s="93">
        <v>73212.56</v>
      </c>
      <c r="K2435">
        <v>12</v>
      </c>
      <c r="L2435" s="1" t="s">
        <v>404</v>
      </c>
      <c r="M2435">
        <v>0</v>
      </c>
      <c r="N2435">
        <v>361</v>
      </c>
      <c r="O2435">
        <v>202.74871200000001</v>
      </c>
      <c r="P2435">
        <v>1</v>
      </c>
      <c r="Q2435" s="1" t="s">
        <v>564</v>
      </c>
      <c r="R2435" s="93">
        <v>65866.91</v>
      </c>
      <c r="S2435">
        <v>13929.63</v>
      </c>
      <c r="T2435">
        <v>0</v>
      </c>
      <c r="U2435" s="1" t="s">
        <v>832</v>
      </c>
      <c r="V2435" s="1" t="s">
        <v>1213</v>
      </c>
      <c r="W2435">
        <v>6778.94</v>
      </c>
      <c r="X2435">
        <v>0</v>
      </c>
      <c r="Y2435">
        <v>57398</v>
      </c>
    </row>
    <row r="2436" spans="1:25" ht="15" hidden="1" customHeight="1" x14ac:dyDescent="0.25">
      <c r="A2436" s="1" t="s">
        <v>34</v>
      </c>
      <c r="B2436" s="1" t="s">
        <v>95</v>
      </c>
      <c r="C2436" s="1" t="s">
        <v>226</v>
      </c>
      <c r="D2436">
        <v>5427</v>
      </c>
      <c r="E2436" s="1"/>
      <c r="F2436" s="1" t="s">
        <v>364</v>
      </c>
      <c r="G2436" s="1" t="s">
        <v>226</v>
      </c>
      <c r="H2436" s="1" t="s">
        <v>1405</v>
      </c>
      <c r="I2436">
        <v>2009</v>
      </c>
      <c r="J2436" s="93">
        <v>62430.68</v>
      </c>
      <c r="K2436">
        <v>12</v>
      </c>
      <c r="L2436" s="1" t="s">
        <v>404</v>
      </c>
      <c r="M2436">
        <v>0</v>
      </c>
      <c r="N2436">
        <v>361</v>
      </c>
      <c r="O2436">
        <v>172.89027899999999</v>
      </c>
      <c r="P2436">
        <v>1</v>
      </c>
      <c r="Q2436" s="1" t="s">
        <v>564</v>
      </c>
      <c r="R2436" s="93">
        <v>67947.899999999994</v>
      </c>
      <c r="S2436">
        <v>14369.74</v>
      </c>
      <c r="T2436">
        <v>0</v>
      </c>
      <c r="U2436" s="1" t="s">
        <v>832</v>
      </c>
      <c r="V2436" s="1" t="s">
        <v>1213</v>
      </c>
      <c r="W2436">
        <v>5780.62</v>
      </c>
      <c r="X2436">
        <v>0</v>
      </c>
      <c r="Y2436">
        <v>57398</v>
      </c>
    </row>
    <row r="2437" spans="1:25" ht="15" hidden="1" customHeight="1" x14ac:dyDescent="0.25">
      <c r="A2437" s="1" t="s">
        <v>34</v>
      </c>
      <c r="B2437" s="1" t="s">
        <v>95</v>
      </c>
      <c r="C2437" s="1" t="s">
        <v>226</v>
      </c>
      <c r="D2437">
        <v>5427</v>
      </c>
      <c r="E2437" s="1"/>
      <c r="F2437" s="1" t="s">
        <v>364</v>
      </c>
      <c r="G2437" s="1" t="s">
        <v>226</v>
      </c>
      <c r="H2437" s="1" t="s">
        <v>1405</v>
      </c>
      <c r="I2437">
        <v>2008</v>
      </c>
      <c r="J2437" s="93">
        <v>57226.8</v>
      </c>
      <c r="K2437">
        <v>12</v>
      </c>
      <c r="L2437" s="1" t="s">
        <v>404</v>
      </c>
      <c r="M2437">
        <v>0</v>
      </c>
      <c r="N2437">
        <v>361</v>
      </c>
      <c r="O2437">
        <v>158.47909100000001</v>
      </c>
      <c r="P2437">
        <v>1</v>
      </c>
      <c r="Q2437" s="1" t="s">
        <v>564</v>
      </c>
      <c r="R2437" s="93">
        <v>66833.440000000002</v>
      </c>
      <c r="S2437">
        <v>14134.03</v>
      </c>
      <c r="T2437">
        <v>0</v>
      </c>
      <c r="U2437" s="1" t="s">
        <v>832</v>
      </c>
      <c r="V2437" s="1" t="s">
        <v>1213</v>
      </c>
      <c r="W2437">
        <v>5298.78</v>
      </c>
      <c r="X2437">
        <v>0</v>
      </c>
      <c r="Y2437">
        <v>57398</v>
      </c>
    </row>
    <row r="2438" spans="1:25" ht="15" hidden="1" customHeight="1" x14ac:dyDescent="0.25">
      <c r="A2438" s="1" t="s">
        <v>34</v>
      </c>
      <c r="B2438" s="1"/>
      <c r="C2438" s="1" t="s">
        <v>177</v>
      </c>
      <c r="D2438">
        <v>10228</v>
      </c>
      <c r="E2438" s="1"/>
      <c r="F2438" s="1" t="s">
        <v>307</v>
      </c>
      <c r="G2438" s="1" t="s">
        <v>177</v>
      </c>
      <c r="H2438" s="1" t="s">
        <v>1405</v>
      </c>
      <c r="I2438">
        <v>2015</v>
      </c>
      <c r="J2438" s="93">
        <v>89895</v>
      </c>
      <c r="K2438">
        <v>5</v>
      </c>
      <c r="L2438" s="1"/>
      <c r="M2438">
        <v>0</v>
      </c>
      <c r="N2438">
        <v>605</v>
      </c>
      <c r="O2438">
        <v>82.345066000000003</v>
      </c>
      <c r="P2438">
        <v>1</v>
      </c>
      <c r="Q2438" s="1" t="s">
        <v>562</v>
      </c>
      <c r="R2438" s="93">
        <v>104366</v>
      </c>
      <c r="S2438">
        <v>3624.01</v>
      </c>
      <c r="T2438">
        <v>0</v>
      </c>
      <c r="U2438" s="1" t="s">
        <v>833</v>
      </c>
      <c r="V2438" s="1"/>
      <c r="W2438">
        <v>49827</v>
      </c>
      <c r="X2438">
        <v>0</v>
      </c>
      <c r="Y2438">
        <v>90940</v>
      </c>
    </row>
    <row r="2439" spans="1:25" ht="15" hidden="1" customHeight="1" x14ac:dyDescent="0.25">
      <c r="A2439" s="1" t="s">
        <v>34</v>
      </c>
      <c r="B2439" s="1"/>
      <c r="C2439" s="1" t="s">
        <v>177</v>
      </c>
      <c r="D2439">
        <v>10228</v>
      </c>
      <c r="E2439" s="1"/>
      <c r="F2439" s="1" t="s">
        <v>307</v>
      </c>
      <c r="G2439" s="1" t="s">
        <v>177</v>
      </c>
      <c r="H2439" s="1" t="s">
        <v>1405</v>
      </c>
      <c r="I2439">
        <v>2013</v>
      </c>
      <c r="J2439" s="93">
        <v>88756</v>
      </c>
      <c r="K2439">
        <v>12</v>
      </c>
      <c r="L2439" s="1"/>
      <c r="M2439">
        <v>0</v>
      </c>
      <c r="N2439">
        <v>605</v>
      </c>
      <c r="O2439">
        <v>146.65509800000001</v>
      </c>
      <c r="P2439">
        <v>1</v>
      </c>
      <c r="Q2439" s="1" t="s">
        <v>562</v>
      </c>
      <c r="R2439" s="93">
        <v>93361</v>
      </c>
      <c r="S2439">
        <v>5974.32</v>
      </c>
      <c r="T2439">
        <v>0</v>
      </c>
      <c r="U2439" s="1" t="s">
        <v>833</v>
      </c>
      <c r="V2439" s="1"/>
      <c r="W2439">
        <v>88741</v>
      </c>
      <c r="X2439">
        <v>0</v>
      </c>
      <c r="Y2439">
        <v>90940</v>
      </c>
    </row>
    <row r="2440" spans="1:25" ht="15" hidden="1" customHeight="1" x14ac:dyDescent="0.25">
      <c r="A2440" s="1" t="s">
        <v>34</v>
      </c>
      <c r="B2440" s="1"/>
      <c r="C2440" s="1" t="s">
        <v>177</v>
      </c>
      <c r="D2440">
        <v>10228</v>
      </c>
      <c r="E2440" s="1"/>
      <c r="F2440" s="1" t="s">
        <v>307</v>
      </c>
      <c r="G2440" s="1" t="s">
        <v>177</v>
      </c>
      <c r="H2440" s="1" t="s">
        <v>1405</v>
      </c>
      <c r="I2440">
        <v>2012</v>
      </c>
      <c r="J2440" s="93">
        <v>95866</v>
      </c>
      <c r="K2440">
        <v>12</v>
      </c>
      <c r="L2440" s="1"/>
      <c r="M2440">
        <v>0</v>
      </c>
      <c r="N2440">
        <v>605</v>
      </c>
      <c r="O2440">
        <v>158.43001100000001</v>
      </c>
      <c r="P2440">
        <v>1</v>
      </c>
      <c r="Q2440" s="1" t="s">
        <v>562</v>
      </c>
      <c r="R2440" s="93">
        <v>101569.56</v>
      </c>
      <c r="S2440">
        <v>18790.37</v>
      </c>
      <c r="T2440">
        <v>0</v>
      </c>
      <c r="U2440" s="1" t="s">
        <v>833</v>
      </c>
      <c r="V2440" s="1"/>
      <c r="W2440">
        <v>95866</v>
      </c>
      <c r="X2440">
        <v>0</v>
      </c>
      <c r="Y2440">
        <v>90940</v>
      </c>
    </row>
    <row r="2441" spans="1:25" ht="15" hidden="1" customHeight="1" x14ac:dyDescent="0.25">
      <c r="A2441" s="1" t="s">
        <v>34</v>
      </c>
      <c r="B2441" s="1"/>
      <c r="C2441" s="1" t="s">
        <v>177</v>
      </c>
      <c r="D2441">
        <v>10228</v>
      </c>
      <c r="E2441" s="1"/>
      <c r="F2441" s="1" t="s">
        <v>307</v>
      </c>
      <c r="G2441" s="1" t="s">
        <v>177</v>
      </c>
      <c r="H2441" s="1" t="s">
        <v>1405</v>
      </c>
      <c r="I2441">
        <v>2011</v>
      </c>
      <c r="J2441" s="93">
        <v>87084.06</v>
      </c>
      <c r="K2441">
        <v>1</v>
      </c>
      <c r="L2441" s="1" t="s">
        <v>482</v>
      </c>
      <c r="M2441">
        <v>0</v>
      </c>
      <c r="N2441">
        <v>605</v>
      </c>
      <c r="O2441">
        <v>143.91680700000001</v>
      </c>
      <c r="P2441">
        <v>1</v>
      </c>
      <c r="Q2441" s="1" t="s">
        <v>565</v>
      </c>
      <c r="R2441" s="93">
        <v>104654.65</v>
      </c>
      <c r="S2441">
        <v>19361.12</v>
      </c>
      <c r="T2441">
        <v>0</v>
      </c>
      <c r="U2441" s="1" t="s">
        <v>834</v>
      </c>
      <c r="V2441" s="1"/>
      <c r="W2441">
        <v>87.084059999999994</v>
      </c>
      <c r="X2441">
        <v>0</v>
      </c>
      <c r="Y2441">
        <v>77477</v>
      </c>
    </row>
    <row r="2442" spans="1:25" ht="15" hidden="1" customHeight="1" x14ac:dyDescent="0.25">
      <c r="A2442" s="1" t="s">
        <v>34</v>
      </c>
      <c r="B2442" s="1"/>
      <c r="C2442" s="1" t="s">
        <v>177</v>
      </c>
      <c r="D2442">
        <v>10228</v>
      </c>
      <c r="E2442" s="1"/>
      <c r="F2442" s="1" t="s">
        <v>307</v>
      </c>
      <c r="G2442" s="1" t="s">
        <v>177</v>
      </c>
      <c r="H2442" s="1" t="s">
        <v>1405</v>
      </c>
      <c r="I2442">
        <v>2010</v>
      </c>
      <c r="J2442" s="93">
        <v>92718.99</v>
      </c>
      <c r="K2442">
        <v>1</v>
      </c>
      <c r="L2442" s="1" t="s">
        <v>482</v>
      </c>
      <c r="M2442">
        <v>0</v>
      </c>
      <c r="N2442">
        <v>605</v>
      </c>
      <c r="O2442">
        <v>153.22920099999999</v>
      </c>
      <c r="P2442">
        <v>1</v>
      </c>
      <c r="Q2442" s="1" t="s">
        <v>565</v>
      </c>
      <c r="R2442" s="93">
        <v>124196.63</v>
      </c>
      <c r="S2442">
        <v>22976.36</v>
      </c>
      <c r="T2442">
        <v>0</v>
      </c>
      <c r="U2442" s="1" t="s">
        <v>834</v>
      </c>
      <c r="V2442" s="1"/>
      <c r="W2442">
        <v>92.718990000000005</v>
      </c>
      <c r="X2442">
        <v>0</v>
      </c>
      <c r="Y2442">
        <v>77477</v>
      </c>
    </row>
    <row r="2443" spans="1:25" ht="15" hidden="1" customHeight="1" x14ac:dyDescent="0.25">
      <c r="A2443" s="1" t="s">
        <v>34</v>
      </c>
      <c r="B2443" s="1"/>
      <c r="C2443" s="1" t="s">
        <v>177</v>
      </c>
      <c r="D2443">
        <v>10228</v>
      </c>
      <c r="E2443" s="1"/>
      <c r="F2443" s="1" t="s">
        <v>307</v>
      </c>
      <c r="G2443" s="1" t="s">
        <v>177</v>
      </c>
      <c r="H2443" s="1" t="s">
        <v>1405</v>
      </c>
      <c r="I2443">
        <v>2009</v>
      </c>
      <c r="J2443" s="93">
        <v>81038.06</v>
      </c>
      <c r="K2443">
        <v>19</v>
      </c>
      <c r="L2443" s="1" t="s">
        <v>482</v>
      </c>
      <c r="M2443">
        <v>0</v>
      </c>
      <c r="N2443">
        <v>605</v>
      </c>
      <c r="O2443">
        <v>133.92507000000001</v>
      </c>
      <c r="P2443">
        <v>1</v>
      </c>
      <c r="Q2443" s="1" t="s">
        <v>565</v>
      </c>
      <c r="R2443" s="93">
        <v>92169.32</v>
      </c>
      <c r="S2443">
        <v>17051.330000000002</v>
      </c>
      <c r="T2443">
        <v>0</v>
      </c>
      <c r="U2443" s="1" t="s">
        <v>834</v>
      </c>
      <c r="V2443" s="1"/>
      <c r="W2443">
        <v>81.038060000000002</v>
      </c>
      <c r="X2443">
        <v>0</v>
      </c>
      <c r="Y2443">
        <v>77477</v>
      </c>
    </row>
    <row r="2444" spans="1:25" ht="15" hidden="1" customHeight="1" x14ac:dyDescent="0.25">
      <c r="A2444" s="1" t="s">
        <v>34</v>
      </c>
      <c r="B2444" s="1"/>
      <c r="C2444" s="1" t="s">
        <v>177</v>
      </c>
      <c r="D2444">
        <v>10228</v>
      </c>
      <c r="E2444" s="1"/>
      <c r="F2444" s="1" t="s">
        <v>307</v>
      </c>
      <c r="G2444" s="1" t="s">
        <v>177</v>
      </c>
      <c r="H2444" s="1" t="s">
        <v>1405</v>
      </c>
      <c r="I2444">
        <v>2008</v>
      </c>
      <c r="J2444" s="93">
        <v>77713.37</v>
      </c>
      <c r="K2444">
        <v>17</v>
      </c>
      <c r="L2444" s="1" t="s">
        <v>482</v>
      </c>
      <c r="M2444">
        <v>0</v>
      </c>
      <c r="N2444">
        <v>605</v>
      </c>
      <c r="O2444">
        <v>128.430623</v>
      </c>
      <c r="P2444">
        <v>1</v>
      </c>
      <c r="Q2444" s="1" t="s">
        <v>565</v>
      </c>
      <c r="R2444" s="93">
        <v>91545.94</v>
      </c>
      <c r="S2444">
        <v>16936.009999999998</v>
      </c>
      <c r="T2444">
        <v>0</v>
      </c>
      <c r="U2444" s="1" t="s">
        <v>834</v>
      </c>
      <c r="V2444" s="1"/>
      <c r="W2444">
        <v>77.713369999999998</v>
      </c>
      <c r="X2444">
        <v>0</v>
      </c>
      <c r="Y2444">
        <v>77477</v>
      </c>
    </row>
    <row r="2445" spans="1:25" ht="15" hidden="1" customHeight="1" x14ac:dyDescent="0.25">
      <c r="A2445" s="1" t="s">
        <v>34</v>
      </c>
      <c r="B2445" s="1"/>
      <c r="C2445" s="1" t="s">
        <v>178</v>
      </c>
      <c r="D2445">
        <v>10190</v>
      </c>
      <c r="E2445" s="1"/>
      <c r="F2445" s="1" t="s">
        <v>308</v>
      </c>
      <c r="G2445" s="1" t="s">
        <v>178</v>
      </c>
      <c r="H2445" s="1" t="s">
        <v>1405</v>
      </c>
      <c r="I2445">
        <v>2015</v>
      </c>
      <c r="J2445" s="93">
        <v>51937</v>
      </c>
      <c r="K2445">
        <v>5</v>
      </c>
      <c r="L2445" s="1" t="s">
        <v>399</v>
      </c>
      <c r="M2445">
        <v>0</v>
      </c>
      <c r="N2445">
        <v>475</v>
      </c>
      <c r="O2445">
        <v>60.725278000000003</v>
      </c>
      <c r="P2445">
        <v>1</v>
      </c>
      <c r="Q2445" s="1" t="s">
        <v>564</v>
      </c>
      <c r="R2445" s="93">
        <v>58738</v>
      </c>
      <c r="S2445">
        <v>6830.83</v>
      </c>
      <c r="T2445">
        <v>0</v>
      </c>
      <c r="U2445" s="1"/>
      <c r="V2445" s="1" t="s">
        <v>1214</v>
      </c>
      <c r="W2445">
        <v>2671.35</v>
      </c>
      <c r="X2445">
        <v>0</v>
      </c>
      <c r="Y2445">
        <v>77253</v>
      </c>
    </row>
    <row r="2446" spans="1:25" ht="15" hidden="1" customHeight="1" x14ac:dyDescent="0.25">
      <c r="A2446" s="1" t="s">
        <v>34</v>
      </c>
      <c r="B2446" s="1"/>
      <c r="C2446" s="1" t="s">
        <v>178</v>
      </c>
      <c r="D2446">
        <v>10190</v>
      </c>
      <c r="E2446" s="1"/>
      <c r="F2446" s="1" t="s">
        <v>308</v>
      </c>
      <c r="G2446" s="1" t="s">
        <v>178</v>
      </c>
      <c r="H2446" s="1" t="s">
        <v>1405</v>
      </c>
      <c r="I2446">
        <v>2013</v>
      </c>
      <c r="J2446" s="93">
        <v>55348.05</v>
      </c>
      <c r="K2446">
        <v>12</v>
      </c>
      <c r="L2446" s="1" t="s">
        <v>399</v>
      </c>
      <c r="M2446">
        <v>0</v>
      </c>
      <c r="N2446">
        <v>475</v>
      </c>
      <c r="O2446">
        <v>116.49768400000001</v>
      </c>
      <c r="P2446">
        <v>1</v>
      </c>
      <c r="Q2446" s="1" t="s">
        <v>564</v>
      </c>
      <c r="R2446" s="93">
        <v>57363.96</v>
      </c>
      <c r="S2446">
        <v>12131.42</v>
      </c>
      <c r="T2446">
        <v>0</v>
      </c>
      <c r="U2446" s="1"/>
      <c r="V2446" s="1" t="s">
        <v>1214</v>
      </c>
      <c r="W2446">
        <v>5124.82</v>
      </c>
      <c r="X2446">
        <v>0</v>
      </c>
      <c r="Y2446">
        <v>77253</v>
      </c>
    </row>
    <row r="2447" spans="1:25" ht="15" hidden="1" customHeight="1" x14ac:dyDescent="0.25">
      <c r="A2447" s="1" t="s">
        <v>34</v>
      </c>
      <c r="B2447" s="1"/>
      <c r="C2447" s="1" t="s">
        <v>178</v>
      </c>
      <c r="D2447">
        <v>10190</v>
      </c>
      <c r="E2447" s="1"/>
      <c r="F2447" s="1" t="s">
        <v>308</v>
      </c>
      <c r="G2447" s="1" t="s">
        <v>178</v>
      </c>
      <c r="H2447" s="1" t="s">
        <v>1405</v>
      </c>
      <c r="I2447">
        <v>2012</v>
      </c>
      <c r="J2447" s="93">
        <v>55474.53</v>
      </c>
      <c r="K2447">
        <v>12</v>
      </c>
      <c r="L2447" s="1" t="s">
        <v>399</v>
      </c>
      <c r="M2447">
        <v>0</v>
      </c>
      <c r="N2447">
        <v>475</v>
      </c>
      <c r="O2447">
        <v>116.763902</v>
      </c>
      <c r="P2447">
        <v>1</v>
      </c>
      <c r="Q2447" s="1" t="s">
        <v>564</v>
      </c>
      <c r="R2447" s="93">
        <v>58117.05</v>
      </c>
      <c r="S2447">
        <v>12290.68</v>
      </c>
      <c r="T2447">
        <v>0</v>
      </c>
      <c r="U2447" s="1"/>
      <c r="V2447" s="1" t="s">
        <v>1214</v>
      </c>
      <c r="W2447">
        <v>5136.53</v>
      </c>
      <c r="X2447">
        <v>0</v>
      </c>
      <c r="Y2447">
        <v>77253</v>
      </c>
    </row>
    <row r="2448" spans="1:25" ht="15" hidden="1" customHeight="1" x14ac:dyDescent="0.25">
      <c r="A2448" s="1" t="s">
        <v>34</v>
      </c>
      <c r="B2448" s="1"/>
      <c r="C2448" s="1" t="s">
        <v>178</v>
      </c>
      <c r="D2448">
        <v>10190</v>
      </c>
      <c r="E2448" s="1"/>
      <c r="F2448" s="1" t="s">
        <v>308</v>
      </c>
      <c r="G2448" s="1" t="s">
        <v>178</v>
      </c>
      <c r="H2448" s="1" t="s">
        <v>1405</v>
      </c>
      <c r="I2448">
        <v>2011</v>
      </c>
      <c r="J2448" s="93">
        <v>49334.32</v>
      </c>
      <c r="K2448">
        <v>5</v>
      </c>
      <c r="L2448" s="1" t="s">
        <v>399</v>
      </c>
      <c r="M2448">
        <v>0</v>
      </c>
      <c r="N2448">
        <v>475</v>
      </c>
      <c r="O2448">
        <v>103.839865</v>
      </c>
      <c r="P2448">
        <v>1</v>
      </c>
      <c r="Q2448" s="1" t="s">
        <v>564</v>
      </c>
      <c r="R2448" s="93">
        <v>54893.31</v>
      </c>
      <c r="S2448">
        <v>11608.94</v>
      </c>
      <c r="T2448">
        <v>0</v>
      </c>
      <c r="U2448" s="1"/>
      <c r="V2448" s="1" t="s">
        <v>1214</v>
      </c>
      <c r="W2448">
        <v>4567.9915300000002</v>
      </c>
      <c r="X2448">
        <v>0</v>
      </c>
      <c r="Y2448">
        <v>77253</v>
      </c>
    </row>
    <row r="2449" spans="1:25" ht="15" hidden="1" customHeight="1" x14ac:dyDescent="0.25">
      <c r="A2449" s="1" t="s">
        <v>34</v>
      </c>
      <c r="B2449" s="1"/>
      <c r="C2449" s="1" t="s">
        <v>178</v>
      </c>
      <c r="D2449">
        <v>10190</v>
      </c>
      <c r="E2449" s="1"/>
      <c r="F2449" s="1" t="s">
        <v>308</v>
      </c>
      <c r="G2449" s="1" t="s">
        <v>178</v>
      </c>
      <c r="H2449" s="1" t="s">
        <v>1405</v>
      </c>
      <c r="I2449">
        <v>2010</v>
      </c>
      <c r="J2449" s="93">
        <v>52904.86</v>
      </c>
      <c r="K2449">
        <v>3</v>
      </c>
      <c r="L2449" s="1" t="s">
        <v>399</v>
      </c>
      <c r="M2449">
        <v>0</v>
      </c>
      <c r="N2449">
        <v>475</v>
      </c>
      <c r="O2449">
        <v>111.355209</v>
      </c>
      <c r="P2449">
        <v>1</v>
      </c>
      <c r="Q2449" s="1" t="s">
        <v>564</v>
      </c>
      <c r="R2449" s="93">
        <v>48721.04</v>
      </c>
      <c r="S2449">
        <v>10303.59</v>
      </c>
      <c r="T2449">
        <v>0</v>
      </c>
      <c r="U2449" s="1"/>
      <c r="V2449" s="1" t="s">
        <v>1214</v>
      </c>
      <c r="W2449">
        <v>4898.5980200000004</v>
      </c>
      <c r="X2449">
        <v>0</v>
      </c>
      <c r="Y2449">
        <v>77253</v>
      </c>
    </row>
    <row r="2450" spans="1:25" ht="15" hidden="1" customHeight="1" x14ac:dyDescent="0.25">
      <c r="A2450" s="1" t="s">
        <v>34</v>
      </c>
      <c r="B2450" s="1"/>
      <c r="C2450" s="1" t="s">
        <v>178</v>
      </c>
      <c r="D2450">
        <v>10190</v>
      </c>
      <c r="E2450" s="1"/>
      <c r="F2450" s="1" t="s">
        <v>308</v>
      </c>
      <c r="G2450" s="1" t="s">
        <v>178</v>
      </c>
      <c r="H2450" s="1" t="s">
        <v>1405</v>
      </c>
      <c r="I2450">
        <v>2009</v>
      </c>
      <c r="J2450" s="93">
        <v>49002.46</v>
      </c>
      <c r="K2450">
        <v>4</v>
      </c>
      <c r="L2450" s="1" t="s">
        <v>399</v>
      </c>
      <c r="M2450">
        <v>0</v>
      </c>
      <c r="N2450">
        <v>475</v>
      </c>
      <c r="O2450">
        <v>103.14135899999999</v>
      </c>
      <c r="P2450">
        <v>1</v>
      </c>
      <c r="Q2450" s="1" t="s">
        <v>564</v>
      </c>
      <c r="R2450" s="93">
        <v>56985.16</v>
      </c>
      <c r="S2450">
        <v>12051.3</v>
      </c>
      <c r="T2450">
        <v>0</v>
      </c>
      <c r="U2450" s="1"/>
      <c r="V2450" s="1" t="s">
        <v>1214</v>
      </c>
      <c r="W2450">
        <v>4537.2675799999997</v>
      </c>
      <c r="X2450">
        <v>0</v>
      </c>
      <c r="Y2450">
        <v>77253</v>
      </c>
    </row>
    <row r="2451" spans="1:25" ht="15" hidden="1" customHeight="1" x14ac:dyDescent="0.25">
      <c r="A2451" s="1" t="s">
        <v>34</v>
      </c>
      <c r="B2451" s="1"/>
      <c r="C2451" s="1" t="s">
        <v>178</v>
      </c>
      <c r="D2451">
        <v>10190</v>
      </c>
      <c r="E2451" s="1"/>
      <c r="F2451" s="1" t="s">
        <v>308</v>
      </c>
      <c r="G2451" s="1" t="s">
        <v>178</v>
      </c>
      <c r="H2451" s="1" t="s">
        <v>1405</v>
      </c>
      <c r="I2451">
        <v>2008</v>
      </c>
      <c r="J2451" s="93">
        <v>40924.75</v>
      </c>
      <c r="K2451">
        <v>4</v>
      </c>
      <c r="L2451" s="1" t="s">
        <v>399</v>
      </c>
      <c r="M2451">
        <v>0</v>
      </c>
      <c r="N2451">
        <v>475</v>
      </c>
      <c r="O2451">
        <v>86.139233000000004</v>
      </c>
      <c r="P2451">
        <v>1</v>
      </c>
      <c r="Q2451" s="1" t="s">
        <v>564</v>
      </c>
      <c r="R2451" s="93">
        <v>46017.47</v>
      </c>
      <c r="S2451">
        <v>9731.85</v>
      </c>
      <c r="T2451">
        <v>0</v>
      </c>
      <c r="U2451" s="1"/>
      <c r="V2451" s="1" t="s">
        <v>1214</v>
      </c>
      <c r="W2451">
        <v>3789.3296700000001</v>
      </c>
      <c r="X2451">
        <v>0</v>
      </c>
      <c r="Y2451">
        <v>77253</v>
      </c>
    </row>
    <row r="2452" spans="1:25" ht="15" hidden="1" customHeight="1" x14ac:dyDescent="0.25">
      <c r="A2452" s="1" t="s">
        <v>34</v>
      </c>
      <c r="B2452" s="1"/>
      <c r="C2452" s="1" t="s">
        <v>177</v>
      </c>
      <c r="D2452">
        <v>10228</v>
      </c>
      <c r="E2452" s="1"/>
      <c r="F2452" s="1" t="s">
        <v>307</v>
      </c>
      <c r="G2452" s="1" t="s">
        <v>177</v>
      </c>
      <c r="H2452" s="1" t="s">
        <v>1405</v>
      </c>
      <c r="I2452">
        <v>2014</v>
      </c>
      <c r="J2452" s="93">
        <v>30.27</v>
      </c>
      <c r="K2452">
        <v>5</v>
      </c>
      <c r="L2452" s="1" t="s">
        <v>408</v>
      </c>
      <c r="M2452">
        <v>0</v>
      </c>
      <c r="N2452">
        <v>605</v>
      </c>
      <c r="O2452">
        <v>5.0023999999999999E-2</v>
      </c>
      <c r="P2452">
        <v>3</v>
      </c>
      <c r="Q2452" s="1" t="s">
        <v>560</v>
      </c>
      <c r="R2452" s="93">
        <v>30.27</v>
      </c>
      <c r="S2452">
        <v>24.21</v>
      </c>
      <c r="T2452">
        <v>0</v>
      </c>
      <c r="U2452" s="1" t="s">
        <v>657</v>
      </c>
      <c r="V2452" s="1"/>
      <c r="W2452">
        <v>30.265339999999998</v>
      </c>
      <c r="X2452">
        <v>0</v>
      </c>
      <c r="Y2452">
        <v>77474</v>
      </c>
    </row>
    <row r="2453" spans="1:25" ht="15" hidden="1" customHeight="1" x14ac:dyDescent="0.25">
      <c r="A2453" s="1" t="s">
        <v>34</v>
      </c>
      <c r="B2453" s="1"/>
      <c r="C2453" s="1" t="s">
        <v>177</v>
      </c>
      <c r="D2453">
        <v>10228</v>
      </c>
      <c r="E2453" s="1"/>
      <c r="F2453" s="1" t="s">
        <v>307</v>
      </c>
      <c r="G2453" s="1" t="s">
        <v>177</v>
      </c>
      <c r="H2453" s="1" t="s">
        <v>1405</v>
      </c>
      <c r="I2453">
        <v>2014</v>
      </c>
      <c r="J2453" s="93">
        <v>61737</v>
      </c>
      <c r="K2453">
        <v>6</v>
      </c>
      <c r="L2453" s="1"/>
      <c r="M2453">
        <v>0</v>
      </c>
      <c r="N2453">
        <v>605</v>
      </c>
      <c r="O2453">
        <v>93.134456999999998</v>
      </c>
      <c r="P2453">
        <v>1</v>
      </c>
      <c r="Q2453" s="1" t="s">
        <v>562</v>
      </c>
      <c r="R2453" s="93">
        <v>75445</v>
      </c>
      <c r="S2453">
        <v>4314.21</v>
      </c>
      <c r="T2453">
        <v>0</v>
      </c>
      <c r="U2453" s="1" t="s">
        <v>833</v>
      </c>
      <c r="V2453" s="1"/>
      <c r="W2453">
        <v>56355.659699999997</v>
      </c>
      <c r="X2453">
        <v>0</v>
      </c>
      <c r="Y2453">
        <v>90940</v>
      </c>
    </row>
    <row r="2454" spans="1:25" ht="15" hidden="1" customHeight="1" x14ac:dyDescent="0.25">
      <c r="A2454" s="1" t="s">
        <v>34</v>
      </c>
      <c r="B2454" s="1"/>
      <c r="C2454" s="1" t="s">
        <v>177</v>
      </c>
      <c r="D2454">
        <v>10228</v>
      </c>
      <c r="E2454" s="1"/>
      <c r="F2454" s="1" t="s">
        <v>307</v>
      </c>
      <c r="G2454" s="1" t="s">
        <v>177</v>
      </c>
      <c r="H2454" s="1" t="s">
        <v>1405</v>
      </c>
      <c r="I2454">
        <v>2013</v>
      </c>
      <c r="J2454" s="93">
        <v>17135.84</v>
      </c>
      <c r="K2454">
        <v>12</v>
      </c>
      <c r="L2454" s="1"/>
      <c r="M2454">
        <v>0</v>
      </c>
      <c r="N2454">
        <v>605</v>
      </c>
      <c r="O2454">
        <v>28.319020999999999</v>
      </c>
      <c r="P2454">
        <v>2</v>
      </c>
      <c r="Q2454" s="1" t="s">
        <v>569</v>
      </c>
      <c r="R2454" s="93">
        <v>17135.84</v>
      </c>
      <c r="S2454">
        <v>5140.74</v>
      </c>
      <c r="T2454">
        <v>0</v>
      </c>
      <c r="U2454" s="1" t="s">
        <v>1043</v>
      </c>
      <c r="V2454" s="1" t="s">
        <v>1312</v>
      </c>
      <c r="W2454">
        <v>17135.848699999999</v>
      </c>
      <c r="X2454">
        <v>0</v>
      </c>
      <c r="Y2454">
        <v>90939</v>
      </c>
    </row>
    <row r="2455" spans="1:25" ht="15" hidden="1" customHeight="1" x14ac:dyDescent="0.25">
      <c r="A2455" s="1" t="s">
        <v>29</v>
      </c>
      <c r="B2455" s="1"/>
      <c r="C2455" s="1" t="s">
        <v>145</v>
      </c>
      <c r="D2455">
        <v>11351</v>
      </c>
      <c r="E2455" s="1" t="s">
        <v>243</v>
      </c>
      <c r="F2455" s="1" t="s">
        <v>280</v>
      </c>
      <c r="G2455" s="1" t="s">
        <v>145</v>
      </c>
      <c r="H2455" s="1" t="s">
        <v>1405</v>
      </c>
      <c r="I2455">
        <v>2014</v>
      </c>
      <c r="J2455" s="93">
        <v>74468.89</v>
      </c>
      <c r="K2455">
        <v>12</v>
      </c>
      <c r="L2455" s="1" t="s">
        <v>399</v>
      </c>
      <c r="M2455">
        <v>0</v>
      </c>
      <c r="N2455">
        <v>867</v>
      </c>
      <c r="O2455">
        <v>85.8827</v>
      </c>
      <c r="P2455">
        <v>1</v>
      </c>
      <c r="Q2455" s="1" t="s">
        <v>564</v>
      </c>
      <c r="R2455" s="93">
        <v>92526.5</v>
      </c>
      <c r="S2455">
        <v>19567.64</v>
      </c>
      <c r="T2455">
        <v>0</v>
      </c>
      <c r="U2455" s="1" t="s">
        <v>794</v>
      </c>
      <c r="V2455" s="1" t="s">
        <v>1201</v>
      </c>
      <c r="W2455">
        <v>6895.2695999999996</v>
      </c>
      <c r="X2455">
        <v>0</v>
      </c>
      <c r="Y2455">
        <v>80928</v>
      </c>
    </row>
    <row r="2456" spans="1:25" ht="15" hidden="1" customHeight="1" x14ac:dyDescent="0.25">
      <c r="A2456" s="1" t="s">
        <v>34</v>
      </c>
      <c r="B2456" s="1"/>
      <c r="C2456" s="1" t="s">
        <v>178</v>
      </c>
      <c r="D2456">
        <v>10190</v>
      </c>
      <c r="E2456" s="1"/>
      <c r="F2456" s="1" t="s">
        <v>308</v>
      </c>
      <c r="G2456" s="1" t="s">
        <v>178</v>
      </c>
      <c r="H2456" s="1" t="s">
        <v>1405</v>
      </c>
      <c r="I2456">
        <v>2014</v>
      </c>
      <c r="J2456" s="93">
        <v>66.2</v>
      </c>
      <c r="K2456">
        <v>12</v>
      </c>
      <c r="L2456" s="1" t="s">
        <v>399</v>
      </c>
      <c r="M2456">
        <v>0</v>
      </c>
      <c r="N2456">
        <v>475</v>
      </c>
      <c r="O2456">
        <v>0.13933899999999999</v>
      </c>
      <c r="P2456">
        <v>3</v>
      </c>
      <c r="Q2456" s="1" t="s">
        <v>560</v>
      </c>
      <c r="R2456" s="93">
        <v>66.2</v>
      </c>
      <c r="S2456">
        <v>52.96</v>
      </c>
      <c r="T2456">
        <v>0</v>
      </c>
      <c r="U2456" s="1"/>
      <c r="V2456" s="1"/>
      <c r="W2456">
        <v>66.2</v>
      </c>
      <c r="X2456">
        <v>0</v>
      </c>
      <c r="Y2456">
        <v>77252</v>
      </c>
    </row>
    <row r="2457" spans="1:25" ht="15" hidden="1" customHeight="1" x14ac:dyDescent="0.25">
      <c r="A2457" s="1" t="s">
        <v>34</v>
      </c>
      <c r="B2457" s="1"/>
      <c r="C2457" s="1" t="s">
        <v>178</v>
      </c>
      <c r="D2457">
        <v>10190</v>
      </c>
      <c r="E2457" s="1"/>
      <c r="F2457" s="1" t="s">
        <v>308</v>
      </c>
      <c r="G2457" s="1" t="s">
        <v>178</v>
      </c>
      <c r="H2457" s="1" t="s">
        <v>1405</v>
      </c>
      <c r="I2457">
        <v>2013</v>
      </c>
      <c r="J2457" s="93">
        <v>11559.85</v>
      </c>
      <c r="K2457">
        <v>12</v>
      </c>
      <c r="L2457" s="1" t="s">
        <v>399</v>
      </c>
      <c r="M2457">
        <v>0</v>
      </c>
      <c r="N2457">
        <v>475</v>
      </c>
      <c r="O2457">
        <v>24.331403000000002</v>
      </c>
      <c r="P2457">
        <v>2</v>
      </c>
      <c r="Q2457" s="1" t="s">
        <v>569</v>
      </c>
      <c r="R2457" s="93">
        <v>11559.85</v>
      </c>
      <c r="S2457">
        <v>3467.96</v>
      </c>
      <c r="T2457">
        <v>0</v>
      </c>
      <c r="U2457" s="1" t="s">
        <v>1045</v>
      </c>
      <c r="V2457" s="1" t="s">
        <v>1313</v>
      </c>
      <c r="W2457">
        <v>11559.857</v>
      </c>
      <c r="X2457">
        <v>0</v>
      </c>
      <c r="Y2457">
        <v>77251</v>
      </c>
    </row>
    <row r="2458" spans="1:25" ht="15" hidden="1" customHeight="1" x14ac:dyDescent="0.25">
      <c r="A2458" s="1" t="s">
        <v>34</v>
      </c>
      <c r="B2458" s="1" t="s">
        <v>74</v>
      </c>
      <c r="C2458" s="1" t="s">
        <v>176</v>
      </c>
      <c r="D2458">
        <v>13662</v>
      </c>
      <c r="E2458" s="1"/>
      <c r="F2458" s="1" t="s">
        <v>306</v>
      </c>
      <c r="G2458" s="1" t="s">
        <v>176</v>
      </c>
      <c r="H2458" s="1" t="s">
        <v>1405</v>
      </c>
      <c r="I2458">
        <v>2014</v>
      </c>
      <c r="J2458" s="93">
        <v>17750.91</v>
      </c>
      <c r="K2458">
        <v>12</v>
      </c>
      <c r="L2458" s="1" t="s">
        <v>422</v>
      </c>
      <c r="M2458">
        <v>0</v>
      </c>
      <c r="N2458">
        <v>129</v>
      </c>
      <c r="O2458">
        <v>137.497366</v>
      </c>
      <c r="P2458">
        <v>2</v>
      </c>
      <c r="Q2458" s="1" t="s">
        <v>569</v>
      </c>
      <c r="R2458" s="93">
        <v>17750.91</v>
      </c>
      <c r="S2458">
        <v>5325.27</v>
      </c>
      <c r="T2458">
        <v>0</v>
      </c>
      <c r="U2458" s="1" t="s">
        <v>1041</v>
      </c>
      <c r="V2458" s="1" t="s">
        <v>1311</v>
      </c>
      <c r="W2458">
        <v>17750.8933</v>
      </c>
      <c r="X2458">
        <v>0</v>
      </c>
      <c r="Y2458">
        <v>91251</v>
      </c>
    </row>
    <row r="2459" spans="1:25" ht="15" hidden="1" customHeight="1" x14ac:dyDescent="0.25">
      <c r="A2459" s="1" t="s">
        <v>34</v>
      </c>
      <c r="B2459" s="1" t="s">
        <v>95</v>
      </c>
      <c r="C2459" s="1" t="s">
        <v>226</v>
      </c>
      <c r="D2459">
        <v>5427</v>
      </c>
      <c r="E2459" s="1"/>
      <c r="F2459" s="1" t="s">
        <v>364</v>
      </c>
      <c r="G2459" s="1" t="s">
        <v>226</v>
      </c>
      <c r="H2459" s="1" t="s">
        <v>1405</v>
      </c>
      <c r="I2459">
        <v>2014</v>
      </c>
      <c r="J2459" s="93">
        <v>1668.59</v>
      </c>
      <c r="K2459">
        <v>12</v>
      </c>
      <c r="L2459" s="1" t="s">
        <v>404</v>
      </c>
      <c r="M2459">
        <v>0</v>
      </c>
      <c r="N2459">
        <v>361</v>
      </c>
      <c r="O2459">
        <v>4.6208520000000002</v>
      </c>
      <c r="P2459">
        <v>2</v>
      </c>
      <c r="Q2459" s="1" t="s">
        <v>569</v>
      </c>
      <c r="R2459" s="93">
        <v>1668.59</v>
      </c>
      <c r="S2459">
        <v>667.43</v>
      </c>
      <c r="T2459">
        <v>0</v>
      </c>
      <c r="U2459" s="1" t="s">
        <v>1042</v>
      </c>
      <c r="V2459" s="1"/>
      <c r="W2459">
        <v>1668.5740000000001</v>
      </c>
      <c r="X2459">
        <v>0</v>
      </c>
      <c r="Y2459">
        <v>57397</v>
      </c>
    </row>
    <row r="2460" spans="1:25" ht="15" hidden="1" customHeight="1" x14ac:dyDescent="0.25">
      <c r="A2460" s="1" t="s">
        <v>34</v>
      </c>
      <c r="B2460" s="1" t="s">
        <v>74</v>
      </c>
      <c r="C2460" s="1" t="s">
        <v>176</v>
      </c>
      <c r="D2460">
        <v>13662</v>
      </c>
      <c r="E2460" s="1"/>
      <c r="F2460" s="1" t="s">
        <v>306</v>
      </c>
      <c r="G2460" s="1" t="s">
        <v>176</v>
      </c>
      <c r="H2460" s="1" t="s">
        <v>1405</v>
      </c>
      <c r="I2460">
        <v>2012</v>
      </c>
      <c r="J2460" s="93">
        <v>16860.39</v>
      </c>
      <c r="K2460">
        <v>3</v>
      </c>
      <c r="L2460" s="1" t="s">
        <v>422</v>
      </c>
      <c r="M2460">
        <v>0</v>
      </c>
      <c r="N2460">
        <v>129</v>
      </c>
      <c r="O2460">
        <v>130.599457</v>
      </c>
      <c r="P2460">
        <v>2</v>
      </c>
      <c r="Q2460" s="1" t="s">
        <v>569</v>
      </c>
      <c r="R2460" s="93">
        <v>16860.39</v>
      </c>
      <c r="S2460">
        <v>6744.14</v>
      </c>
      <c r="T2460">
        <v>0</v>
      </c>
      <c r="U2460" s="1" t="s">
        <v>1041</v>
      </c>
      <c r="V2460" s="1" t="s">
        <v>1311</v>
      </c>
      <c r="W2460">
        <v>16860.37761</v>
      </c>
      <c r="X2460">
        <v>0</v>
      </c>
      <c r="Y2460">
        <v>91251</v>
      </c>
    </row>
    <row r="2461" spans="1:25" ht="15" hidden="1" customHeight="1" x14ac:dyDescent="0.25">
      <c r="A2461" s="1" t="s">
        <v>34</v>
      </c>
      <c r="B2461" s="1" t="s">
        <v>74</v>
      </c>
      <c r="C2461" s="1" t="s">
        <v>176</v>
      </c>
      <c r="D2461">
        <v>13662</v>
      </c>
      <c r="E2461" s="1"/>
      <c r="F2461" s="1" t="s">
        <v>306</v>
      </c>
      <c r="G2461" s="1" t="s">
        <v>176</v>
      </c>
      <c r="H2461" s="1" t="s">
        <v>1405</v>
      </c>
      <c r="I2461">
        <v>2011</v>
      </c>
      <c r="J2461" s="93">
        <v>22278.44</v>
      </c>
      <c r="K2461">
        <v>1</v>
      </c>
      <c r="L2461" s="1" t="s">
        <v>422</v>
      </c>
      <c r="M2461">
        <v>0</v>
      </c>
      <c r="N2461">
        <v>129</v>
      </c>
      <c r="O2461">
        <v>172.56731199999999</v>
      </c>
      <c r="P2461">
        <v>2</v>
      </c>
      <c r="Q2461" s="1" t="s">
        <v>569</v>
      </c>
      <c r="R2461" s="93">
        <v>22278.44</v>
      </c>
      <c r="S2461">
        <v>10448.59</v>
      </c>
      <c r="T2461">
        <v>0</v>
      </c>
      <c r="U2461" s="1" t="s">
        <v>1041</v>
      </c>
      <c r="V2461" s="1" t="s">
        <v>1311</v>
      </c>
      <c r="W2461">
        <v>22278.433150000001</v>
      </c>
      <c r="X2461">
        <v>0</v>
      </c>
      <c r="Y2461">
        <v>91251</v>
      </c>
    </row>
    <row r="2462" spans="1:25" ht="15" hidden="1" customHeight="1" x14ac:dyDescent="0.25">
      <c r="A2462" s="1" t="s">
        <v>34</v>
      </c>
      <c r="B2462" s="1" t="s">
        <v>74</v>
      </c>
      <c r="C2462" s="1" t="s">
        <v>176</v>
      </c>
      <c r="D2462">
        <v>13662</v>
      </c>
      <c r="E2462" s="1"/>
      <c r="F2462" s="1" t="s">
        <v>306</v>
      </c>
      <c r="G2462" s="1" t="s">
        <v>176</v>
      </c>
      <c r="H2462" s="1" t="s">
        <v>1405</v>
      </c>
      <c r="I2462">
        <v>2010</v>
      </c>
      <c r="J2462" s="93">
        <v>21263.96</v>
      </c>
      <c r="K2462">
        <v>1</v>
      </c>
      <c r="L2462" s="1" t="s">
        <v>422</v>
      </c>
      <c r="M2462">
        <v>0</v>
      </c>
      <c r="N2462">
        <v>129</v>
      </c>
      <c r="O2462">
        <v>164.709217</v>
      </c>
      <c r="P2462">
        <v>2</v>
      </c>
      <c r="Q2462" s="1" t="s">
        <v>569</v>
      </c>
      <c r="R2462" s="93">
        <v>21263.96</v>
      </c>
      <c r="S2462">
        <v>9972.7800000000007</v>
      </c>
      <c r="T2462">
        <v>0</v>
      </c>
      <c r="U2462" s="1" t="s">
        <v>1041</v>
      </c>
      <c r="V2462" s="1" t="s">
        <v>1311</v>
      </c>
      <c r="W2462">
        <v>21263.947530000001</v>
      </c>
      <c r="X2462">
        <v>0</v>
      </c>
      <c r="Y2462">
        <v>91251</v>
      </c>
    </row>
    <row r="2463" spans="1:25" ht="15" hidden="1" customHeight="1" x14ac:dyDescent="0.25">
      <c r="A2463" s="1" t="s">
        <v>34</v>
      </c>
      <c r="B2463" s="1" t="s">
        <v>74</v>
      </c>
      <c r="C2463" s="1" t="s">
        <v>176</v>
      </c>
      <c r="D2463">
        <v>13662</v>
      </c>
      <c r="E2463" s="1"/>
      <c r="F2463" s="1" t="s">
        <v>306</v>
      </c>
      <c r="G2463" s="1" t="s">
        <v>176</v>
      </c>
      <c r="H2463" s="1" t="s">
        <v>1405</v>
      </c>
      <c r="I2463">
        <v>2009</v>
      </c>
      <c r="J2463" s="93">
        <v>21438.43</v>
      </c>
      <c r="K2463">
        <v>0</v>
      </c>
      <c r="L2463" s="1" t="s">
        <v>422</v>
      </c>
      <c r="M2463">
        <v>0</v>
      </c>
      <c r="N2463">
        <v>129</v>
      </c>
      <c r="O2463">
        <v>166.06065000000001</v>
      </c>
      <c r="P2463">
        <v>2</v>
      </c>
      <c r="Q2463" s="1" t="s">
        <v>569</v>
      </c>
      <c r="R2463" s="93">
        <v>21438.43</v>
      </c>
      <c r="S2463">
        <v>10054.6</v>
      </c>
      <c r="T2463">
        <v>0</v>
      </c>
      <c r="U2463" s="1" t="s">
        <v>1041</v>
      </c>
      <c r="V2463" s="1" t="s">
        <v>1311</v>
      </c>
      <c r="W2463">
        <v>21438.415369999999</v>
      </c>
      <c r="X2463">
        <v>0</v>
      </c>
      <c r="Y2463">
        <v>91251</v>
      </c>
    </row>
    <row r="2464" spans="1:25" ht="15" hidden="1" customHeight="1" x14ac:dyDescent="0.25">
      <c r="A2464" s="1" t="s">
        <v>34</v>
      </c>
      <c r="B2464" s="1" t="s">
        <v>74</v>
      </c>
      <c r="C2464" s="1" t="s">
        <v>176</v>
      </c>
      <c r="D2464">
        <v>13662</v>
      </c>
      <c r="E2464" s="1"/>
      <c r="F2464" s="1" t="s">
        <v>306</v>
      </c>
      <c r="G2464" s="1" t="s">
        <v>176</v>
      </c>
      <c r="H2464" s="1" t="s">
        <v>1405</v>
      </c>
      <c r="I2464">
        <v>2008</v>
      </c>
      <c r="J2464" s="93">
        <v>17640.55</v>
      </c>
      <c r="K2464">
        <v>1</v>
      </c>
      <c r="L2464" s="1" t="s">
        <v>422</v>
      </c>
      <c r="M2464">
        <v>0</v>
      </c>
      <c r="N2464">
        <v>129</v>
      </c>
      <c r="O2464">
        <v>136.64252500000001</v>
      </c>
      <c r="P2464">
        <v>2</v>
      </c>
      <c r="Q2464" s="1" t="s">
        <v>569</v>
      </c>
      <c r="R2464" s="93">
        <v>17640.55</v>
      </c>
      <c r="S2464">
        <v>8273.3799999999992</v>
      </c>
      <c r="T2464">
        <v>0</v>
      </c>
      <c r="U2464" s="1" t="s">
        <v>1041</v>
      </c>
      <c r="V2464" s="1" t="s">
        <v>1311</v>
      </c>
      <c r="W2464">
        <v>17640.566019999998</v>
      </c>
      <c r="X2464">
        <v>0</v>
      </c>
      <c r="Y2464">
        <v>91251</v>
      </c>
    </row>
    <row r="2465" spans="1:25" ht="15" hidden="1" customHeight="1" x14ac:dyDescent="0.25">
      <c r="A2465" s="1" t="s">
        <v>34</v>
      </c>
      <c r="B2465" s="1"/>
      <c r="C2465" s="1" t="s">
        <v>177</v>
      </c>
      <c r="D2465">
        <v>10228</v>
      </c>
      <c r="E2465" s="1"/>
      <c r="F2465" s="1" t="s">
        <v>307</v>
      </c>
      <c r="G2465" s="1" t="s">
        <v>177</v>
      </c>
      <c r="H2465" s="1" t="s">
        <v>1405</v>
      </c>
      <c r="I2465">
        <v>2014</v>
      </c>
      <c r="J2465" s="93">
        <v>15419.47</v>
      </c>
      <c r="K2465">
        <v>6</v>
      </c>
      <c r="L2465" s="1"/>
      <c r="M2465">
        <v>0</v>
      </c>
      <c r="N2465">
        <v>605</v>
      </c>
      <c r="O2465">
        <v>8.9563210000000009</v>
      </c>
      <c r="P2465">
        <v>2</v>
      </c>
      <c r="Q2465" s="1" t="s">
        <v>569</v>
      </c>
      <c r="R2465" s="93">
        <v>15419.47</v>
      </c>
      <c r="S2465">
        <v>1625.85</v>
      </c>
      <c r="T2465">
        <v>0</v>
      </c>
      <c r="U2465" s="1" t="s">
        <v>1043</v>
      </c>
      <c r="V2465" s="1" t="s">
        <v>1312</v>
      </c>
      <c r="W2465">
        <v>5419.4674999999997</v>
      </c>
      <c r="X2465">
        <v>0</v>
      </c>
      <c r="Y2465">
        <v>90939</v>
      </c>
    </row>
    <row r="2466" spans="1:25" ht="15" hidden="1" customHeight="1" x14ac:dyDescent="0.25">
      <c r="A2466" s="1" t="s">
        <v>34</v>
      </c>
      <c r="B2466" s="1"/>
      <c r="C2466" s="1" t="s">
        <v>178</v>
      </c>
      <c r="D2466">
        <v>10190</v>
      </c>
      <c r="E2466" s="1"/>
      <c r="F2466" s="1" t="s">
        <v>308</v>
      </c>
      <c r="G2466" s="1" t="s">
        <v>178</v>
      </c>
      <c r="H2466" s="1" t="s">
        <v>1405</v>
      </c>
      <c r="I2466">
        <v>2014</v>
      </c>
      <c r="J2466" s="93">
        <v>11046.97</v>
      </c>
      <c r="K2466">
        <v>12</v>
      </c>
      <c r="L2466" s="1" t="s">
        <v>399</v>
      </c>
      <c r="M2466">
        <v>0</v>
      </c>
      <c r="N2466">
        <v>475</v>
      </c>
      <c r="O2466">
        <v>23.251882999999999</v>
      </c>
      <c r="P2466">
        <v>2</v>
      </c>
      <c r="Q2466" s="1" t="s">
        <v>569</v>
      </c>
      <c r="R2466" s="93">
        <v>11046.97</v>
      </c>
      <c r="S2466">
        <v>3314.11</v>
      </c>
      <c r="T2466">
        <v>0</v>
      </c>
      <c r="U2466" s="1" t="s">
        <v>1045</v>
      </c>
      <c r="V2466" s="1" t="s">
        <v>1313</v>
      </c>
      <c r="W2466">
        <v>11046.985699999999</v>
      </c>
      <c r="X2466">
        <v>0</v>
      </c>
      <c r="Y2466">
        <v>77251</v>
      </c>
    </row>
    <row r="2467" spans="1:25" ht="15" hidden="1" customHeight="1" x14ac:dyDescent="0.25">
      <c r="A2467" s="1" t="s">
        <v>34</v>
      </c>
      <c r="B2467" s="1" t="s">
        <v>95</v>
      </c>
      <c r="C2467" s="1" t="s">
        <v>226</v>
      </c>
      <c r="D2467">
        <v>5427</v>
      </c>
      <c r="E2467" s="1"/>
      <c r="F2467" s="1" t="s">
        <v>364</v>
      </c>
      <c r="G2467" s="1" t="s">
        <v>226</v>
      </c>
      <c r="H2467" s="1" t="s">
        <v>1405</v>
      </c>
      <c r="I2467">
        <v>2012</v>
      </c>
      <c r="J2467" s="93">
        <v>3369.07</v>
      </c>
      <c r="K2467">
        <v>12</v>
      </c>
      <c r="L2467" s="1" t="s">
        <v>404</v>
      </c>
      <c r="M2467">
        <v>0</v>
      </c>
      <c r="N2467">
        <v>361</v>
      </c>
      <c r="O2467">
        <v>9.3300190000000001</v>
      </c>
      <c r="P2467">
        <v>2</v>
      </c>
      <c r="Q2467" s="1" t="s">
        <v>569</v>
      </c>
      <c r="R2467" s="93">
        <v>3369.07</v>
      </c>
      <c r="S2467">
        <v>1347.63</v>
      </c>
      <c r="T2467">
        <v>0</v>
      </c>
      <c r="U2467" s="1" t="s">
        <v>1042</v>
      </c>
      <c r="V2467" s="1"/>
      <c r="W2467">
        <v>3369.078</v>
      </c>
      <c r="X2467">
        <v>0</v>
      </c>
      <c r="Y2467">
        <v>57397</v>
      </c>
    </row>
    <row r="2468" spans="1:25" ht="15" hidden="1" customHeight="1" x14ac:dyDescent="0.25">
      <c r="A2468" s="1" t="s">
        <v>34</v>
      </c>
      <c r="B2468" s="1" t="s">
        <v>95</v>
      </c>
      <c r="C2468" s="1" t="s">
        <v>226</v>
      </c>
      <c r="D2468">
        <v>5427</v>
      </c>
      <c r="E2468" s="1"/>
      <c r="F2468" s="1" t="s">
        <v>364</v>
      </c>
      <c r="G2468" s="1" t="s">
        <v>226</v>
      </c>
      <c r="H2468" s="1" t="s">
        <v>1405</v>
      </c>
      <c r="I2468">
        <v>2011</v>
      </c>
      <c r="J2468" s="93">
        <v>4068.8</v>
      </c>
      <c r="K2468">
        <v>12</v>
      </c>
      <c r="L2468" s="1" t="s">
        <v>404</v>
      </c>
      <c r="M2468">
        <v>0</v>
      </c>
      <c r="N2468">
        <v>361</v>
      </c>
      <c r="O2468">
        <v>11.267792</v>
      </c>
      <c r="P2468">
        <v>2</v>
      </c>
      <c r="Q2468" s="1" t="s">
        <v>569</v>
      </c>
      <c r="R2468" s="93">
        <v>4068.8</v>
      </c>
      <c r="S2468">
        <v>1908.28</v>
      </c>
      <c r="T2468">
        <v>0</v>
      </c>
      <c r="U2468" s="1" t="s">
        <v>1042</v>
      </c>
      <c r="V2468" s="1"/>
      <c r="W2468">
        <v>4068.7979999999998</v>
      </c>
      <c r="X2468">
        <v>0</v>
      </c>
      <c r="Y2468">
        <v>57397</v>
      </c>
    </row>
    <row r="2469" spans="1:25" ht="15" hidden="1" customHeight="1" x14ac:dyDescent="0.25">
      <c r="A2469" s="1" t="s">
        <v>34</v>
      </c>
      <c r="B2469" s="1" t="s">
        <v>95</v>
      </c>
      <c r="C2469" s="1" t="s">
        <v>226</v>
      </c>
      <c r="D2469">
        <v>5427</v>
      </c>
      <c r="E2469" s="1"/>
      <c r="F2469" s="1" t="s">
        <v>364</v>
      </c>
      <c r="G2469" s="1" t="s">
        <v>226</v>
      </c>
      <c r="H2469" s="1" t="s">
        <v>1405</v>
      </c>
      <c r="I2469">
        <v>2010</v>
      </c>
      <c r="J2469" s="93">
        <v>5728.29</v>
      </c>
      <c r="K2469">
        <v>12</v>
      </c>
      <c r="L2469" s="1" t="s">
        <v>404</v>
      </c>
      <c r="M2469">
        <v>0</v>
      </c>
      <c r="N2469">
        <v>361</v>
      </c>
      <c r="O2469">
        <v>15.863445</v>
      </c>
      <c r="P2469">
        <v>2</v>
      </c>
      <c r="Q2469" s="1" t="s">
        <v>569</v>
      </c>
      <c r="R2469" s="93">
        <v>5728.29</v>
      </c>
      <c r="S2469">
        <v>2686.57</v>
      </c>
      <c r="T2469">
        <v>0</v>
      </c>
      <c r="U2469" s="1" t="s">
        <v>1042</v>
      </c>
      <c r="V2469" s="1"/>
      <c r="W2469">
        <v>5728.2860000000001</v>
      </c>
      <c r="X2469">
        <v>0</v>
      </c>
      <c r="Y2469">
        <v>57397</v>
      </c>
    </row>
    <row r="2470" spans="1:25" ht="15" hidden="1" customHeight="1" x14ac:dyDescent="0.25">
      <c r="A2470" s="1" t="s">
        <v>34</v>
      </c>
      <c r="B2470" s="1" t="s">
        <v>95</v>
      </c>
      <c r="C2470" s="1" t="s">
        <v>226</v>
      </c>
      <c r="D2470">
        <v>5427</v>
      </c>
      <c r="E2470" s="1"/>
      <c r="F2470" s="1" t="s">
        <v>364</v>
      </c>
      <c r="G2470" s="1" t="s">
        <v>226</v>
      </c>
      <c r="H2470" s="1" t="s">
        <v>1405</v>
      </c>
      <c r="I2470">
        <v>2009</v>
      </c>
      <c r="J2470" s="93">
        <v>5952.83</v>
      </c>
      <c r="K2470">
        <v>12</v>
      </c>
      <c r="L2470" s="1" t="s">
        <v>404</v>
      </c>
      <c r="M2470">
        <v>0</v>
      </c>
      <c r="N2470">
        <v>361</v>
      </c>
      <c r="O2470">
        <v>16.485267</v>
      </c>
      <c r="P2470">
        <v>2</v>
      </c>
      <c r="Q2470" s="1" t="s">
        <v>569</v>
      </c>
      <c r="R2470" s="93">
        <v>5952.83</v>
      </c>
      <c r="S2470">
        <v>2791.87</v>
      </c>
      <c r="T2470">
        <v>0</v>
      </c>
      <c r="U2470" s="1" t="s">
        <v>1042</v>
      </c>
      <c r="V2470" s="1"/>
      <c r="W2470">
        <v>5952.83</v>
      </c>
      <c r="X2470">
        <v>0</v>
      </c>
      <c r="Y2470">
        <v>57397</v>
      </c>
    </row>
    <row r="2471" spans="1:25" ht="15" hidden="1" customHeight="1" x14ac:dyDescent="0.25">
      <c r="A2471" s="1" t="s">
        <v>34</v>
      </c>
      <c r="B2471" s="1" t="s">
        <v>95</v>
      </c>
      <c r="C2471" s="1" t="s">
        <v>226</v>
      </c>
      <c r="D2471">
        <v>5427</v>
      </c>
      <c r="E2471" s="1"/>
      <c r="F2471" s="1" t="s">
        <v>364</v>
      </c>
      <c r="G2471" s="1" t="s">
        <v>226</v>
      </c>
      <c r="H2471" s="1" t="s">
        <v>1405</v>
      </c>
      <c r="I2471">
        <v>2008</v>
      </c>
      <c r="J2471" s="93">
        <v>5755.93</v>
      </c>
      <c r="K2471">
        <v>12</v>
      </c>
      <c r="L2471" s="1" t="s">
        <v>404</v>
      </c>
      <c r="M2471">
        <v>0</v>
      </c>
      <c r="N2471">
        <v>361</v>
      </c>
      <c r="O2471">
        <v>15.939988</v>
      </c>
      <c r="P2471">
        <v>2</v>
      </c>
      <c r="Q2471" s="1" t="s">
        <v>569</v>
      </c>
      <c r="R2471" s="93">
        <v>5755.93</v>
      </c>
      <c r="S2471">
        <v>2699.53</v>
      </c>
      <c r="T2471">
        <v>0</v>
      </c>
      <c r="U2471" s="1" t="s">
        <v>1042</v>
      </c>
      <c r="V2471" s="1"/>
      <c r="W2471">
        <v>5755.924</v>
      </c>
      <c r="X2471">
        <v>0</v>
      </c>
      <c r="Y2471">
        <v>57397</v>
      </c>
    </row>
    <row r="2472" spans="1:25" ht="15" hidden="1" customHeight="1" x14ac:dyDescent="0.25">
      <c r="A2472" s="1" t="s">
        <v>34</v>
      </c>
      <c r="B2472" s="1" t="s">
        <v>74</v>
      </c>
      <c r="C2472" s="1" t="s">
        <v>176</v>
      </c>
      <c r="D2472">
        <v>13662</v>
      </c>
      <c r="E2472" s="1"/>
      <c r="F2472" s="1" t="s">
        <v>306</v>
      </c>
      <c r="G2472" s="1" t="s">
        <v>176</v>
      </c>
      <c r="H2472" s="1" t="s">
        <v>1405</v>
      </c>
      <c r="I2472">
        <v>2015</v>
      </c>
      <c r="J2472" s="93">
        <v>18563</v>
      </c>
      <c r="K2472">
        <v>5</v>
      </c>
      <c r="L2472" s="1" t="s">
        <v>422</v>
      </c>
      <c r="M2472">
        <v>0</v>
      </c>
      <c r="N2472">
        <v>129</v>
      </c>
      <c r="O2472">
        <v>77.864446000000001</v>
      </c>
      <c r="P2472">
        <v>2</v>
      </c>
      <c r="Q2472" s="1" t="s">
        <v>569</v>
      </c>
      <c r="R2472" s="93">
        <v>10052.299999999999</v>
      </c>
      <c r="S2472">
        <v>3015.69</v>
      </c>
      <c r="T2472">
        <v>0</v>
      </c>
      <c r="U2472" s="1" t="s">
        <v>1041</v>
      </c>
      <c r="V2472" s="1" t="s">
        <v>1311</v>
      </c>
      <c r="W2472">
        <v>10052.302</v>
      </c>
      <c r="X2472">
        <v>0</v>
      </c>
      <c r="Y2472">
        <v>91251</v>
      </c>
    </row>
    <row r="2473" spans="1:25" ht="15" hidden="1" customHeight="1" x14ac:dyDescent="0.25">
      <c r="A2473" s="1" t="s">
        <v>34</v>
      </c>
      <c r="B2473" s="1" t="s">
        <v>95</v>
      </c>
      <c r="C2473" s="1" t="s">
        <v>226</v>
      </c>
      <c r="D2473">
        <v>5427</v>
      </c>
      <c r="E2473" s="1"/>
      <c r="F2473" s="1" t="s">
        <v>364</v>
      </c>
      <c r="G2473" s="1" t="s">
        <v>226</v>
      </c>
      <c r="H2473" s="1" t="s">
        <v>1405</v>
      </c>
      <c r="I2473">
        <v>2015</v>
      </c>
      <c r="J2473" s="93">
        <v>2029</v>
      </c>
      <c r="K2473">
        <v>5</v>
      </c>
      <c r="L2473" s="1" t="s">
        <v>404</v>
      </c>
      <c r="M2473">
        <v>0</v>
      </c>
      <c r="N2473">
        <v>361</v>
      </c>
      <c r="O2473">
        <v>2.1368040000000001</v>
      </c>
      <c r="P2473">
        <v>2</v>
      </c>
      <c r="Q2473" s="1" t="s">
        <v>569</v>
      </c>
      <c r="R2473" s="93">
        <v>771.6</v>
      </c>
      <c r="S2473">
        <v>308.64</v>
      </c>
      <c r="T2473">
        <v>0</v>
      </c>
      <c r="U2473" s="1" t="s">
        <v>1042</v>
      </c>
      <c r="V2473" s="1"/>
      <c r="W2473">
        <v>771.60199999999998</v>
      </c>
      <c r="X2473">
        <v>0</v>
      </c>
      <c r="Y2473">
        <v>57397</v>
      </c>
    </row>
    <row r="2474" spans="1:25" ht="15" hidden="1" customHeight="1" x14ac:dyDescent="0.25">
      <c r="A2474" s="1" t="s">
        <v>34</v>
      </c>
      <c r="B2474" s="1"/>
      <c r="C2474" s="1" t="s">
        <v>177</v>
      </c>
      <c r="D2474">
        <v>10228</v>
      </c>
      <c r="E2474" s="1"/>
      <c r="F2474" s="1" t="s">
        <v>307</v>
      </c>
      <c r="G2474" s="1" t="s">
        <v>177</v>
      </c>
      <c r="H2474" s="1" t="s">
        <v>1405</v>
      </c>
      <c r="I2474">
        <v>2012</v>
      </c>
      <c r="J2474" s="93">
        <v>14600.5</v>
      </c>
      <c r="K2474">
        <v>12</v>
      </c>
      <c r="L2474" s="1"/>
      <c r="M2474">
        <v>0</v>
      </c>
      <c r="N2474">
        <v>605</v>
      </c>
      <c r="O2474">
        <v>24.129069000000001</v>
      </c>
      <c r="P2474">
        <v>2</v>
      </c>
      <c r="Q2474" s="1" t="s">
        <v>569</v>
      </c>
      <c r="R2474" s="93">
        <v>14600.5</v>
      </c>
      <c r="S2474">
        <v>5840.19</v>
      </c>
      <c r="T2474">
        <v>0</v>
      </c>
      <c r="U2474" s="1" t="s">
        <v>1043</v>
      </c>
      <c r="V2474" s="1" t="s">
        <v>1312</v>
      </c>
      <c r="W2474">
        <v>14600.478999999999</v>
      </c>
      <c r="X2474">
        <v>0</v>
      </c>
      <c r="Y2474">
        <v>90939</v>
      </c>
    </row>
    <row r="2475" spans="1:25" ht="15" hidden="1" customHeight="1" x14ac:dyDescent="0.25">
      <c r="A2475" s="1" t="s">
        <v>34</v>
      </c>
      <c r="B2475" s="1"/>
      <c r="C2475" s="1" t="s">
        <v>177</v>
      </c>
      <c r="D2475">
        <v>10228</v>
      </c>
      <c r="E2475" s="1"/>
      <c r="F2475" s="1" t="s">
        <v>307</v>
      </c>
      <c r="G2475" s="1" t="s">
        <v>177</v>
      </c>
      <c r="H2475" s="1" t="s">
        <v>1405</v>
      </c>
      <c r="I2475">
        <v>2011</v>
      </c>
      <c r="J2475" s="93">
        <v>18779.22</v>
      </c>
      <c r="K2475">
        <v>2</v>
      </c>
      <c r="L2475" s="1" t="s">
        <v>482</v>
      </c>
      <c r="M2475">
        <v>0</v>
      </c>
      <c r="N2475">
        <v>605</v>
      </c>
      <c r="O2475">
        <v>31.034903</v>
      </c>
      <c r="P2475">
        <v>2</v>
      </c>
      <c r="Q2475" s="1" t="s">
        <v>569</v>
      </c>
      <c r="R2475" s="93">
        <v>18779.22</v>
      </c>
      <c r="S2475">
        <v>8807.48</v>
      </c>
      <c r="T2475">
        <v>0</v>
      </c>
      <c r="U2475" s="1" t="s">
        <v>1044</v>
      </c>
      <c r="V2475" s="1" t="s">
        <v>1312</v>
      </c>
      <c r="W2475">
        <v>18779.23443</v>
      </c>
      <c r="X2475">
        <v>0</v>
      </c>
      <c r="Y2475">
        <v>77473</v>
      </c>
    </row>
    <row r="2476" spans="1:25" ht="15" hidden="1" customHeight="1" x14ac:dyDescent="0.25">
      <c r="A2476" s="1" t="s">
        <v>34</v>
      </c>
      <c r="B2476" s="1"/>
      <c r="C2476" s="1" t="s">
        <v>177</v>
      </c>
      <c r="D2476">
        <v>10228</v>
      </c>
      <c r="E2476" s="1"/>
      <c r="F2476" s="1" t="s">
        <v>307</v>
      </c>
      <c r="G2476" s="1" t="s">
        <v>177</v>
      </c>
      <c r="H2476" s="1" t="s">
        <v>1405</v>
      </c>
      <c r="I2476">
        <v>2010</v>
      </c>
      <c r="J2476" s="93">
        <v>16367.15</v>
      </c>
      <c r="K2476">
        <v>8</v>
      </c>
      <c r="L2476" s="1" t="s">
        <v>482</v>
      </c>
      <c r="M2476">
        <v>0</v>
      </c>
      <c r="N2476">
        <v>605</v>
      </c>
      <c r="O2476">
        <v>27.048669</v>
      </c>
      <c r="P2476">
        <v>2</v>
      </c>
      <c r="Q2476" s="1" t="s">
        <v>569</v>
      </c>
      <c r="R2476" s="93">
        <v>16367.15</v>
      </c>
      <c r="S2476">
        <v>7676.2</v>
      </c>
      <c r="T2476">
        <v>0</v>
      </c>
      <c r="U2476" s="1" t="s">
        <v>1044</v>
      </c>
      <c r="V2476" s="1" t="s">
        <v>1312</v>
      </c>
      <c r="W2476">
        <v>16367.15019</v>
      </c>
      <c r="X2476">
        <v>0</v>
      </c>
      <c r="Y2476">
        <v>77473</v>
      </c>
    </row>
    <row r="2477" spans="1:25" ht="15" hidden="1" customHeight="1" x14ac:dyDescent="0.25">
      <c r="A2477" s="1" t="s">
        <v>34</v>
      </c>
      <c r="B2477" s="1"/>
      <c r="C2477" s="1" t="s">
        <v>177</v>
      </c>
      <c r="D2477">
        <v>10228</v>
      </c>
      <c r="E2477" s="1"/>
      <c r="F2477" s="1" t="s">
        <v>307</v>
      </c>
      <c r="G2477" s="1" t="s">
        <v>177</v>
      </c>
      <c r="H2477" s="1" t="s">
        <v>1405</v>
      </c>
      <c r="I2477">
        <v>2009</v>
      </c>
      <c r="J2477" s="93">
        <v>18189.990000000002</v>
      </c>
      <c r="K2477">
        <v>7</v>
      </c>
      <c r="L2477" s="1" t="s">
        <v>482</v>
      </c>
      <c r="M2477">
        <v>0</v>
      </c>
      <c r="N2477">
        <v>605</v>
      </c>
      <c r="O2477">
        <v>30.061129999999999</v>
      </c>
      <c r="P2477">
        <v>2</v>
      </c>
      <c r="Q2477" s="1" t="s">
        <v>569</v>
      </c>
      <c r="R2477" s="93">
        <v>18189.990000000002</v>
      </c>
      <c r="S2477">
        <v>8531.14</v>
      </c>
      <c r="T2477">
        <v>0</v>
      </c>
      <c r="U2477" s="1" t="s">
        <v>1044</v>
      </c>
      <c r="V2477" s="1" t="s">
        <v>1312</v>
      </c>
      <c r="W2477">
        <v>18189.997749999999</v>
      </c>
      <c r="X2477">
        <v>0</v>
      </c>
      <c r="Y2477">
        <v>77473</v>
      </c>
    </row>
    <row r="2478" spans="1:25" ht="15" hidden="1" customHeight="1" x14ac:dyDescent="0.25">
      <c r="A2478" s="1" t="s">
        <v>34</v>
      </c>
      <c r="B2478" s="1"/>
      <c r="C2478" s="1" t="s">
        <v>177</v>
      </c>
      <c r="D2478">
        <v>10228</v>
      </c>
      <c r="E2478" s="1"/>
      <c r="F2478" s="1" t="s">
        <v>307</v>
      </c>
      <c r="G2478" s="1" t="s">
        <v>177</v>
      </c>
      <c r="H2478" s="1" t="s">
        <v>1405</v>
      </c>
      <c r="I2478">
        <v>2008</v>
      </c>
      <c r="J2478" s="93">
        <v>18464.72</v>
      </c>
      <c r="K2478">
        <v>6</v>
      </c>
      <c r="L2478" s="1" t="s">
        <v>482</v>
      </c>
      <c r="M2478">
        <v>0</v>
      </c>
      <c r="N2478">
        <v>605</v>
      </c>
      <c r="O2478">
        <v>30.515153999999999</v>
      </c>
      <c r="P2478">
        <v>2</v>
      </c>
      <c r="Q2478" s="1" t="s">
        <v>569</v>
      </c>
      <c r="R2478" s="93">
        <v>18464.72</v>
      </c>
      <c r="S2478">
        <v>8659.9699999999993</v>
      </c>
      <c r="T2478">
        <v>0</v>
      </c>
      <c r="U2478" s="1" t="s">
        <v>1044</v>
      </c>
      <c r="V2478" s="1" t="s">
        <v>1312</v>
      </c>
      <c r="W2478">
        <v>18464.72755</v>
      </c>
      <c r="X2478">
        <v>0</v>
      </c>
      <c r="Y2478">
        <v>77473</v>
      </c>
    </row>
    <row r="2479" spans="1:25" ht="15" hidden="1" customHeight="1" x14ac:dyDescent="0.25">
      <c r="A2479" s="1" t="s">
        <v>34</v>
      </c>
      <c r="B2479" s="1"/>
      <c r="C2479" s="1" t="s">
        <v>177</v>
      </c>
      <c r="D2479">
        <v>10228</v>
      </c>
      <c r="E2479" s="1"/>
      <c r="F2479" s="1" t="s">
        <v>307</v>
      </c>
      <c r="G2479" s="1" t="s">
        <v>177</v>
      </c>
      <c r="H2479" s="1" t="s">
        <v>1405</v>
      </c>
      <c r="I2479">
        <v>2015</v>
      </c>
      <c r="J2479" s="93">
        <v>10895</v>
      </c>
      <c r="K2479">
        <v>5</v>
      </c>
      <c r="L2479" s="1"/>
      <c r="M2479">
        <v>0</v>
      </c>
      <c r="N2479">
        <v>605</v>
      </c>
      <c r="O2479">
        <v>8.4772929999999995</v>
      </c>
      <c r="P2479">
        <v>2</v>
      </c>
      <c r="Q2479" s="1" t="s">
        <v>569</v>
      </c>
      <c r="R2479" s="93">
        <v>5129.6099999999997</v>
      </c>
      <c r="S2479">
        <v>1538.87</v>
      </c>
      <c r="T2479">
        <v>0</v>
      </c>
      <c r="U2479" s="1" t="s">
        <v>1043</v>
      </c>
      <c r="V2479" s="1" t="s">
        <v>1312</v>
      </c>
      <c r="W2479">
        <v>5129.6022999999996</v>
      </c>
      <c r="X2479">
        <v>0</v>
      </c>
      <c r="Y2479">
        <v>90939</v>
      </c>
    </row>
    <row r="2480" spans="1:25" ht="15" hidden="1" customHeight="1" x14ac:dyDescent="0.25">
      <c r="A2480" s="1" t="s">
        <v>34</v>
      </c>
      <c r="B2480" s="1"/>
      <c r="C2480" s="1" t="s">
        <v>178</v>
      </c>
      <c r="D2480">
        <v>10190</v>
      </c>
      <c r="E2480" s="1"/>
      <c r="F2480" s="1" t="s">
        <v>308</v>
      </c>
      <c r="G2480" s="1" t="s">
        <v>178</v>
      </c>
      <c r="H2480" s="1" t="s">
        <v>1405</v>
      </c>
      <c r="I2480">
        <v>2015</v>
      </c>
      <c r="J2480" s="93">
        <v>11116</v>
      </c>
      <c r="K2480">
        <v>5</v>
      </c>
      <c r="L2480" s="1" t="s">
        <v>399</v>
      </c>
      <c r="M2480">
        <v>0</v>
      </c>
      <c r="N2480">
        <v>475</v>
      </c>
      <c r="O2480">
        <v>10.644011000000001</v>
      </c>
      <c r="P2480">
        <v>2</v>
      </c>
      <c r="Q2480" s="1" t="s">
        <v>569</v>
      </c>
      <c r="R2480" s="93">
        <v>5056.97</v>
      </c>
      <c r="S2480">
        <v>1517.08</v>
      </c>
      <c r="T2480">
        <v>0</v>
      </c>
      <c r="U2480" s="1" t="s">
        <v>1045</v>
      </c>
      <c r="V2480" s="1" t="s">
        <v>1313</v>
      </c>
      <c r="W2480">
        <v>5056.973</v>
      </c>
      <c r="X2480">
        <v>0</v>
      </c>
      <c r="Y2480">
        <v>77251</v>
      </c>
    </row>
    <row r="2481" spans="1:25" ht="15" hidden="1" customHeight="1" x14ac:dyDescent="0.25">
      <c r="A2481" s="1" t="s">
        <v>34</v>
      </c>
      <c r="B2481" s="1"/>
      <c r="C2481" s="1" t="s">
        <v>178</v>
      </c>
      <c r="D2481">
        <v>10190</v>
      </c>
      <c r="E2481" s="1"/>
      <c r="F2481" s="1" t="s">
        <v>308</v>
      </c>
      <c r="G2481" s="1" t="s">
        <v>178</v>
      </c>
      <c r="H2481" s="1" t="s">
        <v>1405</v>
      </c>
      <c r="I2481">
        <v>2012</v>
      </c>
      <c r="J2481" s="93">
        <v>11484.59</v>
      </c>
      <c r="K2481">
        <v>12</v>
      </c>
      <c r="L2481" s="1" t="s">
        <v>399</v>
      </c>
      <c r="M2481">
        <v>0</v>
      </c>
      <c r="N2481">
        <v>475</v>
      </c>
      <c r="O2481">
        <v>24.172995</v>
      </c>
      <c r="P2481">
        <v>2</v>
      </c>
      <c r="Q2481" s="1" t="s">
        <v>569</v>
      </c>
      <c r="R2481" s="93">
        <v>11484.59</v>
      </c>
      <c r="S2481">
        <v>4593.82</v>
      </c>
      <c r="T2481">
        <v>0</v>
      </c>
      <c r="U2481" s="1" t="s">
        <v>1045</v>
      </c>
      <c r="V2481" s="1" t="s">
        <v>1313</v>
      </c>
      <c r="W2481">
        <v>11484.585999999999</v>
      </c>
      <c r="X2481">
        <v>0</v>
      </c>
      <c r="Y2481">
        <v>77251</v>
      </c>
    </row>
    <row r="2482" spans="1:25" ht="15" hidden="1" customHeight="1" x14ac:dyDescent="0.25">
      <c r="A2482" s="1" t="s">
        <v>34</v>
      </c>
      <c r="B2482" s="1"/>
      <c r="C2482" s="1" t="s">
        <v>178</v>
      </c>
      <c r="D2482">
        <v>10190</v>
      </c>
      <c r="E2482" s="1"/>
      <c r="F2482" s="1" t="s">
        <v>308</v>
      </c>
      <c r="G2482" s="1" t="s">
        <v>178</v>
      </c>
      <c r="H2482" s="1" t="s">
        <v>1405</v>
      </c>
      <c r="I2482">
        <v>2011</v>
      </c>
      <c r="J2482" s="93">
        <v>13191.31</v>
      </c>
      <c r="K2482">
        <v>9</v>
      </c>
      <c r="L2482" s="1" t="s">
        <v>399</v>
      </c>
      <c r="M2482">
        <v>0</v>
      </c>
      <c r="N2482">
        <v>475</v>
      </c>
      <c r="O2482">
        <v>27.765332999999998</v>
      </c>
      <c r="P2482">
        <v>2</v>
      </c>
      <c r="Q2482" s="1" t="s">
        <v>569</v>
      </c>
      <c r="R2482" s="93">
        <v>13191.31</v>
      </c>
      <c r="S2482">
        <v>6186.72</v>
      </c>
      <c r="T2482">
        <v>0</v>
      </c>
      <c r="U2482" s="1" t="s">
        <v>1045</v>
      </c>
      <c r="V2482" s="1" t="s">
        <v>1313</v>
      </c>
      <c r="W2482">
        <v>13191.31819</v>
      </c>
      <c r="X2482">
        <v>0</v>
      </c>
      <c r="Y2482">
        <v>77251</v>
      </c>
    </row>
    <row r="2483" spans="1:25" ht="15" hidden="1" customHeight="1" x14ac:dyDescent="0.25">
      <c r="A2483" s="1" t="s">
        <v>34</v>
      </c>
      <c r="B2483" s="1"/>
      <c r="C2483" s="1" t="s">
        <v>178</v>
      </c>
      <c r="D2483">
        <v>10190</v>
      </c>
      <c r="E2483" s="1"/>
      <c r="F2483" s="1" t="s">
        <v>308</v>
      </c>
      <c r="G2483" s="1" t="s">
        <v>178</v>
      </c>
      <c r="H2483" s="1" t="s">
        <v>1405</v>
      </c>
      <c r="I2483">
        <v>2010</v>
      </c>
      <c r="J2483" s="93">
        <v>23984.53</v>
      </c>
      <c r="K2483">
        <v>4</v>
      </c>
      <c r="L2483" s="1" t="s">
        <v>399</v>
      </c>
      <c r="M2483">
        <v>0</v>
      </c>
      <c r="N2483">
        <v>475</v>
      </c>
      <c r="O2483">
        <v>50.483119000000002</v>
      </c>
      <c r="P2483">
        <v>2</v>
      </c>
      <c r="Q2483" s="1" t="s">
        <v>569</v>
      </c>
      <c r="R2483" s="93">
        <v>23984.53</v>
      </c>
      <c r="S2483">
        <v>11248.75</v>
      </c>
      <c r="T2483">
        <v>0</v>
      </c>
      <c r="U2483" s="1" t="s">
        <v>1045</v>
      </c>
      <c r="V2483" s="1" t="s">
        <v>1313</v>
      </c>
      <c r="W2483">
        <v>23984.502700000001</v>
      </c>
      <c r="X2483">
        <v>0</v>
      </c>
      <c r="Y2483">
        <v>77251</v>
      </c>
    </row>
    <row r="2484" spans="1:25" ht="15" hidden="1" customHeight="1" x14ac:dyDescent="0.25">
      <c r="A2484" s="1" t="s">
        <v>34</v>
      </c>
      <c r="B2484" s="1"/>
      <c r="C2484" s="1" t="s">
        <v>178</v>
      </c>
      <c r="D2484">
        <v>10190</v>
      </c>
      <c r="E2484" s="1"/>
      <c r="F2484" s="1" t="s">
        <v>308</v>
      </c>
      <c r="G2484" s="1" t="s">
        <v>178</v>
      </c>
      <c r="H2484" s="1" t="s">
        <v>1405</v>
      </c>
      <c r="I2484">
        <v>2009</v>
      </c>
      <c r="J2484" s="93">
        <v>25331.54</v>
      </c>
      <c r="K2484">
        <v>5</v>
      </c>
      <c r="L2484" s="1" t="s">
        <v>399</v>
      </c>
      <c r="M2484">
        <v>0</v>
      </c>
      <c r="N2484">
        <v>475</v>
      </c>
      <c r="O2484">
        <v>53.318331999999998</v>
      </c>
      <c r="P2484">
        <v>2</v>
      </c>
      <c r="Q2484" s="1" t="s">
        <v>569</v>
      </c>
      <c r="R2484" s="93">
        <v>25331.54</v>
      </c>
      <c r="S2484">
        <v>11880.48</v>
      </c>
      <c r="T2484">
        <v>0</v>
      </c>
      <c r="U2484" s="1" t="s">
        <v>1045</v>
      </c>
      <c r="V2484" s="1" t="s">
        <v>1313</v>
      </c>
      <c r="W2484">
        <v>25331.536230000002</v>
      </c>
      <c r="X2484">
        <v>0</v>
      </c>
      <c r="Y2484">
        <v>77251</v>
      </c>
    </row>
    <row r="2485" spans="1:25" ht="15" hidden="1" customHeight="1" x14ac:dyDescent="0.25">
      <c r="A2485" s="1" t="s">
        <v>34</v>
      </c>
      <c r="B2485" s="1"/>
      <c r="C2485" s="1" t="s">
        <v>178</v>
      </c>
      <c r="D2485">
        <v>10190</v>
      </c>
      <c r="E2485" s="1"/>
      <c r="F2485" s="1" t="s">
        <v>308</v>
      </c>
      <c r="G2485" s="1" t="s">
        <v>178</v>
      </c>
      <c r="H2485" s="1" t="s">
        <v>1405</v>
      </c>
      <c r="I2485">
        <v>2008</v>
      </c>
      <c r="J2485" s="93">
        <v>22919.33</v>
      </c>
      <c r="K2485">
        <v>4</v>
      </c>
      <c r="L2485" s="1" t="s">
        <v>399</v>
      </c>
      <c r="M2485">
        <v>0</v>
      </c>
      <c r="N2485">
        <v>475</v>
      </c>
      <c r="O2485">
        <v>48.241064999999999</v>
      </c>
      <c r="P2485">
        <v>2</v>
      </c>
      <c r="Q2485" s="1" t="s">
        <v>569</v>
      </c>
      <c r="R2485" s="93">
        <v>22919.33</v>
      </c>
      <c r="S2485">
        <v>10749.17</v>
      </c>
      <c r="T2485">
        <v>0</v>
      </c>
      <c r="U2485" s="1" t="s">
        <v>1045</v>
      </c>
      <c r="V2485" s="1" t="s">
        <v>1313</v>
      </c>
      <c r="W2485">
        <v>22919.32417</v>
      </c>
      <c r="X2485">
        <v>0</v>
      </c>
      <c r="Y2485">
        <v>77251</v>
      </c>
    </row>
    <row r="2486" spans="1:25" ht="15" hidden="1" customHeight="1" x14ac:dyDescent="0.25">
      <c r="A2486" s="1" t="s">
        <v>35</v>
      </c>
      <c r="B2486" s="1" t="s">
        <v>75</v>
      </c>
      <c r="C2486" s="1" t="s">
        <v>179</v>
      </c>
      <c r="D2486">
        <v>5261</v>
      </c>
      <c r="E2486" s="1"/>
      <c r="F2486" s="1" t="s">
        <v>309</v>
      </c>
      <c r="G2486" s="1" t="s">
        <v>179</v>
      </c>
      <c r="H2486" s="1" t="s">
        <v>1405</v>
      </c>
      <c r="I2486">
        <v>2015</v>
      </c>
      <c r="J2486" s="93">
        <v>121</v>
      </c>
      <c r="K2486">
        <v>5</v>
      </c>
      <c r="L2486" s="1" t="s">
        <v>402</v>
      </c>
      <c r="M2486">
        <v>0</v>
      </c>
      <c r="N2486">
        <v>309</v>
      </c>
      <c r="O2486">
        <v>0.13325699999999999</v>
      </c>
      <c r="P2486">
        <v>3</v>
      </c>
      <c r="Q2486" s="1" t="s">
        <v>560</v>
      </c>
      <c r="R2486" s="93">
        <v>41.19</v>
      </c>
      <c r="S2486">
        <v>32.950000000000003</v>
      </c>
      <c r="T2486">
        <v>0</v>
      </c>
      <c r="U2486" s="1" t="s">
        <v>658</v>
      </c>
      <c r="V2486" s="1"/>
      <c r="W2486">
        <v>41.194000000000003</v>
      </c>
      <c r="X2486">
        <v>0</v>
      </c>
      <c r="Y2486">
        <v>56736</v>
      </c>
    </row>
    <row r="2487" spans="1:25" ht="15" hidden="1" customHeight="1" x14ac:dyDescent="0.25">
      <c r="A2487" s="1" t="s">
        <v>35</v>
      </c>
      <c r="B2487" s="1" t="s">
        <v>75</v>
      </c>
      <c r="C2487" s="1" t="s">
        <v>179</v>
      </c>
      <c r="D2487">
        <v>5261</v>
      </c>
      <c r="E2487" s="1"/>
      <c r="F2487" s="1" t="s">
        <v>309</v>
      </c>
      <c r="G2487" s="1" t="s">
        <v>179</v>
      </c>
      <c r="H2487" s="1" t="s">
        <v>1405</v>
      </c>
      <c r="I2487">
        <v>2013</v>
      </c>
      <c r="J2487" s="93">
        <v>94.37</v>
      </c>
      <c r="K2487">
        <v>12</v>
      </c>
      <c r="L2487" s="1" t="s">
        <v>402</v>
      </c>
      <c r="M2487">
        <v>0</v>
      </c>
      <c r="N2487">
        <v>309</v>
      </c>
      <c r="O2487">
        <v>0.30530499999999999</v>
      </c>
      <c r="P2487">
        <v>3</v>
      </c>
      <c r="Q2487" s="1" t="s">
        <v>560</v>
      </c>
      <c r="R2487" s="93">
        <v>94.37</v>
      </c>
      <c r="S2487">
        <v>75.5</v>
      </c>
      <c r="T2487">
        <v>0</v>
      </c>
      <c r="U2487" s="1" t="s">
        <v>658</v>
      </c>
      <c r="V2487" s="1"/>
      <c r="W2487">
        <v>94.37</v>
      </c>
      <c r="X2487">
        <v>0</v>
      </c>
      <c r="Y2487">
        <v>56736</v>
      </c>
    </row>
    <row r="2488" spans="1:25" ht="15" hidden="1" customHeight="1" x14ac:dyDescent="0.25">
      <c r="A2488" s="1" t="s">
        <v>35</v>
      </c>
      <c r="B2488" s="1" t="s">
        <v>75</v>
      </c>
      <c r="C2488" s="1" t="s">
        <v>179</v>
      </c>
      <c r="D2488">
        <v>5261</v>
      </c>
      <c r="E2488" s="1"/>
      <c r="F2488" s="1" t="s">
        <v>309</v>
      </c>
      <c r="G2488" s="1" t="s">
        <v>179</v>
      </c>
      <c r="H2488" s="1" t="s">
        <v>1405</v>
      </c>
      <c r="I2488">
        <v>2012</v>
      </c>
      <c r="J2488" s="93">
        <v>73.56</v>
      </c>
      <c r="K2488">
        <v>12</v>
      </c>
      <c r="L2488" s="1" t="s">
        <v>402</v>
      </c>
      <c r="M2488">
        <v>0</v>
      </c>
      <c r="N2488">
        <v>309</v>
      </c>
      <c r="O2488">
        <v>0.237981</v>
      </c>
      <c r="P2488">
        <v>3</v>
      </c>
      <c r="Q2488" s="1" t="s">
        <v>560</v>
      </c>
      <c r="R2488" s="93">
        <v>73.56</v>
      </c>
      <c r="S2488">
        <v>58.85</v>
      </c>
      <c r="T2488">
        <v>0</v>
      </c>
      <c r="U2488" s="1" t="s">
        <v>658</v>
      </c>
      <c r="V2488" s="1"/>
      <c r="W2488">
        <v>73.549000000000007</v>
      </c>
      <c r="X2488">
        <v>0</v>
      </c>
      <c r="Y2488">
        <v>56736</v>
      </c>
    </row>
    <row r="2489" spans="1:25" ht="15" hidden="1" customHeight="1" x14ac:dyDescent="0.25">
      <c r="A2489" s="1" t="s">
        <v>35</v>
      </c>
      <c r="B2489" s="1" t="s">
        <v>75</v>
      </c>
      <c r="C2489" s="1" t="s">
        <v>179</v>
      </c>
      <c r="D2489">
        <v>5261</v>
      </c>
      <c r="E2489" s="1"/>
      <c r="F2489" s="1" t="s">
        <v>309</v>
      </c>
      <c r="G2489" s="1" t="s">
        <v>179</v>
      </c>
      <c r="H2489" s="1" t="s">
        <v>1405</v>
      </c>
      <c r="I2489">
        <v>2011</v>
      </c>
      <c r="J2489" s="93">
        <v>59.69</v>
      </c>
      <c r="K2489">
        <v>12</v>
      </c>
      <c r="L2489" s="1" t="s">
        <v>402</v>
      </c>
      <c r="M2489">
        <v>0</v>
      </c>
      <c r="N2489">
        <v>309</v>
      </c>
      <c r="O2489">
        <v>0.193109</v>
      </c>
      <c r="P2489">
        <v>3</v>
      </c>
      <c r="Q2489" s="1" t="s">
        <v>560</v>
      </c>
      <c r="R2489" s="93">
        <v>59.69</v>
      </c>
      <c r="S2489">
        <v>47.74</v>
      </c>
      <c r="T2489">
        <v>0</v>
      </c>
      <c r="U2489" s="1" t="s">
        <v>658</v>
      </c>
      <c r="V2489" s="1"/>
      <c r="W2489">
        <v>59.683309999999999</v>
      </c>
      <c r="X2489">
        <v>0</v>
      </c>
      <c r="Y2489">
        <v>56736</v>
      </c>
    </row>
    <row r="2490" spans="1:25" ht="15" hidden="1" customHeight="1" x14ac:dyDescent="0.25">
      <c r="A2490" s="1" t="s">
        <v>35</v>
      </c>
      <c r="B2490" s="1" t="s">
        <v>75</v>
      </c>
      <c r="C2490" s="1" t="s">
        <v>179</v>
      </c>
      <c r="D2490">
        <v>5261</v>
      </c>
      <c r="E2490" s="1"/>
      <c r="F2490" s="1" t="s">
        <v>309</v>
      </c>
      <c r="G2490" s="1" t="s">
        <v>179</v>
      </c>
      <c r="H2490" s="1" t="s">
        <v>1405</v>
      </c>
      <c r="I2490">
        <v>2010</v>
      </c>
      <c r="J2490" s="93">
        <v>66.5</v>
      </c>
      <c r="K2490">
        <v>12</v>
      </c>
      <c r="L2490" s="1" t="s">
        <v>402</v>
      </c>
      <c r="M2490">
        <v>0</v>
      </c>
      <c r="N2490">
        <v>309</v>
      </c>
      <c r="O2490">
        <v>0.21514</v>
      </c>
      <c r="P2490">
        <v>3</v>
      </c>
      <c r="Q2490" s="1" t="s">
        <v>560</v>
      </c>
      <c r="R2490" s="93">
        <v>66.5</v>
      </c>
      <c r="S2490">
        <v>53.23</v>
      </c>
      <c r="T2490">
        <v>0</v>
      </c>
      <c r="U2490" s="1" t="s">
        <v>658</v>
      </c>
      <c r="V2490" s="1"/>
      <c r="W2490">
        <v>66.504710000000003</v>
      </c>
      <c r="X2490">
        <v>0</v>
      </c>
      <c r="Y2490">
        <v>56736</v>
      </c>
    </row>
    <row r="2491" spans="1:25" ht="15" hidden="1" customHeight="1" x14ac:dyDescent="0.25">
      <c r="A2491" s="1" t="s">
        <v>35</v>
      </c>
      <c r="B2491" s="1" t="s">
        <v>75</v>
      </c>
      <c r="C2491" s="1" t="s">
        <v>179</v>
      </c>
      <c r="D2491">
        <v>5261</v>
      </c>
      <c r="E2491" s="1"/>
      <c r="F2491" s="1" t="s">
        <v>309</v>
      </c>
      <c r="G2491" s="1" t="s">
        <v>179</v>
      </c>
      <c r="H2491" s="1" t="s">
        <v>1405</v>
      </c>
      <c r="I2491">
        <v>2009</v>
      </c>
      <c r="J2491" s="93">
        <v>86.99</v>
      </c>
      <c r="K2491">
        <v>12</v>
      </c>
      <c r="L2491" s="1" t="s">
        <v>402</v>
      </c>
      <c r="M2491">
        <v>0</v>
      </c>
      <c r="N2491">
        <v>309</v>
      </c>
      <c r="O2491">
        <v>0.28142899999999998</v>
      </c>
      <c r="P2491">
        <v>3</v>
      </c>
      <c r="Q2491" s="1" t="s">
        <v>560</v>
      </c>
      <c r="R2491" s="93">
        <v>86.99</v>
      </c>
      <c r="S2491">
        <v>69.58</v>
      </c>
      <c r="T2491">
        <v>0</v>
      </c>
      <c r="U2491" s="1" t="s">
        <v>658</v>
      </c>
      <c r="V2491" s="1"/>
      <c r="W2491">
        <v>86.980999999999995</v>
      </c>
      <c r="X2491">
        <v>0</v>
      </c>
      <c r="Y2491">
        <v>56736</v>
      </c>
    </row>
    <row r="2492" spans="1:25" ht="15" hidden="1" customHeight="1" x14ac:dyDescent="0.25">
      <c r="A2492" s="1" t="s">
        <v>35</v>
      </c>
      <c r="B2492" s="1" t="s">
        <v>75</v>
      </c>
      <c r="C2492" s="1" t="s">
        <v>179</v>
      </c>
      <c r="D2492">
        <v>5261</v>
      </c>
      <c r="E2492" s="1"/>
      <c r="F2492" s="1" t="s">
        <v>309</v>
      </c>
      <c r="G2492" s="1" t="s">
        <v>179</v>
      </c>
      <c r="H2492" s="1" t="s">
        <v>1405</v>
      </c>
      <c r="I2492">
        <v>2008</v>
      </c>
      <c r="J2492" s="93">
        <v>122.23</v>
      </c>
      <c r="K2492">
        <v>12</v>
      </c>
      <c r="L2492" s="1" t="s">
        <v>402</v>
      </c>
      <c r="M2492">
        <v>0</v>
      </c>
      <c r="N2492">
        <v>309</v>
      </c>
      <c r="O2492">
        <v>0.39543800000000001</v>
      </c>
      <c r="P2492">
        <v>3</v>
      </c>
      <c r="Q2492" s="1" t="s">
        <v>560</v>
      </c>
      <c r="R2492" s="93">
        <v>122.23</v>
      </c>
      <c r="S2492">
        <v>97.76</v>
      </c>
      <c r="T2492">
        <v>0</v>
      </c>
      <c r="U2492" s="1" t="s">
        <v>658</v>
      </c>
      <c r="V2492" s="1"/>
      <c r="W2492">
        <v>122.223</v>
      </c>
      <c r="X2492">
        <v>0</v>
      </c>
      <c r="Y2492">
        <v>56736</v>
      </c>
    </row>
    <row r="2493" spans="1:25" ht="15" hidden="1" customHeight="1" x14ac:dyDescent="0.25">
      <c r="A2493" s="1" t="s">
        <v>35</v>
      </c>
      <c r="B2493" s="1"/>
      <c r="C2493" s="1" t="s">
        <v>180</v>
      </c>
      <c r="D2493">
        <v>10318</v>
      </c>
      <c r="E2493" s="1"/>
      <c r="F2493" s="1" t="s">
        <v>310</v>
      </c>
      <c r="G2493" s="1" t="s">
        <v>180</v>
      </c>
      <c r="H2493" s="1" t="s">
        <v>1405</v>
      </c>
      <c r="I2493">
        <v>2015</v>
      </c>
      <c r="J2493" s="93">
        <v>23</v>
      </c>
      <c r="K2493">
        <v>5</v>
      </c>
      <c r="L2493" s="1" t="s">
        <v>439</v>
      </c>
      <c r="M2493">
        <v>0</v>
      </c>
      <c r="N2493">
        <v>170</v>
      </c>
      <c r="O2493">
        <v>5.6437000000000001E-2</v>
      </c>
      <c r="P2493">
        <v>3</v>
      </c>
      <c r="Q2493" s="1" t="s">
        <v>560</v>
      </c>
      <c r="R2493" s="93">
        <v>9.6</v>
      </c>
      <c r="S2493">
        <v>7.68</v>
      </c>
      <c r="T2493">
        <v>0</v>
      </c>
      <c r="U2493" s="1" t="s">
        <v>659</v>
      </c>
      <c r="V2493" s="1"/>
      <c r="W2493">
        <v>9.6</v>
      </c>
      <c r="X2493">
        <v>0</v>
      </c>
      <c r="Y2493">
        <v>85095</v>
      </c>
    </row>
    <row r="2494" spans="1:25" ht="15" hidden="1" customHeight="1" x14ac:dyDescent="0.25">
      <c r="A2494" s="1" t="s">
        <v>35</v>
      </c>
      <c r="B2494" s="1"/>
      <c r="C2494" s="1" t="s">
        <v>180</v>
      </c>
      <c r="D2494">
        <v>10318</v>
      </c>
      <c r="E2494" s="1"/>
      <c r="F2494" s="1" t="s">
        <v>310</v>
      </c>
      <c r="G2494" s="1" t="s">
        <v>180</v>
      </c>
      <c r="H2494" s="1" t="s">
        <v>1405</v>
      </c>
      <c r="I2494">
        <v>2013</v>
      </c>
      <c r="J2494" s="93">
        <v>9.9</v>
      </c>
      <c r="K2494">
        <v>12</v>
      </c>
      <c r="L2494" s="1" t="s">
        <v>439</v>
      </c>
      <c r="M2494">
        <v>0</v>
      </c>
      <c r="N2494">
        <v>170</v>
      </c>
      <c r="O2494">
        <v>5.8201000000000003E-2</v>
      </c>
      <c r="P2494">
        <v>3</v>
      </c>
      <c r="Q2494" s="1" t="s">
        <v>560</v>
      </c>
      <c r="R2494" s="93">
        <v>9.9</v>
      </c>
      <c r="S2494">
        <v>7.92</v>
      </c>
      <c r="T2494">
        <v>0</v>
      </c>
      <c r="U2494" s="1" t="s">
        <v>659</v>
      </c>
      <c r="V2494" s="1"/>
      <c r="W2494">
        <v>9.9</v>
      </c>
      <c r="X2494">
        <v>0</v>
      </c>
      <c r="Y2494">
        <v>85095</v>
      </c>
    </row>
    <row r="2495" spans="1:25" ht="15" hidden="1" customHeight="1" x14ac:dyDescent="0.25">
      <c r="A2495" s="1" t="s">
        <v>35</v>
      </c>
      <c r="B2495" s="1"/>
      <c r="C2495" s="1" t="s">
        <v>180</v>
      </c>
      <c r="D2495">
        <v>10318</v>
      </c>
      <c r="E2495" s="1"/>
      <c r="F2495" s="1" t="s">
        <v>310</v>
      </c>
      <c r="G2495" s="1" t="s">
        <v>180</v>
      </c>
      <c r="H2495" s="1" t="s">
        <v>1405</v>
      </c>
      <c r="I2495">
        <v>2012</v>
      </c>
      <c r="J2495" s="93">
        <v>13.6</v>
      </c>
      <c r="K2495">
        <v>12</v>
      </c>
      <c r="L2495" s="1" t="s">
        <v>439</v>
      </c>
      <c r="M2495">
        <v>0</v>
      </c>
      <c r="N2495">
        <v>170</v>
      </c>
      <c r="O2495">
        <v>7.9951999999999995E-2</v>
      </c>
      <c r="P2495">
        <v>3</v>
      </c>
      <c r="Q2495" s="1" t="s">
        <v>560</v>
      </c>
      <c r="R2495" s="93">
        <v>13.6</v>
      </c>
      <c r="S2495">
        <v>10.88</v>
      </c>
      <c r="T2495">
        <v>0</v>
      </c>
      <c r="U2495" s="1" t="s">
        <v>659</v>
      </c>
      <c r="V2495" s="1"/>
      <c r="W2495">
        <v>13.6</v>
      </c>
      <c r="X2495">
        <v>0</v>
      </c>
      <c r="Y2495">
        <v>85095</v>
      </c>
    </row>
    <row r="2496" spans="1:25" ht="15" hidden="1" customHeight="1" x14ac:dyDescent="0.25">
      <c r="A2496" s="1" t="s">
        <v>35</v>
      </c>
      <c r="B2496" s="1"/>
      <c r="C2496" s="1" t="s">
        <v>180</v>
      </c>
      <c r="D2496">
        <v>10318</v>
      </c>
      <c r="E2496" s="1"/>
      <c r="F2496" s="1" t="s">
        <v>310</v>
      </c>
      <c r="G2496" s="1" t="s">
        <v>180</v>
      </c>
      <c r="H2496" s="1" t="s">
        <v>1405</v>
      </c>
      <c r="I2496">
        <v>2011</v>
      </c>
      <c r="J2496" s="93">
        <v>11.8</v>
      </c>
      <c r="K2496">
        <v>12</v>
      </c>
      <c r="L2496" s="1" t="s">
        <v>439</v>
      </c>
      <c r="M2496">
        <v>0</v>
      </c>
      <c r="N2496">
        <v>170</v>
      </c>
      <c r="O2496">
        <v>6.9370000000000001E-2</v>
      </c>
      <c r="P2496">
        <v>3</v>
      </c>
      <c r="Q2496" s="1" t="s">
        <v>560</v>
      </c>
      <c r="R2496" s="93">
        <v>11.8</v>
      </c>
      <c r="S2496">
        <v>9.44</v>
      </c>
      <c r="T2496">
        <v>0</v>
      </c>
      <c r="U2496" s="1" t="s">
        <v>659</v>
      </c>
      <c r="V2496" s="1"/>
      <c r="W2496">
        <v>11.8</v>
      </c>
      <c r="X2496">
        <v>0</v>
      </c>
      <c r="Y2496">
        <v>85095</v>
      </c>
    </row>
    <row r="2497" spans="1:25" ht="15" hidden="1" customHeight="1" x14ac:dyDescent="0.25">
      <c r="A2497" s="1" t="s">
        <v>35</v>
      </c>
      <c r="B2497" s="1"/>
      <c r="C2497" s="1" t="s">
        <v>180</v>
      </c>
      <c r="D2497">
        <v>10318</v>
      </c>
      <c r="E2497" s="1"/>
      <c r="F2497" s="1" t="s">
        <v>310</v>
      </c>
      <c r="G2497" s="1" t="s">
        <v>180</v>
      </c>
      <c r="H2497" s="1" t="s">
        <v>1405</v>
      </c>
      <c r="I2497">
        <v>2010</v>
      </c>
      <c r="J2497" s="93">
        <v>4.9000000000000004</v>
      </c>
      <c r="K2497">
        <v>8</v>
      </c>
      <c r="L2497" s="1" t="s">
        <v>439</v>
      </c>
      <c r="M2497">
        <v>0</v>
      </c>
      <c r="N2497">
        <v>170</v>
      </c>
      <c r="O2497">
        <v>2.8805999999999998E-2</v>
      </c>
      <c r="P2497">
        <v>3</v>
      </c>
      <c r="Q2497" s="1" t="s">
        <v>560</v>
      </c>
      <c r="R2497" s="93">
        <v>4.9000000000000004</v>
      </c>
      <c r="S2497">
        <v>3.92</v>
      </c>
      <c r="T2497">
        <v>0</v>
      </c>
      <c r="U2497" s="1" t="s">
        <v>659</v>
      </c>
      <c r="V2497" s="1"/>
      <c r="W2497">
        <v>4.9000000000000004</v>
      </c>
      <c r="X2497">
        <v>0</v>
      </c>
      <c r="Y2497">
        <v>85095</v>
      </c>
    </row>
    <row r="2498" spans="1:25" ht="15" hidden="1" customHeight="1" x14ac:dyDescent="0.25">
      <c r="A2498" s="1" t="s">
        <v>35</v>
      </c>
      <c r="B2498" s="1"/>
      <c r="C2498" s="1" t="s">
        <v>180</v>
      </c>
      <c r="D2498">
        <v>10318</v>
      </c>
      <c r="E2498" s="1"/>
      <c r="F2498" s="1" t="s">
        <v>310</v>
      </c>
      <c r="G2498" s="1" t="s">
        <v>180</v>
      </c>
      <c r="H2498" s="1" t="s">
        <v>1405</v>
      </c>
      <c r="I2498">
        <v>2009</v>
      </c>
      <c r="J2498" s="93">
        <v>11.06</v>
      </c>
      <c r="K2498">
        <v>3</v>
      </c>
      <c r="L2498" s="1" t="s">
        <v>440</v>
      </c>
      <c r="M2498">
        <v>0</v>
      </c>
      <c r="N2498">
        <v>170</v>
      </c>
      <c r="O2498">
        <v>6.5019999999999994E-2</v>
      </c>
      <c r="P2498">
        <v>3</v>
      </c>
      <c r="Q2498" s="1" t="s">
        <v>560</v>
      </c>
      <c r="R2498" s="93">
        <v>11.06</v>
      </c>
      <c r="S2498">
        <v>8.86</v>
      </c>
      <c r="T2498">
        <v>0</v>
      </c>
      <c r="U2498" s="1" t="s">
        <v>660</v>
      </c>
      <c r="V2498" s="1"/>
      <c r="W2498">
        <v>11.05645</v>
      </c>
      <c r="X2498">
        <v>0</v>
      </c>
      <c r="Y2498">
        <v>77793</v>
      </c>
    </row>
    <row r="2499" spans="1:25" ht="15" hidden="1" customHeight="1" x14ac:dyDescent="0.25">
      <c r="A2499" s="1" t="s">
        <v>35</v>
      </c>
      <c r="B2499" s="1"/>
      <c r="C2499" s="1" t="s">
        <v>180</v>
      </c>
      <c r="D2499">
        <v>10318</v>
      </c>
      <c r="E2499" s="1"/>
      <c r="F2499" s="1" t="s">
        <v>310</v>
      </c>
      <c r="G2499" s="1" t="s">
        <v>180</v>
      </c>
      <c r="H2499" s="1" t="s">
        <v>1405</v>
      </c>
      <c r="I2499">
        <v>2008</v>
      </c>
      <c r="J2499" s="93">
        <v>30.79</v>
      </c>
      <c r="K2499">
        <v>4</v>
      </c>
      <c r="L2499" s="1" t="s">
        <v>440</v>
      </c>
      <c r="M2499">
        <v>0</v>
      </c>
      <c r="N2499">
        <v>170</v>
      </c>
      <c r="O2499">
        <v>0.18101100000000001</v>
      </c>
      <c r="P2499">
        <v>3</v>
      </c>
      <c r="Q2499" s="1" t="s">
        <v>560</v>
      </c>
      <c r="R2499" s="93">
        <v>30.79</v>
      </c>
      <c r="S2499">
        <v>24.64</v>
      </c>
      <c r="T2499">
        <v>0</v>
      </c>
      <c r="U2499" s="1" t="s">
        <v>660</v>
      </c>
      <c r="V2499" s="1"/>
      <c r="W2499">
        <v>30.795999999999999</v>
      </c>
      <c r="X2499">
        <v>0</v>
      </c>
      <c r="Y2499">
        <v>77793</v>
      </c>
    </row>
    <row r="2500" spans="1:25" ht="15" hidden="1" customHeight="1" x14ac:dyDescent="0.25">
      <c r="A2500" s="1" t="s">
        <v>35</v>
      </c>
      <c r="B2500" s="1"/>
      <c r="C2500" s="1" t="s">
        <v>181</v>
      </c>
      <c r="D2500">
        <v>10273</v>
      </c>
      <c r="E2500" s="1"/>
      <c r="F2500" s="1" t="s">
        <v>311</v>
      </c>
      <c r="G2500" s="1" t="s">
        <v>181</v>
      </c>
      <c r="H2500" s="1" t="s">
        <v>1405</v>
      </c>
      <c r="I2500">
        <v>2015</v>
      </c>
      <c r="J2500" s="93">
        <v>133</v>
      </c>
      <c r="K2500">
        <v>5</v>
      </c>
      <c r="L2500" s="1" t="s">
        <v>399</v>
      </c>
      <c r="M2500">
        <v>0</v>
      </c>
      <c r="N2500">
        <v>400</v>
      </c>
      <c r="O2500">
        <v>0.14043900000000001</v>
      </c>
      <c r="P2500">
        <v>3</v>
      </c>
      <c r="Q2500" s="1" t="s">
        <v>560</v>
      </c>
      <c r="R2500" s="93">
        <v>56.19</v>
      </c>
      <c r="S2500">
        <v>44.96</v>
      </c>
      <c r="T2500">
        <v>0</v>
      </c>
      <c r="U2500" s="1" t="s">
        <v>661</v>
      </c>
      <c r="V2500" s="1"/>
      <c r="W2500">
        <v>56.186999999999998</v>
      </c>
      <c r="X2500">
        <v>0</v>
      </c>
      <c r="Y2500">
        <v>77660</v>
      </c>
    </row>
    <row r="2501" spans="1:25" ht="15" hidden="1" customHeight="1" x14ac:dyDescent="0.25">
      <c r="A2501" s="1" t="s">
        <v>35</v>
      </c>
      <c r="B2501" s="1"/>
      <c r="C2501" s="1" t="s">
        <v>181</v>
      </c>
      <c r="D2501">
        <v>10273</v>
      </c>
      <c r="E2501" s="1"/>
      <c r="F2501" s="1" t="s">
        <v>311</v>
      </c>
      <c r="G2501" s="1" t="s">
        <v>181</v>
      </c>
      <c r="H2501" s="1" t="s">
        <v>1405</v>
      </c>
      <c r="I2501">
        <v>2013</v>
      </c>
      <c r="J2501" s="93">
        <v>127.59</v>
      </c>
      <c r="K2501">
        <v>12</v>
      </c>
      <c r="L2501" s="1" t="s">
        <v>399</v>
      </c>
      <c r="M2501">
        <v>0</v>
      </c>
      <c r="N2501">
        <v>400</v>
      </c>
      <c r="O2501">
        <v>0.31889499999999998</v>
      </c>
      <c r="P2501">
        <v>3</v>
      </c>
      <c r="Q2501" s="1" t="s">
        <v>560</v>
      </c>
      <c r="R2501" s="93">
        <v>127.59</v>
      </c>
      <c r="S2501">
        <v>102.08</v>
      </c>
      <c r="T2501">
        <v>0</v>
      </c>
      <c r="U2501" s="1" t="s">
        <v>661</v>
      </c>
      <c r="V2501" s="1"/>
      <c r="W2501">
        <v>127.61225</v>
      </c>
      <c r="X2501">
        <v>0</v>
      </c>
      <c r="Y2501">
        <v>77660</v>
      </c>
    </row>
    <row r="2502" spans="1:25" ht="15" hidden="1" customHeight="1" x14ac:dyDescent="0.25">
      <c r="A2502" s="1" t="s">
        <v>35</v>
      </c>
      <c r="B2502" s="1"/>
      <c r="C2502" s="1" t="s">
        <v>181</v>
      </c>
      <c r="D2502">
        <v>10273</v>
      </c>
      <c r="E2502" s="1"/>
      <c r="F2502" s="1" t="s">
        <v>311</v>
      </c>
      <c r="G2502" s="1" t="s">
        <v>181</v>
      </c>
      <c r="H2502" s="1" t="s">
        <v>1405</v>
      </c>
      <c r="I2502">
        <v>2012</v>
      </c>
      <c r="J2502" s="93">
        <v>180.3</v>
      </c>
      <c r="K2502">
        <v>12</v>
      </c>
      <c r="L2502" s="1" t="s">
        <v>399</v>
      </c>
      <c r="M2502">
        <v>0</v>
      </c>
      <c r="N2502">
        <v>400</v>
      </c>
      <c r="O2502">
        <v>0.45063700000000001</v>
      </c>
      <c r="P2502">
        <v>3</v>
      </c>
      <c r="Q2502" s="1" t="s">
        <v>560</v>
      </c>
      <c r="R2502" s="93">
        <v>180.3</v>
      </c>
      <c r="S2502">
        <v>144.22</v>
      </c>
      <c r="T2502">
        <v>0</v>
      </c>
      <c r="U2502" s="1" t="s">
        <v>661</v>
      </c>
      <c r="V2502" s="1"/>
      <c r="W2502">
        <v>180.28675000000001</v>
      </c>
      <c r="X2502">
        <v>0</v>
      </c>
      <c r="Y2502">
        <v>77660</v>
      </c>
    </row>
    <row r="2503" spans="1:25" ht="15" hidden="1" customHeight="1" x14ac:dyDescent="0.25">
      <c r="A2503" s="1" t="s">
        <v>35</v>
      </c>
      <c r="B2503" s="1"/>
      <c r="C2503" s="1" t="s">
        <v>181</v>
      </c>
      <c r="D2503">
        <v>10273</v>
      </c>
      <c r="E2503" s="1"/>
      <c r="F2503" s="1" t="s">
        <v>311</v>
      </c>
      <c r="G2503" s="1" t="s">
        <v>181</v>
      </c>
      <c r="H2503" s="1" t="s">
        <v>1405</v>
      </c>
      <c r="I2503">
        <v>2011</v>
      </c>
      <c r="J2503" s="93">
        <v>185.69</v>
      </c>
      <c r="K2503">
        <v>13</v>
      </c>
      <c r="L2503" s="1" t="s">
        <v>399</v>
      </c>
      <c r="M2503">
        <v>0</v>
      </c>
      <c r="N2503">
        <v>400</v>
      </c>
      <c r="O2503">
        <v>0.46410800000000002</v>
      </c>
      <c r="P2503">
        <v>3</v>
      </c>
      <c r="Q2503" s="1" t="s">
        <v>560</v>
      </c>
      <c r="R2503" s="93">
        <v>185.69</v>
      </c>
      <c r="S2503">
        <v>148.57</v>
      </c>
      <c r="T2503">
        <v>0</v>
      </c>
      <c r="U2503" s="1" t="s">
        <v>661</v>
      </c>
      <c r="V2503" s="1"/>
      <c r="W2503">
        <v>185.70023</v>
      </c>
      <c r="X2503">
        <v>0</v>
      </c>
      <c r="Y2503">
        <v>77660</v>
      </c>
    </row>
    <row r="2504" spans="1:25" ht="15" hidden="1" customHeight="1" x14ac:dyDescent="0.25">
      <c r="A2504" s="1" t="s">
        <v>35</v>
      </c>
      <c r="B2504" s="1"/>
      <c r="C2504" s="1" t="s">
        <v>181</v>
      </c>
      <c r="D2504">
        <v>10273</v>
      </c>
      <c r="E2504" s="1"/>
      <c r="F2504" s="1" t="s">
        <v>311</v>
      </c>
      <c r="G2504" s="1" t="s">
        <v>181</v>
      </c>
      <c r="H2504" s="1" t="s">
        <v>1405</v>
      </c>
      <c r="I2504">
        <v>2010</v>
      </c>
      <c r="J2504" s="93">
        <v>209.82</v>
      </c>
      <c r="K2504">
        <v>11</v>
      </c>
      <c r="L2504" s="1" t="s">
        <v>399</v>
      </c>
      <c r="M2504">
        <v>0</v>
      </c>
      <c r="N2504">
        <v>400</v>
      </c>
      <c r="O2504">
        <v>0.52441800000000005</v>
      </c>
      <c r="P2504">
        <v>3</v>
      </c>
      <c r="Q2504" s="1" t="s">
        <v>560</v>
      </c>
      <c r="R2504" s="93">
        <v>209.82</v>
      </c>
      <c r="S2504">
        <v>167.85</v>
      </c>
      <c r="T2504">
        <v>0</v>
      </c>
      <c r="U2504" s="1" t="s">
        <v>661</v>
      </c>
      <c r="V2504" s="1"/>
      <c r="W2504">
        <v>209.82435000000001</v>
      </c>
      <c r="X2504">
        <v>0</v>
      </c>
      <c r="Y2504">
        <v>77660</v>
      </c>
    </row>
    <row r="2505" spans="1:25" ht="15" hidden="1" customHeight="1" x14ac:dyDescent="0.25">
      <c r="A2505" s="1" t="s">
        <v>35</v>
      </c>
      <c r="B2505" s="1"/>
      <c r="C2505" s="1" t="s">
        <v>181</v>
      </c>
      <c r="D2505">
        <v>10273</v>
      </c>
      <c r="E2505" s="1"/>
      <c r="F2505" s="1" t="s">
        <v>311</v>
      </c>
      <c r="G2505" s="1" t="s">
        <v>181</v>
      </c>
      <c r="H2505" s="1" t="s">
        <v>1405</v>
      </c>
      <c r="I2505">
        <v>2009</v>
      </c>
      <c r="J2505" s="93">
        <v>202.35</v>
      </c>
      <c r="K2505">
        <v>12</v>
      </c>
      <c r="L2505" s="1" t="s">
        <v>399</v>
      </c>
      <c r="M2505">
        <v>0</v>
      </c>
      <c r="N2505">
        <v>400</v>
      </c>
      <c r="O2505">
        <v>0.50574799999999998</v>
      </c>
      <c r="P2505">
        <v>3</v>
      </c>
      <c r="Q2505" s="1" t="s">
        <v>560</v>
      </c>
      <c r="R2505" s="93">
        <v>202.35</v>
      </c>
      <c r="S2505">
        <v>161.9</v>
      </c>
      <c r="T2505">
        <v>0</v>
      </c>
      <c r="U2505" s="1" t="s">
        <v>661</v>
      </c>
      <c r="V2505" s="1"/>
      <c r="W2505">
        <v>202.37559999999999</v>
      </c>
      <c r="X2505">
        <v>0</v>
      </c>
      <c r="Y2505">
        <v>77660</v>
      </c>
    </row>
    <row r="2506" spans="1:25" ht="15" hidden="1" customHeight="1" x14ac:dyDescent="0.25">
      <c r="A2506" s="1" t="s">
        <v>35</v>
      </c>
      <c r="B2506" s="1"/>
      <c r="C2506" s="1" t="s">
        <v>181</v>
      </c>
      <c r="D2506">
        <v>10273</v>
      </c>
      <c r="E2506" s="1"/>
      <c r="F2506" s="1" t="s">
        <v>311</v>
      </c>
      <c r="G2506" s="1" t="s">
        <v>181</v>
      </c>
      <c r="H2506" s="1" t="s">
        <v>1405</v>
      </c>
      <c r="I2506">
        <v>2008</v>
      </c>
      <c r="J2506" s="93">
        <v>170.6</v>
      </c>
      <c r="K2506">
        <v>6</v>
      </c>
      <c r="L2506" s="1" t="s">
        <v>399</v>
      </c>
      <c r="M2506">
        <v>0</v>
      </c>
      <c r="N2506">
        <v>400</v>
      </c>
      <c r="O2506">
        <v>0.42639300000000002</v>
      </c>
      <c r="P2506">
        <v>3</v>
      </c>
      <c r="Q2506" s="1" t="s">
        <v>560</v>
      </c>
      <c r="R2506" s="93">
        <v>170.6</v>
      </c>
      <c r="S2506">
        <v>136.46</v>
      </c>
      <c r="T2506">
        <v>0</v>
      </c>
      <c r="U2506" s="1" t="s">
        <v>661</v>
      </c>
      <c r="V2506" s="1"/>
      <c r="W2506">
        <v>170.58335</v>
      </c>
      <c r="X2506">
        <v>0</v>
      </c>
      <c r="Y2506">
        <v>77660</v>
      </c>
    </row>
    <row r="2507" spans="1:25" ht="15" hidden="1" customHeight="1" x14ac:dyDescent="0.25">
      <c r="A2507" s="1" t="s">
        <v>35</v>
      </c>
      <c r="B2507" s="1"/>
      <c r="C2507" s="1" t="s">
        <v>182</v>
      </c>
      <c r="D2507">
        <v>10182</v>
      </c>
      <c r="E2507" s="1"/>
      <c r="F2507" s="1" t="s">
        <v>312</v>
      </c>
      <c r="G2507" s="1" t="s">
        <v>182</v>
      </c>
      <c r="H2507" s="1" t="s">
        <v>1405</v>
      </c>
      <c r="I2507">
        <v>2015</v>
      </c>
      <c r="J2507" s="93">
        <v>53</v>
      </c>
      <c r="K2507">
        <v>5</v>
      </c>
      <c r="L2507" s="1" t="s">
        <v>441</v>
      </c>
      <c r="M2507">
        <v>0</v>
      </c>
      <c r="N2507">
        <v>152</v>
      </c>
      <c r="O2507">
        <v>0.15798799999999999</v>
      </c>
      <c r="P2507">
        <v>3</v>
      </c>
      <c r="Q2507" s="1" t="s">
        <v>560</v>
      </c>
      <c r="R2507" s="93">
        <v>24.03</v>
      </c>
      <c r="S2507">
        <v>19.239999999999998</v>
      </c>
      <c r="T2507">
        <v>0</v>
      </c>
      <c r="U2507" s="1" t="s">
        <v>662</v>
      </c>
      <c r="V2507" s="1"/>
      <c r="W2507">
        <v>24.032</v>
      </c>
      <c r="X2507">
        <v>0</v>
      </c>
      <c r="Y2507">
        <v>77234</v>
      </c>
    </row>
    <row r="2508" spans="1:25" ht="15" hidden="1" customHeight="1" x14ac:dyDescent="0.25">
      <c r="A2508" s="1" t="s">
        <v>35</v>
      </c>
      <c r="B2508" s="1"/>
      <c r="C2508" s="1" t="s">
        <v>182</v>
      </c>
      <c r="D2508">
        <v>10182</v>
      </c>
      <c r="E2508" s="1"/>
      <c r="F2508" s="1" t="s">
        <v>312</v>
      </c>
      <c r="G2508" s="1" t="s">
        <v>182</v>
      </c>
      <c r="H2508" s="1" t="s">
        <v>1405</v>
      </c>
      <c r="I2508">
        <v>2013</v>
      </c>
      <c r="J2508" s="93">
        <v>24.69</v>
      </c>
      <c r="K2508">
        <v>7</v>
      </c>
      <c r="L2508" s="1" t="s">
        <v>441</v>
      </c>
      <c r="M2508">
        <v>0</v>
      </c>
      <c r="N2508">
        <v>152</v>
      </c>
      <c r="O2508">
        <v>0.162327</v>
      </c>
      <c r="P2508">
        <v>3</v>
      </c>
      <c r="Q2508" s="1" t="s">
        <v>560</v>
      </c>
      <c r="R2508" s="93">
        <v>24.69</v>
      </c>
      <c r="S2508">
        <v>19.760000000000002</v>
      </c>
      <c r="T2508">
        <v>0</v>
      </c>
      <c r="U2508" s="1" t="s">
        <v>662</v>
      </c>
      <c r="V2508" s="1"/>
      <c r="W2508">
        <v>24.693819999999999</v>
      </c>
      <c r="X2508">
        <v>0</v>
      </c>
      <c r="Y2508">
        <v>77234</v>
      </c>
    </row>
    <row r="2509" spans="1:25" ht="15" hidden="1" customHeight="1" x14ac:dyDescent="0.25">
      <c r="A2509" s="1" t="s">
        <v>35</v>
      </c>
      <c r="B2509" s="1"/>
      <c r="C2509" s="1" t="s">
        <v>182</v>
      </c>
      <c r="D2509">
        <v>10182</v>
      </c>
      <c r="E2509" s="1"/>
      <c r="F2509" s="1" t="s">
        <v>312</v>
      </c>
      <c r="G2509" s="1" t="s">
        <v>182</v>
      </c>
      <c r="H2509" s="1" t="s">
        <v>1405</v>
      </c>
      <c r="I2509">
        <v>2012</v>
      </c>
      <c r="J2509" s="93">
        <v>40.85</v>
      </c>
      <c r="K2509">
        <v>4</v>
      </c>
      <c r="L2509" s="1" t="s">
        <v>441</v>
      </c>
      <c r="M2509">
        <v>0</v>
      </c>
      <c r="N2509">
        <v>152</v>
      </c>
      <c r="O2509">
        <v>0.26857300000000001</v>
      </c>
      <c r="P2509">
        <v>3</v>
      </c>
      <c r="Q2509" s="1" t="s">
        <v>560</v>
      </c>
      <c r="R2509" s="93">
        <v>40.85</v>
      </c>
      <c r="S2509">
        <v>32.69</v>
      </c>
      <c r="T2509">
        <v>0</v>
      </c>
      <c r="U2509" s="1" t="s">
        <v>662</v>
      </c>
      <c r="V2509" s="1"/>
      <c r="W2509">
        <v>40.868670000000002</v>
      </c>
      <c r="X2509">
        <v>0</v>
      </c>
      <c r="Y2509">
        <v>77234</v>
      </c>
    </row>
    <row r="2510" spans="1:25" ht="15" hidden="1" customHeight="1" x14ac:dyDescent="0.25">
      <c r="A2510" s="1" t="s">
        <v>35</v>
      </c>
      <c r="B2510" s="1"/>
      <c r="C2510" s="1" t="s">
        <v>182</v>
      </c>
      <c r="D2510">
        <v>10182</v>
      </c>
      <c r="E2510" s="1"/>
      <c r="F2510" s="1" t="s">
        <v>312</v>
      </c>
      <c r="G2510" s="1" t="s">
        <v>182</v>
      </c>
      <c r="H2510" s="1" t="s">
        <v>1405</v>
      </c>
      <c r="I2510">
        <v>2011</v>
      </c>
      <c r="J2510" s="93">
        <v>41.8</v>
      </c>
      <c r="K2510">
        <v>3</v>
      </c>
      <c r="L2510" s="1" t="s">
        <v>441</v>
      </c>
      <c r="M2510">
        <v>0</v>
      </c>
      <c r="N2510">
        <v>152</v>
      </c>
      <c r="O2510">
        <v>0.27481899999999998</v>
      </c>
      <c r="P2510">
        <v>3</v>
      </c>
      <c r="Q2510" s="1" t="s">
        <v>560</v>
      </c>
      <c r="R2510" s="93">
        <v>41.8</v>
      </c>
      <c r="S2510">
        <v>33.43</v>
      </c>
      <c r="T2510">
        <v>0</v>
      </c>
      <c r="U2510" s="1" t="s">
        <v>662</v>
      </c>
      <c r="V2510" s="1"/>
      <c r="W2510">
        <v>41.801130000000001</v>
      </c>
      <c r="X2510">
        <v>0</v>
      </c>
      <c r="Y2510">
        <v>77234</v>
      </c>
    </row>
    <row r="2511" spans="1:25" ht="15" hidden="1" customHeight="1" x14ac:dyDescent="0.25">
      <c r="A2511" s="1" t="s">
        <v>35</v>
      </c>
      <c r="B2511" s="1"/>
      <c r="C2511" s="1" t="s">
        <v>182</v>
      </c>
      <c r="D2511">
        <v>10182</v>
      </c>
      <c r="E2511" s="1"/>
      <c r="F2511" s="1" t="s">
        <v>312</v>
      </c>
      <c r="G2511" s="1" t="s">
        <v>182</v>
      </c>
      <c r="H2511" s="1" t="s">
        <v>1405</v>
      </c>
      <c r="I2511">
        <v>2010</v>
      </c>
      <c r="J2511" s="93">
        <v>50.49</v>
      </c>
      <c r="K2511">
        <v>3</v>
      </c>
      <c r="L2511" s="1" t="s">
        <v>441</v>
      </c>
      <c r="M2511">
        <v>0</v>
      </c>
      <c r="N2511">
        <v>152</v>
      </c>
      <c r="O2511">
        <v>0.33195200000000002</v>
      </c>
      <c r="P2511">
        <v>3</v>
      </c>
      <c r="Q2511" s="1" t="s">
        <v>560</v>
      </c>
      <c r="R2511" s="93">
        <v>50.49</v>
      </c>
      <c r="S2511">
        <v>40.409999999999997</v>
      </c>
      <c r="T2511">
        <v>0</v>
      </c>
      <c r="U2511" s="1" t="s">
        <v>662</v>
      </c>
      <c r="V2511" s="1"/>
      <c r="W2511">
        <v>50.486170000000001</v>
      </c>
      <c r="X2511">
        <v>0</v>
      </c>
      <c r="Y2511">
        <v>77234</v>
      </c>
    </row>
    <row r="2512" spans="1:25" ht="15" hidden="1" customHeight="1" x14ac:dyDescent="0.25">
      <c r="A2512" s="1" t="s">
        <v>35</v>
      </c>
      <c r="B2512" s="1"/>
      <c r="C2512" s="1" t="s">
        <v>182</v>
      </c>
      <c r="D2512">
        <v>10182</v>
      </c>
      <c r="E2512" s="1"/>
      <c r="F2512" s="1" t="s">
        <v>312</v>
      </c>
      <c r="G2512" s="1" t="s">
        <v>182</v>
      </c>
      <c r="H2512" s="1" t="s">
        <v>1405</v>
      </c>
      <c r="I2512">
        <v>2009</v>
      </c>
      <c r="J2512" s="93">
        <v>109.32</v>
      </c>
      <c r="K2512">
        <v>3</v>
      </c>
      <c r="L2512" s="1" t="s">
        <v>441</v>
      </c>
      <c r="M2512">
        <v>0</v>
      </c>
      <c r="N2512">
        <v>152</v>
      </c>
      <c r="O2512">
        <v>0.71873699999999996</v>
      </c>
      <c r="P2512">
        <v>3</v>
      </c>
      <c r="Q2512" s="1" t="s">
        <v>560</v>
      </c>
      <c r="R2512" s="93">
        <v>109.32</v>
      </c>
      <c r="S2512">
        <v>87.46</v>
      </c>
      <c r="T2512">
        <v>0</v>
      </c>
      <c r="U2512" s="1" t="s">
        <v>662</v>
      </c>
      <c r="V2512" s="1"/>
      <c r="W2512">
        <v>109.30643999999999</v>
      </c>
      <c r="X2512">
        <v>0</v>
      </c>
      <c r="Y2512">
        <v>77234</v>
      </c>
    </row>
    <row r="2513" spans="1:25" ht="15" hidden="1" customHeight="1" x14ac:dyDescent="0.25">
      <c r="A2513" s="1" t="s">
        <v>35</v>
      </c>
      <c r="B2513" s="1"/>
      <c r="C2513" s="1" t="s">
        <v>182</v>
      </c>
      <c r="D2513">
        <v>10182</v>
      </c>
      <c r="E2513" s="1"/>
      <c r="F2513" s="1" t="s">
        <v>312</v>
      </c>
      <c r="G2513" s="1" t="s">
        <v>182</v>
      </c>
      <c r="H2513" s="1" t="s">
        <v>1405</v>
      </c>
      <c r="I2513">
        <v>2008</v>
      </c>
      <c r="J2513" s="93">
        <v>139.53</v>
      </c>
      <c r="K2513">
        <v>7</v>
      </c>
      <c r="L2513" s="1" t="s">
        <v>441</v>
      </c>
      <c r="M2513">
        <v>0</v>
      </c>
      <c r="N2513">
        <v>152</v>
      </c>
      <c r="O2513">
        <v>0.91735699999999998</v>
      </c>
      <c r="P2513">
        <v>3</v>
      </c>
      <c r="Q2513" s="1" t="s">
        <v>560</v>
      </c>
      <c r="R2513" s="93">
        <v>139.53</v>
      </c>
      <c r="S2513">
        <v>111.62</v>
      </c>
      <c r="T2513">
        <v>0</v>
      </c>
      <c r="U2513" s="1" t="s">
        <v>662</v>
      </c>
      <c r="V2513" s="1"/>
      <c r="W2513">
        <v>139.51407</v>
      </c>
      <c r="X2513">
        <v>0</v>
      </c>
      <c r="Y2513">
        <v>77234</v>
      </c>
    </row>
    <row r="2514" spans="1:25" ht="15" hidden="1" customHeight="1" x14ac:dyDescent="0.25">
      <c r="A2514" s="1" t="s">
        <v>35</v>
      </c>
      <c r="B2514" s="1" t="s">
        <v>73</v>
      </c>
      <c r="C2514" s="1" t="s">
        <v>174</v>
      </c>
      <c r="D2514">
        <v>13660</v>
      </c>
      <c r="E2514" s="1"/>
      <c r="F2514" s="1" t="s">
        <v>304</v>
      </c>
      <c r="G2514" s="1" t="s">
        <v>174</v>
      </c>
      <c r="H2514" s="1" t="s">
        <v>1405</v>
      </c>
      <c r="I2514">
        <v>2015</v>
      </c>
      <c r="J2514" s="93">
        <v>9036</v>
      </c>
      <c r="K2514">
        <v>5</v>
      </c>
      <c r="L2514" s="1" t="s">
        <v>442</v>
      </c>
      <c r="M2514">
        <v>0</v>
      </c>
      <c r="N2514">
        <v>532</v>
      </c>
      <c r="O2514">
        <v>7.7574889999999996</v>
      </c>
      <c r="P2514">
        <v>2</v>
      </c>
      <c r="Q2514" s="1" t="s">
        <v>569</v>
      </c>
      <c r="R2514" s="93">
        <v>4127.76</v>
      </c>
      <c r="S2514">
        <v>1238.33</v>
      </c>
      <c r="T2514">
        <v>0</v>
      </c>
      <c r="U2514" s="1" t="s">
        <v>1036</v>
      </c>
      <c r="V2514" s="1" t="s">
        <v>1309</v>
      </c>
      <c r="W2514">
        <v>4127.7602999999999</v>
      </c>
      <c r="X2514">
        <v>0</v>
      </c>
      <c r="Y2514">
        <v>91247</v>
      </c>
    </row>
    <row r="2515" spans="1:25" ht="15" hidden="1" customHeight="1" x14ac:dyDescent="0.25">
      <c r="A2515" s="1" t="s">
        <v>35</v>
      </c>
      <c r="B2515" s="1" t="s">
        <v>73</v>
      </c>
      <c r="C2515" s="1" t="s">
        <v>174</v>
      </c>
      <c r="D2515">
        <v>14495</v>
      </c>
      <c r="E2515" s="1" t="s">
        <v>243</v>
      </c>
      <c r="F2515" s="1" t="s">
        <v>313</v>
      </c>
      <c r="G2515" s="1" t="s">
        <v>174</v>
      </c>
      <c r="H2515" s="1" t="s">
        <v>1405</v>
      </c>
      <c r="I2515">
        <v>2013</v>
      </c>
      <c r="J2515" s="93">
        <v>65.7</v>
      </c>
      <c r="K2515">
        <v>2</v>
      </c>
      <c r="L2515" s="1" t="s">
        <v>442</v>
      </c>
      <c r="M2515">
        <v>0</v>
      </c>
      <c r="N2515">
        <v>878</v>
      </c>
      <c r="O2515">
        <v>7.4819999999999998E-2</v>
      </c>
      <c r="P2515">
        <v>3</v>
      </c>
      <c r="Q2515" s="1" t="s">
        <v>560</v>
      </c>
      <c r="R2515" s="93">
        <v>65.7</v>
      </c>
      <c r="S2515">
        <v>52.56</v>
      </c>
      <c r="T2515">
        <v>0</v>
      </c>
      <c r="U2515" s="1" t="s">
        <v>663</v>
      </c>
      <c r="V2515" s="1"/>
      <c r="W2515">
        <v>65.702380000000005</v>
      </c>
      <c r="X2515">
        <v>0</v>
      </c>
      <c r="Y2515">
        <v>94941</v>
      </c>
    </row>
    <row r="2516" spans="1:25" ht="15" hidden="1" customHeight="1" x14ac:dyDescent="0.25">
      <c r="A2516" s="1" t="s">
        <v>35</v>
      </c>
      <c r="B2516" s="1"/>
      <c r="C2516" s="1" t="s">
        <v>183</v>
      </c>
      <c r="D2516">
        <v>10270</v>
      </c>
      <c r="E2516" s="1"/>
      <c r="F2516" s="1" t="s">
        <v>183</v>
      </c>
      <c r="G2516" s="1" t="s">
        <v>183</v>
      </c>
      <c r="H2516" s="1" t="s">
        <v>1405</v>
      </c>
      <c r="I2516">
        <v>2015</v>
      </c>
      <c r="J2516" s="93">
        <v>2</v>
      </c>
      <c r="K2516">
        <v>5</v>
      </c>
      <c r="L2516" s="1" t="s">
        <v>443</v>
      </c>
      <c r="M2516">
        <v>0</v>
      </c>
      <c r="N2516">
        <v>96</v>
      </c>
      <c r="O2516">
        <v>1.6857E-2</v>
      </c>
      <c r="P2516">
        <v>3</v>
      </c>
      <c r="Q2516" s="1" t="s">
        <v>560</v>
      </c>
      <c r="R2516" s="93">
        <v>1.62</v>
      </c>
      <c r="S2516">
        <v>1.29</v>
      </c>
      <c r="T2516">
        <v>0</v>
      </c>
      <c r="U2516" s="1" t="s">
        <v>664</v>
      </c>
      <c r="V2516" s="1"/>
      <c r="W2516">
        <v>1.6140000000000001</v>
      </c>
      <c r="X2516">
        <v>0</v>
      </c>
      <c r="Y2516">
        <v>77651</v>
      </c>
    </row>
    <row r="2517" spans="1:25" ht="15" hidden="1" customHeight="1" x14ac:dyDescent="0.25">
      <c r="A2517" s="1" t="s">
        <v>35</v>
      </c>
      <c r="B2517" s="1"/>
      <c r="C2517" s="1" t="s">
        <v>183</v>
      </c>
      <c r="D2517">
        <v>10270</v>
      </c>
      <c r="E2517" s="1"/>
      <c r="F2517" s="1" t="s">
        <v>183</v>
      </c>
      <c r="G2517" s="1" t="s">
        <v>183</v>
      </c>
      <c r="H2517" s="1" t="s">
        <v>1405</v>
      </c>
      <c r="I2517">
        <v>2013</v>
      </c>
      <c r="J2517" s="93">
        <v>20.95</v>
      </c>
      <c r="K2517">
        <v>12</v>
      </c>
      <c r="L2517" s="1" t="s">
        <v>443</v>
      </c>
      <c r="M2517">
        <v>0</v>
      </c>
      <c r="N2517">
        <v>96</v>
      </c>
      <c r="O2517">
        <v>0.218002</v>
      </c>
      <c r="P2517">
        <v>3</v>
      </c>
      <c r="Q2517" s="1" t="s">
        <v>560</v>
      </c>
      <c r="R2517" s="93">
        <v>20.95</v>
      </c>
      <c r="S2517">
        <v>16.760000000000002</v>
      </c>
      <c r="T2517">
        <v>0</v>
      </c>
      <c r="U2517" s="1" t="s">
        <v>664</v>
      </c>
      <c r="V2517" s="1"/>
      <c r="W2517">
        <v>20.957999999999998</v>
      </c>
      <c r="X2517">
        <v>0</v>
      </c>
      <c r="Y2517">
        <v>77651</v>
      </c>
    </row>
    <row r="2518" spans="1:25" ht="15" hidden="1" customHeight="1" x14ac:dyDescent="0.25">
      <c r="A2518" s="1" t="s">
        <v>35</v>
      </c>
      <c r="B2518" s="1"/>
      <c r="C2518" s="1" t="s">
        <v>183</v>
      </c>
      <c r="D2518">
        <v>10270</v>
      </c>
      <c r="E2518" s="1"/>
      <c r="F2518" s="1" t="s">
        <v>183</v>
      </c>
      <c r="G2518" s="1" t="s">
        <v>183</v>
      </c>
      <c r="H2518" s="1" t="s">
        <v>1405</v>
      </c>
      <c r="I2518">
        <v>2012</v>
      </c>
      <c r="J2518" s="93">
        <v>11.07</v>
      </c>
      <c r="K2518">
        <v>13</v>
      </c>
      <c r="L2518" s="1" t="s">
        <v>443</v>
      </c>
      <c r="M2518">
        <v>0</v>
      </c>
      <c r="N2518">
        <v>96</v>
      </c>
      <c r="O2518">
        <v>0.115192</v>
      </c>
      <c r="P2518">
        <v>3</v>
      </c>
      <c r="Q2518" s="1" t="s">
        <v>560</v>
      </c>
      <c r="R2518" s="93">
        <v>11.07</v>
      </c>
      <c r="S2518">
        <v>8.86</v>
      </c>
      <c r="T2518">
        <v>0</v>
      </c>
      <c r="U2518" s="1" t="s">
        <v>664</v>
      </c>
      <c r="V2518" s="1"/>
      <c r="W2518">
        <v>11.074999999999999</v>
      </c>
      <c r="X2518">
        <v>0</v>
      </c>
      <c r="Y2518">
        <v>77651</v>
      </c>
    </row>
    <row r="2519" spans="1:25" ht="15" hidden="1" customHeight="1" x14ac:dyDescent="0.25">
      <c r="A2519" s="1" t="s">
        <v>35</v>
      </c>
      <c r="B2519" s="1"/>
      <c r="C2519" s="1" t="s">
        <v>183</v>
      </c>
      <c r="D2519">
        <v>10270</v>
      </c>
      <c r="E2519" s="1"/>
      <c r="F2519" s="1" t="s">
        <v>183</v>
      </c>
      <c r="G2519" s="1" t="s">
        <v>183</v>
      </c>
      <c r="H2519" s="1" t="s">
        <v>1405</v>
      </c>
      <c r="I2519">
        <v>2011</v>
      </c>
      <c r="J2519" s="93">
        <v>39</v>
      </c>
      <c r="K2519">
        <v>6</v>
      </c>
      <c r="L2519" s="1" t="s">
        <v>443</v>
      </c>
      <c r="M2519">
        <v>0</v>
      </c>
      <c r="N2519">
        <v>96</v>
      </c>
      <c r="O2519">
        <v>0.40582699999999999</v>
      </c>
      <c r="P2519">
        <v>3</v>
      </c>
      <c r="Q2519" s="1" t="s">
        <v>560</v>
      </c>
      <c r="R2519" s="93">
        <v>39</v>
      </c>
      <c r="S2519">
        <v>31.2</v>
      </c>
      <c r="T2519">
        <v>0</v>
      </c>
      <c r="U2519" s="1" t="s">
        <v>664</v>
      </c>
      <c r="V2519" s="1"/>
      <c r="W2519">
        <v>39</v>
      </c>
      <c r="X2519">
        <v>0</v>
      </c>
      <c r="Y2519">
        <v>77651</v>
      </c>
    </row>
    <row r="2520" spans="1:25" ht="15" hidden="1" customHeight="1" x14ac:dyDescent="0.25">
      <c r="A2520" s="1" t="s">
        <v>35</v>
      </c>
      <c r="B2520" s="1"/>
      <c r="C2520" s="1" t="s">
        <v>183</v>
      </c>
      <c r="D2520">
        <v>10270</v>
      </c>
      <c r="E2520" s="1"/>
      <c r="F2520" s="1" t="s">
        <v>183</v>
      </c>
      <c r="G2520" s="1" t="s">
        <v>183</v>
      </c>
      <c r="H2520" s="1" t="s">
        <v>1405</v>
      </c>
      <c r="I2520">
        <v>2010</v>
      </c>
      <c r="J2520" s="93">
        <v>0</v>
      </c>
      <c r="K2520">
        <v>2</v>
      </c>
      <c r="L2520" s="1" t="s">
        <v>443</v>
      </c>
      <c r="M2520">
        <v>0</v>
      </c>
      <c r="N2520">
        <v>96</v>
      </c>
      <c r="O2520">
        <v>0</v>
      </c>
      <c r="P2520">
        <v>3</v>
      </c>
      <c r="Q2520" s="1" t="s">
        <v>560</v>
      </c>
      <c r="R2520" s="93">
        <v>0</v>
      </c>
      <c r="S2520">
        <v>0</v>
      </c>
      <c r="T2520">
        <v>0</v>
      </c>
      <c r="U2520" s="1" t="s">
        <v>664</v>
      </c>
      <c r="V2520" s="1"/>
      <c r="W2520">
        <v>0</v>
      </c>
      <c r="X2520">
        <v>0</v>
      </c>
      <c r="Y2520">
        <v>77651</v>
      </c>
    </row>
    <row r="2521" spans="1:25" ht="15" hidden="1" customHeight="1" x14ac:dyDescent="0.25">
      <c r="A2521" s="1" t="s">
        <v>35</v>
      </c>
      <c r="B2521" s="1"/>
      <c r="C2521" s="1" t="s">
        <v>183</v>
      </c>
      <c r="D2521">
        <v>10270</v>
      </c>
      <c r="E2521" s="1"/>
      <c r="F2521" s="1" t="s">
        <v>183</v>
      </c>
      <c r="G2521" s="1" t="s">
        <v>183</v>
      </c>
      <c r="H2521" s="1" t="s">
        <v>1405</v>
      </c>
      <c r="I2521">
        <v>2009</v>
      </c>
      <c r="J2521" s="93">
        <v>12.24</v>
      </c>
      <c r="K2521">
        <v>5</v>
      </c>
      <c r="L2521" s="1" t="s">
        <v>443</v>
      </c>
      <c r="M2521">
        <v>0</v>
      </c>
      <c r="N2521">
        <v>96</v>
      </c>
      <c r="O2521">
        <v>0.12736700000000001</v>
      </c>
      <c r="P2521">
        <v>3</v>
      </c>
      <c r="Q2521" s="1" t="s">
        <v>560</v>
      </c>
      <c r="R2521" s="93">
        <v>12.24</v>
      </c>
      <c r="S2521">
        <v>9.8000000000000007</v>
      </c>
      <c r="T2521">
        <v>0</v>
      </c>
      <c r="U2521" s="1" t="s">
        <v>664</v>
      </c>
      <c r="V2521" s="1"/>
      <c r="W2521">
        <v>12.242430000000001</v>
      </c>
      <c r="X2521">
        <v>0</v>
      </c>
      <c r="Y2521">
        <v>77651</v>
      </c>
    </row>
    <row r="2522" spans="1:25" ht="15" hidden="1" customHeight="1" x14ac:dyDescent="0.25">
      <c r="A2522" s="1" t="s">
        <v>35</v>
      </c>
      <c r="B2522" s="1"/>
      <c r="C2522" s="1" t="s">
        <v>183</v>
      </c>
      <c r="D2522">
        <v>10270</v>
      </c>
      <c r="E2522" s="1"/>
      <c r="F2522" s="1" t="s">
        <v>183</v>
      </c>
      <c r="G2522" s="1" t="s">
        <v>183</v>
      </c>
      <c r="H2522" s="1" t="s">
        <v>1405</v>
      </c>
      <c r="I2522">
        <v>2008</v>
      </c>
      <c r="J2522" s="93">
        <v>35.67</v>
      </c>
      <c r="K2522">
        <v>6</v>
      </c>
      <c r="L2522" s="1" t="s">
        <v>443</v>
      </c>
      <c r="M2522">
        <v>0</v>
      </c>
      <c r="N2522">
        <v>96</v>
      </c>
      <c r="O2522">
        <v>0.37117499999999998</v>
      </c>
      <c r="P2522">
        <v>3</v>
      </c>
      <c r="Q2522" s="1" t="s">
        <v>560</v>
      </c>
      <c r="R2522" s="93">
        <v>35.67</v>
      </c>
      <c r="S2522">
        <v>28.52</v>
      </c>
      <c r="T2522">
        <v>0</v>
      </c>
      <c r="U2522" s="1" t="s">
        <v>664</v>
      </c>
      <c r="V2522" s="1"/>
      <c r="W2522">
        <v>35.658659999999998</v>
      </c>
      <c r="X2522">
        <v>0</v>
      </c>
      <c r="Y2522">
        <v>77651</v>
      </c>
    </row>
    <row r="2523" spans="1:25" ht="15" hidden="1" customHeight="1" x14ac:dyDescent="0.25">
      <c r="A2523" s="1" t="s">
        <v>35</v>
      </c>
      <c r="B2523" s="1" t="s">
        <v>76</v>
      </c>
      <c r="C2523" s="1" t="s">
        <v>184</v>
      </c>
      <c r="D2523">
        <v>5270</v>
      </c>
      <c r="E2523" s="1"/>
      <c r="F2523" s="1" t="s">
        <v>314</v>
      </c>
      <c r="G2523" s="1" t="s">
        <v>184</v>
      </c>
      <c r="H2523" s="1" t="s">
        <v>1405</v>
      </c>
      <c r="I2523">
        <v>2015</v>
      </c>
      <c r="J2523" s="93">
        <v>444</v>
      </c>
      <c r="K2523">
        <v>5</v>
      </c>
      <c r="L2523" s="1" t="s">
        <v>444</v>
      </c>
      <c r="M2523">
        <v>0</v>
      </c>
      <c r="N2523">
        <v>2625</v>
      </c>
      <c r="O2523">
        <v>6.5726999999999994E-2</v>
      </c>
      <c r="P2523">
        <v>3</v>
      </c>
      <c r="Q2523" s="1" t="s">
        <v>560</v>
      </c>
      <c r="R2523" s="93">
        <v>172.54</v>
      </c>
      <c r="S2523">
        <v>138.03</v>
      </c>
      <c r="T2523">
        <v>0</v>
      </c>
      <c r="U2523" s="1" t="s">
        <v>665</v>
      </c>
      <c r="V2523" s="1"/>
      <c r="W2523">
        <v>172.541</v>
      </c>
      <c r="X2523">
        <v>0</v>
      </c>
      <c r="Y2523">
        <v>56824</v>
      </c>
    </row>
    <row r="2524" spans="1:25" ht="15" hidden="1" customHeight="1" x14ac:dyDescent="0.25">
      <c r="A2524" s="1" t="s">
        <v>35</v>
      </c>
      <c r="B2524" s="1" t="s">
        <v>76</v>
      </c>
      <c r="C2524" s="1" t="s">
        <v>184</v>
      </c>
      <c r="D2524">
        <v>5270</v>
      </c>
      <c r="E2524" s="1"/>
      <c r="F2524" s="1" t="s">
        <v>314</v>
      </c>
      <c r="G2524" s="1" t="s">
        <v>184</v>
      </c>
      <c r="H2524" s="1" t="s">
        <v>1405</v>
      </c>
      <c r="I2524">
        <v>2013</v>
      </c>
      <c r="J2524" s="93">
        <v>462.96</v>
      </c>
      <c r="K2524">
        <v>12</v>
      </c>
      <c r="L2524" s="1" t="s">
        <v>444</v>
      </c>
      <c r="M2524">
        <v>0</v>
      </c>
      <c r="N2524">
        <v>2625</v>
      </c>
      <c r="O2524">
        <v>0.17635799999999999</v>
      </c>
      <c r="P2524">
        <v>3</v>
      </c>
      <c r="Q2524" s="1" t="s">
        <v>560</v>
      </c>
      <c r="R2524" s="93">
        <v>462.96</v>
      </c>
      <c r="S2524">
        <v>370.36</v>
      </c>
      <c r="T2524">
        <v>0</v>
      </c>
      <c r="U2524" s="1" t="s">
        <v>665</v>
      </c>
      <c r="V2524" s="1"/>
      <c r="W2524">
        <v>462.94799999999998</v>
      </c>
      <c r="X2524">
        <v>0</v>
      </c>
      <c r="Y2524">
        <v>56824</v>
      </c>
    </row>
    <row r="2525" spans="1:25" ht="15" hidden="1" customHeight="1" x14ac:dyDescent="0.25">
      <c r="A2525" s="1" t="s">
        <v>35</v>
      </c>
      <c r="B2525" s="1" t="s">
        <v>76</v>
      </c>
      <c r="C2525" s="1" t="s">
        <v>184</v>
      </c>
      <c r="D2525">
        <v>5270</v>
      </c>
      <c r="E2525" s="1"/>
      <c r="F2525" s="1" t="s">
        <v>314</v>
      </c>
      <c r="G2525" s="1" t="s">
        <v>184</v>
      </c>
      <c r="H2525" s="1" t="s">
        <v>1405</v>
      </c>
      <c r="I2525">
        <v>2012</v>
      </c>
      <c r="J2525" s="93">
        <v>443.41</v>
      </c>
      <c r="K2525">
        <v>12</v>
      </c>
      <c r="L2525" s="1" t="s">
        <v>444</v>
      </c>
      <c r="M2525">
        <v>0</v>
      </c>
      <c r="N2525">
        <v>2625</v>
      </c>
      <c r="O2525">
        <v>0.16891100000000001</v>
      </c>
      <c r="P2525">
        <v>3</v>
      </c>
      <c r="Q2525" s="1" t="s">
        <v>560</v>
      </c>
      <c r="R2525" s="93">
        <v>443.41</v>
      </c>
      <c r="S2525">
        <v>354.73</v>
      </c>
      <c r="T2525">
        <v>0</v>
      </c>
      <c r="U2525" s="1" t="s">
        <v>665</v>
      </c>
      <c r="V2525" s="1"/>
      <c r="W2525">
        <v>443.40199999999999</v>
      </c>
      <c r="X2525">
        <v>0</v>
      </c>
      <c r="Y2525">
        <v>56824</v>
      </c>
    </row>
    <row r="2526" spans="1:25" ht="15" hidden="1" customHeight="1" x14ac:dyDescent="0.25">
      <c r="A2526" s="1" t="s">
        <v>35</v>
      </c>
      <c r="B2526" s="1" t="s">
        <v>76</v>
      </c>
      <c r="C2526" s="1" t="s">
        <v>184</v>
      </c>
      <c r="D2526">
        <v>5270</v>
      </c>
      <c r="E2526" s="1"/>
      <c r="F2526" s="1" t="s">
        <v>314</v>
      </c>
      <c r="G2526" s="1" t="s">
        <v>184</v>
      </c>
      <c r="H2526" s="1" t="s">
        <v>1405</v>
      </c>
      <c r="I2526">
        <v>2011</v>
      </c>
      <c r="J2526" s="93">
        <v>419.84</v>
      </c>
      <c r="K2526">
        <v>12</v>
      </c>
      <c r="L2526" s="1" t="s">
        <v>444</v>
      </c>
      <c r="M2526">
        <v>0</v>
      </c>
      <c r="N2526">
        <v>2625</v>
      </c>
      <c r="O2526">
        <v>0.15993199999999999</v>
      </c>
      <c r="P2526">
        <v>3</v>
      </c>
      <c r="Q2526" s="1" t="s">
        <v>560</v>
      </c>
      <c r="R2526" s="93">
        <v>419.84</v>
      </c>
      <c r="S2526">
        <v>335.89</v>
      </c>
      <c r="T2526">
        <v>0</v>
      </c>
      <c r="U2526" s="1" t="s">
        <v>665</v>
      </c>
      <c r="V2526" s="1"/>
      <c r="W2526">
        <v>419.84800000000001</v>
      </c>
      <c r="X2526">
        <v>0</v>
      </c>
      <c r="Y2526">
        <v>56824</v>
      </c>
    </row>
    <row r="2527" spans="1:25" ht="15" hidden="1" customHeight="1" x14ac:dyDescent="0.25">
      <c r="A2527" s="1" t="s">
        <v>35</v>
      </c>
      <c r="B2527" s="1" t="s">
        <v>76</v>
      </c>
      <c r="C2527" s="1" t="s">
        <v>184</v>
      </c>
      <c r="D2527">
        <v>5270</v>
      </c>
      <c r="E2527" s="1"/>
      <c r="F2527" s="1" t="s">
        <v>314</v>
      </c>
      <c r="G2527" s="1" t="s">
        <v>184</v>
      </c>
      <c r="H2527" s="1" t="s">
        <v>1405</v>
      </c>
      <c r="I2527">
        <v>2010</v>
      </c>
      <c r="J2527" s="93">
        <v>413.32</v>
      </c>
      <c r="K2527">
        <v>13</v>
      </c>
      <c r="L2527" s="1" t="s">
        <v>444</v>
      </c>
      <c r="M2527">
        <v>0</v>
      </c>
      <c r="N2527">
        <v>2625</v>
      </c>
      <c r="O2527">
        <v>0.15744900000000001</v>
      </c>
      <c r="P2527">
        <v>3</v>
      </c>
      <c r="Q2527" s="1" t="s">
        <v>560</v>
      </c>
      <c r="R2527" s="93">
        <v>413.32</v>
      </c>
      <c r="S2527">
        <v>330.68</v>
      </c>
      <c r="T2527">
        <v>0</v>
      </c>
      <c r="U2527" s="1" t="s">
        <v>665</v>
      </c>
      <c r="V2527" s="1"/>
      <c r="W2527">
        <v>413.33389</v>
      </c>
      <c r="X2527">
        <v>0</v>
      </c>
      <c r="Y2527">
        <v>56824</v>
      </c>
    </row>
    <row r="2528" spans="1:25" ht="15" hidden="1" customHeight="1" x14ac:dyDescent="0.25">
      <c r="A2528" s="1" t="s">
        <v>35</v>
      </c>
      <c r="B2528" s="1" t="s">
        <v>76</v>
      </c>
      <c r="C2528" s="1" t="s">
        <v>184</v>
      </c>
      <c r="D2528">
        <v>5270</v>
      </c>
      <c r="E2528" s="1"/>
      <c r="F2528" s="1" t="s">
        <v>314</v>
      </c>
      <c r="G2528" s="1" t="s">
        <v>184</v>
      </c>
      <c r="H2528" s="1" t="s">
        <v>1405</v>
      </c>
      <c r="I2528">
        <v>2009</v>
      </c>
      <c r="J2528" s="93">
        <v>456.04</v>
      </c>
      <c r="K2528">
        <v>12</v>
      </c>
      <c r="L2528" s="1" t="s">
        <v>444</v>
      </c>
      <c r="M2528">
        <v>0</v>
      </c>
      <c r="N2528">
        <v>2625</v>
      </c>
      <c r="O2528">
        <v>0.17372199999999999</v>
      </c>
      <c r="P2528">
        <v>3</v>
      </c>
      <c r="Q2528" s="1" t="s">
        <v>560</v>
      </c>
      <c r="R2528" s="93">
        <v>456.04</v>
      </c>
      <c r="S2528">
        <v>364.85</v>
      </c>
      <c r="T2528">
        <v>0</v>
      </c>
      <c r="U2528" s="1" t="s">
        <v>665</v>
      </c>
      <c r="V2528" s="1"/>
      <c r="W2528">
        <v>456.03811000000002</v>
      </c>
      <c r="X2528">
        <v>0</v>
      </c>
      <c r="Y2528">
        <v>56824</v>
      </c>
    </row>
    <row r="2529" spans="1:25" ht="15" hidden="1" customHeight="1" x14ac:dyDescent="0.25">
      <c r="A2529" s="1" t="s">
        <v>35</v>
      </c>
      <c r="B2529" s="1" t="s">
        <v>76</v>
      </c>
      <c r="C2529" s="1" t="s">
        <v>184</v>
      </c>
      <c r="D2529">
        <v>5270</v>
      </c>
      <c r="E2529" s="1"/>
      <c r="F2529" s="1" t="s">
        <v>314</v>
      </c>
      <c r="G2529" s="1" t="s">
        <v>184</v>
      </c>
      <c r="H2529" s="1" t="s">
        <v>1405</v>
      </c>
      <c r="I2529">
        <v>2008</v>
      </c>
      <c r="J2529" s="93">
        <v>425</v>
      </c>
      <c r="K2529">
        <v>12</v>
      </c>
      <c r="L2529" s="1" t="s">
        <v>444</v>
      </c>
      <c r="M2529">
        <v>0</v>
      </c>
      <c r="N2529">
        <v>2625</v>
      </c>
      <c r="O2529">
        <v>0.16189799999999999</v>
      </c>
      <c r="P2529">
        <v>3</v>
      </c>
      <c r="Q2529" s="1" t="s">
        <v>560</v>
      </c>
      <c r="R2529" s="93">
        <v>425</v>
      </c>
      <c r="S2529">
        <v>339.98</v>
      </c>
      <c r="T2529">
        <v>0</v>
      </c>
      <c r="U2529" s="1" t="s">
        <v>665</v>
      </c>
      <c r="V2529" s="1"/>
      <c r="W2529">
        <v>425.00700000000001</v>
      </c>
      <c r="X2529">
        <v>0</v>
      </c>
      <c r="Y2529">
        <v>56824</v>
      </c>
    </row>
    <row r="2530" spans="1:25" ht="15" hidden="1" customHeight="1" x14ac:dyDescent="0.25">
      <c r="A2530" s="1" t="s">
        <v>35</v>
      </c>
      <c r="B2530" s="1" t="s">
        <v>75</v>
      </c>
      <c r="C2530" s="1" t="s">
        <v>179</v>
      </c>
      <c r="D2530">
        <v>5261</v>
      </c>
      <c r="E2530" s="1"/>
      <c r="F2530" s="1" t="s">
        <v>309</v>
      </c>
      <c r="G2530" s="1" t="s">
        <v>179</v>
      </c>
      <c r="H2530" s="1" t="s">
        <v>1405</v>
      </c>
      <c r="I2530">
        <v>2014</v>
      </c>
      <c r="J2530" s="93">
        <v>107.04</v>
      </c>
      <c r="K2530">
        <v>12</v>
      </c>
      <c r="L2530" s="1" t="s">
        <v>402</v>
      </c>
      <c r="M2530">
        <v>0</v>
      </c>
      <c r="N2530">
        <v>309</v>
      </c>
      <c r="O2530">
        <v>0.34629500000000002</v>
      </c>
      <c r="P2530">
        <v>3</v>
      </c>
      <c r="Q2530" s="1" t="s">
        <v>560</v>
      </c>
      <c r="R2530" s="93">
        <v>107.04</v>
      </c>
      <c r="S2530">
        <v>85.65</v>
      </c>
      <c r="T2530">
        <v>0</v>
      </c>
      <c r="U2530" s="1" t="s">
        <v>658</v>
      </c>
      <c r="V2530" s="1"/>
      <c r="W2530">
        <v>107.054</v>
      </c>
      <c r="X2530">
        <v>0</v>
      </c>
      <c r="Y2530">
        <v>56736</v>
      </c>
    </row>
    <row r="2531" spans="1:25" ht="15" hidden="1" customHeight="1" x14ac:dyDescent="0.25">
      <c r="A2531" s="1" t="s">
        <v>35</v>
      </c>
      <c r="B2531" s="1" t="s">
        <v>75</v>
      </c>
      <c r="C2531" s="1" t="s">
        <v>179</v>
      </c>
      <c r="D2531">
        <v>5261</v>
      </c>
      <c r="E2531" s="1"/>
      <c r="F2531" s="1" t="s">
        <v>309</v>
      </c>
      <c r="G2531" s="1" t="s">
        <v>179</v>
      </c>
      <c r="H2531" s="1" t="s">
        <v>1405</v>
      </c>
      <c r="I2531">
        <v>2013</v>
      </c>
      <c r="J2531" s="93">
        <v>7678.83</v>
      </c>
      <c r="K2531">
        <v>12</v>
      </c>
      <c r="L2531" s="1" t="s">
        <v>402</v>
      </c>
      <c r="M2531">
        <v>0</v>
      </c>
      <c r="N2531">
        <v>309</v>
      </c>
      <c r="O2531">
        <v>24.842542000000002</v>
      </c>
      <c r="P2531">
        <v>2</v>
      </c>
      <c r="Q2531" s="1" t="s">
        <v>569</v>
      </c>
      <c r="R2531" s="93">
        <v>7678.83</v>
      </c>
      <c r="S2531">
        <v>3071.54</v>
      </c>
      <c r="T2531">
        <v>0</v>
      </c>
      <c r="U2531" s="1" t="s">
        <v>1048</v>
      </c>
      <c r="V2531" s="1"/>
      <c r="W2531">
        <v>7678.83</v>
      </c>
      <c r="X2531">
        <v>0</v>
      </c>
      <c r="Y2531">
        <v>56734</v>
      </c>
    </row>
    <row r="2532" spans="1:25" ht="15" hidden="1" customHeight="1" x14ac:dyDescent="0.25">
      <c r="A2532" s="1" t="s">
        <v>27</v>
      </c>
      <c r="B2532" s="1"/>
      <c r="C2532" s="1" t="s">
        <v>135</v>
      </c>
      <c r="D2532">
        <v>10019</v>
      </c>
      <c r="E2532" s="1"/>
      <c r="F2532" s="1" t="s">
        <v>275</v>
      </c>
      <c r="G2532" s="1" t="s">
        <v>135</v>
      </c>
      <c r="H2532" s="1" t="s">
        <v>1405</v>
      </c>
      <c r="I2532">
        <v>2014</v>
      </c>
      <c r="J2532" s="93">
        <v>74762.48</v>
      </c>
      <c r="K2532">
        <v>12</v>
      </c>
      <c r="L2532" s="1" t="s">
        <v>432</v>
      </c>
      <c r="M2532">
        <v>0</v>
      </c>
      <c r="N2532">
        <v>598</v>
      </c>
      <c r="O2532">
        <v>124.999966</v>
      </c>
      <c r="P2532">
        <v>1</v>
      </c>
      <c r="Q2532" s="1" t="s">
        <v>564</v>
      </c>
      <c r="R2532" s="93">
        <v>89768.34</v>
      </c>
      <c r="S2532">
        <v>18984.34</v>
      </c>
      <c r="T2532">
        <v>0</v>
      </c>
      <c r="U2532" s="1" t="s">
        <v>785</v>
      </c>
      <c r="V2532" s="1" t="s">
        <v>1196</v>
      </c>
      <c r="W2532">
        <v>6922.4500200000002</v>
      </c>
      <c r="X2532">
        <v>0</v>
      </c>
      <c r="Y2532">
        <v>76533</v>
      </c>
    </row>
    <row r="2533" spans="1:25" ht="15" hidden="1" customHeight="1" x14ac:dyDescent="0.25">
      <c r="A2533" s="1" t="s">
        <v>35</v>
      </c>
      <c r="B2533" s="1"/>
      <c r="C2533" s="1" t="s">
        <v>180</v>
      </c>
      <c r="D2533">
        <v>10318</v>
      </c>
      <c r="E2533" s="1"/>
      <c r="F2533" s="1" t="s">
        <v>310</v>
      </c>
      <c r="G2533" s="1" t="s">
        <v>180</v>
      </c>
      <c r="H2533" s="1" t="s">
        <v>1405</v>
      </c>
      <c r="I2533">
        <v>2014</v>
      </c>
      <c r="J2533" s="93">
        <v>33.5</v>
      </c>
      <c r="K2533">
        <v>12</v>
      </c>
      <c r="L2533" s="1" t="s">
        <v>439</v>
      </c>
      <c r="M2533">
        <v>0</v>
      </c>
      <c r="N2533">
        <v>170</v>
      </c>
      <c r="O2533">
        <v>0.19694200000000001</v>
      </c>
      <c r="P2533">
        <v>3</v>
      </c>
      <c r="Q2533" s="1" t="s">
        <v>560</v>
      </c>
      <c r="R2533" s="93">
        <v>33.5</v>
      </c>
      <c r="S2533">
        <v>26.8</v>
      </c>
      <c r="T2533">
        <v>0</v>
      </c>
      <c r="U2533" s="1" t="s">
        <v>659</v>
      </c>
      <c r="V2533" s="1"/>
      <c r="W2533">
        <v>33.5</v>
      </c>
      <c r="X2533">
        <v>0</v>
      </c>
      <c r="Y2533">
        <v>85095</v>
      </c>
    </row>
    <row r="2534" spans="1:25" ht="15" hidden="1" customHeight="1" x14ac:dyDescent="0.25">
      <c r="A2534" s="1" t="s">
        <v>35</v>
      </c>
      <c r="B2534" s="1"/>
      <c r="C2534" s="1" t="s">
        <v>180</v>
      </c>
      <c r="D2534">
        <v>10318</v>
      </c>
      <c r="E2534" s="1"/>
      <c r="F2534" s="1" t="s">
        <v>310</v>
      </c>
      <c r="G2534" s="1" t="s">
        <v>180</v>
      </c>
      <c r="H2534" s="1" t="s">
        <v>1405</v>
      </c>
      <c r="I2534">
        <v>2014</v>
      </c>
      <c r="J2534" s="93">
        <v>25040</v>
      </c>
      <c r="K2534">
        <v>12</v>
      </c>
      <c r="L2534" s="1" t="s">
        <v>422</v>
      </c>
      <c r="M2534">
        <v>0</v>
      </c>
      <c r="N2534">
        <v>170</v>
      </c>
      <c r="O2534">
        <v>147.20752400000001</v>
      </c>
      <c r="P2534">
        <v>1</v>
      </c>
      <c r="Q2534" s="1" t="s">
        <v>562</v>
      </c>
      <c r="R2534" s="93">
        <v>29877.1</v>
      </c>
      <c r="S2534">
        <v>1912.13</v>
      </c>
      <c r="T2534">
        <v>0</v>
      </c>
      <c r="U2534" s="1" t="s">
        <v>836</v>
      </c>
      <c r="V2534" s="1"/>
      <c r="W2534">
        <v>25039.999800000001</v>
      </c>
      <c r="X2534">
        <v>0</v>
      </c>
      <c r="Y2534">
        <v>95104</v>
      </c>
    </row>
    <row r="2535" spans="1:25" ht="15" hidden="1" customHeight="1" x14ac:dyDescent="0.25">
      <c r="A2535" s="1" t="s">
        <v>35</v>
      </c>
      <c r="B2535" s="1"/>
      <c r="C2535" s="1" t="s">
        <v>180</v>
      </c>
      <c r="D2535">
        <v>10318</v>
      </c>
      <c r="E2535" s="1"/>
      <c r="F2535" s="1" t="s">
        <v>310</v>
      </c>
      <c r="G2535" s="1" t="s">
        <v>180</v>
      </c>
      <c r="H2535" s="1" t="s">
        <v>1405</v>
      </c>
      <c r="I2535">
        <v>2013</v>
      </c>
      <c r="J2535" s="93">
        <v>2488.9499999999998</v>
      </c>
      <c r="K2535">
        <v>12</v>
      </c>
      <c r="L2535" s="1" t="s">
        <v>532</v>
      </c>
      <c r="M2535">
        <v>0</v>
      </c>
      <c r="N2535">
        <v>170</v>
      </c>
      <c r="O2535">
        <v>14.632275</v>
      </c>
      <c r="P2535">
        <v>2</v>
      </c>
      <c r="Q2535" s="1" t="s">
        <v>569</v>
      </c>
      <c r="R2535" s="93">
        <v>2488.9499999999998</v>
      </c>
      <c r="S2535">
        <v>746.69</v>
      </c>
      <c r="T2535">
        <v>0</v>
      </c>
      <c r="U2535" s="1" t="s">
        <v>1049</v>
      </c>
      <c r="V2535" s="1" t="s">
        <v>1315</v>
      </c>
      <c r="W2535">
        <v>2488.9360000000001</v>
      </c>
      <c r="X2535">
        <v>0</v>
      </c>
      <c r="Y2535">
        <v>77792</v>
      </c>
    </row>
    <row r="2536" spans="1:25" ht="15" hidden="1" customHeight="1" x14ac:dyDescent="0.25">
      <c r="A2536" s="1" t="s">
        <v>30</v>
      </c>
      <c r="B2536" s="1" t="s">
        <v>62</v>
      </c>
      <c r="C2536" s="1" t="s">
        <v>138</v>
      </c>
      <c r="D2536">
        <v>5275</v>
      </c>
      <c r="E2536" s="1"/>
      <c r="F2536" s="1" t="s">
        <v>276</v>
      </c>
      <c r="G2536" s="1" t="s">
        <v>276</v>
      </c>
      <c r="H2536" s="1" t="s">
        <v>1405</v>
      </c>
      <c r="I2536">
        <v>2014</v>
      </c>
      <c r="J2536" s="93">
        <v>78278.63</v>
      </c>
      <c r="K2536">
        <v>12</v>
      </c>
      <c r="L2536" s="1" t="s">
        <v>404</v>
      </c>
      <c r="M2536">
        <v>0</v>
      </c>
      <c r="N2536">
        <v>675</v>
      </c>
      <c r="O2536">
        <v>115.951162</v>
      </c>
      <c r="P2536">
        <v>1</v>
      </c>
      <c r="Q2536" s="1" t="s">
        <v>564</v>
      </c>
      <c r="R2536" s="93">
        <v>93232.83</v>
      </c>
      <c r="S2536">
        <v>19717.02</v>
      </c>
      <c r="T2536">
        <v>0</v>
      </c>
      <c r="U2536" s="1" t="s">
        <v>788</v>
      </c>
      <c r="V2536" s="1" t="s">
        <v>1197</v>
      </c>
      <c r="W2536">
        <v>7248.02</v>
      </c>
      <c r="X2536">
        <v>0</v>
      </c>
      <c r="Y2536">
        <v>56856</v>
      </c>
    </row>
    <row r="2537" spans="1:25" ht="15" hidden="1" customHeight="1" x14ac:dyDescent="0.25">
      <c r="A2537" s="1" t="s">
        <v>35</v>
      </c>
      <c r="B2537" s="1"/>
      <c r="C2537" s="1" t="s">
        <v>181</v>
      </c>
      <c r="D2537">
        <v>10273</v>
      </c>
      <c r="E2537" s="1"/>
      <c r="F2537" s="1" t="s">
        <v>311</v>
      </c>
      <c r="G2537" s="1" t="s">
        <v>181</v>
      </c>
      <c r="H2537" s="1" t="s">
        <v>1405</v>
      </c>
      <c r="I2537">
        <v>2014</v>
      </c>
      <c r="J2537" s="93">
        <v>132.69</v>
      </c>
      <c r="K2537">
        <v>12</v>
      </c>
      <c r="L2537" s="1" t="s">
        <v>399</v>
      </c>
      <c r="M2537">
        <v>0</v>
      </c>
      <c r="N2537">
        <v>400</v>
      </c>
      <c r="O2537">
        <v>0.33164199999999999</v>
      </c>
      <c r="P2537">
        <v>3</v>
      </c>
      <c r="Q2537" s="1" t="s">
        <v>560</v>
      </c>
      <c r="R2537" s="93">
        <v>132.69</v>
      </c>
      <c r="S2537">
        <v>106.16</v>
      </c>
      <c r="T2537">
        <v>0</v>
      </c>
      <c r="U2537" s="1" t="s">
        <v>661</v>
      </c>
      <c r="V2537" s="1"/>
      <c r="W2537">
        <v>132.685</v>
      </c>
      <c r="X2537">
        <v>0</v>
      </c>
      <c r="Y2537">
        <v>77660</v>
      </c>
    </row>
    <row r="2538" spans="1:25" ht="15" hidden="1" customHeight="1" x14ac:dyDescent="0.25">
      <c r="A2538" s="1" t="s">
        <v>35</v>
      </c>
      <c r="B2538" s="1"/>
      <c r="C2538" s="1" t="s">
        <v>181</v>
      </c>
      <c r="D2538">
        <v>10273</v>
      </c>
      <c r="E2538" s="1"/>
      <c r="F2538" s="1" t="s">
        <v>311</v>
      </c>
      <c r="G2538" s="1" t="s">
        <v>181</v>
      </c>
      <c r="H2538" s="1" t="s">
        <v>1405</v>
      </c>
      <c r="I2538">
        <v>2014</v>
      </c>
      <c r="J2538" s="93">
        <v>43733</v>
      </c>
      <c r="K2538">
        <v>12</v>
      </c>
      <c r="L2538" s="1" t="s">
        <v>459</v>
      </c>
      <c r="M2538">
        <v>0</v>
      </c>
      <c r="N2538">
        <v>400</v>
      </c>
      <c r="O2538">
        <v>109.305173</v>
      </c>
      <c r="P2538">
        <v>1</v>
      </c>
      <c r="Q2538" s="1" t="s">
        <v>562</v>
      </c>
      <c r="R2538" s="93">
        <v>52607.78</v>
      </c>
      <c r="S2538">
        <v>3366.9</v>
      </c>
      <c r="T2538">
        <v>0</v>
      </c>
      <c r="U2538" s="1" t="s">
        <v>837</v>
      </c>
      <c r="V2538" s="1"/>
      <c r="W2538">
        <v>43733</v>
      </c>
      <c r="X2538">
        <v>0</v>
      </c>
      <c r="Y2538">
        <v>77661</v>
      </c>
    </row>
    <row r="2539" spans="1:25" ht="15" hidden="1" customHeight="1" x14ac:dyDescent="0.25">
      <c r="A2539" s="1" t="s">
        <v>35</v>
      </c>
      <c r="B2539" s="1"/>
      <c r="C2539" s="1" t="s">
        <v>181</v>
      </c>
      <c r="D2539">
        <v>10273</v>
      </c>
      <c r="E2539" s="1"/>
      <c r="F2539" s="1" t="s">
        <v>311</v>
      </c>
      <c r="G2539" s="1" t="s">
        <v>181</v>
      </c>
      <c r="H2539" s="1" t="s">
        <v>1405</v>
      </c>
      <c r="I2539">
        <v>2013</v>
      </c>
      <c r="J2539" s="93">
        <v>14268.89</v>
      </c>
      <c r="K2539">
        <v>12</v>
      </c>
      <c r="L2539" s="1" t="s">
        <v>399</v>
      </c>
      <c r="M2539">
        <v>0</v>
      </c>
      <c r="N2539">
        <v>400</v>
      </c>
      <c r="O2539">
        <v>35.663308999999998</v>
      </c>
      <c r="P2539">
        <v>2</v>
      </c>
      <c r="Q2539" s="1" t="s">
        <v>569</v>
      </c>
      <c r="R2539" s="93">
        <v>14268.89</v>
      </c>
      <c r="S2539">
        <v>4280.68</v>
      </c>
      <c r="T2539">
        <v>0</v>
      </c>
      <c r="U2539" s="1" t="s">
        <v>1050</v>
      </c>
      <c r="V2539" s="1" t="s">
        <v>1316</v>
      </c>
      <c r="W2539">
        <v>14268.880999999999</v>
      </c>
      <c r="X2539">
        <v>0</v>
      </c>
      <c r="Y2539">
        <v>77659</v>
      </c>
    </row>
    <row r="2540" spans="1:25" ht="15" hidden="1" customHeight="1" x14ac:dyDescent="0.25">
      <c r="A2540" s="1" t="s">
        <v>35</v>
      </c>
      <c r="B2540" s="1" t="s">
        <v>75</v>
      </c>
      <c r="C2540" s="1" t="s">
        <v>179</v>
      </c>
      <c r="D2540">
        <v>5261</v>
      </c>
      <c r="E2540" s="1"/>
      <c r="F2540" s="1" t="s">
        <v>309</v>
      </c>
      <c r="G2540" s="1" t="s">
        <v>179</v>
      </c>
      <c r="H2540" s="1" t="s">
        <v>1405</v>
      </c>
      <c r="I2540">
        <v>2015</v>
      </c>
      <c r="J2540" s="93">
        <v>36399</v>
      </c>
      <c r="K2540">
        <v>5</v>
      </c>
      <c r="L2540" s="1" t="s">
        <v>402</v>
      </c>
      <c r="M2540">
        <v>0</v>
      </c>
      <c r="N2540">
        <v>309</v>
      </c>
      <c r="O2540">
        <v>58.220058000000002</v>
      </c>
      <c r="P2540">
        <v>1</v>
      </c>
      <c r="Q2540" s="1" t="s">
        <v>564</v>
      </c>
      <c r="R2540" s="93">
        <v>40592</v>
      </c>
      <c r="S2540">
        <v>4143.2700000000004</v>
      </c>
      <c r="T2540">
        <v>0</v>
      </c>
      <c r="U2540" s="1" t="s">
        <v>835</v>
      </c>
      <c r="V2540" s="1" t="s">
        <v>1215</v>
      </c>
      <c r="W2540">
        <v>1666.28</v>
      </c>
      <c r="X2540">
        <v>0</v>
      </c>
      <c r="Y2540">
        <v>56735</v>
      </c>
    </row>
    <row r="2541" spans="1:25" ht="15" hidden="1" customHeight="1" x14ac:dyDescent="0.25">
      <c r="A2541" s="1" t="s">
        <v>35</v>
      </c>
      <c r="B2541" s="1" t="s">
        <v>75</v>
      </c>
      <c r="C2541" s="1" t="s">
        <v>179</v>
      </c>
      <c r="D2541">
        <v>5261</v>
      </c>
      <c r="E2541" s="1"/>
      <c r="F2541" s="1" t="s">
        <v>309</v>
      </c>
      <c r="G2541" s="1" t="s">
        <v>179</v>
      </c>
      <c r="H2541" s="1" t="s">
        <v>1405</v>
      </c>
      <c r="I2541">
        <v>2013</v>
      </c>
      <c r="J2541" s="93">
        <v>42339.57</v>
      </c>
      <c r="K2541">
        <v>12</v>
      </c>
      <c r="L2541" s="1" t="s">
        <v>402</v>
      </c>
      <c r="M2541">
        <v>0</v>
      </c>
      <c r="N2541">
        <v>309</v>
      </c>
      <c r="O2541">
        <v>136.976933</v>
      </c>
      <c r="P2541">
        <v>1</v>
      </c>
      <c r="Q2541" s="1" t="s">
        <v>564</v>
      </c>
      <c r="R2541" s="93">
        <v>43306.74</v>
      </c>
      <c r="S2541">
        <v>9158.59</v>
      </c>
      <c r="T2541">
        <v>0</v>
      </c>
      <c r="U2541" s="1" t="s">
        <v>835</v>
      </c>
      <c r="V2541" s="1" t="s">
        <v>1215</v>
      </c>
      <c r="W2541">
        <v>3920.33</v>
      </c>
      <c r="X2541">
        <v>0</v>
      </c>
      <c r="Y2541">
        <v>56735</v>
      </c>
    </row>
    <row r="2542" spans="1:25" ht="15" hidden="1" customHeight="1" x14ac:dyDescent="0.25">
      <c r="A2542" s="1" t="s">
        <v>35</v>
      </c>
      <c r="B2542" s="1" t="s">
        <v>75</v>
      </c>
      <c r="C2542" s="1" t="s">
        <v>179</v>
      </c>
      <c r="D2542">
        <v>5261</v>
      </c>
      <c r="E2542" s="1"/>
      <c r="F2542" s="1" t="s">
        <v>309</v>
      </c>
      <c r="G2542" s="1" t="s">
        <v>179</v>
      </c>
      <c r="H2542" s="1" t="s">
        <v>1405</v>
      </c>
      <c r="I2542">
        <v>2012</v>
      </c>
      <c r="J2542" s="93">
        <v>45062.8</v>
      </c>
      <c r="K2542">
        <v>12</v>
      </c>
      <c r="L2542" s="1" t="s">
        <v>402</v>
      </c>
      <c r="M2542">
        <v>0</v>
      </c>
      <c r="N2542">
        <v>309</v>
      </c>
      <c r="O2542">
        <v>145.78712300000001</v>
      </c>
      <c r="P2542">
        <v>1</v>
      </c>
      <c r="Q2542" s="1" t="s">
        <v>564</v>
      </c>
      <c r="R2542" s="93">
        <v>46687.96</v>
      </c>
      <c r="S2542">
        <v>9873.6299999999992</v>
      </c>
      <c r="T2542">
        <v>0</v>
      </c>
      <c r="U2542" s="1" t="s">
        <v>835</v>
      </c>
      <c r="V2542" s="1" t="s">
        <v>1215</v>
      </c>
      <c r="W2542">
        <v>4172.4799999999996</v>
      </c>
      <c r="X2542">
        <v>0</v>
      </c>
      <c r="Y2542">
        <v>56735</v>
      </c>
    </row>
    <row r="2543" spans="1:25" ht="15" hidden="1" customHeight="1" x14ac:dyDescent="0.25">
      <c r="A2543" s="1" t="s">
        <v>35</v>
      </c>
      <c r="B2543" s="1" t="s">
        <v>75</v>
      </c>
      <c r="C2543" s="1" t="s">
        <v>179</v>
      </c>
      <c r="D2543">
        <v>5261</v>
      </c>
      <c r="E2543" s="1"/>
      <c r="F2543" s="1" t="s">
        <v>309</v>
      </c>
      <c r="G2543" s="1" t="s">
        <v>179</v>
      </c>
      <c r="H2543" s="1" t="s">
        <v>1405</v>
      </c>
      <c r="I2543">
        <v>2011</v>
      </c>
      <c r="J2543" s="93">
        <v>41182.379999999997</v>
      </c>
      <c r="K2543">
        <v>12</v>
      </c>
      <c r="L2543" s="1" t="s">
        <v>402</v>
      </c>
      <c r="M2543">
        <v>0</v>
      </c>
      <c r="N2543">
        <v>309</v>
      </c>
      <c r="O2543">
        <v>133.233193</v>
      </c>
      <c r="P2543">
        <v>1</v>
      </c>
      <c r="Q2543" s="1" t="s">
        <v>564</v>
      </c>
      <c r="R2543" s="93">
        <v>43953.8</v>
      </c>
      <c r="S2543">
        <v>9295.42</v>
      </c>
      <c r="T2543">
        <v>0</v>
      </c>
      <c r="U2543" s="1" t="s">
        <v>835</v>
      </c>
      <c r="V2543" s="1" t="s">
        <v>1215</v>
      </c>
      <c r="W2543">
        <v>3813.1824000000001</v>
      </c>
      <c r="X2543">
        <v>0</v>
      </c>
      <c r="Y2543">
        <v>56735</v>
      </c>
    </row>
    <row r="2544" spans="1:25" ht="15" hidden="1" customHeight="1" x14ac:dyDescent="0.25">
      <c r="A2544" s="1" t="s">
        <v>35</v>
      </c>
      <c r="B2544" s="1" t="s">
        <v>75</v>
      </c>
      <c r="C2544" s="1" t="s">
        <v>179</v>
      </c>
      <c r="D2544">
        <v>5261</v>
      </c>
      <c r="E2544" s="1"/>
      <c r="F2544" s="1" t="s">
        <v>309</v>
      </c>
      <c r="G2544" s="1" t="s">
        <v>179</v>
      </c>
      <c r="H2544" s="1" t="s">
        <v>1405</v>
      </c>
      <c r="I2544">
        <v>2010</v>
      </c>
      <c r="J2544" s="93">
        <v>44491.22</v>
      </c>
      <c r="K2544">
        <v>12</v>
      </c>
      <c r="L2544" s="1" t="s">
        <v>402</v>
      </c>
      <c r="M2544">
        <v>0</v>
      </c>
      <c r="N2544">
        <v>309</v>
      </c>
      <c r="O2544">
        <v>143.93794800000001</v>
      </c>
      <c r="P2544">
        <v>1</v>
      </c>
      <c r="Q2544" s="1" t="s">
        <v>564</v>
      </c>
      <c r="R2544" s="93">
        <v>54097.98</v>
      </c>
      <c r="S2544">
        <v>11440.72</v>
      </c>
      <c r="T2544">
        <v>0</v>
      </c>
      <c r="U2544" s="1" t="s">
        <v>835</v>
      </c>
      <c r="V2544" s="1" t="s">
        <v>1215</v>
      </c>
      <c r="W2544">
        <v>4119.5577999999996</v>
      </c>
      <c r="X2544">
        <v>0</v>
      </c>
      <c r="Y2544">
        <v>56735</v>
      </c>
    </row>
    <row r="2545" spans="1:25" ht="15" hidden="1" customHeight="1" x14ac:dyDescent="0.25">
      <c r="A2545" s="1" t="s">
        <v>35</v>
      </c>
      <c r="B2545" s="1" t="s">
        <v>75</v>
      </c>
      <c r="C2545" s="1" t="s">
        <v>179</v>
      </c>
      <c r="D2545">
        <v>5261</v>
      </c>
      <c r="E2545" s="1"/>
      <c r="F2545" s="1" t="s">
        <v>309</v>
      </c>
      <c r="G2545" s="1" t="s">
        <v>179</v>
      </c>
      <c r="H2545" s="1" t="s">
        <v>1405</v>
      </c>
      <c r="I2545">
        <v>2009</v>
      </c>
      <c r="J2545" s="93">
        <v>36598.29</v>
      </c>
      <c r="K2545">
        <v>12</v>
      </c>
      <c r="L2545" s="1" t="s">
        <v>402</v>
      </c>
      <c r="M2545">
        <v>0</v>
      </c>
      <c r="N2545">
        <v>309</v>
      </c>
      <c r="O2545">
        <v>118.402749</v>
      </c>
      <c r="P2545">
        <v>1</v>
      </c>
      <c r="Q2545" s="1" t="s">
        <v>564</v>
      </c>
      <c r="R2545" s="93">
        <v>38641.339999999997</v>
      </c>
      <c r="S2545">
        <v>8171.93</v>
      </c>
      <c r="T2545">
        <v>0</v>
      </c>
      <c r="U2545" s="1" t="s">
        <v>835</v>
      </c>
      <c r="V2545" s="1" t="s">
        <v>1215</v>
      </c>
      <c r="W2545">
        <v>3388.73</v>
      </c>
      <c r="X2545">
        <v>0</v>
      </c>
      <c r="Y2545">
        <v>56735</v>
      </c>
    </row>
    <row r="2546" spans="1:25" ht="15" hidden="1" customHeight="1" x14ac:dyDescent="0.25">
      <c r="A2546" s="1" t="s">
        <v>35</v>
      </c>
      <c r="B2546" s="1" t="s">
        <v>75</v>
      </c>
      <c r="C2546" s="1" t="s">
        <v>179</v>
      </c>
      <c r="D2546">
        <v>5261</v>
      </c>
      <c r="E2546" s="1"/>
      <c r="F2546" s="1" t="s">
        <v>309</v>
      </c>
      <c r="G2546" s="1" t="s">
        <v>179</v>
      </c>
      <c r="H2546" s="1" t="s">
        <v>1405</v>
      </c>
      <c r="I2546">
        <v>2008</v>
      </c>
      <c r="J2546" s="93">
        <v>46266.34</v>
      </c>
      <c r="K2546">
        <v>12</v>
      </c>
      <c r="L2546" s="1" t="s">
        <v>402</v>
      </c>
      <c r="M2546">
        <v>0</v>
      </c>
      <c r="N2546">
        <v>309</v>
      </c>
      <c r="O2546">
        <v>149.680815</v>
      </c>
      <c r="P2546">
        <v>1</v>
      </c>
      <c r="Q2546" s="1" t="s">
        <v>564</v>
      </c>
      <c r="R2546" s="93">
        <v>51333.81</v>
      </c>
      <c r="S2546">
        <v>10856.13</v>
      </c>
      <c r="T2546">
        <v>0</v>
      </c>
      <c r="U2546" s="1" t="s">
        <v>835</v>
      </c>
      <c r="V2546" s="1" t="s">
        <v>1215</v>
      </c>
      <c r="W2546">
        <v>4283.92</v>
      </c>
      <c r="X2546">
        <v>0</v>
      </c>
      <c r="Y2546">
        <v>56735</v>
      </c>
    </row>
    <row r="2547" spans="1:25" ht="15" hidden="1" customHeight="1" x14ac:dyDescent="0.25">
      <c r="A2547" s="1" t="s">
        <v>35</v>
      </c>
      <c r="B2547" s="1"/>
      <c r="C2547" s="1" t="s">
        <v>180</v>
      </c>
      <c r="D2547">
        <v>10318</v>
      </c>
      <c r="E2547" s="1"/>
      <c r="F2547" s="1" t="s">
        <v>310</v>
      </c>
      <c r="G2547" s="1" t="s">
        <v>180</v>
      </c>
      <c r="H2547" s="1" t="s">
        <v>1405</v>
      </c>
      <c r="I2547">
        <v>2015</v>
      </c>
      <c r="J2547" s="93">
        <v>26698</v>
      </c>
      <c r="K2547">
        <v>5</v>
      </c>
      <c r="L2547" s="1" t="s">
        <v>422</v>
      </c>
      <c r="M2547">
        <v>0</v>
      </c>
      <c r="N2547">
        <v>170</v>
      </c>
      <c r="O2547">
        <v>100.45855299999999</v>
      </c>
      <c r="P2547">
        <v>1</v>
      </c>
      <c r="Q2547" s="1" t="s">
        <v>562</v>
      </c>
      <c r="R2547" s="93">
        <v>30458</v>
      </c>
      <c r="S2547">
        <v>1231.83</v>
      </c>
      <c r="T2547">
        <v>0</v>
      </c>
      <c r="U2547" s="1" t="s">
        <v>836</v>
      </c>
      <c r="V2547" s="1"/>
      <c r="W2547">
        <v>17088</v>
      </c>
      <c r="X2547">
        <v>0</v>
      </c>
      <c r="Y2547">
        <v>95104</v>
      </c>
    </row>
    <row r="2548" spans="1:25" ht="15" hidden="1" customHeight="1" x14ac:dyDescent="0.25">
      <c r="A2548" s="1" t="s">
        <v>35</v>
      </c>
      <c r="B2548" s="1"/>
      <c r="C2548" s="1" t="s">
        <v>180</v>
      </c>
      <c r="D2548">
        <v>10318</v>
      </c>
      <c r="E2548" s="1"/>
      <c r="F2548" s="1" t="s">
        <v>310</v>
      </c>
      <c r="G2548" s="1" t="s">
        <v>180</v>
      </c>
      <c r="H2548" s="1" t="s">
        <v>1405</v>
      </c>
      <c r="I2548">
        <v>2015</v>
      </c>
      <c r="J2548" s="93">
        <v>0</v>
      </c>
      <c r="K2548">
        <v>5</v>
      </c>
      <c r="L2548" s="1" t="s">
        <v>405</v>
      </c>
      <c r="M2548">
        <v>0</v>
      </c>
      <c r="N2548">
        <v>170</v>
      </c>
      <c r="O2548">
        <v>0</v>
      </c>
      <c r="P2548">
        <v>1</v>
      </c>
      <c r="Q2548" s="1" t="s">
        <v>564</v>
      </c>
      <c r="R2548" s="93">
        <v>0</v>
      </c>
      <c r="S2548">
        <v>0</v>
      </c>
      <c r="T2548">
        <v>0</v>
      </c>
      <c r="U2548" s="1" t="s">
        <v>810</v>
      </c>
      <c r="V2548" s="1" t="s">
        <v>1216</v>
      </c>
      <c r="W2548">
        <v>0</v>
      </c>
      <c r="X2548">
        <v>0</v>
      </c>
      <c r="Y2548">
        <v>77794</v>
      </c>
    </row>
    <row r="2549" spans="1:25" ht="15" hidden="1" customHeight="1" x14ac:dyDescent="0.25">
      <c r="A2549" s="1" t="s">
        <v>35</v>
      </c>
      <c r="B2549" s="1"/>
      <c r="C2549" s="1" t="s">
        <v>180</v>
      </c>
      <c r="D2549">
        <v>10318</v>
      </c>
      <c r="E2549" s="1"/>
      <c r="F2549" s="1" t="s">
        <v>310</v>
      </c>
      <c r="G2549" s="1" t="s">
        <v>180</v>
      </c>
      <c r="H2549" s="1" t="s">
        <v>1405</v>
      </c>
      <c r="I2549">
        <v>2013</v>
      </c>
      <c r="J2549" s="93">
        <v>4971</v>
      </c>
      <c r="K2549">
        <v>3</v>
      </c>
      <c r="L2549" s="1" t="s">
        <v>422</v>
      </c>
      <c r="M2549">
        <v>0</v>
      </c>
      <c r="N2549">
        <v>170</v>
      </c>
      <c r="O2549">
        <v>29.223984999999999</v>
      </c>
      <c r="P2549">
        <v>1</v>
      </c>
      <c r="Q2549" s="1" t="s">
        <v>562</v>
      </c>
      <c r="R2549" s="93">
        <v>5686.6</v>
      </c>
      <c r="S2549">
        <v>363.94</v>
      </c>
      <c r="T2549">
        <v>0</v>
      </c>
      <c r="U2549" s="1" t="s">
        <v>836</v>
      </c>
      <c r="V2549" s="1"/>
      <c r="W2549">
        <v>4971</v>
      </c>
      <c r="X2549">
        <v>0</v>
      </c>
      <c r="Y2549">
        <v>95104</v>
      </c>
    </row>
    <row r="2550" spans="1:25" ht="15" hidden="1" customHeight="1" x14ac:dyDescent="0.25">
      <c r="A2550" s="1" t="s">
        <v>35</v>
      </c>
      <c r="B2550" s="1"/>
      <c r="C2550" s="1" t="s">
        <v>180</v>
      </c>
      <c r="D2550">
        <v>10318</v>
      </c>
      <c r="E2550" s="1"/>
      <c r="F2550" s="1" t="s">
        <v>310</v>
      </c>
      <c r="G2550" s="1" t="s">
        <v>180</v>
      </c>
      <c r="H2550" s="1" t="s">
        <v>1405</v>
      </c>
      <c r="I2550">
        <v>2013</v>
      </c>
      <c r="J2550" s="93">
        <v>21800.76</v>
      </c>
      <c r="K2550">
        <v>12</v>
      </c>
      <c r="L2550" s="1" t="s">
        <v>405</v>
      </c>
      <c r="M2550">
        <v>0</v>
      </c>
      <c r="N2550">
        <v>170</v>
      </c>
      <c r="O2550">
        <v>128.16437300000001</v>
      </c>
      <c r="P2550">
        <v>1</v>
      </c>
      <c r="Q2550" s="1" t="s">
        <v>564</v>
      </c>
      <c r="R2550" s="93">
        <v>21875.47</v>
      </c>
      <c r="S2550">
        <v>4626.25</v>
      </c>
      <c r="T2550">
        <v>0</v>
      </c>
      <c r="U2550" s="1" t="s">
        <v>810</v>
      </c>
      <c r="V2550" s="1" t="s">
        <v>1216</v>
      </c>
      <c r="W2550">
        <v>2018.59</v>
      </c>
      <c r="X2550">
        <v>0</v>
      </c>
      <c r="Y2550">
        <v>77794</v>
      </c>
    </row>
    <row r="2551" spans="1:25" ht="15" hidden="1" customHeight="1" x14ac:dyDescent="0.25">
      <c r="A2551" s="1" t="s">
        <v>35</v>
      </c>
      <c r="B2551" s="1"/>
      <c r="C2551" s="1" t="s">
        <v>180</v>
      </c>
      <c r="D2551">
        <v>10318</v>
      </c>
      <c r="E2551" s="1"/>
      <c r="F2551" s="1" t="s">
        <v>310</v>
      </c>
      <c r="G2551" s="1" t="s">
        <v>180</v>
      </c>
      <c r="H2551" s="1" t="s">
        <v>1405</v>
      </c>
      <c r="I2551">
        <v>2012</v>
      </c>
      <c r="J2551" s="93">
        <v>29988.79</v>
      </c>
      <c r="K2551">
        <v>12</v>
      </c>
      <c r="L2551" s="1" t="s">
        <v>405</v>
      </c>
      <c r="M2551">
        <v>0</v>
      </c>
      <c r="N2551">
        <v>170</v>
      </c>
      <c r="O2551">
        <v>176.30094</v>
      </c>
      <c r="P2551">
        <v>1</v>
      </c>
      <c r="Q2551" s="1" t="s">
        <v>564</v>
      </c>
      <c r="R2551" s="93">
        <v>31540.18</v>
      </c>
      <c r="S2551">
        <v>6670.16</v>
      </c>
      <c r="T2551">
        <v>0</v>
      </c>
      <c r="U2551" s="1" t="s">
        <v>810</v>
      </c>
      <c r="V2551" s="1" t="s">
        <v>1216</v>
      </c>
      <c r="W2551">
        <v>2776.74</v>
      </c>
      <c r="X2551">
        <v>0</v>
      </c>
      <c r="Y2551">
        <v>77794</v>
      </c>
    </row>
    <row r="2552" spans="1:25" ht="15" hidden="1" customHeight="1" x14ac:dyDescent="0.25">
      <c r="A2552" s="1" t="s">
        <v>35</v>
      </c>
      <c r="B2552" s="1"/>
      <c r="C2552" s="1" t="s">
        <v>180</v>
      </c>
      <c r="D2552">
        <v>10318</v>
      </c>
      <c r="E2552" s="1"/>
      <c r="F2552" s="1" t="s">
        <v>310</v>
      </c>
      <c r="G2552" s="1" t="s">
        <v>180</v>
      </c>
      <c r="H2552" s="1" t="s">
        <v>1405</v>
      </c>
      <c r="I2552">
        <v>2011</v>
      </c>
      <c r="J2552" s="93">
        <v>27484.38</v>
      </c>
      <c r="K2552">
        <v>12</v>
      </c>
      <c r="L2552" s="1" t="s">
        <v>405</v>
      </c>
      <c r="M2552">
        <v>0</v>
      </c>
      <c r="N2552">
        <v>170</v>
      </c>
      <c r="O2552">
        <v>161.577777</v>
      </c>
      <c r="P2552">
        <v>1</v>
      </c>
      <c r="Q2552" s="1" t="s">
        <v>564</v>
      </c>
      <c r="R2552" s="93">
        <v>30089.39</v>
      </c>
      <c r="S2552">
        <v>6363.35</v>
      </c>
      <c r="T2552">
        <v>0</v>
      </c>
      <c r="U2552" s="1" t="s">
        <v>810</v>
      </c>
      <c r="V2552" s="1" t="s">
        <v>1216</v>
      </c>
      <c r="W2552">
        <v>2544.85</v>
      </c>
      <c r="X2552">
        <v>0</v>
      </c>
      <c r="Y2552">
        <v>77794</v>
      </c>
    </row>
    <row r="2553" spans="1:25" ht="15" hidden="1" customHeight="1" x14ac:dyDescent="0.25">
      <c r="A2553" s="1" t="s">
        <v>35</v>
      </c>
      <c r="B2553" s="1"/>
      <c r="C2553" s="1" t="s">
        <v>180</v>
      </c>
      <c r="D2553">
        <v>10318</v>
      </c>
      <c r="E2553" s="1"/>
      <c r="F2553" s="1" t="s">
        <v>310</v>
      </c>
      <c r="G2553" s="1" t="s">
        <v>180</v>
      </c>
      <c r="H2553" s="1" t="s">
        <v>1405</v>
      </c>
      <c r="I2553">
        <v>2010</v>
      </c>
      <c r="J2553" s="93">
        <v>26191.759999999998</v>
      </c>
      <c r="K2553">
        <v>7</v>
      </c>
      <c r="L2553" s="1" t="s">
        <v>405</v>
      </c>
      <c r="M2553">
        <v>0</v>
      </c>
      <c r="N2553">
        <v>170</v>
      </c>
      <c r="O2553">
        <v>153.9786</v>
      </c>
      <c r="P2553">
        <v>1</v>
      </c>
      <c r="Q2553" s="1" t="s">
        <v>564</v>
      </c>
      <c r="R2553" s="93">
        <v>24242.62</v>
      </c>
      <c r="S2553">
        <v>5126.8500000000004</v>
      </c>
      <c r="T2553">
        <v>0</v>
      </c>
      <c r="U2553" s="1" t="s">
        <v>810</v>
      </c>
      <c r="V2553" s="1" t="s">
        <v>1216</v>
      </c>
      <c r="W2553">
        <v>2425.16212</v>
      </c>
      <c r="X2553">
        <v>0</v>
      </c>
      <c r="Y2553">
        <v>77794</v>
      </c>
    </row>
    <row r="2554" spans="1:25" ht="15" hidden="1" customHeight="1" x14ac:dyDescent="0.25">
      <c r="A2554" s="1" t="s">
        <v>35</v>
      </c>
      <c r="B2554" s="1"/>
      <c r="C2554" s="1" t="s">
        <v>180</v>
      </c>
      <c r="D2554">
        <v>10318</v>
      </c>
      <c r="E2554" s="1"/>
      <c r="F2554" s="1" t="s">
        <v>310</v>
      </c>
      <c r="G2554" s="1" t="s">
        <v>180</v>
      </c>
      <c r="H2554" s="1" t="s">
        <v>1405</v>
      </c>
      <c r="I2554">
        <v>2009</v>
      </c>
      <c r="J2554" s="93">
        <v>32773.46</v>
      </c>
      <c r="K2554">
        <v>2</v>
      </c>
      <c r="L2554" s="1" t="s">
        <v>405</v>
      </c>
      <c r="M2554">
        <v>0</v>
      </c>
      <c r="N2554">
        <v>170</v>
      </c>
      <c r="O2554">
        <v>192.67172199999999</v>
      </c>
      <c r="P2554">
        <v>1</v>
      </c>
      <c r="Q2554" s="1" t="s">
        <v>564</v>
      </c>
      <c r="R2554" s="93">
        <v>44780.6</v>
      </c>
      <c r="S2554">
        <v>9470.26</v>
      </c>
      <c r="T2554">
        <v>0</v>
      </c>
      <c r="U2554" s="1" t="s">
        <v>810</v>
      </c>
      <c r="V2554" s="1" t="s">
        <v>1216</v>
      </c>
      <c r="W2554">
        <v>3034.5788699999998</v>
      </c>
      <c r="X2554">
        <v>0</v>
      </c>
      <c r="Y2554">
        <v>77794</v>
      </c>
    </row>
    <row r="2555" spans="1:25" ht="15" hidden="1" customHeight="1" x14ac:dyDescent="0.25">
      <c r="A2555" s="1" t="s">
        <v>35</v>
      </c>
      <c r="B2555" s="1"/>
      <c r="C2555" s="1" t="s">
        <v>180</v>
      </c>
      <c r="D2555">
        <v>10318</v>
      </c>
      <c r="E2555" s="1"/>
      <c r="F2555" s="1" t="s">
        <v>310</v>
      </c>
      <c r="G2555" s="1" t="s">
        <v>180</v>
      </c>
      <c r="H2555" s="1" t="s">
        <v>1405</v>
      </c>
      <c r="I2555">
        <v>2008</v>
      </c>
      <c r="J2555" s="93">
        <v>15695.95</v>
      </c>
      <c r="K2555">
        <v>3</v>
      </c>
      <c r="L2555" s="1" t="s">
        <v>405</v>
      </c>
      <c r="M2555">
        <v>0</v>
      </c>
      <c r="N2555">
        <v>170</v>
      </c>
      <c r="O2555">
        <v>92.274838000000003</v>
      </c>
      <c r="P2555">
        <v>1</v>
      </c>
      <c r="Q2555" s="1" t="s">
        <v>564</v>
      </c>
      <c r="R2555" s="93">
        <v>17194.79</v>
      </c>
      <c r="S2555">
        <v>3636.39</v>
      </c>
      <c r="T2555">
        <v>0</v>
      </c>
      <c r="U2555" s="1" t="s">
        <v>810</v>
      </c>
      <c r="V2555" s="1" t="s">
        <v>1216</v>
      </c>
      <c r="W2555">
        <v>1453.3278600000001</v>
      </c>
      <c r="X2555">
        <v>0</v>
      </c>
      <c r="Y2555">
        <v>77794</v>
      </c>
    </row>
    <row r="2556" spans="1:25" ht="15" hidden="1" customHeight="1" x14ac:dyDescent="0.25">
      <c r="A2556" s="1" t="s">
        <v>35</v>
      </c>
      <c r="B2556" s="1"/>
      <c r="C2556" s="1" t="s">
        <v>181</v>
      </c>
      <c r="D2556">
        <v>10273</v>
      </c>
      <c r="E2556" s="1"/>
      <c r="F2556" s="1" t="s">
        <v>311</v>
      </c>
      <c r="G2556" s="1" t="s">
        <v>181</v>
      </c>
      <c r="H2556" s="1" t="s">
        <v>1405</v>
      </c>
      <c r="I2556">
        <v>2015</v>
      </c>
      <c r="J2556" s="93">
        <v>43756</v>
      </c>
      <c r="K2556">
        <v>5</v>
      </c>
      <c r="L2556" s="1" t="s">
        <v>459</v>
      </c>
      <c r="M2556">
        <v>0</v>
      </c>
      <c r="N2556">
        <v>400</v>
      </c>
      <c r="O2556">
        <v>63.954011000000001</v>
      </c>
      <c r="P2556">
        <v>1</v>
      </c>
      <c r="Q2556" s="1" t="s">
        <v>562</v>
      </c>
      <c r="R2556" s="93">
        <v>50572</v>
      </c>
      <c r="S2556">
        <v>1853.7</v>
      </c>
      <c r="T2556">
        <v>0</v>
      </c>
      <c r="U2556" s="1" t="s">
        <v>837</v>
      </c>
      <c r="V2556" s="1"/>
      <c r="W2556">
        <v>25588</v>
      </c>
      <c r="X2556">
        <v>0</v>
      </c>
      <c r="Y2556">
        <v>77661</v>
      </c>
    </row>
    <row r="2557" spans="1:25" ht="15" hidden="1" customHeight="1" x14ac:dyDescent="0.25">
      <c r="A2557" s="1" t="s">
        <v>35</v>
      </c>
      <c r="B2557" s="1"/>
      <c r="C2557" s="1" t="s">
        <v>181</v>
      </c>
      <c r="D2557">
        <v>10273</v>
      </c>
      <c r="E2557" s="1"/>
      <c r="F2557" s="1" t="s">
        <v>311</v>
      </c>
      <c r="G2557" s="1" t="s">
        <v>181</v>
      </c>
      <c r="H2557" s="1" t="s">
        <v>1405</v>
      </c>
      <c r="I2557">
        <v>2013</v>
      </c>
      <c r="J2557" s="93">
        <v>51975.13</v>
      </c>
      <c r="K2557">
        <v>12</v>
      </c>
      <c r="L2557" s="1" t="s">
        <v>459</v>
      </c>
      <c r="M2557">
        <v>0</v>
      </c>
      <c r="N2557">
        <v>400</v>
      </c>
      <c r="O2557">
        <v>129.905348</v>
      </c>
      <c r="P2557">
        <v>1</v>
      </c>
      <c r="Q2557" s="1" t="s">
        <v>562</v>
      </c>
      <c r="R2557" s="93">
        <v>54449.69</v>
      </c>
      <c r="S2557">
        <v>3484.79</v>
      </c>
      <c r="T2557">
        <v>0</v>
      </c>
      <c r="U2557" s="1" t="s">
        <v>837</v>
      </c>
      <c r="V2557" s="1"/>
      <c r="W2557">
        <v>51975.125</v>
      </c>
      <c r="X2557">
        <v>0</v>
      </c>
      <c r="Y2557">
        <v>77661</v>
      </c>
    </row>
    <row r="2558" spans="1:25" ht="15" hidden="1" customHeight="1" x14ac:dyDescent="0.25">
      <c r="A2558" s="1" t="s">
        <v>35</v>
      </c>
      <c r="B2558" s="1"/>
      <c r="C2558" s="1" t="s">
        <v>181</v>
      </c>
      <c r="D2558">
        <v>10273</v>
      </c>
      <c r="E2558" s="1"/>
      <c r="F2558" s="1" t="s">
        <v>311</v>
      </c>
      <c r="G2558" s="1" t="s">
        <v>181</v>
      </c>
      <c r="H2558" s="1" t="s">
        <v>1405</v>
      </c>
      <c r="I2558">
        <v>2012</v>
      </c>
      <c r="J2558" s="93">
        <v>54507.76</v>
      </c>
      <c r="K2558">
        <v>14</v>
      </c>
      <c r="L2558" s="1" t="s">
        <v>459</v>
      </c>
      <c r="M2558">
        <v>0</v>
      </c>
      <c r="N2558">
        <v>400</v>
      </c>
      <c r="O2558">
        <v>136.23534100000001</v>
      </c>
      <c r="P2558">
        <v>1</v>
      </c>
      <c r="Q2558" s="1" t="s">
        <v>562</v>
      </c>
      <c r="R2558" s="93">
        <v>57532.12</v>
      </c>
      <c r="S2558">
        <v>10643.43</v>
      </c>
      <c r="T2558">
        <v>0</v>
      </c>
      <c r="U2558" s="1" t="s">
        <v>837</v>
      </c>
      <c r="V2558" s="1"/>
      <c r="W2558">
        <v>54507.763890000002</v>
      </c>
      <c r="X2558">
        <v>0</v>
      </c>
      <c r="Y2558">
        <v>77661</v>
      </c>
    </row>
    <row r="2559" spans="1:25" ht="15" hidden="1" customHeight="1" x14ac:dyDescent="0.25">
      <c r="A2559" s="1" t="s">
        <v>35</v>
      </c>
      <c r="B2559" s="1"/>
      <c r="C2559" s="1" t="s">
        <v>181</v>
      </c>
      <c r="D2559">
        <v>10273</v>
      </c>
      <c r="E2559" s="1"/>
      <c r="F2559" s="1" t="s">
        <v>311</v>
      </c>
      <c r="G2559" s="1" t="s">
        <v>181</v>
      </c>
      <c r="H2559" s="1" t="s">
        <v>1405</v>
      </c>
      <c r="I2559">
        <v>2011</v>
      </c>
      <c r="J2559" s="93">
        <v>51290.03</v>
      </c>
      <c r="K2559">
        <v>12</v>
      </c>
      <c r="L2559" s="1" t="s">
        <v>459</v>
      </c>
      <c r="M2559">
        <v>0</v>
      </c>
      <c r="N2559">
        <v>400</v>
      </c>
      <c r="O2559">
        <v>128.193026</v>
      </c>
      <c r="P2559">
        <v>1</v>
      </c>
      <c r="Q2559" s="1" t="s">
        <v>562</v>
      </c>
      <c r="R2559" s="93">
        <v>56308.53</v>
      </c>
      <c r="S2559">
        <v>10417.08</v>
      </c>
      <c r="T2559">
        <v>0</v>
      </c>
      <c r="U2559" s="1" t="s">
        <v>837</v>
      </c>
      <c r="V2559" s="1"/>
      <c r="W2559">
        <v>51290.02779</v>
      </c>
      <c r="X2559">
        <v>0</v>
      </c>
      <c r="Y2559">
        <v>77661</v>
      </c>
    </row>
    <row r="2560" spans="1:25" ht="15" hidden="1" customHeight="1" x14ac:dyDescent="0.25">
      <c r="A2560" s="1" t="s">
        <v>35</v>
      </c>
      <c r="B2560" s="1"/>
      <c r="C2560" s="1" t="s">
        <v>181</v>
      </c>
      <c r="D2560">
        <v>10273</v>
      </c>
      <c r="E2560" s="1"/>
      <c r="F2560" s="1" t="s">
        <v>311</v>
      </c>
      <c r="G2560" s="1" t="s">
        <v>181</v>
      </c>
      <c r="H2560" s="1" t="s">
        <v>1405</v>
      </c>
      <c r="I2560">
        <v>2010</v>
      </c>
      <c r="J2560" s="93">
        <v>58095.51</v>
      </c>
      <c r="K2560">
        <v>11</v>
      </c>
      <c r="L2560" s="1" t="s">
        <v>459</v>
      </c>
      <c r="M2560">
        <v>0</v>
      </c>
      <c r="N2560">
        <v>400</v>
      </c>
      <c r="O2560">
        <v>145.202474</v>
      </c>
      <c r="P2560">
        <v>1</v>
      </c>
      <c r="Q2560" s="1" t="s">
        <v>562</v>
      </c>
      <c r="R2560" s="93">
        <v>52733.45</v>
      </c>
      <c r="S2560">
        <v>9755.7000000000007</v>
      </c>
      <c r="T2560">
        <v>0</v>
      </c>
      <c r="U2560" s="1" t="s">
        <v>837</v>
      </c>
      <c r="V2560" s="1"/>
      <c r="W2560">
        <v>58095.511919999997</v>
      </c>
      <c r="X2560">
        <v>0</v>
      </c>
      <c r="Y2560">
        <v>77661</v>
      </c>
    </row>
    <row r="2561" spans="1:25" ht="15" hidden="1" customHeight="1" x14ac:dyDescent="0.25">
      <c r="A2561" s="1" t="s">
        <v>35</v>
      </c>
      <c r="B2561" s="1"/>
      <c r="C2561" s="1" t="s">
        <v>181</v>
      </c>
      <c r="D2561">
        <v>10273</v>
      </c>
      <c r="E2561" s="1"/>
      <c r="F2561" s="1" t="s">
        <v>311</v>
      </c>
      <c r="G2561" s="1" t="s">
        <v>181</v>
      </c>
      <c r="H2561" s="1" t="s">
        <v>1405</v>
      </c>
      <c r="I2561">
        <v>2009</v>
      </c>
      <c r="J2561" s="93">
        <v>47735.12</v>
      </c>
      <c r="K2561">
        <v>12</v>
      </c>
      <c r="L2561" s="1" t="s">
        <v>459</v>
      </c>
      <c r="M2561">
        <v>0</v>
      </c>
      <c r="N2561">
        <v>400</v>
      </c>
      <c r="O2561">
        <v>119.307973</v>
      </c>
      <c r="P2561">
        <v>1</v>
      </c>
      <c r="Q2561" s="1" t="s">
        <v>562</v>
      </c>
      <c r="R2561" s="93">
        <v>51214.65</v>
      </c>
      <c r="S2561">
        <v>9474.73</v>
      </c>
      <c r="T2561">
        <v>0</v>
      </c>
      <c r="U2561" s="1" t="s">
        <v>837</v>
      </c>
      <c r="V2561" s="1"/>
      <c r="W2561">
        <v>47735.114289999998</v>
      </c>
      <c r="X2561">
        <v>0</v>
      </c>
      <c r="Y2561">
        <v>77661</v>
      </c>
    </row>
    <row r="2562" spans="1:25" ht="15" hidden="1" customHeight="1" x14ac:dyDescent="0.25">
      <c r="A2562" s="1" t="s">
        <v>35</v>
      </c>
      <c r="B2562" s="1"/>
      <c r="C2562" s="1" t="s">
        <v>181</v>
      </c>
      <c r="D2562">
        <v>10273</v>
      </c>
      <c r="E2562" s="1"/>
      <c r="F2562" s="1" t="s">
        <v>311</v>
      </c>
      <c r="G2562" s="1" t="s">
        <v>181</v>
      </c>
      <c r="H2562" s="1" t="s">
        <v>1405</v>
      </c>
      <c r="I2562">
        <v>2008</v>
      </c>
      <c r="J2562" s="93">
        <v>45137.43</v>
      </c>
      <c r="K2562">
        <v>6</v>
      </c>
      <c r="L2562" s="1" t="s">
        <v>459</v>
      </c>
      <c r="M2562">
        <v>0</v>
      </c>
      <c r="N2562">
        <v>400</v>
      </c>
      <c r="O2562">
        <v>112.815371</v>
      </c>
      <c r="P2562">
        <v>1</v>
      </c>
      <c r="Q2562" s="1" t="s">
        <v>562</v>
      </c>
      <c r="R2562" s="93">
        <v>52105.87</v>
      </c>
      <c r="S2562">
        <v>9639.6</v>
      </c>
      <c r="T2562">
        <v>0</v>
      </c>
      <c r="U2562" s="1" t="s">
        <v>837</v>
      </c>
      <c r="V2562" s="1"/>
      <c r="W2562">
        <v>45137.435160000001</v>
      </c>
      <c r="X2562">
        <v>0</v>
      </c>
      <c r="Y2562">
        <v>77661</v>
      </c>
    </row>
    <row r="2563" spans="1:25" ht="15" hidden="1" customHeight="1" x14ac:dyDescent="0.25">
      <c r="A2563" s="1" t="s">
        <v>35</v>
      </c>
      <c r="B2563" s="1"/>
      <c r="C2563" s="1" t="s">
        <v>182</v>
      </c>
      <c r="D2563">
        <v>10182</v>
      </c>
      <c r="E2563" s="1"/>
      <c r="F2563" s="1" t="s">
        <v>312</v>
      </c>
      <c r="G2563" s="1" t="s">
        <v>182</v>
      </c>
      <c r="H2563" s="1" t="s">
        <v>1405</v>
      </c>
      <c r="I2563">
        <v>2015</v>
      </c>
      <c r="J2563" s="93">
        <v>27321</v>
      </c>
      <c r="K2563">
        <v>5</v>
      </c>
      <c r="L2563" s="1" t="s">
        <v>471</v>
      </c>
      <c r="M2563">
        <v>0</v>
      </c>
      <c r="N2563">
        <v>152</v>
      </c>
      <c r="O2563">
        <v>106.883629</v>
      </c>
      <c r="P2563">
        <v>1</v>
      </c>
      <c r="Q2563" s="1" t="s">
        <v>562</v>
      </c>
      <c r="R2563" s="93">
        <v>31643</v>
      </c>
      <c r="S2563">
        <v>1184.05</v>
      </c>
      <c r="T2563">
        <v>0</v>
      </c>
      <c r="U2563" s="1" t="s">
        <v>838</v>
      </c>
      <c r="V2563" s="1"/>
      <c r="W2563">
        <v>16257</v>
      </c>
      <c r="X2563">
        <v>0</v>
      </c>
      <c r="Y2563">
        <v>77235</v>
      </c>
    </row>
    <row r="2564" spans="1:25" ht="15" hidden="1" customHeight="1" x14ac:dyDescent="0.25">
      <c r="A2564" s="1" t="s">
        <v>35</v>
      </c>
      <c r="B2564" s="1"/>
      <c r="C2564" s="1" t="s">
        <v>182</v>
      </c>
      <c r="D2564">
        <v>10182</v>
      </c>
      <c r="E2564" s="1"/>
      <c r="F2564" s="1" t="s">
        <v>312</v>
      </c>
      <c r="G2564" s="1" t="s">
        <v>182</v>
      </c>
      <c r="H2564" s="1" t="s">
        <v>1405</v>
      </c>
      <c r="I2564">
        <v>2013</v>
      </c>
      <c r="J2564" s="93">
        <v>26941.67</v>
      </c>
      <c r="K2564">
        <v>8</v>
      </c>
      <c r="L2564" s="1" t="s">
        <v>471</v>
      </c>
      <c r="M2564">
        <v>0</v>
      </c>
      <c r="N2564">
        <v>152</v>
      </c>
      <c r="O2564">
        <v>177.13129499999999</v>
      </c>
      <c r="P2564">
        <v>1</v>
      </c>
      <c r="Q2564" s="1" t="s">
        <v>562</v>
      </c>
      <c r="R2564" s="93">
        <v>30034.55</v>
      </c>
      <c r="S2564">
        <v>1922.22</v>
      </c>
      <c r="T2564">
        <v>0</v>
      </c>
      <c r="U2564" s="1" t="s">
        <v>838</v>
      </c>
      <c r="V2564" s="1"/>
      <c r="W2564">
        <v>26941.666659999999</v>
      </c>
      <c r="X2564">
        <v>0</v>
      </c>
      <c r="Y2564">
        <v>77235</v>
      </c>
    </row>
    <row r="2565" spans="1:25" ht="15" hidden="1" customHeight="1" x14ac:dyDescent="0.25">
      <c r="A2565" s="1" t="s">
        <v>35</v>
      </c>
      <c r="B2565" s="1"/>
      <c r="C2565" s="1" t="s">
        <v>182</v>
      </c>
      <c r="D2565">
        <v>10182</v>
      </c>
      <c r="E2565" s="1"/>
      <c r="F2565" s="1" t="s">
        <v>312</v>
      </c>
      <c r="G2565" s="1" t="s">
        <v>182</v>
      </c>
      <c r="H2565" s="1" t="s">
        <v>1405</v>
      </c>
      <c r="I2565">
        <v>2012</v>
      </c>
      <c r="J2565" s="93">
        <v>27738.11</v>
      </c>
      <c r="K2565">
        <v>3</v>
      </c>
      <c r="L2565" s="1" t="s">
        <v>471</v>
      </c>
      <c r="M2565">
        <v>0</v>
      </c>
      <c r="N2565">
        <v>152</v>
      </c>
      <c r="O2565">
        <v>182.36758699999999</v>
      </c>
      <c r="P2565">
        <v>1</v>
      </c>
      <c r="Q2565" s="1" t="s">
        <v>562</v>
      </c>
      <c r="R2565" s="93">
        <v>30663.3</v>
      </c>
      <c r="S2565">
        <v>5672.71</v>
      </c>
      <c r="T2565">
        <v>0</v>
      </c>
      <c r="U2565" s="1" t="s">
        <v>838</v>
      </c>
      <c r="V2565" s="1"/>
      <c r="W2565">
        <v>27738.108319999999</v>
      </c>
      <c r="X2565">
        <v>0</v>
      </c>
      <c r="Y2565">
        <v>77235</v>
      </c>
    </row>
    <row r="2566" spans="1:25" ht="15" hidden="1" customHeight="1" x14ac:dyDescent="0.25">
      <c r="A2566" s="1" t="s">
        <v>35</v>
      </c>
      <c r="B2566" s="1"/>
      <c r="C2566" s="1" t="s">
        <v>182</v>
      </c>
      <c r="D2566">
        <v>10182</v>
      </c>
      <c r="E2566" s="1"/>
      <c r="F2566" s="1" t="s">
        <v>312</v>
      </c>
      <c r="G2566" s="1" t="s">
        <v>182</v>
      </c>
      <c r="H2566" s="1" t="s">
        <v>1405</v>
      </c>
      <c r="I2566">
        <v>2011</v>
      </c>
      <c r="J2566" s="93">
        <v>30201.86</v>
      </c>
      <c r="K2566">
        <v>3</v>
      </c>
      <c r="L2566" s="1" t="s">
        <v>471</v>
      </c>
      <c r="M2566">
        <v>0</v>
      </c>
      <c r="N2566">
        <v>152</v>
      </c>
      <c r="O2566">
        <v>198.565811</v>
      </c>
      <c r="P2566">
        <v>1</v>
      </c>
      <c r="Q2566" s="1" t="s">
        <v>562</v>
      </c>
      <c r="R2566" s="93">
        <v>36383.31</v>
      </c>
      <c r="S2566">
        <v>6730.91</v>
      </c>
      <c r="T2566">
        <v>0</v>
      </c>
      <c r="U2566" s="1" t="s">
        <v>838</v>
      </c>
      <c r="V2566" s="1"/>
      <c r="W2566">
        <v>30201.83712</v>
      </c>
      <c r="X2566">
        <v>0</v>
      </c>
      <c r="Y2566">
        <v>77235</v>
      </c>
    </row>
    <row r="2567" spans="1:25" ht="15" hidden="1" customHeight="1" x14ac:dyDescent="0.25">
      <c r="A2567" s="1" t="s">
        <v>35</v>
      </c>
      <c r="B2567" s="1"/>
      <c r="C2567" s="1" t="s">
        <v>182</v>
      </c>
      <c r="D2567">
        <v>10182</v>
      </c>
      <c r="E2567" s="1"/>
      <c r="F2567" s="1" t="s">
        <v>312</v>
      </c>
      <c r="G2567" s="1" t="s">
        <v>182</v>
      </c>
      <c r="H2567" s="1" t="s">
        <v>1405</v>
      </c>
      <c r="I2567">
        <v>2010</v>
      </c>
      <c r="J2567" s="93">
        <v>30805.29</v>
      </c>
      <c r="K2567">
        <v>3</v>
      </c>
      <c r="L2567" s="1" t="s">
        <v>471</v>
      </c>
      <c r="M2567">
        <v>0</v>
      </c>
      <c r="N2567">
        <v>152</v>
      </c>
      <c r="O2567">
        <v>202.53313600000001</v>
      </c>
      <c r="P2567">
        <v>1</v>
      </c>
      <c r="Q2567" s="1" t="s">
        <v>562</v>
      </c>
      <c r="R2567" s="93">
        <v>29917.4</v>
      </c>
      <c r="S2567">
        <v>5534.71</v>
      </c>
      <c r="T2567">
        <v>0</v>
      </c>
      <c r="U2567" s="1" t="s">
        <v>838</v>
      </c>
      <c r="V2567" s="1"/>
      <c r="W2567">
        <v>30805.309639999999</v>
      </c>
      <c r="X2567">
        <v>0</v>
      </c>
      <c r="Y2567">
        <v>77235</v>
      </c>
    </row>
    <row r="2568" spans="1:25" ht="15" hidden="1" customHeight="1" x14ac:dyDescent="0.25">
      <c r="A2568" s="1" t="s">
        <v>35</v>
      </c>
      <c r="B2568" s="1"/>
      <c r="C2568" s="1" t="s">
        <v>182</v>
      </c>
      <c r="D2568">
        <v>10182</v>
      </c>
      <c r="E2568" s="1"/>
      <c r="F2568" s="1" t="s">
        <v>312</v>
      </c>
      <c r="G2568" s="1" t="s">
        <v>182</v>
      </c>
      <c r="H2568" s="1" t="s">
        <v>1405</v>
      </c>
      <c r="I2568">
        <v>2009</v>
      </c>
      <c r="J2568" s="93">
        <v>27137.75</v>
      </c>
      <c r="K2568">
        <v>3</v>
      </c>
      <c r="L2568" s="1" t="s">
        <v>471</v>
      </c>
      <c r="M2568">
        <v>0</v>
      </c>
      <c r="N2568">
        <v>152</v>
      </c>
      <c r="O2568">
        <v>178.420447</v>
      </c>
      <c r="P2568">
        <v>1</v>
      </c>
      <c r="Q2568" s="1" t="s">
        <v>562</v>
      </c>
      <c r="R2568" s="93">
        <v>30137.09</v>
      </c>
      <c r="S2568">
        <v>5575.37</v>
      </c>
      <c r="T2568">
        <v>0</v>
      </c>
      <c r="U2568" s="1" t="s">
        <v>838</v>
      </c>
      <c r="V2568" s="1"/>
      <c r="W2568">
        <v>27137.75952</v>
      </c>
      <c r="X2568">
        <v>0</v>
      </c>
      <c r="Y2568">
        <v>77235</v>
      </c>
    </row>
    <row r="2569" spans="1:25" ht="15" hidden="1" customHeight="1" x14ac:dyDescent="0.25">
      <c r="A2569" s="1" t="s">
        <v>35</v>
      </c>
      <c r="B2569" s="1"/>
      <c r="C2569" s="1" t="s">
        <v>182</v>
      </c>
      <c r="D2569">
        <v>10182</v>
      </c>
      <c r="E2569" s="1"/>
      <c r="F2569" s="1" t="s">
        <v>312</v>
      </c>
      <c r="G2569" s="1" t="s">
        <v>182</v>
      </c>
      <c r="H2569" s="1" t="s">
        <v>1405</v>
      </c>
      <c r="I2569">
        <v>2008</v>
      </c>
      <c r="J2569" s="93">
        <v>25124.15</v>
      </c>
      <c r="K2569">
        <v>7</v>
      </c>
      <c r="L2569" s="1" t="s">
        <v>471</v>
      </c>
      <c r="M2569">
        <v>0</v>
      </c>
      <c r="N2569">
        <v>152</v>
      </c>
      <c r="O2569">
        <v>165.18178800000001</v>
      </c>
      <c r="P2569">
        <v>1</v>
      </c>
      <c r="Q2569" s="1" t="s">
        <v>562</v>
      </c>
      <c r="R2569" s="93">
        <v>29728.16</v>
      </c>
      <c r="S2569">
        <v>5499.71</v>
      </c>
      <c r="T2569">
        <v>0</v>
      </c>
      <c r="U2569" s="1" t="s">
        <v>838</v>
      </c>
      <c r="V2569" s="1"/>
      <c r="W2569">
        <v>25124.153539999999</v>
      </c>
      <c r="X2569">
        <v>0</v>
      </c>
      <c r="Y2569">
        <v>77235</v>
      </c>
    </row>
    <row r="2570" spans="1:25" ht="15" hidden="1" customHeight="1" x14ac:dyDescent="0.25">
      <c r="A2570" s="1" t="s">
        <v>35</v>
      </c>
      <c r="B2570" s="1" t="s">
        <v>73</v>
      </c>
      <c r="C2570" s="1" t="s">
        <v>174</v>
      </c>
      <c r="D2570">
        <v>14495</v>
      </c>
      <c r="E2570" s="1" t="s">
        <v>243</v>
      </c>
      <c r="F2570" s="1" t="s">
        <v>313</v>
      </c>
      <c r="G2570" s="1" t="s">
        <v>174</v>
      </c>
      <c r="H2570" s="1" t="s">
        <v>1405</v>
      </c>
      <c r="I2570">
        <v>2013</v>
      </c>
      <c r="J2570" s="93">
        <v>28382.799999999999</v>
      </c>
      <c r="K2570">
        <v>2</v>
      </c>
      <c r="L2570" s="1" t="s">
        <v>489</v>
      </c>
      <c r="M2570">
        <v>0</v>
      </c>
      <c r="N2570">
        <v>878</v>
      </c>
      <c r="O2570">
        <v>32.322969999999998</v>
      </c>
      <c r="P2570">
        <v>1</v>
      </c>
      <c r="Q2570" s="1" t="s">
        <v>564</v>
      </c>
      <c r="R2570" s="93">
        <v>32340.240000000002</v>
      </c>
      <c r="S2570">
        <v>6839.36</v>
      </c>
      <c r="T2570">
        <v>0</v>
      </c>
      <c r="U2570" s="1" t="s">
        <v>840</v>
      </c>
      <c r="V2570" s="1"/>
      <c r="W2570">
        <v>2628.03703</v>
      </c>
      <c r="X2570">
        <v>0</v>
      </c>
      <c r="Y2570">
        <v>94939</v>
      </c>
    </row>
    <row r="2571" spans="1:25" ht="15" hidden="1" customHeight="1" x14ac:dyDescent="0.25">
      <c r="A2571" s="1" t="s">
        <v>35</v>
      </c>
      <c r="B2571" s="1"/>
      <c r="C2571" s="1" t="s">
        <v>236</v>
      </c>
      <c r="D2571">
        <v>5945</v>
      </c>
      <c r="E2571" s="1"/>
      <c r="F2571" s="1" t="s">
        <v>236</v>
      </c>
      <c r="G2571" s="1" t="s">
        <v>236</v>
      </c>
      <c r="H2571" s="1" t="s">
        <v>1405</v>
      </c>
      <c r="I2571">
        <v>2013</v>
      </c>
      <c r="J2571" s="93">
        <v>3595.39</v>
      </c>
      <c r="K2571">
        <v>2</v>
      </c>
      <c r="L2571" s="1" t="s">
        <v>533</v>
      </c>
      <c r="M2571">
        <v>0</v>
      </c>
      <c r="N2571">
        <v>506</v>
      </c>
      <c r="O2571">
        <v>7.1041090000000002</v>
      </c>
      <c r="P2571">
        <v>2</v>
      </c>
      <c r="Q2571" s="1" t="s">
        <v>569</v>
      </c>
      <c r="R2571" s="93">
        <v>3595.39</v>
      </c>
      <c r="S2571">
        <v>1078.6099999999999</v>
      </c>
      <c r="T2571">
        <v>0</v>
      </c>
      <c r="U2571" s="1" t="s">
        <v>1052</v>
      </c>
      <c r="V2571" s="1" t="s">
        <v>1317</v>
      </c>
      <c r="W2571">
        <v>3595.3846100000001</v>
      </c>
      <c r="X2571">
        <v>0</v>
      </c>
      <c r="Y2571">
        <v>86355</v>
      </c>
    </row>
    <row r="2572" spans="1:25" ht="15" hidden="1" customHeight="1" x14ac:dyDescent="0.25">
      <c r="A2572" s="1" t="s">
        <v>35</v>
      </c>
      <c r="B2572" s="1"/>
      <c r="C2572" s="1" t="s">
        <v>183</v>
      </c>
      <c r="D2572">
        <v>10270</v>
      </c>
      <c r="E2572" s="1"/>
      <c r="F2572" s="1" t="s">
        <v>183</v>
      </c>
      <c r="G2572" s="1" t="s">
        <v>183</v>
      </c>
      <c r="H2572" s="1" t="s">
        <v>1405</v>
      </c>
      <c r="I2572">
        <v>2015</v>
      </c>
      <c r="J2572" s="93">
        <v>6699</v>
      </c>
      <c r="K2572">
        <v>5</v>
      </c>
      <c r="L2572" s="1" t="s">
        <v>459</v>
      </c>
      <c r="M2572">
        <v>0</v>
      </c>
      <c r="N2572">
        <v>96</v>
      </c>
      <c r="O2572">
        <v>62.736628000000003</v>
      </c>
      <c r="P2572">
        <v>1</v>
      </c>
      <c r="Q2572" s="1" t="s">
        <v>562</v>
      </c>
      <c r="R2572" s="93">
        <v>7623</v>
      </c>
      <c r="S2572">
        <v>439.24</v>
      </c>
      <c r="T2572">
        <v>0</v>
      </c>
      <c r="U2572" s="1" t="s">
        <v>841</v>
      </c>
      <c r="V2572" s="1"/>
      <c r="W2572">
        <v>6029.0001000000002</v>
      </c>
      <c r="X2572">
        <v>0</v>
      </c>
      <c r="Y2572">
        <v>77652</v>
      </c>
    </row>
    <row r="2573" spans="1:25" ht="15" hidden="1" customHeight="1" x14ac:dyDescent="0.25">
      <c r="A2573" s="1" t="s">
        <v>35</v>
      </c>
      <c r="B2573" s="1"/>
      <c r="C2573" s="1" t="s">
        <v>183</v>
      </c>
      <c r="D2573">
        <v>10270</v>
      </c>
      <c r="E2573" s="1"/>
      <c r="F2573" s="1" t="s">
        <v>183</v>
      </c>
      <c r="G2573" s="1" t="s">
        <v>183</v>
      </c>
      <c r="H2573" s="1" t="s">
        <v>1405</v>
      </c>
      <c r="I2573">
        <v>2013</v>
      </c>
      <c r="J2573" s="93">
        <v>12545</v>
      </c>
      <c r="K2573">
        <v>12</v>
      </c>
      <c r="L2573" s="1" t="s">
        <v>459</v>
      </c>
      <c r="M2573">
        <v>0</v>
      </c>
      <c r="N2573">
        <v>96</v>
      </c>
      <c r="O2573">
        <v>130.54110299999999</v>
      </c>
      <c r="P2573">
        <v>1</v>
      </c>
      <c r="Q2573" s="1" t="s">
        <v>562</v>
      </c>
      <c r="R2573" s="93">
        <v>13166.5</v>
      </c>
      <c r="S2573">
        <v>842.66</v>
      </c>
      <c r="T2573">
        <v>0</v>
      </c>
      <c r="U2573" s="1" t="s">
        <v>841</v>
      </c>
      <c r="V2573" s="1"/>
      <c r="W2573">
        <v>12544.999</v>
      </c>
      <c r="X2573">
        <v>0</v>
      </c>
      <c r="Y2573">
        <v>77652</v>
      </c>
    </row>
    <row r="2574" spans="1:25" ht="15" hidden="1" customHeight="1" x14ac:dyDescent="0.25">
      <c r="A2574" s="1" t="s">
        <v>35</v>
      </c>
      <c r="B2574" s="1"/>
      <c r="C2574" s="1" t="s">
        <v>183</v>
      </c>
      <c r="D2574">
        <v>10270</v>
      </c>
      <c r="E2574" s="1"/>
      <c r="F2574" s="1" t="s">
        <v>183</v>
      </c>
      <c r="G2574" s="1" t="s">
        <v>183</v>
      </c>
      <c r="H2574" s="1" t="s">
        <v>1405</v>
      </c>
      <c r="I2574">
        <v>2012</v>
      </c>
      <c r="J2574" s="93">
        <v>11926</v>
      </c>
      <c r="K2574">
        <v>14</v>
      </c>
      <c r="L2574" s="1" t="s">
        <v>459</v>
      </c>
      <c r="M2574">
        <v>0</v>
      </c>
      <c r="N2574">
        <v>96</v>
      </c>
      <c r="O2574">
        <v>124.099895</v>
      </c>
      <c r="P2574">
        <v>1</v>
      </c>
      <c r="Q2574" s="1" t="s">
        <v>562</v>
      </c>
      <c r="R2574" s="93">
        <v>12436.01</v>
      </c>
      <c r="S2574">
        <v>2300.66</v>
      </c>
      <c r="T2574">
        <v>0</v>
      </c>
      <c r="U2574" s="1" t="s">
        <v>841</v>
      </c>
      <c r="V2574" s="1"/>
      <c r="W2574">
        <v>11926.0003</v>
      </c>
      <c r="X2574">
        <v>0</v>
      </c>
      <c r="Y2574">
        <v>77652</v>
      </c>
    </row>
    <row r="2575" spans="1:25" ht="15" hidden="1" customHeight="1" x14ac:dyDescent="0.25">
      <c r="A2575" s="1" t="s">
        <v>35</v>
      </c>
      <c r="B2575" s="1"/>
      <c r="C2575" s="1" t="s">
        <v>183</v>
      </c>
      <c r="D2575">
        <v>10270</v>
      </c>
      <c r="E2575" s="1"/>
      <c r="F2575" s="1" t="s">
        <v>183</v>
      </c>
      <c r="G2575" s="1" t="s">
        <v>183</v>
      </c>
      <c r="H2575" s="1" t="s">
        <v>1405</v>
      </c>
      <c r="I2575">
        <v>2011</v>
      </c>
      <c r="J2575" s="93">
        <v>0</v>
      </c>
      <c r="K2575">
        <v>3</v>
      </c>
      <c r="L2575" s="1" t="s">
        <v>459</v>
      </c>
      <c r="M2575">
        <v>0</v>
      </c>
      <c r="N2575">
        <v>96</v>
      </c>
      <c r="O2575">
        <v>0</v>
      </c>
      <c r="P2575">
        <v>1</v>
      </c>
      <c r="Q2575" s="1" t="s">
        <v>562</v>
      </c>
      <c r="R2575" s="93">
        <v>0</v>
      </c>
      <c r="S2575">
        <v>0</v>
      </c>
      <c r="T2575">
        <v>0</v>
      </c>
      <c r="U2575" s="1" t="s">
        <v>841</v>
      </c>
      <c r="V2575" s="1"/>
      <c r="W2575">
        <v>0</v>
      </c>
      <c r="X2575">
        <v>0</v>
      </c>
      <c r="Y2575">
        <v>77652</v>
      </c>
    </row>
    <row r="2576" spans="1:25" ht="15" hidden="1" customHeight="1" x14ac:dyDescent="0.25">
      <c r="A2576" s="1" t="s">
        <v>35</v>
      </c>
      <c r="B2576" s="1"/>
      <c r="C2576" s="1" t="s">
        <v>183</v>
      </c>
      <c r="D2576">
        <v>10270</v>
      </c>
      <c r="E2576" s="1"/>
      <c r="F2576" s="1" t="s">
        <v>183</v>
      </c>
      <c r="G2576" s="1" t="s">
        <v>183</v>
      </c>
      <c r="H2576" s="1" t="s">
        <v>1405</v>
      </c>
      <c r="I2576">
        <v>2010</v>
      </c>
      <c r="J2576" s="93">
        <v>4286.8599999999997</v>
      </c>
      <c r="K2576">
        <v>2</v>
      </c>
      <c r="L2576" s="1" t="s">
        <v>459</v>
      </c>
      <c r="M2576">
        <v>0</v>
      </c>
      <c r="N2576">
        <v>96</v>
      </c>
      <c r="O2576">
        <v>44.608324000000003</v>
      </c>
      <c r="P2576">
        <v>1</v>
      </c>
      <c r="Q2576" s="1" t="s">
        <v>562</v>
      </c>
      <c r="R2576" s="93">
        <v>4014.79</v>
      </c>
      <c r="S2576">
        <v>742.74</v>
      </c>
      <c r="T2576">
        <v>0</v>
      </c>
      <c r="U2576" s="1" t="s">
        <v>841</v>
      </c>
      <c r="V2576" s="1"/>
      <c r="W2576">
        <v>4286.8636200000001</v>
      </c>
      <c r="X2576">
        <v>0</v>
      </c>
      <c r="Y2576">
        <v>77652</v>
      </c>
    </row>
    <row r="2577" spans="1:25" ht="15" hidden="1" customHeight="1" x14ac:dyDescent="0.25">
      <c r="A2577" s="1" t="s">
        <v>35</v>
      </c>
      <c r="B2577" s="1"/>
      <c r="C2577" s="1" t="s">
        <v>183</v>
      </c>
      <c r="D2577">
        <v>10270</v>
      </c>
      <c r="E2577" s="1"/>
      <c r="F2577" s="1" t="s">
        <v>183</v>
      </c>
      <c r="G2577" s="1" t="s">
        <v>183</v>
      </c>
      <c r="H2577" s="1" t="s">
        <v>1405</v>
      </c>
      <c r="I2577">
        <v>2009</v>
      </c>
      <c r="J2577" s="93">
        <v>13655.17</v>
      </c>
      <c r="K2577">
        <v>5</v>
      </c>
      <c r="L2577" s="1" t="s">
        <v>459</v>
      </c>
      <c r="M2577">
        <v>0</v>
      </c>
      <c r="N2577">
        <v>96</v>
      </c>
      <c r="O2577">
        <v>142.09334000000001</v>
      </c>
      <c r="P2577">
        <v>1</v>
      </c>
      <c r="Q2577" s="1" t="s">
        <v>562</v>
      </c>
      <c r="R2577" s="93">
        <v>18307.63</v>
      </c>
      <c r="S2577">
        <v>3386.91</v>
      </c>
      <c r="T2577">
        <v>0</v>
      </c>
      <c r="U2577" s="1" t="s">
        <v>841</v>
      </c>
      <c r="V2577" s="1"/>
      <c r="W2577">
        <v>13655.166660000001</v>
      </c>
      <c r="X2577">
        <v>0</v>
      </c>
      <c r="Y2577">
        <v>77652</v>
      </c>
    </row>
    <row r="2578" spans="1:25" ht="15" hidden="1" customHeight="1" x14ac:dyDescent="0.25">
      <c r="A2578" s="1" t="s">
        <v>35</v>
      </c>
      <c r="B2578" s="1"/>
      <c r="C2578" s="1" t="s">
        <v>183</v>
      </c>
      <c r="D2578">
        <v>10270</v>
      </c>
      <c r="E2578" s="1"/>
      <c r="F2578" s="1" t="s">
        <v>183</v>
      </c>
      <c r="G2578" s="1" t="s">
        <v>183</v>
      </c>
      <c r="H2578" s="1" t="s">
        <v>1405</v>
      </c>
      <c r="I2578">
        <v>2008</v>
      </c>
      <c r="J2578" s="93">
        <v>18313.32</v>
      </c>
      <c r="K2578">
        <v>6</v>
      </c>
      <c r="L2578" s="1" t="s">
        <v>459</v>
      </c>
      <c r="M2578">
        <v>0</v>
      </c>
      <c r="N2578">
        <v>96</v>
      </c>
      <c r="O2578">
        <v>190.56524400000001</v>
      </c>
      <c r="P2578">
        <v>1</v>
      </c>
      <c r="Q2578" s="1" t="s">
        <v>562</v>
      </c>
      <c r="R2578" s="93">
        <v>21474.1</v>
      </c>
      <c r="S2578">
        <v>3972.7</v>
      </c>
      <c r="T2578">
        <v>0</v>
      </c>
      <c r="U2578" s="1" t="s">
        <v>841</v>
      </c>
      <c r="V2578" s="1"/>
      <c r="W2578">
        <v>18313.332330000001</v>
      </c>
      <c r="X2578">
        <v>0</v>
      </c>
      <c r="Y2578">
        <v>77652</v>
      </c>
    </row>
    <row r="2579" spans="1:25" ht="15" hidden="1" customHeight="1" x14ac:dyDescent="0.25">
      <c r="A2579" s="1" t="s">
        <v>35</v>
      </c>
      <c r="B2579" s="1" t="s">
        <v>76</v>
      </c>
      <c r="C2579" s="1" t="s">
        <v>184</v>
      </c>
      <c r="D2579">
        <v>5270</v>
      </c>
      <c r="E2579" s="1"/>
      <c r="F2579" s="1" t="s">
        <v>314</v>
      </c>
      <c r="G2579" s="1" t="s">
        <v>184</v>
      </c>
      <c r="H2579" s="1" t="s">
        <v>1405</v>
      </c>
      <c r="I2579">
        <v>2015</v>
      </c>
      <c r="J2579" s="93">
        <v>152128</v>
      </c>
      <c r="K2579">
        <v>5</v>
      </c>
      <c r="L2579" s="1"/>
      <c r="M2579">
        <v>0</v>
      </c>
      <c r="N2579">
        <v>2625</v>
      </c>
      <c r="O2579">
        <v>34.711728999999998</v>
      </c>
      <c r="P2579">
        <v>1</v>
      </c>
      <c r="Q2579" s="1" t="s">
        <v>564</v>
      </c>
      <c r="R2579" s="93">
        <v>174273</v>
      </c>
      <c r="S2579">
        <v>21785</v>
      </c>
      <c r="T2579">
        <v>0</v>
      </c>
      <c r="U2579" s="1" t="s">
        <v>842</v>
      </c>
      <c r="V2579" s="1" t="s">
        <v>1217</v>
      </c>
      <c r="W2579">
        <v>8437.2000000000007</v>
      </c>
      <c r="X2579">
        <v>0</v>
      </c>
      <c r="Y2579">
        <v>56823</v>
      </c>
    </row>
    <row r="2580" spans="1:25" ht="15" hidden="1" customHeight="1" x14ac:dyDescent="0.25">
      <c r="A2580" s="1" t="s">
        <v>35</v>
      </c>
      <c r="B2580" s="1" t="s">
        <v>76</v>
      </c>
      <c r="C2580" s="1" t="s">
        <v>184</v>
      </c>
      <c r="D2580">
        <v>5270</v>
      </c>
      <c r="E2580" s="1"/>
      <c r="F2580" s="1" t="s">
        <v>314</v>
      </c>
      <c r="G2580" s="1" t="s">
        <v>184</v>
      </c>
      <c r="H2580" s="1" t="s">
        <v>1405</v>
      </c>
      <c r="I2580">
        <v>2013</v>
      </c>
      <c r="J2580" s="93">
        <v>193376.16</v>
      </c>
      <c r="K2580">
        <v>12</v>
      </c>
      <c r="L2580" s="1"/>
      <c r="M2580">
        <v>0</v>
      </c>
      <c r="N2580">
        <v>2625</v>
      </c>
      <c r="O2580">
        <v>73.664302000000006</v>
      </c>
      <c r="P2580">
        <v>1</v>
      </c>
      <c r="Q2580" s="1" t="s">
        <v>564</v>
      </c>
      <c r="R2580" s="93">
        <v>196678.85</v>
      </c>
      <c r="S2580">
        <v>41593.94</v>
      </c>
      <c r="T2580">
        <v>0</v>
      </c>
      <c r="U2580" s="1" t="s">
        <v>842</v>
      </c>
      <c r="V2580" s="1" t="s">
        <v>1217</v>
      </c>
      <c r="W2580">
        <v>17905.2</v>
      </c>
      <c r="X2580">
        <v>0</v>
      </c>
      <c r="Y2580">
        <v>56823</v>
      </c>
    </row>
    <row r="2581" spans="1:25" ht="15" hidden="1" customHeight="1" x14ac:dyDescent="0.25">
      <c r="A2581" s="1" t="s">
        <v>35</v>
      </c>
      <c r="B2581" s="1" t="s">
        <v>76</v>
      </c>
      <c r="C2581" s="1" t="s">
        <v>184</v>
      </c>
      <c r="D2581">
        <v>5270</v>
      </c>
      <c r="E2581" s="1"/>
      <c r="F2581" s="1" t="s">
        <v>314</v>
      </c>
      <c r="G2581" s="1" t="s">
        <v>184</v>
      </c>
      <c r="H2581" s="1" t="s">
        <v>1405</v>
      </c>
      <c r="I2581">
        <v>2012</v>
      </c>
      <c r="J2581" s="93">
        <v>208537.2</v>
      </c>
      <c r="K2581">
        <v>12</v>
      </c>
      <c r="L2581" s="1"/>
      <c r="M2581">
        <v>0</v>
      </c>
      <c r="N2581">
        <v>2625</v>
      </c>
      <c r="O2581">
        <v>79.439716000000004</v>
      </c>
      <c r="P2581">
        <v>1</v>
      </c>
      <c r="Q2581" s="1" t="s">
        <v>564</v>
      </c>
      <c r="R2581" s="93">
        <v>218475.82</v>
      </c>
      <c r="S2581">
        <v>46203.59</v>
      </c>
      <c r="T2581">
        <v>0</v>
      </c>
      <c r="U2581" s="1" t="s">
        <v>842</v>
      </c>
      <c r="V2581" s="1" t="s">
        <v>1217</v>
      </c>
      <c r="W2581">
        <v>19309</v>
      </c>
      <c r="X2581">
        <v>0</v>
      </c>
      <c r="Y2581">
        <v>56823</v>
      </c>
    </row>
    <row r="2582" spans="1:25" ht="15" hidden="1" customHeight="1" x14ac:dyDescent="0.25">
      <c r="A2582" s="1" t="s">
        <v>35</v>
      </c>
      <c r="B2582" s="1" t="s">
        <v>76</v>
      </c>
      <c r="C2582" s="1" t="s">
        <v>184</v>
      </c>
      <c r="D2582">
        <v>5270</v>
      </c>
      <c r="E2582" s="1"/>
      <c r="F2582" s="1" t="s">
        <v>314</v>
      </c>
      <c r="G2582" s="1" t="s">
        <v>184</v>
      </c>
      <c r="H2582" s="1" t="s">
        <v>1405</v>
      </c>
      <c r="I2582">
        <v>2011</v>
      </c>
      <c r="J2582" s="93">
        <v>184970.52</v>
      </c>
      <c r="K2582">
        <v>12</v>
      </c>
      <c r="L2582" s="1"/>
      <c r="M2582">
        <v>0</v>
      </c>
      <c r="N2582">
        <v>2625</v>
      </c>
      <c r="O2582">
        <v>70.462275000000005</v>
      </c>
      <c r="P2582">
        <v>1</v>
      </c>
      <c r="Q2582" s="1" t="s">
        <v>564</v>
      </c>
      <c r="R2582" s="93">
        <v>199823.44</v>
      </c>
      <c r="S2582">
        <v>42258.96</v>
      </c>
      <c r="T2582">
        <v>0</v>
      </c>
      <c r="U2582" s="1" t="s">
        <v>842</v>
      </c>
      <c r="V2582" s="1" t="s">
        <v>1217</v>
      </c>
      <c r="W2582">
        <v>17126.900000000001</v>
      </c>
      <c r="X2582">
        <v>0</v>
      </c>
      <c r="Y2582">
        <v>56823</v>
      </c>
    </row>
    <row r="2583" spans="1:25" ht="15" hidden="1" customHeight="1" x14ac:dyDescent="0.25">
      <c r="A2583" s="1" t="s">
        <v>35</v>
      </c>
      <c r="B2583" s="1" t="s">
        <v>76</v>
      </c>
      <c r="C2583" s="1" t="s">
        <v>184</v>
      </c>
      <c r="D2583">
        <v>5270</v>
      </c>
      <c r="E2583" s="1"/>
      <c r="F2583" s="1" t="s">
        <v>314</v>
      </c>
      <c r="G2583" s="1" t="s">
        <v>184</v>
      </c>
      <c r="H2583" s="1" t="s">
        <v>1405</v>
      </c>
      <c r="I2583">
        <v>2010</v>
      </c>
      <c r="J2583" s="93">
        <v>228034.39</v>
      </c>
      <c r="K2583">
        <v>12</v>
      </c>
      <c r="L2583" s="1"/>
      <c r="M2583">
        <v>0</v>
      </c>
      <c r="N2583">
        <v>2625</v>
      </c>
      <c r="O2583">
        <v>86.866934000000001</v>
      </c>
      <c r="P2583">
        <v>1</v>
      </c>
      <c r="Q2583" s="1" t="s">
        <v>564</v>
      </c>
      <c r="R2583" s="93">
        <v>208446.02</v>
      </c>
      <c r="S2583">
        <v>44082.47</v>
      </c>
      <c r="T2583">
        <v>0</v>
      </c>
      <c r="U2583" s="1" t="s">
        <v>842</v>
      </c>
      <c r="V2583" s="1" t="s">
        <v>1217</v>
      </c>
      <c r="W2583">
        <v>21114.294999999998</v>
      </c>
      <c r="X2583">
        <v>0</v>
      </c>
      <c r="Y2583">
        <v>56823</v>
      </c>
    </row>
    <row r="2584" spans="1:25" ht="15" hidden="1" customHeight="1" x14ac:dyDescent="0.25">
      <c r="A2584" s="1" t="s">
        <v>35</v>
      </c>
      <c r="B2584" s="1" t="s">
        <v>76</v>
      </c>
      <c r="C2584" s="1" t="s">
        <v>184</v>
      </c>
      <c r="D2584">
        <v>5270</v>
      </c>
      <c r="E2584" s="1"/>
      <c r="F2584" s="1" t="s">
        <v>314</v>
      </c>
      <c r="G2584" s="1" t="s">
        <v>184</v>
      </c>
      <c r="H2584" s="1" t="s">
        <v>1405</v>
      </c>
      <c r="I2584">
        <v>2009</v>
      </c>
      <c r="J2584" s="93">
        <v>238522.36</v>
      </c>
      <c r="K2584">
        <v>12</v>
      </c>
      <c r="L2584" s="1"/>
      <c r="M2584">
        <v>0</v>
      </c>
      <c r="N2584">
        <v>2625</v>
      </c>
      <c r="O2584">
        <v>90.862199000000004</v>
      </c>
      <c r="P2584">
        <v>1</v>
      </c>
      <c r="Q2584" s="1" t="s">
        <v>564</v>
      </c>
      <c r="R2584" s="93">
        <v>252563.28</v>
      </c>
      <c r="S2584">
        <v>53412.46</v>
      </c>
      <c r="T2584">
        <v>0</v>
      </c>
      <c r="U2584" s="1" t="s">
        <v>842</v>
      </c>
      <c r="V2584" s="1" t="s">
        <v>1217</v>
      </c>
      <c r="W2584">
        <v>22085.403999999999</v>
      </c>
      <c r="X2584">
        <v>0</v>
      </c>
      <c r="Y2584">
        <v>56823</v>
      </c>
    </row>
    <row r="2585" spans="1:25" ht="15" hidden="1" customHeight="1" x14ac:dyDescent="0.25">
      <c r="A2585" s="1" t="s">
        <v>35</v>
      </c>
      <c r="B2585" s="1" t="s">
        <v>76</v>
      </c>
      <c r="C2585" s="1" t="s">
        <v>184</v>
      </c>
      <c r="D2585">
        <v>5270</v>
      </c>
      <c r="E2585" s="1"/>
      <c r="F2585" s="1" t="s">
        <v>314</v>
      </c>
      <c r="G2585" s="1" t="s">
        <v>184</v>
      </c>
      <c r="H2585" s="1" t="s">
        <v>1405</v>
      </c>
      <c r="I2585">
        <v>2008</v>
      </c>
      <c r="J2585" s="93">
        <v>212943.6</v>
      </c>
      <c r="K2585">
        <v>12</v>
      </c>
      <c r="L2585" s="1"/>
      <c r="M2585">
        <v>0</v>
      </c>
      <c r="N2585">
        <v>2625</v>
      </c>
      <c r="O2585">
        <v>81.118280999999996</v>
      </c>
      <c r="P2585">
        <v>1</v>
      </c>
      <c r="Q2585" s="1" t="s">
        <v>564</v>
      </c>
      <c r="R2585" s="93">
        <v>249460.13</v>
      </c>
      <c r="S2585">
        <v>52756.19</v>
      </c>
      <c r="T2585">
        <v>0</v>
      </c>
      <c r="U2585" s="1" t="s">
        <v>842</v>
      </c>
      <c r="V2585" s="1" t="s">
        <v>1217</v>
      </c>
      <c r="W2585">
        <v>19716.999899999999</v>
      </c>
      <c r="X2585">
        <v>0</v>
      </c>
      <c r="Y2585">
        <v>56823</v>
      </c>
    </row>
    <row r="2586" spans="1:25" ht="15" hidden="1" customHeight="1" x14ac:dyDescent="0.25">
      <c r="A2586" s="1" t="s">
        <v>35</v>
      </c>
      <c r="B2586" s="1"/>
      <c r="C2586" s="1" t="s">
        <v>236</v>
      </c>
      <c r="D2586">
        <v>5945</v>
      </c>
      <c r="E2586" s="1"/>
      <c r="F2586" s="1" t="s">
        <v>236</v>
      </c>
      <c r="G2586" s="1" t="s">
        <v>236</v>
      </c>
      <c r="H2586" s="1" t="s">
        <v>1405</v>
      </c>
      <c r="I2586">
        <v>2013</v>
      </c>
      <c r="J2586" s="93">
        <v>13531.29</v>
      </c>
      <c r="K2586">
        <v>10</v>
      </c>
      <c r="L2586" s="1"/>
      <c r="M2586">
        <v>0</v>
      </c>
      <c r="N2586">
        <v>506</v>
      </c>
      <c r="O2586">
        <v>26.736395000000002</v>
      </c>
      <c r="P2586">
        <v>2</v>
      </c>
      <c r="Q2586" s="1" t="s">
        <v>569</v>
      </c>
      <c r="R2586" s="93">
        <v>13531.29</v>
      </c>
      <c r="S2586">
        <v>4059.41</v>
      </c>
      <c r="T2586">
        <v>0</v>
      </c>
      <c r="U2586" s="1" t="s">
        <v>1051</v>
      </c>
      <c r="V2586" s="1"/>
      <c r="W2586">
        <v>13531.284</v>
      </c>
      <c r="X2586">
        <v>0</v>
      </c>
      <c r="Y2586">
        <v>94151</v>
      </c>
    </row>
    <row r="2587" spans="1:25" ht="15" hidden="1" customHeight="1" x14ac:dyDescent="0.25">
      <c r="A2587" s="1" t="s">
        <v>35</v>
      </c>
      <c r="B2587" s="1"/>
      <c r="C2587" s="1" t="s">
        <v>182</v>
      </c>
      <c r="D2587">
        <v>10182</v>
      </c>
      <c r="E2587" s="1"/>
      <c r="F2587" s="1" t="s">
        <v>312</v>
      </c>
      <c r="G2587" s="1" t="s">
        <v>182</v>
      </c>
      <c r="H2587" s="1" t="s">
        <v>1405</v>
      </c>
      <c r="I2587">
        <v>2014</v>
      </c>
      <c r="J2587" s="93">
        <v>34.54</v>
      </c>
      <c r="K2587">
        <v>12</v>
      </c>
      <c r="L2587" s="1" t="s">
        <v>441</v>
      </c>
      <c r="M2587">
        <v>0</v>
      </c>
      <c r="N2587">
        <v>152</v>
      </c>
      <c r="O2587">
        <v>0.22708700000000001</v>
      </c>
      <c r="P2587">
        <v>3</v>
      </c>
      <c r="Q2587" s="1" t="s">
        <v>560</v>
      </c>
      <c r="R2587" s="93">
        <v>34.54</v>
      </c>
      <c r="S2587">
        <v>27.65</v>
      </c>
      <c r="T2587">
        <v>0</v>
      </c>
      <c r="U2587" s="1" t="s">
        <v>662</v>
      </c>
      <c r="V2587" s="1"/>
      <c r="W2587">
        <v>34.551000000000002</v>
      </c>
      <c r="X2587">
        <v>0</v>
      </c>
      <c r="Y2587">
        <v>77234</v>
      </c>
    </row>
    <row r="2588" spans="1:25" ht="15" hidden="1" customHeight="1" x14ac:dyDescent="0.25">
      <c r="A2588" s="1" t="s">
        <v>35</v>
      </c>
      <c r="B2588" s="1"/>
      <c r="C2588" s="1" t="s">
        <v>182</v>
      </c>
      <c r="D2588">
        <v>10182</v>
      </c>
      <c r="E2588" s="1"/>
      <c r="F2588" s="1" t="s">
        <v>312</v>
      </c>
      <c r="G2588" s="1" t="s">
        <v>182</v>
      </c>
      <c r="H2588" s="1" t="s">
        <v>1405</v>
      </c>
      <c r="I2588">
        <v>2014</v>
      </c>
      <c r="J2588" s="93">
        <v>22586.12</v>
      </c>
      <c r="K2588">
        <v>12</v>
      </c>
      <c r="L2588" s="1" t="s">
        <v>471</v>
      </c>
      <c r="M2588">
        <v>0</v>
      </c>
      <c r="N2588">
        <v>152</v>
      </c>
      <c r="O2588">
        <v>148.49520000000001</v>
      </c>
      <c r="P2588">
        <v>1</v>
      </c>
      <c r="Q2588" s="1" t="s">
        <v>562</v>
      </c>
      <c r="R2588" s="93">
        <v>27136.25</v>
      </c>
      <c r="S2588">
        <v>1736.73</v>
      </c>
      <c r="T2588">
        <v>0</v>
      </c>
      <c r="U2588" s="1" t="s">
        <v>838</v>
      </c>
      <c r="V2588" s="1"/>
      <c r="W2588">
        <v>22586.118200000001</v>
      </c>
      <c r="X2588">
        <v>0</v>
      </c>
      <c r="Y2588">
        <v>77235</v>
      </c>
    </row>
    <row r="2589" spans="1:25" ht="15" hidden="1" customHeight="1" x14ac:dyDescent="0.25">
      <c r="A2589" s="1" t="s">
        <v>35</v>
      </c>
      <c r="B2589" s="1"/>
      <c r="C2589" s="1" t="s">
        <v>182</v>
      </c>
      <c r="D2589">
        <v>10182</v>
      </c>
      <c r="E2589" s="1"/>
      <c r="F2589" s="1" t="s">
        <v>312</v>
      </c>
      <c r="G2589" s="1" t="s">
        <v>182</v>
      </c>
      <c r="H2589" s="1" t="s">
        <v>1405</v>
      </c>
      <c r="I2589">
        <v>2013</v>
      </c>
      <c r="J2589" s="93">
        <v>3271.8</v>
      </c>
      <c r="K2589">
        <v>10</v>
      </c>
      <c r="L2589" s="1" t="s">
        <v>441</v>
      </c>
      <c r="M2589">
        <v>0</v>
      </c>
      <c r="N2589">
        <v>152</v>
      </c>
      <c r="O2589">
        <v>21.510847999999999</v>
      </c>
      <c r="P2589">
        <v>2</v>
      </c>
      <c r="Q2589" s="1" t="s">
        <v>569</v>
      </c>
      <c r="R2589" s="93">
        <v>3271.8</v>
      </c>
      <c r="S2589">
        <v>981.54</v>
      </c>
      <c r="T2589">
        <v>0</v>
      </c>
      <c r="U2589" s="1" t="s">
        <v>1055</v>
      </c>
      <c r="V2589" s="1" t="s">
        <v>1318</v>
      </c>
      <c r="W2589">
        <v>3271.8</v>
      </c>
      <c r="X2589">
        <v>0</v>
      </c>
      <c r="Y2589">
        <v>77233</v>
      </c>
    </row>
    <row r="2590" spans="1:25" ht="15" hidden="1" customHeight="1" x14ac:dyDescent="0.25">
      <c r="A2590" s="1" t="s">
        <v>35</v>
      </c>
      <c r="B2590" s="1"/>
      <c r="C2590" s="1" t="s">
        <v>183</v>
      </c>
      <c r="D2590">
        <v>10270</v>
      </c>
      <c r="E2590" s="1"/>
      <c r="F2590" s="1" t="s">
        <v>183</v>
      </c>
      <c r="G2590" s="1" t="s">
        <v>183</v>
      </c>
      <c r="H2590" s="1" t="s">
        <v>1405</v>
      </c>
      <c r="I2590">
        <v>2013</v>
      </c>
      <c r="J2590" s="93">
        <v>1822.05</v>
      </c>
      <c r="K2590">
        <v>12</v>
      </c>
      <c r="L2590" s="1" t="s">
        <v>443</v>
      </c>
      <c r="M2590">
        <v>0</v>
      </c>
      <c r="N2590">
        <v>96</v>
      </c>
      <c r="O2590">
        <v>18.959937</v>
      </c>
      <c r="P2590">
        <v>2</v>
      </c>
      <c r="Q2590" s="1" t="s">
        <v>569</v>
      </c>
      <c r="R2590" s="93">
        <v>1822.05</v>
      </c>
      <c r="S2590">
        <v>546.63</v>
      </c>
      <c r="T2590">
        <v>0</v>
      </c>
      <c r="U2590" s="1" t="s">
        <v>1058</v>
      </c>
      <c r="V2590" s="1" t="s">
        <v>1319</v>
      </c>
      <c r="W2590">
        <v>1822.0608999999999</v>
      </c>
      <c r="X2590">
        <v>0</v>
      </c>
      <c r="Y2590">
        <v>77650</v>
      </c>
    </row>
    <row r="2591" spans="1:25" ht="15" hidden="1" customHeight="1" x14ac:dyDescent="0.25">
      <c r="A2591" s="1" t="s">
        <v>35</v>
      </c>
      <c r="B2591" s="1" t="s">
        <v>76</v>
      </c>
      <c r="C2591" s="1" t="s">
        <v>184</v>
      </c>
      <c r="D2591">
        <v>5270</v>
      </c>
      <c r="E2591" s="1"/>
      <c r="F2591" s="1" t="s">
        <v>314</v>
      </c>
      <c r="G2591" s="1" t="s">
        <v>184</v>
      </c>
      <c r="H2591" s="1" t="s">
        <v>1405</v>
      </c>
      <c r="I2591">
        <v>2013</v>
      </c>
      <c r="J2591" s="93">
        <v>84407.34</v>
      </c>
      <c r="K2591">
        <v>12</v>
      </c>
      <c r="L2591" s="1"/>
      <c r="M2591">
        <v>0</v>
      </c>
      <c r="N2591">
        <v>2625</v>
      </c>
      <c r="O2591">
        <v>32.153951999999997</v>
      </c>
      <c r="P2591">
        <v>2</v>
      </c>
      <c r="Q2591" s="1" t="s">
        <v>569</v>
      </c>
      <c r="R2591" s="93">
        <v>84407.34</v>
      </c>
      <c r="S2591">
        <v>33762.949999999997</v>
      </c>
      <c r="T2591">
        <v>0</v>
      </c>
      <c r="U2591" s="1" t="s">
        <v>1059</v>
      </c>
      <c r="V2591" s="1"/>
      <c r="W2591">
        <v>84407.34</v>
      </c>
      <c r="X2591">
        <v>0</v>
      </c>
      <c r="Y2591">
        <v>56822</v>
      </c>
    </row>
    <row r="2592" spans="1:25" ht="15" hidden="1" customHeight="1" x14ac:dyDescent="0.25">
      <c r="A2592" s="1" t="s">
        <v>27</v>
      </c>
      <c r="B2592" s="1"/>
      <c r="C2592" s="1" t="s">
        <v>115</v>
      </c>
      <c r="D2592">
        <v>9970</v>
      </c>
      <c r="E2592" s="1"/>
      <c r="F2592" s="1" t="s">
        <v>260</v>
      </c>
      <c r="G2592" s="1" t="s">
        <v>115</v>
      </c>
      <c r="H2592" s="1" t="s">
        <v>1405</v>
      </c>
      <c r="I2592">
        <v>2014</v>
      </c>
      <c r="J2592" s="93">
        <v>80681.679999999993</v>
      </c>
      <c r="K2592">
        <v>12</v>
      </c>
      <c r="L2592" s="1" t="s">
        <v>405</v>
      </c>
      <c r="M2592">
        <v>0</v>
      </c>
      <c r="N2592">
        <v>864</v>
      </c>
      <c r="O2592">
        <v>93.370767000000001</v>
      </c>
      <c r="P2592">
        <v>1</v>
      </c>
      <c r="Q2592" s="1" t="s">
        <v>566</v>
      </c>
      <c r="R2592" s="93">
        <v>96568.14</v>
      </c>
      <c r="S2592">
        <v>19693.009999999998</v>
      </c>
      <c r="T2592">
        <v>0</v>
      </c>
      <c r="U2592" s="1" t="s">
        <v>768</v>
      </c>
      <c r="V2592" s="1" t="s">
        <v>1188</v>
      </c>
      <c r="W2592">
        <v>7203.7200999999995</v>
      </c>
      <c r="X2592">
        <v>0</v>
      </c>
      <c r="Y2592">
        <v>76389</v>
      </c>
    </row>
    <row r="2593" spans="1:25" ht="15" hidden="1" customHeight="1" x14ac:dyDescent="0.25">
      <c r="A2593" s="1" t="s">
        <v>35</v>
      </c>
      <c r="B2593" s="1" t="s">
        <v>73</v>
      </c>
      <c r="C2593" s="1" t="s">
        <v>174</v>
      </c>
      <c r="D2593">
        <v>14495</v>
      </c>
      <c r="E2593" s="1" t="s">
        <v>243</v>
      </c>
      <c r="F2593" s="1" t="s">
        <v>313</v>
      </c>
      <c r="G2593" s="1" t="s">
        <v>174</v>
      </c>
      <c r="H2593" s="1" t="s">
        <v>1405</v>
      </c>
      <c r="I2593">
        <v>2014</v>
      </c>
      <c r="J2593" s="93">
        <v>47348.91</v>
      </c>
      <c r="K2593">
        <v>12</v>
      </c>
      <c r="L2593" s="1" t="s">
        <v>442</v>
      </c>
      <c r="M2593">
        <v>0</v>
      </c>
      <c r="N2593">
        <v>878</v>
      </c>
      <c r="O2593">
        <v>53.922001999999999</v>
      </c>
      <c r="P2593">
        <v>1</v>
      </c>
      <c r="Q2593" s="1" t="s">
        <v>562</v>
      </c>
      <c r="R2593" s="93">
        <v>56460.83</v>
      </c>
      <c r="S2593">
        <v>3613.49</v>
      </c>
      <c r="T2593">
        <v>0</v>
      </c>
      <c r="U2593" s="1" t="s">
        <v>839</v>
      </c>
      <c r="V2593" s="1"/>
      <c r="W2593">
        <v>47348.91</v>
      </c>
      <c r="X2593">
        <v>0</v>
      </c>
      <c r="Y2593">
        <v>95930</v>
      </c>
    </row>
    <row r="2594" spans="1:25" ht="15" hidden="1" customHeight="1" x14ac:dyDescent="0.25">
      <c r="A2594" s="1" t="s">
        <v>35</v>
      </c>
      <c r="B2594" s="1"/>
      <c r="C2594" s="1" t="s">
        <v>237</v>
      </c>
      <c r="D2594">
        <v>5946</v>
      </c>
      <c r="E2594" s="1"/>
      <c r="F2594" s="1" t="s">
        <v>380</v>
      </c>
      <c r="G2594" s="1" t="s">
        <v>237</v>
      </c>
      <c r="H2594" s="1" t="s">
        <v>1405</v>
      </c>
      <c r="I2594">
        <v>2013</v>
      </c>
      <c r="J2594" s="93">
        <v>18661.39</v>
      </c>
      <c r="K2594">
        <v>12</v>
      </c>
      <c r="L2594" s="1" t="s">
        <v>426</v>
      </c>
      <c r="M2594">
        <v>0</v>
      </c>
      <c r="N2594">
        <v>393</v>
      </c>
      <c r="O2594">
        <v>47.472372999999997</v>
      </c>
      <c r="P2594">
        <v>2</v>
      </c>
      <c r="Q2594" s="1" t="s">
        <v>569</v>
      </c>
      <c r="R2594" s="93">
        <v>18661.39</v>
      </c>
      <c r="S2594">
        <v>7464.57</v>
      </c>
      <c r="T2594">
        <v>0</v>
      </c>
      <c r="U2594" s="1" t="s">
        <v>1060</v>
      </c>
      <c r="V2594" s="1" t="s">
        <v>1320</v>
      </c>
      <c r="W2594">
        <v>18661.407999999999</v>
      </c>
      <c r="X2594">
        <v>0</v>
      </c>
      <c r="Y2594">
        <v>59956</v>
      </c>
    </row>
    <row r="2595" spans="1:25" ht="15" hidden="1" customHeight="1" x14ac:dyDescent="0.25">
      <c r="A2595" s="1" t="s">
        <v>35</v>
      </c>
      <c r="B2595" s="1" t="s">
        <v>73</v>
      </c>
      <c r="C2595" s="1" t="s">
        <v>174</v>
      </c>
      <c r="D2595">
        <v>14495</v>
      </c>
      <c r="E2595" s="1" t="s">
        <v>243</v>
      </c>
      <c r="F2595" s="1" t="s">
        <v>313</v>
      </c>
      <c r="G2595" s="1" t="s">
        <v>174</v>
      </c>
      <c r="H2595" s="1" t="s">
        <v>1405</v>
      </c>
      <c r="I2595">
        <v>2014</v>
      </c>
      <c r="J2595" s="93">
        <v>177.1</v>
      </c>
      <c r="K2595">
        <v>12</v>
      </c>
      <c r="L2595" s="1" t="s">
        <v>442</v>
      </c>
      <c r="M2595">
        <v>0</v>
      </c>
      <c r="N2595">
        <v>878</v>
      </c>
      <c r="O2595">
        <v>0.201685</v>
      </c>
      <c r="P2595">
        <v>3</v>
      </c>
      <c r="Q2595" s="1" t="s">
        <v>560</v>
      </c>
      <c r="R2595" s="93">
        <v>177.1</v>
      </c>
      <c r="S2595">
        <v>141.68</v>
      </c>
      <c r="T2595">
        <v>0</v>
      </c>
      <c r="U2595" s="1" t="s">
        <v>663</v>
      </c>
      <c r="V2595" s="1"/>
      <c r="W2595">
        <v>177.09762000000001</v>
      </c>
      <c r="X2595">
        <v>0</v>
      </c>
      <c r="Y2595">
        <v>94941</v>
      </c>
    </row>
    <row r="2596" spans="1:25" ht="15" hidden="1" customHeight="1" x14ac:dyDescent="0.25">
      <c r="A2596" s="1" t="s">
        <v>35</v>
      </c>
      <c r="B2596" s="1"/>
      <c r="C2596" s="1" t="s">
        <v>183</v>
      </c>
      <c r="D2596">
        <v>10270</v>
      </c>
      <c r="E2596" s="1"/>
      <c r="F2596" s="1" t="s">
        <v>183</v>
      </c>
      <c r="G2596" s="1" t="s">
        <v>183</v>
      </c>
      <c r="H2596" s="1" t="s">
        <v>1405</v>
      </c>
      <c r="I2596">
        <v>2014</v>
      </c>
      <c r="J2596" s="93">
        <v>7.68</v>
      </c>
      <c r="K2596">
        <v>12</v>
      </c>
      <c r="L2596" s="1" t="s">
        <v>443</v>
      </c>
      <c r="M2596">
        <v>0</v>
      </c>
      <c r="N2596">
        <v>96</v>
      </c>
      <c r="O2596">
        <v>7.9916000000000001E-2</v>
      </c>
      <c r="P2596">
        <v>3</v>
      </c>
      <c r="Q2596" s="1" t="s">
        <v>560</v>
      </c>
      <c r="R2596" s="93">
        <v>7.68</v>
      </c>
      <c r="S2596">
        <v>6.14</v>
      </c>
      <c r="T2596">
        <v>0</v>
      </c>
      <c r="U2596" s="1" t="s">
        <v>664</v>
      </c>
      <c r="V2596" s="1"/>
      <c r="W2596">
        <v>7.665</v>
      </c>
      <c r="X2596">
        <v>0</v>
      </c>
      <c r="Y2596">
        <v>77651</v>
      </c>
    </row>
    <row r="2597" spans="1:25" ht="15" hidden="1" customHeight="1" x14ac:dyDescent="0.25">
      <c r="A2597" s="1" t="s">
        <v>35</v>
      </c>
      <c r="B2597" s="1"/>
      <c r="C2597" s="1" t="s">
        <v>183</v>
      </c>
      <c r="D2597">
        <v>10270</v>
      </c>
      <c r="E2597" s="1"/>
      <c r="F2597" s="1" t="s">
        <v>183</v>
      </c>
      <c r="G2597" s="1" t="s">
        <v>183</v>
      </c>
      <c r="H2597" s="1" t="s">
        <v>1405</v>
      </c>
      <c r="I2597">
        <v>2014</v>
      </c>
      <c r="J2597" s="93">
        <v>9095</v>
      </c>
      <c r="K2597">
        <v>12</v>
      </c>
      <c r="L2597" s="1" t="s">
        <v>459</v>
      </c>
      <c r="M2597">
        <v>0</v>
      </c>
      <c r="N2597">
        <v>96</v>
      </c>
      <c r="O2597">
        <v>94.640997999999996</v>
      </c>
      <c r="P2597">
        <v>1</v>
      </c>
      <c r="Q2597" s="1" t="s">
        <v>562</v>
      </c>
      <c r="R2597" s="93">
        <v>10897.12</v>
      </c>
      <c r="S2597">
        <v>697.42</v>
      </c>
      <c r="T2597">
        <v>0</v>
      </c>
      <c r="U2597" s="1" t="s">
        <v>841</v>
      </c>
      <c r="V2597" s="1"/>
      <c r="W2597">
        <v>9095</v>
      </c>
      <c r="X2597">
        <v>0</v>
      </c>
      <c r="Y2597">
        <v>77652</v>
      </c>
    </row>
    <row r="2598" spans="1:25" ht="15" hidden="1" customHeight="1" x14ac:dyDescent="0.25">
      <c r="A2598" s="1" t="s">
        <v>35</v>
      </c>
      <c r="B2598" s="1" t="s">
        <v>73</v>
      </c>
      <c r="C2598" s="1" t="s">
        <v>174</v>
      </c>
      <c r="D2598">
        <v>14495</v>
      </c>
      <c r="E2598" s="1" t="s">
        <v>243</v>
      </c>
      <c r="F2598" s="1" t="s">
        <v>313</v>
      </c>
      <c r="G2598" s="1" t="s">
        <v>174</v>
      </c>
      <c r="H2598" s="1" t="s">
        <v>1405</v>
      </c>
      <c r="I2598">
        <v>2015</v>
      </c>
      <c r="J2598" s="93">
        <v>287</v>
      </c>
      <c r="K2598">
        <v>5</v>
      </c>
      <c r="L2598" s="1" t="s">
        <v>442</v>
      </c>
      <c r="M2598">
        <v>0</v>
      </c>
      <c r="N2598">
        <v>878</v>
      </c>
      <c r="O2598">
        <v>0.130053</v>
      </c>
      <c r="P2598">
        <v>3</v>
      </c>
      <c r="Q2598" s="1" t="s">
        <v>560</v>
      </c>
      <c r="R2598" s="93">
        <v>114.2</v>
      </c>
      <c r="S2598">
        <v>91.36</v>
      </c>
      <c r="T2598">
        <v>0</v>
      </c>
      <c r="U2598" s="1" t="s">
        <v>663</v>
      </c>
      <c r="V2598" s="1"/>
      <c r="W2598">
        <v>114.2</v>
      </c>
      <c r="X2598">
        <v>0</v>
      </c>
      <c r="Y2598">
        <v>94941</v>
      </c>
    </row>
    <row r="2599" spans="1:25" ht="15" hidden="1" customHeight="1" x14ac:dyDescent="0.25">
      <c r="A2599" s="1" t="s">
        <v>32</v>
      </c>
      <c r="B2599" s="1"/>
      <c r="C2599" s="1" t="s">
        <v>167</v>
      </c>
      <c r="D2599">
        <v>10179</v>
      </c>
      <c r="E2599" s="1"/>
      <c r="F2599" s="1" t="s">
        <v>299</v>
      </c>
      <c r="G2599" s="1" t="s">
        <v>167</v>
      </c>
      <c r="H2599" s="1" t="s">
        <v>1405</v>
      </c>
      <c r="I2599">
        <v>2014</v>
      </c>
      <c r="J2599" s="93">
        <v>84519.4</v>
      </c>
      <c r="K2599">
        <v>12</v>
      </c>
      <c r="L2599" s="1" t="s">
        <v>487</v>
      </c>
      <c r="M2599">
        <v>0</v>
      </c>
      <c r="N2599">
        <v>792</v>
      </c>
      <c r="O2599">
        <v>106.702941</v>
      </c>
      <c r="P2599">
        <v>1</v>
      </c>
      <c r="Q2599" s="1" t="s">
        <v>564</v>
      </c>
      <c r="R2599" s="93">
        <v>100853.96</v>
      </c>
      <c r="S2599">
        <v>21328.75</v>
      </c>
      <c r="T2599">
        <v>0</v>
      </c>
      <c r="U2599" s="1" t="s">
        <v>823</v>
      </c>
      <c r="V2599" s="1" t="s">
        <v>1212</v>
      </c>
      <c r="W2599">
        <v>7825.87</v>
      </c>
      <c r="X2599">
        <v>0</v>
      </c>
      <c r="Y2599">
        <v>77212</v>
      </c>
    </row>
    <row r="2600" spans="1:25" ht="15" hidden="1" customHeight="1" x14ac:dyDescent="0.25">
      <c r="A2600" s="1" t="s">
        <v>35</v>
      </c>
      <c r="B2600" s="1" t="s">
        <v>76</v>
      </c>
      <c r="C2600" s="1" t="s">
        <v>184</v>
      </c>
      <c r="D2600">
        <v>5270</v>
      </c>
      <c r="E2600" s="1"/>
      <c r="F2600" s="1" t="s">
        <v>314</v>
      </c>
      <c r="G2600" s="1" t="s">
        <v>184</v>
      </c>
      <c r="H2600" s="1" t="s">
        <v>1405</v>
      </c>
      <c r="I2600">
        <v>2014</v>
      </c>
      <c r="J2600" s="93">
        <v>435.6</v>
      </c>
      <c r="K2600">
        <v>12</v>
      </c>
      <c r="L2600" s="1" t="s">
        <v>444</v>
      </c>
      <c r="M2600">
        <v>0</v>
      </c>
      <c r="N2600">
        <v>2625</v>
      </c>
      <c r="O2600">
        <v>0.165936</v>
      </c>
      <c r="P2600">
        <v>3</v>
      </c>
      <c r="Q2600" s="1" t="s">
        <v>560</v>
      </c>
      <c r="R2600" s="93">
        <v>435.6</v>
      </c>
      <c r="S2600">
        <v>348.47</v>
      </c>
      <c r="T2600">
        <v>0</v>
      </c>
      <c r="U2600" s="1" t="s">
        <v>665</v>
      </c>
      <c r="V2600" s="1"/>
      <c r="W2600">
        <v>435.59800000000001</v>
      </c>
      <c r="X2600">
        <v>0</v>
      </c>
      <c r="Y2600">
        <v>56824</v>
      </c>
    </row>
    <row r="2601" spans="1:25" ht="15" hidden="1" customHeight="1" x14ac:dyDescent="0.25">
      <c r="A2601" s="1" t="s">
        <v>35</v>
      </c>
      <c r="B2601" s="1" t="s">
        <v>75</v>
      </c>
      <c r="C2601" s="1" t="s">
        <v>179</v>
      </c>
      <c r="D2601">
        <v>5261</v>
      </c>
      <c r="E2601" s="1"/>
      <c r="F2601" s="1" t="s">
        <v>309</v>
      </c>
      <c r="G2601" s="1" t="s">
        <v>179</v>
      </c>
      <c r="H2601" s="1" t="s">
        <v>1405</v>
      </c>
      <c r="I2601">
        <v>2014</v>
      </c>
      <c r="J2601" s="93">
        <v>5612.98</v>
      </c>
      <c r="K2601">
        <v>12</v>
      </c>
      <c r="L2601" s="1" t="s">
        <v>402</v>
      </c>
      <c r="M2601">
        <v>0</v>
      </c>
      <c r="N2601">
        <v>309</v>
      </c>
      <c r="O2601">
        <v>18.159106999999999</v>
      </c>
      <c r="P2601">
        <v>2</v>
      </c>
      <c r="Q2601" s="1" t="s">
        <v>569</v>
      </c>
      <c r="R2601" s="93">
        <v>5612.98</v>
      </c>
      <c r="S2601">
        <v>2245.1999999999998</v>
      </c>
      <c r="T2601">
        <v>0</v>
      </c>
      <c r="U2601" s="1" t="s">
        <v>1048</v>
      </c>
      <c r="V2601" s="1"/>
      <c r="W2601">
        <v>5612.98</v>
      </c>
      <c r="X2601">
        <v>0</v>
      </c>
      <c r="Y2601">
        <v>56734</v>
      </c>
    </row>
    <row r="2602" spans="1:25" ht="15" hidden="1" customHeight="1" x14ac:dyDescent="0.25">
      <c r="A2602" s="1" t="s">
        <v>35</v>
      </c>
      <c r="B2602" s="1"/>
      <c r="C2602" s="1" t="s">
        <v>180</v>
      </c>
      <c r="D2602">
        <v>10318</v>
      </c>
      <c r="E2602" s="1"/>
      <c r="F2602" s="1" t="s">
        <v>310</v>
      </c>
      <c r="G2602" s="1" t="s">
        <v>180</v>
      </c>
      <c r="H2602" s="1" t="s">
        <v>1405</v>
      </c>
      <c r="I2602">
        <v>2014</v>
      </c>
      <c r="J2602" s="93">
        <v>2551.34</v>
      </c>
      <c r="K2602">
        <v>12</v>
      </c>
      <c r="L2602" s="1" t="s">
        <v>532</v>
      </c>
      <c r="M2602">
        <v>0</v>
      </c>
      <c r="N2602">
        <v>170</v>
      </c>
      <c r="O2602">
        <v>14.999059000000001</v>
      </c>
      <c r="P2602">
        <v>2</v>
      </c>
      <c r="Q2602" s="1" t="s">
        <v>569</v>
      </c>
      <c r="R2602" s="93">
        <v>2551.34</v>
      </c>
      <c r="S2602">
        <v>765.4</v>
      </c>
      <c r="T2602">
        <v>0</v>
      </c>
      <c r="U2602" s="1" t="s">
        <v>1049</v>
      </c>
      <c r="V2602" s="1" t="s">
        <v>1315</v>
      </c>
      <c r="W2602">
        <v>2551.3609999999999</v>
      </c>
      <c r="X2602">
        <v>0</v>
      </c>
      <c r="Y2602">
        <v>77792</v>
      </c>
    </row>
    <row r="2603" spans="1:25" ht="15" hidden="1" customHeight="1" x14ac:dyDescent="0.25">
      <c r="A2603" s="1" t="s">
        <v>35</v>
      </c>
      <c r="B2603" s="1"/>
      <c r="C2603" s="1" t="s">
        <v>181</v>
      </c>
      <c r="D2603">
        <v>10273</v>
      </c>
      <c r="E2603" s="1"/>
      <c r="F2603" s="1" t="s">
        <v>311</v>
      </c>
      <c r="G2603" s="1" t="s">
        <v>181</v>
      </c>
      <c r="H2603" s="1" t="s">
        <v>1405</v>
      </c>
      <c r="I2603">
        <v>2014</v>
      </c>
      <c r="J2603" s="93">
        <v>15782.48</v>
      </c>
      <c r="K2603">
        <v>12</v>
      </c>
      <c r="L2603" s="1" t="s">
        <v>399</v>
      </c>
      <c r="M2603">
        <v>0</v>
      </c>
      <c r="N2603">
        <v>400</v>
      </c>
      <c r="O2603">
        <v>39.446337999999997</v>
      </c>
      <c r="P2603">
        <v>2</v>
      </c>
      <c r="Q2603" s="1" t="s">
        <v>569</v>
      </c>
      <c r="R2603" s="93">
        <v>15782.48</v>
      </c>
      <c r="S2603">
        <v>4734.76</v>
      </c>
      <c r="T2603">
        <v>0</v>
      </c>
      <c r="U2603" s="1" t="s">
        <v>1050</v>
      </c>
      <c r="V2603" s="1" t="s">
        <v>1316</v>
      </c>
      <c r="W2603">
        <v>15782.4881</v>
      </c>
      <c r="X2603">
        <v>0</v>
      </c>
      <c r="Y2603">
        <v>77659</v>
      </c>
    </row>
    <row r="2604" spans="1:25" ht="15" hidden="1" customHeight="1" x14ac:dyDescent="0.25">
      <c r="A2604" s="1" t="s">
        <v>35</v>
      </c>
      <c r="B2604" s="1"/>
      <c r="C2604" s="1" t="s">
        <v>379</v>
      </c>
      <c r="D2604">
        <v>14571</v>
      </c>
      <c r="E2604" s="1" t="s">
        <v>243</v>
      </c>
      <c r="F2604" s="1" t="s">
        <v>379</v>
      </c>
      <c r="G2604" s="1" t="s">
        <v>379</v>
      </c>
      <c r="H2604" s="1" t="s">
        <v>1405</v>
      </c>
      <c r="I2604">
        <v>2012</v>
      </c>
      <c r="J2604" s="93">
        <v>456.35</v>
      </c>
      <c r="K2604">
        <v>1</v>
      </c>
      <c r="L2604" s="1" t="s">
        <v>531</v>
      </c>
      <c r="M2604">
        <v>0</v>
      </c>
      <c r="N2604">
        <v>0</v>
      </c>
      <c r="O2604">
        <v>4563.5</v>
      </c>
      <c r="P2604">
        <v>2</v>
      </c>
      <c r="Q2604" s="1" t="s">
        <v>569</v>
      </c>
      <c r="R2604" s="93">
        <v>456.35</v>
      </c>
      <c r="S2604">
        <v>182.54</v>
      </c>
      <c r="T2604">
        <v>0</v>
      </c>
      <c r="U2604" s="1" t="s">
        <v>1047</v>
      </c>
      <c r="V2604" s="1" t="s">
        <v>1314</v>
      </c>
      <c r="W2604">
        <v>456.35244</v>
      </c>
      <c r="X2604">
        <v>0</v>
      </c>
      <c r="Y2604">
        <v>95279</v>
      </c>
    </row>
    <row r="2605" spans="1:25" ht="15" hidden="1" customHeight="1" x14ac:dyDescent="0.25">
      <c r="A2605" s="1" t="s">
        <v>35</v>
      </c>
      <c r="B2605" s="1" t="s">
        <v>73</v>
      </c>
      <c r="C2605" s="1" t="s">
        <v>174</v>
      </c>
      <c r="D2605">
        <v>14495</v>
      </c>
      <c r="E2605" s="1" t="s">
        <v>243</v>
      </c>
      <c r="F2605" s="1" t="s">
        <v>313</v>
      </c>
      <c r="G2605" s="1" t="s">
        <v>174</v>
      </c>
      <c r="H2605" s="1" t="s">
        <v>1405</v>
      </c>
      <c r="I2605">
        <v>2013</v>
      </c>
      <c r="J2605" s="93">
        <v>1997.25</v>
      </c>
      <c r="K2605">
        <v>2</v>
      </c>
      <c r="L2605" s="1" t="s">
        <v>536</v>
      </c>
      <c r="M2605">
        <v>0</v>
      </c>
      <c r="N2605">
        <v>878</v>
      </c>
      <c r="O2605">
        <v>2.2745129999999998</v>
      </c>
      <c r="P2605">
        <v>2</v>
      </c>
      <c r="Q2605" s="1" t="s">
        <v>569</v>
      </c>
      <c r="R2605" s="93">
        <v>1997.25</v>
      </c>
      <c r="S2605">
        <v>599.17999999999995</v>
      </c>
      <c r="T2605">
        <v>0</v>
      </c>
      <c r="U2605" s="1" t="s">
        <v>1057</v>
      </c>
      <c r="V2605" s="1"/>
      <c r="W2605">
        <v>1997.25</v>
      </c>
      <c r="X2605">
        <v>0</v>
      </c>
      <c r="Y2605">
        <v>94940</v>
      </c>
    </row>
    <row r="2606" spans="1:25" ht="15" hidden="1" customHeight="1" x14ac:dyDescent="0.25">
      <c r="A2606" s="1" t="s">
        <v>35</v>
      </c>
      <c r="B2606" s="1"/>
      <c r="C2606" s="1" t="s">
        <v>236</v>
      </c>
      <c r="D2606">
        <v>5945</v>
      </c>
      <c r="E2606" s="1"/>
      <c r="F2606" s="1" t="s">
        <v>236</v>
      </c>
      <c r="G2606" s="1" t="s">
        <v>236</v>
      </c>
      <c r="H2606" s="1" t="s">
        <v>1405</v>
      </c>
      <c r="I2606">
        <v>2014</v>
      </c>
      <c r="J2606" s="93">
        <v>15928.36</v>
      </c>
      <c r="K2606">
        <v>12</v>
      </c>
      <c r="L2606" s="1"/>
      <c r="M2606">
        <v>0</v>
      </c>
      <c r="N2606">
        <v>506</v>
      </c>
      <c r="O2606">
        <v>31.472752</v>
      </c>
      <c r="P2606">
        <v>2</v>
      </c>
      <c r="Q2606" s="1" t="s">
        <v>569</v>
      </c>
      <c r="R2606" s="93">
        <v>15928.36</v>
      </c>
      <c r="S2606">
        <v>4778.5</v>
      </c>
      <c r="T2606">
        <v>0</v>
      </c>
      <c r="U2606" s="1" t="s">
        <v>1051</v>
      </c>
      <c r="V2606" s="1"/>
      <c r="W2606">
        <v>15928.3511</v>
      </c>
      <c r="X2606">
        <v>0</v>
      </c>
      <c r="Y2606">
        <v>94151</v>
      </c>
    </row>
    <row r="2607" spans="1:25" ht="15" hidden="1" customHeight="1" x14ac:dyDescent="0.25">
      <c r="A2607" s="1" t="s">
        <v>35</v>
      </c>
      <c r="B2607" s="1" t="s">
        <v>75</v>
      </c>
      <c r="C2607" s="1" t="s">
        <v>179</v>
      </c>
      <c r="D2607">
        <v>5261</v>
      </c>
      <c r="E2607" s="1"/>
      <c r="F2607" s="1" t="s">
        <v>309</v>
      </c>
      <c r="G2607" s="1" t="s">
        <v>179</v>
      </c>
      <c r="H2607" s="1" t="s">
        <v>1405</v>
      </c>
      <c r="I2607">
        <v>2012</v>
      </c>
      <c r="J2607" s="93">
        <v>6262.72</v>
      </c>
      <c r="K2607">
        <v>12</v>
      </c>
      <c r="L2607" s="1" t="s">
        <v>402</v>
      </c>
      <c r="M2607">
        <v>0</v>
      </c>
      <c r="N2607">
        <v>309</v>
      </c>
      <c r="O2607">
        <v>20.261144999999999</v>
      </c>
      <c r="P2607">
        <v>2</v>
      </c>
      <c r="Q2607" s="1" t="s">
        <v>569</v>
      </c>
      <c r="R2607" s="93">
        <v>6262.72</v>
      </c>
      <c r="S2607">
        <v>2505.09</v>
      </c>
      <c r="T2607">
        <v>0</v>
      </c>
      <c r="U2607" s="1" t="s">
        <v>1048</v>
      </c>
      <c r="V2607" s="1"/>
      <c r="W2607">
        <v>6262.72</v>
      </c>
      <c r="X2607">
        <v>0</v>
      </c>
      <c r="Y2607">
        <v>56734</v>
      </c>
    </row>
    <row r="2608" spans="1:25" ht="15" hidden="1" customHeight="1" x14ac:dyDescent="0.25">
      <c r="A2608" s="1" t="s">
        <v>35</v>
      </c>
      <c r="B2608" s="1" t="s">
        <v>75</v>
      </c>
      <c r="C2608" s="1" t="s">
        <v>179</v>
      </c>
      <c r="D2608">
        <v>5261</v>
      </c>
      <c r="E2608" s="1"/>
      <c r="F2608" s="1" t="s">
        <v>309</v>
      </c>
      <c r="G2608" s="1" t="s">
        <v>179</v>
      </c>
      <c r="H2608" s="1" t="s">
        <v>1405</v>
      </c>
      <c r="I2608">
        <v>2011</v>
      </c>
      <c r="J2608" s="93">
        <v>7450.22</v>
      </c>
      <c r="K2608">
        <v>12</v>
      </c>
      <c r="L2608" s="1" t="s">
        <v>402</v>
      </c>
      <c r="M2608">
        <v>0</v>
      </c>
      <c r="N2608">
        <v>309</v>
      </c>
      <c r="O2608">
        <v>24.102944000000001</v>
      </c>
      <c r="P2608">
        <v>2</v>
      </c>
      <c r="Q2608" s="1" t="s">
        <v>569</v>
      </c>
      <c r="R2608" s="93">
        <v>7450.22</v>
      </c>
      <c r="S2608">
        <v>3494.15</v>
      </c>
      <c r="T2608">
        <v>0</v>
      </c>
      <c r="U2608" s="1" t="s">
        <v>1048</v>
      </c>
      <c r="V2608" s="1"/>
      <c r="W2608">
        <v>7450.2169999999996</v>
      </c>
      <c r="X2608">
        <v>0</v>
      </c>
      <c r="Y2608">
        <v>56734</v>
      </c>
    </row>
    <row r="2609" spans="1:25" ht="15" hidden="1" customHeight="1" x14ac:dyDescent="0.25">
      <c r="A2609" s="1" t="s">
        <v>35</v>
      </c>
      <c r="B2609" s="1" t="s">
        <v>75</v>
      </c>
      <c r="C2609" s="1" t="s">
        <v>179</v>
      </c>
      <c r="D2609">
        <v>5261</v>
      </c>
      <c r="E2609" s="1"/>
      <c r="F2609" s="1" t="s">
        <v>309</v>
      </c>
      <c r="G2609" s="1" t="s">
        <v>179</v>
      </c>
      <c r="H2609" s="1" t="s">
        <v>1405</v>
      </c>
      <c r="I2609">
        <v>2010</v>
      </c>
      <c r="J2609" s="93">
        <v>8039.65</v>
      </c>
      <c r="K2609">
        <v>12</v>
      </c>
      <c r="L2609" s="1" t="s">
        <v>402</v>
      </c>
      <c r="M2609">
        <v>0</v>
      </c>
      <c r="N2609">
        <v>309</v>
      </c>
      <c r="O2609">
        <v>26.009867</v>
      </c>
      <c r="P2609">
        <v>2</v>
      </c>
      <c r="Q2609" s="1" t="s">
        <v>569</v>
      </c>
      <c r="R2609" s="93">
        <v>8039.65</v>
      </c>
      <c r="S2609">
        <v>3770.6</v>
      </c>
      <c r="T2609">
        <v>0</v>
      </c>
      <c r="U2609" s="1" t="s">
        <v>1048</v>
      </c>
      <c r="V2609" s="1"/>
      <c r="W2609">
        <v>8039.6630999999998</v>
      </c>
      <c r="X2609">
        <v>0</v>
      </c>
      <c r="Y2609">
        <v>56734</v>
      </c>
    </row>
    <row r="2610" spans="1:25" ht="15" hidden="1" customHeight="1" x14ac:dyDescent="0.25">
      <c r="A2610" s="1" t="s">
        <v>35</v>
      </c>
      <c r="B2610" s="1" t="s">
        <v>75</v>
      </c>
      <c r="C2610" s="1" t="s">
        <v>179</v>
      </c>
      <c r="D2610">
        <v>5261</v>
      </c>
      <c r="E2610" s="1"/>
      <c r="F2610" s="1" t="s">
        <v>309</v>
      </c>
      <c r="G2610" s="1" t="s">
        <v>179</v>
      </c>
      <c r="H2610" s="1" t="s">
        <v>1405</v>
      </c>
      <c r="I2610">
        <v>2009</v>
      </c>
      <c r="J2610" s="93">
        <v>4633.5</v>
      </c>
      <c r="K2610">
        <v>12</v>
      </c>
      <c r="L2610" s="1" t="s">
        <v>402</v>
      </c>
      <c r="M2610">
        <v>0</v>
      </c>
      <c r="N2610">
        <v>309</v>
      </c>
      <c r="O2610">
        <v>14.990294</v>
      </c>
      <c r="P2610">
        <v>2</v>
      </c>
      <c r="Q2610" s="1" t="s">
        <v>569</v>
      </c>
      <c r="R2610" s="93">
        <v>4633.5</v>
      </c>
      <c r="S2610">
        <v>2173.12</v>
      </c>
      <c r="T2610">
        <v>0</v>
      </c>
      <c r="U2610" s="1" t="s">
        <v>1048</v>
      </c>
      <c r="V2610" s="1"/>
      <c r="W2610">
        <v>4633.5</v>
      </c>
      <c r="X2610">
        <v>0</v>
      </c>
      <c r="Y2610">
        <v>56734</v>
      </c>
    </row>
    <row r="2611" spans="1:25" ht="15" hidden="1" customHeight="1" x14ac:dyDescent="0.25">
      <c r="A2611" s="1" t="s">
        <v>35</v>
      </c>
      <c r="B2611" s="1" t="s">
        <v>75</v>
      </c>
      <c r="C2611" s="1" t="s">
        <v>179</v>
      </c>
      <c r="D2611">
        <v>5261</v>
      </c>
      <c r="E2611" s="1"/>
      <c r="F2611" s="1" t="s">
        <v>309</v>
      </c>
      <c r="G2611" s="1" t="s">
        <v>179</v>
      </c>
      <c r="H2611" s="1" t="s">
        <v>1405</v>
      </c>
      <c r="I2611">
        <v>2008</v>
      </c>
      <c r="J2611" s="93">
        <v>6491.98</v>
      </c>
      <c r="K2611">
        <v>12</v>
      </c>
      <c r="L2611" s="1" t="s">
        <v>402</v>
      </c>
      <c r="M2611">
        <v>0</v>
      </c>
      <c r="N2611">
        <v>309</v>
      </c>
      <c r="O2611">
        <v>21.002846000000002</v>
      </c>
      <c r="P2611">
        <v>2</v>
      </c>
      <c r="Q2611" s="1" t="s">
        <v>569</v>
      </c>
      <c r="R2611" s="93">
        <v>6491.98</v>
      </c>
      <c r="S2611">
        <v>3044.75</v>
      </c>
      <c r="T2611">
        <v>0</v>
      </c>
      <c r="U2611" s="1" t="s">
        <v>1048</v>
      </c>
      <c r="V2611" s="1"/>
      <c r="W2611">
        <v>6491.98</v>
      </c>
      <c r="X2611">
        <v>0</v>
      </c>
      <c r="Y2611">
        <v>56734</v>
      </c>
    </row>
    <row r="2612" spans="1:25" ht="15" hidden="1" customHeight="1" x14ac:dyDescent="0.25">
      <c r="A2612" s="1" t="s">
        <v>35</v>
      </c>
      <c r="B2612" s="1"/>
      <c r="C2612" s="1" t="s">
        <v>182</v>
      </c>
      <c r="D2612">
        <v>10182</v>
      </c>
      <c r="E2612" s="1"/>
      <c r="F2612" s="1" t="s">
        <v>312</v>
      </c>
      <c r="G2612" s="1" t="s">
        <v>182</v>
      </c>
      <c r="H2612" s="1" t="s">
        <v>1405</v>
      </c>
      <c r="I2612">
        <v>2014</v>
      </c>
      <c r="J2612" s="93">
        <f>3200+2294.05</f>
        <v>5494.05</v>
      </c>
      <c r="K2612">
        <v>10</v>
      </c>
      <c r="L2612" s="1" t="s">
        <v>441</v>
      </c>
      <c r="M2612">
        <v>0</v>
      </c>
      <c r="N2612">
        <v>152</v>
      </c>
      <c r="O2612">
        <v>15.082511</v>
      </c>
      <c r="P2612">
        <v>2</v>
      </c>
      <c r="Q2612" s="1" t="s">
        <v>569</v>
      </c>
      <c r="R2612" s="93">
        <f>2294.05+3200</f>
        <v>5494.05</v>
      </c>
      <c r="S2612">
        <v>688.23</v>
      </c>
      <c r="T2612">
        <v>0</v>
      </c>
      <c r="U2612" s="1" t="s">
        <v>1055</v>
      </c>
      <c r="V2612" s="1" t="s">
        <v>1318</v>
      </c>
      <c r="W2612">
        <v>2294.0551999999998</v>
      </c>
      <c r="X2612">
        <v>0</v>
      </c>
      <c r="Y2612">
        <v>77233</v>
      </c>
    </row>
    <row r="2613" spans="1:25" ht="15" hidden="1" customHeight="1" x14ac:dyDescent="0.25">
      <c r="A2613" s="1" t="s">
        <v>35</v>
      </c>
      <c r="B2613" s="1" t="s">
        <v>73</v>
      </c>
      <c r="C2613" s="1" t="s">
        <v>174</v>
      </c>
      <c r="D2613">
        <v>14495</v>
      </c>
      <c r="E2613" s="1" t="s">
        <v>243</v>
      </c>
      <c r="F2613" s="1" t="s">
        <v>313</v>
      </c>
      <c r="G2613" s="1" t="s">
        <v>174</v>
      </c>
      <c r="H2613" s="1" t="s">
        <v>1405</v>
      </c>
      <c r="I2613">
        <v>2014</v>
      </c>
      <c r="J2613" s="93">
        <v>2772.75</v>
      </c>
      <c r="K2613">
        <v>3</v>
      </c>
      <c r="L2613" s="1" t="s">
        <v>536</v>
      </c>
      <c r="M2613">
        <v>0</v>
      </c>
      <c r="N2613">
        <v>878</v>
      </c>
      <c r="O2613">
        <v>3.1576689999999998</v>
      </c>
      <c r="P2613">
        <v>2</v>
      </c>
      <c r="Q2613" s="1" t="s">
        <v>569</v>
      </c>
      <c r="R2613" s="93">
        <v>2772.75</v>
      </c>
      <c r="S2613">
        <v>831.83</v>
      </c>
      <c r="T2613">
        <v>0</v>
      </c>
      <c r="U2613" s="1" t="s">
        <v>1057</v>
      </c>
      <c r="V2613" s="1"/>
      <c r="W2613">
        <v>2772.75</v>
      </c>
      <c r="X2613">
        <v>0</v>
      </c>
      <c r="Y2613">
        <v>94940</v>
      </c>
    </row>
    <row r="2614" spans="1:25" ht="15" hidden="1" customHeight="1" x14ac:dyDescent="0.25">
      <c r="A2614" s="1" t="s">
        <v>35</v>
      </c>
      <c r="B2614" s="1"/>
      <c r="C2614" s="1" t="s">
        <v>180</v>
      </c>
      <c r="D2614">
        <v>10318</v>
      </c>
      <c r="E2614" s="1"/>
      <c r="F2614" s="1" t="s">
        <v>310</v>
      </c>
      <c r="G2614" s="1" t="s">
        <v>180</v>
      </c>
      <c r="H2614" s="1" t="s">
        <v>1405</v>
      </c>
      <c r="I2614">
        <v>2012</v>
      </c>
      <c r="J2614" s="93">
        <v>2415.71</v>
      </c>
      <c r="K2614">
        <v>12</v>
      </c>
      <c r="L2614" s="1" t="s">
        <v>532</v>
      </c>
      <c r="M2614">
        <v>0</v>
      </c>
      <c r="N2614">
        <v>170</v>
      </c>
      <c r="O2614">
        <v>14.201703999999999</v>
      </c>
      <c r="P2614">
        <v>2</v>
      </c>
      <c r="Q2614" s="1" t="s">
        <v>569</v>
      </c>
      <c r="R2614" s="93">
        <v>2415.71</v>
      </c>
      <c r="S2614">
        <v>966.29</v>
      </c>
      <c r="T2614">
        <v>0</v>
      </c>
      <c r="U2614" s="1" t="s">
        <v>1049</v>
      </c>
      <c r="V2614" s="1" t="s">
        <v>1315</v>
      </c>
      <c r="W2614">
        <v>2415.7240000000002</v>
      </c>
      <c r="X2614">
        <v>0</v>
      </c>
      <c r="Y2614">
        <v>77792</v>
      </c>
    </row>
    <row r="2615" spans="1:25" ht="15" hidden="1" customHeight="1" x14ac:dyDescent="0.25">
      <c r="A2615" s="1" t="s">
        <v>35</v>
      </c>
      <c r="B2615" s="1"/>
      <c r="C2615" s="1" t="s">
        <v>180</v>
      </c>
      <c r="D2615">
        <v>10318</v>
      </c>
      <c r="E2615" s="1"/>
      <c r="F2615" s="1" t="s">
        <v>310</v>
      </c>
      <c r="G2615" s="1" t="s">
        <v>180</v>
      </c>
      <c r="H2615" s="1" t="s">
        <v>1405</v>
      </c>
      <c r="I2615">
        <v>2011</v>
      </c>
      <c r="J2615" s="93">
        <v>2692.88</v>
      </c>
      <c r="K2615">
        <v>12</v>
      </c>
      <c r="L2615" s="1" t="s">
        <v>532</v>
      </c>
      <c r="M2615">
        <v>0</v>
      </c>
      <c r="N2615">
        <v>170</v>
      </c>
      <c r="O2615">
        <v>15.831158</v>
      </c>
      <c r="P2615">
        <v>2</v>
      </c>
      <c r="Q2615" s="1" t="s">
        <v>569</v>
      </c>
      <c r="R2615" s="93">
        <v>2692.88</v>
      </c>
      <c r="S2615">
        <v>1262.97</v>
      </c>
      <c r="T2615">
        <v>0</v>
      </c>
      <c r="U2615" s="1" t="s">
        <v>1049</v>
      </c>
      <c r="V2615" s="1" t="s">
        <v>1315</v>
      </c>
      <c r="W2615">
        <v>2692.8850000000002</v>
      </c>
      <c r="X2615">
        <v>0</v>
      </c>
      <c r="Y2615">
        <v>77792</v>
      </c>
    </row>
    <row r="2616" spans="1:25" ht="15" hidden="1" customHeight="1" x14ac:dyDescent="0.25">
      <c r="A2616" s="1" t="s">
        <v>35</v>
      </c>
      <c r="B2616" s="1"/>
      <c r="C2616" s="1" t="s">
        <v>180</v>
      </c>
      <c r="D2616">
        <v>10318</v>
      </c>
      <c r="E2616" s="1"/>
      <c r="F2616" s="1" t="s">
        <v>310</v>
      </c>
      <c r="G2616" s="1" t="s">
        <v>180</v>
      </c>
      <c r="H2616" s="1" t="s">
        <v>1405</v>
      </c>
      <c r="I2616">
        <v>2010</v>
      </c>
      <c r="J2616" s="93">
        <v>2472.4699999999998</v>
      </c>
      <c r="K2616">
        <v>9</v>
      </c>
      <c r="L2616" s="1" t="s">
        <v>532</v>
      </c>
      <c r="M2616">
        <v>0</v>
      </c>
      <c r="N2616">
        <v>170</v>
      </c>
      <c r="O2616">
        <v>14.53539</v>
      </c>
      <c r="P2616">
        <v>2</v>
      </c>
      <c r="Q2616" s="1" t="s">
        <v>569</v>
      </c>
      <c r="R2616" s="93">
        <v>2472.4699999999998</v>
      </c>
      <c r="S2616">
        <v>1159.5899999999999</v>
      </c>
      <c r="T2616">
        <v>0</v>
      </c>
      <c r="U2616" s="1" t="s">
        <v>1049</v>
      </c>
      <c r="V2616" s="1" t="s">
        <v>1315</v>
      </c>
      <c r="W2616">
        <v>2472.4736800000001</v>
      </c>
      <c r="X2616">
        <v>0</v>
      </c>
      <c r="Y2616">
        <v>77792</v>
      </c>
    </row>
    <row r="2617" spans="1:25" ht="15" hidden="1" customHeight="1" x14ac:dyDescent="0.25">
      <c r="A2617" s="1" t="s">
        <v>35</v>
      </c>
      <c r="B2617" s="1"/>
      <c r="C2617" s="1" t="s">
        <v>180</v>
      </c>
      <c r="D2617">
        <v>10318</v>
      </c>
      <c r="E2617" s="1"/>
      <c r="F2617" s="1" t="s">
        <v>310</v>
      </c>
      <c r="G2617" s="1" t="s">
        <v>180</v>
      </c>
      <c r="H2617" s="1" t="s">
        <v>1405</v>
      </c>
      <c r="I2617">
        <v>2009</v>
      </c>
      <c r="J2617" s="93">
        <v>2464.35</v>
      </c>
      <c r="K2617">
        <v>4</v>
      </c>
      <c r="L2617" s="1" t="s">
        <v>532</v>
      </c>
      <c r="M2617">
        <v>0</v>
      </c>
      <c r="N2617">
        <v>170</v>
      </c>
      <c r="O2617">
        <v>14.487653999999999</v>
      </c>
      <c r="P2617">
        <v>2</v>
      </c>
      <c r="Q2617" s="1" t="s">
        <v>569</v>
      </c>
      <c r="R2617" s="93">
        <v>2464.35</v>
      </c>
      <c r="S2617">
        <v>1155.77</v>
      </c>
      <c r="T2617">
        <v>0</v>
      </c>
      <c r="U2617" s="1" t="s">
        <v>1049</v>
      </c>
      <c r="V2617" s="1" t="s">
        <v>1315</v>
      </c>
      <c r="W2617">
        <v>2464.3424500000001</v>
      </c>
      <c r="X2617">
        <v>0</v>
      </c>
      <c r="Y2617">
        <v>77792</v>
      </c>
    </row>
    <row r="2618" spans="1:25" ht="15" hidden="1" customHeight="1" x14ac:dyDescent="0.25">
      <c r="A2618" s="1" t="s">
        <v>35</v>
      </c>
      <c r="B2618" s="1"/>
      <c r="C2618" s="1" t="s">
        <v>180</v>
      </c>
      <c r="D2618">
        <v>10318</v>
      </c>
      <c r="E2618" s="1"/>
      <c r="F2618" s="1" t="s">
        <v>310</v>
      </c>
      <c r="G2618" s="1" t="s">
        <v>180</v>
      </c>
      <c r="H2618" s="1" t="s">
        <v>1405</v>
      </c>
      <c r="I2618">
        <v>2008</v>
      </c>
      <c r="J2618" s="93">
        <v>2529.15</v>
      </c>
      <c r="K2618">
        <v>3</v>
      </c>
      <c r="L2618" s="1" t="s">
        <v>532</v>
      </c>
      <c r="M2618">
        <v>0</v>
      </c>
      <c r="N2618">
        <v>170</v>
      </c>
      <c r="O2618">
        <v>14.868606</v>
      </c>
      <c r="P2618">
        <v>2</v>
      </c>
      <c r="Q2618" s="1" t="s">
        <v>569</v>
      </c>
      <c r="R2618" s="93">
        <v>2529.15</v>
      </c>
      <c r="S2618">
        <v>1186.1400000000001</v>
      </c>
      <c r="T2618">
        <v>0</v>
      </c>
      <c r="U2618" s="1" t="s">
        <v>1049</v>
      </c>
      <c r="V2618" s="1" t="s">
        <v>1315</v>
      </c>
      <c r="W2618">
        <v>2529.1252899999999</v>
      </c>
      <c r="X2618">
        <v>0</v>
      </c>
      <c r="Y2618">
        <v>77792</v>
      </c>
    </row>
    <row r="2619" spans="1:25" ht="15" hidden="1" customHeight="1" x14ac:dyDescent="0.25">
      <c r="A2619" s="1" t="s">
        <v>35</v>
      </c>
      <c r="B2619" s="1" t="s">
        <v>73</v>
      </c>
      <c r="C2619" s="1" t="s">
        <v>174</v>
      </c>
      <c r="D2619">
        <v>14495</v>
      </c>
      <c r="E2619" s="1" t="s">
        <v>243</v>
      </c>
      <c r="F2619" s="1" t="s">
        <v>313</v>
      </c>
      <c r="G2619" s="1" t="s">
        <v>174</v>
      </c>
      <c r="H2619" s="1" t="s">
        <v>1405</v>
      </c>
      <c r="I2619">
        <v>2014</v>
      </c>
      <c r="J2619" s="93">
        <v>660</v>
      </c>
      <c r="K2619">
        <v>3</v>
      </c>
      <c r="L2619" s="1" t="s">
        <v>537</v>
      </c>
      <c r="M2619">
        <v>0</v>
      </c>
      <c r="N2619">
        <v>878</v>
      </c>
      <c r="O2619">
        <v>0.75162200000000001</v>
      </c>
      <c r="P2619">
        <v>2</v>
      </c>
      <c r="Q2619" s="1" t="s">
        <v>569</v>
      </c>
      <c r="R2619" s="93">
        <v>660</v>
      </c>
      <c r="S2619">
        <v>198</v>
      </c>
      <c r="T2619">
        <v>0</v>
      </c>
      <c r="U2619" s="1" t="s">
        <v>1056</v>
      </c>
      <c r="V2619" s="1"/>
      <c r="W2619">
        <v>660</v>
      </c>
      <c r="X2619">
        <v>0</v>
      </c>
      <c r="Y2619">
        <v>96076</v>
      </c>
    </row>
    <row r="2620" spans="1:25" ht="15" hidden="1" customHeight="1" x14ac:dyDescent="0.25">
      <c r="A2620" s="1" t="s">
        <v>35</v>
      </c>
      <c r="B2620" s="1"/>
      <c r="C2620" s="1" t="s">
        <v>183</v>
      </c>
      <c r="D2620">
        <v>10270</v>
      </c>
      <c r="E2620" s="1"/>
      <c r="F2620" s="1" t="s">
        <v>183</v>
      </c>
      <c r="G2620" s="1" t="s">
        <v>183</v>
      </c>
      <c r="H2620" s="1" t="s">
        <v>1405</v>
      </c>
      <c r="I2620">
        <v>2014</v>
      </c>
      <c r="J2620" s="93">
        <v>1539.18</v>
      </c>
      <c r="K2620">
        <v>12</v>
      </c>
      <c r="L2620" s="1" t="s">
        <v>443</v>
      </c>
      <c r="M2620">
        <v>0</v>
      </c>
      <c r="N2620">
        <v>96</v>
      </c>
      <c r="O2620">
        <v>16.016441</v>
      </c>
      <c r="P2620">
        <v>2</v>
      </c>
      <c r="Q2620" s="1" t="s">
        <v>569</v>
      </c>
      <c r="R2620" s="93">
        <v>1539.18</v>
      </c>
      <c r="S2620">
        <v>461.73</v>
      </c>
      <c r="T2620">
        <v>0</v>
      </c>
      <c r="U2620" s="1" t="s">
        <v>1058</v>
      </c>
      <c r="V2620" s="1" t="s">
        <v>1319</v>
      </c>
      <c r="W2620">
        <v>1539.1780000000001</v>
      </c>
      <c r="X2620">
        <v>0</v>
      </c>
      <c r="Y2620">
        <v>77650</v>
      </c>
    </row>
    <row r="2621" spans="1:25" ht="15" hidden="1" customHeight="1" x14ac:dyDescent="0.25">
      <c r="A2621" s="1" t="s">
        <v>35</v>
      </c>
      <c r="B2621" s="1"/>
      <c r="C2621" s="1" t="s">
        <v>181</v>
      </c>
      <c r="D2621">
        <v>10273</v>
      </c>
      <c r="E2621" s="1"/>
      <c r="F2621" s="1" t="s">
        <v>311</v>
      </c>
      <c r="G2621" s="1" t="s">
        <v>181</v>
      </c>
      <c r="H2621" s="1" t="s">
        <v>1405</v>
      </c>
      <c r="I2621">
        <v>2012</v>
      </c>
      <c r="J2621" s="93">
        <v>13766.87</v>
      </c>
      <c r="K2621">
        <v>12</v>
      </c>
      <c r="L2621" s="1" t="s">
        <v>399</v>
      </c>
      <c r="M2621">
        <v>0</v>
      </c>
      <c r="N2621">
        <v>400</v>
      </c>
      <c r="O2621">
        <v>34.408571999999999</v>
      </c>
      <c r="P2621">
        <v>2</v>
      </c>
      <c r="Q2621" s="1" t="s">
        <v>569</v>
      </c>
      <c r="R2621" s="93">
        <v>13766.87</v>
      </c>
      <c r="S2621">
        <v>5506.74</v>
      </c>
      <c r="T2621">
        <v>0</v>
      </c>
      <c r="U2621" s="1" t="s">
        <v>1050</v>
      </c>
      <c r="V2621" s="1" t="s">
        <v>1316</v>
      </c>
      <c r="W2621">
        <v>13766.870999999999</v>
      </c>
      <c r="X2621">
        <v>0</v>
      </c>
      <c r="Y2621">
        <v>77659</v>
      </c>
    </row>
    <row r="2622" spans="1:25" ht="15" hidden="1" customHeight="1" x14ac:dyDescent="0.25">
      <c r="A2622" s="1" t="s">
        <v>35</v>
      </c>
      <c r="B2622" s="1"/>
      <c r="C2622" s="1" t="s">
        <v>181</v>
      </c>
      <c r="D2622">
        <v>10273</v>
      </c>
      <c r="E2622" s="1"/>
      <c r="F2622" s="1" t="s">
        <v>311</v>
      </c>
      <c r="G2622" s="1" t="s">
        <v>181</v>
      </c>
      <c r="H2622" s="1" t="s">
        <v>1405</v>
      </c>
      <c r="I2622">
        <v>2011</v>
      </c>
      <c r="J2622" s="93">
        <v>17283.87</v>
      </c>
      <c r="K2622">
        <v>15</v>
      </c>
      <c r="L2622" s="1" t="s">
        <v>399</v>
      </c>
      <c r="M2622">
        <v>0</v>
      </c>
      <c r="N2622">
        <v>400</v>
      </c>
      <c r="O2622">
        <v>43.198875000000001</v>
      </c>
      <c r="P2622">
        <v>2</v>
      </c>
      <c r="Q2622" s="1" t="s">
        <v>569</v>
      </c>
      <c r="R2622" s="93">
        <v>17283.87</v>
      </c>
      <c r="S2622">
        <v>8106.16</v>
      </c>
      <c r="T2622">
        <v>0</v>
      </c>
      <c r="U2622" s="1" t="s">
        <v>1050</v>
      </c>
      <c r="V2622" s="1" t="s">
        <v>1316</v>
      </c>
      <c r="W2622">
        <v>17283.87499</v>
      </c>
      <c r="X2622">
        <v>0</v>
      </c>
      <c r="Y2622">
        <v>77659</v>
      </c>
    </row>
    <row r="2623" spans="1:25" ht="15" hidden="1" customHeight="1" x14ac:dyDescent="0.25">
      <c r="A2623" s="1" t="s">
        <v>35</v>
      </c>
      <c r="B2623" s="1"/>
      <c r="C2623" s="1" t="s">
        <v>181</v>
      </c>
      <c r="D2623">
        <v>10273</v>
      </c>
      <c r="E2623" s="1"/>
      <c r="F2623" s="1" t="s">
        <v>311</v>
      </c>
      <c r="G2623" s="1" t="s">
        <v>181</v>
      </c>
      <c r="H2623" s="1" t="s">
        <v>1405</v>
      </c>
      <c r="I2623">
        <v>2010</v>
      </c>
      <c r="J2623" s="93">
        <v>18704.16</v>
      </c>
      <c r="K2623">
        <v>11</v>
      </c>
      <c r="L2623" s="1" t="s">
        <v>399</v>
      </c>
      <c r="M2623">
        <v>0</v>
      </c>
      <c r="N2623">
        <v>400</v>
      </c>
      <c r="O2623">
        <v>46.748711999999998</v>
      </c>
      <c r="P2623">
        <v>2</v>
      </c>
      <c r="Q2623" s="1" t="s">
        <v>569</v>
      </c>
      <c r="R2623" s="93">
        <v>18704.16</v>
      </c>
      <c r="S2623">
        <v>8772.23</v>
      </c>
      <c r="T2623">
        <v>0</v>
      </c>
      <c r="U2623" s="1" t="s">
        <v>1050</v>
      </c>
      <c r="V2623" s="1" t="s">
        <v>1316</v>
      </c>
      <c r="W2623">
        <v>18704.153579999998</v>
      </c>
      <c r="X2623">
        <v>0</v>
      </c>
      <c r="Y2623">
        <v>77659</v>
      </c>
    </row>
    <row r="2624" spans="1:25" ht="15" hidden="1" customHeight="1" x14ac:dyDescent="0.25">
      <c r="A2624" s="1" t="s">
        <v>35</v>
      </c>
      <c r="B2624" s="1"/>
      <c r="C2624" s="1" t="s">
        <v>181</v>
      </c>
      <c r="D2624">
        <v>10273</v>
      </c>
      <c r="E2624" s="1"/>
      <c r="F2624" s="1" t="s">
        <v>311</v>
      </c>
      <c r="G2624" s="1" t="s">
        <v>181</v>
      </c>
      <c r="H2624" s="1" t="s">
        <v>1405</v>
      </c>
      <c r="I2624">
        <v>2009</v>
      </c>
      <c r="J2624" s="93">
        <v>17244.75</v>
      </c>
      <c r="K2624">
        <v>12</v>
      </c>
      <c r="L2624" s="1" t="s">
        <v>399</v>
      </c>
      <c r="M2624">
        <v>0</v>
      </c>
      <c r="N2624">
        <v>400</v>
      </c>
      <c r="O2624">
        <v>43.101098999999998</v>
      </c>
      <c r="P2624">
        <v>2</v>
      </c>
      <c r="Q2624" s="1" t="s">
        <v>569</v>
      </c>
      <c r="R2624" s="93">
        <v>17244.75</v>
      </c>
      <c r="S2624">
        <v>8087.8</v>
      </c>
      <c r="T2624">
        <v>0</v>
      </c>
      <c r="U2624" s="1" t="s">
        <v>1050</v>
      </c>
      <c r="V2624" s="1" t="s">
        <v>1316</v>
      </c>
      <c r="W2624">
        <v>17244.742849999999</v>
      </c>
      <c r="X2624">
        <v>0</v>
      </c>
      <c r="Y2624">
        <v>77659</v>
      </c>
    </row>
    <row r="2625" spans="1:25" ht="15" hidden="1" customHeight="1" x14ac:dyDescent="0.25">
      <c r="A2625" s="1" t="s">
        <v>35</v>
      </c>
      <c r="B2625" s="1"/>
      <c r="C2625" s="1" t="s">
        <v>181</v>
      </c>
      <c r="D2625">
        <v>10273</v>
      </c>
      <c r="E2625" s="1"/>
      <c r="F2625" s="1" t="s">
        <v>311</v>
      </c>
      <c r="G2625" s="1" t="s">
        <v>181</v>
      </c>
      <c r="H2625" s="1" t="s">
        <v>1405</v>
      </c>
      <c r="I2625">
        <v>2008</v>
      </c>
      <c r="J2625" s="93">
        <v>16763.87</v>
      </c>
      <c r="K2625">
        <v>5</v>
      </c>
      <c r="L2625" s="1" t="s">
        <v>399</v>
      </c>
      <c r="M2625">
        <v>0</v>
      </c>
      <c r="N2625">
        <v>400</v>
      </c>
      <c r="O2625">
        <v>41.8992</v>
      </c>
      <c r="P2625">
        <v>2</v>
      </c>
      <c r="Q2625" s="1" t="s">
        <v>569</v>
      </c>
      <c r="R2625" s="93">
        <v>16763.87</v>
      </c>
      <c r="S2625">
        <v>7862.26</v>
      </c>
      <c r="T2625">
        <v>0</v>
      </c>
      <c r="U2625" s="1" t="s">
        <v>1050</v>
      </c>
      <c r="V2625" s="1" t="s">
        <v>1316</v>
      </c>
      <c r="W2625">
        <v>16763.86764</v>
      </c>
      <c r="X2625">
        <v>0</v>
      </c>
      <c r="Y2625">
        <v>77659</v>
      </c>
    </row>
    <row r="2626" spans="1:25" ht="15" hidden="1" customHeight="1" x14ac:dyDescent="0.25">
      <c r="A2626" s="1" t="s">
        <v>35</v>
      </c>
      <c r="B2626" s="1" t="s">
        <v>76</v>
      </c>
      <c r="C2626" s="1" t="s">
        <v>184</v>
      </c>
      <c r="D2626">
        <v>5270</v>
      </c>
      <c r="E2626" s="1"/>
      <c r="F2626" s="1" t="s">
        <v>314</v>
      </c>
      <c r="G2626" s="1" t="s">
        <v>184</v>
      </c>
      <c r="H2626" s="1" t="s">
        <v>1405</v>
      </c>
      <c r="I2626">
        <v>2014</v>
      </c>
      <c r="J2626" s="93">
        <v>66480.53</v>
      </c>
      <c r="K2626">
        <v>12</v>
      </c>
      <c r="L2626" s="1"/>
      <c r="M2626">
        <v>0</v>
      </c>
      <c r="N2626">
        <v>2625</v>
      </c>
      <c r="O2626">
        <v>25.324950999999999</v>
      </c>
      <c r="P2626">
        <v>2</v>
      </c>
      <c r="Q2626" s="1" t="s">
        <v>569</v>
      </c>
      <c r="R2626" s="93">
        <v>66480.53</v>
      </c>
      <c r="S2626">
        <v>26592.2</v>
      </c>
      <c r="T2626">
        <v>0</v>
      </c>
      <c r="U2626" s="1" t="s">
        <v>1059</v>
      </c>
      <c r="V2626" s="1"/>
      <c r="W2626">
        <v>66480.528000000006</v>
      </c>
      <c r="X2626">
        <v>0</v>
      </c>
      <c r="Y2626">
        <v>56822</v>
      </c>
    </row>
    <row r="2627" spans="1:25" ht="15" hidden="1" customHeight="1" x14ac:dyDescent="0.25">
      <c r="A2627" s="1" t="s">
        <v>35</v>
      </c>
      <c r="B2627" s="1"/>
      <c r="C2627" s="1" t="s">
        <v>379</v>
      </c>
      <c r="D2627">
        <v>14571</v>
      </c>
      <c r="E2627" s="1" t="s">
        <v>243</v>
      </c>
      <c r="F2627" s="1" t="s">
        <v>379</v>
      </c>
      <c r="G2627" s="1" t="s">
        <v>379</v>
      </c>
      <c r="H2627" s="1" t="s">
        <v>1405</v>
      </c>
      <c r="I2627">
        <v>2014</v>
      </c>
      <c r="J2627" s="93">
        <v>11276</v>
      </c>
      <c r="K2627">
        <v>2</v>
      </c>
      <c r="L2627" s="1" t="s">
        <v>531</v>
      </c>
      <c r="M2627">
        <v>0</v>
      </c>
      <c r="N2627">
        <v>0</v>
      </c>
      <c r="O2627">
        <v>94388.9</v>
      </c>
      <c r="P2627">
        <v>2</v>
      </c>
      <c r="Q2627" s="1" t="s">
        <v>569</v>
      </c>
      <c r="R2627" s="93">
        <v>11276</v>
      </c>
      <c r="S2627">
        <v>2831.65</v>
      </c>
      <c r="T2627">
        <v>0</v>
      </c>
      <c r="U2627" s="1" t="s">
        <v>1047</v>
      </c>
      <c r="V2627" s="1" t="s">
        <v>1314</v>
      </c>
      <c r="W2627">
        <v>9438.8874699999997</v>
      </c>
      <c r="X2627">
        <v>0</v>
      </c>
      <c r="Y2627">
        <v>95279</v>
      </c>
    </row>
    <row r="2628" spans="1:25" ht="15" hidden="1" customHeight="1" x14ac:dyDescent="0.25">
      <c r="A2628" s="1" t="s">
        <v>35</v>
      </c>
      <c r="B2628" s="1"/>
      <c r="C2628" s="1" t="s">
        <v>237</v>
      </c>
      <c r="D2628">
        <v>5946</v>
      </c>
      <c r="E2628" s="1"/>
      <c r="F2628" s="1" t="s">
        <v>380</v>
      </c>
      <c r="G2628" s="1" t="s">
        <v>237</v>
      </c>
      <c r="H2628" s="1" t="s">
        <v>1405</v>
      </c>
      <c r="I2628">
        <v>2014</v>
      </c>
      <c r="J2628" s="93">
        <v>18186.66</v>
      </c>
      <c r="K2628">
        <v>12</v>
      </c>
      <c r="L2628" s="1" t="s">
        <v>426</v>
      </c>
      <c r="M2628">
        <v>0</v>
      </c>
      <c r="N2628">
        <v>393</v>
      </c>
      <c r="O2628">
        <v>46.264716</v>
      </c>
      <c r="P2628">
        <v>2</v>
      </c>
      <c r="Q2628" s="1" t="s">
        <v>569</v>
      </c>
      <c r="R2628" s="93">
        <v>18186.66</v>
      </c>
      <c r="S2628">
        <v>7274.67</v>
      </c>
      <c r="T2628">
        <v>0</v>
      </c>
      <c r="U2628" s="1" t="s">
        <v>1060</v>
      </c>
      <c r="V2628" s="1" t="s">
        <v>1320</v>
      </c>
      <c r="W2628">
        <v>18186.680400000001</v>
      </c>
      <c r="X2628">
        <v>0</v>
      </c>
      <c r="Y2628">
        <v>59956</v>
      </c>
    </row>
    <row r="2629" spans="1:25" ht="15" hidden="1" customHeight="1" x14ac:dyDescent="0.25">
      <c r="A2629" s="1" t="s">
        <v>35</v>
      </c>
      <c r="B2629" s="1"/>
      <c r="C2629" s="1" t="s">
        <v>236</v>
      </c>
      <c r="D2629">
        <v>5945</v>
      </c>
      <c r="E2629" s="1"/>
      <c r="F2629" s="1" t="s">
        <v>236</v>
      </c>
      <c r="G2629" s="1" t="s">
        <v>236</v>
      </c>
      <c r="H2629" s="1" t="s">
        <v>1405</v>
      </c>
      <c r="I2629">
        <v>2012</v>
      </c>
      <c r="J2629" s="93">
        <v>11120.27</v>
      </c>
      <c r="K2629">
        <v>2</v>
      </c>
      <c r="L2629" s="1" t="s">
        <v>533</v>
      </c>
      <c r="M2629">
        <v>0</v>
      </c>
      <c r="N2629">
        <v>506</v>
      </c>
      <c r="O2629">
        <v>21.972474999999999</v>
      </c>
      <c r="P2629">
        <v>2</v>
      </c>
      <c r="Q2629" s="1" t="s">
        <v>569</v>
      </c>
      <c r="R2629" s="93">
        <v>11120.27</v>
      </c>
      <c r="S2629">
        <v>4448.1000000000004</v>
      </c>
      <c r="T2629">
        <v>0</v>
      </c>
      <c r="U2629" s="1" t="s">
        <v>1052</v>
      </c>
      <c r="V2629" s="1" t="s">
        <v>1317</v>
      </c>
      <c r="W2629">
        <v>11120.267540000001</v>
      </c>
      <c r="X2629">
        <v>0</v>
      </c>
      <c r="Y2629">
        <v>86355</v>
      </c>
    </row>
    <row r="2630" spans="1:25" ht="15" hidden="1" customHeight="1" x14ac:dyDescent="0.25">
      <c r="A2630" s="1" t="s">
        <v>35</v>
      </c>
      <c r="B2630" s="1"/>
      <c r="C2630" s="1" t="s">
        <v>236</v>
      </c>
      <c r="D2630">
        <v>5945</v>
      </c>
      <c r="E2630" s="1"/>
      <c r="F2630" s="1" t="s">
        <v>236</v>
      </c>
      <c r="G2630" s="1" t="s">
        <v>236</v>
      </c>
      <c r="H2630" s="1" t="s">
        <v>1405</v>
      </c>
      <c r="I2630">
        <v>2011</v>
      </c>
      <c r="J2630" s="93">
        <v>13130.54</v>
      </c>
      <c r="K2630">
        <v>8</v>
      </c>
      <c r="L2630" s="1" t="s">
        <v>533</v>
      </c>
      <c r="M2630">
        <v>0</v>
      </c>
      <c r="N2630">
        <v>506</v>
      </c>
      <c r="O2630">
        <v>25.944555999999999</v>
      </c>
      <c r="P2630">
        <v>2</v>
      </c>
      <c r="Q2630" s="1" t="s">
        <v>569</v>
      </c>
      <c r="R2630" s="93">
        <v>13130.54</v>
      </c>
      <c r="S2630">
        <v>6158.22</v>
      </c>
      <c r="T2630">
        <v>0</v>
      </c>
      <c r="U2630" s="1" t="s">
        <v>1052</v>
      </c>
      <c r="V2630" s="1" t="s">
        <v>1317</v>
      </c>
      <c r="W2630">
        <v>13130.554700000001</v>
      </c>
      <c r="X2630">
        <v>0</v>
      </c>
      <c r="Y2630">
        <v>86355</v>
      </c>
    </row>
    <row r="2631" spans="1:25" ht="15" hidden="1" customHeight="1" x14ac:dyDescent="0.25">
      <c r="A2631" s="1" t="s">
        <v>35</v>
      </c>
      <c r="B2631" s="1"/>
      <c r="C2631" s="1" t="s">
        <v>236</v>
      </c>
      <c r="D2631">
        <v>5945</v>
      </c>
      <c r="E2631" s="1"/>
      <c r="F2631" s="1" t="s">
        <v>236</v>
      </c>
      <c r="G2631" s="1" t="s">
        <v>236</v>
      </c>
      <c r="H2631" s="1" t="s">
        <v>1405</v>
      </c>
      <c r="I2631">
        <v>2010</v>
      </c>
      <c r="J2631" s="93">
        <v>11831.76</v>
      </c>
      <c r="K2631">
        <v>10</v>
      </c>
      <c r="L2631" s="1" t="s">
        <v>534</v>
      </c>
      <c r="M2631">
        <v>0</v>
      </c>
      <c r="N2631">
        <v>506</v>
      </c>
      <c r="O2631">
        <v>23.378304</v>
      </c>
      <c r="P2631">
        <v>2</v>
      </c>
      <c r="Q2631" s="1" t="s">
        <v>569</v>
      </c>
      <c r="R2631" s="93">
        <v>11831.76</v>
      </c>
      <c r="S2631">
        <v>5549.11</v>
      </c>
      <c r="T2631">
        <v>0</v>
      </c>
      <c r="U2631" s="1" t="s">
        <v>1053</v>
      </c>
      <c r="V2631" s="1"/>
      <c r="W2631">
        <v>11831.764709999999</v>
      </c>
      <c r="X2631">
        <v>0</v>
      </c>
      <c r="Y2631">
        <v>76512</v>
      </c>
    </row>
    <row r="2632" spans="1:25" ht="15" hidden="1" customHeight="1" x14ac:dyDescent="0.25">
      <c r="A2632" s="1" t="s">
        <v>35</v>
      </c>
      <c r="B2632" s="1"/>
      <c r="C2632" s="1" t="s">
        <v>236</v>
      </c>
      <c r="D2632">
        <v>5945</v>
      </c>
      <c r="E2632" s="1"/>
      <c r="F2632" s="1" t="s">
        <v>236</v>
      </c>
      <c r="G2632" s="1" t="s">
        <v>236</v>
      </c>
      <c r="H2632" s="1" t="s">
        <v>1405</v>
      </c>
      <c r="I2632">
        <v>2010</v>
      </c>
      <c r="J2632" s="93">
        <v>5273.79</v>
      </c>
      <c r="K2632">
        <v>3</v>
      </c>
      <c r="L2632" s="1" t="s">
        <v>533</v>
      </c>
      <c r="M2632">
        <v>0</v>
      </c>
      <c r="N2632">
        <v>506</v>
      </c>
      <c r="O2632">
        <v>10.420450000000001</v>
      </c>
      <c r="P2632">
        <v>2</v>
      </c>
      <c r="Q2632" s="1" t="s">
        <v>569</v>
      </c>
      <c r="R2632" s="93">
        <v>5273.79</v>
      </c>
      <c r="S2632">
        <v>2473.41</v>
      </c>
      <c r="T2632">
        <v>0</v>
      </c>
      <c r="U2632" s="1" t="s">
        <v>1052</v>
      </c>
      <c r="V2632" s="1" t="s">
        <v>1317</v>
      </c>
      <c r="W2632">
        <v>5273.7931099999996</v>
      </c>
      <c r="X2632">
        <v>0</v>
      </c>
      <c r="Y2632">
        <v>86355</v>
      </c>
    </row>
    <row r="2633" spans="1:25" ht="15" hidden="1" customHeight="1" x14ac:dyDescent="0.25">
      <c r="A2633" s="1" t="s">
        <v>35</v>
      </c>
      <c r="B2633" s="1"/>
      <c r="C2633" s="1" t="s">
        <v>236</v>
      </c>
      <c r="D2633">
        <v>5945</v>
      </c>
      <c r="E2633" s="1"/>
      <c r="F2633" s="1" t="s">
        <v>236</v>
      </c>
      <c r="G2633" s="1" t="s">
        <v>236</v>
      </c>
      <c r="H2633" s="1" t="s">
        <v>1405</v>
      </c>
      <c r="I2633">
        <v>2009</v>
      </c>
      <c r="J2633" s="93">
        <v>17816.810000000001</v>
      </c>
      <c r="K2633">
        <v>7</v>
      </c>
      <c r="L2633" s="1" t="s">
        <v>534</v>
      </c>
      <c r="M2633">
        <v>0</v>
      </c>
      <c r="N2633">
        <v>506</v>
      </c>
      <c r="O2633">
        <v>35.204129000000002</v>
      </c>
      <c r="P2633">
        <v>2</v>
      </c>
      <c r="Q2633" s="1" t="s">
        <v>569</v>
      </c>
      <c r="R2633" s="93">
        <v>17816.810000000001</v>
      </c>
      <c r="S2633">
        <v>8356.07</v>
      </c>
      <c r="T2633">
        <v>0</v>
      </c>
      <c r="U2633" s="1" t="s">
        <v>1053</v>
      </c>
      <c r="V2633" s="1"/>
      <c r="W2633">
        <v>17816.80672</v>
      </c>
      <c r="X2633">
        <v>0</v>
      </c>
      <c r="Y2633">
        <v>76512</v>
      </c>
    </row>
    <row r="2634" spans="1:25" ht="15" hidden="1" customHeight="1" x14ac:dyDescent="0.25">
      <c r="A2634" s="1" t="s">
        <v>35</v>
      </c>
      <c r="B2634" s="1"/>
      <c r="C2634" s="1" t="s">
        <v>236</v>
      </c>
      <c r="D2634">
        <v>5945</v>
      </c>
      <c r="E2634" s="1"/>
      <c r="F2634" s="1" t="s">
        <v>236</v>
      </c>
      <c r="G2634" s="1" t="s">
        <v>236</v>
      </c>
      <c r="H2634" s="1" t="s">
        <v>1405</v>
      </c>
      <c r="I2634">
        <v>2008</v>
      </c>
      <c r="J2634" s="93">
        <v>899.17</v>
      </c>
      <c r="K2634">
        <v>2</v>
      </c>
      <c r="L2634" s="1" t="s">
        <v>535</v>
      </c>
      <c r="M2634">
        <v>0</v>
      </c>
      <c r="N2634">
        <v>506</v>
      </c>
      <c r="O2634">
        <v>1.776664</v>
      </c>
      <c r="P2634">
        <v>2</v>
      </c>
      <c r="Q2634" s="1" t="s">
        <v>569</v>
      </c>
      <c r="R2634" s="93">
        <v>899.17</v>
      </c>
      <c r="S2634">
        <v>421.71</v>
      </c>
      <c r="T2634">
        <v>0</v>
      </c>
      <c r="U2634" s="1" t="s">
        <v>1054</v>
      </c>
      <c r="V2634" s="1"/>
      <c r="W2634">
        <v>899.16666999999995</v>
      </c>
      <c r="X2634">
        <v>0</v>
      </c>
      <c r="Y2634">
        <v>59953</v>
      </c>
    </row>
    <row r="2635" spans="1:25" ht="15" hidden="1" customHeight="1" x14ac:dyDescent="0.25">
      <c r="A2635" s="1" t="s">
        <v>35</v>
      </c>
      <c r="B2635" s="1"/>
      <c r="C2635" s="1" t="s">
        <v>236</v>
      </c>
      <c r="D2635">
        <v>5945</v>
      </c>
      <c r="E2635" s="1"/>
      <c r="F2635" s="1" t="s">
        <v>236</v>
      </c>
      <c r="G2635" s="1" t="s">
        <v>236</v>
      </c>
      <c r="H2635" s="1" t="s">
        <v>1405</v>
      </c>
      <c r="I2635">
        <v>2008</v>
      </c>
      <c r="J2635" s="93">
        <v>16851.45</v>
      </c>
      <c r="K2635">
        <v>8</v>
      </c>
      <c r="L2635" s="1" t="s">
        <v>534</v>
      </c>
      <c r="M2635">
        <v>0</v>
      </c>
      <c r="N2635">
        <v>506</v>
      </c>
      <c r="O2635">
        <v>33.296680000000002</v>
      </c>
      <c r="P2635">
        <v>2</v>
      </c>
      <c r="Q2635" s="1" t="s">
        <v>569</v>
      </c>
      <c r="R2635" s="93">
        <v>16851.45</v>
      </c>
      <c r="S2635">
        <v>7903.32</v>
      </c>
      <c r="T2635">
        <v>0</v>
      </c>
      <c r="U2635" s="1" t="s">
        <v>1053</v>
      </c>
      <c r="V2635" s="1"/>
      <c r="W2635">
        <v>16851.42857</v>
      </c>
      <c r="X2635">
        <v>0</v>
      </c>
      <c r="Y2635">
        <v>76512</v>
      </c>
    </row>
    <row r="2636" spans="1:25" ht="15" hidden="1" customHeight="1" x14ac:dyDescent="0.25">
      <c r="A2636" s="1" t="s">
        <v>35</v>
      </c>
      <c r="B2636" s="1" t="s">
        <v>73</v>
      </c>
      <c r="C2636" s="1" t="s">
        <v>174</v>
      </c>
      <c r="D2636">
        <v>14495</v>
      </c>
      <c r="E2636" s="1" t="s">
        <v>243</v>
      </c>
      <c r="F2636" s="1" t="s">
        <v>313</v>
      </c>
      <c r="G2636" s="1" t="s">
        <v>174</v>
      </c>
      <c r="H2636" s="1" t="s">
        <v>1405</v>
      </c>
      <c r="I2636">
        <v>2014</v>
      </c>
      <c r="J2636" s="93">
        <v>16465.150000000001</v>
      </c>
      <c r="K2636">
        <v>8</v>
      </c>
      <c r="L2636" s="1"/>
      <c r="M2636">
        <v>0</v>
      </c>
      <c r="N2636">
        <v>878</v>
      </c>
      <c r="O2636">
        <v>18.750882000000001</v>
      </c>
      <c r="P2636">
        <v>2</v>
      </c>
      <c r="Q2636" s="1" t="s">
        <v>569</v>
      </c>
      <c r="R2636" s="93">
        <v>16465.150000000001</v>
      </c>
      <c r="S2636">
        <v>4939.54</v>
      </c>
      <c r="T2636">
        <v>0</v>
      </c>
      <c r="U2636" s="1" t="s">
        <v>1056</v>
      </c>
      <c r="V2636" s="1"/>
      <c r="W2636">
        <v>16465.13</v>
      </c>
      <c r="X2636">
        <v>0</v>
      </c>
      <c r="Y2636">
        <v>96151</v>
      </c>
    </row>
    <row r="2637" spans="1:25" ht="15" hidden="1" customHeight="1" x14ac:dyDescent="0.25">
      <c r="A2637" s="1" t="s">
        <v>35</v>
      </c>
      <c r="B2637" s="1" t="s">
        <v>75</v>
      </c>
      <c r="C2637" s="1" t="s">
        <v>179</v>
      </c>
      <c r="D2637">
        <v>5261</v>
      </c>
      <c r="E2637" s="1"/>
      <c r="F2637" s="1" t="s">
        <v>309</v>
      </c>
      <c r="G2637" s="1" t="s">
        <v>179</v>
      </c>
      <c r="H2637" s="1" t="s">
        <v>1405</v>
      </c>
      <c r="I2637">
        <v>2015</v>
      </c>
      <c r="J2637" s="93">
        <v>5408</v>
      </c>
      <c r="K2637">
        <v>5</v>
      </c>
      <c r="L2637" s="1" t="s">
        <v>402</v>
      </c>
      <c r="M2637">
        <v>0</v>
      </c>
      <c r="N2637">
        <v>309</v>
      </c>
      <c r="O2637">
        <v>7.5621150000000004</v>
      </c>
      <c r="P2637">
        <v>2</v>
      </c>
      <c r="Q2637" s="1" t="s">
        <v>569</v>
      </c>
      <c r="R2637" s="93">
        <v>2337.4499999999998</v>
      </c>
      <c r="S2637">
        <v>934.97</v>
      </c>
      <c r="T2637">
        <v>0</v>
      </c>
      <c r="U2637" s="1" t="s">
        <v>1048</v>
      </c>
      <c r="V2637" s="1"/>
      <c r="W2637">
        <v>2337.4499999999998</v>
      </c>
      <c r="X2637">
        <v>0</v>
      </c>
      <c r="Y2637">
        <v>56734</v>
      </c>
    </row>
    <row r="2638" spans="1:25" ht="15" hidden="1" customHeight="1" x14ac:dyDescent="0.25">
      <c r="A2638" s="1" t="s">
        <v>35</v>
      </c>
      <c r="B2638" s="1"/>
      <c r="C2638" s="1" t="s">
        <v>182</v>
      </c>
      <c r="D2638">
        <v>10182</v>
      </c>
      <c r="E2638" s="1"/>
      <c r="F2638" s="1" t="s">
        <v>312</v>
      </c>
      <c r="G2638" s="1" t="s">
        <v>182</v>
      </c>
      <c r="H2638" s="1" t="s">
        <v>1405</v>
      </c>
      <c r="I2638">
        <v>2012</v>
      </c>
      <c r="J2638" s="93">
        <v>6183.44</v>
      </c>
      <c r="K2638">
        <v>4</v>
      </c>
      <c r="L2638" s="1" t="s">
        <v>441</v>
      </c>
      <c r="M2638">
        <v>0</v>
      </c>
      <c r="N2638">
        <v>152</v>
      </c>
      <c r="O2638">
        <v>40.653779999999998</v>
      </c>
      <c r="P2638">
        <v>2</v>
      </c>
      <c r="Q2638" s="1" t="s">
        <v>569</v>
      </c>
      <c r="R2638" s="93">
        <v>6183.44</v>
      </c>
      <c r="S2638">
        <v>2473.38</v>
      </c>
      <c r="T2638">
        <v>0</v>
      </c>
      <c r="U2638" s="1" t="s">
        <v>1055</v>
      </c>
      <c r="V2638" s="1" t="s">
        <v>1318</v>
      </c>
      <c r="W2638">
        <v>6183.45</v>
      </c>
      <c r="X2638">
        <v>0</v>
      </c>
      <c r="Y2638">
        <v>77233</v>
      </c>
    </row>
    <row r="2639" spans="1:25" ht="15" hidden="1" customHeight="1" x14ac:dyDescent="0.25">
      <c r="A2639" s="1" t="s">
        <v>35</v>
      </c>
      <c r="B2639" s="1"/>
      <c r="C2639" s="1" t="s">
        <v>182</v>
      </c>
      <c r="D2639">
        <v>10182</v>
      </c>
      <c r="E2639" s="1"/>
      <c r="F2639" s="1" t="s">
        <v>312</v>
      </c>
      <c r="G2639" s="1" t="s">
        <v>182</v>
      </c>
      <c r="H2639" s="1" t="s">
        <v>1405</v>
      </c>
      <c r="I2639">
        <v>2011</v>
      </c>
      <c r="J2639" s="93">
        <v>4949.09</v>
      </c>
      <c r="K2639">
        <v>3</v>
      </c>
      <c r="L2639" s="1" t="s">
        <v>441</v>
      </c>
      <c r="M2639">
        <v>0</v>
      </c>
      <c r="N2639">
        <v>152</v>
      </c>
      <c r="O2639">
        <v>32.538395000000001</v>
      </c>
      <c r="P2639">
        <v>2</v>
      </c>
      <c r="Q2639" s="1" t="s">
        <v>569</v>
      </c>
      <c r="R2639" s="93">
        <v>4949.09</v>
      </c>
      <c r="S2639">
        <v>2321.12</v>
      </c>
      <c r="T2639">
        <v>0</v>
      </c>
      <c r="U2639" s="1" t="s">
        <v>1055</v>
      </c>
      <c r="V2639" s="1" t="s">
        <v>1318</v>
      </c>
      <c r="W2639">
        <v>4949.0833400000001</v>
      </c>
      <c r="X2639">
        <v>0</v>
      </c>
      <c r="Y2639">
        <v>77233</v>
      </c>
    </row>
    <row r="2640" spans="1:25" ht="15" hidden="1" customHeight="1" x14ac:dyDescent="0.25">
      <c r="A2640" s="1" t="s">
        <v>35</v>
      </c>
      <c r="B2640" s="1"/>
      <c r="C2640" s="1" t="s">
        <v>182</v>
      </c>
      <c r="D2640">
        <v>10182</v>
      </c>
      <c r="E2640" s="1"/>
      <c r="F2640" s="1" t="s">
        <v>312</v>
      </c>
      <c r="G2640" s="1" t="s">
        <v>182</v>
      </c>
      <c r="H2640" s="1" t="s">
        <v>1405</v>
      </c>
      <c r="I2640">
        <v>2010</v>
      </c>
      <c r="J2640" s="93">
        <v>4452.71</v>
      </c>
      <c r="K2640">
        <v>3</v>
      </c>
      <c r="L2640" s="1" t="s">
        <v>441</v>
      </c>
      <c r="M2640">
        <v>0</v>
      </c>
      <c r="N2640">
        <v>152</v>
      </c>
      <c r="O2640">
        <v>29.274884</v>
      </c>
      <c r="P2640">
        <v>2</v>
      </c>
      <c r="Q2640" s="1" t="s">
        <v>569</v>
      </c>
      <c r="R2640" s="93">
        <v>4452.71</v>
      </c>
      <c r="S2640">
        <v>2088.33</v>
      </c>
      <c r="T2640">
        <v>0</v>
      </c>
      <c r="U2640" s="1" t="s">
        <v>1055</v>
      </c>
      <c r="V2640" s="1" t="s">
        <v>1318</v>
      </c>
      <c r="W2640">
        <v>4452.7062100000003</v>
      </c>
      <c r="X2640">
        <v>0</v>
      </c>
      <c r="Y2640">
        <v>77233</v>
      </c>
    </row>
    <row r="2641" spans="1:25" ht="15" hidden="1" customHeight="1" x14ac:dyDescent="0.25">
      <c r="A2641" s="1" t="s">
        <v>35</v>
      </c>
      <c r="B2641" s="1"/>
      <c r="C2641" s="1" t="s">
        <v>182</v>
      </c>
      <c r="D2641">
        <v>10182</v>
      </c>
      <c r="E2641" s="1"/>
      <c r="F2641" s="1" t="s">
        <v>312</v>
      </c>
      <c r="G2641" s="1" t="s">
        <v>182</v>
      </c>
      <c r="H2641" s="1" t="s">
        <v>1405</v>
      </c>
      <c r="I2641">
        <v>2009</v>
      </c>
      <c r="J2641" s="93">
        <v>5549.41</v>
      </c>
      <c r="K2641">
        <v>3</v>
      </c>
      <c r="L2641" s="1" t="s">
        <v>441</v>
      </c>
      <c r="M2641">
        <v>0</v>
      </c>
      <c r="N2641">
        <v>152</v>
      </c>
      <c r="O2641">
        <v>36.485272000000002</v>
      </c>
      <c r="P2641">
        <v>2</v>
      </c>
      <c r="Q2641" s="1" t="s">
        <v>569</v>
      </c>
      <c r="R2641" s="93">
        <v>5549.41</v>
      </c>
      <c r="S2641">
        <v>2602.65</v>
      </c>
      <c r="T2641">
        <v>0</v>
      </c>
      <c r="U2641" s="1" t="s">
        <v>1055</v>
      </c>
      <c r="V2641" s="1" t="s">
        <v>1318</v>
      </c>
      <c r="W2641">
        <v>5549.39797</v>
      </c>
      <c r="X2641">
        <v>0</v>
      </c>
      <c r="Y2641">
        <v>77233</v>
      </c>
    </row>
    <row r="2642" spans="1:25" ht="15" hidden="1" customHeight="1" x14ac:dyDescent="0.25">
      <c r="A2642" s="1" t="s">
        <v>35</v>
      </c>
      <c r="B2642" s="1"/>
      <c r="C2642" s="1" t="s">
        <v>182</v>
      </c>
      <c r="D2642">
        <v>10182</v>
      </c>
      <c r="E2642" s="1"/>
      <c r="F2642" s="1" t="s">
        <v>312</v>
      </c>
      <c r="G2642" s="1" t="s">
        <v>182</v>
      </c>
      <c r="H2642" s="1" t="s">
        <v>1405</v>
      </c>
      <c r="I2642">
        <v>2008</v>
      </c>
      <c r="J2642" s="93">
        <v>6334.28</v>
      </c>
      <c r="K2642">
        <v>7</v>
      </c>
      <c r="L2642" s="1" t="s">
        <v>441</v>
      </c>
      <c r="M2642">
        <v>0</v>
      </c>
      <c r="N2642">
        <v>152</v>
      </c>
      <c r="O2642">
        <v>41.645496000000001</v>
      </c>
      <c r="P2642">
        <v>2</v>
      </c>
      <c r="Q2642" s="1" t="s">
        <v>569</v>
      </c>
      <c r="R2642" s="93">
        <v>6334.28</v>
      </c>
      <c r="S2642">
        <v>2970.76</v>
      </c>
      <c r="T2642">
        <v>0</v>
      </c>
      <c r="U2642" s="1" t="s">
        <v>1055</v>
      </c>
      <c r="V2642" s="1" t="s">
        <v>1318</v>
      </c>
      <c r="W2642">
        <v>6334.2767899999999</v>
      </c>
      <c r="X2642">
        <v>0</v>
      </c>
      <c r="Y2642">
        <v>77233</v>
      </c>
    </row>
    <row r="2643" spans="1:25" ht="15" hidden="1" customHeight="1" x14ac:dyDescent="0.25">
      <c r="A2643" s="1" t="s">
        <v>35</v>
      </c>
      <c r="B2643" s="1" t="s">
        <v>73</v>
      </c>
      <c r="C2643" s="1" t="s">
        <v>174</v>
      </c>
      <c r="D2643">
        <v>14495</v>
      </c>
      <c r="E2643" s="1" t="s">
        <v>243</v>
      </c>
      <c r="F2643" s="1" t="s">
        <v>313</v>
      </c>
      <c r="G2643" s="1" t="s">
        <v>174</v>
      </c>
      <c r="H2643" s="1" t="s">
        <v>1405</v>
      </c>
      <c r="I2643">
        <v>2015</v>
      </c>
      <c r="J2643" s="93">
        <v>105843</v>
      </c>
      <c r="K2643">
        <v>5</v>
      </c>
      <c r="L2643" s="1" t="s">
        <v>442</v>
      </c>
      <c r="M2643">
        <v>0</v>
      </c>
      <c r="N2643">
        <v>878</v>
      </c>
      <c r="O2643">
        <v>67.477609999999999</v>
      </c>
      <c r="P2643">
        <v>1</v>
      </c>
      <c r="Q2643" s="1" t="s">
        <v>562</v>
      </c>
      <c r="R2643" s="93">
        <v>121153</v>
      </c>
      <c r="S2643">
        <v>4222.3900000000003</v>
      </c>
      <c r="T2643">
        <v>0</v>
      </c>
      <c r="U2643" s="1" t="s">
        <v>839</v>
      </c>
      <c r="V2643" s="1"/>
      <c r="W2643">
        <v>59252.084999999999</v>
      </c>
      <c r="X2643">
        <v>0</v>
      </c>
      <c r="Y2643">
        <v>95930</v>
      </c>
    </row>
    <row r="2644" spans="1:25" ht="15" hidden="1" customHeight="1" x14ac:dyDescent="0.25">
      <c r="A2644" s="1" t="s">
        <v>35</v>
      </c>
      <c r="B2644" s="1"/>
      <c r="C2644" s="1" t="s">
        <v>180</v>
      </c>
      <c r="D2644">
        <v>10318</v>
      </c>
      <c r="E2644" s="1"/>
      <c r="F2644" s="1" t="s">
        <v>310</v>
      </c>
      <c r="G2644" s="1" t="s">
        <v>180</v>
      </c>
      <c r="H2644" s="1" t="s">
        <v>1405</v>
      </c>
      <c r="I2644">
        <v>2015</v>
      </c>
      <c r="J2644" s="93">
        <v>2759</v>
      </c>
      <c r="K2644">
        <v>5</v>
      </c>
      <c r="L2644" s="1" t="s">
        <v>532</v>
      </c>
      <c r="M2644">
        <v>0</v>
      </c>
      <c r="N2644">
        <v>170</v>
      </c>
      <c r="O2644">
        <v>6.6410929999999997</v>
      </c>
      <c r="P2644">
        <v>2</v>
      </c>
      <c r="Q2644" s="1" t="s">
        <v>569</v>
      </c>
      <c r="R2644" s="93">
        <v>1129.6500000000001</v>
      </c>
      <c r="S2644">
        <v>338.89</v>
      </c>
      <c r="T2644">
        <v>0</v>
      </c>
      <c r="U2644" s="1" t="s">
        <v>1049</v>
      </c>
      <c r="V2644" s="1" t="s">
        <v>1315</v>
      </c>
      <c r="W2644">
        <v>1129.652</v>
      </c>
      <c r="X2644">
        <v>0</v>
      </c>
      <c r="Y2644">
        <v>77792</v>
      </c>
    </row>
    <row r="2645" spans="1:25" ht="15" hidden="1" customHeight="1" x14ac:dyDescent="0.25">
      <c r="A2645" s="1" t="s">
        <v>35</v>
      </c>
      <c r="B2645" s="1"/>
      <c r="C2645" s="1" t="s">
        <v>181</v>
      </c>
      <c r="D2645">
        <v>10273</v>
      </c>
      <c r="E2645" s="1"/>
      <c r="F2645" s="1" t="s">
        <v>311</v>
      </c>
      <c r="G2645" s="1" t="s">
        <v>181</v>
      </c>
      <c r="H2645" s="1" t="s">
        <v>1405</v>
      </c>
      <c r="I2645">
        <v>2015</v>
      </c>
      <c r="J2645" s="93">
        <v>12350</v>
      </c>
      <c r="K2645">
        <v>5</v>
      </c>
      <c r="L2645" s="1" t="s">
        <v>399</v>
      </c>
      <c r="M2645">
        <v>0</v>
      </c>
      <c r="N2645">
        <v>400</v>
      </c>
      <c r="O2645">
        <v>13.137065</v>
      </c>
      <c r="P2645">
        <v>2</v>
      </c>
      <c r="Q2645" s="1" t="s">
        <v>569</v>
      </c>
      <c r="R2645" s="93">
        <v>5256.14</v>
      </c>
      <c r="S2645">
        <v>1576.85</v>
      </c>
      <c r="T2645">
        <v>0</v>
      </c>
      <c r="U2645" s="1" t="s">
        <v>1050</v>
      </c>
      <c r="V2645" s="1" t="s">
        <v>1316</v>
      </c>
      <c r="W2645">
        <v>5256.1437999999998</v>
      </c>
      <c r="X2645">
        <v>0</v>
      </c>
      <c r="Y2645">
        <v>77659</v>
      </c>
    </row>
    <row r="2646" spans="1:25" ht="15" hidden="1" customHeight="1" x14ac:dyDescent="0.25">
      <c r="A2646" s="1" t="s">
        <v>35</v>
      </c>
      <c r="B2646" s="1"/>
      <c r="C2646" s="1" t="s">
        <v>236</v>
      </c>
      <c r="D2646">
        <v>5945</v>
      </c>
      <c r="E2646" s="1"/>
      <c r="F2646" s="1" t="s">
        <v>236</v>
      </c>
      <c r="G2646" s="1" t="s">
        <v>236</v>
      </c>
      <c r="H2646" s="1" t="s">
        <v>1405</v>
      </c>
      <c r="I2646">
        <v>2015</v>
      </c>
      <c r="J2646" s="93">
        <v>15193</v>
      </c>
      <c r="K2646">
        <v>5</v>
      </c>
      <c r="L2646" s="1"/>
      <c r="M2646">
        <v>0</v>
      </c>
      <c r="N2646">
        <v>506</v>
      </c>
      <c r="O2646">
        <v>12.457261000000001</v>
      </c>
      <c r="P2646">
        <v>2</v>
      </c>
      <c r="Q2646" s="1" t="s">
        <v>569</v>
      </c>
      <c r="R2646" s="93">
        <v>6304.62</v>
      </c>
      <c r="S2646">
        <v>1891.38</v>
      </c>
      <c r="T2646">
        <v>0</v>
      </c>
      <c r="U2646" s="1" t="s">
        <v>1051</v>
      </c>
      <c r="V2646" s="1"/>
      <c r="W2646">
        <v>6304.6081000000004</v>
      </c>
      <c r="X2646">
        <v>0</v>
      </c>
      <c r="Y2646">
        <v>94151</v>
      </c>
    </row>
    <row r="2647" spans="1:25" ht="15" hidden="1" customHeight="1" x14ac:dyDescent="0.25">
      <c r="A2647" s="1" t="s">
        <v>35</v>
      </c>
      <c r="B2647" s="1"/>
      <c r="C2647" s="1" t="s">
        <v>183</v>
      </c>
      <c r="D2647">
        <v>10270</v>
      </c>
      <c r="E2647" s="1"/>
      <c r="F2647" s="1" t="s">
        <v>183</v>
      </c>
      <c r="G2647" s="1" t="s">
        <v>183</v>
      </c>
      <c r="H2647" s="1" t="s">
        <v>1405</v>
      </c>
      <c r="I2647">
        <v>2012</v>
      </c>
      <c r="J2647" s="93">
        <v>1682.01</v>
      </c>
      <c r="K2647">
        <v>15</v>
      </c>
      <c r="L2647" s="1" t="s">
        <v>443</v>
      </c>
      <c r="M2647">
        <v>0</v>
      </c>
      <c r="N2647">
        <v>96</v>
      </c>
      <c r="O2647">
        <v>17.502704999999999</v>
      </c>
      <c r="P2647">
        <v>2</v>
      </c>
      <c r="Q2647" s="1" t="s">
        <v>569</v>
      </c>
      <c r="R2647" s="93">
        <v>1682.01</v>
      </c>
      <c r="S2647">
        <v>672.82</v>
      </c>
      <c r="T2647">
        <v>0</v>
      </c>
      <c r="U2647" s="1" t="s">
        <v>1058</v>
      </c>
      <c r="V2647" s="1" t="s">
        <v>1319</v>
      </c>
      <c r="W2647">
        <v>1682.00443</v>
      </c>
      <c r="X2647">
        <v>0</v>
      </c>
      <c r="Y2647">
        <v>77650</v>
      </c>
    </row>
    <row r="2648" spans="1:25" ht="15" hidden="1" customHeight="1" x14ac:dyDescent="0.25">
      <c r="A2648" s="1" t="s">
        <v>35</v>
      </c>
      <c r="B2648" s="1"/>
      <c r="C2648" s="1" t="s">
        <v>183</v>
      </c>
      <c r="D2648">
        <v>10270</v>
      </c>
      <c r="E2648" s="1"/>
      <c r="F2648" s="1" t="s">
        <v>183</v>
      </c>
      <c r="G2648" s="1" t="s">
        <v>183</v>
      </c>
      <c r="H2648" s="1" t="s">
        <v>1405</v>
      </c>
      <c r="I2648">
        <v>2011</v>
      </c>
      <c r="J2648" s="93">
        <v>647.4</v>
      </c>
      <c r="K2648">
        <v>5</v>
      </c>
      <c r="L2648" s="1" t="s">
        <v>443</v>
      </c>
      <c r="M2648">
        <v>0</v>
      </c>
      <c r="N2648">
        <v>96</v>
      </c>
      <c r="O2648">
        <v>6.7367319999999999</v>
      </c>
      <c r="P2648">
        <v>2</v>
      </c>
      <c r="Q2648" s="1" t="s">
        <v>569</v>
      </c>
      <c r="R2648" s="93">
        <v>647.4</v>
      </c>
      <c r="S2648">
        <v>303.63</v>
      </c>
      <c r="T2648">
        <v>0</v>
      </c>
      <c r="U2648" s="1" t="s">
        <v>1058</v>
      </c>
      <c r="V2648" s="1" t="s">
        <v>1319</v>
      </c>
      <c r="W2648">
        <v>647.42854999999997</v>
      </c>
      <c r="X2648">
        <v>0</v>
      </c>
      <c r="Y2648">
        <v>77650</v>
      </c>
    </row>
    <row r="2649" spans="1:25" ht="15" hidden="1" customHeight="1" x14ac:dyDescent="0.25">
      <c r="A2649" s="1" t="s">
        <v>35</v>
      </c>
      <c r="B2649" s="1"/>
      <c r="C2649" s="1" t="s">
        <v>183</v>
      </c>
      <c r="D2649">
        <v>10270</v>
      </c>
      <c r="E2649" s="1"/>
      <c r="F2649" s="1" t="s">
        <v>183</v>
      </c>
      <c r="G2649" s="1" t="s">
        <v>183</v>
      </c>
      <c r="H2649" s="1" t="s">
        <v>1405</v>
      </c>
      <c r="I2649">
        <v>2010</v>
      </c>
      <c r="J2649" s="93">
        <v>278.43</v>
      </c>
      <c r="K2649">
        <v>2</v>
      </c>
      <c r="L2649" s="1" t="s">
        <v>443</v>
      </c>
      <c r="M2649">
        <v>0</v>
      </c>
      <c r="N2649">
        <v>96</v>
      </c>
      <c r="O2649">
        <v>2.897294</v>
      </c>
      <c r="P2649">
        <v>2</v>
      </c>
      <c r="Q2649" s="1" t="s">
        <v>569</v>
      </c>
      <c r="R2649" s="93">
        <v>278.43</v>
      </c>
      <c r="S2649">
        <v>130.57</v>
      </c>
      <c r="T2649">
        <v>0</v>
      </c>
      <c r="U2649" s="1" t="s">
        <v>1058</v>
      </c>
      <c r="V2649" s="1" t="s">
        <v>1319</v>
      </c>
      <c r="W2649">
        <v>278.40908000000002</v>
      </c>
      <c r="X2649">
        <v>0</v>
      </c>
      <c r="Y2649">
        <v>77650</v>
      </c>
    </row>
    <row r="2650" spans="1:25" ht="15" hidden="1" customHeight="1" x14ac:dyDescent="0.25">
      <c r="A2650" s="1" t="s">
        <v>35</v>
      </c>
      <c r="B2650" s="1"/>
      <c r="C2650" s="1" t="s">
        <v>183</v>
      </c>
      <c r="D2650">
        <v>10270</v>
      </c>
      <c r="E2650" s="1"/>
      <c r="F2650" s="1" t="s">
        <v>183</v>
      </c>
      <c r="G2650" s="1" t="s">
        <v>183</v>
      </c>
      <c r="H2650" s="1" t="s">
        <v>1405</v>
      </c>
      <c r="I2650">
        <v>2009</v>
      </c>
      <c r="J2650" s="93">
        <v>1330.54</v>
      </c>
      <c r="K2650">
        <v>5</v>
      </c>
      <c r="L2650" s="1" t="s">
        <v>443</v>
      </c>
      <c r="M2650">
        <v>0</v>
      </c>
      <c r="N2650">
        <v>96</v>
      </c>
      <c r="O2650">
        <v>13.845369</v>
      </c>
      <c r="P2650">
        <v>2</v>
      </c>
      <c r="Q2650" s="1" t="s">
        <v>569</v>
      </c>
      <c r="R2650" s="93">
        <v>1330.54</v>
      </c>
      <c r="S2650">
        <v>624</v>
      </c>
      <c r="T2650">
        <v>0</v>
      </c>
      <c r="U2650" s="1" t="s">
        <v>1058</v>
      </c>
      <c r="V2650" s="1" t="s">
        <v>1319</v>
      </c>
      <c r="W2650">
        <v>1330.4999800000001</v>
      </c>
      <c r="X2650">
        <v>0</v>
      </c>
      <c r="Y2650">
        <v>77650</v>
      </c>
    </row>
    <row r="2651" spans="1:25" ht="15" hidden="1" customHeight="1" x14ac:dyDescent="0.25">
      <c r="A2651" s="1" t="s">
        <v>35</v>
      </c>
      <c r="B2651" s="1"/>
      <c r="C2651" s="1" t="s">
        <v>183</v>
      </c>
      <c r="D2651">
        <v>10270</v>
      </c>
      <c r="E2651" s="1"/>
      <c r="F2651" s="1" t="s">
        <v>183</v>
      </c>
      <c r="G2651" s="1" t="s">
        <v>183</v>
      </c>
      <c r="H2651" s="1" t="s">
        <v>1405</v>
      </c>
      <c r="I2651">
        <v>2008</v>
      </c>
      <c r="J2651" s="93">
        <v>2421.84</v>
      </c>
      <c r="K2651">
        <v>6</v>
      </c>
      <c r="L2651" s="1" t="s">
        <v>443</v>
      </c>
      <c r="M2651">
        <v>0</v>
      </c>
      <c r="N2651">
        <v>96</v>
      </c>
      <c r="O2651">
        <v>25.201248</v>
      </c>
      <c r="P2651">
        <v>2</v>
      </c>
      <c r="Q2651" s="1" t="s">
        <v>569</v>
      </c>
      <c r="R2651" s="93">
        <v>2421.84</v>
      </c>
      <c r="S2651">
        <v>1135.8399999999999</v>
      </c>
      <c r="T2651">
        <v>0</v>
      </c>
      <c r="U2651" s="1" t="s">
        <v>1058</v>
      </c>
      <c r="V2651" s="1" t="s">
        <v>1319</v>
      </c>
      <c r="W2651">
        <v>2421.8271599999998</v>
      </c>
      <c r="X2651">
        <v>0</v>
      </c>
      <c r="Y2651">
        <v>77650</v>
      </c>
    </row>
    <row r="2652" spans="1:25" ht="15" hidden="1" customHeight="1" x14ac:dyDescent="0.25">
      <c r="A2652" s="1" t="s">
        <v>35</v>
      </c>
      <c r="B2652" s="1"/>
      <c r="C2652" s="1" t="s">
        <v>182</v>
      </c>
      <c r="D2652">
        <v>10182</v>
      </c>
      <c r="E2652" s="1"/>
      <c r="F2652" s="1" t="s">
        <v>312</v>
      </c>
      <c r="G2652" s="1" t="s">
        <v>182</v>
      </c>
      <c r="H2652" s="1" t="s">
        <v>1405</v>
      </c>
      <c r="I2652">
        <v>2015</v>
      </c>
      <c r="J2652" s="93">
        <v>3622</v>
      </c>
      <c r="K2652">
        <v>5</v>
      </c>
      <c r="L2652" s="1" t="s">
        <v>441</v>
      </c>
      <c r="M2652">
        <v>0</v>
      </c>
      <c r="N2652">
        <v>152</v>
      </c>
      <c r="O2652">
        <v>9.8303740000000008</v>
      </c>
      <c r="P2652">
        <v>2</v>
      </c>
      <c r="Q2652" s="1" t="s">
        <v>569</v>
      </c>
      <c r="R2652" s="93">
        <v>1495.2</v>
      </c>
      <c r="S2652">
        <v>448.55</v>
      </c>
      <c r="T2652">
        <v>0</v>
      </c>
      <c r="U2652" s="1" t="s">
        <v>1055</v>
      </c>
      <c r="V2652" s="1" t="s">
        <v>1318</v>
      </c>
      <c r="W2652">
        <v>1495.2</v>
      </c>
      <c r="X2652">
        <v>0</v>
      </c>
      <c r="Y2652">
        <v>77233</v>
      </c>
    </row>
    <row r="2653" spans="1:25" ht="15" hidden="1" customHeight="1" x14ac:dyDescent="0.25">
      <c r="A2653" s="1" t="s">
        <v>35</v>
      </c>
      <c r="B2653" s="1" t="s">
        <v>73</v>
      </c>
      <c r="C2653" s="1" t="s">
        <v>174</v>
      </c>
      <c r="D2653">
        <v>14495</v>
      </c>
      <c r="E2653" s="1" t="s">
        <v>243</v>
      </c>
      <c r="F2653" s="1" t="s">
        <v>313</v>
      </c>
      <c r="G2653" s="1" t="s">
        <v>174</v>
      </c>
      <c r="H2653" s="1" t="s">
        <v>1405</v>
      </c>
      <c r="I2653">
        <v>2015</v>
      </c>
      <c r="J2653" s="93">
        <v>34314</v>
      </c>
      <c r="K2653">
        <v>5</v>
      </c>
      <c r="L2653" s="1"/>
      <c r="M2653">
        <v>0</v>
      </c>
      <c r="N2653">
        <v>878</v>
      </c>
      <c r="O2653">
        <v>14.723846</v>
      </c>
      <c r="P2653">
        <v>2</v>
      </c>
      <c r="Q2653" s="1" t="s">
        <v>569</v>
      </c>
      <c r="R2653" s="93">
        <v>12929.01</v>
      </c>
      <c r="S2653">
        <v>3878.72</v>
      </c>
      <c r="T2653">
        <v>0</v>
      </c>
      <c r="U2653" s="1" t="s">
        <v>1056</v>
      </c>
      <c r="V2653" s="1"/>
      <c r="W2653">
        <v>12929.025</v>
      </c>
      <c r="X2653">
        <v>0</v>
      </c>
      <c r="Y2653">
        <v>96151</v>
      </c>
    </row>
    <row r="2654" spans="1:25" ht="15" hidden="1" customHeight="1" x14ac:dyDescent="0.25">
      <c r="A2654" s="1" t="s">
        <v>35</v>
      </c>
      <c r="B2654" s="1" t="s">
        <v>76</v>
      </c>
      <c r="C2654" s="1" t="s">
        <v>184</v>
      </c>
      <c r="D2654">
        <v>5270</v>
      </c>
      <c r="E2654" s="1"/>
      <c r="F2654" s="1" t="s">
        <v>314</v>
      </c>
      <c r="G2654" s="1" t="s">
        <v>184</v>
      </c>
      <c r="H2654" s="1" t="s">
        <v>1405</v>
      </c>
      <c r="I2654">
        <v>2012</v>
      </c>
      <c r="J2654" s="93">
        <v>83311.740000000005</v>
      </c>
      <c r="K2654">
        <v>12</v>
      </c>
      <c r="L2654" s="1"/>
      <c r="M2654">
        <v>0</v>
      </c>
      <c r="N2654">
        <v>2625</v>
      </c>
      <c r="O2654">
        <v>31.736595999999999</v>
      </c>
      <c r="P2654">
        <v>2</v>
      </c>
      <c r="Q2654" s="1" t="s">
        <v>569</v>
      </c>
      <c r="R2654" s="93">
        <v>83311.740000000005</v>
      </c>
      <c r="S2654">
        <v>33324.69</v>
      </c>
      <c r="T2654">
        <v>0</v>
      </c>
      <c r="U2654" s="1" t="s">
        <v>1059</v>
      </c>
      <c r="V2654" s="1"/>
      <c r="W2654">
        <v>83311.740000000005</v>
      </c>
      <c r="X2654">
        <v>0</v>
      </c>
      <c r="Y2654">
        <v>56822</v>
      </c>
    </row>
    <row r="2655" spans="1:25" ht="15" hidden="1" customHeight="1" x14ac:dyDescent="0.25">
      <c r="A2655" s="1" t="s">
        <v>35</v>
      </c>
      <c r="B2655" s="1" t="s">
        <v>76</v>
      </c>
      <c r="C2655" s="1" t="s">
        <v>184</v>
      </c>
      <c r="D2655">
        <v>5270</v>
      </c>
      <c r="E2655" s="1"/>
      <c r="F2655" s="1" t="s">
        <v>314</v>
      </c>
      <c r="G2655" s="1" t="s">
        <v>184</v>
      </c>
      <c r="H2655" s="1" t="s">
        <v>1405</v>
      </c>
      <c r="I2655">
        <v>2011</v>
      </c>
      <c r="J2655" s="93">
        <v>88346.52</v>
      </c>
      <c r="K2655">
        <v>12</v>
      </c>
      <c r="L2655" s="1"/>
      <c r="M2655">
        <v>0</v>
      </c>
      <c r="N2655">
        <v>2625</v>
      </c>
      <c r="O2655">
        <v>33.654535000000003</v>
      </c>
      <c r="P2655">
        <v>2</v>
      </c>
      <c r="Q2655" s="1" t="s">
        <v>569</v>
      </c>
      <c r="R2655" s="93">
        <v>88346.52</v>
      </c>
      <c r="S2655">
        <v>41434.519999999997</v>
      </c>
      <c r="T2655">
        <v>0</v>
      </c>
      <c r="U2655" s="1" t="s">
        <v>1059</v>
      </c>
      <c r="V2655" s="1"/>
      <c r="W2655">
        <v>88346.52</v>
      </c>
      <c r="X2655">
        <v>0</v>
      </c>
      <c r="Y2655">
        <v>56822</v>
      </c>
    </row>
    <row r="2656" spans="1:25" ht="15" hidden="1" customHeight="1" x14ac:dyDescent="0.25">
      <c r="A2656" s="1" t="s">
        <v>35</v>
      </c>
      <c r="B2656" s="1" t="s">
        <v>76</v>
      </c>
      <c r="C2656" s="1" t="s">
        <v>184</v>
      </c>
      <c r="D2656">
        <v>5270</v>
      </c>
      <c r="E2656" s="1"/>
      <c r="F2656" s="1" t="s">
        <v>314</v>
      </c>
      <c r="G2656" s="1" t="s">
        <v>184</v>
      </c>
      <c r="H2656" s="1" t="s">
        <v>1405</v>
      </c>
      <c r="I2656">
        <v>2010</v>
      </c>
      <c r="J2656" s="93">
        <v>89047.83</v>
      </c>
      <c r="K2656">
        <v>12</v>
      </c>
      <c r="L2656" s="1"/>
      <c r="M2656">
        <v>0</v>
      </c>
      <c r="N2656">
        <v>2625</v>
      </c>
      <c r="O2656">
        <v>33.921689999999998</v>
      </c>
      <c r="P2656">
        <v>2</v>
      </c>
      <c r="Q2656" s="1" t="s">
        <v>569</v>
      </c>
      <c r="R2656" s="93">
        <v>89047.83</v>
      </c>
      <c r="S2656">
        <v>41763.449999999997</v>
      </c>
      <c r="T2656">
        <v>0</v>
      </c>
      <c r="U2656" s="1" t="s">
        <v>1059</v>
      </c>
      <c r="V2656" s="1"/>
      <c r="W2656">
        <v>89047.831999999995</v>
      </c>
      <c r="X2656">
        <v>0</v>
      </c>
      <c r="Y2656">
        <v>56822</v>
      </c>
    </row>
    <row r="2657" spans="1:25" ht="15" hidden="1" customHeight="1" x14ac:dyDescent="0.25">
      <c r="A2657" s="1" t="s">
        <v>35</v>
      </c>
      <c r="B2657" s="1" t="s">
        <v>76</v>
      </c>
      <c r="C2657" s="1" t="s">
        <v>184</v>
      </c>
      <c r="D2657">
        <v>5270</v>
      </c>
      <c r="E2657" s="1"/>
      <c r="F2657" s="1" t="s">
        <v>314</v>
      </c>
      <c r="G2657" s="1" t="s">
        <v>184</v>
      </c>
      <c r="H2657" s="1" t="s">
        <v>1405</v>
      </c>
      <c r="I2657">
        <v>2009</v>
      </c>
      <c r="J2657" s="93">
        <v>96922.37</v>
      </c>
      <c r="K2657">
        <v>12</v>
      </c>
      <c r="L2657" s="1"/>
      <c r="M2657">
        <v>0</v>
      </c>
      <c r="N2657">
        <v>2625</v>
      </c>
      <c r="O2657">
        <v>36.921401000000003</v>
      </c>
      <c r="P2657">
        <v>2</v>
      </c>
      <c r="Q2657" s="1" t="s">
        <v>569</v>
      </c>
      <c r="R2657" s="93">
        <v>96922.37</v>
      </c>
      <c r="S2657">
        <v>45456.6</v>
      </c>
      <c r="T2657">
        <v>0</v>
      </c>
      <c r="U2657" s="1" t="s">
        <v>1059</v>
      </c>
      <c r="V2657" s="1"/>
      <c r="W2657">
        <v>96922.366999999998</v>
      </c>
      <c r="X2657">
        <v>0</v>
      </c>
      <c r="Y2657">
        <v>56822</v>
      </c>
    </row>
    <row r="2658" spans="1:25" ht="15" hidden="1" customHeight="1" x14ac:dyDescent="0.25">
      <c r="A2658" s="1" t="s">
        <v>35</v>
      </c>
      <c r="B2658" s="1" t="s">
        <v>76</v>
      </c>
      <c r="C2658" s="1" t="s">
        <v>184</v>
      </c>
      <c r="D2658">
        <v>5270</v>
      </c>
      <c r="E2658" s="1"/>
      <c r="F2658" s="1" t="s">
        <v>314</v>
      </c>
      <c r="G2658" s="1" t="s">
        <v>184</v>
      </c>
      <c r="H2658" s="1" t="s">
        <v>1405</v>
      </c>
      <c r="I2658">
        <v>2008</v>
      </c>
      <c r="J2658" s="93">
        <v>87653.03</v>
      </c>
      <c r="K2658">
        <v>12</v>
      </c>
      <c r="L2658" s="1"/>
      <c r="M2658">
        <v>0</v>
      </c>
      <c r="N2658">
        <v>2625</v>
      </c>
      <c r="O2658">
        <v>33.390357999999999</v>
      </c>
      <c r="P2658">
        <v>2</v>
      </c>
      <c r="Q2658" s="1" t="s">
        <v>569</v>
      </c>
      <c r="R2658" s="93">
        <v>87653.03</v>
      </c>
      <c r="S2658">
        <v>41109.279999999999</v>
      </c>
      <c r="T2658">
        <v>0</v>
      </c>
      <c r="U2658" s="1" t="s">
        <v>1059</v>
      </c>
      <c r="V2658" s="1"/>
      <c r="W2658">
        <v>87653.02</v>
      </c>
      <c r="X2658">
        <v>0</v>
      </c>
      <c r="Y2658">
        <v>56822</v>
      </c>
    </row>
    <row r="2659" spans="1:25" ht="15" hidden="1" customHeight="1" x14ac:dyDescent="0.25">
      <c r="A2659" s="1" t="s">
        <v>35</v>
      </c>
      <c r="B2659" s="1"/>
      <c r="C2659" s="1" t="s">
        <v>183</v>
      </c>
      <c r="D2659">
        <v>10270</v>
      </c>
      <c r="E2659" s="1"/>
      <c r="F2659" s="1" t="s">
        <v>183</v>
      </c>
      <c r="G2659" s="1" t="s">
        <v>183</v>
      </c>
      <c r="H2659" s="1" t="s">
        <v>1405</v>
      </c>
      <c r="I2659">
        <v>2015</v>
      </c>
      <c r="J2659" s="93">
        <v>549</v>
      </c>
      <c r="K2659">
        <v>5</v>
      </c>
      <c r="L2659" s="1" t="s">
        <v>443</v>
      </c>
      <c r="M2659">
        <v>0</v>
      </c>
      <c r="N2659">
        <v>96</v>
      </c>
      <c r="O2659">
        <v>3.5200830000000001</v>
      </c>
      <c r="P2659">
        <v>2</v>
      </c>
      <c r="Q2659" s="1" t="s">
        <v>569</v>
      </c>
      <c r="R2659" s="93">
        <v>338.28</v>
      </c>
      <c r="S2659">
        <v>101.49</v>
      </c>
      <c r="T2659">
        <v>0</v>
      </c>
      <c r="U2659" s="1" t="s">
        <v>1058</v>
      </c>
      <c r="V2659" s="1" t="s">
        <v>1319</v>
      </c>
      <c r="W2659">
        <v>338.28399000000002</v>
      </c>
      <c r="X2659">
        <v>0</v>
      </c>
      <c r="Y2659">
        <v>77650</v>
      </c>
    </row>
    <row r="2660" spans="1:25" ht="15" hidden="1" customHeight="1" x14ac:dyDescent="0.25">
      <c r="A2660" s="1" t="s">
        <v>35</v>
      </c>
      <c r="B2660" s="1" t="s">
        <v>76</v>
      </c>
      <c r="C2660" s="1" t="s">
        <v>184</v>
      </c>
      <c r="D2660">
        <v>5270</v>
      </c>
      <c r="E2660" s="1"/>
      <c r="F2660" s="1" t="s">
        <v>314</v>
      </c>
      <c r="G2660" s="1" t="s">
        <v>184</v>
      </c>
      <c r="H2660" s="1" t="s">
        <v>1405</v>
      </c>
      <c r="I2660">
        <v>2015</v>
      </c>
      <c r="J2660" s="93">
        <v>56374</v>
      </c>
      <c r="K2660">
        <v>5</v>
      </c>
      <c r="L2660" s="1"/>
      <c r="M2660">
        <v>0</v>
      </c>
      <c r="N2660">
        <v>2625</v>
      </c>
      <c r="O2660">
        <v>9.4333089999999995</v>
      </c>
      <c r="P2660">
        <v>2</v>
      </c>
      <c r="Q2660" s="1" t="s">
        <v>569</v>
      </c>
      <c r="R2660" s="93">
        <v>24763.38</v>
      </c>
      <c r="S2660">
        <v>9905.35</v>
      </c>
      <c r="T2660">
        <v>0</v>
      </c>
      <c r="U2660" s="1" t="s">
        <v>1059</v>
      </c>
      <c r="V2660" s="1"/>
      <c r="W2660">
        <v>24763.38</v>
      </c>
      <c r="X2660">
        <v>0</v>
      </c>
      <c r="Y2660">
        <v>56822</v>
      </c>
    </row>
    <row r="2661" spans="1:25" ht="15" hidden="1" customHeight="1" x14ac:dyDescent="0.25">
      <c r="A2661" s="1" t="s">
        <v>35</v>
      </c>
      <c r="B2661" s="1"/>
      <c r="C2661" s="1" t="s">
        <v>237</v>
      </c>
      <c r="D2661">
        <v>5946</v>
      </c>
      <c r="E2661" s="1"/>
      <c r="F2661" s="1" t="s">
        <v>380</v>
      </c>
      <c r="G2661" s="1" t="s">
        <v>237</v>
      </c>
      <c r="H2661" s="1" t="s">
        <v>1405</v>
      </c>
      <c r="I2661">
        <v>2012</v>
      </c>
      <c r="J2661" s="93">
        <v>13943.42</v>
      </c>
      <c r="K2661">
        <v>12</v>
      </c>
      <c r="L2661" s="1" t="s">
        <v>426</v>
      </c>
      <c r="M2661">
        <v>0</v>
      </c>
      <c r="N2661">
        <v>393</v>
      </c>
      <c r="O2661">
        <v>35.470413999999998</v>
      </c>
      <c r="P2661">
        <v>2</v>
      </c>
      <c r="Q2661" s="1" t="s">
        <v>569</v>
      </c>
      <c r="R2661" s="93">
        <v>13943.42</v>
      </c>
      <c r="S2661">
        <v>5577.38</v>
      </c>
      <c r="T2661">
        <v>0</v>
      </c>
      <c r="U2661" s="1" t="s">
        <v>1060</v>
      </c>
      <c r="V2661" s="1" t="s">
        <v>1320</v>
      </c>
      <c r="W2661">
        <v>13943.423000000001</v>
      </c>
      <c r="X2661">
        <v>0</v>
      </c>
      <c r="Y2661">
        <v>59956</v>
      </c>
    </row>
    <row r="2662" spans="1:25" ht="15" hidden="1" customHeight="1" x14ac:dyDescent="0.25">
      <c r="A2662" s="1" t="s">
        <v>35</v>
      </c>
      <c r="B2662" s="1"/>
      <c r="C2662" s="1" t="s">
        <v>237</v>
      </c>
      <c r="D2662">
        <v>5946</v>
      </c>
      <c r="E2662" s="1"/>
      <c r="F2662" s="1" t="s">
        <v>380</v>
      </c>
      <c r="G2662" s="1" t="s">
        <v>237</v>
      </c>
      <c r="H2662" s="1" t="s">
        <v>1405</v>
      </c>
      <c r="I2662">
        <v>2011</v>
      </c>
      <c r="J2662" s="93">
        <v>15651.75</v>
      </c>
      <c r="K2662">
        <v>13</v>
      </c>
      <c r="L2662" s="1" t="s">
        <v>426</v>
      </c>
      <c r="M2662">
        <v>0</v>
      </c>
      <c r="N2662">
        <v>393</v>
      </c>
      <c r="O2662">
        <v>39.816203999999999</v>
      </c>
      <c r="P2662">
        <v>2</v>
      </c>
      <c r="Q2662" s="1" t="s">
        <v>569</v>
      </c>
      <c r="R2662" s="93">
        <v>15651.75</v>
      </c>
      <c r="S2662">
        <v>7340.67</v>
      </c>
      <c r="T2662">
        <v>0</v>
      </c>
      <c r="U2662" s="1" t="s">
        <v>1060</v>
      </c>
      <c r="V2662" s="1" t="s">
        <v>1320</v>
      </c>
      <c r="W2662">
        <v>15651.74014</v>
      </c>
      <c r="X2662">
        <v>0</v>
      </c>
      <c r="Y2662">
        <v>59956</v>
      </c>
    </row>
    <row r="2663" spans="1:25" ht="15" hidden="1" customHeight="1" x14ac:dyDescent="0.25">
      <c r="A2663" s="1" t="s">
        <v>35</v>
      </c>
      <c r="B2663" s="1"/>
      <c r="C2663" s="1" t="s">
        <v>237</v>
      </c>
      <c r="D2663">
        <v>5946</v>
      </c>
      <c r="E2663" s="1"/>
      <c r="F2663" s="1" t="s">
        <v>380</v>
      </c>
      <c r="G2663" s="1" t="s">
        <v>237</v>
      </c>
      <c r="H2663" s="1" t="s">
        <v>1405</v>
      </c>
      <c r="I2663">
        <v>2010</v>
      </c>
      <c r="J2663" s="93">
        <v>3673.65</v>
      </c>
      <c r="K2663">
        <v>8</v>
      </c>
      <c r="L2663" s="1" t="s">
        <v>426</v>
      </c>
      <c r="M2663">
        <v>0</v>
      </c>
      <c r="N2663">
        <v>393</v>
      </c>
      <c r="O2663">
        <v>9.3453309999999998</v>
      </c>
      <c r="P2663">
        <v>2</v>
      </c>
      <c r="Q2663" s="1" t="s">
        <v>569</v>
      </c>
      <c r="R2663" s="93">
        <v>3673.65</v>
      </c>
      <c r="S2663">
        <v>1722.93</v>
      </c>
      <c r="T2663">
        <v>0</v>
      </c>
      <c r="U2663" s="1" t="s">
        <v>1060</v>
      </c>
      <c r="V2663" s="1" t="s">
        <v>1320</v>
      </c>
      <c r="W2663">
        <v>3673.64284</v>
      </c>
      <c r="X2663">
        <v>0</v>
      </c>
      <c r="Y2663">
        <v>59956</v>
      </c>
    </row>
    <row r="2664" spans="1:25" ht="15" hidden="1" customHeight="1" x14ac:dyDescent="0.25">
      <c r="A2664" s="1" t="s">
        <v>35</v>
      </c>
      <c r="B2664" s="1"/>
      <c r="C2664" s="1" t="s">
        <v>237</v>
      </c>
      <c r="D2664">
        <v>5946</v>
      </c>
      <c r="E2664" s="1"/>
      <c r="F2664" s="1" t="s">
        <v>380</v>
      </c>
      <c r="G2664" s="1" t="s">
        <v>237</v>
      </c>
      <c r="H2664" s="1" t="s">
        <v>1405</v>
      </c>
      <c r="I2664">
        <v>2009</v>
      </c>
      <c r="J2664" s="93">
        <v>3440.4</v>
      </c>
      <c r="K2664">
        <v>2</v>
      </c>
      <c r="L2664" s="1" t="s">
        <v>426</v>
      </c>
      <c r="M2664">
        <v>0</v>
      </c>
      <c r="N2664">
        <v>393</v>
      </c>
      <c r="O2664">
        <v>8.7519709999999993</v>
      </c>
      <c r="P2664">
        <v>2</v>
      </c>
      <c r="Q2664" s="1" t="s">
        <v>569</v>
      </c>
      <c r="R2664" s="93">
        <v>3440.4</v>
      </c>
      <c r="S2664">
        <v>1613.54</v>
      </c>
      <c r="T2664">
        <v>0</v>
      </c>
      <c r="U2664" s="1" t="s">
        <v>1060</v>
      </c>
      <c r="V2664" s="1" t="s">
        <v>1320</v>
      </c>
      <c r="W2664">
        <v>3440.3986599999998</v>
      </c>
      <c r="X2664">
        <v>0</v>
      </c>
      <c r="Y2664">
        <v>59956</v>
      </c>
    </row>
    <row r="2665" spans="1:25" ht="15" hidden="1" customHeight="1" x14ac:dyDescent="0.25">
      <c r="A2665" s="1" t="s">
        <v>35</v>
      </c>
      <c r="B2665" s="1"/>
      <c r="C2665" s="1" t="s">
        <v>237</v>
      </c>
      <c r="D2665">
        <v>5946</v>
      </c>
      <c r="E2665" s="1"/>
      <c r="F2665" s="1" t="s">
        <v>380</v>
      </c>
      <c r="G2665" s="1" t="s">
        <v>237</v>
      </c>
      <c r="H2665" s="1" t="s">
        <v>1405</v>
      </c>
      <c r="I2665">
        <v>2008</v>
      </c>
      <c r="J2665" s="93">
        <v>8039.72</v>
      </c>
      <c r="K2665">
        <v>9</v>
      </c>
      <c r="L2665" s="1" t="s">
        <v>426</v>
      </c>
      <c r="M2665">
        <v>0</v>
      </c>
      <c r="N2665">
        <v>393</v>
      </c>
      <c r="O2665">
        <v>20.452097999999999</v>
      </c>
      <c r="P2665">
        <v>2</v>
      </c>
      <c r="Q2665" s="1" t="s">
        <v>569</v>
      </c>
      <c r="R2665" s="93">
        <v>8039.72</v>
      </c>
      <c r="S2665">
        <v>3770.63</v>
      </c>
      <c r="T2665">
        <v>0</v>
      </c>
      <c r="U2665" s="1" t="s">
        <v>1060</v>
      </c>
      <c r="V2665" s="1" t="s">
        <v>1320</v>
      </c>
      <c r="W2665">
        <v>8039.7218400000002</v>
      </c>
      <c r="X2665">
        <v>0</v>
      </c>
      <c r="Y2665">
        <v>59956</v>
      </c>
    </row>
    <row r="2666" spans="1:25" ht="15" hidden="1" customHeight="1" x14ac:dyDescent="0.25">
      <c r="A2666" s="1" t="s">
        <v>35</v>
      </c>
      <c r="B2666" s="1"/>
      <c r="C2666" s="1" t="s">
        <v>237</v>
      </c>
      <c r="D2666">
        <v>5946</v>
      </c>
      <c r="E2666" s="1"/>
      <c r="F2666" s="1" t="s">
        <v>380</v>
      </c>
      <c r="G2666" s="1" t="s">
        <v>237</v>
      </c>
      <c r="H2666" s="1" t="s">
        <v>1405</v>
      </c>
      <c r="I2666">
        <v>2015</v>
      </c>
      <c r="J2666" s="93">
        <v>16988</v>
      </c>
      <c r="K2666">
        <v>5</v>
      </c>
      <c r="L2666" s="1" t="s">
        <v>426</v>
      </c>
      <c r="M2666">
        <v>0</v>
      </c>
      <c r="N2666">
        <v>393</v>
      </c>
      <c r="O2666">
        <v>19.193538</v>
      </c>
      <c r="P2666">
        <v>2</v>
      </c>
      <c r="Q2666" s="1" t="s">
        <v>569</v>
      </c>
      <c r="R2666" s="93">
        <v>7544.98</v>
      </c>
      <c r="S2666">
        <v>3017.99</v>
      </c>
      <c r="T2666">
        <v>0</v>
      </c>
      <c r="U2666" s="1" t="s">
        <v>1060</v>
      </c>
      <c r="V2666" s="1" t="s">
        <v>1320</v>
      </c>
      <c r="W2666">
        <v>7544.9719999999998</v>
      </c>
      <c r="X2666">
        <v>0</v>
      </c>
      <c r="Y2666">
        <v>59956</v>
      </c>
    </row>
    <row r="2667" spans="1:25" ht="15" hidden="1" customHeight="1" x14ac:dyDescent="0.25">
      <c r="A2667" s="1" t="s">
        <v>36</v>
      </c>
      <c r="B2667" s="1" t="s">
        <v>78</v>
      </c>
      <c r="C2667" s="1" t="s">
        <v>186</v>
      </c>
      <c r="D2667">
        <v>13266</v>
      </c>
      <c r="E2667" s="1" t="s">
        <v>243</v>
      </c>
      <c r="F2667" s="1" t="s">
        <v>316</v>
      </c>
      <c r="G2667" s="1" t="s">
        <v>186</v>
      </c>
      <c r="H2667" s="1" t="s">
        <v>1405</v>
      </c>
      <c r="I2667">
        <v>2015</v>
      </c>
      <c r="J2667" s="93">
        <v>1228</v>
      </c>
      <c r="K2667">
        <v>5</v>
      </c>
      <c r="L2667" s="1" t="s">
        <v>446</v>
      </c>
      <c r="M2667">
        <v>0</v>
      </c>
      <c r="N2667">
        <v>1357</v>
      </c>
      <c r="O2667">
        <v>0.32150899999999999</v>
      </c>
      <c r="P2667">
        <v>3</v>
      </c>
      <c r="Q2667" s="1" t="s">
        <v>560</v>
      </c>
      <c r="R2667" s="93">
        <v>436.32</v>
      </c>
      <c r="S2667">
        <v>349.07</v>
      </c>
      <c r="T2667">
        <v>0</v>
      </c>
      <c r="U2667" s="1" t="s">
        <v>667</v>
      </c>
      <c r="V2667" s="1"/>
      <c r="W2667">
        <v>436.32812999999999</v>
      </c>
      <c r="X2667">
        <v>0</v>
      </c>
      <c r="Y2667">
        <v>89187</v>
      </c>
    </row>
    <row r="2668" spans="1:25" ht="15" hidden="1" customHeight="1" x14ac:dyDescent="0.25">
      <c r="A2668" s="1" t="s">
        <v>36</v>
      </c>
      <c r="B2668" s="1" t="s">
        <v>78</v>
      </c>
      <c r="C2668" s="1" t="s">
        <v>186</v>
      </c>
      <c r="D2668">
        <v>13266</v>
      </c>
      <c r="E2668" s="1" t="s">
        <v>243</v>
      </c>
      <c r="F2668" s="1" t="s">
        <v>316</v>
      </c>
      <c r="G2668" s="1" t="s">
        <v>186</v>
      </c>
      <c r="H2668" s="1" t="s">
        <v>1405</v>
      </c>
      <c r="I2668">
        <v>2013</v>
      </c>
      <c r="J2668" s="93">
        <v>1170.3699999999999</v>
      </c>
      <c r="K2668">
        <v>12</v>
      </c>
      <c r="L2668" s="1" t="s">
        <v>446</v>
      </c>
      <c r="M2668">
        <v>0</v>
      </c>
      <c r="N2668">
        <v>1357</v>
      </c>
      <c r="O2668">
        <v>0.86240499999999998</v>
      </c>
      <c r="P2668">
        <v>3</v>
      </c>
      <c r="Q2668" s="1" t="s">
        <v>560</v>
      </c>
      <c r="R2668" s="93">
        <v>1170.3699999999999</v>
      </c>
      <c r="S2668">
        <v>936.3</v>
      </c>
      <c r="T2668">
        <v>0</v>
      </c>
      <c r="U2668" s="1" t="s">
        <v>667</v>
      </c>
      <c r="V2668" s="1"/>
      <c r="W2668">
        <v>1170.37967</v>
      </c>
      <c r="X2668">
        <v>0</v>
      </c>
      <c r="Y2668">
        <v>89187</v>
      </c>
    </row>
    <row r="2669" spans="1:25" ht="15" hidden="1" customHeight="1" x14ac:dyDescent="0.25">
      <c r="A2669" s="1" t="s">
        <v>36</v>
      </c>
      <c r="B2669" s="1" t="s">
        <v>78</v>
      </c>
      <c r="C2669" s="1" t="s">
        <v>186</v>
      </c>
      <c r="D2669">
        <v>13266</v>
      </c>
      <c r="E2669" s="1" t="s">
        <v>243</v>
      </c>
      <c r="F2669" s="1" t="s">
        <v>316</v>
      </c>
      <c r="G2669" s="1" t="s">
        <v>186</v>
      </c>
      <c r="H2669" s="1" t="s">
        <v>1405</v>
      </c>
      <c r="I2669">
        <v>2012</v>
      </c>
      <c r="J2669" s="93">
        <v>972.37</v>
      </c>
      <c r="K2669">
        <v>13</v>
      </c>
      <c r="L2669" s="1" t="s">
        <v>446</v>
      </c>
      <c r="M2669">
        <v>0</v>
      </c>
      <c r="N2669">
        <v>1357</v>
      </c>
      <c r="O2669">
        <v>0.71650499999999995</v>
      </c>
      <c r="P2669">
        <v>3</v>
      </c>
      <c r="Q2669" s="1" t="s">
        <v>560</v>
      </c>
      <c r="R2669" s="93">
        <v>972.37</v>
      </c>
      <c r="S2669">
        <v>777.87</v>
      </c>
      <c r="T2669">
        <v>0</v>
      </c>
      <c r="U2669" s="1" t="s">
        <v>667</v>
      </c>
      <c r="V2669" s="1"/>
      <c r="W2669">
        <v>972.36532999999997</v>
      </c>
      <c r="X2669">
        <v>0</v>
      </c>
      <c r="Y2669">
        <v>89187</v>
      </c>
    </row>
    <row r="2670" spans="1:25" ht="15" hidden="1" customHeight="1" x14ac:dyDescent="0.25">
      <c r="A2670" s="1" t="s">
        <v>36</v>
      </c>
      <c r="B2670" s="1" t="s">
        <v>78</v>
      </c>
      <c r="C2670" s="1" t="s">
        <v>186</v>
      </c>
      <c r="D2670">
        <v>13266</v>
      </c>
      <c r="E2670" s="1" t="s">
        <v>243</v>
      </c>
      <c r="F2670" s="1" t="s">
        <v>316</v>
      </c>
      <c r="G2670" s="1" t="s">
        <v>186</v>
      </c>
      <c r="H2670" s="1" t="s">
        <v>1405</v>
      </c>
      <c r="I2670">
        <v>2011</v>
      </c>
      <c r="J2670" s="93">
        <v>999.98</v>
      </c>
      <c r="K2670">
        <v>1</v>
      </c>
      <c r="L2670" s="1" t="s">
        <v>446</v>
      </c>
      <c r="M2670">
        <v>0</v>
      </c>
      <c r="N2670">
        <v>1357</v>
      </c>
      <c r="O2670">
        <v>0.73685</v>
      </c>
      <c r="P2670">
        <v>3</v>
      </c>
      <c r="Q2670" s="1" t="s">
        <v>560</v>
      </c>
      <c r="R2670" s="93">
        <v>999.98</v>
      </c>
      <c r="S2670">
        <v>800.02</v>
      </c>
      <c r="T2670">
        <v>0</v>
      </c>
      <c r="U2670" s="1" t="s">
        <v>667</v>
      </c>
      <c r="V2670" s="1"/>
      <c r="W2670">
        <v>1000.0000199999999</v>
      </c>
      <c r="X2670">
        <v>0</v>
      </c>
      <c r="Y2670">
        <v>89187</v>
      </c>
    </row>
    <row r="2671" spans="1:25" ht="15" hidden="1" customHeight="1" x14ac:dyDescent="0.25">
      <c r="A2671" s="1" t="s">
        <v>36</v>
      </c>
      <c r="B2671" s="1" t="s">
        <v>78</v>
      </c>
      <c r="C2671" s="1" t="s">
        <v>186</v>
      </c>
      <c r="D2671">
        <v>13266</v>
      </c>
      <c r="E2671" s="1" t="s">
        <v>243</v>
      </c>
      <c r="F2671" s="1" t="s">
        <v>316</v>
      </c>
      <c r="G2671" s="1" t="s">
        <v>186</v>
      </c>
      <c r="H2671" s="1" t="s">
        <v>1405</v>
      </c>
      <c r="I2671">
        <v>2010</v>
      </c>
      <c r="J2671" s="93">
        <v>999.98</v>
      </c>
      <c r="K2671">
        <v>1</v>
      </c>
      <c r="L2671" s="1" t="s">
        <v>446</v>
      </c>
      <c r="M2671">
        <v>0</v>
      </c>
      <c r="N2671">
        <v>1357</v>
      </c>
      <c r="O2671">
        <v>0.73685</v>
      </c>
      <c r="P2671">
        <v>3</v>
      </c>
      <c r="Q2671" s="1" t="s">
        <v>560</v>
      </c>
      <c r="R2671" s="93">
        <v>999.98</v>
      </c>
      <c r="S2671">
        <v>800.02</v>
      </c>
      <c r="T2671">
        <v>0</v>
      </c>
      <c r="U2671" s="1" t="s">
        <v>667</v>
      </c>
      <c r="V2671" s="1"/>
      <c r="W2671">
        <v>1000.0000199999999</v>
      </c>
      <c r="X2671">
        <v>0</v>
      </c>
      <c r="Y2671">
        <v>89187</v>
      </c>
    </row>
    <row r="2672" spans="1:25" ht="15" hidden="1" customHeight="1" x14ac:dyDescent="0.25">
      <c r="A2672" s="1" t="s">
        <v>36</v>
      </c>
      <c r="B2672" s="1" t="s">
        <v>78</v>
      </c>
      <c r="C2672" s="1" t="s">
        <v>186</v>
      </c>
      <c r="D2672">
        <v>13266</v>
      </c>
      <c r="E2672" s="1" t="s">
        <v>243</v>
      </c>
      <c r="F2672" s="1" t="s">
        <v>316</v>
      </c>
      <c r="G2672" s="1" t="s">
        <v>186</v>
      </c>
      <c r="H2672" s="1" t="s">
        <v>1405</v>
      </c>
      <c r="I2672">
        <v>2009</v>
      </c>
      <c r="J2672" s="93">
        <v>999.98</v>
      </c>
      <c r="K2672">
        <v>1</v>
      </c>
      <c r="L2672" s="1" t="s">
        <v>446</v>
      </c>
      <c r="M2672">
        <v>0</v>
      </c>
      <c r="N2672">
        <v>1357</v>
      </c>
      <c r="O2672">
        <v>0.73685</v>
      </c>
      <c r="P2672">
        <v>3</v>
      </c>
      <c r="Q2672" s="1" t="s">
        <v>560</v>
      </c>
      <c r="R2672" s="93">
        <v>999.98</v>
      </c>
      <c r="S2672">
        <v>800.02</v>
      </c>
      <c r="T2672">
        <v>0</v>
      </c>
      <c r="U2672" s="1" t="s">
        <v>667</v>
      </c>
      <c r="V2672" s="1"/>
      <c r="W2672">
        <v>1000.0000199999999</v>
      </c>
      <c r="X2672">
        <v>0</v>
      </c>
      <c r="Y2672">
        <v>89187</v>
      </c>
    </row>
    <row r="2673" spans="1:25" ht="15" hidden="1" customHeight="1" x14ac:dyDescent="0.25">
      <c r="A2673" s="1" t="s">
        <v>36</v>
      </c>
      <c r="B2673" s="1" t="s">
        <v>78</v>
      </c>
      <c r="C2673" s="1" t="s">
        <v>186</v>
      </c>
      <c r="D2673">
        <v>13266</v>
      </c>
      <c r="E2673" s="1" t="s">
        <v>243</v>
      </c>
      <c r="F2673" s="1" t="s">
        <v>316</v>
      </c>
      <c r="G2673" s="1" t="s">
        <v>186</v>
      </c>
      <c r="H2673" s="1" t="s">
        <v>1405</v>
      </c>
      <c r="I2673">
        <v>2008</v>
      </c>
      <c r="J2673" s="93">
        <v>1000.01</v>
      </c>
      <c r="K2673">
        <v>1</v>
      </c>
      <c r="L2673" s="1" t="s">
        <v>446</v>
      </c>
      <c r="M2673">
        <v>0</v>
      </c>
      <c r="N2673">
        <v>1357</v>
      </c>
      <c r="O2673">
        <v>0.73687199999999997</v>
      </c>
      <c r="P2673">
        <v>3</v>
      </c>
      <c r="Q2673" s="1" t="s">
        <v>560</v>
      </c>
      <c r="R2673" s="93">
        <v>1000.01</v>
      </c>
      <c r="S2673">
        <v>799.99</v>
      </c>
      <c r="T2673">
        <v>0</v>
      </c>
      <c r="U2673" s="1" t="s">
        <v>667</v>
      </c>
      <c r="V2673" s="1"/>
      <c r="W2673">
        <v>999.99995999999999</v>
      </c>
      <c r="X2673">
        <v>0</v>
      </c>
      <c r="Y2673">
        <v>89187</v>
      </c>
    </row>
    <row r="2674" spans="1:25" ht="15" hidden="1" customHeight="1" x14ac:dyDescent="0.25">
      <c r="A2674" s="1" t="s">
        <v>27</v>
      </c>
      <c r="B2674" s="1"/>
      <c r="C2674" s="1" t="s">
        <v>118</v>
      </c>
      <c r="D2674">
        <v>10018</v>
      </c>
      <c r="E2674" s="1"/>
      <c r="F2674" s="1" t="s">
        <v>262</v>
      </c>
      <c r="G2674" s="1" t="s">
        <v>118</v>
      </c>
      <c r="H2674" s="1" t="s">
        <v>1405</v>
      </c>
      <c r="I2674">
        <v>2014</v>
      </c>
      <c r="J2674" s="93">
        <v>94388.98</v>
      </c>
      <c r="K2674">
        <v>11</v>
      </c>
      <c r="L2674" s="1" t="s">
        <v>471</v>
      </c>
      <c r="M2674">
        <v>0</v>
      </c>
      <c r="N2674">
        <v>838</v>
      </c>
      <c r="O2674">
        <v>112.622574</v>
      </c>
      <c r="P2674">
        <v>1</v>
      </c>
      <c r="Q2674" s="1" t="s">
        <v>564</v>
      </c>
      <c r="R2674" s="93">
        <v>113036.76</v>
      </c>
      <c r="S2674">
        <v>23905.17</v>
      </c>
      <c r="T2674">
        <v>0</v>
      </c>
      <c r="U2674" s="1"/>
      <c r="V2674" s="1" t="s">
        <v>1190</v>
      </c>
      <c r="W2674">
        <v>8739.7200599999996</v>
      </c>
      <c r="X2674">
        <v>0</v>
      </c>
      <c r="Y2674">
        <v>76530</v>
      </c>
    </row>
    <row r="2675" spans="1:25" ht="15" hidden="1" customHeight="1" x14ac:dyDescent="0.25">
      <c r="A2675" s="1" t="s">
        <v>36</v>
      </c>
      <c r="B2675" s="1"/>
      <c r="C2675" s="1" t="s">
        <v>187</v>
      </c>
      <c r="D2675">
        <v>10323</v>
      </c>
      <c r="E2675" s="1"/>
      <c r="F2675" s="1" t="s">
        <v>187</v>
      </c>
      <c r="G2675" s="1" t="s">
        <v>187</v>
      </c>
      <c r="H2675" s="1" t="s">
        <v>1405</v>
      </c>
      <c r="I2675">
        <v>2014</v>
      </c>
      <c r="J2675" s="93">
        <v>1052.5999999999999</v>
      </c>
      <c r="K2675">
        <v>12</v>
      </c>
      <c r="L2675" s="1" t="s">
        <v>405</v>
      </c>
      <c r="M2675">
        <v>0</v>
      </c>
      <c r="N2675">
        <v>2114</v>
      </c>
      <c r="O2675">
        <v>0.49789499999999998</v>
      </c>
      <c r="P2675">
        <v>3</v>
      </c>
      <c r="Q2675" s="1" t="s">
        <v>560</v>
      </c>
      <c r="R2675" s="93">
        <v>1052.5999999999999</v>
      </c>
      <c r="S2675">
        <v>842.08</v>
      </c>
      <c r="T2675">
        <v>0</v>
      </c>
      <c r="U2675" s="1" t="s">
        <v>668</v>
      </c>
      <c r="V2675" s="1"/>
      <c r="W2675">
        <v>1052.5999999999999</v>
      </c>
      <c r="X2675">
        <v>0</v>
      </c>
      <c r="Y2675">
        <v>77830</v>
      </c>
    </row>
    <row r="2676" spans="1:25" ht="15" hidden="1" customHeight="1" x14ac:dyDescent="0.25">
      <c r="A2676" s="1" t="s">
        <v>36</v>
      </c>
      <c r="B2676" s="1"/>
      <c r="C2676" s="1" t="s">
        <v>187</v>
      </c>
      <c r="D2676">
        <v>10323</v>
      </c>
      <c r="E2676" s="1"/>
      <c r="F2676" s="1" t="s">
        <v>187</v>
      </c>
      <c r="G2676" s="1" t="s">
        <v>187</v>
      </c>
      <c r="H2676" s="1" t="s">
        <v>1405</v>
      </c>
      <c r="I2676">
        <v>2013</v>
      </c>
      <c r="J2676" s="93">
        <v>99690.32</v>
      </c>
      <c r="K2676">
        <v>12</v>
      </c>
      <c r="L2676" s="1" t="s">
        <v>538</v>
      </c>
      <c r="M2676">
        <v>0</v>
      </c>
      <c r="N2676">
        <v>2114</v>
      </c>
      <c r="O2676">
        <v>47.154969000000001</v>
      </c>
      <c r="P2676">
        <v>2</v>
      </c>
      <c r="Q2676" s="1" t="s">
        <v>569</v>
      </c>
      <c r="R2676" s="93">
        <v>99690.32</v>
      </c>
      <c r="S2676">
        <v>29907.1</v>
      </c>
      <c r="T2676">
        <v>0</v>
      </c>
      <c r="U2676" s="1" t="s">
        <v>1063</v>
      </c>
      <c r="V2676" s="1" t="s">
        <v>1323</v>
      </c>
      <c r="W2676">
        <v>99690.323999999993</v>
      </c>
      <c r="X2676">
        <v>0</v>
      </c>
      <c r="Y2676">
        <v>84599</v>
      </c>
    </row>
    <row r="2677" spans="1:25" ht="15" hidden="1" customHeight="1" x14ac:dyDescent="0.25">
      <c r="A2677" s="1" t="s">
        <v>36</v>
      </c>
      <c r="B2677" s="1"/>
      <c r="C2677" s="1" t="s">
        <v>187</v>
      </c>
      <c r="D2677">
        <v>10323</v>
      </c>
      <c r="E2677" s="1"/>
      <c r="F2677" s="1" t="s">
        <v>187</v>
      </c>
      <c r="G2677" s="1" t="s">
        <v>187</v>
      </c>
      <c r="H2677" s="1" t="s">
        <v>1405</v>
      </c>
      <c r="I2677">
        <v>2013</v>
      </c>
      <c r="J2677" s="93">
        <v>1070.9000000000001</v>
      </c>
      <c r="K2677">
        <v>12</v>
      </c>
      <c r="L2677" s="1" t="s">
        <v>405</v>
      </c>
      <c r="M2677">
        <v>0</v>
      </c>
      <c r="N2677">
        <v>2114</v>
      </c>
      <c r="O2677">
        <v>0.50655099999999997</v>
      </c>
      <c r="P2677">
        <v>3</v>
      </c>
      <c r="Q2677" s="1" t="s">
        <v>560</v>
      </c>
      <c r="R2677" s="93">
        <v>1070.9000000000001</v>
      </c>
      <c r="S2677">
        <v>856.72</v>
      </c>
      <c r="T2677">
        <v>0</v>
      </c>
      <c r="U2677" s="1" t="s">
        <v>668</v>
      </c>
      <c r="V2677" s="1"/>
      <c r="W2677">
        <v>1070.9000000000001</v>
      </c>
      <c r="X2677">
        <v>0</v>
      </c>
      <c r="Y2677">
        <v>77830</v>
      </c>
    </row>
    <row r="2678" spans="1:25" ht="15" hidden="1" customHeight="1" x14ac:dyDescent="0.25">
      <c r="A2678" s="1" t="s">
        <v>36</v>
      </c>
      <c r="B2678" s="1"/>
      <c r="C2678" s="1" t="s">
        <v>189</v>
      </c>
      <c r="D2678">
        <v>9520</v>
      </c>
      <c r="E2678" s="1"/>
      <c r="F2678" s="1" t="s">
        <v>318</v>
      </c>
      <c r="G2678" s="1" t="s">
        <v>1482</v>
      </c>
      <c r="H2678" s="1" t="s">
        <v>1405</v>
      </c>
      <c r="I2678">
        <v>2015</v>
      </c>
      <c r="J2678" s="93">
        <v>444</v>
      </c>
      <c r="K2678">
        <v>5</v>
      </c>
      <c r="L2678" s="1"/>
      <c r="M2678">
        <v>0</v>
      </c>
      <c r="N2678">
        <v>1935</v>
      </c>
      <c r="O2678">
        <v>9.7461999999999993E-2</v>
      </c>
      <c r="P2678">
        <v>3</v>
      </c>
      <c r="Q2678" s="1" t="s">
        <v>560</v>
      </c>
      <c r="R2678" s="93">
        <v>188.6</v>
      </c>
      <c r="S2678">
        <v>150.88999999999999</v>
      </c>
      <c r="T2678">
        <v>0</v>
      </c>
      <c r="U2678" s="1" t="s">
        <v>670</v>
      </c>
      <c r="V2678" s="1"/>
      <c r="W2678">
        <v>188.60900000000001</v>
      </c>
      <c r="X2678">
        <v>0</v>
      </c>
      <c r="Y2678">
        <v>74435</v>
      </c>
    </row>
    <row r="2679" spans="1:25" ht="15" hidden="1" customHeight="1" x14ac:dyDescent="0.25">
      <c r="A2679" s="1" t="s">
        <v>36</v>
      </c>
      <c r="B2679" s="1"/>
      <c r="C2679" s="1" t="s">
        <v>189</v>
      </c>
      <c r="D2679">
        <v>9520</v>
      </c>
      <c r="E2679" s="1"/>
      <c r="F2679" s="1" t="s">
        <v>318</v>
      </c>
      <c r="G2679" s="1" t="s">
        <v>1482</v>
      </c>
      <c r="H2679" s="1" t="s">
        <v>1405</v>
      </c>
      <c r="I2679">
        <v>2015</v>
      </c>
      <c r="J2679" s="93">
        <v>0</v>
      </c>
      <c r="K2679">
        <v>5</v>
      </c>
      <c r="L2679" s="1"/>
      <c r="M2679">
        <v>0</v>
      </c>
      <c r="N2679">
        <v>1935</v>
      </c>
      <c r="O2679">
        <v>2.4510000000000001E-2</v>
      </c>
      <c r="P2679">
        <v>3</v>
      </c>
      <c r="Q2679" s="1" t="s">
        <v>560</v>
      </c>
      <c r="R2679" s="93">
        <v>47.43</v>
      </c>
      <c r="S2679">
        <v>0</v>
      </c>
      <c r="T2679">
        <v>1</v>
      </c>
      <c r="U2679" s="1" t="s">
        <v>634</v>
      </c>
      <c r="V2679" s="1"/>
      <c r="W2679">
        <v>47.433</v>
      </c>
      <c r="X2679">
        <v>0</v>
      </c>
      <c r="Y2679">
        <v>74436</v>
      </c>
    </row>
    <row r="2680" spans="1:25" ht="15" hidden="1" customHeight="1" x14ac:dyDescent="0.25">
      <c r="A2680" s="1" t="s">
        <v>36</v>
      </c>
      <c r="B2680" s="1"/>
      <c r="C2680" s="1" t="s">
        <v>189</v>
      </c>
      <c r="D2680">
        <v>9520</v>
      </c>
      <c r="E2680" s="1"/>
      <c r="F2680" s="1" t="s">
        <v>318</v>
      </c>
      <c r="G2680" s="1" t="s">
        <v>1482</v>
      </c>
      <c r="H2680" s="1" t="s">
        <v>1405</v>
      </c>
      <c r="I2680">
        <v>2013</v>
      </c>
      <c r="J2680" s="93">
        <v>421.75</v>
      </c>
      <c r="K2680">
        <v>12</v>
      </c>
      <c r="L2680" s="1"/>
      <c r="M2680">
        <v>0</v>
      </c>
      <c r="N2680">
        <v>1935</v>
      </c>
      <c r="O2680">
        <v>0.217947</v>
      </c>
      <c r="P2680">
        <v>3</v>
      </c>
      <c r="Q2680" s="1" t="s">
        <v>560</v>
      </c>
      <c r="R2680" s="93">
        <v>421.75</v>
      </c>
      <c r="S2680">
        <v>337.42</v>
      </c>
      <c r="T2680">
        <v>0</v>
      </c>
      <c r="U2680" s="1" t="s">
        <v>670</v>
      </c>
      <c r="V2680" s="1"/>
      <c r="W2680">
        <v>421.76100000000002</v>
      </c>
      <c r="X2680">
        <v>0</v>
      </c>
      <c r="Y2680">
        <v>74435</v>
      </c>
    </row>
    <row r="2681" spans="1:25" ht="15" hidden="1" customHeight="1" x14ac:dyDescent="0.25">
      <c r="A2681" s="1" t="s">
        <v>28</v>
      </c>
      <c r="B2681" s="1"/>
      <c r="C2681" s="1" t="s">
        <v>187</v>
      </c>
      <c r="D2681">
        <v>10323</v>
      </c>
      <c r="E2681" s="1"/>
      <c r="F2681" s="1" t="s">
        <v>187</v>
      </c>
      <c r="G2681" s="1" t="s">
        <v>187</v>
      </c>
      <c r="H2681" s="1" t="s">
        <v>1405</v>
      </c>
      <c r="I2681">
        <v>2015</v>
      </c>
      <c r="J2681" s="93">
        <v>952</v>
      </c>
      <c r="K2681">
        <v>5</v>
      </c>
      <c r="L2681" s="1" t="s">
        <v>405</v>
      </c>
      <c r="M2681">
        <v>0</v>
      </c>
      <c r="N2681">
        <v>2114</v>
      </c>
      <c r="O2681">
        <v>0.170096</v>
      </c>
      <c r="P2681">
        <v>3</v>
      </c>
      <c r="Q2681" s="1" t="s">
        <v>560</v>
      </c>
      <c r="R2681" s="93">
        <v>359.6</v>
      </c>
      <c r="S2681">
        <v>287.68</v>
      </c>
      <c r="T2681">
        <v>0</v>
      </c>
      <c r="U2681" s="1" t="s">
        <v>668</v>
      </c>
      <c r="V2681" s="1"/>
      <c r="W2681">
        <v>359.6</v>
      </c>
      <c r="X2681">
        <v>0</v>
      </c>
      <c r="Y2681">
        <v>77830</v>
      </c>
    </row>
    <row r="2682" spans="1:25" ht="15" hidden="1" customHeight="1" x14ac:dyDescent="0.25">
      <c r="A2682" s="1" t="s">
        <v>28</v>
      </c>
      <c r="B2682" s="1"/>
      <c r="C2682" s="1" t="s">
        <v>187</v>
      </c>
      <c r="D2682">
        <v>10323</v>
      </c>
      <c r="E2682" s="1"/>
      <c r="F2682" s="1" t="s">
        <v>187</v>
      </c>
      <c r="G2682" s="1" t="s">
        <v>187</v>
      </c>
      <c r="H2682" s="1" t="s">
        <v>1405</v>
      </c>
      <c r="I2682">
        <v>2015</v>
      </c>
      <c r="J2682" s="93">
        <v>235433</v>
      </c>
      <c r="K2682">
        <v>5</v>
      </c>
      <c r="L2682" s="1" t="s">
        <v>482</v>
      </c>
      <c r="M2682">
        <v>0</v>
      </c>
      <c r="N2682">
        <v>2114</v>
      </c>
      <c r="O2682">
        <v>67.837750999999997</v>
      </c>
      <c r="P2682">
        <v>1</v>
      </c>
      <c r="Q2682" s="1" t="s">
        <v>564</v>
      </c>
      <c r="R2682" s="93">
        <v>271269</v>
      </c>
      <c r="S2682">
        <v>33927.800000000003</v>
      </c>
      <c r="T2682">
        <v>0</v>
      </c>
      <c r="U2682" s="1" t="s">
        <v>845</v>
      </c>
      <c r="V2682" s="1" t="s">
        <v>1218</v>
      </c>
      <c r="W2682">
        <v>13279.24</v>
      </c>
      <c r="X2682">
        <v>0</v>
      </c>
      <c r="Y2682">
        <v>77831</v>
      </c>
    </row>
    <row r="2683" spans="1:25" ht="15" hidden="1" customHeight="1" x14ac:dyDescent="0.25">
      <c r="A2683" s="1" t="s">
        <v>28</v>
      </c>
      <c r="B2683" s="1"/>
      <c r="C2683" s="1" t="s">
        <v>187</v>
      </c>
      <c r="D2683">
        <v>10323</v>
      </c>
      <c r="E2683" s="1"/>
      <c r="F2683" s="1" t="s">
        <v>187</v>
      </c>
      <c r="G2683" s="1" t="s">
        <v>187</v>
      </c>
      <c r="H2683" s="1" t="s">
        <v>1405</v>
      </c>
      <c r="I2683">
        <v>2015</v>
      </c>
      <c r="J2683" s="93">
        <v>67627</v>
      </c>
      <c r="K2683">
        <v>5</v>
      </c>
      <c r="L2683" s="1" t="s">
        <v>538</v>
      </c>
      <c r="M2683">
        <v>0</v>
      </c>
      <c r="N2683">
        <v>2114</v>
      </c>
      <c r="O2683">
        <v>17.385535000000001</v>
      </c>
      <c r="P2683">
        <v>2</v>
      </c>
      <c r="Q2683" s="1" t="s">
        <v>569</v>
      </c>
      <c r="R2683" s="93">
        <v>36754.76</v>
      </c>
      <c r="S2683">
        <v>11026.44</v>
      </c>
      <c r="T2683">
        <v>0</v>
      </c>
      <c r="U2683" s="1" t="s">
        <v>1063</v>
      </c>
      <c r="V2683" s="1" t="s">
        <v>1323</v>
      </c>
      <c r="W2683">
        <v>36754.764000000003</v>
      </c>
      <c r="X2683">
        <v>0</v>
      </c>
      <c r="Y2683">
        <v>84599</v>
      </c>
    </row>
    <row r="2684" spans="1:25" ht="15" hidden="1" customHeight="1" x14ac:dyDescent="0.25">
      <c r="A2684" s="1" t="s">
        <v>36</v>
      </c>
      <c r="B2684" s="1"/>
      <c r="C2684" s="1" t="s">
        <v>189</v>
      </c>
      <c r="D2684">
        <v>9520</v>
      </c>
      <c r="E2684" s="1"/>
      <c r="F2684" s="1" t="s">
        <v>318</v>
      </c>
      <c r="G2684" s="1" t="s">
        <v>1482</v>
      </c>
      <c r="H2684" s="1" t="s">
        <v>1405</v>
      </c>
      <c r="I2684">
        <v>2013</v>
      </c>
      <c r="J2684" s="93">
        <v>127.17</v>
      </c>
      <c r="K2684">
        <v>12</v>
      </c>
      <c r="L2684" s="1"/>
      <c r="M2684">
        <v>0</v>
      </c>
      <c r="N2684">
        <v>1935</v>
      </c>
      <c r="O2684">
        <v>6.5716999999999998E-2</v>
      </c>
      <c r="P2684">
        <v>3</v>
      </c>
      <c r="Q2684" s="1" t="s">
        <v>560</v>
      </c>
      <c r="R2684" s="93">
        <v>127.17</v>
      </c>
      <c r="S2684">
        <v>0</v>
      </c>
      <c r="T2684">
        <v>1</v>
      </c>
      <c r="U2684" s="1" t="s">
        <v>634</v>
      </c>
      <c r="V2684" s="1"/>
      <c r="W2684">
        <v>127.17</v>
      </c>
      <c r="X2684">
        <v>0</v>
      </c>
      <c r="Y2684">
        <v>74436</v>
      </c>
    </row>
    <row r="2685" spans="1:25" ht="15" hidden="1" customHeight="1" x14ac:dyDescent="0.25">
      <c r="A2685" s="1" t="s">
        <v>36</v>
      </c>
      <c r="B2685" s="1"/>
      <c r="C2685" s="1" t="s">
        <v>189</v>
      </c>
      <c r="D2685">
        <v>9520</v>
      </c>
      <c r="E2685" s="1"/>
      <c r="F2685" s="1" t="s">
        <v>318</v>
      </c>
      <c r="G2685" s="1" t="s">
        <v>1482</v>
      </c>
      <c r="H2685" s="1" t="s">
        <v>1405</v>
      </c>
      <c r="I2685">
        <v>2012</v>
      </c>
      <c r="J2685" s="93">
        <v>482.34</v>
      </c>
      <c r="K2685">
        <v>12</v>
      </c>
      <c r="L2685" s="1"/>
      <c r="M2685">
        <v>0</v>
      </c>
      <c r="N2685">
        <v>1935</v>
      </c>
      <c r="O2685">
        <v>0.24925800000000001</v>
      </c>
      <c r="P2685">
        <v>3</v>
      </c>
      <c r="Q2685" s="1" t="s">
        <v>560</v>
      </c>
      <c r="R2685" s="93">
        <v>482.34</v>
      </c>
      <c r="S2685">
        <v>385.89</v>
      </c>
      <c r="T2685">
        <v>0</v>
      </c>
      <c r="U2685" s="1" t="s">
        <v>670</v>
      </c>
      <c r="V2685" s="1"/>
      <c r="W2685">
        <v>482.35500000000002</v>
      </c>
      <c r="X2685">
        <v>0</v>
      </c>
      <c r="Y2685">
        <v>74435</v>
      </c>
    </row>
    <row r="2686" spans="1:25" ht="15" hidden="1" customHeight="1" x14ac:dyDescent="0.25">
      <c r="A2686" s="1" t="s">
        <v>36</v>
      </c>
      <c r="B2686" s="1"/>
      <c r="C2686" s="1" t="s">
        <v>189</v>
      </c>
      <c r="D2686">
        <v>9520</v>
      </c>
      <c r="E2686" s="1"/>
      <c r="F2686" s="1" t="s">
        <v>318</v>
      </c>
      <c r="G2686" s="1" t="s">
        <v>1482</v>
      </c>
      <c r="H2686" s="1" t="s">
        <v>1405</v>
      </c>
      <c r="I2686">
        <v>2012</v>
      </c>
      <c r="J2686" s="93">
        <v>134.83000000000001</v>
      </c>
      <c r="K2686">
        <v>12</v>
      </c>
      <c r="L2686" s="1"/>
      <c r="M2686">
        <v>0</v>
      </c>
      <c r="N2686">
        <v>1935</v>
      </c>
      <c r="O2686">
        <v>6.9675000000000001E-2</v>
      </c>
      <c r="P2686">
        <v>3</v>
      </c>
      <c r="Q2686" s="1" t="s">
        <v>560</v>
      </c>
      <c r="R2686" s="93">
        <v>134.83000000000001</v>
      </c>
      <c r="S2686">
        <v>0</v>
      </c>
      <c r="T2686">
        <v>1</v>
      </c>
      <c r="U2686" s="1" t="s">
        <v>634</v>
      </c>
      <c r="V2686" s="1"/>
      <c r="W2686">
        <v>134.828</v>
      </c>
      <c r="X2686">
        <v>0</v>
      </c>
      <c r="Y2686">
        <v>74436</v>
      </c>
    </row>
    <row r="2687" spans="1:25" ht="15" hidden="1" customHeight="1" x14ac:dyDescent="0.25">
      <c r="A2687" s="1" t="s">
        <v>36</v>
      </c>
      <c r="B2687" s="1"/>
      <c r="C2687" s="1" t="s">
        <v>189</v>
      </c>
      <c r="D2687">
        <v>9520</v>
      </c>
      <c r="E2687" s="1"/>
      <c r="F2687" s="1" t="s">
        <v>318</v>
      </c>
      <c r="G2687" s="1" t="s">
        <v>1482</v>
      </c>
      <c r="H2687" s="1" t="s">
        <v>1405</v>
      </c>
      <c r="I2687">
        <v>2011</v>
      </c>
      <c r="J2687" s="93">
        <v>617.49</v>
      </c>
      <c r="K2687">
        <v>12</v>
      </c>
      <c r="L2687" s="1"/>
      <c r="M2687">
        <v>0</v>
      </c>
      <c r="N2687">
        <v>1935</v>
      </c>
      <c r="O2687">
        <v>0.31909900000000002</v>
      </c>
      <c r="P2687">
        <v>3</v>
      </c>
      <c r="Q2687" s="1" t="s">
        <v>560</v>
      </c>
      <c r="R2687" s="93">
        <v>617.49</v>
      </c>
      <c r="S2687">
        <v>493.95</v>
      </c>
      <c r="T2687">
        <v>0</v>
      </c>
      <c r="U2687" s="1" t="s">
        <v>670</v>
      </c>
      <c r="V2687" s="1"/>
      <c r="W2687">
        <v>617.46199999999999</v>
      </c>
      <c r="X2687">
        <v>0</v>
      </c>
      <c r="Y2687">
        <v>74435</v>
      </c>
    </row>
    <row r="2688" spans="1:25" ht="15" hidden="1" customHeight="1" x14ac:dyDescent="0.25">
      <c r="A2688" s="1" t="s">
        <v>36</v>
      </c>
      <c r="B2688" s="1"/>
      <c r="C2688" s="1" t="s">
        <v>189</v>
      </c>
      <c r="D2688">
        <v>9520</v>
      </c>
      <c r="E2688" s="1"/>
      <c r="F2688" s="1" t="s">
        <v>318</v>
      </c>
      <c r="G2688" s="1" t="s">
        <v>1482</v>
      </c>
      <c r="H2688" s="1" t="s">
        <v>1405</v>
      </c>
      <c r="I2688">
        <v>2011</v>
      </c>
      <c r="J2688" s="93">
        <v>131.03</v>
      </c>
      <c r="K2688">
        <v>12</v>
      </c>
      <c r="L2688" s="1"/>
      <c r="M2688">
        <v>0</v>
      </c>
      <c r="N2688">
        <v>1935</v>
      </c>
      <c r="O2688">
        <v>6.7711999999999994E-2</v>
      </c>
      <c r="P2688">
        <v>3</v>
      </c>
      <c r="Q2688" s="1" t="s">
        <v>560</v>
      </c>
      <c r="R2688" s="93">
        <v>131.03</v>
      </c>
      <c r="S2688">
        <v>0</v>
      </c>
      <c r="T2688">
        <v>1</v>
      </c>
      <c r="U2688" s="1" t="s">
        <v>634</v>
      </c>
      <c r="V2688" s="1"/>
      <c r="W2688">
        <v>131.017</v>
      </c>
      <c r="X2688">
        <v>0</v>
      </c>
      <c r="Y2688">
        <v>74436</v>
      </c>
    </row>
    <row r="2689" spans="1:25" ht="15" hidden="1" customHeight="1" x14ac:dyDescent="0.25">
      <c r="A2689" s="1" t="s">
        <v>36</v>
      </c>
      <c r="B2689" s="1"/>
      <c r="C2689" s="1" t="s">
        <v>189</v>
      </c>
      <c r="D2689">
        <v>9520</v>
      </c>
      <c r="E2689" s="1"/>
      <c r="F2689" s="1" t="s">
        <v>318</v>
      </c>
      <c r="G2689" s="1" t="s">
        <v>1482</v>
      </c>
      <c r="H2689" s="1" t="s">
        <v>1405</v>
      </c>
      <c r="I2689">
        <v>2010</v>
      </c>
      <c r="J2689" s="93">
        <v>737.76</v>
      </c>
      <c r="K2689">
        <v>12</v>
      </c>
      <c r="L2689" s="1"/>
      <c r="M2689">
        <v>0</v>
      </c>
      <c r="N2689">
        <v>1935</v>
      </c>
      <c r="O2689">
        <v>0.38125100000000001</v>
      </c>
      <c r="P2689">
        <v>3</v>
      </c>
      <c r="Q2689" s="1" t="s">
        <v>560</v>
      </c>
      <c r="R2689" s="93">
        <v>737.76</v>
      </c>
      <c r="S2689">
        <v>590.20000000000005</v>
      </c>
      <c r="T2689">
        <v>0</v>
      </c>
      <c r="U2689" s="1" t="s">
        <v>670</v>
      </c>
      <c r="V2689" s="1"/>
      <c r="W2689">
        <v>737.74599999999998</v>
      </c>
      <c r="X2689">
        <v>0</v>
      </c>
      <c r="Y2689">
        <v>74435</v>
      </c>
    </row>
    <row r="2690" spans="1:25" ht="15" hidden="1" customHeight="1" x14ac:dyDescent="0.25">
      <c r="A2690" s="1" t="s">
        <v>36</v>
      </c>
      <c r="B2690" s="1"/>
      <c r="C2690" s="1" t="s">
        <v>189</v>
      </c>
      <c r="D2690">
        <v>9520</v>
      </c>
      <c r="E2690" s="1"/>
      <c r="F2690" s="1" t="s">
        <v>318</v>
      </c>
      <c r="G2690" s="1" t="s">
        <v>1482</v>
      </c>
      <c r="H2690" s="1" t="s">
        <v>1405</v>
      </c>
      <c r="I2690">
        <v>2010</v>
      </c>
      <c r="J2690" s="93">
        <v>0</v>
      </c>
      <c r="K2690">
        <v>12</v>
      </c>
      <c r="L2690" s="1"/>
      <c r="M2690">
        <v>0</v>
      </c>
      <c r="N2690">
        <v>1935</v>
      </c>
      <c r="O2690">
        <v>0</v>
      </c>
      <c r="P2690">
        <v>3</v>
      </c>
      <c r="Q2690" s="1" t="s">
        <v>560</v>
      </c>
      <c r="R2690" s="93">
        <v>0</v>
      </c>
      <c r="S2690">
        <v>0</v>
      </c>
      <c r="T2690">
        <v>1</v>
      </c>
      <c r="U2690" s="1" t="s">
        <v>634</v>
      </c>
      <c r="V2690" s="1"/>
      <c r="W2690">
        <v>0</v>
      </c>
      <c r="X2690">
        <v>0</v>
      </c>
      <c r="Y2690">
        <v>74436</v>
      </c>
    </row>
    <row r="2691" spans="1:25" ht="15" hidden="1" customHeight="1" x14ac:dyDescent="0.25">
      <c r="A2691" s="1" t="s">
        <v>36</v>
      </c>
      <c r="B2691" s="1"/>
      <c r="C2691" s="1" t="s">
        <v>189</v>
      </c>
      <c r="D2691">
        <v>9520</v>
      </c>
      <c r="E2691" s="1"/>
      <c r="F2691" s="1" t="s">
        <v>318</v>
      </c>
      <c r="G2691" s="1" t="s">
        <v>1482</v>
      </c>
      <c r="H2691" s="1" t="s">
        <v>1405</v>
      </c>
      <c r="I2691">
        <v>2009</v>
      </c>
      <c r="J2691" s="93">
        <v>598.30999999999995</v>
      </c>
      <c r="K2691">
        <v>12</v>
      </c>
      <c r="L2691" s="1"/>
      <c r="M2691">
        <v>0</v>
      </c>
      <c r="N2691">
        <v>1935</v>
      </c>
      <c r="O2691">
        <v>0.30918800000000002</v>
      </c>
      <c r="P2691">
        <v>3</v>
      </c>
      <c r="Q2691" s="1" t="s">
        <v>560</v>
      </c>
      <c r="R2691" s="93">
        <v>598.30999999999995</v>
      </c>
      <c r="S2691">
        <v>478.65</v>
      </c>
      <c r="T2691">
        <v>0</v>
      </c>
      <c r="U2691" s="1" t="s">
        <v>670</v>
      </c>
      <c r="V2691" s="1"/>
      <c r="W2691">
        <v>598.29899999999998</v>
      </c>
      <c r="X2691">
        <v>0</v>
      </c>
      <c r="Y2691">
        <v>74435</v>
      </c>
    </row>
    <row r="2692" spans="1:25" ht="15" hidden="1" customHeight="1" x14ac:dyDescent="0.25">
      <c r="A2692" s="1" t="s">
        <v>36</v>
      </c>
      <c r="B2692" s="1"/>
      <c r="C2692" s="1" t="s">
        <v>189</v>
      </c>
      <c r="D2692">
        <v>9520</v>
      </c>
      <c r="E2692" s="1"/>
      <c r="F2692" s="1" t="s">
        <v>318</v>
      </c>
      <c r="G2692" s="1" t="s">
        <v>1482</v>
      </c>
      <c r="H2692" s="1" t="s">
        <v>1405</v>
      </c>
      <c r="I2692">
        <v>2009</v>
      </c>
      <c r="J2692" s="93">
        <v>67.790000000000006</v>
      </c>
      <c r="K2692">
        <v>12</v>
      </c>
      <c r="L2692" s="1"/>
      <c r="M2692">
        <v>0</v>
      </c>
      <c r="N2692">
        <v>1935</v>
      </c>
      <c r="O2692">
        <v>3.5031E-2</v>
      </c>
      <c r="P2692">
        <v>3</v>
      </c>
      <c r="Q2692" s="1" t="s">
        <v>560</v>
      </c>
      <c r="R2692" s="93">
        <v>67.790000000000006</v>
      </c>
      <c r="S2692">
        <v>0</v>
      </c>
      <c r="T2692">
        <v>1</v>
      </c>
      <c r="U2692" s="1" t="s">
        <v>634</v>
      </c>
      <c r="V2692" s="1"/>
      <c r="W2692">
        <v>67.795000000000002</v>
      </c>
      <c r="X2692">
        <v>0</v>
      </c>
      <c r="Y2692">
        <v>74436</v>
      </c>
    </row>
    <row r="2693" spans="1:25" ht="15" hidden="1" customHeight="1" x14ac:dyDescent="0.25">
      <c r="A2693" s="1" t="s">
        <v>36</v>
      </c>
      <c r="B2693" s="1"/>
      <c r="C2693" s="1" t="s">
        <v>189</v>
      </c>
      <c r="D2693">
        <v>9520</v>
      </c>
      <c r="E2693" s="1"/>
      <c r="F2693" s="1" t="s">
        <v>318</v>
      </c>
      <c r="G2693" s="1" t="s">
        <v>1482</v>
      </c>
      <c r="H2693" s="1" t="s">
        <v>1405</v>
      </c>
      <c r="I2693">
        <v>2008</v>
      </c>
      <c r="J2693" s="93">
        <v>565.35</v>
      </c>
      <c r="K2693">
        <v>12</v>
      </c>
      <c r="L2693" s="1"/>
      <c r="M2693">
        <v>0</v>
      </c>
      <c r="N2693">
        <v>1935</v>
      </c>
      <c r="O2693">
        <v>0.292155</v>
      </c>
      <c r="P2693">
        <v>3</v>
      </c>
      <c r="Q2693" s="1" t="s">
        <v>560</v>
      </c>
      <c r="R2693" s="93">
        <v>565.35</v>
      </c>
      <c r="S2693">
        <v>452.27</v>
      </c>
      <c r="T2693">
        <v>0</v>
      </c>
      <c r="U2693" s="1" t="s">
        <v>670</v>
      </c>
      <c r="V2693" s="1"/>
      <c r="W2693">
        <v>565.35500000000002</v>
      </c>
      <c r="X2693">
        <v>0</v>
      </c>
      <c r="Y2693">
        <v>74435</v>
      </c>
    </row>
    <row r="2694" spans="1:25" ht="15" hidden="1" customHeight="1" x14ac:dyDescent="0.25">
      <c r="A2694" s="1" t="s">
        <v>36</v>
      </c>
      <c r="B2694" s="1"/>
      <c r="C2694" s="1" t="s">
        <v>189</v>
      </c>
      <c r="D2694">
        <v>9520</v>
      </c>
      <c r="E2694" s="1"/>
      <c r="F2694" s="1" t="s">
        <v>318</v>
      </c>
      <c r="G2694" s="1" t="s">
        <v>1482</v>
      </c>
      <c r="H2694" s="1" t="s">
        <v>1405</v>
      </c>
      <c r="I2694">
        <v>2008</v>
      </c>
      <c r="J2694" s="93">
        <v>177.98</v>
      </c>
      <c r="K2694">
        <v>12</v>
      </c>
      <c r="L2694" s="1"/>
      <c r="M2694">
        <v>0</v>
      </c>
      <c r="N2694">
        <v>1935</v>
      </c>
      <c r="O2694">
        <v>9.1974E-2</v>
      </c>
      <c r="P2694">
        <v>3</v>
      </c>
      <c r="Q2694" s="1" t="s">
        <v>560</v>
      </c>
      <c r="R2694" s="93">
        <v>177.98</v>
      </c>
      <c r="S2694">
        <v>0</v>
      </c>
      <c r="T2694">
        <v>1</v>
      </c>
      <c r="U2694" s="1" t="s">
        <v>634</v>
      </c>
      <c r="V2694" s="1"/>
      <c r="W2694">
        <v>177.98599999999999</v>
      </c>
      <c r="X2694">
        <v>0</v>
      </c>
      <c r="Y2694">
        <v>74436</v>
      </c>
    </row>
    <row r="2695" spans="1:25" ht="15" hidden="1" customHeight="1" x14ac:dyDescent="0.25">
      <c r="A2695" s="1" t="s">
        <v>36</v>
      </c>
      <c r="B2695" s="1" t="s">
        <v>80</v>
      </c>
      <c r="C2695" s="1" t="s">
        <v>190</v>
      </c>
      <c r="D2695">
        <v>13297</v>
      </c>
      <c r="E2695" s="1" t="s">
        <v>244</v>
      </c>
      <c r="F2695" s="1" t="s">
        <v>190</v>
      </c>
      <c r="G2695" s="1" t="s">
        <v>190</v>
      </c>
      <c r="H2695" s="1" t="s">
        <v>1405</v>
      </c>
      <c r="I2695">
        <v>2015</v>
      </c>
      <c r="J2695" s="93">
        <v>1051</v>
      </c>
      <c r="K2695">
        <v>5</v>
      </c>
      <c r="L2695" s="1" t="s">
        <v>426</v>
      </c>
      <c r="M2695">
        <v>0</v>
      </c>
      <c r="N2695">
        <v>1571</v>
      </c>
      <c r="O2695">
        <v>0.25328699999999998</v>
      </c>
      <c r="P2695">
        <v>3</v>
      </c>
      <c r="Q2695" s="1" t="s">
        <v>560</v>
      </c>
      <c r="R2695" s="93">
        <v>397.94</v>
      </c>
      <c r="S2695">
        <v>318.36</v>
      </c>
      <c r="T2695">
        <v>0</v>
      </c>
      <c r="U2695" s="1" t="s">
        <v>671</v>
      </c>
      <c r="V2695" s="1"/>
      <c r="W2695">
        <v>397.94540999999998</v>
      </c>
      <c r="X2695">
        <v>0</v>
      </c>
      <c r="Y2695">
        <v>89295</v>
      </c>
    </row>
    <row r="2696" spans="1:25" ht="15" hidden="1" customHeight="1" x14ac:dyDescent="0.25">
      <c r="A2696" s="1" t="s">
        <v>36</v>
      </c>
      <c r="B2696" s="1" t="s">
        <v>80</v>
      </c>
      <c r="C2696" s="1" t="s">
        <v>190</v>
      </c>
      <c r="D2696">
        <v>13297</v>
      </c>
      <c r="E2696" s="1" t="s">
        <v>244</v>
      </c>
      <c r="F2696" s="1" t="s">
        <v>190</v>
      </c>
      <c r="G2696" s="1" t="s">
        <v>190</v>
      </c>
      <c r="H2696" s="1" t="s">
        <v>1405</v>
      </c>
      <c r="I2696">
        <v>2013</v>
      </c>
      <c r="J2696" s="93">
        <v>1027.5899999999999</v>
      </c>
      <c r="K2696">
        <v>12</v>
      </c>
      <c r="L2696" s="1" t="s">
        <v>426</v>
      </c>
      <c r="M2696">
        <v>0</v>
      </c>
      <c r="N2696">
        <v>1571</v>
      </c>
      <c r="O2696">
        <v>0.654057</v>
      </c>
      <c r="P2696">
        <v>3</v>
      </c>
      <c r="Q2696" s="1" t="s">
        <v>560</v>
      </c>
      <c r="R2696" s="93">
        <v>1027.5899999999999</v>
      </c>
      <c r="S2696">
        <v>822.07</v>
      </c>
      <c r="T2696">
        <v>0</v>
      </c>
      <c r="U2696" s="1" t="s">
        <v>671</v>
      </c>
      <c r="V2696" s="1"/>
      <c r="W2696">
        <v>1027.57925</v>
      </c>
      <c r="X2696">
        <v>0</v>
      </c>
      <c r="Y2696">
        <v>89295</v>
      </c>
    </row>
    <row r="2697" spans="1:25" ht="15" hidden="1" customHeight="1" x14ac:dyDescent="0.25">
      <c r="A2697" s="1" t="s">
        <v>36</v>
      </c>
      <c r="B2697" s="1" t="s">
        <v>80</v>
      </c>
      <c r="C2697" s="1" t="s">
        <v>190</v>
      </c>
      <c r="D2697">
        <v>13297</v>
      </c>
      <c r="E2697" s="1" t="s">
        <v>244</v>
      </c>
      <c r="F2697" s="1" t="s">
        <v>190</v>
      </c>
      <c r="G2697" s="1" t="s">
        <v>190</v>
      </c>
      <c r="H2697" s="1" t="s">
        <v>1405</v>
      </c>
      <c r="I2697">
        <v>2012</v>
      </c>
      <c r="J2697" s="93">
        <v>1135.97</v>
      </c>
      <c r="K2697">
        <v>12</v>
      </c>
      <c r="L2697" s="1" t="s">
        <v>426</v>
      </c>
      <c r="M2697">
        <v>0</v>
      </c>
      <c r="N2697">
        <v>1571</v>
      </c>
      <c r="O2697">
        <v>0.72304100000000004</v>
      </c>
      <c r="P2697">
        <v>3</v>
      </c>
      <c r="Q2697" s="1" t="s">
        <v>560</v>
      </c>
      <c r="R2697" s="93">
        <v>1135.97</v>
      </c>
      <c r="S2697">
        <v>908.78</v>
      </c>
      <c r="T2697">
        <v>0</v>
      </c>
      <c r="U2697" s="1" t="s">
        <v>671</v>
      </c>
      <c r="V2697" s="1"/>
      <c r="W2697">
        <v>1135.97271</v>
      </c>
      <c r="X2697">
        <v>0</v>
      </c>
      <c r="Y2697">
        <v>89295</v>
      </c>
    </row>
    <row r="2698" spans="1:25" ht="15" hidden="1" customHeight="1" x14ac:dyDescent="0.25">
      <c r="A2698" s="1" t="s">
        <v>36</v>
      </c>
      <c r="B2698" s="1" t="s">
        <v>80</v>
      </c>
      <c r="C2698" s="1" t="s">
        <v>190</v>
      </c>
      <c r="D2698">
        <v>13297</v>
      </c>
      <c r="E2698" s="1" t="s">
        <v>244</v>
      </c>
      <c r="F2698" s="1" t="s">
        <v>190</v>
      </c>
      <c r="G2698" s="1" t="s">
        <v>190</v>
      </c>
      <c r="H2698" s="1" t="s">
        <v>1405</v>
      </c>
      <c r="I2698">
        <v>2011</v>
      </c>
      <c r="J2698" s="93">
        <v>1437.95</v>
      </c>
      <c r="K2698">
        <v>4</v>
      </c>
      <c r="L2698" s="1" t="s">
        <v>426</v>
      </c>
      <c r="M2698">
        <v>0</v>
      </c>
      <c r="N2698">
        <v>1571</v>
      </c>
      <c r="O2698">
        <v>0.91525000000000001</v>
      </c>
      <c r="P2698">
        <v>3</v>
      </c>
      <c r="Q2698" s="1" t="s">
        <v>560</v>
      </c>
      <c r="R2698" s="93">
        <v>1437.95</v>
      </c>
      <c r="S2698">
        <v>1150.3599999999999</v>
      </c>
      <c r="T2698">
        <v>0</v>
      </c>
      <c r="U2698" s="1" t="s">
        <v>671</v>
      </c>
      <c r="V2698" s="1"/>
      <c r="W2698">
        <v>1437.94073</v>
      </c>
      <c r="X2698">
        <v>0</v>
      </c>
      <c r="Y2698">
        <v>89295</v>
      </c>
    </row>
    <row r="2699" spans="1:25" ht="15" hidden="1" customHeight="1" x14ac:dyDescent="0.25">
      <c r="A2699" s="1" t="s">
        <v>36</v>
      </c>
      <c r="B2699" s="1" t="s">
        <v>80</v>
      </c>
      <c r="C2699" s="1" t="s">
        <v>190</v>
      </c>
      <c r="D2699">
        <v>13297</v>
      </c>
      <c r="E2699" s="1" t="s">
        <v>244</v>
      </c>
      <c r="F2699" s="1" t="s">
        <v>190</v>
      </c>
      <c r="G2699" s="1" t="s">
        <v>190</v>
      </c>
      <c r="H2699" s="1" t="s">
        <v>1405</v>
      </c>
      <c r="I2699">
        <v>2010</v>
      </c>
      <c r="J2699" s="93">
        <v>1232.3</v>
      </c>
      <c r="K2699">
        <v>1</v>
      </c>
      <c r="L2699" s="1" t="s">
        <v>426</v>
      </c>
      <c r="M2699">
        <v>0</v>
      </c>
      <c r="N2699">
        <v>1571</v>
      </c>
      <c r="O2699">
        <v>0.784354</v>
      </c>
      <c r="P2699">
        <v>3</v>
      </c>
      <c r="Q2699" s="1" t="s">
        <v>560</v>
      </c>
      <c r="R2699" s="93">
        <v>1232.3</v>
      </c>
      <c r="S2699">
        <v>985.83</v>
      </c>
      <c r="T2699">
        <v>0</v>
      </c>
      <c r="U2699" s="1" t="s">
        <v>671</v>
      </c>
      <c r="V2699" s="1"/>
      <c r="W2699">
        <v>1232.2992200000001</v>
      </c>
      <c r="X2699">
        <v>0</v>
      </c>
      <c r="Y2699">
        <v>89295</v>
      </c>
    </row>
    <row r="2700" spans="1:25" ht="15" hidden="1" customHeight="1" x14ac:dyDescent="0.25">
      <c r="A2700" s="1" t="s">
        <v>36</v>
      </c>
      <c r="B2700" s="1" t="s">
        <v>80</v>
      </c>
      <c r="C2700" s="1" t="s">
        <v>190</v>
      </c>
      <c r="D2700">
        <v>13297</v>
      </c>
      <c r="E2700" s="1" t="s">
        <v>244</v>
      </c>
      <c r="F2700" s="1" t="s">
        <v>190</v>
      </c>
      <c r="G2700" s="1" t="s">
        <v>190</v>
      </c>
      <c r="H2700" s="1" t="s">
        <v>1405</v>
      </c>
      <c r="I2700">
        <v>2009</v>
      </c>
      <c r="J2700" s="93">
        <v>1206.97</v>
      </c>
      <c r="K2700">
        <v>1</v>
      </c>
      <c r="L2700" s="1" t="s">
        <v>426</v>
      </c>
      <c r="M2700">
        <v>0</v>
      </c>
      <c r="N2700">
        <v>1571</v>
      </c>
      <c r="O2700">
        <v>0.76823200000000003</v>
      </c>
      <c r="P2700">
        <v>3</v>
      </c>
      <c r="Q2700" s="1" t="s">
        <v>560</v>
      </c>
      <c r="R2700" s="93">
        <v>1206.97</v>
      </c>
      <c r="S2700">
        <v>965.61</v>
      </c>
      <c r="T2700">
        <v>0</v>
      </c>
      <c r="U2700" s="1" t="s">
        <v>671</v>
      </c>
      <c r="V2700" s="1"/>
      <c r="W2700">
        <v>1206.9921200000001</v>
      </c>
      <c r="X2700">
        <v>0</v>
      </c>
      <c r="Y2700">
        <v>89295</v>
      </c>
    </row>
    <row r="2701" spans="1:25" ht="15" hidden="1" customHeight="1" x14ac:dyDescent="0.25">
      <c r="A2701" s="1" t="s">
        <v>36</v>
      </c>
      <c r="B2701" s="1" t="s">
        <v>80</v>
      </c>
      <c r="C2701" s="1" t="s">
        <v>190</v>
      </c>
      <c r="D2701">
        <v>13297</v>
      </c>
      <c r="E2701" s="1" t="s">
        <v>244</v>
      </c>
      <c r="F2701" s="1" t="s">
        <v>190</v>
      </c>
      <c r="G2701" s="1" t="s">
        <v>190</v>
      </c>
      <c r="H2701" s="1" t="s">
        <v>1405</v>
      </c>
      <c r="I2701">
        <v>2008</v>
      </c>
      <c r="J2701" s="93">
        <v>1189.1099999999999</v>
      </c>
      <c r="K2701">
        <v>2</v>
      </c>
      <c r="L2701" s="1" t="s">
        <v>426</v>
      </c>
      <c r="M2701">
        <v>0</v>
      </c>
      <c r="N2701">
        <v>1571</v>
      </c>
      <c r="O2701">
        <v>0.75686399999999998</v>
      </c>
      <c r="P2701">
        <v>3</v>
      </c>
      <c r="Q2701" s="1" t="s">
        <v>560</v>
      </c>
      <c r="R2701" s="93">
        <v>1189.1099999999999</v>
      </c>
      <c r="S2701">
        <v>951.32</v>
      </c>
      <c r="T2701">
        <v>0</v>
      </c>
      <c r="U2701" s="1" t="s">
        <v>671</v>
      </c>
      <c r="V2701" s="1"/>
      <c r="W2701">
        <v>1189.1256599999999</v>
      </c>
      <c r="X2701">
        <v>0</v>
      </c>
      <c r="Y2701">
        <v>89295</v>
      </c>
    </row>
    <row r="2702" spans="1:25" ht="15" hidden="1" customHeight="1" x14ac:dyDescent="0.25">
      <c r="A2702" s="1" t="s">
        <v>36</v>
      </c>
      <c r="B2702" s="1" t="s">
        <v>78</v>
      </c>
      <c r="C2702" s="1" t="s">
        <v>186</v>
      </c>
      <c r="D2702">
        <v>13266</v>
      </c>
      <c r="E2702" s="1" t="s">
        <v>243</v>
      </c>
      <c r="F2702" s="1" t="s">
        <v>316</v>
      </c>
      <c r="G2702" s="1" t="s">
        <v>186</v>
      </c>
      <c r="H2702" s="1" t="s">
        <v>1405</v>
      </c>
      <c r="I2702">
        <v>2015</v>
      </c>
      <c r="J2702" s="93">
        <v>274546</v>
      </c>
      <c r="K2702">
        <v>5</v>
      </c>
      <c r="L2702" s="1" t="s">
        <v>443</v>
      </c>
      <c r="M2702">
        <v>0</v>
      </c>
      <c r="N2702">
        <v>1357</v>
      </c>
      <c r="O2702">
        <v>109.20756</v>
      </c>
      <c r="P2702">
        <v>1</v>
      </c>
      <c r="Q2702" s="1" t="s">
        <v>564</v>
      </c>
      <c r="R2702" s="93">
        <v>328727</v>
      </c>
      <c r="S2702">
        <v>35449.480000000003</v>
      </c>
      <c r="T2702">
        <v>0</v>
      </c>
      <c r="U2702" s="1" t="s">
        <v>844</v>
      </c>
      <c r="V2702" s="1"/>
      <c r="W2702">
        <v>13722.739</v>
      </c>
      <c r="X2702">
        <v>0</v>
      </c>
      <c r="Y2702">
        <v>90993</v>
      </c>
    </row>
    <row r="2703" spans="1:25" ht="15" hidden="1" customHeight="1" x14ac:dyDescent="0.25">
      <c r="A2703" s="1" t="s">
        <v>36</v>
      </c>
      <c r="B2703" s="1" t="s">
        <v>78</v>
      </c>
      <c r="C2703" s="1" t="s">
        <v>186</v>
      </c>
      <c r="D2703">
        <v>13266</v>
      </c>
      <c r="E2703" s="1" t="s">
        <v>243</v>
      </c>
      <c r="F2703" s="1" t="s">
        <v>316</v>
      </c>
      <c r="G2703" s="1" t="s">
        <v>186</v>
      </c>
      <c r="H2703" s="1" t="s">
        <v>1405</v>
      </c>
      <c r="I2703">
        <v>2013</v>
      </c>
      <c r="J2703" s="93">
        <v>299163.53999999998</v>
      </c>
      <c r="K2703">
        <v>12</v>
      </c>
      <c r="L2703" s="1" t="s">
        <v>443</v>
      </c>
      <c r="M2703">
        <v>0</v>
      </c>
      <c r="N2703">
        <v>1357</v>
      </c>
      <c r="O2703">
        <v>220.443253</v>
      </c>
      <c r="P2703">
        <v>1</v>
      </c>
      <c r="Q2703" s="1" t="s">
        <v>564</v>
      </c>
      <c r="R2703" s="93">
        <v>327720.38</v>
      </c>
      <c r="S2703">
        <v>69306.81</v>
      </c>
      <c r="T2703">
        <v>0</v>
      </c>
      <c r="U2703" s="1" t="s">
        <v>844</v>
      </c>
      <c r="V2703" s="1"/>
      <c r="W2703">
        <v>27700.328000000001</v>
      </c>
      <c r="X2703">
        <v>0</v>
      </c>
      <c r="Y2703">
        <v>90993</v>
      </c>
    </row>
    <row r="2704" spans="1:25" ht="15" hidden="1" customHeight="1" x14ac:dyDescent="0.25">
      <c r="A2704" s="1" t="s">
        <v>36</v>
      </c>
      <c r="B2704" s="1" t="s">
        <v>78</v>
      </c>
      <c r="C2704" s="1" t="s">
        <v>186</v>
      </c>
      <c r="D2704">
        <v>13266</v>
      </c>
      <c r="E2704" s="1" t="s">
        <v>243</v>
      </c>
      <c r="F2704" s="1" t="s">
        <v>316</v>
      </c>
      <c r="G2704" s="1" t="s">
        <v>186</v>
      </c>
      <c r="H2704" s="1" t="s">
        <v>1405</v>
      </c>
      <c r="I2704">
        <v>2012</v>
      </c>
      <c r="J2704" s="93">
        <v>276513.65999999997</v>
      </c>
      <c r="K2704">
        <v>13</v>
      </c>
      <c r="L2704" s="1" t="s">
        <v>443</v>
      </c>
      <c r="M2704">
        <v>0</v>
      </c>
      <c r="N2704">
        <v>1357</v>
      </c>
      <c r="O2704">
        <v>203.75334100000001</v>
      </c>
      <c r="P2704">
        <v>1</v>
      </c>
      <c r="Q2704" s="1" t="s">
        <v>564</v>
      </c>
      <c r="R2704" s="93">
        <v>291866.88</v>
      </c>
      <c r="S2704">
        <v>61724.42</v>
      </c>
      <c r="T2704">
        <v>0</v>
      </c>
      <c r="U2704" s="1" t="s">
        <v>844</v>
      </c>
      <c r="V2704" s="1"/>
      <c r="W2704">
        <v>25603.116399999999</v>
      </c>
      <c r="X2704">
        <v>0</v>
      </c>
      <c r="Y2704">
        <v>90993</v>
      </c>
    </row>
    <row r="2705" spans="1:25" ht="15" hidden="1" customHeight="1" x14ac:dyDescent="0.25">
      <c r="A2705" s="1" t="s">
        <v>36</v>
      </c>
      <c r="B2705" s="1" t="s">
        <v>78</v>
      </c>
      <c r="C2705" s="1" t="s">
        <v>186</v>
      </c>
      <c r="D2705">
        <v>13266</v>
      </c>
      <c r="E2705" s="1" t="s">
        <v>243</v>
      </c>
      <c r="F2705" s="1" t="s">
        <v>316</v>
      </c>
      <c r="G2705" s="1" t="s">
        <v>186</v>
      </c>
      <c r="H2705" s="1" t="s">
        <v>1405</v>
      </c>
      <c r="I2705">
        <v>2011</v>
      </c>
      <c r="J2705" s="93">
        <v>302309.58</v>
      </c>
      <c r="K2705">
        <v>1</v>
      </c>
      <c r="L2705" s="1" t="s">
        <v>443</v>
      </c>
      <c r="M2705">
        <v>0</v>
      </c>
      <c r="N2705">
        <v>1357</v>
      </c>
      <c r="O2705">
        <v>222.761461</v>
      </c>
      <c r="P2705">
        <v>1</v>
      </c>
      <c r="Q2705" s="1" t="s">
        <v>564</v>
      </c>
      <c r="R2705" s="93">
        <v>356607.2</v>
      </c>
      <c r="S2705">
        <v>75415.83</v>
      </c>
      <c r="T2705">
        <v>0</v>
      </c>
      <c r="U2705" s="1" t="s">
        <v>844</v>
      </c>
      <c r="V2705" s="1"/>
      <c r="W2705">
        <v>27991.627240000002</v>
      </c>
      <c r="X2705">
        <v>0</v>
      </c>
      <c r="Y2705">
        <v>90993</v>
      </c>
    </row>
    <row r="2706" spans="1:25" ht="15" hidden="1" customHeight="1" x14ac:dyDescent="0.25">
      <c r="A2706" s="1" t="s">
        <v>36</v>
      </c>
      <c r="B2706" s="1" t="s">
        <v>78</v>
      </c>
      <c r="C2706" s="1" t="s">
        <v>186</v>
      </c>
      <c r="D2706">
        <v>13266</v>
      </c>
      <c r="E2706" s="1" t="s">
        <v>243</v>
      </c>
      <c r="F2706" s="1" t="s">
        <v>316</v>
      </c>
      <c r="G2706" s="1" t="s">
        <v>186</v>
      </c>
      <c r="H2706" s="1" t="s">
        <v>1405</v>
      </c>
      <c r="I2706">
        <v>2010</v>
      </c>
      <c r="J2706" s="93">
        <v>302665.8</v>
      </c>
      <c r="K2706">
        <v>3</v>
      </c>
      <c r="L2706" s="1" t="s">
        <v>443</v>
      </c>
      <c r="M2706">
        <v>0</v>
      </c>
      <c r="N2706">
        <v>1357</v>
      </c>
      <c r="O2706">
        <v>223.02394799999999</v>
      </c>
      <c r="P2706">
        <v>1</v>
      </c>
      <c r="Q2706" s="1" t="s">
        <v>564</v>
      </c>
      <c r="R2706" s="93">
        <v>328223.05</v>
      </c>
      <c r="S2706">
        <v>69413.100000000006</v>
      </c>
      <c r="T2706">
        <v>0</v>
      </c>
      <c r="U2706" s="1" t="s">
        <v>844</v>
      </c>
      <c r="V2706" s="1"/>
      <c r="W2706">
        <v>28024.612939999999</v>
      </c>
      <c r="X2706">
        <v>0</v>
      </c>
      <c r="Y2706">
        <v>90993</v>
      </c>
    </row>
    <row r="2707" spans="1:25" ht="15" hidden="1" customHeight="1" x14ac:dyDescent="0.25">
      <c r="A2707" s="1" t="s">
        <v>36</v>
      </c>
      <c r="B2707" s="1" t="s">
        <v>78</v>
      </c>
      <c r="C2707" s="1" t="s">
        <v>186</v>
      </c>
      <c r="D2707">
        <v>13266</v>
      </c>
      <c r="E2707" s="1" t="s">
        <v>243</v>
      </c>
      <c r="F2707" s="1" t="s">
        <v>316</v>
      </c>
      <c r="G2707" s="1" t="s">
        <v>186</v>
      </c>
      <c r="H2707" s="1" t="s">
        <v>1405</v>
      </c>
      <c r="I2707">
        <v>2009</v>
      </c>
      <c r="J2707" s="93">
        <v>363212.9</v>
      </c>
      <c r="K2707">
        <v>1</v>
      </c>
      <c r="L2707" s="1" t="s">
        <v>443</v>
      </c>
      <c r="M2707">
        <v>0</v>
      </c>
      <c r="N2707">
        <v>1357</v>
      </c>
      <c r="O2707">
        <v>267.63900899999999</v>
      </c>
      <c r="P2707">
        <v>1</v>
      </c>
      <c r="Q2707" s="1" t="s">
        <v>564</v>
      </c>
      <c r="R2707" s="93">
        <v>545781.23</v>
      </c>
      <c r="S2707">
        <v>115422.61</v>
      </c>
      <c r="T2707">
        <v>0</v>
      </c>
      <c r="U2707" s="1" t="s">
        <v>844</v>
      </c>
      <c r="V2707" s="1"/>
      <c r="W2707">
        <v>33630.824670000002</v>
      </c>
      <c r="X2707">
        <v>0</v>
      </c>
      <c r="Y2707">
        <v>90993</v>
      </c>
    </row>
    <row r="2708" spans="1:25" ht="15" hidden="1" customHeight="1" x14ac:dyDescent="0.25">
      <c r="A2708" s="1" t="s">
        <v>36</v>
      </c>
      <c r="B2708" s="1" t="s">
        <v>78</v>
      </c>
      <c r="C2708" s="1" t="s">
        <v>186</v>
      </c>
      <c r="D2708">
        <v>13266</v>
      </c>
      <c r="E2708" s="1" t="s">
        <v>243</v>
      </c>
      <c r="F2708" s="1" t="s">
        <v>316</v>
      </c>
      <c r="G2708" s="1" t="s">
        <v>186</v>
      </c>
      <c r="H2708" s="1" t="s">
        <v>1405</v>
      </c>
      <c r="I2708">
        <v>2008</v>
      </c>
      <c r="J2708" s="93">
        <v>328403.09999999998</v>
      </c>
      <c r="K2708">
        <v>1</v>
      </c>
      <c r="L2708" s="1" t="s">
        <v>443</v>
      </c>
      <c r="M2708">
        <v>0</v>
      </c>
      <c r="N2708">
        <v>1357</v>
      </c>
      <c r="O2708">
        <v>241.98887300000001</v>
      </c>
      <c r="P2708">
        <v>1</v>
      </c>
      <c r="Q2708" s="1" t="s">
        <v>564</v>
      </c>
      <c r="R2708" s="93">
        <v>426158.84</v>
      </c>
      <c r="S2708">
        <v>90124.71</v>
      </c>
      <c r="T2708">
        <v>0</v>
      </c>
      <c r="U2708" s="1" t="s">
        <v>844</v>
      </c>
      <c r="V2708" s="1"/>
      <c r="W2708">
        <v>30407.69339</v>
      </c>
      <c r="X2708">
        <v>0</v>
      </c>
      <c r="Y2708">
        <v>90993</v>
      </c>
    </row>
    <row r="2709" spans="1:25" ht="15" hidden="1" customHeight="1" x14ac:dyDescent="0.25">
      <c r="A2709" s="1" t="s">
        <v>36</v>
      </c>
      <c r="B2709" s="1"/>
      <c r="C2709" s="1" t="s">
        <v>187</v>
      </c>
      <c r="D2709">
        <v>10323</v>
      </c>
      <c r="E2709" s="1"/>
      <c r="F2709" s="1" t="s">
        <v>187</v>
      </c>
      <c r="G2709" s="1" t="s">
        <v>187</v>
      </c>
      <c r="H2709" s="1" t="s">
        <v>1405</v>
      </c>
      <c r="I2709">
        <v>2013</v>
      </c>
      <c r="J2709" s="93">
        <v>308481.81</v>
      </c>
      <c r="K2709">
        <v>12</v>
      </c>
      <c r="L2709" s="1" t="s">
        <v>482</v>
      </c>
      <c r="M2709">
        <v>0</v>
      </c>
      <c r="N2709">
        <v>2114</v>
      </c>
      <c r="O2709">
        <v>145.91637499999999</v>
      </c>
      <c r="P2709">
        <v>1</v>
      </c>
      <c r="Q2709" s="1" t="s">
        <v>564</v>
      </c>
      <c r="R2709" s="93">
        <v>322722.94</v>
      </c>
      <c r="S2709">
        <v>68249.929999999993</v>
      </c>
      <c r="T2709">
        <v>0</v>
      </c>
      <c r="U2709" s="1" t="s">
        <v>845</v>
      </c>
      <c r="V2709" s="1" t="s">
        <v>1218</v>
      </c>
      <c r="W2709">
        <v>28563.13</v>
      </c>
      <c r="X2709">
        <v>0</v>
      </c>
      <c r="Y2709">
        <v>77831</v>
      </c>
    </row>
    <row r="2710" spans="1:25" ht="15" hidden="1" customHeight="1" x14ac:dyDescent="0.25">
      <c r="A2710" s="1" t="s">
        <v>36</v>
      </c>
      <c r="B2710" s="1" t="s">
        <v>78</v>
      </c>
      <c r="C2710" s="1" t="s">
        <v>186</v>
      </c>
      <c r="D2710">
        <v>13266</v>
      </c>
      <c r="E2710" s="1" t="s">
        <v>243</v>
      </c>
      <c r="F2710" s="1" t="s">
        <v>316</v>
      </c>
      <c r="G2710" s="1" t="s">
        <v>186</v>
      </c>
      <c r="H2710" s="1" t="s">
        <v>1405</v>
      </c>
      <c r="I2710">
        <v>2013</v>
      </c>
      <c r="J2710" s="93">
        <v>146223.15</v>
      </c>
      <c r="K2710">
        <v>12</v>
      </c>
      <c r="L2710" s="1"/>
      <c r="M2710">
        <v>0</v>
      </c>
      <c r="N2710">
        <v>1357</v>
      </c>
      <c r="O2710">
        <v>107.746776</v>
      </c>
      <c r="P2710">
        <v>2</v>
      </c>
      <c r="Q2710" s="1" t="s">
        <v>569</v>
      </c>
      <c r="R2710" s="93">
        <v>146223.15</v>
      </c>
      <c r="S2710">
        <v>43866.95</v>
      </c>
      <c r="T2710">
        <v>0</v>
      </c>
      <c r="U2710" s="1" t="s">
        <v>1062</v>
      </c>
      <c r="V2710" s="1"/>
      <c r="W2710">
        <v>146223.15</v>
      </c>
      <c r="X2710">
        <v>0</v>
      </c>
      <c r="Y2710">
        <v>93520</v>
      </c>
    </row>
    <row r="2711" spans="1:25" ht="15" hidden="1" customHeight="1" x14ac:dyDescent="0.25">
      <c r="A2711" s="1" t="s">
        <v>36</v>
      </c>
      <c r="B2711" s="1"/>
      <c r="C2711" s="1" t="s">
        <v>187</v>
      </c>
      <c r="D2711">
        <v>10323</v>
      </c>
      <c r="E2711" s="1"/>
      <c r="F2711" s="1" t="s">
        <v>187</v>
      </c>
      <c r="G2711" s="1" t="s">
        <v>187</v>
      </c>
      <c r="H2711" s="1" t="s">
        <v>1405</v>
      </c>
      <c r="I2711">
        <v>2012</v>
      </c>
      <c r="J2711" s="93">
        <v>1213.0999999999999</v>
      </c>
      <c r="K2711">
        <v>12</v>
      </c>
      <c r="L2711" s="1" t="s">
        <v>405</v>
      </c>
      <c r="M2711">
        <v>0</v>
      </c>
      <c r="N2711">
        <v>2114</v>
      </c>
      <c r="O2711">
        <v>0.57381300000000002</v>
      </c>
      <c r="P2711">
        <v>3</v>
      </c>
      <c r="Q2711" s="1" t="s">
        <v>560</v>
      </c>
      <c r="R2711" s="93">
        <v>1213.0999999999999</v>
      </c>
      <c r="S2711">
        <v>970.48</v>
      </c>
      <c r="T2711">
        <v>0</v>
      </c>
      <c r="U2711" s="1" t="s">
        <v>668</v>
      </c>
      <c r="V2711" s="1"/>
      <c r="W2711">
        <v>1213.0999999999999</v>
      </c>
      <c r="X2711">
        <v>0</v>
      </c>
      <c r="Y2711">
        <v>77830</v>
      </c>
    </row>
    <row r="2712" spans="1:25" ht="15" hidden="1" customHeight="1" x14ac:dyDescent="0.25">
      <c r="A2712" s="1" t="s">
        <v>36</v>
      </c>
      <c r="B2712" s="1"/>
      <c r="C2712" s="1" t="s">
        <v>187</v>
      </c>
      <c r="D2712">
        <v>10323</v>
      </c>
      <c r="E2712" s="1"/>
      <c r="F2712" s="1" t="s">
        <v>187</v>
      </c>
      <c r="G2712" s="1" t="s">
        <v>187</v>
      </c>
      <c r="H2712" s="1" t="s">
        <v>1405</v>
      </c>
      <c r="I2712">
        <v>2012</v>
      </c>
      <c r="J2712" s="93">
        <v>306165.95</v>
      </c>
      <c r="K2712">
        <v>12</v>
      </c>
      <c r="L2712" s="1" t="s">
        <v>482</v>
      </c>
      <c r="M2712">
        <v>0</v>
      </c>
      <c r="N2712">
        <v>2114</v>
      </c>
      <c r="O2712">
        <v>144.82094000000001</v>
      </c>
      <c r="P2712">
        <v>1</v>
      </c>
      <c r="Q2712" s="1" t="s">
        <v>564</v>
      </c>
      <c r="R2712" s="93">
        <v>318106.82</v>
      </c>
      <c r="S2712">
        <v>67273.69</v>
      </c>
      <c r="T2712">
        <v>0</v>
      </c>
      <c r="U2712" s="1" t="s">
        <v>845</v>
      </c>
      <c r="V2712" s="1" t="s">
        <v>1218</v>
      </c>
      <c r="W2712">
        <v>28348.7</v>
      </c>
      <c r="X2712">
        <v>0</v>
      </c>
      <c r="Y2712">
        <v>77831</v>
      </c>
    </row>
    <row r="2713" spans="1:25" ht="15" hidden="1" customHeight="1" x14ac:dyDescent="0.25">
      <c r="A2713" s="1" t="s">
        <v>36</v>
      </c>
      <c r="B2713" s="1"/>
      <c r="C2713" s="1" t="s">
        <v>187</v>
      </c>
      <c r="D2713">
        <v>10323</v>
      </c>
      <c r="E2713" s="1"/>
      <c r="F2713" s="1" t="s">
        <v>187</v>
      </c>
      <c r="G2713" s="1" t="s">
        <v>187</v>
      </c>
      <c r="H2713" s="1" t="s">
        <v>1405</v>
      </c>
      <c r="I2713">
        <v>2012</v>
      </c>
      <c r="J2713" s="93">
        <v>96503.58</v>
      </c>
      <c r="K2713">
        <v>12</v>
      </c>
      <c r="L2713" s="1" t="s">
        <v>538</v>
      </c>
      <c r="M2713">
        <v>0</v>
      </c>
      <c r="N2713">
        <v>2114</v>
      </c>
      <c r="O2713">
        <v>45.647593999999998</v>
      </c>
      <c r="P2713">
        <v>2</v>
      </c>
      <c r="Q2713" s="1" t="s">
        <v>569</v>
      </c>
      <c r="R2713" s="93">
        <v>96503.58</v>
      </c>
      <c r="S2713">
        <v>38601.440000000002</v>
      </c>
      <c r="T2713">
        <v>0</v>
      </c>
      <c r="U2713" s="1" t="s">
        <v>1063</v>
      </c>
      <c r="V2713" s="1" t="s">
        <v>1323</v>
      </c>
      <c r="W2713">
        <v>96503.592000000004</v>
      </c>
      <c r="X2713">
        <v>0</v>
      </c>
      <c r="Y2713">
        <v>84599</v>
      </c>
    </row>
    <row r="2714" spans="1:25" ht="15" hidden="1" customHeight="1" x14ac:dyDescent="0.25">
      <c r="A2714" s="1" t="s">
        <v>36</v>
      </c>
      <c r="B2714" s="1"/>
      <c r="C2714" s="1" t="s">
        <v>187</v>
      </c>
      <c r="D2714">
        <v>10323</v>
      </c>
      <c r="E2714" s="1"/>
      <c r="F2714" s="1" t="s">
        <v>187</v>
      </c>
      <c r="G2714" s="1" t="s">
        <v>187</v>
      </c>
      <c r="H2714" s="1" t="s">
        <v>1405</v>
      </c>
      <c r="I2714">
        <v>2011</v>
      </c>
      <c r="J2714" s="93">
        <v>1283.2</v>
      </c>
      <c r="K2714">
        <v>12</v>
      </c>
      <c r="L2714" s="1" t="s">
        <v>405</v>
      </c>
      <c r="M2714">
        <v>0</v>
      </c>
      <c r="N2714">
        <v>2114</v>
      </c>
      <c r="O2714">
        <v>0.60697199999999996</v>
      </c>
      <c r="P2714">
        <v>3</v>
      </c>
      <c r="Q2714" s="1" t="s">
        <v>560</v>
      </c>
      <c r="R2714" s="93">
        <v>1283.2</v>
      </c>
      <c r="S2714">
        <v>1026.56</v>
      </c>
      <c r="T2714">
        <v>0</v>
      </c>
      <c r="U2714" s="1" t="s">
        <v>668</v>
      </c>
      <c r="V2714" s="1"/>
      <c r="W2714">
        <v>1283.2</v>
      </c>
      <c r="X2714">
        <v>0</v>
      </c>
      <c r="Y2714">
        <v>77830</v>
      </c>
    </row>
    <row r="2715" spans="1:25" ht="15" hidden="1" customHeight="1" x14ac:dyDescent="0.25">
      <c r="A2715" s="1" t="s">
        <v>36</v>
      </c>
      <c r="B2715" s="1"/>
      <c r="C2715" s="1" t="s">
        <v>187</v>
      </c>
      <c r="D2715">
        <v>10323</v>
      </c>
      <c r="E2715" s="1"/>
      <c r="F2715" s="1" t="s">
        <v>187</v>
      </c>
      <c r="G2715" s="1" t="s">
        <v>187</v>
      </c>
      <c r="H2715" s="1" t="s">
        <v>1405</v>
      </c>
      <c r="I2715">
        <v>2011</v>
      </c>
      <c r="J2715" s="93">
        <v>309152.52</v>
      </c>
      <c r="K2715">
        <v>8</v>
      </c>
      <c r="L2715" s="1" t="s">
        <v>482</v>
      </c>
      <c r="M2715">
        <v>0</v>
      </c>
      <c r="N2715">
        <v>2114</v>
      </c>
      <c r="O2715">
        <v>146.233631</v>
      </c>
      <c r="P2715">
        <v>1</v>
      </c>
      <c r="Q2715" s="1" t="s">
        <v>564</v>
      </c>
      <c r="R2715" s="93">
        <v>335380.55</v>
      </c>
      <c r="S2715">
        <v>70926.789999999994</v>
      </c>
      <c r="T2715">
        <v>0</v>
      </c>
      <c r="U2715" s="1" t="s">
        <v>845</v>
      </c>
      <c r="V2715" s="1" t="s">
        <v>1218</v>
      </c>
      <c r="W2715">
        <v>28625.23331</v>
      </c>
      <c r="X2715">
        <v>0</v>
      </c>
      <c r="Y2715">
        <v>77831</v>
      </c>
    </row>
    <row r="2716" spans="1:25" ht="15" hidden="1" customHeight="1" x14ac:dyDescent="0.25">
      <c r="A2716" s="1" t="s">
        <v>36</v>
      </c>
      <c r="B2716" s="1"/>
      <c r="C2716" s="1" t="s">
        <v>189</v>
      </c>
      <c r="D2716">
        <v>9520</v>
      </c>
      <c r="E2716" s="1"/>
      <c r="F2716" s="1" t="s">
        <v>318</v>
      </c>
      <c r="G2716" s="1" t="s">
        <v>1482</v>
      </c>
      <c r="H2716" s="1" t="s">
        <v>1405</v>
      </c>
      <c r="I2716">
        <v>2015</v>
      </c>
      <c r="J2716" s="93">
        <v>110136</v>
      </c>
      <c r="K2716">
        <v>5</v>
      </c>
      <c r="L2716" s="1"/>
      <c r="M2716">
        <v>0</v>
      </c>
      <c r="N2716">
        <v>1935</v>
      </c>
      <c r="O2716">
        <v>31.755464</v>
      </c>
      <c r="P2716">
        <v>1</v>
      </c>
      <c r="Q2716" s="1" t="s">
        <v>562</v>
      </c>
      <c r="R2716" s="93">
        <v>144373</v>
      </c>
      <c r="S2716">
        <v>4447.13</v>
      </c>
      <c r="T2716">
        <v>0</v>
      </c>
      <c r="U2716" s="1" t="s">
        <v>847</v>
      </c>
      <c r="V2716" s="1"/>
      <c r="W2716">
        <v>61450</v>
      </c>
      <c r="X2716">
        <v>0</v>
      </c>
      <c r="Y2716">
        <v>74437</v>
      </c>
    </row>
    <row r="2717" spans="1:25" ht="15" hidden="1" customHeight="1" x14ac:dyDescent="0.25">
      <c r="A2717" s="1" t="s">
        <v>36</v>
      </c>
      <c r="B2717" s="1"/>
      <c r="C2717" s="1" t="s">
        <v>189</v>
      </c>
      <c r="D2717">
        <v>9520</v>
      </c>
      <c r="E2717" s="1"/>
      <c r="F2717" s="1" t="s">
        <v>318</v>
      </c>
      <c r="G2717" s="1" t="s">
        <v>1482</v>
      </c>
      <c r="H2717" s="1" t="s">
        <v>1405</v>
      </c>
      <c r="I2717">
        <v>2013</v>
      </c>
      <c r="J2717" s="93">
        <v>141660</v>
      </c>
      <c r="K2717">
        <v>12</v>
      </c>
      <c r="L2717" s="1"/>
      <c r="M2717">
        <v>0</v>
      </c>
      <c r="N2717">
        <v>1935</v>
      </c>
      <c r="O2717">
        <v>73.205518999999995</v>
      </c>
      <c r="P2717">
        <v>1</v>
      </c>
      <c r="Q2717" s="1" t="s">
        <v>562</v>
      </c>
      <c r="R2717" s="93">
        <v>147707.17000000001</v>
      </c>
      <c r="S2717">
        <v>9453.25</v>
      </c>
      <c r="T2717">
        <v>0</v>
      </c>
      <c r="U2717" s="1" t="s">
        <v>847</v>
      </c>
      <c r="V2717" s="1"/>
      <c r="W2717">
        <v>141660</v>
      </c>
      <c r="X2717">
        <v>0</v>
      </c>
      <c r="Y2717">
        <v>74437</v>
      </c>
    </row>
    <row r="2718" spans="1:25" ht="15" hidden="1" customHeight="1" x14ac:dyDescent="0.25">
      <c r="A2718" s="1" t="s">
        <v>36</v>
      </c>
      <c r="B2718" s="1"/>
      <c r="C2718" s="1" t="s">
        <v>189</v>
      </c>
      <c r="D2718">
        <v>9520</v>
      </c>
      <c r="E2718" s="1"/>
      <c r="F2718" s="1" t="s">
        <v>318</v>
      </c>
      <c r="G2718" s="1" t="s">
        <v>1482</v>
      </c>
      <c r="H2718" s="1" t="s">
        <v>1405</v>
      </c>
      <c r="I2718">
        <v>2012</v>
      </c>
      <c r="J2718" s="93">
        <v>145040</v>
      </c>
      <c r="K2718">
        <v>12</v>
      </c>
      <c r="L2718" s="1"/>
      <c r="M2718">
        <v>0</v>
      </c>
      <c r="N2718">
        <v>1935</v>
      </c>
      <c r="O2718">
        <v>74.952197999999996</v>
      </c>
      <c r="P2718">
        <v>1</v>
      </c>
      <c r="Q2718" s="1" t="s">
        <v>562</v>
      </c>
      <c r="R2718" s="93">
        <v>152554.06</v>
      </c>
      <c r="S2718">
        <v>28222.5</v>
      </c>
      <c r="T2718">
        <v>0</v>
      </c>
      <c r="U2718" s="1" t="s">
        <v>847</v>
      </c>
      <c r="V2718" s="1"/>
      <c r="W2718">
        <v>145040</v>
      </c>
      <c r="X2718">
        <v>0</v>
      </c>
      <c r="Y2718">
        <v>74437</v>
      </c>
    </row>
    <row r="2719" spans="1:25" ht="15" hidden="1" customHeight="1" x14ac:dyDescent="0.25">
      <c r="A2719" s="1" t="s">
        <v>36</v>
      </c>
      <c r="B2719" s="1"/>
      <c r="C2719" s="1" t="s">
        <v>189</v>
      </c>
      <c r="D2719">
        <v>9520</v>
      </c>
      <c r="E2719" s="1"/>
      <c r="F2719" s="1" t="s">
        <v>318</v>
      </c>
      <c r="G2719" s="1" t="s">
        <v>1482</v>
      </c>
      <c r="H2719" s="1" t="s">
        <v>1405</v>
      </c>
      <c r="I2719">
        <v>2011</v>
      </c>
      <c r="J2719" s="93">
        <v>134260</v>
      </c>
      <c r="K2719">
        <v>12</v>
      </c>
      <c r="L2719" s="1"/>
      <c r="M2719">
        <v>0</v>
      </c>
      <c r="N2719">
        <v>1935</v>
      </c>
      <c r="O2719">
        <v>69.381427000000002</v>
      </c>
      <c r="P2719">
        <v>1</v>
      </c>
      <c r="Q2719" s="1" t="s">
        <v>562</v>
      </c>
      <c r="R2719" s="93">
        <v>145544.67000000001</v>
      </c>
      <c r="S2719">
        <v>26925.75</v>
      </c>
      <c r="T2719">
        <v>0</v>
      </c>
      <c r="U2719" s="1" t="s">
        <v>847</v>
      </c>
      <c r="V2719" s="1"/>
      <c r="W2719">
        <v>134260</v>
      </c>
      <c r="X2719">
        <v>0</v>
      </c>
      <c r="Y2719">
        <v>74437</v>
      </c>
    </row>
    <row r="2720" spans="1:25" ht="15" hidden="1" customHeight="1" x14ac:dyDescent="0.25">
      <c r="A2720" s="1" t="s">
        <v>36</v>
      </c>
      <c r="B2720" s="1"/>
      <c r="C2720" s="1" t="s">
        <v>189</v>
      </c>
      <c r="D2720">
        <v>9520</v>
      </c>
      <c r="E2720" s="1"/>
      <c r="F2720" s="1" t="s">
        <v>318</v>
      </c>
      <c r="G2720" s="1" t="s">
        <v>1482</v>
      </c>
      <c r="H2720" s="1" t="s">
        <v>1405</v>
      </c>
      <c r="I2720">
        <v>2010</v>
      </c>
      <c r="J2720" s="93">
        <v>169800</v>
      </c>
      <c r="K2720">
        <v>12</v>
      </c>
      <c r="L2720" s="1"/>
      <c r="M2720">
        <v>0</v>
      </c>
      <c r="N2720">
        <v>1935</v>
      </c>
      <c r="O2720">
        <v>87.747403000000006</v>
      </c>
      <c r="P2720">
        <v>1</v>
      </c>
      <c r="Q2720" s="1" t="s">
        <v>562</v>
      </c>
      <c r="R2720" s="93">
        <v>154440.67000000001</v>
      </c>
      <c r="S2720">
        <v>28571.53</v>
      </c>
      <c r="T2720">
        <v>0</v>
      </c>
      <c r="U2720" s="1" t="s">
        <v>847</v>
      </c>
      <c r="V2720" s="1"/>
      <c r="W2720">
        <v>169800</v>
      </c>
      <c r="X2720">
        <v>0</v>
      </c>
      <c r="Y2720">
        <v>74437</v>
      </c>
    </row>
    <row r="2721" spans="1:25" ht="15" hidden="1" customHeight="1" x14ac:dyDescent="0.25">
      <c r="A2721" s="1" t="s">
        <v>36</v>
      </c>
      <c r="B2721" s="1"/>
      <c r="C2721" s="1" t="s">
        <v>189</v>
      </c>
      <c r="D2721">
        <v>9520</v>
      </c>
      <c r="E2721" s="1"/>
      <c r="F2721" s="1" t="s">
        <v>318</v>
      </c>
      <c r="G2721" s="1" t="s">
        <v>1482</v>
      </c>
      <c r="H2721" s="1" t="s">
        <v>1405</v>
      </c>
      <c r="I2721">
        <v>2009</v>
      </c>
      <c r="J2721" s="93">
        <v>128630</v>
      </c>
      <c r="K2721">
        <v>12</v>
      </c>
      <c r="L2721" s="1"/>
      <c r="M2721">
        <v>0</v>
      </c>
      <c r="N2721">
        <v>1935</v>
      </c>
      <c r="O2721">
        <v>66.472015999999996</v>
      </c>
      <c r="P2721">
        <v>1</v>
      </c>
      <c r="Q2721" s="1" t="s">
        <v>562</v>
      </c>
      <c r="R2721" s="93">
        <v>134845.35999999999</v>
      </c>
      <c r="S2721">
        <v>24946.38</v>
      </c>
      <c r="T2721">
        <v>0</v>
      </c>
      <c r="U2721" s="1" t="s">
        <v>847</v>
      </c>
      <c r="V2721" s="1"/>
      <c r="W2721">
        <v>128630</v>
      </c>
      <c r="X2721">
        <v>0</v>
      </c>
      <c r="Y2721">
        <v>74437</v>
      </c>
    </row>
    <row r="2722" spans="1:25" ht="15" hidden="1" customHeight="1" x14ac:dyDescent="0.25">
      <c r="A2722" s="1" t="s">
        <v>36</v>
      </c>
      <c r="B2722" s="1"/>
      <c r="C2722" s="1" t="s">
        <v>189</v>
      </c>
      <c r="D2722">
        <v>9520</v>
      </c>
      <c r="E2722" s="1"/>
      <c r="F2722" s="1" t="s">
        <v>318</v>
      </c>
      <c r="G2722" s="1" t="s">
        <v>1482</v>
      </c>
      <c r="H2722" s="1" t="s">
        <v>1405</v>
      </c>
      <c r="I2722">
        <v>2008</v>
      </c>
      <c r="J2722" s="93">
        <v>111150</v>
      </c>
      <c r="K2722">
        <v>12</v>
      </c>
      <c r="L2722" s="1"/>
      <c r="M2722">
        <v>0</v>
      </c>
      <c r="N2722">
        <v>1935</v>
      </c>
      <c r="O2722">
        <v>57.438892000000003</v>
      </c>
      <c r="P2722">
        <v>1</v>
      </c>
      <c r="Q2722" s="1" t="s">
        <v>562</v>
      </c>
      <c r="R2722" s="93">
        <v>128041.38</v>
      </c>
      <c r="S2722">
        <v>23687.65</v>
      </c>
      <c r="T2722">
        <v>0</v>
      </c>
      <c r="U2722" s="1" t="s">
        <v>847</v>
      </c>
      <c r="V2722" s="1"/>
      <c r="W2722">
        <v>111150</v>
      </c>
      <c r="X2722">
        <v>0</v>
      </c>
      <c r="Y2722">
        <v>74437</v>
      </c>
    </row>
    <row r="2723" spans="1:25" ht="15" hidden="1" customHeight="1" x14ac:dyDescent="0.25">
      <c r="A2723" s="1" t="s">
        <v>36</v>
      </c>
      <c r="B2723" s="1" t="s">
        <v>80</v>
      </c>
      <c r="C2723" s="1" t="s">
        <v>190</v>
      </c>
      <c r="D2723">
        <v>13297</v>
      </c>
      <c r="E2723" s="1" t="s">
        <v>244</v>
      </c>
      <c r="F2723" s="1" t="s">
        <v>190</v>
      </c>
      <c r="G2723" s="1" t="s">
        <v>190</v>
      </c>
      <c r="H2723" s="1" t="s">
        <v>1405</v>
      </c>
      <c r="I2723">
        <v>2015</v>
      </c>
      <c r="J2723" s="93">
        <v>194830</v>
      </c>
      <c r="K2723">
        <v>5</v>
      </c>
      <c r="L2723" s="1"/>
      <c r="M2723">
        <v>0</v>
      </c>
      <c r="N2723">
        <v>1571</v>
      </c>
      <c r="O2723">
        <v>68.703844000000004</v>
      </c>
      <c r="P2723">
        <v>1</v>
      </c>
      <c r="Q2723" s="1" t="s">
        <v>562</v>
      </c>
      <c r="R2723" s="93">
        <v>222646</v>
      </c>
      <c r="S2723">
        <v>7780.15</v>
      </c>
      <c r="T2723">
        <v>0</v>
      </c>
      <c r="U2723" s="1" t="s">
        <v>848</v>
      </c>
      <c r="V2723" s="1"/>
      <c r="W2723">
        <v>107940.61</v>
      </c>
      <c r="X2723">
        <v>0</v>
      </c>
      <c r="Y2723">
        <v>90962</v>
      </c>
    </row>
    <row r="2724" spans="1:25" ht="15" hidden="1" customHeight="1" x14ac:dyDescent="0.25">
      <c r="A2724" s="1" t="s">
        <v>36</v>
      </c>
      <c r="B2724" s="1" t="s">
        <v>80</v>
      </c>
      <c r="C2724" s="1" t="s">
        <v>190</v>
      </c>
      <c r="D2724">
        <v>13297</v>
      </c>
      <c r="E2724" s="1" t="s">
        <v>244</v>
      </c>
      <c r="F2724" s="1" t="s">
        <v>190</v>
      </c>
      <c r="G2724" s="1" t="s">
        <v>190</v>
      </c>
      <c r="H2724" s="1" t="s">
        <v>1405</v>
      </c>
      <c r="I2724">
        <v>2013</v>
      </c>
      <c r="J2724" s="93">
        <v>232419.67</v>
      </c>
      <c r="K2724">
        <v>12</v>
      </c>
      <c r="L2724" s="1"/>
      <c r="M2724">
        <v>0</v>
      </c>
      <c r="N2724">
        <v>1571</v>
      </c>
      <c r="O2724">
        <v>147.934358</v>
      </c>
      <c r="P2724">
        <v>1</v>
      </c>
      <c r="Q2724" s="1" t="s">
        <v>562</v>
      </c>
      <c r="R2724" s="93">
        <v>243500.19</v>
      </c>
      <c r="S2724">
        <v>15584.01</v>
      </c>
      <c r="T2724">
        <v>0</v>
      </c>
      <c r="U2724" s="1" t="s">
        <v>848</v>
      </c>
      <c r="V2724" s="1"/>
      <c r="W2724">
        <v>232419.67</v>
      </c>
      <c r="X2724">
        <v>0</v>
      </c>
      <c r="Y2724">
        <v>90962</v>
      </c>
    </row>
    <row r="2725" spans="1:25" ht="15" hidden="1" customHeight="1" x14ac:dyDescent="0.25">
      <c r="A2725" s="1" t="s">
        <v>36</v>
      </c>
      <c r="B2725" s="1" t="s">
        <v>80</v>
      </c>
      <c r="C2725" s="1" t="s">
        <v>190</v>
      </c>
      <c r="D2725">
        <v>13297</v>
      </c>
      <c r="E2725" s="1" t="s">
        <v>244</v>
      </c>
      <c r="F2725" s="1" t="s">
        <v>190</v>
      </c>
      <c r="G2725" s="1" t="s">
        <v>190</v>
      </c>
      <c r="H2725" s="1" t="s">
        <v>1405</v>
      </c>
      <c r="I2725">
        <v>2012</v>
      </c>
      <c r="J2725" s="93">
        <v>245651.37</v>
      </c>
      <c r="K2725">
        <v>12</v>
      </c>
      <c r="L2725" s="1"/>
      <c r="M2725">
        <v>0</v>
      </c>
      <c r="N2725">
        <v>1571</v>
      </c>
      <c r="O2725">
        <v>156.356291</v>
      </c>
      <c r="P2725">
        <v>1</v>
      </c>
      <c r="Q2725" s="1" t="s">
        <v>562</v>
      </c>
      <c r="R2725" s="93">
        <v>258012.75</v>
      </c>
      <c r="S2725">
        <v>47732.35</v>
      </c>
      <c r="T2725">
        <v>0</v>
      </c>
      <c r="U2725" s="1" t="s">
        <v>848</v>
      </c>
      <c r="V2725" s="1"/>
      <c r="W2725">
        <v>245651.37299999999</v>
      </c>
      <c r="X2725">
        <v>0</v>
      </c>
      <c r="Y2725">
        <v>90962</v>
      </c>
    </row>
    <row r="2726" spans="1:25" ht="15" hidden="1" customHeight="1" x14ac:dyDescent="0.25">
      <c r="A2726" s="1" t="s">
        <v>36</v>
      </c>
      <c r="B2726" s="1" t="s">
        <v>80</v>
      </c>
      <c r="C2726" s="1" t="s">
        <v>190</v>
      </c>
      <c r="D2726">
        <v>13297</v>
      </c>
      <c r="E2726" s="1" t="s">
        <v>244</v>
      </c>
      <c r="F2726" s="1" t="s">
        <v>190</v>
      </c>
      <c r="G2726" s="1" t="s">
        <v>190</v>
      </c>
      <c r="H2726" s="1" t="s">
        <v>1405</v>
      </c>
      <c r="I2726">
        <v>2011</v>
      </c>
      <c r="J2726" s="93">
        <v>30878.33</v>
      </c>
      <c r="K2726">
        <v>1</v>
      </c>
      <c r="L2726" s="1"/>
      <c r="M2726">
        <v>0</v>
      </c>
      <c r="N2726">
        <v>1571</v>
      </c>
      <c r="O2726">
        <v>19.653955</v>
      </c>
      <c r="P2726">
        <v>1</v>
      </c>
      <c r="Q2726" s="1" t="s">
        <v>562</v>
      </c>
      <c r="R2726" s="93">
        <v>35488.11</v>
      </c>
      <c r="S2726">
        <v>6565.3</v>
      </c>
      <c r="T2726">
        <v>0</v>
      </c>
      <c r="U2726" s="1" t="s">
        <v>848</v>
      </c>
      <c r="V2726" s="1"/>
      <c r="W2726">
        <v>30878.33</v>
      </c>
      <c r="X2726">
        <v>0</v>
      </c>
      <c r="Y2726">
        <v>90962</v>
      </c>
    </row>
    <row r="2727" spans="1:25" ht="15" hidden="1" customHeight="1" x14ac:dyDescent="0.25">
      <c r="A2727" s="1" t="s">
        <v>36</v>
      </c>
      <c r="B2727" s="1" t="s">
        <v>80</v>
      </c>
      <c r="C2727" s="1" t="s">
        <v>190</v>
      </c>
      <c r="D2727">
        <v>13297</v>
      </c>
      <c r="E2727" s="1" t="s">
        <v>244</v>
      </c>
      <c r="F2727" s="1" t="s">
        <v>190</v>
      </c>
      <c r="G2727" s="1" t="s">
        <v>190</v>
      </c>
      <c r="H2727" s="1" t="s">
        <v>1405</v>
      </c>
      <c r="I2727">
        <v>2011</v>
      </c>
      <c r="J2727" s="93">
        <v>234636.59</v>
      </c>
      <c r="K2727">
        <v>5</v>
      </c>
      <c r="L2727" s="1" t="s">
        <v>490</v>
      </c>
      <c r="M2727">
        <v>0</v>
      </c>
      <c r="N2727">
        <v>1571</v>
      </c>
      <c r="O2727">
        <v>149.34541999999999</v>
      </c>
      <c r="P2727">
        <v>1</v>
      </c>
      <c r="Q2727" s="1" t="s">
        <v>565</v>
      </c>
      <c r="R2727" s="93">
        <v>273358.31</v>
      </c>
      <c r="S2727">
        <v>50571.29</v>
      </c>
      <c r="T2727">
        <v>0</v>
      </c>
      <c r="U2727" s="1" t="s">
        <v>848</v>
      </c>
      <c r="V2727" s="1"/>
      <c r="W2727">
        <v>234.63659000000001</v>
      </c>
      <c r="X2727">
        <v>0</v>
      </c>
      <c r="Y2727">
        <v>89458</v>
      </c>
    </row>
    <row r="2728" spans="1:25" ht="15" hidden="1" customHeight="1" x14ac:dyDescent="0.25">
      <c r="A2728" s="1" t="s">
        <v>36</v>
      </c>
      <c r="B2728" s="1" t="s">
        <v>80</v>
      </c>
      <c r="C2728" s="1" t="s">
        <v>190</v>
      </c>
      <c r="D2728">
        <v>13297</v>
      </c>
      <c r="E2728" s="1" t="s">
        <v>244</v>
      </c>
      <c r="F2728" s="1" t="s">
        <v>190</v>
      </c>
      <c r="G2728" s="1" t="s">
        <v>190</v>
      </c>
      <c r="H2728" s="1" t="s">
        <v>1405</v>
      </c>
      <c r="I2728">
        <v>2010</v>
      </c>
      <c r="J2728" s="93">
        <v>307106.57</v>
      </c>
      <c r="K2728">
        <v>1</v>
      </c>
      <c r="L2728" s="1" t="s">
        <v>490</v>
      </c>
      <c r="M2728">
        <v>0</v>
      </c>
      <c r="N2728">
        <v>1571</v>
      </c>
      <c r="O2728">
        <v>195.47232500000001</v>
      </c>
      <c r="P2728">
        <v>1</v>
      </c>
      <c r="Q2728" s="1" t="s">
        <v>565</v>
      </c>
      <c r="R2728" s="93">
        <v>401613.68</v>
      </c>
      <c r="S2728">
        <v>74298.53</v>
      </c>
      <c r="T2728">
        <v>0</v>
      </c>
      <c r="U2728" s="1" t="s">
        <v>848</v>
      </c>
      <c r="V2728" s="1"/>
      <c r="W2728">
        <v>307.10656999999998</v>
      </c>
      <c r="X2728">
        <v>0</v>
      </c>
      <c r="Y2728">
        <v>89458</v>
      </c>
    </row>
    <row r="2729" spans="1:25" ht="15" hidden="1" customHeight="1" x14ac:dyDescent="0.25">
      <c r="A2729" s="1" t="s">
        <v>36</v>
      </c>
      <c r="B2729" s="1" t="s">
        <v>80</v>
      </c>
      <c r="C2729" s="1" t="s">
        <v>190</v>
      </c>
      <c r="D2729">
        <v>13297</v>
      </c>
      <c r="E2729" s="1" t="s">
        <v>244</v>
      </c>
      <c r="F2729" s="1" t="s">
        <v>190</v>
      </c>
      <c r="G2729" s="1" t="s">
        <v>190</v>
      </c>
      <c r="H2729" s="1" t="s">
        <v>1405</v>
      </c>
      <c r="I2729">
        <v>2009</v>
      </c>
      <c r="J2729" s="93">
        <v>246217.34</v>
      </c>
      <c r="K2729">
        <v>1</v>
      </c>
      <c r="L2729" s="1" t="s">
        <v>490</v>
      </c>
      <c r="M2729">
        <v>0</v>
      </c>
      <c r="N2729">
        <v>1571</v>
      </c>
      <c r="O2729">
        <v>156.71652900000001</v>
      </c>
      <c r="P2729">
        <v>1</v>
      </c>
      <c r="Q2729" s="1" t="s">
        <v>565</v>
      </c>
      <c r="R2729" s="93">
        <v>356864.75</v>
      </c>
      <c r="S2729">
        <v>66019.97</v>
      </c>
      <c r="T2729">
        <v>0</v>
      </c>
      <c r="U2729" s="1" t="s">
        <v>848</v>
      </c>
      <c r="V2729" s="1"/>
      <c r="W2729">
        <v>246.21734000000001</v>
      </c>
      <c r="X2729">
        <v>0</v>
      </c>
      <c r="Y2729">
        <v>89458</v>
      </c>
    </row>
    <row r="2730" spans="1:25" ht="15" hidden="1" customHeight="1" x14ac:dyDescent="0.25">
      <c r="A2730" s="1" t="s">
        <v>36</v>
      </c>
      <c r="B2730" s="1" t="s">
        <v>80</v>
      </c>
      <c r="C2730" s="1" t="s">
        <v>190</v>
      </c>
      <c r="D2730">
        <v>13297</v>
      </c>
      <c r="E2730" s="1" t="s">
        <v>244</v>
      </c>
      <c r="F2730" s="1" t="s">
        <v>190</v>
      </c>
      <c r="G2730" s="1" t="s">
        <v>190</v>
      </c>
      <c r="H2730" s="1" t="s">
        <v>1405</v>
      </c>
      <c r="I2730">
        <v>2008</v>
      </c>
      <c r="J2730" s="93">
        <v>258469.56</v>
      </c>
      <c r="K2730">
        <v>1</v>
      </c>
      <c r="L2730" s="1" t="s">
        <v>490</v>
      </c>
      <c r="M2730">
        <v>0</v>
      </c>
      <c r="N2730">
        <v>1571</v>
      </c>
      <c r="O2730">
        <v>164.515027</v>
      </c>
      <c r="P2730">
        <v>1</v>
      </c>
      <c r="Q2730" s="1" t="s">
        <v>565</v>
      </c>
      <c r="R2730" s="93">
        <v>337982.56</v>
      </c>
      <c r="S2730">
        <v>62526.75</v>
      </c>
      <c r="T2730">
        <v>0</v>
      </c>
      <c r="U2730" s="1" t="s">
        <v>848</v>
      </c>
      <c r="V2730" s="1"/>
      <c r="W2730">
        <v>258.46956</v>
      </c>
      <c r="X2730">
        <v>0</v>
      </c>
      <c r="Y2730">
        <v>89458</v>
      </c>
    </row>
    <row r="2731" spans="1:25" ht="15" hidden="1" customHeight="1" x14ac:dyDescent="0.25">
      <c r="A2731" s="1" t="s">
        <v>27</v>
      </c>
      <c r="B2731" s="1" t="s">
        <v>54</v>
      </c>
      <c r="C2731" s="1" t="s">
        <v>121</v>
      </c>
      <c r="D2731">
        <v>5428</v>
      </c>
      <c r="E2731" s="1"/>
      <c r="F2731" s="1" t="s">
        <v>264</v>
      </c>
      <c r="G2731" s="1" t="s">
        <v>121</v>
      </c>
      <c r="H2731" s="1" t="s">
        <v>1405</v>
      </c>
      <c r="I2731">
        <v>2014</v>
      </c>
      <c r="J2731" s="93">
        <v>103001.96</v>
      </c>
      <c r="K2731">
        <v>12</v>
      </c>
      <c r="L2731" s="1" t="s">
        <v>472</v>
      </c>
      <c r="M2731">
        <v>0</v>
      </c>
      <c r="N2731">
        <v>679</v>
      </c>
      <c r="O2731">
        <v>151.674215</v>
      </c>
      <c r="P2731">
        <v>1</v>
      </c>
      <c r="Q2731" s="1" t="s">
        <v>564</v>
      </c>
      <c r="R2731" s="93">
        <v>122240.6</v>
      </c>
      <c r="S2731">
        <v>25851.63</v>
      </c>
      <c r="T2731">
        <v>0</v>
      </c>
      <c r="U2731" s="1" t="s">
        <v>773</v>
      </c>
      <c r="V2731" s="1" t="s">
        <v>1191</v>
      </c>
      <c r="W2731">
        <v>9537.2199999999993</v>
      </c>
      <c r="X2731">
        <v>0</v>
      </c>
      <c r="Y2731">
        <v>57403</v>
      </c>
    </row>
    <row r="2732" spans="1:25" ht="15" hidden="1" customHeight="1" x14ac:dyDescent="0.25">
      <c r="A2732" s="1" t="s">
        <v>36</v>
      </c>
      <c r="B2732" s="1" t="s">
        <v>78</v>
      </c>
      <c r="C2732" s="1" t="s">
        <v>186</v>
      </c>
      <c r="D2732">
        <v>13266</v>
      </c>
      <c r="E2732" s="1" t="s">
        <v>243</v>
      </c>
      <c r="F2732" s="1" t="s">
        <v>316</v>
      </c>
      <c r="G2732" s="1" t="s">
        <v>186</v>
      </c>
      <c r="H2732" s="1" t="s">
        <v>1405</v>
      </c>
      <c r="I2732">
        <v>2014</v>
      </c>
      <c r="J2732" s="93">
        <v>1199.45</v>
      </c>
      <c r="K2732">
        <v>12</v>
      </c>
      <c r="L2732" s="1" t="s">
        <v>446</v>
      </c>
      <c r="M2732">
        <v>0</v>
      </c>
      <c r="N2732">
        <v>1357</v>
      </c>
      <c r="O2732">
        <v>0.88383299999999998</v>
      </c>
      <c r="P2732">
        <v>3</v>
      </c>
      <c r="Q2732" s="1" t="s">
        <v>560</v>
      </c>
      <c r="R2732" s="93">
        <v>1199.45</v>
      </c>
      <c r="S2732">
        <v>959.56</v>
      </c>
      <c r="T2732">
        <v>0</v>
      </c>
      <c r="U2732" s="1" t="s">
        <v>667</v>
      </c>
      <c r="V2732" s="1"/>
      <c r="W2732">
        <v>1199.44093</v>
      </c>
      <c r="X2732">
        <v>0</v>
      </c>
      <c r="Y2732">
        <v>89187</v>
      </c>
    </row>
    <row r="2733" spans="1:25" ht="15" hidden="1" customHeight="1" x14ac:dyDescent="0.25">
      <c r="A2733" s="1" t="s">
        <v>36</v>
      </c>
      <c r="B2733" s="1"/>
      <c r="C2733" s="1" t="s">
        <v>189</v>
      </c>
      <c r="D2733">
        <v>9951</v>
      </c>
      <c r="E2733" s="1"/>
      <c r="F2733" s="1" t="s">
        <v>381</v>
      </c>
      <c r="G2733" s="1" t="s">
        <v>1482</v>
      </c>
      <c r="H2733" s="1" t="s">
        <v>1405</v>
      </c>
      <c r="I2733">
        <v>2013</v>
      </c>
      <c r="J2733" s="93">
        <v>3635.68</v>
      </c>
      <c r="K2733">
        <v>7</v>
      </c>
      <c r="L2733" s="1" t="s">
        <v>414</v>
      </c>
      <c r="M2733">
        <v>0</v>
      </c>
      <c r="N2733">
        <v>0</v>
      </c>
      <c r="O2733">
        <v>36356.800000000003</v>
      </c>
      <c r="P2733">
        <v>2</v>
      </c>
      <c r="Q2733" s="1" t="s">
        <v>569</v>
      </c>
      <c r="R2733" s="93">
        <v>3635.68</v>
      </c>
      <c r="S2733">
        <v>1090.7</v>
      </c>
      <c r="T2733">
        <v>0</v>
      </c>
      <c r="U2733" s="1" t="s">
        <v>1066</v>
      </c>
      <c r="V2733" s="1" t="s">
        <v>1325</v>
      </c>
      <c r="W2733">
        <v>3635.6618400000002</v>
      </c>
      <c r="X2733">
        <v>0</v>
      </c>
      <c r="Y2733">
        <v>76303</v>
      </c>
    </row>
    <row r="2734" spans="1:25" ht="15" hidden="1" customHeight="1" x14ac:dyDescent="0.25">
      <c r="A2734" s="1" t="s">
        <v>36</v>
      </c>
      <c r="B2734" s="1"/>
      <c r="C2734" s="1" t="s">
        <v>187</v>
      </c>
      <c r="D2734">
        <v>10323</v>
      </c>
      <c r="E2734" s="1"/>
      <c r="F2734" s="1" t="s">
        <v>187</v>
      </c>
      <c r="G2734" s="1" t="s">
        <v>187</v>
      </c>
      <c r="H2734" s="1" t="s">
        <v>1405</v>
      </c>
      <c r="I2734">
        <v>2011</v>
      </c>
      <c r="J2734" s="93">
        <v>102465.44</v>
      </c>
      <c r="K2734">
        <v>12</v>
      </c>
      <c r="L2734" s="1" t="s">
        <v>538</v>
      </c>
      <c r="M2734">
        <v>0</v>
      </c>
      <c r="N2734">
        <v>2114</v>
      </c>
      <c r="O2734">
        <v>48.467641</v>
      </c>
      <c r="P2734">
        <v>2</v>
      </c>
      <c r="Q2734" s="1" t="s">
        <v>569</v>
      </c>
      <c r="R2734" s="93">
        <v>102465.44</v>
      </c>
      <c r="S2734">
        <v>48056.3</v>
      </c>
      <c r="T2734">
        <v>0</v>
      </c>
      <c r="U2734" s="1" t="s">
        <v>1063</v>
      </c>
      <c r="V2734" s="1" t="s">
        <v>1323</v>
      </c>
      <c r="W2734">
        <v>102465.442</v>
      </c>
      <c r="X2734">
        <v>0</v>
      </c>
      <c r="Y2734">
        <v>84599</v>
      </c>
    </row>
    <row r="2735" spans="1:25" ht="15" hidden="1" customHeight="1" x14ac:dyDescent="0.25">
      <c r="A2735" s="1" t="s">
        <v>36</v>
      </c>
      <c r="B2735" s="1"/>
      <c r="C2735" s="1" t="s">
        <v>187</v>
      </c>
      <c r="D2735">
        <v>10323</v>
      </c>
      <c r="E2735" s="1"/>
      <c r="F2735" s="1" t="s">
        <v>187</v>
      </c>
      <c r="G2735" s="1" t="s">
        <v>187</v>
      </c>
      <c r="H2735" s="1" t="s">
        <v>1405</v>
      </c>
      <c r="I2735">
        <v>2010</v>
      </c>
      <c r="J2735" s="93">
        <v>1998.63</v>
      </c>
      <c r="K2735">
        <v>4</v>
      </c>
      <c r="L2735" s="1" t="s">
        <v>405</v>
      </c>
      <c r="M2735">
        <v>0</v>
      </c>
      <c r="N2735">
        <v>2114</v>
      </c>
      <c r="O2735">
        <v>0.94538100000000003</v>
      </c>
      <c r="P2735">
        <v>3</v>
      </c>
      <c r="Q2735" s="1" t="s">
        <v>560</v>
      </c>
      <c r="R2735" s="93">
        <v>1998.63</v>
      </c>
      <c r="S2735">
        <v>1598.9</v>
      </c>
      <c r="T2735">
        <v>0</v>
      </c>
      <c r="U2735" s="1" t="s">
        <v>668</v>
      </c>
      <c r="V2735" s="1"/>
      <c r="W2735">
        <v>1998.6327799999999</v>
      </c>
      <c r="X2735">
        <v>0</v>
      </c>
      <c r="Y2735">
        <v>77830</v>
      </c>
    </row>
    <row r="2736" spans="1:25" ht="15" hidden="1" customHeight="1" x14ac:dyDescent="0.25">
      <c r="A2736" s="1" t="s">
        <v>36</v>
      </c>
      <c r="B2736" s="1"/>
      <c r="C2736" s="1" t="s">
        <v>187</v>
      </c>
      <c r="D2736">
        <v>10323</v>
      </c>
      <c r="E2736" s="1"/>
      <c r="F2736" s="1" t="s">
        <v>187</v>
      </c>
      <c r="G2736" s="1" t="s">
        <v>187</v>
      </c>
      <c r="H2736" s="1" t="s">
        <v>1405</v>
      </c>
      <c r="I2736">
        <v>2010</v>
      </c>
      <c r="J2736" s="93">
        <v>297275.75</v>
      </c>
      <c r="K2736">
        <v>5</v>
      </c>
      <c r="L2736" s="1" t="s">
        <v>482</v>
      </c>
      <c r="M2736">
        <v>0</v>
      </c>
      <c r="N2736">
        <v>2114</v>
      </c>
      <c r="O2736">
        <v>140.615746</v>
      </c>
      <c r="P2736">
        <v>1</v>
      </c>
      <c r="Q2736" s="1" t="s">
        <v>564</v>
      </c>
      <c r="R2736" s="93">
        <v>274848.5</v>
      </c>
      <c r="S2736">
        <v>58125.36</v>
      </c>
      <c r="T2736">
        <v>0</v>
      </c>
      <c r="U2736" s="1" t="s">
        <v>845</v>
      </c>
      <c r="V2736" s="1" t="s">
        <v>1218</v>
      </c>
      <c r="W2736">
        <v>27525.533329999998</v>
      </c>
      <c r="X2736">
        <v>0</v>
      </c>
      <c r="Y2736">
        <v>77831</v>
      </c>
    </row>
    <row r="2737" spans="1:25" ht="15" hidden="1" customHeight="1" x14ac:dyDescent="0.25">
      <c r="A2737" s="1" t="s">
        <v>36</v>
      </c>
      <c r="B2737" s="1"/>
      <c r="C2737" s="1" t="s">
        <v>189</v>
      </c>
      <c r="D2737">
        <v>9520</v>
      </c>
      <c r="E2737" s="1"/>
      <c r="F2737" s="1" t="s">
        <v>318</v>
      </c>
      <c r="G2737" s="1" t="s">
        <v>1482</v>
      </c>
      <c r="H2737" s="1" t="s">
        <v>1405</v>
      </c>
      <c r="I2737">
        <v>2013</v>
      </c>
      <c r="J2737" s="93">
        <v>76199.72</v>
      </c>
      <c r="K2737">
        <v>12</v>
      </c>
      <c r="L2737" s="1"/>
      <c r="M2737">
        <v>0</v>
      </c>
      <c r="N2737">
        <v>1935</v>
      </c>
      <c r="O2737">
        <v>39.377665</v>
      </c>
      <c r="P2737">
        <v>2</v>
      </c>
      <c r="Q2737" s="1" t="s">
        <v>569</v>
      </c>
      <c r="R2737" s="93">
        <v>76199.72</v>
      </c>
      <c r="S2737">
        <v>22859.919999999998</v>
      </c>
      <c r="T2737">
        <v>0</v>
      </c>
      <c r="U2737" s="1" t="s">
        <v>1067</v>
      </c>
      <c r="V2737" s="1" t="s">
        <v>1326</v>
      </c>
      <c r="W2737">
        <v>76199.717999999993</v>
      </c>
      <c r="X2737">
        <v>0</v>
      </c>
      <c r="Y2737">
        <v>74434</v>
      </c>
    </row>
    <row r="2738" spans="1:25" ht="15" hidden="1" customHeight="1" x14ac:dyDescent="0.25">
      <c r="A2738" s="1" t="s">
        <v>36</v>
      </c>
      <c r="B2738" s="1"/>
      <c r="C2738" s="1" t="s">
        <v>189</v>
      </c>
      <c r="D2738">
        <v>10149</v>
      </c>
      <c r="E2738" s="1"/>
      <c r="F2738" s="1" t="s">
        <v>382</v>
      </c>
      <c r="G2738" s="1" t="s">
        <v>1482</v>
      </c>
      <c r="H2738" s="1" t="s">
        <v>1405</v>
      </c>
      <c r="I2738">
        <v>2013</v>
      </c>
      <c r="J2738" s="93">
        <v>1221.8</v>
      </c>
      <c r="K2738">
        <v>7</v>
      </c>
      <c r="L2738" s="1" t="s">
        <v>542</v>
      </c>
      <c r="M2738">
        <v>0</v>
      </c>
      <c r="N2738">
        <v>0</v>
      </c>
      <c r="O2738">
        <v>12218</v>
      </c>
      <c r="P2738">
        <v>2</v>
      </c>
      <c r="Q2738" s="1" t="s">
        <v>569</v>
      </c>
      <c r="R2738" s="93">
        <v>1221.8</v>
      </c>
      <c r="S2738">
        <v>366.55</v>
      </c>
      <c r="T2738">
        <v>0</v>
      </c>
      <c r="U2738" s="1"/>
      <c r="V2738" s="1"/>
      <c r="W2738">
        <v>1221.79306</v>
      </c>
      <c r="X2738">
        <v>0</v>
      </c>
      <c r="Y2738">
        <v>77092</v>
      </c>
    </row>
    <row r="2739" spans="1:25" ht="15" hidden="1" customHeight="1" x14ac:dyDescent="0.25">
      <c r="A2739" s="1" t="s">
        <v>36</v>
      </c>
      <c r="B2739" s="1"/>
      <c r="C2739" s="1" t="s">
        <v>189</v>
      </c>
      <c r="D2739">
        <v>14012</v>
      </c>
      <c r="E2739" s="1" t="s">
        <v>243</v>
      </c>
      <c r="F2739" s="1" t="s">
        <v>383</v>
      </c>
      <c r="G2739" s="1" t="s">
        <v>1482</v>
      </c>
      <c r="H2739" s="1" t="s">
        <v>1405</v>
      </c>
      <c r="I2739">
        <v>2013</v>
      </c>
      <c r="J2739" s="93">
        <v>964.65</v>
      </c>
      <c r="K2739">
        <v>7</v>
      </c>
      <c r="L2739" s="1" t="s">
        <v>542</v>
      </c>
      <c r="M2739">
        <v>0</v>
      </c>
      <c r="N2739">
        <v>73</v>
      </c>
      <c r="O2739">
        <v>13.196306</v>
      </c>
      <c r="P2739">
        <v>2</v>
      </c>
      <c r="Q2739" s="1" t="s">
        <v>569</v>
      </c>
      <c r="R2739" s="93">
        <v>964.65</v>
      </c>
      <c r="S2739">
        <v>289.39999999999998</v>
      </c>
      <c r="T2739">
        <v>0</v>
      </c>
      <c r="U2739" s="1" t="s">
        <v>1068</v>
      </c>
      <c r="V2739" s="1" t="s">
        <v>1327</v>
      </c>
      <c r="W2739">
        <v>964.63823000000002</v>
      </c>
      <c r="X2739">
        <v>0</v>
      </c>
      <c r="Y2739">
        <v>93107</v>
      </c>
    </row>
    <row r="2740" spans="1:25" ht="15" hidden="1" customHeight="1" x14ac:dyDescent="0.25">
      <c r="A2740" s="1" t="s">
        <v>36</v>
      </c>
      <c r="B2740" s="1" t="s">
        <v>80</v>
      </c>
      <c r="C2740" s="1" t="s">
        <v>190</v>
      </c>
      <c r="D2740">
        <v>13297</v>
      </c>
      <c r="E2740" s="1" t="s">
        <v>244</v>
      </c>
      <c r="F2740" s="1" t="s">
        <v>190</v>
      </c>
      <c r="G2740" s="1" t="s">
        <v>190</v>
      </c>
      <c r="H2740" s="1" t="s">
        <v>1405</v>
      </c>
      <c r="I2740">
        <v>2013</v>
      </c>
      <c r="J2740" s="93">
        <v>61255.5</v>
      </c>
      <c r="K2740">
        <v>12</v>
      </c>
      <c r="L2740" s="1"/>
      <c r="M2740">
        <v>0</v>
      </c>
      <c r="N2740">
        <v>1571</v>
      </c>
      <c r="O2740">
        <v>38.988923999999997</v>
      </c>
      <c r="P2740">
        <v>2</v>
      </c>
      <c r="Q2740" s="1" t="s">
        <v>569</v>
      </c>
      <c r="R2740" s="93">
        <v>61255.5</v>
      </c>
      <c r="S2740">
        <v>18376.650000000001</v>
      </c>
      <c r="T2740">
        <v>0</v>
      </c>
      <c r="U2740" s="1" t="s">
        <v>1069</v>
      </c>
      <c r="V2740" s="1"/>
      <c r="W2740">
        <v>61255.493999999999</v>
      </c>
      <c r="X2740">
        <v>0</v>
      </c>
      <c r="Y2740">
        <v>90963</v>
      </c>
    </row>
    <row r="2741" spans="1:25" ht="15" hidden="1" customHeight="1" x14ac:dyDescent="0.25">
      <c r="A2741" s="1" t="s">
        <v>36</v>
      </c>
      <c r="B2741" s="1"/>
      <c r="C2741" s="1" t="s">
        <v>189</v>
      </c>
      <c r="D2741">
        <v>9520</v>
      </c>
      <c r="E2741" s="1"/>
      <c r="F2741" s="1" t="s">
        <v>318</v>
      </c>
      <c r="G2741" s="1" t="s">
        <v>1482</v>
      </c>
      <c r="H2741" s="1" t="s">
        <v>1405</v>
      </c>
      <c r="I2741">
        <v>2014</v>
      </c>
      <c r="J2741" s="93">
        <v>458.1</v>
      </c>
      <c r="K2741">
        <v>12</v>
      </c>
      <c r="L2741" s="1"/>
      <c r="M2741">
        <v>0</v>
      </c>
      <c r="N2741">
        <v>1935</v>
      </c>
      <c r="O2741">
        <v>0.236731</v>
      </c>
      <c r="P2741">
        <v>3</v>
      </c>
      <c r="Q2741" s="1" t="s">
        <v>560</v>
      </c>
      <c r="R2741" s="93">
        <v>458.1</v>
      </c>
      <c r="S2741">
        <v>366.48</v>
      </c>
      <c r="T2741">
        <v>0</v>
      </c>
      <c r="U2741" s="1" t="s">
        <v>670</v>
      </c>
      <c r="V2741" s="1"/>
      <c r="W2741">
        <v>458.10599999999999</v>
      </c>
      <c r="X2741">
        <v>0</v>
      </c>
      <c r="Y2741">
        <v>74435</v>
      </c>
    </row>
    <row r="2742" spans="1:25" ht="15" hidden="1" customHeight="1" x14ac:dyDescent="0.25">
      <c r="A2742" s="1" t="s">
        <v>36</v>
      </c>
      <c r="B2742" s="1"/>
      <c r="C2742" s="1" t="s">
        <v>189</v>
      </c>
      <c r="D2742">
        <v>9520</v>
      </c>
      <c r="E2742" s="1"/>
      <c r="F2742" s="1" t="s">
        <v>318</v>
      </c>
      <c r="G2742" s="1" t="s">
        <v>1482</v>
      </c>
      <c r="H2742" s="1" t="s">
        <v>1405</v>
      </c>
      <c r="I2742">
        <v>2014</v>
      </c>
      <c r="J2742" s="93">
        <v>125.5</v>
      </c>
      <c r="K2742">
        <v>12</v>
      </c>
      <c r="L2742" s="1"/>
      <c r="M2742">
        <v>0</v>
      </c>
      <c r="N2742">
        <v>1935</v>
      </c>
      <c r="O2742">
        <v>6.4853999999999995E-2</v>
      </c>
      <c r="P2742">
        <v>3</v>
      </c>
      <c r="Q2742" s="1" t="s">
        <v>560</v>
      </c>
      <c r="R2742" s="93">
        <v>125.5</v>
      </c>
      <c r="S2742">
        <v>0</v>
      </c>
      <c r="T2742">
        <v>1</v>
      </c>
      <c r="U2742" s="1" t="s">
        <v>634</v>
      </c>
      <c r="V2742" s="1"/>
      <c r="W2742">
        <v>125.51600000000001</v>
      </c>
      <c r="X2742">
        <v>0</v>
      </c>
      <c r="Y2742">
        <v>74436</v>
      </c>
    </row>
    <row r="2743" spans="1:25" ht="15" hidden="1" customHeight="1" x14ac:dyDescent="0.25">
      <c r="A2743" s="1" t="s">
        <v>36</v>
      </c>
      <c r="B2743" s="1"/>
      <c r="C2743" s="1" t="s">
        <v>189</v>
      </c>
      <c r="D2743">
        <v>9520</v>
      </c>
      <c r="E2743" s="1"/>
      <c r="F2743" s="1" t="s">
        <v>318</v>
      </c>
      <c r="G2743" s="1" t="s">
        <v>1482</v>
      </c>
      <c r="H2743" s="1" t="s">
        <v>1405</v>
      </c>
      <c r="I2743">
        <v>2014</v>
      </c>
      <c r="J2743" s="93">
        <v>110660</v>
      </c>
      <c r="K2743">
        <v>12</v>
      </c>
      <c r="L2743" s="1"/>
      <c r="M2743">
        <v>0</v>
      </c>
      <c r="N2743">
        <v>1935</v>
      </c>
      <c r="O2743">
        <v>57.185675000000003</v>
      </c>
      <c r="P2743">
        <v>1</v>
      </c>
      <c r="Q2743" s="1" t="s">
        <v>562</v>
      </c>
      <c r="R2743" s="93">
        <v>131436.28</v>
      </c>
      <c r="S2743">
        <v>8411.93</v>
      </c>
      <c r="T2743">
        <v>0</v>
      </c>
      <c r="U2743" s="1" t="s">
        <v>847</v>
      </c>
      <c r="V2743" s="1"/>
      <c r="W2743">
        <v>110660</v>
      </c>
      <c r="X2743">
        <v>0</v>
      </c>
      <c r="Y2743">
        <v>74437</v>
      </c>
    </row>
    <row r="2744" spans="1:25" ht="15" hidden="1" customHeight="1" x14ac:dyDescent="0.25">
      <c r="A2744" s="1" t="s">
        <v>36</v>
      </c>
      <c r="B2744" s="1"/>
      <c r="C2744" s="1" t="s">
        <v>187</v>
      </c>
      <c r="D2744">
        <v>10323</v>
      </c>
      <c r="E2744" s="1"/>
      <c r="F2744" s="1" t="s">
        <v>187</v>
      </c>
      <c r="G2744" s="1" t="s">
        <v>187</v>
      </c>
      <c r="H2744" s="1" t="s">
        <v>1405</v>
      </c>
      <c r="I2744">
        <v>2014</v>
      </c>
      <c r="J2744" s="93">
        <v>99310.27</v>
      </c>
      <c r="K2744">
        <v>12</v>
      </c>
      <c r="L2744" s="1" t="s">
        <v>538</v>
      </c>
      <c r="M2744">
        <v>0</v>
      </c>
      <c r="N2744">
        <v>2114</v>
      </c>
      <c r="O2744">
        <v>46.975199000000003</v>
      </c>
      <c r="P2744">
        <v>2</v>
      </c>
      <c r="Q2744" s="1" t="s">
        <v>569</v>
      </c>
      <c r="R2744" s="93">
        <v>99310.27</v>
      </c>
      <c r="S2744">
        <v>29793.1</v>
      </c>
      <c r="T2744">
        <v>0</v>
      </c>
      <c r="U2744" s="1" t="s">
        <v>1063</v>
      </c>
      <c r="V2744" s="1" t="s">
        <v>1323</v>
      </c>
      <c r="W2744">
        <v>99310.284</v>
      </c>
      <c r="X2744">
        <v>0</v>
      </c>
      <c r="Y2744">
        <v>84599</v>
      </c>
    </row>
    <row r="2745" spans="1:25" ht="15" hidden="1" customHeight="1" x14ac:dyDescent="0.25">
      <c r="A2745" s="1" t="s">
        <v>36</v>
      </c>
      <c r="B2745" s="1" t="s">
        <v>78</v>
      </c>
      <c r="C2745" s="1" t="s">
        <v>186</v>
      </c>
      <c r="D2745">
        <v>13266</v>
      </c>
      <c r="E2745" s="1" t="s">
        <v>243</v>
      </c>
      <c r="F2745" s="1" t="s">
        <v>316</v>
      </c>
      <c r="G2745" s="1" t="s">
        <v>186</v>
      </c>
      <c r="H2745" s="1" t="s">
        <v>1405</v>
      </c>
      <c r="I2745">
        <v>2014</v>
      </c>
      <c r="J2745" s="93">
        <v>145977.14000000001</v>
      </c>
      <c r="K2745">
        <v>12</v>
      </c>
      <c r="L2745" s="1"/>
      <c r="M2745">
        <v>0</v>
      </c>
      <c r="N2745">
        <v>1357</v>
      </c>
      <c r="O2745">
        <v>107.565499</v>
      </c>
      <c r="P2745">
        <v>2</v>
      </c>
      <c r="Q2745" s="1" t="s">
        <v>569</v>
      </c>
      <c r="R2745" s="93">
        <v>145977.14000000001</v>
      </c>
      <c r="S2745">
        <v>43793.14</v>
      </c>
      <c r="T2745">
        <v>0</v>
      </c>
      <c r="U2745" s="1" t="s">
        <v>1062</v>
      </c>
      <c r="V2745" s="1"/>
      <c r="W2745">
        <v>145977.14000000001</v>
      </c>
      <c r="X2745">
        <v>0</v>
      </c>
      <c r="Y2745">
        <v>93520</v>
      </c>
    </row>
    <row r="2746" spans="1:25" ht="15" hidden="1" customHeight="1" x14ac:dyDescent="0.25">
      <c r="A2746" s="1" t="s">
        <v>36</v>
      </c>
      <c r="B2746" s="1"/>
      <c r="C2746" s="1" t="s">
        <v>189</v>
      </c>
      <c r="D2746">
        <v>10149</v>
      </c>
      <c r="E2746" s="1"/>
      <c r="F2746" s="1" t="s">
        <v>382</v>
      </c>
      <c r="G2746" s="1" t="s">
        <v>1482</v>
      </c>
      <c r="H2746" s="1" t="s">
        <v>1405</v>
      </c>
      <c r="I2746">
        <v>2014</v>
      </c>
      <c r="J2746" s="93">
        <v>593.02</v>
      </c>
      <c r="K2746">
        <v>2</v>
      </c>
      <c r="L2746" s="1" t="s">
        <v>542</v>
      </c>
      <c r="M2746">
        <v>0</v>
      </c>
      <c r="N2746">
        <v>0</v>
      </c>
      <c r="O2746">
        <v>5930.2</v>
      </c>
      <c r="P2746">
        <v>2</v>
      </c>
      <c r="Q2746" s="1" t="s">
        <v>569</v>
      </c>
      <c r="R2746" s="93">
        <v>593.02</v>
      </c>
      <c r="S2746">
        <v>177.9</v>
      </c>
      <c r="T2746">
        <v>0</v>
      </c>
      <c r="U2746" s="1"/>
      <c r="V2746" s="1"/>
      <c r="W2746">
        <v>593.02327000000002</v>
      </c>
      <c r="X2746">
        <v>0</v>
      </c>
      <c r="Y2746">
        <v>77092</v>
      </c>
    </row>
    <row r="2747" spans="1:25" ht="15" hidden="1" customHeight="1" x14ac:dyDescent="0.25">
      <c r="A2747" s="1" t="s">
        <v>36</v>
      </c>
      <c r="B2747" s="1"/>
      <c r="C2747" s="1" t="s">
        <v>189</v>
      </c>
      <c r="D2747">
        <v>14012</v>
      </c>
      <c r="E2747" s="1" t="s">
        <v>243</v>
      </c>
      <c r="F2747" s="1" t="s">
        <v>383</v>
      </c>
      <c r="G2747" s="1" t="s">
        <v>1482</v>
      </c>
      <c r="H2747" s="1" t="s">
        <v>1405</v>
      </c>
      <c r="I2747">
        <v>2014</v>
      </c>
      <c r="J2747" s="93">
        <v>498.56</v>
      </c>
      <c r="K2747">
        <v>2</v>
      </c>
      <c r="L2747" s="1" t="s">
        <v>542</v>
      </c>
      <c r="M2747">
        <v>0</v>
      </c>
      <c r="N2747">
        <v>73</v>
      </c>
      <c r="O2747">
        <v>6.820246</v>
      </c>
      <c r="P2747">
        <v>2</v>
      </c>
      <c r="Q2747" s="1" t="s">
        <v>569</v>
      </c>
      <c r="R2747" s="93">
        <v>498.56</v>
      </c>
      <c r="S2747">
        <v>149.56</v>
      </c>
      <c r="T2747">
        <v>0</v>
      </c>
      <c r="U2747" s="1" t="s">
        <v>1068</v>
      </c>
      <c r="V2747" s="1" t="s">
        <v>1327</v>
      </c>
      <c r="W2747">
        <v>498.54545000000002</v>
      </c>
      <c r="X2747">
        <v>0</v>
      </c>
      <c r="Y2747">
        <v>93107</v>
      </c>
    </row>
    <row r="2748" spans="1:25" ht="15" hidden="1" customHeight="1" x14ac:dyDescent="0.25">
      <c r="A2748" s="1" t="s">
        <v>36</v>
      </c>
      <c r="B2748" s="1" t="s">
        <v>80</v>
      </c>
      <c r="C2748" s="1" t="s">
        <v>190</v>
      </c>
      <c r="D2748">
        <v>13297</v>
      </c>
      <c r="E2748" s="1" t="s">
        <v>244</v>
      </c>
      <c r="F2748" s="1" t="s">
        <v>190</v>
      </c>
      <c r="G2748" s="1" t="s">
        <v>190</v>
      </c>
      <c r="H2748" s="1" t="s">
        <v>1405</v>
      </c>
      <c r="I2748">
        <v>2014</v>
      </c>
      <c r="J2748" s="93">
        <v>1017.12</v>
      </c>
      <c r="K2748">
        <v>12</v>
      </c>
      <c r="L2748" s="1" t="s">
        <v>426</v>
      </c>
      <c r="M2748">
        <v>0</v>
      </c>
      <c r="N2748">
        <v>1571</v>
      </c>
      <c r="O2748">
        <v>0.647393</v>
      </c>
      <c r="P2748">
        <v>3</v>
      </c>
      <c r="Q2748" s="1" t="s">
        <v>560</v>
      </c>
      <c r="R2748" s="93">
        <v>1017.12</v>
      </c>
      <c r="S2748">
        <v>813.7</v>
      </c>
      <c r="T2748">
        <v>0</v>
      </c>
      <c r="U2748" s="1" t="s">
        <v>671</v>
      </c>
      <c r="V2748" s="1"/>
      <c r="W2748">
        <v>1017.1238</v>
      </c>
      <c r="X2748">
        <v>0</v>
      </c>
      <c r="Y2748">
        <v>89295</v>
      </c>
    </row>
    <row r="2749" spans="1:25" ht="15" hidden="1" customHeight="1" x14ac:dyDescent="0.25">
      <c r="A2749" s="1" t="s">
        <v>36</v>
      </c>
      <c r="B2749" s="1" t="s">
        <v>80</v>
      </c>
      <c r="C2749" s="1" t="s">
        <v>190</v>
      </c>
      <c r="D2749">
        <v>13297</v>
      </c>
      <c r="E2749" s="1" t="s">
        <v>244</v>
      </c>
      <c r="F2749" s="1" t="s">
        <v>190</v>
      </c>
      <c r="G2749" s="1" t="s">
        <v>190</v>
      </c>
      <c r="H2749" s="1" t="s">
        <v>1405</v>
      </c>
      <c r="I2749">
        <v>2014</v>
      </c>
      <c r="J2749" s="93">
        <v>201130.01</v>
      </c>
      <c r="K2749">
        <v>12</v>
      </c>
      <c r="L2749" s="1"/>
      <c r="M2749">
        <v>0</v>
      </c>
      <c r="N2749">
        <v>1571</v>
      </c>
      <c r="O2749">
        <v>128.01859200000001</v>
      </c>
      <c r="P2749">
        <v>1</v>
      </c>
      <c r="Q2749" s="1" t="s">
        <v>562</v>
      </c>
      <c r="R2749" s="93">
        <v>237543.7</v>
      </c>
      <c r="S2749">
        <v>15202.78</v>
      </c>
      <c r="T2749">
        <v>0</v>
      </c>
      <c r="U2749" s="1" t="s">
        <v>848</v>
      </c>
      <c r="V2749" s="1"/>
      <c r="W2749">
        <v>201130.01</v>
      </c>
      <c r="X2749">
        <v>0</v>
      </c>
      <c r="Y2749">
        <v>90962</v>
      </c>
    </row>
    <row r="2750" spans="1:25" ht="15" hidden="1" customHeight="1" x14ac:dyDescent="0.25">
      <c r="A2750" s="1" t="s">
        <v>36</v>
      </c>
      <c r="B2750" s="1"/>
      <c r="C2750" s="1" t="s">
        <v>189</v>
      </c>
      <c r="D2750">
        <v>9951</v>
      </c>
      <c r="E2750" s="1"/>
      <c r="F2750" s="1" t="s">
        <v>381</v>
      </c>
      <c r="G2750" s="1" t="s">
        <v>1482</v>
      </c>
      <c r="H2750" s="1" t="s">
        <v>1405</v>
      </c>
      <c r="I2750">
        <v>2014</v>
      </c>
      <c r="J2750" s="93">
        <v>3402.05</v>
      </c>
      <c r="K2750">
        <v>3</v>
      </c>
      <c r="L2750" s="1" t="s">
        <v>414</v>
      </c>
      <c r="M2750">
        <v>0</v>
      </c>
      <c r="N2750">
        <v>0</v>
      </c>
      <c r="O2750">
        <v>34020.5</v>
      </c>
      <c r="P2750">
        <v>2</v>
      </c>
      <c r="Q2750" s="1" t="s">
        <v>569</v>
      </c>
      <c r="R2750" s="93">
        <v>3402.05</v>
      </c>
      <c r="S2750">
        <v>1020.61</v>
      </c>
      <c r="T2750">
        <v>0</v>
      </c>
      <c r="U2750" s="1" t="s">
        <v>1066</v>
      </c>
      <c r="V2750" s="1" t="s">
        <v>1325</v>
      </c>
      <c r="W2750">
        <v>3402.0581499999998</v>
      </c>
      <c r="X2750">
        <v>0</v>
      </c>
      <c r="Y2750">
        <v>76303</v>
      </c>
    </row>
    <row r="2751" spans="1:25" ht="15" hidden="1" customHeight="1" x14ac:dyDescent="0.25">
      <c r="A2751" s="1" t="s">
        <v>36</v>
      </c>
      <c r="B2751" s="1"/>
      <c r="C2751" s="1" t="s">
        <v>189</v>
      </c>
      <c r="D2751">
        <v>9520</v>
      </c>
      <c r="E2751" s="1"/>
      <c r="F2751" s="1" t="s">
        <v>318</v>
      </c>
      <c r="G2751" s="1" t="s">
        <v>1482</v>
      </c>
      <c r="H2751" s="1" t="s">
        <v>1405</v>
      </c>
      <c r="I2751">
        <v>2014</v>
      </c>
      <c r="J2751" s="93">
        <v>69134.87</v>
      </c>
      <c r="K2751">
        <v>12</v>
      </c>
      <c r="L2751" s="1"/>
      <c r="M2751">
        <v>0</v>
      </c>
      <c r="N2751">
        <v>1935</v>
      </c>
      <c r="O2751">
        <v>35.726768</v>
      </c>
      <c r="P2751">
        <v>2</v>
      </c>
      <c r="Q2751" s="1" t="s">
        <v>569</v>
      </c>
      <c r="R2751" s="93">
        <v>69134.87</v>
      </c>
      <c r="S2751">
        <v>20740.45</v>
      </c>
      <c r="T2751">
        <v>0</v>
      </c>
      <c r="U2751" s="1" t="s">
        <v>1067</v>
      </c>
      <c r="V2751" s="1" t="s">
        <v>1326</v>
      </c>
      <c r="W2751">
        <v>69134.868000000002</v>
      </c>
      <c r="X2751">
        <v>0</v>
      </c>
      <c r="Y2751">
        <v>74434</v>
      </c>
    </row>
    <row r="2752" spans="1:25" ht="15" hidden="1" customHeight="1" x14ac:dyDescent="0.25">
      <c r="A2752" s="1" t="s">
        <v>36</v>
      </c>
      <c r="B2752" s="1" t="s">
        <v>80</v>
      </c>
      <c r="C2752" s="1" t="s">
        <v>190</v>
      </c>
      <c r="D2752">
        <v>13297</v>
      </c>
      <c r="E2752" s="1" t="s">
        <v>244</v>
      </c>
      <c r="F2752" s="1" t="s">
        <v>190</v>
      </c>
      <c r="G2752" s="1" t="s">
        <v>190</v>
      </c>
      <c r="H2752" s="1" t="s">
        <v>1405</v>
      </c>
      <c r="I2752">
        <v>2014</v>
      </c>
      <c r="J2752" s="93">
        <v>61434.17</v>
      </c>
      <c r="K2752">
        <v>12</v>
      </c>
      <c r="L2752" s="1"/>
      <c r="M2752">
        <v>0</v>
      </c>
      <c r="N2752">
        <v>1571</v>
      </c>
      <c r="O2752">
        <v>39.102646999999997</v>
      </c>
      <c r="P2752">
        <v>2</v>
      </c>
      <c r="Q2752" s="1" t="s">
        <v>569</v>
      </c>
      <c r="R2752" s="93">
        <v>61434.17</v>
      </c>
      <c r="S2752">
        <v>18430.240000000002</v>
      </c>
      <c r="T2752">
        <v>0</v>
      </c>
      <c r="U2752" s="1" t="s">
        <v>1069</v>
      </c>
      <c r="V2752" s="1"/>
      <c r="W2752">
        <v>61434.175000000003</v>
      </c>
      <c r="X2752">
        <v>0</v>
      </c>
      <c r="Y2752">
        <v>90963</v>
      </c>
    </row>
    <row r="2753" spans="1:25" ht="15" hidden="1" customHeight="1" x14ac:dyDescent="0.25">
      <c r="A2753" s="1" t="s">
        <v>36</v>
      </c>
      <c r="B2753" s="1" t="s">
        <v>78</v>
      </c>
      <c r="C2753" s="1" t="s">
        <v>186</v>
      </c>
      <c r="D2753">
        <v>13266</v>
      </c>
      <c r="E2753" s="1" t="s">
        <v>243</v>
      </c>
      <c r="F2753" s="1" t="s">
        <v>316</v>
      </c>
      <c r="G2753" s="1" t="s">
        <v>186</v>
      </c>
      <c r="H2753" s="1" t="s">
        <v>1405</v>
      </c>
      <c r="I2753">
        <v>2012</v>
      </c>
      <c r="J2753" s="93">
        <v>152088.21</v>
      </c>
      <c r="K2753">
        <v>12</v>
      </c>
      <c r="L2753" s="1"/>
      <c r="M2753">
        <v>0</v>
      </c>
      <c r="N2753">
        <v>1357</v>
      </c>
      <c r="O2753">
        <v>112.068535</v>
      </c>
      <c r="P2753">
        <v>2</v>
      </c>
      <c r="Q2753" s="1" t="s">
        <v>569</v>
      </c>
      <c r="R2753" s="93">
        <v>152088.21</v>
      </c>
      <c r="S2753">
        <v>60835.28</v>
      </c>
      <c r="T2753">
        <v>0</v>
      </c>
      <c r="U2753" s="1" t="s">
        <v>1062</v>
      </c>
      <c r="V2753" s="1"/>
      <c r="W2753">
        <v>152088.21</v>
      </c>
      <c r="X2753">
        <v>0</v>
      </c>
      <c r="Y2753">
        <v>93520</v>
      </c>
    </row>
    <row r="2754" spans="1:25" ht="15" hidden="1" customHeight="1" x14ac:dyDescent="0.25">
      <c r="A2754" s="1" t="s">
        <v>36</v>
      </c>
      <c r="B2754" s="1" t="s">
        <v>78</v>
      </c>
      <c r="C2754" s="1" t="s">
        <v>186</v>
      </c>
      <c r="D2754">
        <v>13266</v>
      </c>
      <c r="E2754" s="1" t="s">
        <v>243</v>
      </c>
      <c r="F2754" s="1" t="s">
        <v>316</v>
      </c>
      <c r="G2754" s="1" t="s">
        <v>186</v>
      </c>
      <c r="H2754" s="1" t="s">
        <v>1405</v>
      </c>
      <c r="I2754">
        <v>2011</v>
      </c>
      <c r="J2754" s="93">
        <v>139013.6</v>
      </c>
      <c r="K2754">
        <v>2</v>
      </c>
      <c r="L2754" s="1" t="s">
        <v>457</v>
      </c>
      <c r="M2754">
        <v>0</v>
      </c>
      <c r="N2754">
        <v>1357</v>
      </c>
      <c r="O2754">
        <v>102.434308</v>
      </c>
      <c r="P2754">
        <v>2</v>
      </c>
      <c r="Q2754" s="1" t="s">
        <v>569</v>
      </c>
      <c r="R2754" s="93">
        <v>139013.6</v>
      </c>
      <c r="S2754">
        <v>65197.38</v>
      </c>
      <c r="T2754">
        <v>0</v>
      </c>
      <c r="U2754" s="1" t="s">
        <v>1062</v>
      </c>
      <c r="V2754" s="1" t="s">
        <v>1322</v>
      </c>
      <c r="W2754">
        <v>139013.63808</v>
      </c>
      <c r="X2754">
        <v>0</v>
      </c>
      <c r="Y2754">
        <v>89186</v>
      </c>
    </row>
    <row r="2755" spans="1:25" ht="15" hidden="1" customHeight="1" x14ac:dyDescent="0.25">
      <c r="A2755" s="1" t="s">
        <v>36</v>
      </c>
      <c r="B2755" s="1" t="s">
        <v>78</v>
      </c>
      <c r="C2755" s="1" t="s">
        <v>186</v>
      </c>
      <c r="D2755">
        <v>13266</v>
      </c>
      <c r="E2755" s="1" t="s">
        <v>243</v>
      </c>
      <c r="F2755" s="1" t="s">
        <v>316</v>
      </c>
      <c r="G2755" s="1" t="s">
        <v>186</v>
      </c>
      <c r="H2755" s="1" t="s">
        <v>1405</v>
      </c>
      <c r="I2755">
        <v>2011</v>
      </c>
      <c r="J2755" s="93">
        <v>12583.73</v>
      </c>
      <c r="K2755">
        <v>1</v>
      </c>
      <c r="L2755" s="1"/>
      <c r="M2755">
        <v>0</v>
      </c>
      <c r="N2755">
        <v>1357</v>
      </c>
      <c r="O2755">
        <v>9.2725139999999993</v>
      </c>
      <c r="P2755">
        <v>2</v>
      </c>
      <c r="Q2755" s="1" t="s">
        <v>569</v>
      </c>
      <c r="R2755" s="93">
        <v>12583.73</v>
      </c>
      <c r="S2755">
        <v>5901.77</v>
      </c>
      <c r="T2755">
        <v>0</v>
      </c>
      <c r="U2755" s="1" t="s">
        <v>1062</v>
      </c>
      <c r="V2755" s="1"/>
      <c r="W2755">
        <v>12583.73</v>
      </c>
      <c r="X2755">
        <v>0</v>
      </c>
      <c r="Y2755">
        <v>93520</v>
      </c>
    </row>
    <row r="2756" spans="1:25" ht="15" hidden="1" customHeight="1" x14ac:dyDescent="0.25">
      <c r="A2756" s="1" t="s">
        <v>36</v>
      </c>
      <c r="B2756" s="1" t="s">
        <v>78</v>
      </c>
      <c r="C2756" s="1" t="s">
        <v>186</v>
      </c>
      <c r="D2756">
        <v>13266</v>
      </c>
      <c r="E2756" s="1" t="s">
        <v>243</v>
      </c>
      <c r="F2756" s="1" t="s">
        <v>316</v>
      </c>
      <c r="G2756" s="1" t="s">
        <v>186</v>
      </c>
      <c r="H2756" s="1" t="s">
        <v>1405</v>
      </c>
      <c r="I2756">
        <v>2010</v>
      </c>
      <c r="J2756" s="93">
        <v>158033.66</v>
      </c>
      <c r="K2756">
        <v>1</v>
      </c>
      <c r="L2756" s="1" t="s">
        <v>457</v>
      </c>
      <c r="M2756">
        <v>0</v>
      </c>
      <c r="N2756">
        <v>1357</v>
      </c>
      <c r="O2756">
        <v>116.449532</v>
      </c>
      <c r="P2756">
        <v>2</v>
      </c>
      <c r="Q2756" s="1" t="s">
        <v>569</v>
      </c>
      <c r="R2756" s="93">
        <v>158033.66</v>
      </c>
      <c r="S2756">
        <v>74117.78</v>
      </c>
      <c r="T2756">
        <v>0</v>
      </c>
      <c r="U2756" s="1" t="s">
        <v>1062</v>
      </c>
      <c r="V2756" s="1" t="s">
        <v>1322</v>
      </c>
      <c r="W2756">
        <v>158033.67363</v>
      </c>
      <c r="X2756">
        <v>0</v>
      </c>
      <c r="Y2756">
        <v>89186</v>
      </c>
    </row>
    <row r="2757" spans="1:25" ht="15" hidden="1" customHeight="1" x14ac:dyDescent="0.25">
      <c r="A2757" s="1" t="s">
        <v>36</v>
      </c>
      <c r="B2757" s="1" t="s">
        <v>78</v>
      </c>
      <c r="C2757" s="1" t="s">
        <v>186</v>
      </c>
      <c r="D2757">
        <v>13266</v>
      </c>
      <c r="E2757" s="1" t="s">
        <v>243</v>
      </c>
      <c r="F2757" s="1" t="s">
        <v>316</v>
      </c>
      <c r="G2757" s="1" t="s">
        <v>186</v>
      </c>
      <c r="H2757" s="1" t="s">
        <v>1405</v>
      </c>
      <c r="I2757">
        <v>2009</v>
      </c>
      <c r="J2757" s="93">
        <v>151931.51</v>
      </c>
      <c r="K2757">
        <v>1</v>
      </c>
      <c r="L2757" s="1" t="s">
        <v>457</v>
      </c>
      <c r="M2757">
        <v>0</v>
      </c>
      <c r="N2757">
        <v>1357</v>
      </c>
      <c r="O2757">
        <v>111.953069</v>
      </c>
      <c r="P2757">
        <v>2</v>
      </c>
      <c r="Q2757" s="1" t="s">
        <v>569</v>
      </c>
      <c r="R2757" s="93">
        <v>151931.51</v>
      </c>
      <c r="S2757">
        <v>71255.89</v>
      </c>
      <c r="T2757">
        <v>0</v>
      </c>
      <c r="U2757" s="1" t="s">
        <v>1062</v>
      </c>
      <c r="V2757" s="1" t="s">
        <v>1322</v>
      </c>
      <c r="W2757">
        <v>151931.53448999999</v>
      </c>
      <c r="X2757">
        <v>0</v>
      </c>
      <c r="Y2757">
        <v>89186</v>
      </c>
    </row>
    <row r="2758" spans="1:25" ht="15" hidden="1" customHeight="1" x14ac:dyDescent="0.25">
      <c r="A2758" s="1" t="s">
        <v>36</v>
      </c>
      <c r="B2758" s="1" t="s">
        <v>78</v>
      </c>
      <c r="C2758" s="1" t="s">
        <v>186</v>
      </c>
      <c r="D2758">
        <v>13266</v>
      </c>
      <c r="E2758" s="1" t="s">
        <v>243</v>
      </c>
      <c r="F2758" s="1" t="s">
        <v>316</v>
      </c>
      <c r="G2758" s="1" t="s">
        <v>186</v>
      </c>
      <c r="H2758" s="1" t="s">
        <v>1405</v>
      </c>
      <c r="I2758">
        <v>2008</v>
      </c>
      <c r="J2758" s="93">
        <v>146941.92000000001</v>
      </c>
      <c r="K2758">
        <v>0</v>
      </c>
      <c r="L2758" s="1" t="s">
        <v>457</v>
      </c>
      <c r="M2758">
        <v>0</v>
      </c>
      <c r="N2758">
        <v>1357</v>
      </c>
      <c r="O2758">
        <v>108.27641199999999</v>
      </c>
      <c r="P2758">
        <v>2</v>
      </c>
      <c r="Q2758" s="1" t="s">
        <v>569</v>
      </c>
      <c r="R2758" s="93">
        <v>146941.92000000001</v>
      </c>
      <c r="S2758">
        <v>68915.77</v>
      </c>
      <c r="T2758">
        <v>0</v>
      </c>
      <c r="U2758" s="1" t="s">
        <v>1062</v>
      </c>
      <c r="V2758" s="1" t="s">
        <v>1322</v>
      </c>
      <c r="W2758">
        <v>146941.96158</v>
      </c>
      <c r="X2758">
        <v>0</v>
      </c>
      <c r="Y2758">
        <v>89186</v>
      </c>
    </row>
    <row r="2759" spans="1:25" ht="15" hidden="1" customHeight="1" x14ac:dyDescent="0.25">
      <c r="A2759" s="1" t="s">
        <v>36</v>
      </c>
      <c r="B2759" s="1"/>
      <c r="C2759" s="1" t="s">
        <v>187</v>
      </c>
      <c r="D2759">
        <v>10323</v>
      </c>
      <c r="E2759" s="1"/>
      <c r="F2759" s="1" t="s">
        <v>187</v>
      </c>
      <c r="G2759" s="1" t="s">
        <v>187</v>
      </c>
      <c r="H2759" s="1" t="s">
        <v>1405</v>
      </c>
      <c r="I2759">
        <v>2010</v>
      </c>
      <c r="J2759" s="93">
        <v>99969.58</v>
      </c>
      <c r="K2759">
        <v>12</v>
      </c>
      <c r="L2759" s="1" t="s">
        <v>538</v>
      </c>
      <c r="M2759">
        <v>0</v>
      </c>
      <c r="N2759">
        <v>2114</v>
      </c>
      <c r="O2759">
        <v>47.287063000000003</v>
      </c>
      <c r="P2759">
        <v>2</v>
      </c>
      <c r="Q2759" s="1" t="s">
        <v>569</v>
      </c>
      <c r="R2759" s="93">
        <v>99969.58</v>
      </c>
      <c r="S2759">
        <v>46885.74</v>
      </c>
      <c r="T2759">
        <v>0</v>
      </c>
      <c r="U2759" s="1" t="s">
        <v>1063</v>
      </c>
      <c r="V2759" s="1" t="s">
        <v>1323</v>
      </c>
      <c r="W2759">
        <v>99969.591310000003</v>
      </c>
      <c r="X2759">
        <v>0</v>
      </c>
      <c r="Y2759">
        <v>84599</v>
      </c>
    </row>
    <row r="2760" spans="1:25" ht="15" hidden="1" customHeight="1" x14ac:dyDescent="0.25">
      <c r="A2760" s="1" t="s">
        <v>36</v>
      </c>
      <c r="B2760" s="1"/>
      <c r="C2760" s="1" t="s">
        <v>187</v>
      </c>
      <c r="D2760">
        <v>10323</v>
      </c>
      <c r="E2760" s="1"/>
      <c r="F2760" s="1" t="s">
        <v>187</v>
      </c>
      <c r="G2760" s="1" t="s">
        <v>187</v>
      </c>
      <c r="H2760" s="1" t="s">
        <v>1405</v>
      </c>
      <c r="I2760">
        <v>2009</v>
      </c>
      <c r="J2760" s="93">
        <v>1877.8</v>
      </c>
      <c r="K2760">
        <v>7</v>
      </c>
      <c r="L2760" s="1" t="s">
        <v>405</v>
      </c>
      <c r="M2760">
        <v>0</v>
      </c>
      <c r="N2760">
        <v>2114</v>
      </c>
      <c r="O2760">
        <v>0.88822599999999996</v>
      </c>
      <c r="P2760">
        <v>3</v>
      </c>
      <c r="Q2760" s="1" t="s">
        <v>560</v>
      </c>
      <c r="R2760" s="93">
        <v>1877.8</v>
      </c>
      <c r="S2760">
        <v>1502.24</v>
      </c>
      <c r="T2760">
        <v>0</v>
      </c>
      <c r="U2760" s="1" t="s">
        <v>668</v>
      </c>
      <c r="V2760" s="1"/>
      <c r="W2760">
        <v>1877.8005499999999</v>
      </c>
      <c r="X2760">
        <v>0</v>
      </c>
      <c r="Y2760">
        <v>77830</v>
      </c>
    </row>
    <row r="2761" spans="1:25" ht="15" hidden="1" customHeight="1" x14ac:dyDescent="0.25">
      <c r="A2761" s="1" t="s">
        <v>36</v>
      </c>
      <c r="B2761" s="1"/>
      <c r="C2761" s="1" t="s">
        <v>187</v>
      </c>
      <c r="D2761">
        <v>10323</v>
      </c>
      <c r="E2761" s="1"/>
      <c r="F2761" s="1" t="s">
        <v>187</v>
      </c>
      <c r="G2761" s="1" t="s">
        <v>187</v>
      </c>
      <c r="H2761" s="1" t="s">
        <v>1405</v>
      </c>
      <c r="I2761">
        <v>2009</v>
      </c>
      <c r="J2761" s="93">
        <v>283348.93</v>
      </c>
      <c r="K2761">
        <v>7</v>
      </c>
      <c r="L2761" s="1" t="s">
        <v>482</v>
      </c>
      <c r="M2761">
        <v>0</v>
      </c>
      <c r="N2761">
        <v>2114</v>
      </c>
      <c r="O2761">
        <v>134.02815799999999</v>
      </c>
      <c r="P2761">
        <v>1</v>
      </c>
      <c r="Q2761" s="1" t="s">
        <v>564</v>
      </c>
      <c r="R2761" s="93">
        <v>380042.69</v>
      </c>
      <c r="S2761">
        <v>80371.990000000005</v>
      </c>
      <c r="T2761">
        <v>0</v>
      </c>
      <c r="U2761" s="1" t="s">
        <v>845</v>
      </c>
      <c r="V2761" s="1" t="s">
        <v>1218</v>
      </c>
      <c r="W2761">
        <v>26236.011129999999</v>
      </c>
      <c r="X2761">
        <v>0</v>
      </c>
      <c r="Y2761">
        <v>77831</v>
      </c>
    </row>
    <row r="2762" spans="1:25" ht="15" hidden="1" customHeight="1" x14ac:dyDescent="0.25">
      <c r="A2762" s="1" t="s">
        <v>36</v>
      </c>
      <c r="B2762" s="1"/>
      <c r="C2762" s="1" t="s">
        <v>187</v>
      </c>
      <c r="D2762">
        <v>10323</v>
      </c>
      <c r="E2762" s="1"/>
      <c r="F2762" s="1" t="s">
        <v>187</v>
      </c>
      <c r="G2762" s="1" t="s">
        <v>187</v>
      </c>
      <c r="H2762" s="1" t="s">
        <v>1405</v>
      </c>
      <c r="I2762">
        <v>2009</v>
      </c>
      <c r="J2762" s="93">
        <v>82447.22</v>
      </c>
      <c r="K2762">
        <v>8</v>
      </c>
      <c r="L2762" s="1" t="s">
        <v>539</v>
      </c>
      <c r="M2762">
        <v>0</v>
      </c>
      <c r="N2762">
        <v>2114</v>
      </c>
      <c r="O2762">
        <v>38.998731999999997</v>
      </c>
      <c r="P2762">
        <v>2</v>
      </c>
      <c r="Q2762" s="1" t="s">
        <v>569</v>
      </c>
      <c r="R2762" s="93">
        <v>82447.22</v>
      </c>
      <c r="S2762">
        <v>38667.74</v>
      </c>
      <c r="T2762">
        <v>0</v>
      </c>
      <c r="U2762" s="1" t="s">
        <v>1064</v>
      </c>
      <c r="V2762" s="1"/>
      <c r="W2762">
        <v>82447.222229999999</v>
      </c>
      <c r="X2762">
        <v>0</v>
      </c>
      <c r="Y2762">
        <v>77829</v>
      </c>
    </row>
    <row r="2763" spans="1:25" ht="15" hidden="1" customHeight="1" x14ac:dyDescent="0.25">
      <c r="A2763" s="1" t="s">
        <v>36</v>
      </c>
      <c r="B2763" s="1"/>
      <c r="C2763" s="1" t="s">
        <v>187</v>
      </c>
      <c r="D2763">
        <v>10323</v>
      </c>
      <c r="E2763" s="1"/>
      <c r="F2763" s="1" t="s">
        <v>187</v>
      </c>
      <c r="G2763" s="1" t="s">
        <v>187</v>
      </c>
      <c r="H2763" s="1" t="s">
        <v>1405</v>
      </c>
      <c r="I2763">
        <v>2009</v>
      </c>
      <c r="J2763" s="93">
        <v>7666.93</v>
      </c>
      <c r="K2763">
        <v>1</v>
      </c>
      <c r="L2763" s="1" t="s">
        <v>538</v>
      </c>
      <c r="M2763">
        <v>0</v>
      </c>
      <c r="N2763">
        <v>2114</v>
      </c>
      <c r="O2763">
        <v>3.6265689999999999</v>
      </c>
      <c r="P2763">
        <v>2</v>
      </c>
      <c r="Q2763" s="1" t="s">
        <v>569</v>
      </c>
      <c r="R2763" s="93">
        <v>7666.93</v>
      </c>
      <c r="S2763">
        <v>3595.8</v>
      </c>
      <c r="T2763">
        <v>0</v>
      </c>
      <c r="U2763" s="1" t="s">
        <v>1063</v>
      </c>
      <c r="V2763" s="1" t="s">
        <v>1323</v>
      </c>
      <c r="W2763">
        <v>7666.9306900000001</v>
      </c>
      <c r="X2763">
        <v>0</v>
      </c>
      <c r="Y2763">
        <v>84599</v>
      </c>
    </row>
    <row r="2764" spans="1:25" ht="15" hidden="1" customHeight="1" x14ac:dyDescent="0.25">
      <c r="A2764" s="1" t="s">
        <v>36</v>
      </c>
      <c r="B2764" s="1"/>
      <c r="C2764" s="1" t="s">
        <v>187</v>
      </c>
      <c r="D2764">
        <v>10323</v>
      </c>
      <c r="E2764" s="1"/>
      <c r="F2764" s="1" t="s">
        <v>187</v>
      </c>
      <c r="G2764" s="1" t="s">
        <v>187</v>
      </c>
      <c r="H2764" s="1" t="s">
        <v>1405</v>
      </c>
      <c r="I2764">
        <v>2008</v>
      </c>
      <c r="J2764" s="93">
        <v>1318.19</v>
      </c>
      <c r="K2764">
        <v>14</v>
      </c>
      <c r="L2764" s="1" t="s">
        <v>405</v>
      </c>
      <c r="M2764">
        <v>0</v>
      </c>
      <c r="N2764">
        <v>2114</v>
      </c>
      <c r="O2764">
        <v>0.62352300000000005</v>
      </c>
      <c r="P2764">
        <v>3</v>
      </c>
      <c r="Q2764" s="1" t="s">
        <v>560</v>
      </c>
      <c r="R2764" s="93">
        <v>1318.19</v>
      </c>
      <c r="S2764">
        <v>1054.53</v>
      </c>
      <c r="T2764">
        <v>0</v>
      </c>
      <c r="U2764" s="1" t="s">
        <v>668</v>
      </c>
      <c r="V2764" s="1"/>
      <c r="W2764">
        <v>1318.18281</v>
      </c>
      <c r="X2764">
        <v>0</v>
      </c>
      <c r="Y2764">
        <v>77830</v>
      </c>
    </row>
    <row r="2765" spans="1:25" ht="15" hidden="1" customHeight="1" x14ac:dyDescent="0.25">
      <c r="A2765" s="1" t="s">
        <v>36</v>
      </c>
      <c r="B2765" s="1"/>
      <c r="C2765" s="1" t="s">
        <v>187</v>
      </c>
      <c r="D2765">
        <v>10323</v>
      </c>
      <c r="E2765" s="1"/>
      <c r="F2765" s="1" t="s">
        <v>187</v>
      </c>
      <c r="G2765" s="1" t="s">
        <v>187</v>
      </c>
      <c r="H2765" s="1" t="s">
        <v>1405</v>
      </c>
      <c r="I2765">
        <v>2008</v>
      </c>
      <c r="J2765" s="93">
        <v>266704.56</v>
      </c>
      <c r="K2765">
        <v>12</v>
      </c>
      <c r="L2765" s="1" t="s">
        <v>482</v>
      </c>
      <c r="M2765">
        <v>0</v>
      </c>
      <c r="N2765">
        <v>2114</v>
      </c>
      <c r="O2765">
        <v>126.155129</v>
      </c>
      <c r="P2765">
        <v>1</v>
      </c>
      <c r="Q2765" s="1" t="s">
        <v>564</v>
      </c>
      <c r="R2765" s="93">
        <v>297984.33</v>
      </c>
      <c r="S2765">
        <v>63018.15</v>
      </c>
      <c r="T2765">
        <v>0</v>
      </c>
      <c r="U2765" s="1" t="s">
        <v>845</v>
      </c>
      <c r="V2765" s="1" t="s">
        <v>1218</v>
      </c>
      <c r="W2765">
        <v>24694.86738</v>
      </c>
      <c r="X2765">
        <v>0</v>
      </c>
      <c r="Y2765">
        <v>77831</v>
      </c>
    </row>
    <row r="2766" spans="1:25" ht="15" hidden="1" customHeight="1" x14ac:dyDescent="0.25">
      <c r="A2766" s="1" t="s">
        <v>36</v>
      </c>
      <c r="B2766" s="1"/>
      <c r="C2766" s="1" t="s">
        <v>187</v>
      </c>
      <c r="D2766">
        <v>10323</v>
      </c>
      <c r="E2766" s="1"/>
      <c r="F2766" s="1" t="s">
        <v>187</v>
      </c>
      <c r="G2766" s="1" t="s">
        <v>187</v>
      </c>
      <c r="H2766" s="1" t="s">
        <v>1405</v>
      </c>
      <c r="I2766">
        <v>2008</v>
      </c>
      <c r="J2766" s="93">
        <v>114924.07</v>
      </c>
      <c r="K2766">
        <v>12</v>
      </c>
      <c r="L2766" s="1" t="s">
        <v>539</v>
      </c>
      <c r="M2766">
        <v>0</v>
      </c>
      <c r="N2766">
        <v>2114</v>
      </c>
      <c r="O2766">
        <v>54.360753000000003</v>
      </c>
      <c r="P2766">
        <v>2</v>
      </c>
      <c r="Q2766" s="1" t="s">
        <v>569</v>
      </c>
      <c r="R2766" s="93">
        <v>114924.07</v>
      </c>
      <c r="S2766">
        <v>53899.38</v>
      </c>
      <c r="T2766">
        <v>0</v>
      </c>
      <c r="U2766" s="1" t="s">
        <v>1064</v>
      </c>
      <c r="V2766" s="1"/>
      <c r="W2766">
        <v>114924.0681</v>
      </c>
      <c r="X2766">
        <v>0</v>
      </c>
      <c r="Y2766">
        <v>77829</v>
      </c>
    </row>
    <row r="2767" spans="1:25" ht="15" hidden="1" customHeight="1" x14ac:dyDescent="0.25">
      <c r="A2767" s="1" t="s">
        <v>36</v>
      </c>
      <c r="B2767" s="1"/>
      <c r="C2767" s="1" t="s">
        <v>189</v>
      </c>
      <c r="D2767">
        <v>10149</v>
      </c>
      <c r="E2767" s="1"/>
      <c r="F2767" s="1" t="s">
        <v>382</v>
      </c>
      <c r="G2767" s="1" t="s">
        <v>1482</v>
      </c>
      <c r="H2767" s="1" t="s">
        <v>1405</v>
      </c>
      <c r="I2767">
        <v>2015</v>
      </c>
      <c r="J2767" s="93">
        <v>1157</v>
      </c>
      <c r="K2767">
        <v>2</v>
      </c>
      <c r="L2767" s="1"/>
      <c r="M2767">
        <v>0</v>
      </c>
      <c r="N2767">
        <v>0</v>
      </c>
      <c r="P2767">
        <v>2</v>
      </c>
      <c r="Q2767" s="1" t="s">
        <v>569</v>
      </c>
      <c r="T2767">
        <v>0</v>
      </c>
      <c r="U2767" s="1"/>
      <c r="V2767" s="1"/>
      <c r="X2767">
        <v>0</v>
      </c>
      <c r="Y2767">
        <v>77092</v>
      </c>
    </row>
    <row r="2768" spans="1:25" ht="15" hidden="1" customHeight="1" x14ac:dyDescent="0.25">
      <c r="A2768" s="1" t="s">
        <v>36</v>
      </c>
      <c r="B2768" s="1"/>
      <c r="C2768" s="1" t="s">
        <v>189</v>
      </c>
      <c r="D2768">
        <v>9951</v>
      </c>
      <c r="E2768" s="1"/>
      <c r="F2768" s="1" t="s">
        <v>381</v>
      </c>
      <c r="G2768" s="1" t="s">
        <v>1482</v>
      </c>
      <c r="H2768" s="1" t="s">
        <v>1405</v>
      </c>
      <c r="I2768">
        <v>2012</v>
      </c>
      <c r="J2768" s="93">
        <v>4167.2299999999996</v>
      </c>
      <c r="K2768">
        <v>5</v>
      </c>
      <c r="L2768" s="1" t="s">
        <v>414</v>
      </c>
      <c r="M2768">
        <v>0</v>
      </c>
      <c r="N2768">
        <v>0</v>
      </c>
      <c r="O2768">
        <v>41672.300000000003</v>
      </c>
      <c r="P2768">
        <v>2</v>
      </c>
      <c r="Q2768" s="1" t="s">
        <v>569</v>
      </c>
      <c r="R2768" s="93">
        <v>4167.2299999999996</v>
      </c>
      <c r="S2768">
        <v>1666.89</v>
      </c>
      <c r="T2768">
        <v>0</v>
      </c>
      <c r="U2768" s="1" t="s">
        <v>1066</v>
      </c>
      <c r="V2768" s="1" t="s">
        <v>1325</v>
      </c>
      <c r="W2768">
        <v>4167.2211600000001</v>
      </c>
      <c r="X2768">
        <v>0</v>
      </c>
      <c r="Y2768">
        <v>76303</v>
      </c>
    </row>
    <row r="2769" spans="1:25" ht="15" hidden="1" customHeight="1" x14ac:dyDescent="0.25">
      <c r="A2769" s="1" t="s">
        <v>36</v>
      </c>
      <c r="B2769" s="1"/>
      <c r="C2769" s="1" t="s">
        <v>189</v>
      </c>
      <c r="D2769">
        <v>9951</v>
      </c>
      <c r="E2769" s="1"/>
      <c r="F2769" s="1" t="s">
        <v>381</v>
      </c>
      <c r="G2769" s="1" t="s">
        <v>1482</v>
      </c>
      <c r="H2769" s="1" t="s">
        <v>1405</v>
      </c>
      <c r="I2769">
        <v>2011</v>
      </c>
      <c r="J2769" s="93">
        <v>4095.25</v>
      </c>
      <c r="K2769">
        <v>4</v>
      </c>
      <c r="L2769" s="1" t="s">
        <v>414</v>
      </c>
      <c r="M2769">
        <v>0</v>
      </c>
      <c r="N2769">
        <v>0</v>
      </c>
      <c r="O2769">
        <v>40952.5</v>
      </c>
      <c r="P2769">
        <v>2</v>
      </c>
      <c r="Q2769" s="1" t="s">
        <v>569</v>
      </c>
      <c r="R2769" s="93">
        <v>4095.25</v>
      </c>
      <c r="S2769">
        <v>1920.68</v>
      </c>
      <c r="T2769">
        <v>0</v>
      </c>
      <c r="U2769" s="1" t="s">
        <v>1066</v>
      </c>
      <c r="V2769" s="1" t="s">
        <v>1325</v>
      </c>
      <c r="W2769">
        <v>4095.2352999999998</v>
      </c>
      <c r="X2769">
        <v>0</v>
      </c>
      <c r="Y2769">
        <v>76303</v>
      </c>
    </row>
    <row r="2770" spans="1:25" ht="15" hidden="1" customHeight="1" x14ac:dyDescent="0.25">
      <c r="A2770" s="1" t="s">
        <v>36</v>
      </c>
      <c r="B2770" s="1"/>
      <c r="C2770" s="1" t="s">
        <v>189</v>
      </c>
      <c r="D2770">
        <v>9951</v>
      </c>
      <c r="E2770" s="1"/>
      <c r="F2770" s="1" t="s">
        <v>381</v>
      </c>
      <c r="G2770" s="1" t="s">
        <v>1482</v>
      </c>
      <c r="H2770" s="1" t="s">
        <v>1405</v>
      </c>
      <c r="I2770">
        <v>2010</v>
      </c>
      <c r="J2770" s="93">
        <v>3534.62</v>
      </c>
      <c r="K2770">
        <v>4</v>
      </c>
      <c r="L2770" s="1" t="s">
        <v>414</v>
      </c>
      <c r="M2770">
        <v>0</v>
      </c>
      <c r="N2770">
        <v>0</v>
      </c>
      <c r="O2770">
        <v>35346.199999999997</v>
      </c>
      <c r="P2770">
        <v>2</v>
      </c>
      <c r="Q2770" s="1" t="s">
        <v>569</v>
      </c>
      <c r="R2770" s="93">
        <v>3534.62</v>
      </c>
      <c r="S2770">
        <v>1657.75</v>
      </c>
      <c r="T2770">
        <v>0</v>
      </c>
      <c r="U2770" s="1" t="s">
        <v>1066</v>
      </c>
      <c r="V2770" s="1" t="s">
        <v>1325</v>
      </c>
      <c r="W2770">
        <v>3534.6261399999999</v>
      </c>
      <c r="X2770">
        <v>0</v>
      </c>
      <c r="Y2770">
        <v>76303</v>
      </c>
    </row>
    <row r="2771" spans="1:25" ht="15" hidden="1" customHeight="1" x14ac:dyDescent="0.25">
      <c r="A2771" s="1" t="s">
        <v>36</v>
      </c>
      <c r="B2771" s="1"/>
      <c r="C2771" s="1" t="s">
        <v>189</v>
      </c>
      <c r="D2771">
        <v>9951</v>
      </c>
      <c r="E2771" s="1"/>
      <c r="F2771" s="1" t="s">
        <v>381</v>
      </c>
      <c r="G2771" s="1" t="s">
        <v>1482</v>
      </c>
      <c r="H2771" s="1" t="s">
        <v>1405</v>
      </c>
      <c r="I2771">
        <v>2009</v>
      </c>
      <c r="J2771" s="93">
        <v>3401.52</v>
      </c>
      <c r="K2771">
        <v>7</v>
      </c>
      <c r="L2771" s="1" t="s">
        <v>414</v>
      </c>
      <c r="M2771">
        <v>0</v>
      </c>
      <c r="N2771">
        <v>0</v>
      </c>
      <c r="O2771">
        <v>34015.199999999997</v>
      </c>
      <c r="P2771">
        <v>2</v>
      </c>
      <c r="Q2771" s="1" t="s">
        <v>569</v>
      </c>
      <c r="R2771" s="93">
        <v>3401.52</v>
      </c>
      <c r="S2771">
        <v>1595.32</v>
      </c>
      <c r="T2771">
        <v>0</v>
      </c>
      <c r="U2771" s="1" t="s">
        <v>1066</v>
      </c>
      <c r="V2771" s="1" t="s">
        <v>1325</v>
      </c>
      <c r="W2771">
        <v>3401.5307200000002</v>
      </c>
      <c r="X2771">
        <v>0</v>
      </c>
      <c r="Y2771">
        <v>76303</v>
      </c>
    </row>
    <row r="2772" spans="1:25" ht="15" hidden="1" customHeight="1" x14ac:dyDescent="0.25">
      <c r="A2772" s="1" t="s">
        <v>36</v>
      </c>
      <c r="B2772" s="1"/>
      <c r="C2772" s="1" t="s">
        <v>189</v>
      </c>
      <c r="D2772">
        <v>9951</v>
      </c>
      <c r="E2772" s="1"/>
      <c r="F2772" s="1" t="s">
        <v>381</v>
      </c>
      <c r="G2772" s="1" t="s">
        <v>1482</v>
      </c>
      <c r="H2772" s="1" t="s">
        <v>1405</v>
      </c>
      <c r="I2772">
        <v>2008</v>
      </c>
      <c r="J2772" s="93">
        <v>3328.23</v>
      </c>
      <c r="K2772">
        <v>9</v>
      </c>
      <c r="L2772" s="1" t="s">
        <v>414</v>
      </c>
      <c r="M2772">
        <v>0</v>
      </c>
      <c r="N2772">
        <v>0</v>
      </c>
      <c r="O2772">
        <v>33282.300000000003</v>
      </c>
      <c r="P2772">
        <v>2</v>
      </c>
      <c r="Q2772" s="1" t="s">
        <v>569</v>
      </c>
      <c r="R2772" s="93">
        <v>3328.23</v>
      </c>
      <c r="S2772">
        <v>1560.94</v>
      </c>
      <c r="T2772">
        <v>0</v>
      </c>
      <c r="U2772" s="1" t="s">
        <v>1066</v>
      </c>
      <c r="V2772" s="1" t="s">
        <v>1325</v>
      </c>
      <c r="W2772">
        <v>3328.21506</v>
      </c>
      <c r="X2772">
        <v>0</v>
      </c>
      <c r="Y2772">
        <v>76303</v>
      </c>
    </row>
    <row r="2773" spans="1:25" ht="15" hidden="1" customHeight="1" x14ac:dyDescent="0.25">
      <c r="A2773" s="1" t="s">
        <v>36</v>
      </c>
      <c r="B2773" s="1"/>
      <c r="C2773" s="1" t="s">
        <v>189</v>
      </c>
      <c r="D2773">
        <v>14012</v>
      </c>
      <c r="E2773" s="1" t="s">
        <v>243</v>
      </c>
      <c r="F2773" s="1" t="s">
        <v>383</v>
      </c>
      <c r="G2773" s="1" t="s">
        <v>1482</v>
      </c>
      <c r="H2773" s="1" t="s">
        <v>1405</v>
      </c>
      <c r="I2773">
        <v>2015</v>
      </c>
      <c r="J2773" s="93">
        <v>0</v>
      </c>
      <c r="K2773">
        <v>2</v>
      </c>
      <c r="L2773" s="1"/>
      <c r="M2773">
        <v>0</v>
      </c>
      <c r="N2773">
        <v>73</v>
      </c>
      <c r="P2773">
        <v>2</v>
      </c>
      <c r="Q2773" s="1" t="s">
        <v>569</v>
      </c>
      <c r="T2773">
        <v>0</v>
      </c>
      <c r="U2773" s="1" t="s">
        <v>1068</v>
      </c>
      <c r="V2773" s="1" t="s">
        <v>1327</v>
      </c>
      <c r="X2773">
        <v>0</v>
      </c>
      <c r="Y2773">
        <v>93107</v>
      </c>
    </row>
    <row r="2774" spans="1:25" ht="15" hidden="1" customHeight="1" x14ac:dyDescent="0.25">
      <c r="A2774" s="1" t="s">
        <v>36</v>
      </c>
      <c r="B2774" s="1"/>
      <c r="C2774" s="1" t="s">
        <v>189</v>
      </c>
      <c r="D2774">
        <v>9520</v>
      </c>
      <c r="E2774" s="1"/>
      <c r="F2774" s="1" t="s">
        <v>318</v>
      </c>
      <c r="G2774" s="1" t="s">
        <v>1482</v>
      </c>
      <c r="H2774" s="1" t="s">
        <v>1405</v>
      </c>
      <c r="I2774">
        <v>2012</v>
      </c>
      <c r="J2774" s="93">
        <v>83634.899999999994</v>
      </c>
      <c r="K2774">
        <v>12</v>
      </c>
      <c r="L2774" s="1"/>
      <c r="M2774">
        <v>0</v>
      </c>
      <c r="N2774">
        <v>1935</v>
      </c>
      <c r="O2774">
        <v>43.219935999999997</v>
      </c>
      <c r="P2774">
        <v>2</v>
      </c>
      <c r="Q2774" s="1" t="s">
        <v>569</v>
      </c>
      <c r="R2774" s="93">
        <v>83634.899999999994</v>
      </c>
      <c r="S2774">
        <v>33453.96</v>
      </c>
      <c r="T2774">
        <v>0</v>
      </c>
      <c r="U2774" s="1" t="s">
        <v>1067</v>
      </c>
      <c r="V2774" s="1" t="s">
        <v>1326</v>
      </c>
      <c r="W2774">
        <v>83634.906000000003</v>
      </c>
      <c r="X2774">
        <v>0</v>
      </c>
      <c r="Y2774">
        <v>74434</v>
      </c>
    </row>
    <row r="2775" spans="1:25" ht="15" hidden="1" customHeight="1" x14ac:dyDescent="0.25">
      <c r="A2775" s="1" t="s">
        <v>36</v>
      </c>
      <c r="B2775" s="1"/>
      <c r="C2775" s="1" t="s">
        <v>189</v>
      </c>
      <c r="D2775">
        <v>9520</v>
      </c>
      <c r="E2775" s="1"/>
      <c r="F2775" s="1" t="s">
        <v>318</v>
      </c>
      <c r="G2775" s="1" t="s">
        <v>1482</v>
      </c>
      <c r="H2775" s="1" t="s">
        <v>1405</v>
      </c>
      <c r="I2775">
        <v>2011</v>
      </c>
      <c r="J2775" s="93">
        <v>77189.97</v>
      </c>
      <c r="K2775">
        <v>12</v>
      </c>
      <c r="L2775" s="1"/>
      <c r="M2775">
        <v>0</v>
      </c>
      <c r="N2775">
        <v>1935</v>
      </c>
      <c r="O2775">
        <v>39.889395</v>
      </c>
      <c r="P2775">
        <v>2</v>
      </c>
      <c r="Q2775" s="1" t="s">
        <v>569</v>
      </c>
      <c r="R2775" s="93">
        <v>77189.97</v>
      </c>
      <c r="S2775">
        <v>36202.080000000002</v>
      </c>
      <c r="T2775">
        <v>0</v>
      </c>
      <c r="U2775" s="1" t="s">
        <v>1067</v>
      </c>
      <c r="V2775" s="1" t="s">
        <v>1326</v>
      </c>
      <c r="W2775">
        <v>77189.964000000007</v>
      </c>
      <c r="X2775">
        <v>0</v>
      </c>
      <c r="Y2775">
        <v>74434</v>
      </c>
    </row>
    <row r="2776" spans="1:25" ht="15" hidden="1" customHeight="1" x14ac:dyDescent="0.25">
      <c r="A2776" s="1" t="s">
        <v>36</v>
      </c>
      <c r="B2776" s="1"/>
      <c r="C2776" s="1" t="s">
        <v>189</v>
      </c>
      <c r="D2776">
        <v>9520</v>
      </c>
      <c r="E2776" s="1"/>
      <c r="F2776" s="1" t="s">
        <v>318</v>
      </c>
      <c r="G2776" s="1" t="s">
        <v>1482</v>
      </c>
      <c r="H2776" s="1" t="s">
        <v>1405</v>
      </c>
      <c r="I2776">
        <v>2010</v>
      </c>
      <c r="J2776" s="93">
        <v>84537.99</v>
      </c>
      <c r="K2776">
        <v>12</v>
      </c>
      <c r="L2776" s="1"/>
      <c r="M2776">
        <v>0</v>
      </c>
      <c r="N2776">
        <v>1935</v>
      </c>
      <c r="O2776">
        <v>43.686625999999997</v>
      </c>
      <c r="P2776">
        <v>2</v>
      </c>
      <c r="Q2776" s="1" t="s">
        <v>569</v>
      </c>
      <c r="R2776" s="93">
        <v>84537.99</v>
      </c>
      <c r="S2776">
        <v>39648.32</v>
      </c>
      <c r="T2776">
        <v>0</v>
      </c>
      <c r="U2776" s="1" t="s">
        <v>1067</v>
      </c>
      <c r="V2776" s="1" t="s">
        <v>1326</v>
      </c>
      <c r="W2776">
        <v>84537.983999999997</v>
      </c>
      <c r="X2776">
        <v>0</v>
      </c>
      <c r="Y2776">
        <v>74434</v>
      </c>
    </row>
    <row r="2777" spans="1:25" ht="15" hidden="1" customHeight="1" x14ac:dyDescent="0.25">
      <c r="A2777" s="1" t="s">
        <v>36</v>
      </c>
      <c r="B2777" s="1"/>
      <c r="C2777" s="1" t="s">
        <v>189</v>
      </c>
      <c r="D2777">
        <v>9520</v>
      </c>
      <c r="E2777" s="1"/>
      <c r="F2777" s="1" t="s">
        <v>318</v>
      </c>
      <c r="G2777" s="1" t="s">
        <v>1482</v>
      </c>
      <c r="H2777" s="1" t="s">
        <v>1405</v>
      </c>
      <c r="I2777">
        <v>2009</v>
      </c>
      <c r="J2777" s="93">
        <v>84442.43</v>
      </c>
      <c r="K2777">
        <v>12</v>
      </c>
      <c r="L2777" s="1"/>
      <c r="M2777">
        <v>0</v>
      </c>
      <c r="N2777">
        <v>1935</v>
      </c>
      <c r="O2777">
        <v>43.637242999999998</v>
      </c>
      <c r="P2777">
        <v>2</v>
      </c>
      <c r="Q2777" s="1" t="s">
        <v>569</v>
      </c>
      <c r="R2777" s="93">
        <v>84442.43</v>
      </c>
      <c r="S2777">
        <v>39603.5</v>
      </c>
      <c r="T2777">
        <v>0</v>
      </c>
      <c r="U2777" s="1" t="s">
        <v>1067</v>
      </c>
      <c r="V2777" s="1" t="s">
        <v>1326</v>
      </c>
      <c r="W2777">
        <v>84442.422000000006</v>
      </c>
      <c r="X2777">
        <v>0</v>
      </c>
      <c r="Y2777">
        <v>74434</v>
      </c>
    </row>
    <row r="2778" spans="1:25" ht="15" hidden="1" customHeight="1" x14ac:dyDescent="0.25">
      <c r="A2778" s="1" t="s">
        <v>36</v>
      </c>
      <c r="B2778" s="1"/>
      <c r="C2778" s="1" t="s">
        <v>189</v>
      </c>
      <c r="D2778">
        <v>9520</v>
      </c>
      <c r="E2778" s="1"/>
      <c r="F2778" s="1" t="s">
        <v>318</v>
      </c>
      <c r="G2778" s="1" t="s">
        <v>1482</v>
      </c>
      <c r="H2778" s="1" t="s">
        <v>1405</v>
      </c>
      <c r="I2778">
        <v>2008</v>
      </c>
      <c r="J2778" s="93">
        <v>90784.09</v>
      </c>
      <c r="K2778">
        <v>12</v>
      </c>
      <c r="L2778" s="1"/>
      <c r="M2778">
        <v>0</v>
      </c>
      <c r="N2778">
        <v>1935</v>
      </c>
      <c r="O2778">
        <v>46.914417</v>
      </c>
      <c r="P2778">
        <v>2</v>
      </c>
      <c r="Q2778" s="1" t="s">
        <v>569</v>
      </c>
      <c r="R2778" s="93">
        <v>90784.09</v>
      </c>
      <c r="S2778">
        <v>42577.74</v>
      </c>
      <c r="T2778">
        <v>0</v>
      </c>
      <c r="U2778" s="1" t="s">
        <v>1067</v>
      </c>
      <c r="V2778" s="1" t="s">
        <v>1326</v>
      </c>
      <c r="W2778">
        <v>90784.092000000004</v>
      </c>
      <c r="X2778">
        <v>0</v>
      </c>
      <c r="Y2778">
        <v>74434</v>
      </c>
    </row>
    <row r="2779" spans="1:25" ht="15" hidden="1" customHeight="1" x14ac:dyDescent="0.25">
      <c r="A2779" s="1" t="s">
        <v>36</v>
      </c>
      <c r="B2779" s="1"/>
      <c r="C2779" s="1" t="s">
        <v>189</v>
      </c>
      <c r="D2779">
        <v>9951</v>
      </c>
      <c r="E2779" s="1"/>
      <c r="F2779" s="1" t="s">
        <v>381</v>
      </c>
      <c r="G2779" s="1" t="s">
        <v>1482</v>
      </c>
      <c r="H2779" s="1" t="s">
        <v>1405</v>
      </c>
      <c r="I2779">
        <v>2015</v>
      </c>
      <c r="J2779" s="93">
        <v>3745</v>
      </c>
      <c r="K2779">
        <v>3</v>
      </c>
      <c r="L2779" s="1"/>
      <c r="M2779">
        <v>0</v>
      </c>
      <c r="N2779">
        <v>0</v>
      </c>
      <c r="O2779">
        <v>0</v>
      </c>
      <c r="P2779">
        <v>2</v>
      </c>
      <c r="Q2779" s="1" t="s">
        <v>569</v>
      </c>
      <c r="R2779" s="93">
        <v>0</v>
      </c>
      <c r="S2779">
        <v>0</v>
      </c>
      <c r="T2779">
        <v>0</v>
      </c>
      <c r="U2779" s="1" t="s">
        <v>1066</v>
      </c>
      <c r="V2779" s="1" t="s">
        <v>1325</v>
      </c>
      <c r="W2779">
        <v>0</v>
      </c>
      <c r="X2779">
        <v>0</v>
      </c>
      <c r="Y2779">
        <v>76303</v>
      </c>
    </row>
    <row r="2780" spans="1:25" ht="15" hidden="1" customHeight="1" x14ac:dyDescent="0.25">
      <c r="A2780" s="1" t="s">
        <v>36</v>
      </c>
      <c r="B2780" s="1"/>
      <c r="C2780" s="1" t="s">
        <v>189</v>
      </c>
      <c r="D2780">
        <v>10149</v>
      </c>
      <c r="E2780" s="1"/>
      <c r="F2780" s="1" t="s">
        <v>382</v>
      </c>
      <c r="G2780" s="1" t="s">
        <v>1482</v>
      </c>
      <c r="H2780" s="1" t="s">
        <v>1405</v>
      </c>
      <c r="I2780">
        <v>2012</v>
      </c>
      <c r="J2780" s="93">
        <v>1258.6600000000001</v>
      </c>
      <c r="K2780">
        <v>5</v>
      </c>
      <c r="L2780" s="1" t="s">
        <v>542</v>
      </c>
      <c r="M2780">
        <v>0</v>
      </c>
      <c r="N2780">
        <v>0</v>
      </c>
      <c r="O2780">
        <v>12586.6</v>
      </c>
      <c r="P2780">
        <v>2</v>
      </c>
      <c r="Q2780" s="1" t="s">
        <v>569</v>
      </c>
      <c r="R2780" s="93">
        <v>1258.6600000000001</v>
      </c>
      <c r="S2780">
        <v>503.47</v>
      </c>
      <c r="T2780">
        <v>0</v>
      </c>
      <c r="U2780" s="1"/>
      <c r="V2780" s="1"/>
      <c r="W2780">
        <v>1258.65428</v>
      </c>
      <c r="X2780">
        <v>0</v>
      </c>
      <c r="Y2780">
        <v>77092</v>
      </c>
    </row>
    <row r="2781" spans="1:25" ht="15" hidden="1" customHeight="1" x14ac:dyDescent="0.25">
      <c r="A2781" s="1" t="s">
        <v>36</v>
      </c>
      <c r="B2781" s="1"/>
      <c r="C2781" s="1" t="s">
        <v>189</v>
      </c>
      <c r="D2781">
        <v>10149</v>
      </c>
      <c r="E2781" s="1"/>
      <c r="F2781" s="1" t="s">
        <v>382</v>
      </c>
      <c r="G2781" s="1" t="s">
        <v>1482</v>
      </c>
      <c r="H2781" s="1" t="s">
        <v>1405</v>
      </c>
      <c r="I2781">
        <v>2011</v>
      </c>
      <c r="J2781" s="93">
        <v>1394.38</v>
      </c>
      <c r="K2781">
        <v>4</v>
      </c>
      <c r="L2781" s="1" t="s">
        <v>542</v>
      </c>
      <c r="M2781">
        <v>0</v>
      </c>
      <c r="N2781">
        <v>0</v>
      </c>
      <c r="O2781">
        <v>13943.8</v>
      </c>
      <c r="P2781">
        <v>2</v>
      </c>
      <c r="Q2781" s="1" t="s">
        <v>569</v>
      </c>
      <c r="R2781" s="93">
        <v>1394.38</v>
      </c>
      <c r="S2781">
        <v>653.97</v>
      </c>
      <c r="T2781">
        <v>0</v>
      </c>
      <c r="U2781" s="1"/>
      <c r="V2781" s="1"/>
      <c r="W2781">
        <v>1394.3725300000001</v>
      </c>
      <c r="X2781">
        <v>0</v>
      </c>
      <c r="Y2781">
        <v>77092</v>
      </c>
    </row>
    <row r="2782" spans="1:25" ht="15" hidden="1" customHeight="1" x14ac:dyDescent="0.25">
      <c r="A2782" s="1" t="s">
        <v>36</v>
      </c>
      <c r="B2782" s="1"/>
      <c r="C2782" s="1" t="s">
        <v>189</v>
      </c>
      <c r="D2782">
        <v>10149</v>
      </c>
      <c r="E2782" s="1"/>
      <c r="F2782" s="1" t="s">
        <v>382</v>
      </c>
      <c r="G2782" s="1" t="s">
        <v>1482</v>
      </c>
      <c r="H2782" s="1" t="s">
        <v>1405</v>
      </c>
      <c r="I2782">
        <v>2010</v>
      </c>
      <c r="J2782" s="93">
        <v>1477.35</v>
      </c>
      <c r="K2782">
        <v>4</v>
      </c>
      <c r="L2782" s="1" t="s">
        <v>542</v>
      </c>
      <c r="M2782">
        <v>0</v>
      </c>
      <c r="N2782">
        <v>0</v>
      </c>
      <c r="O2782">
        <v>14773.5</v>
      </c>
      <c r="P2782">
        <v>2</v>
      </c>
      <c r="Q2782" s="1" t="s">
        <v>569</v>
      </c>
      <c r="R2782" s="93">
        <v>1477.35</v>
      </c>
      <c r="S2782">
        <v>692.87</v>
      </c>
      <c r="T2782">
        <v>0</v>
      </c>
      <c r="U2782" s="1"/>
      <c r="V2782" s="1"/>
      <c r="W2782">
        <v>1477.3410699999999</v>
      </c>
      <c r="X2782">
        <v>0</v>
      </c>
      <c r="Y2782">
        <v>77092</v>
      </c>
    </row>
    <row r="2783" spans="1:25" ht="15" hidden="1" customHeight="1" x14ac:dyDescent="0.25">
      <c r="A2783" s="1" t="s">
        <v>36</v>
      </c>
      <c r="B2783" s="1"/>
      <c r="C2783" s="1" t="s">
        <v>189</v>
      </c>
      <c r="D2783">
        <v>10149</v>
      </c>
      <c r="E2783" s="1"/>
      <c r="F2783" s="1" t="s">
        <v>382</v>
      </c>
      <c r="G2783" s="1" t="s">
        <v>1482</v>
      </c>
      <c r="H2783" s="1" t="s">
        <v>1405</v>
      </c>
      <c r="I2783">
        <v>2009</v>
      </c>
      <c r="J2783" s="93">
        <v>1439.16</v>
      </c>
      <c r="K2783">
        <v>7</v>
      </c>
      <c r="L2783" s="1" t="s">
        <v>542</v>
      </c>
      <c r="M2783">
        <v>0</v>
      </c>
      <c r="N2783">
        <v>0</v>
      </c>
      <c r="O2783">
        <v>14391.6</v>
      </c>
      <c r="P2783">
        <v>2</v>
      </c>
      <c r="Q2783" s="1" t="s">
        <v>569</v>
      </c>
      <c r="R2783" s="93">
        <v>1439.16</v>
      </c>
      <c r="S2783">
        <v>674.98</v>
      </c>
      <c r="T2783">
        <v>0</v>
      </c>
      <c r="U2783" s="1"/>
      <c r="V2783" s="1"/>
      <c r="W2783">
        <v>1439.14913</v>
      </c>
      <c r="X2783">
        <v>0</v>
      </c>
      <c r="Y2783">
        <v>77092</v>
      </c>
    </row>
    <row r="2784" spans="1:25" ht="15" hidden="1" customHeight="1" x14ac:dyDescent="0.25">
      <c r="A2784" s="1" t="s">
        <v>36</v>
      </c>
      <c r="B2784" s="1"/>
      <c r="C2784" s="1" t="s">
        <v>189</v>
      </c>
      <c r="D2784">
        <v>10149</v>
      </c>
      <c r="E2784" s="1"/>
      <c r="F2784" s="1" t="s">
        <v>382</v>
      </c>
      <c r="G2784" s="1" t="s">
        <v>1482</v>
      </c>
      <c r="H2784" s="1" t="s">
        <v>1405</v>
      </c>
      <c r="I2784">
        <v>2008</v>
      </c>
      <c r="J2784" s="93">
        <v>1130.1300000000001</v>
      </c>
      <c r="K2784">
        <v>9</v>
      </c>
      <c r="L2784" s="1" t="s">
        <v>542</v>
      </c>
      <c r="M2784">
        <v>0</v>
      </c>
      <c r="N2784">
        <v>0</v>
      </c>
      <c r="O2784">
        <v>11301.3</v>
      </c>
      <c r="P2784">
        <v>2</v>
      </c>
      <c r="Q2784" s="1" t="s">
        <v>569</v>
      </c>
      <c r="R2784" s="93">
        <v>1130.1300000000001</v>
      </c>
      <c r="S2784">
        <v>530.03</v>
      </c>
      <c r="T2784">
        <v>0</v>
      </c>
      <c r="U2784" s="1"/>
      <c r="V2784" s="1"/>
      <c r="W2784">
        <v>1130.1182799999999</v>
      </c>
      <c r="X2784">
        <v>0</v>
      </c>
      <c r="Y2784">
        <v>77092</v>
      </c>
    </row>
    <row r="2785" spans="1:25" ht="15" hidden="1" customHeight="1" x14ac:dyDescent="0.25">
      <c r="A2785" s="1" t="s">
        <v>36</v>
      </c>
      <c r="B2785" s="1"/>
      <c r="C2785" s="1" t="s">
        <v>189</v>
      </c>
      <c r="D2785">
        <v>9520</v>
      </c>
      <c r="E2785" s="1"/>
      <c r="F2785" s="1" t="s">
        <v>318</v>
      </c>
      <c r="G2785" s="1" t="s">
        <v>1482</v>
      </c>
      <c r="H2785" s="1" t="s">
        <v>1405</v>
      </c>
      <c r="I2785">
        <v>2015</v>
      </c>
      <c r="J2785" s="93">
        <v>69031</v>
      </c>
      <c r="K2785">
        <v>12</v>
      </c>
      <c r="L2785" s="1"/>
      <c r="M2785">
        <v>0</v>
      </c>
      <c r="N2785">
        <v>1935</v>
      </c>
      <c r="P2785">
        <v>2</v>
      </c>
      <c r="Q2785" s="1" t="s">
        <v>569</v>
      </c>
      <c r="T2785">
        <v>0</v>
      </c>
      <c r="U2785" s="1" t="s">
        <v>1067</v>
      </c>
      <c r="V2785" s="1" t="s">
        <v>1326</v>
      </c>
      <c r="X2785">
        <v>0</v>
      </c>
      <c r="Y2785">
        <v>74434</v>
      </c>
    </row>
    <row r="2786" spans="1:25" ht="15" hidden="1" customHeight="1" x14ac:dyDescent="0.25">
      <c r="A2786" s="1" t="s">
        <v>36</v>
      </c>
      <c r="B2786" s="1"/>
      <c r="C2786" s="1" t="s">
        <v>189</v>
      </c>
      <c r="D2786">
        <v>14012</v>
      </c>
      <c r="E2786" s="1" t="s">
        <v>243</v>
      </c>
      <c r="F2786" s="1" t="s">
        <v>383</v>
      </c>
      <c r="G2786" s="1" t="s">
        <v>1482</v>
      </c>
      <c r="H2786" s="1" t="s">
        <v>1405</v>
      </c>
      <c r="I2786">
        <v>2012</v>
      </c>
      <c r="J2786" s="93">
        <v>861.73</v>
      </c>
      <c r="K2786">
        <v>2</v>
      </c>
      <c r="L2786" s="1" t="s">
        <v>542</v>
      </c>
      <c r="M2786">
        <v>0</v>
      </c>
      <c r="N2786">
        <v>73</v>
      </c>
      <c r="O2786">
        <v>11.788372000000001</v>
      </c>
      <c r="P2786">
        <v>2</v>
      </c>
      <c r="Q2786" s="1" t="s">
        <v>569</v>
      </c>
      <c r="R2786" s="93">
        <v>861.73</v>
      </c>
      <c r="S2786">
        <v>344.68</v>
      </c>
      <c r="T2786">
        <v>0</v>
      </c>
      <c r="U2786" s="1" t="s">
        <v>1068</v>
      </c>
      <c r="V2786" s="1" t="s">
        <v>1327</v>
      </c>
      <c r="W2786">
        <v>861.70024000000001</v>
      </c>
      <c r="X2786">
        <v>0</v>
      </c>
      <c r="Y2786">
        <v>93107</v>
      </c>
    </row>
    <row r="2787" spans="1:25" ht="15" hidden="1" customHeight="1" x14ac:dyDescent="0.25">
      <c r="A2787" s="1" t="s">
        <v>36</v>
      </c>
      <c r="B2787" s="1"/>
      <c r="C2787" s="1" t="s">
        <v>189</v>
      </c>
      <c r="D2787">
        <v>14012</v>
      </c>
      <c r="E2787" s="1" t="s">
        <v>243</v>
      </c>
      <c r="F2787" s="1" t="s">
        <v>383</v>
      </c>
      <c r="G2787" s="1" t="s">
        <v>1482</v>
      </c>
      <c r="H2787" s="1" t="s">
        <v>1405</v>
      </c>
      <c r="I2787">
        <v>2011</v>
      </c>
      <c r="J2787" s="93">
        <v>877.86</v>
      </c>
      <c r="K2787">
        <v>0</v>
      </c>
      <c r="L2787" s="1" t="s">
        <v>542</v>
      </c>
      <c r="M2787">
        <v>0</v>
      </c>
      <c r="N2787">
        <v>73</v>
      </c>
      <c r="O2787">
        <v>12.009028000000001</v>
      </c>
      <c r="P2787">
        <v>2</v>
      </c>
      <c r="Q2787" s="1" t="s">
        <v>569</v>
      </c>
      <c r="R2787" s="93">
        <v>877.86</v>
      </c>
      <c r="S2787">
        <v>411.73</v>
      </c>
      <c r="T2787">
        <v>0</v>
      </c>
      <c r="U2787" s="1" t="s">
        <v>1068</v>
      </c>
      <c r="V2787" s="1" t="s">
        <v>1327</v>
      </c>
      <c r="W2787">
        <v>877.82983999999999</v>
      </c>
      <c r="X2787">
        <v>0</v>
      </c>
      <c r="Y2787">
        <v>93107</v>
      </c>
    </row>
    <row r="2788" spans="1:25" ht="15" hidden="1" customHeight="1" x14ac:dyDescent="0.25">
      <c r="A2788" s="1" t="s">
        <v>36</v>
      </c>
      <c r="B2788" s="1"/>
      <c r="C2788" s="1" t="s">
        <v>189</v>
      </c>
      <c r="D2788">
        <v>14012</v>
      </c>
      <c r="E2788" s="1" t="s">
        <v>243</v>
      </c>
      <c r="F2788" s="1" t="s">
        <v>383</v>
      </c>
      <c r="G2788" s="1" t="s">
        <v>1482</v>
      </c>
      <c r="H2788" s="1" t="s">
        <v>1405</v>
      </c>
      <c r="I2788">
        <v>2010</v>
      </c>
      <c r="J2788" s="93">
        <v>1393.39</v>
      </c>
      <c r="K2788">
        <v>1</v>
      </c>
      <c r="L2788" s="1" t="s">
        <v>542</v>
      </c>
      <c r="M2788">
        <v>0</v>
      </c>
      <c r="N2788">
        <v>73</v>
      </c>
      <c r="O2788">
        <v>19.061422</v>
      </c>
      <c r="P2788">
        <v>2</v>
      </c>
      <c r="Q2788" s="1" t="s">
        <v>569</v>
      </c>
      <c r="R2788" s="93">
        <v>1393.39</v>
      </c>
      <c r="S2788">
        <v>653.54</v>
      </c>
      <c r="T2788">
        <v>0</v>
      </c>
      <c r="U2788" s="1" t="s">
        <v>1068</v>
      </c>
      <c r="V2788" s="1" t="s">
        <v>1327</v>
      </c>
      <c r="W2788">
        <v>1393.3958600000001</v>
      </c>
      <c r="X2788">
        <v>0</v>
      </c>
      <c r="Y2788">
        <v>93107</v>
      </c>
    </row>
    <row r="2789" spans="1:25" ht="15" hidden="1" customHeight="1" x14ac:dyDescent="0.25">
      <c r="A2789" s="1" t="s">
        <v>36</v>
      </c>
      <c r="B2789" s="1"/>
      <c r="C2789" s="1" t="s">
        <v>189</v>
      </c>
      <c r="D2789">
        <v>14012</v>
      </c>
      <c r="E2789" s="1" t="s">
        <v>243</v>
      </c>
      <c r="F2789" s="1" t="s">
        <v>383</v>
      </c>
      <c r="G2789" s="1" t="s">
        <v>1482</v>
      </c>
      <c r="H2789" s="1" t="s">
        <v>1405</v>
      </c>
      <c r="I2789">
        <v>2009</v>
      </c>
      <c r="J2789" s="93">
        <v>1197.0899999999999</v>
      </c>
      <c r="K2789">
        <v>1</v>
      </c>
      <c r="L2789" s="1" t="s">
        <v>542</v>
      </c>
      <c r="M2789">
        <v>0</v>
      </c>
      <c r="N2789">
        <v>73</v>
      </c>
      <c r="O2789">
        <v>16.376059999999999</v>
      </c>
      <c r="P2789">
        <v>2</v>
      </c>
      <c r="Q2789" s="1" t="s">
        <v>569</v>
      </c>
      <c r="R2789" s="93">
        <v>1197.0899999999999</v>
      </c>
      <c r="S2789">
        <v>561.48</v>
      </c>
      <c r="T2789">
        <v>0</v>
      </c>
      <c r="U2789" s="1" t="s">
        <v>1068</v>
      </c>
      <c r="V2789" s="1" t="s">
        <v>1327</v>
      </c>
      <c r="W2789">
        <v>1197.12706</v>
      </c>
      <c r="X2789">
        <v>0</v>
      </c>
      <c r="Y2789">
        <v>93107</v>
      </c>
    </row>
    <row r="2790" spans="1:25" ht="15" hidden="1" customHeight="1" x14ac:dyDescent="0.25">
      <c r="A2790" s="1" t="s">
        <v>36</v>
      </c>
      <c r="B2790" s="1"/>
      <c r="C2790" s="1" t="s">
        <v>189</v>
      </c>
      <c r="D2790">
        <v>14012</v>
      </c>
      <c r="E2790" s="1" t="s">
        <v>243</v>
      </c>
      <c r="F2790" s="1" t="s">
        <v>383</v>
      </c>
      <c r="G2790" s="1" t="s">
        <v>1482</v>
      </c>
      <c r="H2790" s="1" t="s">
        <v>1405</v>
      </c>
      <c r="I2790">
        <v>2008</v>
      </c>
      <c r="J2790" s="93">
        <v>1061.4000000000001</v>
      </c>
      <c r="K2790">
        <v>0</v>
      </c>
      <c r="L2790" s="1" t="s">
        <v>542</v>
      </c>
      <c r="M2790">
        <v>0</v>
      </c>
      <c r="N2790">
        <v>73</v>
      </c>
      <c r="O2790">
        <v>14.519835</v>
      </c>
      <c r="P2790">
        <v>2</v>
      </c>
      <c r="Q2790" s="1" t="s">
        <v>569</v>
      </c>
      <c r="R2790" s="93">
        <v>1061.4000000000001</v>
      </c>
      <c r="S2790">
        <v>497.83</v>
      </c>
      <c r="T2790">
        <v>0</v>
      </c>
      <c r="U2790" s="1" t="s">
        <v>1068</v>
      </c>
      <c r="V2790" s="1" t="s">
        <v>1327</v>
      </c>
      <c r="W2790">
        <v>1061.4500499999999</v>
      </c>
      <c r="X2790">
        <v>0</v>
      </c>
      <c r="Y2790">
        <v>93107</v>
      </c>
    </row>
    <row r="2791" spans="1:25" ht="15" hidden="1" customHeight="1" x14ac:dyDescent="0.25">
      <c r="A2791" s="1" t="s">
        <v>36</v>
      </c>
      <c r="B2791" s="1" t="s">
        <v>78</v>
      </c>
      <c r="C2791" s="1" t="s">
        <v>186</v>
      </c>
      <c r="D2791">
        <v>13266</v>
      </c>
      <c r="E2791" s="1" t="s">
        <v>243</v>
      </c>
      <c r="F2791" s="1" t="s">
        <v>316</v>
      </c>
      <c r="G2791" s="1" t="s">
        <v>186</v>
      </c>
      <c r="H2791" s="1" t="s">
        <v>1405</v>
      </c>
      <c r="I2791">
        <v>2015</v>
      </c>
      <c r="J2791" s="93">
        <v>152847</v>
      </c>
      <c r="K2791">
        <v>5</v>
      </c>
      <c r="L2791" s="1"/>
      <c r="M2791">
        <v>0</v>
      </c>
      <c r="N2791">
        <v>1357</v>
      </c>
      <c r="O2791">
        <v>41.803882999999999</v>
      </c>
      <c r="P2791">
        <v>2</v>
      </c>
      <c r="Q2791" s="1" t="s">
        <v>569</v>
      </c>
      <c r="R2791" s="93">
        <v>56732.05</v>
      </c>
      <c r="S2791">
        <v>17019.61</v>
      </c>
      <c r="T2791">
        <v>0</v>
      </c>
      <c r="U2791" s="1" t="s">
        <v>1062</v>
      </c>
      <c r="V2791" s="1"/>
      <c r="W2791">
        <v>56732.05</v>
      </c>
      <c r="X2791">
        <v>0</v>
      </c>
      <c r="Y2791">
        <v>93520</v>
      </c>
    </row>
    <row r="2792" spans="1:25" ht="15" hidden="1" customHeight="1" x14ac:dyDescent="0.25">
      <c r="A2792" s="1" t="s">
        <v>36</v>
      </c>
      <c r="B2792" s="1" t="s">
        <v>80</v>
      </c>
      <c r="C2792" s="1" t="s">
        <v>190</v>
      </c>
      <c r="D2792">
        <v>13297</v>
      </c>
      <c r="E2792" s="1" t="s">
        <v>244</v>
      </c>
      <c r="F2792" s="1" t="s">
        <v>190</v>
      </c>
      <c r="G2792" s="1" t="s">
        <v>190</v>
      </c>
      <c r="H2792" s="1" t="s">
        <v>1405</v>
      </c>
      <c r="I2792">
        <v>2015</v>
      </c>
      <c r="J2792" s="93">
        <v>60926</v>
      </c>
      <c r="K2792">
        <v>5</v>
      </c>
      <c r="L2792" s="1"/>
      <c r="M2792">
        <v>0</v>
      </c>
      <c r="N2792">
        <v>1571</v>
      </c>
      <c r="O2792">
        <v>15.167379</v>
      </c>
      <c r="P2792">
        <v>2</v>
      </c>
      <c r="Q2792" s="1" t="s">
        <v>569</v>
      </c>
      <c r="R2792" s="93">
        <v>23829.47</v>
      </c>
      <c r="S2792">
        <v>7148.85</v>
      </c>
      <c r="T2792">
        <v>0</v>
      </c>
      <c r="U2792" s="1" t="s">
        <v>1069</v>
      </c>
      <c r="V2792" s="1"/>
      <c r="W2792">
        <v>23829.474999999999</v>
      </c>
      <c r="X2792">
        <v>0</v>
      </c>
      <c r="Y2792">
        <v>90963</v>
      </c>
    </row>
    <row r="2793" spans="1:25" ht="15" hidden="1" customHeight="1" x14ac:dyDescent="0.25">
      <c r="A2793" s="1" t="s">
        <v>36</v>
      </c>
      <c r="B2793" s="1" t="s">
        <v>80</v>
      </c>
      <c r="C2793" s="1" t="s">
        <v>190</v>
      </c>
      <c r="D2793">
        <v>13297</v>
      </c>
      <c r="E2793" s="1" t="s">
        <v>244</v>
      </c>
      <c r="F2793" s="1" t="s">
        <v>190</v>
      </c>
      <c r="G2793" s="1" t="s">
        <v>190</v>
      </c>
      <c r="H2793" s="1" t="s">
        <v>1405</v>
      </c>
      <c r="I2793">
        <v>2012</v>
      </c>
      <c r="J2793" s="93">
        <v>59058.559999999998</v>
      </c>
      <c r="K2793">
        <v>12</v>
      </c>
      <c r="L2793" s="1"/>
      <c r="M2793">
        <v>0</v>
      </c>
      <c r="N2793">
        <v>1571</v>
      </c>
      <c r="O2793">
        <v>37.590578999999998</v>
      </c>
      <c r="P2793">
        <v>2</v>
      </c>
      <c r="Q2793" s="1" t="s">
        <v>569</v>
      </c>
      <c r="R2793" s="93">
        <v>59058.559999999998</v>
      </c>
      <c r="S2793">
        <v>23623.439999999999</v>
      </c>
      <c r="T2793">
        <v>0</v>
      </c>
      <c r="U2793" s="1" t="s">
        <v>1069</v>
      </c>
      <c r="V2793" s="1"/>
      <c r="W2793">
        <v>59058.55</v>
      </c>
      <c r="X2793">
        <v>0</v>
      </c>
      <c r="Y2793">
        <v>90963</v>
      </c>
    </row>
    <row r="2794" spans="1:25" ht="15" hidden="1" customHeight="1" x14ac:dyDescent="0.25">
      <c r="A2794" s="1" t="s">
        <v>36</v>
      </c>
      <c r="B2794" s="1" t="s">
        <v>80</v>
      </c>
      <c r="C2794" s="1" t="s">
        <v>190</v>
      </c>
      <c r="D2794">
        <v>13297</v>
      </c>
      <c r="E2794" s="1" t="s">
        <v>244</v>
      </c>
      <c r="F2794" s="1" t="s">
        <v>190</v>
      </c>
      <c r="G2794" s="1" t="s">
        <v>190</v>
      </c>
      <c r="H2794" s="1" t="s">
        <v>1405</v>
      </c>
      <c r="I2794">
        <v>2011</v>
      </c>
      <c r="J2794" s="93">
        <v>4822.1499999999996</v>
      </c>
      <c r="K2794">
        <v>1</v>
      </c>
      <c r="L2794" s="1"/>
      <c r="M2794">
        <v>0</v>
      </c>
      <c r="N2794">
        <v>1571</v>
      </c>
      <c r="O2794">
        <v>3.0692819999999998</v>
      </c>
      <c r="P2794">
        <v>2</v>
      </c>
      <c r="Q2794" s="1" t="s">
        <v>569</v>
      </c>
      <c r="R2794" s="93">
        <v>4822.1499999999996</v>
      </c>
      <c r="S2794">
        <v>2261.59</v>
      </c>
      <c r="T2794">
        <v>0</v>
      </c>
      <c r="U2794" s="1" t="s">
        <v>1069</v>
      </c>
      <c r="V2794" s="1"/>
      <c r="W2794">
        <v>4822.1499999999996</v>
      </c>
      <c r="X2794">
        <v>0</v>
      </c>
      <c r="Y2794">
        <v>90963</v>
      </c>
    </row>
    <row r="2795" spans="1:25" ht="15" hidden="1" customHeight="1" x14ac:dyDescent="0.25">
      <c r="A2795" s="1" t="s">
        <v>36</v>
      </c>
      <c r="B2795" s="1" t="s">
        <v>80</v>
      </c>
      <c r="C2795" s="1" t="s">
        <v>190</v>
      </c>
      <c r="D2795">
        <v>13297</v>
      </c>
      <c r="E2795" s="1" t="s">
        <v>244</v>
      </c>
      <c r="F2795" s="1" t="s">
        <v>190</v>
      </c>
      <c r="G2795" s="1" t="s">
        <v>190</v>
      </c>
      <c r="H2795" s="1" t="s">
        <v>1405</v>
      </c>
      <c r="I2795">
        <v>2011</v>
      </c>
      <c r="J2795" s="93">
        <v>60087.73</v>
      </c>
      <c r="K2795">
        <v>3</v>
      </c>
      <c r="L2795" s="1" t="s">
        <v>426</v>
      </c>
      <c r="M2795">
        <v>0</v>
      </c>
      <c r="N2795">
        <v>1571</v>
      </c>
      <c r="O2795">
        <v>38.245643000000001</v>
      </c>
      <c r="P2795">
        <v>2</v>
      </c>
      <c r="Q2795" s="1" t="s">
        <v>569</v>
      </c>
      <c r="R2795" s="93">
        <v>60087.73</v>
      </c>
      <c r="S2795">
        <v>28181.13</v>
      </c>
      <c r="T2795">
        <v>0</v>
      </c>
      <c r="U2795" s="1" t="s">
        <v>1070</v>
      </c>
      <c r="V2795" s="1"/>
      <c r="W2795">
        <v>60087.709069999997</v>
      </c>
      <c r="X2795">
        <v>0</v>
      </c>
      <c r="Y2795">
        <v>89294</v>
      </c>
    </row>
    <row r="2796" spans="1:25" ht="15" hidden="1" customHeight="1" x14ac:dyDescent="0.25">
      <c r="A2796" s="1" t="s">
        <v>36</v>
      </c>
      <c r="B2796" s="1" t="s">
        <v>80</v>
      </c>
      <c r="C2796" s="1" t="s">
        <v>190</v>
      </c>
      <c r="D2796">
        <v>13297</v>
      </c>
      <c r="E2796" s="1" t="s">
        <v>244</v>
      </c>
      <c r="F2796" s="1" t="s">
        <v>190</v>
      </c>
      <c r="G2796" s="1" t="s">
        <v>190</v>
      </c>
      <c r="H2796" s="1" t="s">
        <v>1405</v>
      </c>
      <c r="I2796">
        <v>2010</v>
      </c>
      <c r="J2796" s="93">
        <v>69238.320000000007</v>
      </c>
      <c r="K2796">
        <v>1</v>
      </c>
      <c r="L2796" s="1" t="s">
        <v>426</v>
      </c>
      <c r="M2796">
        <v>0</v>
      </c>
      <c r="N2796">
        <v>1571</v>
      </c>
      <c r="O2796">
        <v>44.069963000000001</v>
      </c>
      <c r="P2796">
        <v>2</v>
      </c>
      <c r="Q2796" s="1" t="s">
        <v>569</v>
      </c>
      <c r="R2796" s="93">
        <v>69238.320000000007</v>
      </c>
      <c r="S2796">
        <v>32472.77</v>
      </c>
      <c r="T2796">
        <v>0</v>
      </c>
      <c r="U2796" s="1" t="s">
        <v>1070</v>
      </c>
      <c r="V2796" s="1"/>
      <c r="W2796">
        <v>69238.324789999999</v>
      </c>
      <c r="X2796">
        <v>0</v>
      </c>
      <c r="Y2796">
        <v>89294</v>
      </c>
    </row>
    <row r="2797" spans="1:25" ht="15" hidden="1" customHeight="1" x14ac:dyDescent="0.25">
      <c r="A2797" s="1" t="s">
        <v>36</v>
      </c>
      <c r="B2797" s="1" t="s">
        <v>80</v>
      </c>
      <c r="C2797" s="1" t="s">
        <v>190</v>
      </c>
      <c r="D2797">
        <v>13297</v>
      </c>
      <c r="E2797" s="1" t="s">
        <v>244</v>
      </c>
      <c r="F2797" s="1" t="s">
        <v>190</v>
      </c>
      <c r="G2797" s="1" t="s">
        <v>190</v>
      </c>
      <c r="H2797" s="1" t="s">
        <v>1405</v>
      </c>
      <c r="I2797">
        <v>2009</v>
      </c>
      <c r="J2797" s="93">
        <v>72149.25</v>
      </c>
      <c r="K2797">
        <v>2</v>
      </c>
      <c r="L2797" s="1" t="s">
        <v>426</v>
      </c>
      <c r="M2797">
        <v>0</v>
      </c>
      <c r="N2797">
        <v>1571</v>
      </c>
      <c r="O2797">
        <v>45.922761000000001</v>
      </c>
      <c r="P2797">
        <v>2</v>
      </c>
      <c r="Q2797" s="1" t="s">
        <v>569</v>
      </c>
      <c r="R2797" s="93">
        <v>72149.25</v>
      </c>
      <c r="S2797">
        <v>33838.04</v>
      </c>
      <c r="T2797">
        <v>0</v>
      </c>
      <c r="U2797" s="1" t="s">
        <v>1070</v>
      </c>
      <c r="V2797" s="1"/>
      <c r="W2797">
        <v>72149.25765</v>
      </c>
      <c r="X2797">
        <v>0</v>
      </c>
      <c r="Y2797">
        <v>89294</v>
      </c>
    </row>
    <row r="2798" spans="1:25" ht="15" hidden="1" customHeight="1" x14ac:dyDescent="0.25">
      <c r="A2798" s="1" t="s">
        <v>36</v>
      </c>
      <c r="B2798" s="1" t="s">
        <v>80</v>
      </c>
      <c r="C2798" s="1" t="s">
        <v>190</v>
      </c>
      <c r="D2798">
        <v>13297</v>
      </c>
      <c r="E2798" s="1" t="s">
        <v>244</v>
      </c>
      <c r="F2798" s="1" t="s">
        <v>190</v>
      </c>
      <c r="G2798" s="1" t="s">
        <v>190</v>
      </c>
      <c r="H2798" s="1" t="s">
        <v>1405</v>
      </c>
      <c r="I2798">
        <v>2008</v>
      </c>
      <c r="J2798" s="93">
        <v>74970.539999999994</v>
      </c>
      <c r="K2798">
        <v>1</v>
      </c>
      <c r="L2798" s="1" t="s">
        <v>426</v>
      </c>
      <c r="M2798">
        <v>0</v>
      </c>
      <c r="N2798">
        <v>1571</v>
      </c>
      <c r="O2798">
        <v>47.718502000000001</v>
      </c>
      <c r="P2798">
        <v>2</v>
      </c>
      <c r="Q2798" s="1" t="s">
        <v>569</v>
      </c>
      <c r="R2798" s="93">
        <v>74970.539999999994</v>
      </c>
      <c r="S2798">
        <v>35161.22</v>
      </c>
      <c r="T2798">
        <v>0</v>
      </c>
      <c r="U2798" s="1" t="s">
        <v>1070</v>
      </c>
      <c r="V2798" s="1"/>
      <c r="W2798">
        <v>74970.547460000002</v>
      </c>
      <c r="X2798">
        <v>0</v>
      </c>
      <c r="Y2798">
        <v>89294</v>
      </c>
    </row>
    <row r="2799" spans="1:25" ht="15" hidden="1" customHeight="1" x14ac:dyDescent="0.25">
      <c r="A2799" s="1" t="s">
        <v>36</v>
      </c>
      <c r="B2799" s="1" t="s">
        <v>77</v>
      </c>
      <c r="C2799" s="1" t="s">
        <v>185</v>
      </c>
      <c r="D2799">
        <v>13870</v>
      </c>
      <c r="E2799" s="1" t="s">
        <v>243</v>
      </c>
      <c r="F2799" s="1" t="s">
        <v>315</v>
      </c>
      <c r="G2799" s="1" t="s">
        <v>185</v>
      </c>
      <c r="H2799" s="1" t="s">
        <v>1396</v>
      </c>
      <c r="I2799">
        <v>2015</v>
      </c>
      <c r="J2799" s="93">
        <v>923.58</v>
      </c>
      <c r="K2799">
        <v>5</v>
      </c>
      <c r="L2799" s="1" t="s">
        <v>445</v>
      </c>
      <c r="M2799">
        <v>0</v>
      </c>
      <c r="N2799">
        <v>1104</v>
      </c>
      <c r="O2799">
        <v>0.83650000000000002</v>
      </c>
      <c r="P2799">
        <v>3</v>
      </c>
      <c r="Q2799" s="1" t="s">
        <v>560</v>
      </c>
      <c r="R2799" s="93">
        <v>923.58</v>
      </c>
      <c r="S2799">
        <v>738.86</v>
      </c>
      <c r="T2799">
        <v>0</v>
      </c>
      <c r="U2799" s="1" t="s">
        <v>666</v>
      </c>
      <c r="V2799" s="1"/>
      <c r="W2799">
        <v>923.58600000000001</v>
      </c>
      <c r="X2799">
        <v>0</v>
      </c>
      <c r="Y2799">
        <v>92221</v>
      </c>
    </row>
    <row r="2800" spans="1:25" ht="15" hidden="1" customHeight="1" x14ac:dyDescent="0.25">
      <c r="A2800" s="1" t="s">
        <v>36</v>
      </c>
      <c r="B2800" s="1" t="s">
        <v>77</v>
      </c>
      <c r="C2800" s="1" t="s">
        <v>185</v>
      </c>
      <c r="D2800">
        <v>13870</v>
      </c>
      <c r="E2800" s="1" t="s">
        <v>243</v>
      </c>
      <c r="F2800" s="1" t="s">
        <v>315</v>
      </c>
      <c r="G2800" s="1" t="s">
        <v>185</v>
      </c>
      <c r="H2800" s="1" t="s">
        <v>1396</v>
      </c>
      <c r="I2800">
        <v>2013</v>
      </c>
      <c r="J2800" s="93">
        <v>2207.9299999999998</v>
      </c>
      <c r="K2800">
        <v>11</v>
      </c>
      <c r="L2800" s="1" t="s">
        <v>445</v>
      </c>
      <c r="M2800">
        <v>0</v>
      </c>
      <c r="N2800">
        <v>1104</v>
      </c>
      <c r="O2800">
        <v>1.9997549999999999</v>
      </c>
      <c r="P2800">
        <v>3</v>
      </c>
      <c r="Q2800" s="1" t="s">
        <v>560</v>
      </c>
      <c r="R2800" s="93">
        <v>2207.9299999999998</v>
      </c>
      <c r="S2800">
        <v>1766.33</v>
      </c>
      <c r="T2800">
        <v>0</v>
      </c>
      <c r="U2800" s="1" t="s">
        <v>666</v>
      </c>
      <c r="V2800" s="1"/>
      <c r="W2800">
        <v>2207.9195</v>
      </c>
      <c r="X2800">
        <v>0</v>
      </c>
      <c r="Y2800">
        <v>92221</v>
      </c>
    </row>
    <row r="2801" spans="1:25" ht="15" hidden="1" customHeight="1" x14ac:dyDescent="0.25">
      <c r="A2801" s="1" t="s">
        <v>36</v>
      </c>
      <c r="B2801" s="1" t="s">
        <v>77</v>
      </c>
      <c r="C2801" s="1" t="s">
        <v>185</v>
      </c>
      <c r="D2801">
        <v>13870</v>
      </c>
      <c r="E2801" s="1" t="s">
        <v>243</v>
      </c>
      <c r="F2801" s="1" t="s">
        <v>315</v>
      </c>
      <c r="G2801" s="1" t="s">
        <v>185</v>
      </c>
      <c r="H2801" s="1" t="s">
        <v>1396</v>
      </c>
      <c r="I2801">
        <v>2012</v>
      </c>
      <c r="J2801" s="93">
        <v>2434.6799999999998</v>
      </c>
      <c r="K2801">
        <v>1</v>
      </c>
      <c r="L2801" s="1" t="s">
        <v>445</v>
      </c>
      <c r="M2801">
        <v>0</v>
      </c>
      <c r="N2801">
        <v>1104</v>
      </c>
      <c r="O2801">
        <v>2.2051259999999999</v>
      </c>
      <c r="P2801">
        <v>3</v>
      </c>
      <c r="Q2801" s="1" t="s">
        <v>560</v>
      </c>
      <c r="R2801" s="93">
        <v>2434.6799999999998</v>
      </c>
      <c r="S2801">
        <v>1947.77</v>
      </c>
      <c r="T2801">
        <v>0</v>
      </c>
      <c r="U2801" s="1" t="s">
        <v>666</v>
      </c>
      <c r="V2801" s="1"/>
      <c r="W2801">
        <v>2434.6618600000002</v>
      </c>
      <c r="X2801">
        <v>0</v>
      </c>
      <c r="Y2801">
        <v>92221</v>
      </c>
    </row>
    <row r="2802" spans="1:25" ht="15" hidden="1" customHeight="1" x14ac:dyDescent="0.25">
      <c r="A2802" s="1" t="s">
        <v>36</v>
      </c>
      <c r="B2802" s="1" t="s">
        <v>77</v>
      </c>
      <c r="C2802" s="1" t="s">
        <v>185</v>
      </c>
      <c r="D2802">
        <v>13870</v>
      </c>
      <c r="E2802" s="1" t="s">
        <v>243</v>
      </c>
      <c r="F2802" s="1" t="s">
        <v>315</v>
      </c>
      <c r="G2802" s="1" t="s">
        <v>185</v>
      </c>
      <c r="H2802" s="1" t="s">
        <v>1396</v>
      </c>
      <c r="I2802">
        <v>2011</v>
      </c>
      <c r="J2802" s="93">
        <v>2392.27</v>
      </c>
      <c r="K2802">
        <v>1</v>
      </c>
      <c r="L2802" s="1" t="s">
        <v>445</v>
      </c>
      <c r="M2802">
        <v>0</v>
      </c>
      <c r="N2802">
        <v>1104</v>
      </c>
      <c r="O2802">
        <v>2.1667139999999998</v>
      </c>
      <c r="P2802">
        <v>3</v>
      </c>
      <c r="Q2802" s="1" t="s">
        <v>560</v>
      </c>
      <c r="R2802" s="93">
        <v>2392.27</v>
      </c>
      <c r="S2802">
        <v>1913.86</v>
      </c>
      <c r="T2802">
        <v>0</v>
      </c>
      <c r="U2802" s="1" t="s">
        <v>666</v>
      </c>
      <c r="V2802" s="1"/>
      <c r="W2802">
        <v>2392.2749600000002</v>
      </c>
      <c r="X2802">
        <v>0</v>
      </c>
      <c r="Y2802">
        <v>92221</v>
      </c>
    </row>
    <row r="2803" spans="1:25" ht="15" hidden="1" customHeight="1" x14ac:dyDescent="0.25">
      <c r="A2803" s="1" t="s">
        <v>36</v>
      </c>
      <c r="B2803" s="1" t="s">
        <v>77</v>
      </c>
      <c r="C2803" s="1" t="s">
        <v>185</v>
      </c>
      <c r="D2803">
        <v>13870</v>
      </c>
      <c r="E2803" s="1" t="s">
        <v>243</v>
      </c>
      <c r="F2803" s="1" t="s">
        <v>315</v>
      </c>
      <c r="G2803" s="1" t="s">
        <v>185</v>
      </c>
      <c r="H2803" s="1" t="s">
        <v>1396</v>
      </c>
      <c r="I2803">
        <v>2010</v>
      </c>
      <c r="J2803" s="93">
        <v>2458.3200000000002</v>
      </c>
      <c r="K2803">
        <v>3</v>
      </c>
      <c r="L2803" s="1" t="s">
        <v>445</v>
      </c>
      <c r="M2803">
        <v>0</v>
      </c>
      <c r="N2803">
        <v>1104</v>
      </c>
      <c r="O2803">
        <v>2.226537</v>
      </c>
      <c r="P2803">
        <v>3</v>
      </c>
      <c r="Q2803" s="1" t="s">
        <v>560</v>
      </c>
      <c r="R2803" s="93">
        <v>2458.3200000000002</v>
      </c>
      <c r="S2803">
        <v>1966.67</v>
      </c>
      <c r="T2803">
        <v>0</v>
      </c>
      <c r="U2803" s="1" t="s">
        <v>666</v>
      </c>
      <c r="V2803" s="1"/>
      <c r="W2803">
        <v>2458.3286899999998</v>
      </c>
      <c r="X2803">
        <v>0</v>
      </c>
      <c r="Y2803">
        <v>92221</v>
      </c>
    </row>
    <row r="2804" spans="1:25" ht="15" hidden="1" customHeight="1" x14ac:dyDescent="0.25">
      <c r="A2804" s="1" t="s">
        <v>36</v>
      </c>
      <c r="B2804" s="1" t="s">
        <v>77</v>
      </c>
      <c r="C2804" s="1" t="s">
        <v>185</v>
      </c>
      <c r="D2804">
        <v>13870</v>
      </c>
      <c r="E2804" s="1" t="s">
        <v>243</v>
      </c>
      <c r="F2804" s="1" t="s">
        <v>315</v>
      </c>
      <c r="G2804" s="1" t="s">
        <v>185</v>
      </c>
      <c r="H2804" s="1" t="s">
        <v>1396</v>
      </c>
      <c r="I2804">
        <v>2009</v>
      </c>
      <c r="J2804" s="93">
        <v>2471.64</v>
      </c>
      <c r="K2804">
        <v>0</v>
      </c>
      <c r="L2804" s="1" t="s">
        <v>445</v>
      </c>
      <c r="M2804">
        <v>0</v>
      </c>
      <c r="N2804">
        <v>1104</v>
      </c>
      <c r="O2804">
        <v>2.2386010000000001</v>
      </c>
      <c r="P2804">
        <v>3</v>
      </c>
      <c r="Q2804" s="1" t="s">
        <v>560</v>
      </c>
      <c r="R2804" s="93">
        <v>2471.64</v>
      </c>
      <c r="S2804">
        <v>1977.34</v>
      </c>
      <c r="T2804">
        <v>0</v>
      </c>
      <c r="U2804" s="1" t="s">
        <v>666</v>
      </c>
      <c r="V2804" s="1"/>
      <c r="W2804">
        <v>2471.6307099999999</v>
      </c>
      <c r="X2804">
        <v>0</v>
      </c>
      <c r="Y2804">
        <v>92221</v>
      </c>
    </row>
    <row r="2805" spans="1:25" ht="15" hidden="1" customHeight="1" x14ac:dyDescent="0.25">
      <c r="A2805" s="1" t="s">
        <v>36</v>
      </c>
      <c r="B2805" s="1" t="s">
        <v>77</v>
      </c>
      <c r="C2805" s="1" t="s">
        <v>185</v>
      </c>
      <c r="D2805">
        <v>13870</v>
      </c>
      <c r="E2805" s="1" t="s">
        <v>243</v>
      </c>
      <c r="F2805" s="1" t="s">
        <v>315</v>
      </c>
      <c r="G2805" s="1" t="s">
        <v>185</v>
      </c>
      <c r="H2805" s="1" t="s">
        <v>1396</v>
      </c>
      <c r="I2805">
        <v>2008</v>
      </c>
      <c r="J2805" s="93">
        <v>2478.42</v>
      </c>
      <c r="K2805">
        <v>1</v>
      </c>
      <c r="L2805" s="1" t="s">
        <v>445</v>
      </c>
      <c r="M2805">
        <v>0</v>
      </c>
      <c r="N2805">
        <v>1104</v>
      </c>
      <c r="O2805">
        <v>2.244742</v>
      </c>
      <c r="P2805">
        <v>3</v>
      </c>
      <c r="Q2805" s="1" t="s">
        <v>560</v>
      </c>
      <c r="R2805" s="93">
        <v>2478.42</v>
      </c>
      <c r="S2805">
        <v>1982.76</v>
      </c>
      <c r="T2805">
        <v>0</v>
      </c>
      <c r="U2805" s="1" t="s">
        <v>666</v>
      </c>
      <c r="V2805" s="1"/>
      <c r="W2805">
        <v>2478.4023000000002</v>
      </c>
      <c r="X2805">
        <v>0</v>
      </c>
      <c r="Y2805">
        <v>92221</v>
      </c>
    </row>
    <row r="2806" spans="1:25" ht="15" hidden="1" customHeight="1" x14ac:dyDescent="0.25">
      <c r="A2806" s="1" t="s">
        <v>36</v>
      </c>
      <c r="B2806" s="1" t="s">
        <v>79</v>
      </c>
      <c r="C2806" s="1" t="s">
        <v>188</v>
      </c>
      <c r="D2806">
        <v>13869</v>
      </c>
      <c r="E2806" s="1" t="s">
        <v>79</v>
      </c>
      <c r="F2806" s="1" t="s">
        <v>317</v>
      </c>
      <c r="G2806" s="1" t="s">
        <v>188</v>
      </c>
      <c r="H2806" s="1" t="s">
        <v>1396</v>
      </c>
      <c r="I2806">
        <v>2015</v>
      </c>
      <c r="J2806" s="93">
        <v>609.16</v>
      </c>
      <c r="K2806">
        <v>5</v>
      </c>
      <c r="L2806" s="1" t="s">
        <v>445</v>
      </c>
      <c r="M2806">
        <v>0</v>
      </c>
      <c r="N2806">
        <v>11569</v>
      </c>
      <c r="O2806">
        <v>5.2653999999999999E-2</v>
      </c>
      <c r="P2806">
        <v>3</v>
      </c>
      <c r="Q2806" s="1" t="s">
        <v>560</v>
      </c>
      <c r="R2806" s="93">
        <v>609.16</v>
      </c>
      <c r="S2806">
        <v>487.32</v>
      </c>
      <c r="T2806">
        <v>0</v>
      </c>
      <c r="U2806" s="1" t="s">
        <v>669</v>
      </c>
      <c r="V2806" s="1"/>
      <c r="W2806">
        <v>609.15200000000004</v>
      </c>
      <c r="X2806">
        <v>0</v>
      </c>
      <c r="Y2806">
        <v>92219</v>
      </c>
    </row>
    <row r="2807" spans="1:25" ht="15" hidden="1" customHeight="1" x14ac:dyDescent="0.25">
      <c r="A2807" s="1" t="s">
        <v>36</v>
      </c>
      <c r="B2807" s="1" t="s">
        <v>79</v>
      </c>
      <c r="C2807" s="1" t="s">
        <v>188</v>
      </c>
      <c r="D2807">
        <v>13869</v>
      </c>
      <c r="E2807" s="1" t="s">
        <v>79</v>
      </c>
      <c r="F2807" s="1" t="s">
        <v>317</v>
      </c>
      <c r="G2807" s="1" t="s">
        <v>188</v>
      </c>
      <c r="H2807" s="1" t="s">
        <v>1396</v>
      </c>
      <c r="I2807">
        <v>2013</v>
      </c>
      <c r="J2807" s="93">
        <v>1620.92</v>
      </c>
      <c r="K2807">
        <v>11</v>
      </c>
      <c r="L2807" s="1" t="s">
        <v>445</v>
      </c>
      <c r="M2807">
        <v>0</v>
      </c>
      <c r="N2807">
        <v>11569</v>
      </c>
      <c r="O2807">
        <v>0.14010700000000001</v>
      </c>
      <c r="P2807">
        <v>3</v>
      </c>
      <c r="Q2807" s="1" t="s">
        <v>560</v>
      </c>
      <c r="R2807" s="93">
        <v>1620.92</v>
      </c>
      <c r="S2807">
        <v>1296.74</v>
      </c>
      <c r="T2807">
        <v>0</v>
      </c>
      <c r="U2807" s="1" t="s">
        <v>669</v>
      </c>
      <c r="V2807" s="1"/>
      <c r="W2807">
        <v>1620.9269999999999</v>
      </c>
      <c r="X2807">
        <v>0</v>
      </c>
      <c r="Y2807">
        <v>92219</v>
      </c>
    </row>
    <row r="2808" spans="1:25" ht="15" hidden="1" customHeight="1" x14ac:dyDescent="0.25">
      <c r="A2808" s="1" t="s">
        <v>36</v>
      </c>
      <c r="B2808" s="1" t="s">
        <v>79</v>
      </c>
      <c r="C2808" s="1" t="s">
        <v>188</v>
      </c>
      <c r="D2808">
        <v>13869</v>
      </c>
      <c r="E2808" s="1" t="s">
        <v>79</v>
      </c>
      <c r="F2808" s="1" t="s">
        <v>317</v>
      </c>
      <c r="G2808" s="1" t="s">
        <v>188</v>
      </c>
      <c r="H2808" s="1" t="s">
        <v>1396</v>
      </c>
      <c r="I2808">
        <v>2012</v>
      </c>
      <c r="J2808" s="93">
        <v>1856</v>
      </c>
      <c r="K2808">
        <v>1</v>
      </c>
      <c r="L2808" s="1" t="s">
        <v>445</v>
      </c>
      <c r="M2808">
        <v>0</v>
      </c>
      <c r="N2808">
        <v>11569</v>
      </c>
      <c r="O2808">
        <v>0.16042699999999999</v>
      </c>
      <c r="P2808">
        <v>3</v>
      </c>
      <c r="Q2808" s="1" t="s">
        <v>560</v>
      </c>
      <c r="R2808" s="93">
        <v>1856</v>
      </c>
      <c r="S2808">
        <v>1484.82</v>
      </c>
      <c r="T2808">
        <v>0</v>
      </c>
      <c r="U2808" s="1" t="s">
        <v>669</v>
      </c>
      <c r="V2808" s="1"/>
      <c r="W2808">
        <v>1856.01722</v>
      </c>
      <c r="X2808">
        <v>0</v>
      </c>
      <c r="Y2808">
        <v>92219</v>
      </c>
    </row>
    <row r="2809" spans="1:25" ht="15" hidden="1" customHeight="1" x14ac:dyDescent="0.25">
      <c r="A2809" s="1" t="s">
        <v>36</v>
      </c>
      <c r="B2809" s="1" t="s">
        <v>79</v>
      </c>
      <c r="C2809" s="1" t="s">
        <v>188</v>
      </c>
      <c r="D2809">
        <v>13869</v>
      </c>
      <c r="E2809" s="1" t="s">
        <v>79</v>
      </c>
      <c r="F2809" s="1" t="s">
        <v>317</v>
      </c>
      <c r="G2809" s="1" t="s">
        <v>188</v>
      </c>
      <c r="H2809" s="1" t="s">
        <v>1396</v>
      </c>
      <c r="I2809">
        <v>2011</v>
      </c>
      <c r="J2809" s="93">
        <v>1624.98</v>
      </c>
      <c r="K2809">
        <v>1</v>
      </c>
      <c r="L2809" s="1" t="s">
        <v>445</v>
      </c>
      <c r="M2809">
        <v>0</v>
      </c>
      <c r="N2809">
        <v>11569</v>
      </c>
      <c r="O2809">
        <v>0.140458</v>
      </c>
      <c r="P2809">
        <v>3</v>
      </c>
      <c r="Q2809" s="1" t="s">
        <v>560</v>
      </c>
      <c r="R2809" s="93">
        <v>1624.98</v>
      </c>
      <c r="S2809">
        <v>1300.04</v>
      </c>
      <c r="T2809">
        <v>0</v>
      </c>
      <c r="U2809" s="1" t="s">
        <v>669</v>
      </c>
      <c r="V2809" s="1"/>
      <c r="W2809">
        <v>1625.01151</v>
      </c>
      <c r="X2809">
        <v>0</v>
      </c>
      <c r="Y2809">
        <v>92219</v>
      </c>
    </row>
    <row r="2810" spans="1:25" ht="15" hidden="1" customHeight="1" x14ac:dyDescent="0.25">
      <c r="A2810" s="1" t="s">
        <v>36</v>
      </c>
      <c r="B2810" s="1" t="s">
        <v>79</v>
      </c>
      <c r="C2810" s="1" t="s">
        <v>188</v>
      </c>
      <c r="D2810">
        <v>13869</v>
      </c>
      <c r="E2810" s="1" t="s">
        <v>79</v>
      </c>
      <c r="F2810" s="1" t="s">
        <v>317</v>
      </c>
      <c r="G2810" s="1" t="s">
        <v>188</v>
      </c>
      <c r="H2810" s="1" t="s">
        <v>1396</v>
      </c>
      <c r="I2810">
        <v>2010</v>
      </c>
      <c r="J2810" s="93">
        <v>1627.41</v>
      </c>
      <c r="K2810">
        <v>1</v>
      </c>
      <c r="L2810" s="1" t="s">
        <v>445</v>
      </c>
      <c r="M2810">
        <v>0</v>
      </c>
      <c r="N2810">
        <v>11569</v>
      </c>
      <c r="O2810">
        <v>0.14066799999999999</v>
      </c>
      <c r="P2810">
        <v>3</v>
      </c>
      <c r="Q2810" s="1" t="s">
        <v>560</v>
      </c>
      <c r="R2810" s="93">
        <v>1627.41</v>
      </c>
      <c r="S2810">
        <v>1301.92</v>
      </c>
      <c r="T2810">
        <v>0</v>
      </c>
      <c r="U2810" s="1" t="s">
        <v>669</v>
      </c>
      <c r="V2810" s="1"/>
      <c r="W2810">
        <v>1627.4328399999999</v>
      </c>
      <c r="X2810">
        <v>0</v>
      </c>
      <c r="Y2810">
        <v>92219</v>
      </c>
    </row>
    <row r="2811" spans="1:25" ht="15" hidden="1" customHeight="1" x14ac:dyDescent="0.25">
      <c r="A2811" s="1" t="s">
        <v>36</v>
      </c>
      <c r="B2811" s="1" t="s">
        <v>79</v>
      </c>
      <c r="C2811" s="1" t="s">
        <v>188</v>
      </c>
      <c r="D2811">
        <v>13869</v>
      </c>
      <c r="E2811" s="1" t="s">
        <v>79</v>
      </c>
      <c r="F2811" s="1" t="s">
        <v>317</v>
      </c>
      <c r="G2811" s="1" t="s">
        <v>188</v>
      </c>
      <c r="H2811" s="1" t="s">
        <v>1396</v>
      </c>
      <c r="I2811">
        <v>2009</v>
      </c>
      <c r="J2811" s="93">
        <v>1490.88</v>
      </c>
      <c r="K2811">
        <v>1</v>
      </c>
      <c r="L2811" s="1" t="s">
        <v>445</v>
      </c>
      <c r="M2811">
        <v>0</v>
      </c>
      <c r="N2811">
        <v>11569</v>
      </c>
      <c r="O2811">
        <v>0.12886700000000001</v>
      </c>
      <c r="P2811">
        <v>3</v>
      </c>
      <c r="Q2811" s="1" t="s">
        <v>560</v>
      </c>
      <c r="R2811" s="93">
        <v>1490.88</v>
      </c>
      <c r="S2811">
        <v>1192.69</v>
      </c>
      <c r="T2811">
        <v>0</v>
      </c>
      <c r="U2811" s="1" t="s">
        <v>669</v>
      </c>
      <c r="V2811" s="1"/>
      <c r="W2811">
        <v>1490.8716899999999</v>
      </c>
      <c r="X2811">
        <v>0</v>
      </c>
      <c r="Y2811">
        <v>92219</v>
      </c>
    </row>
    <row r="2812" spans="1:25" ht="15" hidden="1" customHeight="1" x14ac:dyDescent="0.25">
      <c r="A2812" s="1" t="s">
        <v>36</v>
      </c>
      <c r="B2812" s="1" t="s">
        <v>79</v>
      </c>
      <c r="C2812" s="1" t="s">
        <v>188</v>
      </c>
      <c r="D2812">
        <v>13869</v>
      </c>
      <c r="E2812" s="1" t="s">
        <v>79</v>
      </c>
      <c r="F2812" s="1" t="s">
        <v>317</v>
      </c>
      <c r="G2812" s="1" t="s">
        <v>188</v>
      </c>
      <c r="H2812" s="1" t="s">
        <v>1396</v>
      </c>
      <c r="I2812">
        <v>2008</v>
      </c>
      <c r="J2812" s="93">
        <v>450.17</v>
      </c>
      <c r="K2812">
        <v>1</v>
      </c>
      <c r="L2812" s="1" t="s">
        <v>445</v>
      </c>
      <c r="M2812">
        <v>0</v>
      </c>
      <c r="N2812">
        <v>11569</v>
      </c>
      <c r="O2812">
        <v>3.8911000000000001E-2</v>
      </c>
      <c r="P2812">
        <v>3</v>
      </c>
      <c r="Q2812" s="1" t="s">
        <v>560</v>
      </c>
      <c r="R2812" s="93">
        <v>450.17</v>
      </c>
      <c r="S2812">
        <v>360.13</v>
      </c>
      <c r="T2812">
        <v>0</v>
      </c>
      <c r="U2812" s="1" t="s">
        <v>669</v>
      </c>
      <c r="V2812" s="1"/>
      <c r="W2812">
        <v>450.16667000000001</v>
      </c>
      <c r="X2812">
        <v>0</v>
      </c>
      <c r="Y2812">
        <v>92219</v>
      </c>
    </row>
    <row r="2813" spans="1:25" ht="15" hidden="1" customHeight="1" x14ac:dyDescent="0.25">
      <c r="A2813" s="1" t="s">
        <v>36</v>
      </c>
      <c r="B2813" s="1" t="s">
        <v>77</v>
      </c>
      <c r="C2813" s="1" t="s">
        <v>185</v>
      </c>
      <c r="D2813">
        <v>13870</v>
      </c>
      <c r="E2813" s="1" t="s">
        <v>243</v>
      </c>
      <c r="F2813" s="1" t="s">
        <v>315</v>
      </c>
      <c r="G2813" s="1" t="s">
        <v>185</v>
      </c>
      <c r="H2813" s="1" t="s">
        <v>1396</v>
      </c>
      <c r="I2813">
        <v>2014</v>
      </c>
      <c r="J2813" s="93">
        <v>2445.0700000000002</v>
      </c>
      <c r="K2813">
        <v>12</v>
      </c>
      <c r="L2813" s="1" t="s">
        <v>445</v>
      </c>
      <c r="M2813">
        <v>0</v>
      </c>
      <c r="N2813">
        <v>1104</v>
      </c>
      <c r="O2813">
        <v>2.2145359999999998</v>
      </c>
      <c r="P2813">
        <v>3</v>
      </c>
      <c r="Q2813" s="1" t="s">
        <v>560</v>
      </c>
      <c r="R2813" s="93">
        <v>2445.0700000000002</v>
      </c>
      <c r="S2813">
        <v>1956.05</v>
      </c>
      <c r="T2813">
        <v>0</v>
      </c>
      <c r="U2813" s="1" t="s">
        <v>666</v>
      </c>
      <c r="V2813" s="1"/>
      <c r="W2813">
        <v>2445.0709999999999</v>
      </c>
      <c r="X2813">
        <v>0</v>
      </c>
      <c r="Y2813">
        <v>92221</v>
      </c>
    </row>
    <row r="2814" spans="1:25" ht="15" hidden="1" customHeight="1" x14ac:dyDescent="0.25">
      <c r="A2814" s="1" t="s">
        <v>36</v>
      </c>
      <c r="B2814" s="1" t="s">
        <v>77</v>
      </c>
      <c r="C2814" s="1" t="s">
        <v>185</v>
      </c>
      <c r="D2814">
        <v>13870</v>
      </c>
      <c r="E2814" s="1" t="s">
        <v>243</v>
      </c>
      <c r="F2814" s="1" t="s">
        <v>315</v>
      </c>
      <c r="G2814" s="1" t="s">
        <v>185</v>
      </c>
      <c r="H2814" s="1" t="s">
        <v>1396</v>
      </c>
      <c r="I2814">
        <v>2014</v>
      </c>
      <c r="J2814" s="93">
        <v>133791.84</v>
      </c>
      <c r="K2814">
        <v>12</v>
      </c>
      <c r="L2814" s="1" t="s">
        <v>445</v>
      </c>
      <c r="M2814">
        <v>0</v>
      </c>
      <c r="N2814">
        <v>1104</v>
      </c>
      <c r="O2814">
        <v>121.177284</v>
      </c>
      <c r="P2814">
        <v>1</v>
      </c>
      <c r="Q2814" s="1" t="s">
        <v>566</v>
      </c>
      <c r="R2814" s="93">
        <v>158956.34</v>
      </c>
      <c r="S2814">
        <v>32415.75</v>
      </c>
      <c r="T2814">
        <v>0</v>
      </c>
      <c r="U2814" s="1" t="s">
        <v>843</v>
      </c>
      <c r="V2814" s="1"/>
      <c r="W2814">
        <v>11945.7</v>
      </c>
      <c r="X2814">
        <v>0</v>
      </c>
      <c r="Y2814">
        <v>92669</v>
      </c>
    </row>
    <row r="2815" spans="1:25" ht="15" hidden="1" customHeight="1" x14ac:dyDescent="0.25">
      <c r="A2815" s="1" t="s">
        <v>36</v>
      </c>
      <c r="B2815" s="1" t="s">
        <v>77</v>
      </c>
      <c r="C2815" s="1" t="s">
        <v>185</v>
      </c>
      <c r="D2815">
        <v>13870</v>
      </c>
      <c r="E2815" s="1" t="s">
        <v>243</v>
      </c>
      <c r="F2815" s="1" t="s">
        <v>315</v>
      </c>
      <c r="G2815" s="1" t="s">
        <v>185</v>
      </c>
      <c r="H2815" s="1" t="s">
        <v>1396</v>
      </c>
      <c r="I2815">
        <v>2014</v>
      </c>
      <c r="J2815" s="93">
        <v>63094.03</v>
      </c>
      <c r="K2815">
        <v>12</v>
      </c>
      <c r="L2815" s="1"/>
      <c r="M2815">
        <v>0</v>
      </c>
      <c r="N2815">
        <v>1104</v>
      </c>
      <c r="O2815">
        <v>57.145212999999998</v>
      </c>
      <c r="P2815">
        <v>2</v>
      </c>
      <c r="Q2815" s="1" t="s">
        <v>569</v>
      </c>
      <c r="R2815" s="93">
        <v>63094.03</v>
      </c>
      <c r="S2815">
        <v>18928.22</v>
      </c>
      <c r="T2815">
        <v>0</v>
      </c>
      <c r="U2815" s="1" t="s">
        <v>1061</v>
      </c>
      <c r="V2815" s="1"/>
      <c r="W2815">
        <v>63094.031999999999</v>
      </c>
      <c r="X2815">
        <v>0</v>
      </c>
      <c r="Y2815">
        <v>94115</v>
      </c>
    </row>
    <row r="2816" spans="1:25" ht="15" hidden="1" customHeight="1" x14ac:dyDescent="0.25">
      <c r="A2816" s="1" t="s">
        <v>36</v>
      </c>
      <c r="B2816" s="1" t="s">
        <v>77</v>
      </c>
      <c r="C2816" s="1" t="s">
        <v>185</v>
      </c>
      <c r="D2816">
        <v>13870</v>
      </c>
      <c r="E2816" s="1" t="s">
        <v>243</v>
      </c>
      <c r="F2816" s="1" t="s">
        <v>315</v>
      </c>
      <c r="G2816" s="1" t="s">
        <v>185</v>
      </c>
      <c r="H2816" s="1" t="s">
        <v>1396</v>
      </c>
      <c r="I2816">
        <v>2015</v>
      </c>
      <c r="J2816" s="93">
        <v>42528.639999999999</v>
      </c>
      <c r="K2816">
        <v>5</v>
      </c>
      <c r="L2816" s="1" t="s">
        <v>445</v>
      </c>
      <c r="M2816">
        <v>0</v>
      </c>
      <c r="N2816">
        <v>1104</v>
      </c>
      <c r="O2816">
        <v>38.518828999999997</v>
      </c>
      <c r="P2816">
        <v>1</v>
      </c>
      <c r="Q2816" s="1" t="s">
        <v>566</v>
      </c>
      <c r="R2816" s="93">
        <v>45050.37</v>
      </c>
      <c r="S2816">
        <v>9187.06</v>
      </c>
      <c r="T2816">
        <v>0</v>
      </c>
      <c r="U2816" s="1" t="s">
        <v>843</v>
      </c>
      <c r="V2816" s="1"/>
      <c r="W2816">
        <v>3797.2</v>
      </c>
      <c r="X2816">
        <v>0</v>
      </c>
      <c r="Y2816">
        <v>92669</v>
      </c>
    </row>
    <row r="2817" spans="1:25" ht="15" hidden="1" customHeight="1" x14ac:dyDescent="0.25">
      <c r="A2817" s="1" t="s">
        <v>36</v>
      </c>
      <c r="B2817" s="1" t="s">
        <v>77</v>
      </c>
      <c r="C2817" s="1" t="s">
        <v>185</v>
      </c>
      <c r="D2817">
        <v>13870</v>
      </c>
      <c r="E2817" s="1" t="s">
        <v>243</v>
      </c>
      <c r="F2817" s="1" t="s">
        <v>315</v>
      </c>
      <c r="G2817" s="1" t="s">
        <v>185</v>
      </c>
      <c r="H2817" s="1" t="s">
        <v>1396</v>
      </c>
      <c r="I2817">
        <v>2013</v>
      </c>
      <c r="J2817" s="93">
        <v>291992.34000000003</v>
      </c>
      <c r="K2817">
        <v>10</v>
      </c>
      <c r="L2817" s="1" t="s">
        <v>445</v>
      </c>
      <c r="M2817">
        <v>0</v>
      </c>
      <c r="N2817">
        <v>1104</v>
      </c>
      <c r="O2817">
        <v>264.46186</v>
      </c>
      <c r="P2817">
        <v>1</v>
      </c>
      <c r="Q2817" s="1" t="s">
        <v>566</v>
      </c>
      <c r="R2817" s="93">
        <v>306769.46999999997</v>
      </c>
      <c r="S2817">
        <v>62559.06</v>
      </c>
      <c r="T2817">
        <v>0</v>
      </c>
      <c r="U2817" s="1" t="s">
        <v>843</v>
      </c>
      <c r="V2817" s="1"/>
      <c r="W2817">
        <v>26070.745459999998</v>
      </c>
      <c r="X2817">
        <v>0</v>
      </c>
      <c r="Y2817">
        <v>92669</v>
      </c>
    </row>
    <row r="2818" spans="1:25" ht="15" hidden="1" customHeight="1" x14ac:dyDescent="0.25">
      <c r="A2818" s="1" t="s">
        <v>36</v>
      </c>
      <c r="B2818" s="1" t="s">
        <v>77</v>
      </c>
      <c r="C2818" s="1" t="s">
        <v>185</v>
      </c>
      <c r="D2818">
        <v>13870</v>
      </c>
      <c r="E2818" s="1" t="s">
        <v>243</v>
      </c>
      <c r="F2818" s="1" t="s">
        <v>315</v>
      </c>
      <c r="G2818" s="1" t="s">
        <v>185</v>
      </c>
      <c r="H2818" s="1" t="s">
        <v>1396</v>
      </c>
      <c r="I2818">
        <v>2012</v>
      </c>
      <c r="J2818" s="93">
        <v>491387.66</v>
      </c>
      <c r="K2818">
        <v>3</v>
      </c>
      <c r="L2818" s="1" t="s">
        <v>445</v>
      </c>
      <c r="M2818">
        <v>0</v>
      </c>
      <c r="N2818">
        <v>1104</v>
      </c>
      <c r="O2818">
        <v>445.05720400000001</v>
      </c>
      <c r="P2818">
        <v>1</v>
      </c>
      <c r="Q2818" s="1" t="s">
        <v>566</v>
      </c>
      <c r="R2818" s="93">
        <v>543535.74</v>
      </c>
      <c r="S2818">
        <v>110842.48</v>
      </c>
      <c r="T2818">
        <v>0</v>
      </c>
      <c r="U2818" s="1" t="s">
        <v>843</v>
      </c>
      <c r="V2818" s="1"/>
      <c r="W2818">
        <v>43873.898990000002</v>
      </c>
      <c r="X2818">
        <v>0</v>
      </c>
      <c r="Y2818">
        <v>92669</v>
      </c>
    </row>
    <row r="2819" spans="1:25" ht="15" hidden="1" customHeight="1" x14ac:dyDescent="0.25">
      <c r="A2819" s="1" t="s">
        <v>36</v>
      </c>
      <c r="B2819" s="1" t="s">
        <v>77</v>
      </c>
      <c r="C2819" s="1" t="s">
        <v>185</v>
      </c>
      <c r="D2819">
        <v>13870</v>
      </c>
      <c r="E2819" s="1" t="s">
        <v>243</v>
      </c>
      <c r="F2819" s="1" t="s">
        <v>315</v>
      </c>
      <c r="G2819" s="1" t="s">
        <v>185</v>
      </c>
      <c r="H2819" s="1" t="s">
        <v>1396</v>
      </c>
      <c r="I2819">
        <v>2011</v>
      </c>
      <c r="J2819" s="93">
        <v>436345.22</v>
      </c>
      <c r="K2819">
        <v>1</v>
      </c>
      <c r="L2819" s="1" t="s">
        <v>445</v>
      </c>
      <c r="M2819">
        <v>0</v>
      </c>
      <c r="N2819">
        <v>1104</v>
      </c>
      <c r="O2819">
        <v>395.20443799999998</v>
      </c>
      <c r="P2819">
        <v>1</v>
      </c>
      <c r="Q2819" s="1" t="s">
        <v>566</v>
      </c>
      <c r="R2819" s="93">
        <v>505382.52</v>
      </c>
      <c r="S2819">
        <v>103061.91</v>
      </c>
      <c r="T2819">
        <v>0</v>
      </c>
      <c r="U2819" s="1" t="s">
        <v>843</v>
      </c>
      <c r="V2819" s="1"/>
      <c r="W2819">
        <v>38959.392140000004</v>
      </c>
      <c r="X2819">
        <v>0</v>
      </c>
      <c r="Y2819">
        <v>92669</v>
      </c>
    </row>
    <row r="2820" spans="1:25" ht="15" hidden="1" customHeight="1" x14ac:dyDescent="0.25">
      <c r="A2820" s="1" t="s">
        <v>36</v>
      </c>
      <c r="B2820" s="1" t="s">
        <v>77</v>
      </c>
      <c r="C2820" s="1" t="s">
        <v>185</v>
      </c>
      <c r="D2820">
        <v>13870</v>
      </c>
      <c r="E2820" s="1" t="s">
        <v>243</v>
      </c>
      <c r="F2820" s="1" t="s">
        <v>315</v>
      </c>
      <c r="G2820" s="1" t="s">
        <v>185</v>
      </c>
      <c r="H2820" s="1" t="s">
        <v>1396</v>
      </c>
      <c r="I2820">
        <v>2010</v>
      </c>
      <c r="J2820" s="93">
        <v>488307.68</v>
      </c>
      <c r="K2820">
        <v>1</v>
      </c>
      <c r="L2820" s="1" t="s">
        <v>445</v>
      </c>
      <c r="M2820">
        <v>0</v>
      </c>
      <c r="N2820">
        <v>1104</v>
      </c>
      <c r="O2820">
        <v>442.26762000000002</v>
      </c>
      <c r="P2820">
        <v>1</v>
      </c>
      <c r="Q2820" s="1" t="s">
        <v>566</v>
      </c>
      <c r="R2820" s="93">
        <v>636520.61</v>
      </c>
      <c r="S2820">
        <v>129804.73</v>
      </c>
      <c r="T2820">
        <v>0</v>
      </c>
      <c r="U2820" s="1" t="s">
        <v>843</v>
      </c>
      <c r="V2820" s="1"/>
      <c r="W2820">
        <v>43598.899310000001</v>
      </c>
      <c r="X2820">
        <v>0</v>
      </c>
      <c r="Y2820">
        <v>92669</v>
      </c>
    </row>
    <row r="2821" spans="1:25" ht="15" hidden="1" customHeight="1" x14ac:dyDescent="0.25">
      <c r="A2821" s="1" t="s">
        <v>36</v>
      </c>
      <c r="B2821" s="1" t="s">
        <v>77</v>
      </c>
      <c r="C2821" s="1" t="s">
        <v>185</v>
      </c>
      <c r="D2821">
        <v>13870</v>
      </c>
      <c r="E2821" s="1" t="s">
        <v>243</v>
      </c>
      <c r="F2821" s="1" t="s">
        <v>315</v>
      </c>
      <c r="G2821" s="1" t="s">
        <v>185</v>
      </c>
      <c r="H2821" s="1" t="s">
        <v>1396</v>
      </c>
      <c r="I2821">
        <v>2009</v>
      </c>
      <c r="J2821" s="93">
        <v>475182.12</v>
      </c>
      <c r="K2821">
        <v>1</v>
      </c>
      <c r="L2821" s="1" t="s">
        <v>445</v>
      </c>
      <c r="M2821">
        <v>0</v>
      </c>
      <c r="N2821">
        <v>1104</v>
      </c>
      <c r="O2821">
        <v>430.37960299999997</v>
      </c>
      <c r="P2821">
        <v>1</v>
      </c>
      <c r="Q2821" s="1" t="s">
        <v>566</v>
      </c>
      <c r="R2821" s="93">
        <v>676099.28</v>
      </c>
      <c r="S2821">
        <v>137875.96</v>
      </c>
      <c r="T2821">
        <v>0</v>
      </c>
      <c r="U2821" s="1" t="s">
        <v>843</v>
      </c>
      <c r="V2821" s="1"/>
      <c r="W2821">
        <v>42426.975189999997</v>
      </c>
      <c r="X2821">
        <v>0</v>
      </c>
      <c r="Y2821">
        <v>92669</v>
      </c>
    </row>
    <row r="2822" spans="1:25" ht="15" hidden="1" customHeight="1" x14ac:dyDescent="0.25">
      <c r="A2822" s="1" t="s">
        <v>36</v>
      </c>
      <c r="B2822" s="1" t="s">
        <v>77</v>
      </c>
      <c r="C2822" s="1" t="s">
        <v>185</v>
      </c>
      <c r="D2822">
        <v>13870</v>
      </c>
      <c r="E2822" s="1" t="s">
        <v>243</v>
      </c>
      <c r="F2822" s="1" t="s">
        <v>315</v>
      </c>
      <c r="G2822" s="1" t="s">
        <v>185</v>
      </c>
      <c r="H2822" s="1" t="s">
        <v>1396</v>
      </c>
      <c r="I2822">
        <v>2008</v>
      </c>
      <c r="J2822" s="93">
        <v>462852.97</v>
      </c>
      <c r="K2822">
        <v>1</v>
      </c>
      <c r="L2822" s="1" t="s">
        <v>445</v>
      </c>
      <c r="M2822">
        <v>0</v>
      </c>
      <c r="N2822">
        <v>1104</v>
      </c>
      <c r="O2822">
        <v>419.21290599999998</v>
      </c>
      <c r="P2822">
        <v>1</v>
      </c>
      <c r="Q2822" s="1" t="s">
        <v>566</v>
      </c>
      <c r="R2822" s="93">
        <v>582026.59</v>
      </c>
      <c r="S2822">
        <v>118691.84</v>
      </c>
      <c r="T2822">
        <v>0</v>
      </c>
      <c r="U2822" s="1" t="s">
        <v>843</v>
      </c>
      <c r="V2822" s="1"/>
      <c r="W2822">
        <v>41326.159910000002</v>
      </c>
      <c r="X2822">
        <v>0</v>
      </c>
      <c r="Y2822">
        <v>92669</v>
      </c>
    </row>
    <row r="2823" spans="1:25" ht="15" hidden="1" customHeight="1" x14ac:dyDescent="0.25">
      <c r="A2823" s="1" t="s">
        <v>36</v>
      </c>
      <c r="B2823" s="1" t="s">
        <v>79</v>
      </c>
      <c r="C2823" s="1" t="s">
        <v>188</v>
      </c>
      <c r="D2823">
        <v>13869</v>
      </c>
      <c r="E2823" s="1" t="s">
        <v>79</v>
      </c>
      <c r="F2823" s="1" t="s">
        <v>317</v>
      </c>
      <c r="G2823" s="1" t="s">
        <v>188</v>
      </c>
      <c r="H2823" s="1" t="s">
        <v>1396</v>
      </c>
      <c r="I2823">
        <v>2015</v>
      </c>
      <c r="J2823" s="93">
        <v>122180</v>
      </c>
      <c r="K2823">
        <v>5</v>
      </c>
      <c r="L2823" s="1" t="s">
        <v>445</v>
      </c>
      <c r="M2823">
        <v>0</v>
      </c>
      <c r="N2823">
        <v>11569</v>
      </c>
      <c r="O2823">
        <v>10.560890000000001</v>
      </c>
      <c r="P2823">
        <v>1</v>
      </c>
      <c r="Q2823" s="1" t="s">
        <v>565</v>
      </c>
      <c r="R2823" s="93">
        <v>137693.22</v>
      </c>
      <c r="S2823">
        <v>8812.36</v>
      </c>
      <c r="T2823">
        <v>0</v>
      </c>
      <c r="U2823" s="1" t="s">
        <v>846</v>
      </c>
      <c r="V2823" s="1"/>
      <c r="W2823">
        <v>122.18</v>
      </c>
      <c r="X2823">
        <v>0</v>
      </c>
      <c r="Y2823">
        <v>93836</v>
      </c>
    </row>
    <row r="2824" spans="1:25" ht="15" hidden="1" customHeight="1" x14ac:dyDescent="0.25">
      <c r="A2824" s="1" t="s">
        <v>36</v>
      </c>
      <c r="B2824" s="1" t="s">
        <v>79</v>
      </c>
      <c r="C2824" s="1" t="s">
        <v>188</v>
      </c>
      <c r="D2824">
        <v>13869</v>
      </c>
      <c r="E2824" s="1" t="s">
        <v>79</v>
      </c>
      <c r="F2824" s="1" t="s">
        <v>317</v>
      </c>
      <c r="G2824" s="1" t="s">
        <v>188</v>
      </c>
      <c r="H2824" s="1" t="s">
        <v>1396</v>
      </c>
      <c r="I2824">
        <v>2013</v>
      </c>
      <c r="J2824" s="93">
        <v>194113.12</v>
      </c>
      <c r="K2824">
        <v>11</v>
      </c>
      <c r="L2824" s="1" t="s">
        <v>445</v>
      </c>
      <c r="M2824">
        <v>0</v>
      </c>
      <c r="N2824">
        <v>11569</v>
      </c>
      <c r="O2824">
        <v>16.778583999999999</v>
      </c>
      <c r="P2824">
        <v>1</v>
      </c>
      <c r="Q2824" s="1" t="s">
        <v>565</v>
      </c>
      <c r="R2824" s="93">
        <v>203997.98</v>
      </c>
      <c r="S2824">
        <v>13055.87</v>
      </c>
      <c r="T2824">
        <v>0</v>
      </c>
      <c r="U2824" s="1" t="s">
        <v>846</v>
      </c>
      <c r="V2824" s="1"/>
      <c r="W2824">
        <v>194.11312000000001</v>
      </c>
      <c r="X2824">
        <v>0</v>
      </c>
      <c r="Y2824">
        <v>93836</v>
      </c>
    </row>
    <row r="2825" spans="1:25" ht="15" hidden="1" customHeight="1" x14ac:dyDescent="0.25">
      <c r="A2825" s="1" t="s">
        <v>36</v>
      </c>
      <c r="B2825" s="1" t="s">
        <v>79</v>
      </c>
      <c r="C2825" s="1" t="s">
        <v>188</v>
      </c>
      <c r="D2825">
        <v>13869</v>
      </c>
      <c r="E2825" s="1" t="s">
        <v>79</v>
      </c>
      <c r="F2825" s="1" t="s">
        <v>317</v>
      </c>
      <c r="G2825" s="1" t="s">
        <v>188</v>
      </c>
      <c r="H2825" s="1" t="s">
        <v>1396</v>
      </c>
      <c r="I2825">
        <v>2012</v>
      </c>
      <c r="J2825" s="93">
        <v>253349.34</v>
      </c>
      <c r="K2825">
        <v>1</v>
      </c>
      <c r="L2825" s="1" t="s">
        <v>445</v>
      </c>
      <c r="M2825">
        <v>0</v>
      </c>
      <c r="N2825">
        <v>11569</v>
      </c>
      <c r="O2825">
        <v>21.898793999999999</v>
      </c>
      <c r="P2825">
        <v>1</v>
      </c>
      <c r="Q2825" s="1" t="s">
        <v>565</v>
      </c>
      <c r="R2825" s="93">
        <v>273634.02</v>
      </c>
      <c r="S2825">
        <v>50622.3</v>
      </c>
      <c r="T2825">
        <v>0</v>
      </c>
      <c r="U2825" s="1" t="s">
        <v>846</v>
      </c>
      <c r="V2825" s="1"/>
      <c r="W2825">
        <v>253.34934000000001</v>
      </c>
      <c r="X2825">
        <v>0</v>
      </c>
      <c r="Y2825">
        <v>93836</v>
      </c>
    </row>
    <row r="2826" spans="1:25" ht="15" hidden="1" customHeight="1" x14ac:dyDescent="0.25">
      <c r="A2826" s="1" t="s">
        <v>36</v>
      </c>
      <c r="B2826" s="1" t="s">
        <v>79</v>
      </c>
      <c r="C2826" s="1" t="s">
        <v>188</v>
      </c>
      <c r="D2826">
        <v>13869</v>
      </c>
      <c r="E2826" s="1" t="s">
        <v>79</v>
      </c>
      <c r="F2826" s="1" t="s">
        <v>317</v>
      </c>
      <c r="G2826" s="1" t="s">
        <v>188</v>
      </c>
      <c r="H2826" s="1" t="s">
        <v>1396</v>
      </c>
      <c r="I2826">
        <v>2011</v>
      </c>
      <c r="J2826" s="93">
        <v>240458.48</v>
      </c>
      <c r="K2826">
        <v>1</v>
      </c>
      <c r="L2826" s="1" t="s">
        <v>445</v>
      </c>
      <c r="M2826">
        <v>0</v>
      </c>
      <c r="N2826">
        <v>11569</v>
      </c>
      <c r="O2826">
        <v>20.784545000000001</v>
      </c>
      <c r="P2826">
        <v>1</v>
      </c>
      <c r="Q2826" s="1" t="s">
        <v>565</v>
      </c>
      <c r="R2826" s="93">
        <v>280015.58</v>
      </c>
      <c r="S2826">
        <v>51802.879999999997</v>
      </c>
      <c r="T2826">
        <v>0</v>
      </c>
      <c r="U2826" s="1" t="s">
        <v>846</v>
      </c>
      <c r="V2826" s="1"/>
      <c r="W2826">
        <v>240.45848000000001</v>
      </c>
      <c r="X2826">
        <v>0</v>
      </c>
      <c r="Y2826">
        <v>93836</v>
      </c>
    </row>
    <row r="2827" spans="1:25" ht="15" hidden="1" customHeight="1" x14ac:dyDescent="0.25">
      <c r="A2827" s="1" t="s">
        <v>36</v>
      </c>
      <c r="B2827" s="1" t="s">
        <v>79</v>
      </c>
      <c r="C2827" s="1" t="s">
        <v>188</v>
      </c>
      <c r="D2827">
        <v>13869</v>
      </c>
      <c r="E2827" s="1" t="s">
        <v>79</v>
      </c>
      <c r="F2827" s="1" t="s">
        <v>317</v>
      </c>
      <c r="G2827" s="1" t="s">
        <v>188</v>
      </c>
      <c r="H2827" s="1" t="s">
        <v>1396</v>
      </c>
      <c r="I2827">
        <v>2010</v>
      </c>
      <c r="J2827" s="93">
        <v>255452.05</v>
      </c>
      <c r="K2827">
        <v>1</v>
      </c>
      <c r="L2827" s="1" t="s">
        <v>445</v>
      </c>
      <c r="M2827">
        <v>0</v>
      </c>
      <c r="N2827">
        <v>11569</v>
      </c>
      <c r="O2827">
        <v>22.080545999999998</v>
      </c>
      <c r="P2827">
        <v>1</v>
      </c>
      <c r="Q2827" s="1" t="s">
        <v>565</v>
      </c>
      <c r="R2827" s="93">
        <v>333548.14</v>
      </c>
      <c r="S2827">
        <v>61706.41</v>
      </c>
      <c r="T2827">
        <v>0</v>
      </c>
      <c r="U2827" s="1" t="s">
        <v>846</v>
      </c>
      <c r="V2827" s="1"/>
      <c r="W2827">
        <v>255.45205000000001</v>
      </c>
      <c r="X2827">
        <v>0</v>
      </c>
      <c r="Y2827">
        <v>93836</v>
      </c>
    </row>
    <row r="2828" spans="1:25" ht="15" hidden="1" customHeight="1" x14ac:dyDescent="0.25">
      <c r="A2828" s="1" t="s">
        <v>36</v>
      </c>
      <c r="B2828" s="1" t="s">
        <v>79</v>
      </c>
      <c r="C2828" s="1" t="s">
        <v>188</v>
      </c>
      <c r="D2828">
        <v>13869</v>
      </c>
      <c r="E2828" s="1" t="s">
        <v>79</v>
      </c>
      <c r="F2828" s="1" t="s">
        <v>317</v>
      </c>
      <c r="G2828" s="1" t="s">
        <v>188</v>
      </c>
      <c r="H2828" s="1" t="s">
        <v>1396</v>
      </c>
      <c r="I2828">
        <v>2009</v>
      </c>
      <c r="J2828" s="93">
        <v>230628.6</v>
      </c>
      <c r="K2828">
        <v>1</v>
      </c>
      <c r="L2828" s="1" t="s">
        <v>445</v>
      </c>
      <c r="M2828">
        <v>0</v>
      </c>
      <c r="N2828">
        <v>11569</v>
      </c>
      <c r="O2828">
        <v>19.934878000000001</v>
      </c>
      <c r="P2828">
        <v>1</v>
      </c>
      <c r="Q2828" s="1" t="s">
        <v>565</v>
      </c>
      <c r="R2828" s="93">
        <v>321579.90999999997</v>
      </c>
      <c r="S2828">
        <v>59492.29</v>
      </c>
      <c r="T2828">
        <v>0</v>
      </c>
      <c r="U2828" s="1" t="s">
        <v>846</v>
      </c>
      <c r="V2828" s="1"/>
      <c r="W2828">
        <v>230.62860000000001</v>
      </c>
      <c r="X2828">
        <v>0</v>
      </c>
      <c r="Y2828">
        <v>93836</v>
      </c>
    </row>
    <row r="2829" spans="1:25" ht="15" hidden="1" customHeight="1" x14ac:dyDescent="0.25">
      <c r="A2829" s="1" t="s">
        <v>36</v>
      </c>
      <c r="B2829" s="1" t="s">
        <v>79</v>
      </c>
      <c r="C2829" s="1" t="s">
        <v>188</v>
      </c>
      <c r="D2829">
        <v>13869</v>
      </c>
      <c r="E2829" s="1" t="s">
        <v>79</v>
      </c>
      <c r="F2829" s="1" t="s">
        <v>317</v>
      </c>
      <c r="G2829" s="1" t="s">
        <v>188</v>
      </c>
      <c r="H2829" s="1" t="s">
        <v>1396</v>
      </c>
      <c r="I2829">
        <v>2008</v>
      </c>
      <c r="J2829" s="93">
        <v>66108.39</v>
      </c>
      <c r="K2829">
        <v>2</v>
      </c>
      <c r="L2829" s="1" t="s">
        <v>445</v>
      </c>
      <c r="M2829">
        <v>0</v>
      </c>
      <c r="N2829">
        <v>11569</v>
      </c>
      <c r="O2829">
        <v>5.7142200000000001</v>
      </c>
      <c r="P2829">
        <v>1</v>
      </c>
      <c r="Q2829" s="1" t="s">
        <v>565</v>
      </c>
      <c r="R2829" s="93">
        <v>69064.22</v>
      </c>
      <c r="S2829">
        <v>12776.9</v>
      </c>
      <c r="T2829">
        <v>0</v>
      </c>
      <c r="U2829" s="1" t="s">
        <v>846</v>
      </c>
      <c r="V2829" s="1"/>
      <c r="W2829">
        <v>66.10839</v>
      </c>
      <c r="X2829">
        <v>0</v>
      </c>
      <c r="Y2829">
        <v>93836</v>
      </c>
    </row>
    <row r="2830" spans="1:25" ht="15" hidden="1" customHeight="1" x14ac:dyDescent="0.25">
      <c r="A2830" s="1" t="s">
        <v>36</v>
      </c>
      <c r="B2830" s="1"/>
      <c r="C2830" s="1" t="s">
        <v>189</v>
      </c>
      <c r="D2830">
        <v>9520</v>
      </c>
      <c r="E2830" s="1"/>
      <c r="F2830" s="1" t="s">
        <v>318</v>
      </c>
      <c r="G2830" s="1" t="s">
        <v>1482</v>
      </c>
      <c r="H2830" s="1" t="s">
        <v>1396</v>
      </c>
      <c r="I2830">
        <v>2015</v>
      </c>
      <c r="J2830" s="93">
        <v>78802.55</v>
      </c>
      <c r="K2830">
        <v>5</v>
      </c>
      <c r="L2830" s="1"/>
      <c r="M2830">
        <v>0</v>
      </c>
      <c r="N2830">
        <v>1935</v>
      </c>
      <c r="O2830">
        <v>40.722726999999999</v>
      </c>
      <c r="P2830">
        <v>1</v>
      </c>
      <c r="Q2830" s="1" t="s">
        <v>563</v>
      </c>
      <c r="R2830" s="93">
        <v>89035.08</v>
      </c>
      <c r="S2830">
        <v>163.32</v>
      </c>
      <c r="T2830">
        <v>1</v>
      </c>
      <c r="U2830" s="1" t="s">
        <v>847</v>
      </c>
      <c r="V2830" s="1"/>
      <c r="W2830">
        <v>2258.6</v>
      </c>
      <c r="X2830">
        <v>74437</v>
      </c>
      <c r="Y2830">
        <v>74438</v>
      </c>
    </row>
    <row r="2831" spans="1:25" ht="15" hidden="1" customHeight="1" x14ac:dyDescent="0.25">
      <c r="A2831" s="1" t="s">
        <v>36</v>
      </c>
      <c r="B2831" s="1"/>
      <c r="C2831" s="1" t="s">
        <v>189</v>
      </c>
      <c r="D2831">
        <v>9520</v>
      </c>
      <c r="E2831" s="1"/>
      <c r="F2831" s="1" t="s">
        <v>318</v>
      </c>
      <c r="G2831" s="1" t="s">
        <v>1482</v>
      </c>
      <c r="H2831" s="1" t="s">
        <v>1396</v>
      </c>
      <c r="I2831">
        <v>2013</v>
      </c>
      <c r="J2831" s="93">
        <v>189979.51999999999</v>
      </c>
      <c r="K2831">
        <v>12</v>
      </c>
      <c r="L2831" s="1"/>
      <c r="M2831">
        <v>0</v>
      </c>
      <c r="N2831">
        <v>1935</v>
      </c>
      <c r="O2831">
        <v>98.175556</v>
      </c>
      <c r="P2831">
        <v>1</v>
      </c>
      <c r="Q2831" s="1" t="s">
        <v>563</v>
      </c>
      <c r="R2831" s="93">
        <v>201897.65</v>
      </c>
      <c r="S2831">
        <v>370.36</v>
      </c>
      <c r="T2831">
        <v>1</v>
      </c>
      <c r="U2831" s="1" t="s">
        <v>847</v>
      </c>
      <c r="V2831" s="1"/>
      <c r="W2831">
        <v>5445.1</v>
      </c>
      <c r="X2831">
        <v>74437</v>
      </c>
      <c r="Y2831">
        <v>74438</v>
      </c>
    </row>
    <row r="2832" spans="1:25" ht="15" hidden="1" customHeight="1" x14ac:dyDescent="0.25">
      <c r="A2832" s="1" t="s">
        <v>36</v>
      </c>
      <c r="B2832" s="1"/>
      <c r="C2832" s="1" t="s">
        <v>189</v>
      </c>
      <c r="D2832">
        <v>9520</v>
      </c>
      <c r="E2832" s="1"/>
      <c r="F2832" s="1" t="s">
        <v>318</v>
      </c>
      <c r="G2832" s="1" t="s">
        <v>1482</v>
      </c>
      <c r="H2832" s="1" t="s">
        <v>1396</v>
      </c>
      <c r="I2832">
        <v>2012</v>
      </c>
      <c r="J2832" s="93">
        <v>173431.22</v>
      </c>
      <c r="K2832">
        <v>12</v>
      </c>
      <c r="L2832" s="1"/>
      <c r="M2832">
        <v>0</v>
      </c>
      <c r="N2832">
        <v>1935</v>
      </c>
      <c r="O2832">
        <v>89.623904999999993</v>
      </c>
      <c r="P2832">
        <v>1</v>
      </c>
      <c r="Q2832" s="1" t="s">
        <v>563</v>
      </c>
      <c r="R2832" s="93">
        <v>182074.68</v>
      </c>
      <c r="S2832">
        <v>965.42</v>
      </c>
      <c r="T2832">
        <v>1</v>
      </c>
      <c r="U2832" s="1" t="s">
        <v>847</v>
      </c>
      <c r="V2832" s="1"/>
      <c r="W2832">
        <v>4970.8</v>
      </c>
      <c r="X2832">
        <v>74437</v>
      </c>
      <c r="Y2832">
        <v>74438</v>
      </c>
    </row>
    <row r="2833" spans="1:25" ht="15" hidden="1" customHeight="1" x14ac:dyDescent="0.25">
      <c r="A2833" s="1" t="s">
        <v>36</v>
      </c>
      <c r="B2833" s="1"/>
      <c r="C2833" s="1" t="s">
        <v>189</v>
      </c>
      <c r="D2833">
        <v>9520</v>
      </c>
      <c r="E2833" s="1"/>
      <c r="F2833" s="1" t="s">
        <v>318</v>
      </c>
      <c r="G2833" s="1" t="s">
        <v>1482</v>
      </c>
      <c r="H2833" s="1" t="s">
        <v>1396</v>
      </c>
      <c r="I2833">
        <v>2011</v>
      </c>
      <c r="J2833" s="93">
        <v>168382.62</v>
      </c>
      <c r="K2833">
        <v>12</v>
      </c>
      <c r="L2833" s="1"/>
      <c r="M2833">
        <v>0</v>
      </c>
      <c r="N2833">
        <v>1935</v>
      </c>
      <c r="O2833">
        <v>87.014944</v>
      </c>
      <c r="P2833">
        <v>1</v>
      </c>
      <c r="Q2833" s="1" t="s">
        <v>563</v>
      </c>
      <c r="R2833" s="93">
        <v>182574.42</v>
      </c>
      <c r="S2833">
        <v>968.08</v>
      </c>
      <c r="T2833">
        <v>1</v>
      </c>
      <c r="U2833" s="1" t="s">
        <v>847</v>
      </c>
      <c r="V2833" s="1"/>
      <c r="W2833">
        <v>4826.1000000000004</v>
      </c>
      <c r="X2833">
        <v>74437</v>
      </c>
      <c r="Y2833">
        <v>74438</v>
      </c>
    </row>
    <row r="2834" spans="1:25" ht="15" hidden="1" customHeight="1" x14ac:dyDescent="0.25">
      <c r="A2834" s="1" t="s">
        <v>36</v>
      </c>
      <c r="B2834" s="1"/>
      <c r="C2834" s="1" t="s">
        <v>189</v>
      </c>
      <c r="D2834">
        <v>9520</v>
      </c>
      <c r="E2834" s="1"/>
      <c r="F2834" s="1" t="s">
        <v>318</v>
      </c>
      <c r="G2834" s="1" t="s">
        <v>1482</v>
      </c>
      <c r="H2834" s="1" t="s">
        <v>1396</v>
      </c>
      <c r="I2834">
        <v>2010</v>
      </c>
      <c r="J2834" s="93">
        <v>212794.09</v>
      </c>
      <c r="K2834">
        <v>12</v>
      </c>
      <c r="L2834" s="1"/>
      <c r="M2834">
        <v>0</v>
      </c>
      <c r="N2834">
        <v>1935</v>
      </c>
      <c r="O2834">
        <v>109.965422</v>
      </c>
      <c r="P2834">
        <v>1</v>
      </c>
      <c r="Q2834" s="1" t="s">
        <v>563</v>
      </c>
      <c r="R2834" s="93">
        <v>194395.38</v>
      </c>
      <c r="S2834">
        <v>1030.76</v>
      </c>
      <c r="T2834">
        <v>1</v>
      </c>
      <c r="U2834" s="1" t="s">
        <v>847</v>
      </c>
      <c r="V2834" s="1"/>
      <c r="W2834">
        <v>6099</v>
      </c>
      <c r="X2834">
        <v>74437</v>
      </c>
      <c r="Y2834">
        <v>74438</v>
      </c>
    </row>
    <row r="2835" spans="1:25" ht="15" hidden="1" customHeight="1" x14ac:dyDescent="0.25">
      <c r="A2835" s="1" t="s">
        <v>36</v>
      </c>
      <c r="B2835" s="1"/>
      <c r="C2835" s="1" t="s">
        <v>189</v>
      </c>
      <c r="D2835">
        <v>9520</v>
      </c>
      <c r="E2835" s="1"/>
      <c r="F2835" s="1" t="s">
        <v>318</v>
      </c>
      <c r="G2835" s="1" t="s">
        <v>1482</v>
      </c>
      <c r="H2835" s="1" t="s">
        <v>1396</v>
      </c>
      <c r="I2835">
        <v>2009</v>
      </c>
      <c r="J2835" s="93">
        <v>169837.55</v>
      </c>
      <c r="K2835">
        <v>12</v>
      </c>
      <c r="L2835" s="1"/>
      <c r="M2835">
        <v>0</v>
      </c>
      <c r="N2835">
        <v>1935</v>
      </c>
      <c r="O2835">
        <v>87.766807</v>
      </c>
      <c r="P2835">
        <v>1</v>
      </c>
      <c r="Q2835" s="1" t="s">
        <v>563</v>
      </c>
      <c r="R2835" s="93">
        <v>246455.24</v>
      </c>
      <c r="S2835">
        <v>1306.79</v>
      </c>
      <c r="T2835">
        <v>1</v>
      </c>
      <c r="U2835" s="1" t="s">
        <v>847</v>
      </c>
      <c r="V2835" s="1"/>
      <c r="W2835">
        <v>4867.8</v>
      </c>
      <c r="X2835">
        <v>74437</v>
      </c>
      <c r="Y2835">
        <v>74438</v>
      </c>
    </row>
    <row r="2836" spans="1:25" ht="15" hidden="1" customHeight="1" x14ac:dyDescent="0.25">
      <c r="A2836" s="1" t="s">
        <v>36</v>
      </c>
      <c r="B2836" s="1"/>
      <c r="C2836" s="1" t="s">
        <v>189</v>
      </c>
      <c r="D2836">
        <v>9520</v>
      </c>
      <c r="E2836" s="1"/>
      <c r="F2836" s="1" t="s">
        <v>318</v>
      </c>
      <c r="G2836" s="1" t="s">
        <v>1482</v>
      </c>
      <c r="H2836" s="1" t="s">
        <v>1396</v>
      </c>
      <c r="I2836">
        <v>2008</v>
      </c>
      <c r="J2836" s="93">
        <v>132742.5</v>
      </c>
      <c r="K2836">
        <v>12</v>
      </c>
      <c r="L2836" s="1"/>
      <c r="M2836">
        <v>0</v>
      </c>
      <c r="N2836">
        <v>1935</v>
      </c>
      <c r="O2836">
        <v>68.597229999999996</v>
      </c>
      <c r="P2836">
        <v>1</v>
      </c>
      <c r="Q2836" s="1" t="s">
        <v>563</v>
      </c>
      <c r="R2836" s="93">
        <v>156053.45000000001</v>
      </c>
      <c r="S2836">
        <v>827.45</v>
      </c>
      <c r="T2836">
        <v>1</v>
      </c>
      <c r="U2836" s="1" t="s">
        <v>847</v>
      </c>
      <c r="V2836" s="1"/>
      <c r="W2836">
        <v>3804.6</v>
      </c>
      <c r="X2836">
        <v>74437</v>
      </c>
      <c r="Y2836">
        <v>74438</v>
      </c>
    </row>
    <row r="2837" spans="1:25" ht="15" hidden="1" customHeight="1" x14ac:dyDescent="0.25">
      <c r="A2837" s="1" t="s">
        <v>36</v>
      </c>
      <c r="B2837" s="1" t="s">
        <v>79</v>
      </c>
      <c r="C2837" s="1" t="s">
        <v>188</v>
      </c>
      <c r="D2837">
        <v>13869</v>
      </c>
      <c r="E2837" s="1" t="s">
        <v>79</v>
      </c>
      <c r="F2837" s="1" t="s">
        <v>317</v>
      </c>
      <c r="G2837" s="1" t="s">
        <v>188</v>
      </c>
      <c r="H2837" s="1" t="s">
        <v>1396</v>
      </c>
      <c r="I2837">
        <v>2014</v>
      </c>
      <c r="J2837" s="93">
        <v>180060</v>
      </c>
      <c r="K2837">
        <v>12</v>
      </c>
      <c r="L2837" s="1" t="s">
        <v>445</v>
      </c>
      <c r="M2837">
        <v>0</v>
      </c>
      <c r="N2837">
        <v>11569</v>
      </c>
      <c r="O2837">
        <v>15.563872</v>
      </c>
      <c r="P2837">
        <v>1</v>
      </c>
      <c r="Q2837" s="1" t="s">
        <v>565</v>
      </c>
      <c r="R2837" s="93">
        <v>212357.7</v>
      </c>
      <c r="S2837">
        <v>13590.89</v>
      </c>
      <c r="T2837">
        <v>0</v>
      </c>
      <c r="U2837" s="1" t="s">
        <v>846</v>
      </c>
      <c r="V2837" s="1"/>
      <c r="W2837">
        <v>180.06</v>
      </c>
      <c r="X2837">
        <v>0</v>
      </c>
      <c r="Y2837">
        <v>93836</v>
      </c>
    </row>
    <row r="2838" spans="1:25" ht="15" hidden="1" customHeight="1" x14ac:dyDescent="0.25">
      <c r="A2838" s="1" t="s">
        <v>36</v>
      </c>
      <c r="B2838" s="1" t="s">
        <v>79</v>
      </c>
      <c r="C2838" s="1" t="s">
        <v>188</v>
      </c>
      <c r="D2838">
        <v>13869</v>
      </c>
      <c r="E2838" s="1" t="s">
        <v>79</v>
      </c>
      <c r="F2838" s="1" t="s">
        <v>317</v>
      </c>
      <c r="G2838" s="1" t="s">
        <v>188</v>
      </c>
      <c r="H2838" s="1" t="s">
        <v>1396</v>
      </c>
      <c r="I2838">
        <v>2014</v>
      </c>
      <c r="J2838" s="93">
        <v>611997.68000000005</v>
      </c>
      <c r="K2838">
        <v>12</v>
      </c>
      <c r="L2838" s="1" t="s">
        <v>445</v>
      </c>
      <c r="M2838">
        <v>0</v>
      </c>
      <c r="N2838">
        <v>11569</v>
      </c>
      <c r="O2838">
        <v>52.899332999999999</v>
      </c>
      <c r="P2838">
        <v>2</v>
      </c>
      <c r="Q2838" s="1" t="s">
        <v>569</v>
      </c>
      <c r="R2838" s="93">
        <v>611997.68000000005</v>
      </c>
      <c r="S2838">
        <v>183599.31</v>
      </c>
      <c r="T2838">
        <v>0</v>
      </c>
      <c r="U2838" s="1" t="s">
        <v>1065</v>
      </c>
      <c r="V2838" s="1" t="s">
        <v>1324</v>
      </c>
      <c r="W2838">
        <v>611997.68000000005</v>
      </c>
      <c r="X2838">
        <v>0</v>
      </c>
      <c r="Y2838">
        <v>92218</v>
      </c>
    </row>
    <row r="2839" spans="1:25" ht="15" hidden="1" customHeight="1" x14ac:dyDescent="0.25">
      <c r="A2839" s="1" t="s">
        <v>36</v>
      </c>
      <c r="B2839" s="1" t="s">
        <v>79</v>
      </c>
      <c r="C2839" s="1" t="s">
        <v>188</v>
      </c>
      <c r="D2839">
        <v>13869</v>
      </c>
      <c r="E2839" s="1" t="s">
        <v>79</v>
      </c>
      <c r="F2839" s="1" t="s">
        <v>317</v>
      </c>
      <c r="G2839" s="1" t="s">
        <v>188</v>
      </c>
      <c r="H2839" s="1" t="s">
        <v>1396</v>
      </c>
      <c r="I2839">
        <v>2014</v>
      </c>
      <c r="J2839" s="93">
        <v>1593.18</v>
      </c>
      <c r="K2839">
        <v>12</v>
      </c>
      <c r="L2839" s="1" t="s">
        <v>445</v>
      </c>
      <c r="M2839">
        <v>0</v>
      </c>
      <c r="N2839">
        <v>11569</v>
      </c>
      <c r="O2839">
        <v>0.137709</v>
      </c>
      <c r="P2839">
        <v>3</v>
      </c>
      <c r="Q2839" s="1" t="s">
        <v>560</v>
      </c>
      <c r="R2839" s="93">
        <v>1593.18</v>
      </c>
      <c r="S2839">
        <v>1274.56</v>
      </c>
      <c r="T2839">
        <v>0</v>
      </c>
      <c r="U2839" s="1" t="s">
        <v>669</v>
      </c>
      <c r="V2839" s="1"/>
      <c r="W2839">
        <v>1593.1869999999999</v>
      </c>
      <c r="X2839">
        <v>0</v>
      </c>
      <c r="Y2839">
        <v>92219</v>
      </c>
    </row>
    <row r="2840" spans="1:25" ht="15" hidden="1" customHeight="1" x14ac:dyDescent="0.25">
      <c r="A2840" s="1" t="s">
        <v>36</v>
      </c>
      <c r="B2840" s="1"/>
      <c r="C2840" s="1" t="s">
        <v>189</v>
      </c>
      <c r="D2840">
        <v>9520</v>
      </c>
      <c r="E2840" s="1"/>
      <c r="F2840" s="1" t="s">
        <v>318</v>
      </c>
      <c r="G2840" s="1" t="s">
        <v>1482</v>
      </c>
      <c r="H2840" s="1" t="s">
        <v>1396</v>
      </c>
      <c r="I2840">
        <v>2014</v>
      </c>
      <c r="J2840" s="93">
        <v>148547.69</v>
      </c>
      <c r="K2840">
        <v>12</v>
      </c>
      <c r="L2840" s="1"/>
      <c r="M2840">
        <v>0</v>
      </c>
      <c r="N2840">
        <v>1935</v>
      </c>
      <c r="O2840">
        <v>76.764864000000003</v>
      </c>
      <c r="P2840">
        <v>1</v>
      </c>
      <c r="Q2840" s="1" t="s">
        <v>563</v>
      </c>
      <c r="R2840" s="93">
        <v>175358.79</v>
      </c>
      <c r="S2840">
        <v>321.64999999999998</v>
      </c>
      <c r="T2840">
        <v>1</v>
      </c>
      <c r="U2840" s="1" t="s">
        <v>847</v>
      </c>
      <c r="V2840" s="1"/>
      <c r="W2840">
        <v>4257.6000000000004</v>
      </c>
      <c r="X2840">
        <v>74437</v>
      </c>
      <c r="Y2840">
        <v>74438</v>
      </c>
    </row>
    <row r="2841" spans="1:25" ht="15" hidden="1" customHeight="1" x14ac:dyDescent="0.25">
      <c r="A2841" s="1" t="s">
        <v>36</v>
      </c>
      <c r="B2841" s="1" t="s">
        <v>77</v>
      </c>
      <c r="C2841" s="1" t="s">
        <v>185</v>
      </c>
      <c r="D2841">
        <v>13870</v>
      </c>
      <c r="E2841" s="1" t="s">
        <v>243</v>
      </c>
      <c r="F2841" s="1" t="s">
        <v>315</v>
      </c>
      <c r="G2841" s="1" t="s">
        <v>185</v>
      </c>
      <c r="H2841" s="1" t="s">
        <v>1396</v>
      </c>
      <c r="I2841">
        <v>2015</v>
      </c>
      <c r="J2841" s="93">
        <v>0</v>
      </c>
      <c r="K2841">
        <v>5</v>
      </c>
      <c r="L2841" s="1"/>
      <c r="M2841">
        <v>0</v>
      </c>
      <c r="N2841">
        <v>1104</v>
      </c>
      <c r="O2841">
        <v>23.906312</v>
      </c>
      <c r="P2841">
        <v>2</v>
      </c>
      <c r="Q2841" s="1" t="s">
        <v>569</v>
      </c>
      <c r="R2841" s="93">
        <v>26394.959999999999</v>
      </c>
      <c r="S2841">
        <v>7918.49</v>
      </c>
      <c r="T2841">
        <v>0</v>
      </c>
      <c r="U2841" s="1" t="s">
        <v>1061</v>
      </c>
      <c r="V2841" s="1"/>
      <c r="W2841">
        <v>26394.954000000002</v>
      </c>
      <c r="X2841">
        <v>0</v>
      </c>
      <c r="Y2841">
        <v>94115</v>
      </c>
    </row>
    <row r="2842" spans="1:25" ht="15" hidden="1" customHeight="1" x14ac:dyDescent="0.25">
      <c r="A2842" s="1" t="s">
        <v>36</v>
      </c>
      <c r="B2842" s="1" t="s">
        <v>77</v>
      </c>
      <c r="C2842" s="1" t="s">
        <v>185</v>
      </c>
      <c r="D2842">
        <v>13870</v>
      </c>
      <c r="E2842" s="1" t="s">
        <v>243</v>
      </c>
      <c r="F2842" s="1" t="s">
        <v>315</v>
      </c>
      <c r="G2842" s="1" t="s">
        <v>185</v>
      </c>
      <c r="H2842" s="1" t="s">
        <v>1396</v>
      </c>
      <c r="I2842">
        <v>2013</v>
      </c>
      <c r="J2842" s="93">
        <v>44687.08</v>
      </c>
      <c r="K2842">
        <v>9</v>
      </c>
      <c r="L2842" s="1"/>
      <c r="M2842">
        <v>0</v>
      </c>
      <c r="N2842">
        <v>1104</v>
      </c>
      <c r="O2842">
        <v>40.473761000000003</v>
      </c>
      <c r="P2842">
        <v>2</v>
      </c>
      <c r="Q2842" s="1" t="s">
        <v>569</v>
      </c>
      <c r="R2842" s="93">
        <v>44687.08</v>
      </c>
      <c r="S2842">
        <v>13406.12</v>
      </c>
      <c r="T2842">
        <v>0</v>
      </c>
      <c r="U2842" s="1" t="s">
        <v>1061</v>
      </c>
      <c r="V2842" s="1"/>
      <c r="W2842">
        <v>44687.088000000003</v>
      </c>
      <c r="X2842">
        <v>0</v>
      </c>
      <c r="Y2842">
        <v>94115</v>
      </c>
    </row>
    <row r="2843" spans="1:25" ht="15" hidden="1" customHeight="1" x14ac:dyDescent="0.25">
      <c r="A2843" s="1" t="s">
        <v>36</v>
      </c>
      <c r="B2843" s="1" t="s">
        <v>77</v>
      </c>
      <c r="C2843" s="1" t="s">
        <v>185</v>
      </c>
      <c r="D2843">
        <v>13870</v>
      </c>
      <c r="E2843" s="1" t="s">
        <v>243</v>
      </c>
      <c r="F2843" s="1" t="s">
        <v>315</v>
      </c>
      <c r="G2843" s="1" t="s">
        <v>185</v>
      </c>
      <c r="H2843" s="1" t="s">
        <v>1396</v>
      </c>
      <c r="I2843">
        <v>2013</v>
      </c>
      <c r="J2843" s="93">
        <v>15396.8</v>
      </c>
      <c r="K2843">
        <v>1</v>
      </c>
      <c r="L2843" s="1" t="s">
        <v>445</v>
      </c>
      <c r="M2843">
        <v>0</v>
      </c>
      <c r="N2843">
        <v>1104</v>
      </c>
      <c r="O2843">
        <v>13.945112999999999</v>
      </c>
      <c r="P2843">
        <v>2</v>
      </c>
      <c r="Q2843" s="1" t="s">
        <v>569</v>
      </c>
      <c r="R2843" s="93">
        <v>15396.8</v>
      </c>
      <c r="S2843">
        <v>4619.04</v>
      </c>
      <c r="T2843">
        <v>0</v>
      </c>
      <c r="U2843" s="1" t="s">
        <v>1061</v>
      </c>
      <c r="V2843" s="1" t="s">
        <v>1321</v>
      </c>
      <c r="W2843">
        <v>15396.796340000001</v>
      </c>
      <c r="X2843">
        <v>0</v>
      </c>
      <c r="Y2843">
        <v>92220</v>
      </c>
    </row>
    <row r="2844" spans="1:25" ht="15" hidden="1" customHeight="1" x14ac:dyDescent="0.25">
      <c r="A2844" s="1" t="s">
        <v>36</v>
      </c>
      <c r="B2844" s="1" t="s">
        <v>77</v>
      </c>
      <c r="C2844" s="1" t="s">
        <v>185</v>
      </c>
      <c r="D2844">
        <v>13870</v>
      </c>
      <c r="E2844" s="1" t="s">
        <v>243</v>
      </c>
      <c r="F2844" s="1" t="s">
        <v>315</v>
      </c>
      <c r="G2844" s="1" t="s">
        <v>185</v>
      </c>
      <c r="H2844" s="1" t="s">
        <v>1396</v>
      </c>
      <c r="I2844">
        <v>2012</v>
      </c>
      <c r="J2844" s="93">
        <v>63332.81</v>
      </c>
      <c r="K2844">
        <v>1</v>
      </c>
      <c r="L2844" s="1" t="s">
        <v>445</v>
      </c>
      <c r="M2844">
        <v>0</v>
      </c>
      <c r="N2844">
        <v>1104</v>
      </c>
      <c r="O2844">
        <v>57.361479000000003</v>
      </c>
      <c r="P2844">
        <v>2</v>
      </c>
      <c r="Q2844" s="1" t="s">
        <v>569</v>
      </c>
      <c r="R2844" s="93">
        <v>63332.81</v>
      </c>
      <c r="S2844">
        <v>25333.1</v>
      </c>
      <c r="T2844">
        <v>0</v>
      </c>
      <c r="U2844" s="1" t="s">
        <v>1061</v>
      </c>
      <c r="V2844" s="1" t="s">
        <v>1321</v>
      </c>
      <c r="W2844">
        <v>63332.816910000001</v>
      </c>
      <c r="X2844">
        <v>0</v>
      </c>
      <c r="Y2844">
        <v>92220</v>
      </c>
    </row>
    <row r="2845" spans="1:25" ht="15" hidden="1" customHeight="1" x14ac:dyDescent="0.25">
      <c r="A2845" s="1" t="s">
        <v>36</v>
      </c>
      <c r="B2845" s="1" t="s">
        <v>77</v>
      </c>
      <c r="C2845" s="1" t="s">
        <v>185</v>
      </c>
      <c r="D2845">
        <v>13870</v>
      </c>
      <c r="E2845" s="1" t="s">
        <v>243</v>
      </c>
      <c r="F2845" s="1" t="s">
        <v>315</v>
      </c>
      <c r="G2845" s="1" t="s">
        <v>185</v>
      </c>
      <c r="H2845" s="1" t="s">
        <v>1396</v>
      </c>
      <c r="I2845">
        <v>2011</v>
      </c>
      <c r="J2845" s="93">
        <v>63921.13</v>
      </c>
      <c r="K2845">
        <v>1</v>
      </c>
      <c r="L2845" s="1" t="s">
        <v>445</v>
      </c>
      <c r="M2845">
        <v>0</v>
      </c>
      <c r="N2845">
        <v>1104</v>
      </c>
      <c r="O2845">
        <v>57.894329999999997</v>
      </c>
      <c r="P2845">
        <v>2</v>
      </c>
      <c r="Q2845" s="1" t="s">
        <v>569</v>
      </c>
      <c r="R2845" s="93">
        <v>63921.13</v>
      </c>
      <c r="S2845">
        <v>29979.01</v>
      </c>
      <c r="T2845">
        <v>0</v>
      </c>
      <c r="U2845" s="1" t="s">
        <v>1061</v>
      </c>
      <c r="V2845" s="1" t="s">
        <v>1321</v>
      </c>
      <c r="W2845">
        <v>63921.136720000002</v>
      </c>
      <c r="X2845">
        <v>0</v>
      </c>
      <c r="Y2845">
        <v>92220</v>
      </c>
    </row>
    <row r="2846" spans="1:25" ht="15" hidden="1" customHeight="1" x14ac:dyDescent="0.25">
      <c r="A2846" s="1" t="s">
        <v>36</v>
      </c>
      <c r="B2846" s="1" t="s">
        <v>77</v>
      </c>
      <c r="C2846" s="1" t="s">
        <v>185</v>
      </c>
      <c r="D2846">
        <v>13870</v>
      </c>
      <c r="E2846" s="1" t="s">
        <v>243</v>
      </c>
      <c r="F2846" s="1" t="s">
        <v>315</v>
      </c>
      <c r="G2846" s="1" t="s">
        <v>185</v>
      </c>
      <c r="H2846" s="1" t="s">
        <v>1396</v>
      </c>
      <c r="I2846">
        <v>2010</v>
      </c>
      <c r="J2846" s="93">
        <v>64759.38</v>
      </c>
      <c r="K2846">
        <v>5</v>
      </c>
      <c r="L2846" s="1" t="s">
        <v>445</v>
      </c>
      <c r="M2846">
        <v>0</v>
      </c>
      <c r="N2846">
        <v>1104</v>
      </c>
      <c r="O2846">
        <v>58.653545000000001</v>
      </c>
      <c r="P2846">
        <v>2</v>
      </c>
      <c r="Q2846" s="1" t="s">
        <v>569</v>
      </c>
      <c r="R2846" s="93">
        <v>64759.38</v>
      </c>
      <c r="S2846">
        <v>30372.15</v>
      </c>
      <c r="T2846">
        <v>0</v>
      </c>
      <c r="U2846" s="1" t="s">
        <v>1061</v>
      </c>
      <c r="V2846" s="1" t="s">
        <v>1321</v>
      </c>
      <c r="W2846">
        <v>64759.38697</v>
      </c>
      <c r="X2846">
        <v>0</v>
      </c>
      <c r="Y2846">
        <v>92220</v>
      </c>
    </row>
    <row r="2847" spans="1:25" ht="15" hidden="1" customHeight="1" x14ac:dyDescent="0.25">
      <c r="A2847" s="1" t="s">
        <v>36</v>
      </c>
      <c r="B2847" s="1" t="s">
        <v>77</v>
      </c>
      <c r="C2847" s="1" t="s">
        <v>185</v>
      </c>
      <c r="D2847">
        <v>13870</v>
      </c>
      <c r="E2847" s="1" t="s">
        <v>243</v>
      </c>
      <c r="F2847" s="1" t="s">
        <v>315</v>
      </c>
      <c r="G2847" s="1" t="s">
        <v>185</v>
      </c>
      <c r="H2847" s="1" t="s">
        <v>1396</v>
      </c>
      <c r="I2847">
        <v>2009</v>
      </c>
      <c r="J2847" s="93">
        <v>69390.03</v>
      </c>
      <c r="K2847">
        <v>1</v>
      </c>
      <c r="L2847" s="1" t="s">
        <v>445</v>
      </c>
      <c r="M2847">
        <v>0</v>
      </c>
      <c r="N2847">
        <v>1104</v>
      </c>
      <c r="O2847">
        <v>62.847594999999998</v>
      </c>
      <c r="P2847">
        <v>2</v>
      </c>
      <c r="Q2847" s="1" t="s">
        <v>569</v>
      </c>
      <c r="R2847" s="93">
        <v>69390.03</v>
      </c>
      <c r="S2847">
        <v>32543.919999999998</v>
      </c>
      <c r="T2847">
        <v>0</v>
      </c>
      <c r="U2847" s="1" t="s">
        <v>1061</v>
      </c>
      <c r="V2847" s="1" t="s">
        <v>1321</v>
      </c>
      <c r="W2847">
        <v>69390.015700000004</v>
      </c>
      <c r="X2847">
        <v>0</v>
      </c>
      <c r="Y2847">
        <v>92220</v>
      </c>
    </row>
    <row r="2848" spans="1:25" ht="15" hidden="1" customHeight="1" x14ac:dyDescent="0.25">
      <c r="A2848" s="1" t="s">
        <v>36</v>
      </c>
      <c r="B2848" s="1" t="s">
        <v>77</v>
      </c>
      <c r="C2848" s="1" t="s">
        <v>185</v>
      </c>
      <c r="D2848">
        <v>13870</v>
      </c>
      <c r="E2848" s="1" t="s">
        <v>243</v>
      </c>
      <c r="F2848" s="1" t="s">
        <v>315</v>
      </c>
      <c r="G2848" s="1" t="s">
        <v>185</v>
      </c>
      <c r="H2848" s="1" t="s">
        <v>1396</v>
      </c>
      <c r="I2848">
        <v>2008</v>
      </c>
      <c r="J2848" s="93">
        <v>62679.81</v>
      </c>
      <c r="K2848">
        <v>1</v>
      </c>
      <c r="L2848" s="1" t="s">
        <v>445</v>
      </c>
      <c r="M2848">
        <v>0</v>
      </c>
      <c r="N2848">
        <v>1104</v>
      </c>
      <c r="O2848">
        <v>56.770048000000003</v>
      </c>
      <c r="P2848">
        <v>2</v>
      </c>
      <c r="Q2848" s="1" t="s">
        <v>569</v>
      </c>
      <c r="R2848" s="93">
        <v>62679.81</v>
      </c>
      <c r="S2848">
        <v>29396.82</v>
      </c>
      <c r="T2848">
        <v>0</v>
      </c>
      <c r="U2848" s="1" t="s">
        <v>1061</v>
      </c>
      <c r="V2848" s="1" t="s">
        <v>1321</v>
      </c>
      <c r="W2848">
        <v>62679.84734</v>
      </c>
      <c r="X2848">
        <v>0</v>
      </c>
      <c r="Y2848">
        <v>92220</v>
      </c>
    </row>
    <row r="2849" spans="1:25" ht="15" hidden="1" customHeight="1" x14ac:dyDescent="0.25">
      <c r="A2849" s="1" t="s">
        <v>36</v>
      </c>
      <c r="B2849" s="1" t="s">
        <v>79</v>
      </c>
      <c r="C2849" s="1" t="s">
        <v>188</v>
      </c>
      <c r="D2849">
        <v>13869</v>
      </c>
      <c r="E2849" s="1" t="s">
        <v>79</v>
      </c>
      <c r="F2849" s="1" t="s">
        <v>317</v>
      </c>
      <c r="G2849" s="1" t="s">
        <v>188</v>
      </c>
      <c r="H2849" s="1" t="s">
        <v>1396</v>
      </c>
      <c r="I2849">
        <v>2015</v>
      </c>
      <c r="J2849" s="93">
        <v>0</v>
      </c>
      <c r="K2849">
        <v>5</v>
      </c>
      <c r="L2849" s="1" t="s">
        <v>445</v>
      </c>
      <c r="M2849">
        <v>0</v>
      </c>
      <c r="N2849">
        <v>11569</v>
      </c>
      <c r="O2849">
        <v>21.379633999999999</v>
      </c>
      <c r="P2849">
        <v>2</v>
      </c>
      <c r="Q2849" s="1" t="s">
        <v>569</v>
      </c>
      <c r="R2849" s="93">
        <v>247343.13</v>
      </c>
      <c r="S2849">
        <v>74202.95</v>
      </c>
      <c r="T2849">
        <v>0</v>
      </c>
      <c r="U2849" s="1" t="s">
        <v>1065</v>
      </c>
      <c r="V2849" s="1" t="s">
        <v>1324</v>
      </c>
      <c r="W2849">
        <v>247343.13</v>
      </c>
      <c r="X2849">
        <v>0</v>
      </c>
      <c r="Y2849">
        <v>92218</v>
      </c>
    </row>
    <row r="2850" spans="1:25" ht="15" hidden="1" customHeight="1" x14ac:dyDescent="0.25">
      <c r="A2850" s="1" t="s">
        <v>36</v>
      </c>
      <c r="B2850" s="1" t="s">
        <v>79</v>
      </c>
      <c r="C2850" s="1" t="s">
        <v>188</v>
      </c>
      <c r="D2850">
        <v>13869</v>
      </c>
      <c r="E2850" s="1" t="s">
        <v>79</v>
      </c>
      <c r="F2850" s="1" t="s">
        <v>317</v>
      </c>
      <c r="G2850" s="1" t="s">
        <v>188</v>
      </c>
      <c r="H2850" s="1" t="s">
        <v>1396</v>
      </c>
      <c r="I2850">
        <v>2013</v>
      </c>
      <c r="J2850" s="93">
        <v>501064.93</v>
      </c>
      <c r="K2850">
        <v>11</v>
      </c>
      <c r="L2850" s="1" t="s">
        <v>445</v>
      </c>
      <c r="M2850">
        <v>0</v>
      </c>
      <c r="N2850">
        <v>11569</v>
      </c>
      <c r="O2850">
        <v>43.310623</v>
      </c>
      <c r="P2850">
        <v>2</v>
      </c>
      <c r="Q2850" s="1" t="s">
        <v>569</v>
      </c>
      <c r="R2850" s="93">
        <v>501064.93</v>
      </c>
      <c r="S2850">
        <v>150319.49</v>
      </c>
      <c r="T2850">
        <v>0</v>
      </c>
      <c r="U2850" s="1" t="s">
        <v>1065</v>
      </c>
      <c r="V2850" s="1" t="s">
        <v>1324</v>
      </c>
      <c r="W2850">
        <v>501064.93</v>
      </c>
      <c r="X2850">
        <v>0</v>
      </c>
      <c r="Y2850">
        <v>92218</v>
      </c>
    </row>
    <row r="2851" spans="1:25" ht="15" hidden="1" customHeight="1" x14ac:dyDescent="0.25">
      <c r="A2851" s="1" t="s">
        <v>36</v>
      </c>
      <c r="B2851" s="1" t="s">
        <v>79</v>
      </c>
      <c r="C2851" s="1" t="s">
        <v>188</v>
      </c>
      <c r="D2851">
        <v>13869</v>
      </c>
      <c r="E2851" s="1" t="s">
        <v>79</v>
      </c>
      <c r="F2851" s="1" t="s">
        <v>317</v>
      </c>
      <c r="G2851" s="1" t="s">
        <v>188</v>
      </c>
      <c r="H2851" s="1" t="s">
        <v>1396</v>
      </c>
      <c r="I2851">
        <v>2013</v>
      </c>
      <c r="J2851" s="93">
        <v>114054.19</v>
      </c>
      <c r="K2851">
        <v>1</v>
      </c>
      <c r="L2851" s="1" t="s">
        <v>540</v>
      </c>
      <c r="M2851">
        <v>0</v>
      </c>
      <c r="N2851">
        <v>11569</v>
      </c>
      <c r="O2851">
        <v>9.8585180000000001</v>
      </c>
      <c r="P2851">
        <v>2</v>
      </c>
      <c r="Q2851" s="1" t="s">
        <v>569</v>
      </c>
      <c r="R2851" s="93">
        <v>114054.19</v>
      </c>
      <c r="S2851">
        <v>34216.26</v>
      </c>
      <c r="T2851">
        <v>0</v>
      </c>
      <c r="U2851" s="1" t="s">
        <v>577</v>
      </c>
      <c r="V2851" s="1"/>
      <c r="W2851">
        <v>114054.19355</v>
      </c>
      <c r="X2851">
        <v>0</v>
      </c>
      <c r="Y2851">
        <v>94101</v>
      </c>
    </row>
    <row r="2852" spans="1:25" ht="15" hidden="1" customHeight="1" x14ac:dyDescent="0.25">
      <c r="A2852" s="1" t="s">
        <v>36</v>
      </c>
      <c r="B2852" s="1" t="s">
        <v>79</v>
      </c>
      <c r="C2852" s="1" t="s">
        <v>188</v>
      </c>
      <c r="D2852">
        <v>13869</v>
      </c>
      <c r="E2852" s="1" t="s">
        <v>79</v>
      </c>
      <c r="F2852" s="1" t="s">
        <v>317</v>
      </c>
      <c r="G2852" s="1" t="s">
        <v>188</v>
      </c>
      <c r="H2852" s="1" t="s">
        <v>1396</v>
      </c>
      <c r="I2852">
        <v>2012</v>
      </c>
      <c r="J2852" s="93">
        <v>640848.92000000004</v>
      </c>
      <c r="K2852">
        <v>1</v>
      </c>
      <c r="L2852" s="1" t="s">
        <v>540</v>
      </c>
      <c r="M2852">
        <v>0</v>
      </c>
      <c r="N2852">
        <v>11569</v>
      </c>
      <c r="O2852">
        <v>55.393152000000001</v>
      </c>
      <c r="P2852">
        <v>2</v>
      </c>
      <c r="Q2852" s="1" t="s">
        <v>569</v>
      </c>
      <c r="R2852" s="93">
        <v>640848.92000000004</v>
      </c>
      <c r="S2852">
        <v>256339.57</v>
      </c>
      <c r="T2852">
        <v>0</v>
      </c>
      <c r="U2852" s="1" t="s">
        <v>577</v>
      </c>
      <c r="V2852" s="1"/>
      <c r="W2852">
        <v>640848.92434000003</v>
      </c>
      <c r="X2852">
        <v>0</v>
      </c>
      <c r="Y2852">
        <v>94101</v>
      </c>
    </row>
    <row r="2853" spans="1:25" ht="15" hidden="1" customHeight="1" x14ac:dyDescent="0.25">
      <c r="A2853" s="1" t="s">
        <v>36</v>
      </c>
      <c r="B2853" s="1" t="s">
        <v>79</v>
      </c>
      <c r="C2853" s="1" t="s">
        <v>188</v>
      </c>
      <c r="D2853">
        <v>13869</v>
      </c>
      <c r="E2853" s="1" t="s">
        <v>79</v>
      </c>
      <c r="F2853" s="1" t="s">
        <v>317</v>
      </c>
      <c r="G2853" s="1" t="s">
        <v>188</v>
      </c>
      <c r="H2853" s="1" t="s">
        <v>1396</v>
      </c>
      <c r="I2853">
        <v>2011</v>
      </c>
      <c r="J2853" s="93">
        <v>20180.77</v>
      </c>
      <c r="K2853">
        <v>1</v>
      </c>
      <c r="L2853" s="1" t="s">
        <v>541</v>
      </c>
      <c r="M2853">
        <v>0</v>
      </c>
      <c r="N2853">
        <v>11569</v>
      </c>
      <c r="O2853">
        <v>1.7443679999999999</v>
      </c>
      <c r="P2853">
        <v>2</v>
      </c>
      <c r="Q2853" s="1" t="s">
        <v>569</v>
      </c>
      <c r="R2853" s="93">
        <v>20180.77</v>
      </c>
      <c r="S2853">
        <v>9464.7800000000007</v>
      </c>
      <c r="T2853">
        <v>0</v>
      </c>
      <c r="U2853" s="1" t="s">
        <v>577</v>
      </c>
      <c r="V2853" s="1"/>
      <c r="W2853">
        <v>20180.769230000002</v>
      </c>
      <c r="X2853">
        <v>0</v>
      </c>
      <c r="Y2853">
        <v>94102</v>
      </c>
    </row>
    <row r="2854" spans="1:25" ht="15" hidden="1" customHeight="1" x14ac:dyDescent="0.25">
      <c r="A2854" s="1" t="s">
        <v>36</v>
      </c>
      <c r="B2854" s="1" t="s">
        <v>79</v>
      </c>
      <c r="C2854" s="1" t="s">
        <v>188</v>
      </c>
      <c r="D2854">
        <v>13869</v>
      </c>
      <c r="E2854" s="1" t="s">
        <v>79</v>
      </c>
      <c r="F2854" s="1" t="s">
        <v>317</v>
      </c>
      <c r="G2854" s="1" t="s">
        <v>188</v>
      </c>
      <c r="H2854" s="1" t="s">
        <v>1396</v>
      </c>
      <c r="I2854">
        <v>2011</v>
      </c>
      <c r="J2854" s="93">
        <v>613576.9</v>
      </c>
      <c r="K2854">
        <v>2</v>
      </c>
      <c r="L2854" s="1" t="s">
        <v>540</v>
      </c>
      <c r="M2854">
        <v>0</v>
      </c>
      <c r="N2854">
        <v>11569</v>
      </c>
      <c r="O2854">
        <v>53.035836000000003</v>
      </c>
      <c r="P2854">
        <v>2</v>
      </c>
      <c r="Q2854" s="1" t="s">
        <v>569</v>
      </c>
      <c r="R2854" s="93">
        <v>613576.9</v>
      </c>
      <c r="S2854">
        <v>287767.55</v>
      </c>
      <c r="T2854">
        <v>0</v>
      </c>
      <c r="U2854" s="1" t="s">
        <v>577</v>
      </c>
      <c r="V2854" s="1"/>
      <c r="W2854">
        <v>613576.88214999996</v>
      </c>
      <c r="X2854">
        <v>0</v>
      </c>
      <c r="Y2854">
        <v>94101</v>
      </c>
    </row>
    <row r="2855" spans="1:25" ht="15" hidden="1" customHeight="1" x14ac:dyDescent="0.25">
      <c r="A2855" s="1" t="s">
        <v>36</v>
      </c>
      <c r="B2855" s="1" t="s">
        <v>79</v>
      </c>
      <c r="C2855" s="1" t="s">
        <v>188</v>
      </c>
      <c r="D2855">
        <v>13869</v>
      </c>
      <c r="E2855" s="1" t="s">
        <v>79</v>
      </c>
      <c r="F2855" s="1" t="s">
        <v>317</v>
      </c>
      <c r="G2855" s="1" t="s">
        <v>188</v>
      </c>
      <c r="H2855" s="1" t="s">
        <v>1396</v>
      </c>
      <c r="I2855">
        <v>2010</v>
      </c>
      <c r="J2855" s="93">
        <v>695505.5</v>
      </c>
      <c r="K2855">
        <v>1</v>
      </c>
      <c r="L2855" s="1" t="s">
        <v>541</v>
      </c>
      <c r="M2855">
        <v>0</v>
      </c>
      <c r="N2855">
        <v>11569</v>
      </c>
      <c r="O2855">
        <v>60.117511</v>
      </c>
      <c r="P2855">
        <v>2</v>
      </c>
      <c r="Q2855" s="1" t="s">
        <v>569</v>
      </c>
      <c r="R2855" s="93">
        <v>695505.5</v>
      </c>
      <c r="S2855">
        <v>326192.11</v>
      </c>
      <c r="T2855">
        <v>0</v>
      </c>
      <c r="U2855" s="1" t="s">
        <v>577</v>
      </c>
      <c r="V2855" s="1"/>
      <c r="W2855">
        <v>695505.53212999995</v>
      </c>
      <c r="X2855">
        <v>0</v>
      </c>
      <c r="Y2855">
        <v>94102</v>
      </c>
    </row>
    <row r="2856" spans="1:25" ht="15" hidden="1" customHeight="1" x14ac:dyDescent="0.25">
      <c r="A2856" s="1" t="s">
        <v>36</v>
      </c>
      <c r="B2856" s="1" t="s">
        <v>79</v>
      </c>
      <c r="C2856" s="1" t="s">
        <v>188</v>
      </c>
      <c r="D2856">
        <v>13869</v>
      </c>
      <c r="E2856" s="1" t="s">
        <v>79</v>
      </c>
      <c r="F2856" s="1" t="s">
        <v>317</v>
      </c>
      <c r="G2856" s="1" t="s">
        <v>188</v>
      </c>
      <c r="H2856" s="1" t="s">
        <v>1396</v>
      </c>
      <c r="I2856">
        <v>2009</v>
      </c>
      <c r="J2856" s="93">
        <v>656511.49</v>
      </c>
      <c r="K2856">
        <v>1</v>
      </c>
      <c r="L2856" s="1" t="s">
        <v>541</v>
      </c>
      <c r="M2856">
        <v>0</v>
      </c>
      <c r="N2856">
        <v>11569</v>
      </c>
      <c r="O2856">
        <v>56.746980000000001</v>
      </c>
      <c r="P2856">
        <v>2</v>
      </c>
      <c r="Q2856" s="1" t="s">
        <v>569</v>
      </c>
      <c r="R2856" s="93">
        <v>656511.49</v>
      </c>
      <c r="S2856">
        <v>307903.90000000002</v>
      </c>
      <c r="T2856">
        <v>0</v>
      </c>
      <c r="U2856" s="1" t="s">
        <v>577</v>
      </c>
      <c r="V2856" s="1"/>
      <c r="W2856">
        <v>656511.50687000004</v>
      </c>
      <c r="X2856">
        <v>0</v>
      </c>
      <c r="Y2856">
        <v>94102</v>
      </c>
    </row>
    <row r="2857" spans="1:25" ht="15" hidden="1" customHeight="1" x14ac:dyDescent="0.25">
      <c r="A2857" s="1" t="s">
        <v>36</v>
      </c>
      <c r="B2857" s="1" t="s">
        <v>79</v>
      </c>
      <c r="C2857" s="1" t="s">
        <v>188</v>
      </c>
      <c r="D2857">
        <v>13869</v>
      </c>
      <c r="E2857" s="1" t="s">
        <v>79</v>
      </c>
      <c r="F2857" s="1" t="s">
        <v>317</v>
      </c>
      <c r="G2857" s="1" t="s">
        <v>188</v>
      </c>
      <c r="H2857" s="1" t="s">
        <v>1396</v>
      </c>
      <c r="I2857">
        <v>2008</v>
      </c>
      <c r="J2857" s="93">
        <v>647921.81000000006</v>
      </c>
      <c r="K2857">
        <v>1</v>
      </c>
      <c r="L2857" s="1" t="s">
        <v>541</v>
      </c>
      <c r="M2857">
        <v>0</v>
      </c>
      <c r="N2857">
        <v>11569</v>
      </c>
      <c r="O2857">
        <v>56.004511999999998</v>
      </c>
      <c r="P2857">
        <v>2</v>
      </c>
      <c r="Q2857" s="1" t="s">
        <v>569</v>
      </c>
      <c r="R2857" s="93">
        <v>647921.81000000006</v>
      </c>
      <c r="S2857">
        <v>303875.34999999998</v>
      </c>
      <c r="T2857">
        <v>0</v>
      </c>
      <c r="U2857" s="1" t="s">
        <v>577</v>
      </c>
      <c r="V2857" s="1"/>
      <c r="W2857">
        <v>647921.84857000003</v>
      </c>
      <c r="X2857">
        <v>0</v>
      </c>
      <c r="Y2857">
        <v>94102</v>
      </c>
    </row>
    <row r="2858" spans="1:25" ht="15" customHeight="1" x14ac:dyDescent="0.25">
      <c r="A2858" s="1" t="s">
        <v>37</v>
      </c>
      <c r="B2858" s="1"/>
      <c r="C2858" s="1" t="s">
        <v>192</v>
      </c>
      <c r="D2858">
        <v>10230</v>
      </c>
      <c r="E2858" s="1"/>
      <c r="F2858" s="1" t="s">
        <v>320</v>
      </c>
      <c r="G2858" s="1" t="s">
        <v>320</v>
      </c>
      <c r="H2858" s="1" t="s">
        <v>1405</v>
      </c>
      <c r="I2858">
        <v>2014</v>
      </c>
      <c r="J2858" s="93">
        <v>125.3</v>
      </c>
      <c r="K2858">
        <v>12</v>
      </c>
      <c r="L2858" s="1" t="s">
        <v>399</v>
      </c>
      <c r="M2858">
        <v>0</v>
      </c>
      <c r="N2858">
        <v>711</v>
      </c>
      <c r="O2858">
        <v>0.176205</v>
      </c>
      <c r="P2858">
        <v>3</v>
      </c>
      <c r="Q2858" s="1" t="s">
        <v>560</v>
      </c>
      <c r="R2858" s="93">
        <v>125.3</v>
      </c>
      <c r="S2858">
        <v>100.24</v>
      </c>
      <c r="T2858">
        <v>0</v>
      </c>
      <c r="U2858" s="1" t="s">
        <v>674</v>
      </c>
      <c r="V2858" s="1"/>
      <c r="W2858">
        <v>125.3</v>
      </c>
      <c r="X2858">
        <v>0</v>
      </c>
      <c r="Y2858">
        <v>77502</v>
      </c>
    </row>
    <row r="2859" spans="1:25" ht="15" customHeight="1" x14ac:dyDescent="0.25">
      <c r="A2859" s="1" t="s">
        <v>37</v>
      </c>
      <c r="B2859" s="1"/>
      <c r="C2859" s="1" t="s">
        <v>192</v>
      </c>
      <c r="D2859">
        <v>10230</v>
      </c>
      <c r="E2859" s="1"/>
      <c r="F2859" s="1" t="s">
        <v>320</v>
      </c>
      <c r="G2859" s="1" t="s">
        <v>320</v>
      </c>
      <c r="H2859" s="1" t="s">
        <v>1405</v>
      </c>
      <c r="I2859">
        <v>2014</v>
      </c>
      <c r="J2859" s="93">
        <v>50389</v>
      </c>
      <c r="K2859">
        <v>12</v>
      </c>
      <c r="L2859" s="1"/>
      <c r="M2859">
        <v>0</v>
      </c>
      <c r="N2859">
        <v>711</v>
      </c>
      <c r="O2859">
        <v>70.860637999999994</v>
      </c>
      <c r="P2859">
        <v>1</v>
      </c>
      <c r="Q2859" s="1" t="s">
        <v>562</v>
      </c>
      <c r="R2859" s="93">
        <v>59844.959999999999</v>
      </c>
      <c r="S2859">
        <v>11071.32</v>
      </c>
      <c r="T2859">
        <v>0</v>
      </c>
      <c r="U2859" s="1" t="s">
        <v>849</v>
      </c>
      <c r="V2859" s="1"/>
      <c r="W2859">
        <v>50389.000099999997</v>
      </c>
      <c r="X2859">
        <v>0</v>
      </c>
      <c r="Y2859">
        <v>90964</v>
      </c>
    </row>
    <row r="2860" spans="1:25" ht="15" hidden="1" customHeight="1" x14ac:dyDescent="0.25">
      <c r="A2860" s="1" t="s">
        <v>37</v>
      </c>
      <c r="B2860" s="1"/>
      <c r="C2860" s="1" t="s">
        <v>191</v>
      </c>
      <c r="D2860">
        <v>9224</v>
      </c>
      <c r="E2860" s="1"/>
      <c r="F2860" s="1" t="s">
        <v>319</v>
      </c>
      <c r="G2860" s="1" t="s">
        <v>191</v>
      </c>
      <c r="H2860" s="1" t="s">
        <v>1405</v>
      </c>
      <c r="I2860">
        <v>2013</v>
      </c>
      <c r="J2860" s="93">
        <v>84551.05</v>
      </c>
      <c r="K2860">
        <v>12</v>
      </c>
      <c r="L2860" s="1"/>
      <c r="M2860">
        <v>0</v>
      </c>
      <c r="N2860">
        <v>4404</v>
      </c>
      <c r="O2860">
        <v>19.198257999999999</v>
      </c>
      <c r="P2860">
        <v>2</v>
      </c>
      <c r="Q2860" s="1" t="s">
        <v>569</v>
      </c>
      <c r="R2860" s="93">
        <v>84551.05</v>
      </c>
      <c r="S2860">
        <v>25365.32</v>
      </c>
      <c r="T2860">
        <v>0</v>
      </c>
      <c r="U2860" s="1" t="s">
        <v>1071</v>
      </c>
      <c r="V2860" s="1" t="s">
        <v>1328</v>
      </c>
      <c r="W2860">
        <v>84551.032999999996</v>
      </c>
      <c r="X2860">
        <v>0</v>
      </c>
      <c r="Y2860">
        <v>72740</v>
      </c>
    </row>
    <row r="2861" spans="1:25" ht="15" hidden="1" customHeight="1" x14ac:dyDescent="0.25">
      <c r="A2861" s="1" t="s">
        <v>37</v>
      </c>
      <c r="B2861" s="1"/>
      <c r="C2861" s="1" t="s">
        <v>191</v>
      </c>
      <c r="D2861">
        <v>9224</v>
      </c>
      <c r="E2861" s="1"/>
      <c r="F2861" s="1" t="s">
        <v>319</v>
      </c>
      <c r="G2861" s="1" t="s">
        <v>191</v>
      </c>
      <c r="H2861" s="1" t="s">
        <v>1405</v>
      </c>
      <c r="I2861">
        <v>2015</v>
      </c>
      <c r="J2861" s="93">
        <v>0</v>
      </c>
      <c r="K2861">
        <v>5</v>
      </c>
      <c r="L2861" s="1"/>
      <c r="M2861">
        <v>0</v>
      </c>
      <c r="N2861">
        <v>4404</v>
      </c>
      <c r="O2861">
        <v>5.6309999999999997E-3</v>
      </c>
      <c r="P2861">
        <v>3</v>
      </c>
      <c r="Q2861" s="1" t="s">
        <v>560</v>
      </c>
      <c r="R2861" s="93">
        <v>24.8</v>
      </c>
      <c r="S2861">
        <v>0</v>
      </c>
      <c r="T2861">
        <v>1</v>
      </c>
      <c r="U2861" s="1" t="s">
        <v>672</v>
      </c>
      <c r="V2861" s="1"/>
      <c r="W2861">
        <v>24.803999999999998</v>
      </c>
      <c r="X2861">
        <v>0</v>
      </c>
      <c r="Y2861">
        <v>72741</v>
      </c>
    </row>
    <row r="2862" spans="1:25" ht="15" hidden="1" customHeight="1" x14ac:dyDescent="0.25">
      <c r="A2862" s="1" t="s">
        <v>37</v>
      </c>
      <c r="B2862" s="1"/>
      <c r="C2862" s="1" t="s">
        <v>191</v>
      </c>
      <c r="D2862">
        <v>9224</v>
      </c>
      <c r="E2862" s="1"/>
      <c r="F2862" s="1" t="s">
        <v>319</v>
      </c>
      <c r="G2862" s="1" t="s">
        <v>191</v>
      </c>
      <c r="H2862" s="1" t="s">
        <v>1405</v>
      </c>
      <c r="I2862">
        <v>2015</v>
      </c>
      <c r="J2862" s="93">
        <v>0</v>
      </c>
      <c r="K2862">
        <v>5</v>
      </c>
      <c r="L2862" s="1"/>
      <c r="M2862">
        <v>0</v>
      </c>
      <c r="N2862">
        <v>4404</v>
      </c>
      <c r="O2862">
        <v>1.8473E-2</v>
      </c>
      <c r="P2862">
        <v>3</v>
      </c>
      <c r="Q2862" s="1" t="s">
        <v>560</v>
      </c>
      <c r="R2862" s="93">
        <v>81.36</v>
      </c>
      <c r="S2862">
        <v>0</v>
      </c>
      <c r="T2862">
        <v>1</v>
      </c>
      <c r="U2862" s="1"/>
      <c r="V2862" s="1"/>
      <c r="W2862">
        <v>81.36</v>
      </c>
      <c r="X2862">
        <v>0</v>
      </c>
      <c r="Y2862">
        <v>77266</v>
      </c>
    </row>
    <row r="2863" spans="1:25" ht="15" hidden="1" customHeight="1" x14ac:dyDescent="0.25">
      <c r="A2863" s="1" t="s">
        <v>37</v>
      </c>
      <c r="B2863" s="1"/>
      <c r="C2863" s="1" t="s">
        <v>191</v>
      </c>
      <c r="D2863">
        <v>9224</v>
      </c>
      <c r="E2863" s="1"/>
      <c r="F2863" s="1" t="s">
        <v>319</v>
      </c>
      <c r="G2863" s="1" t="s">
        <v>191</v>
      </c>
      <c r="H2863" s="1" t="s">
        <v>1405</v>
      </c>
      <c r="I2863">
        <v>2015</v>
      </c>
      <c r="J2863" s="93">
        <v>329</v>
      </c>
      <c r="K2863">
        <v>5</v>
      </c>
      <c r="L2863" s="1" t="s">
        <v>447</v>
      </c>
      <c r="M2863">
        <v>0</v>
      </c>
      <c r="N2863">
        <v>4404</v>
      </c>
      <c r="O2863">
        <v>3.1958E-2</v>
      </c>
      <c r="P2863">
        <v>3</v>
      </c>
      <c r="Q2863" s="1" t="s">
        <v>560</v>
      </c>
      <c r="R2863" s="93">
        <v>140.75</v>
      </c>
      <c r="S2863">
        <v>112.59</v>
      </c>
      <c r="T2863">
        <v>0</v>
      </c>
      <c r="U2863" s="1" t="s">
        <v>673</v>
      </c>
      <c r="V2863" s="1"/>
      <c r="W2863">
        <v>140.74299999999999</v>
      </c>
      <c r="X2863">
        <v>0</v>
      </c>
      <c r="Y2863">
        <v>77272</v>
      </c>
    </row>
    <row r="2864" spans="1:25" ht="15" hidden="1" customHeight="1" x14ac:dyDescent="0.25">
      <c r="A2864" s="1" t="s">
        <v>37</v>
      </c>
      <c r="B2864" s="1"/>
      <c r="C2864" s="1" t="s">
        <v>191</v>
      </c>
      <c r="D2864">
        <v>9224</v>
      </c>
      <c r="E2864" s="1"/>
      <c r="F2864" s="1" t="s">
        <v>319</v>
      </c>
      <c r="G2864" s="1" t="s">
        <v>191</v>
      </c>
      <c r="H2864" s="1" t="s">
        <v>1405</v>
      </c>
      <c r="I2864">
        <v>2013</v>
      </c>
      <c r="J2864" s="93">
        <v>88.62</v>
      </c>
      <c r="K2864">
        <v>12</v>
      </c>
      <c r="L2864" s="1"/>
      <c r="M2864">
        <v>0</v>
      </c>
      <c r="N2864">
        <v>4404</v>
      </c>
      <c r="O2864">
        <v>2.0122000000000001E-2</v>
      </c>
      <c r="P2864">
        <v>3</v>
      </c>
      <c r="Q2864" s="1" t="s">
        <v>560</v>
      </c>
      <c r="R2864" s="93">
        <v>88.62</v>
      </c>
      <c r="S2864">
        <v>0</v>
      </c>
      <c r="T2864">
        <v>1</v>
      </c>
      <c r="U2864" s="1" t="s">
        <v>672</v>
      </c>
      <c r="V2864" s="1"/>
      <c r="W2864">
        <v>88.622</v>
      </c>
      <c r="X2864">
        <v>0</v>
      </c>
      <c r="Y2864">
        <v>72741</v>
      </c>
    </row>
    <row r="2865" spans="1:25" ht="15" hidden="1" customHeight="1" x14ac:dyDescent="0.25">
      <c r="A2865" s="1" t="s">
        <v>37</v>
      </c>
      <c r="B2865" s="1"/>
      <c r="C2865" s="1" t="s">
        <v>191</v>
      </c>
      <c r="D2865">
        <v>9224</v>
      </c>
      <c r="E2865" s="1"/>
      <c r="F2865" s="1" t="s">
        <v>319</v>
      </c>
      <c r="G2865" s="1" t="s">
        <v>191</v>
      </c>
      <c r="H2865" s="1" t="s">
        <v>1405</v>
      </c>
      <c r="I2865">
        <v>2013</v>
      </c>
      <c r="J2865" s="93">
        <v>259.20999999999998</v>
      </c>
      <c r="K2865">
        <v>12</v>
      </c>
      <c r="L2865" s="1"/>
      <c r="M2865">
        <v>0</v>
      </c>
      <c r="N2865">
        <v>4404</v>
      </c>
      <c r="O2865">
        <v>5.8855999999999999E-2</v>
      </c>
      <c r="P2865">
        <v>3</v>
      </c>
      <c r="Q2865" s="1" t="s">
        <v>560</v>
      </c>
      <c r="R2865" s="93">
        <v>259.20999999999998</v>
      </c>
      <c r="S2865">
        <v>0</v>
      </c>
      <c r="T2865">
        <v>1</v>
      </c>
      <c r="U2865" s="1"/>
      <c r="V2865" s="1"/>
      <c r="W2865">
        <v>259.20999999999998</v>
      </c>
      <c r="X2865">
        <v>0</v>
      </c>
      <c r="Y2865">
        <v>77266</v>
      </c>
    </row>
    <row r="2866" spans="1:25" ht="15" hidden="1" customHeight="1" x14ac:dyDescent="0.25">
      <c r="A2866" s="1" t="s">
        <v>37</v>
      </c>
      <c r="B2866" s="1"/>
      <c r="C2866" s="1" t="s">
        <v>191</v>
      </c>
      <c r="D2866">
        <v>9224</v>
      </c>
      <c r="E2866" s="1"/>
      <c r="F2866" s="1" t="s">
        <v>319</v>
      </c>
      <c r="G2866" s="1" t="s">
        <v>191</v>
      </c>
      <c r="H2866" s="1" t="s">
        <v>1405</v>
      </c>
      <c r="I2866">
        <v>2013</v>
      </c>
      <c r="J2866" s="93">
        <v>443.03</v>
      </c>
      <c r="K2866">
        <v>12</v>
      </c>
      <c r="L2866" s="1" t="s">
        <v>447</v>
      </c>
      <c r="M2866">
        <v>0</v>
      </c>
      <c r="N2866">
        <v>4404</v>
      </c>
      <c r="O2866">
        <v>0.100594</v>
      </c>
      <c r="P2866">
        <v>3</v>
      </c>
      <c r="Q2866" s="1" t="s">
        <v>560</v>
      </c>
      <c r="R2866" s="93">
        <v>443.03</v>
      </c>
      <c r="S2866">
        <v>354.42</v>
      </c>
      <c r="T2866">
        <v>0</v>
      </c>
      <c r="U2866" s="1" t="s">
        <v>673</v>
      </c>
      <c r="V2866" s="1"/>
      <c r="W2866">
        <v>443.03199999999998</v>
      </c>
      <c r="X2866">
        <v>0</v>
      </c>
      <c r="Y2866">
        <v>77272</v>
      </c>
    </row>
    <row r="2867" spans="1:25" ht="15" hidden="1" customHeight="1" x14ac:dyDescent="0.25">
      <c r="A2867" s="1" t="s">
        <v>37</v>
      </c>
      <c r="B2867" s="1"/>
      <c r="C2867" s="1" t="s">
        <v>191</v>
      </c>
      <c r="D2867">
        <v>9224</v>
      </c>
      <c r="E2867" s="1"/>
      <c r="F2867" s="1" t="s">
        <v>319</v>
      </c>
      <c r="G2867" s="1" t="s">
        <v>191</v>
      </c>
      <c r="H2867" s="1" t="s">
        <v>1405</v>
      </c>
      <c r="I2867">
        <v>2012</v>
      </c>
      <c r="J2867" s="93">
        <v>67.05</v>
      </c>
      <c r="K2867">
        <v>12</v>
      </c>
      <c r="L2867" s="1"/>
      <c r="M2867">
        <v>0</v>
      </c>
      <c r="N2867">
        <v>4404</v>
      </c>
      <c r="O2867">
        <v>1.5224E-2</v>
      </c>
      <c r="P2867">
        <v>3</v>
      </c>
      <c r="Q2867" s="1" t="s">
        <v>560</v>
      </c>
      <c r="R2867" s="93">
        <v>67.05</v>
      </c>
      <c r="S2867">
        <v>0</v>
      </c>
      <c r="T2867">
        <v>1</v>
      </c>
      <c r="U2867" s="1" t="s">
        <v>672</v>
      </c>
      <c r="V2867" s="1"/>
      <c r="W2867">
        <v>67.061000000000007</v>
      </c>
      <c r="X2867">
        <v>0</v>
      </c>
      <c r="Y2867">
        <v>72741</v>
      </c>
    </row>
    <row r="2868" spans="1:25" ht="15" hidden="1" customHeight="1" x14ac:dyDescent="0.25">
      <c r="A2868" s="1" t="s">
        <v>37</v>
      </c>
      <c r="B2868" s="1"/>
      <c r="C2868" s="1" t="s">
        <v>191</v>
      </c>
      <c r="D2868">
        <v>9224</v>
      </c>
      <c r="E2868" s="1"/>
      <c r="F2868" s="1" t="s">
        <v>319</v>
      </c>
      <c r="G2868" s="1" t="s">
        <v>191</v>
      </c>
      <c r="H2868" s="1" t="s">
        <v>1405</v>
      </c>
      <c r="I2868">
        <v>2012</v>
      </c>
      <c r="J2868" s="93">
        <v>240.27</v>
      </c>
      <c r="K2868">
        <v>12</v>
      </c>
      <c r="L2868" s="1"/>
      <c r="M2868">
        <v>0</v>
      </c>
      <c r="N2868">
        <v>4404</v>
      </c>
      <c r="O2868">
        <v>5.4554999999999999E-2</v>
      </c>
      <c r="P2868">
        <v>3</v>
      </c>
      <c r="Q2868" s="1" t="s">
        <v>560</v>
      </c>
      <c r="R2868" s="93">
        <v>240.27</v>
      </c>
      <c r="S2868">
        <v>0</v>
      </c>
      <c r="T2868">
        <v>1</v>
      </c>
      <c r="U2868" s="1"/>
      <c r="V2868" s="1"/>
      <c r="W2868">
        <v>240.27</v>
      </c>
      <c r="X2868">
        <v>0</v>
      </c>
      <c r="Y2868">
        <v>77266</v>
      </c>
    </row>
    <row r="2869" spans="1:25" ht="15" hidden="1" customHeight="1" x14ac:dyDescent="0.25">
      <c r="A2869" s="1" t="s">
        <v>37</v>
      </c>
      <c r="B2869" s="1"/>
      <c r="C2869" s="1" t="s">
        <v>191</v>
      </c>
      <c r="D2869">
        <v>9224</v>
      </c>
      <c r="E2869" s="1"/>
      <c r="F2869" s="1" t="s">
        <v>319</v>
      </c>
      <c r="G2869" s="1" t="s">
        <v>191</v>
      </c>
      <c r="H2869" s="1" t="s">
        <v>1405</v>
      </c>
      <c r="I2869">
        <v>2012</v>
      </c>
      <c r="J2869" s="93">
        <v>520.16</v>
      </c>
      <c r="K2869">
        <v>10</v>
      </c>
      <c r="L2869" s="1" t="s">
        <v>447</v>
      </c>
      <c r="M2869">
        <v>0</v>
      </c>
      <c r="N2869">
        <v>4404</v>
      </c>
      <c r="O2869">
        <v>0.118108</v>
      </c>
      <c r="P2869">
        <v>3</v>
      </c>
      <c r="Q2869" s="1" t="s">
        <v>560</v>
      </c>
      <c r="R2869" s="93">
        <v>520.16</v>
      </c>
      <c r="S2869">
        <v>416.13</v>
      </c>
      <c r="T2869">
        <v>0</v>
      </c>
      <c r="U2869" s="1" t="s">
        <v>673</v>
      </c>
      <c r="V2869" s="1"/>
      <c r="W2869">
        <v>520.16355999999996</v>
      </c>
      <c r="X2869">
        <v>0</v>
      </c>
      <c r="Y2869">
        <v>77272</v>
      </c>
    </row>
    <row r="2870" spans="1:25" ht="15" hidden="1" customHeight="1" x14ac:dyDescent="0.25">
      <c r="A2870" s="1" t="s">
        <v>37</v>
      </c>
      <c r="B2870" s="1"/>
      <c r="C2870" s="1" t="s">
        <v>191</v>
      </c>
      <c r="D2870">
        <v>9224</v>
      </c>
      <c r="E2870" s="1"/>
      <c r="F2870" s="1" t="s">
        <v>319</v>
      </c>
      <c r="G2870" s="1" t="s">
        <v>191</v>
      </c>
      <c r="H2870" s="1" t="s">
        <v>1405</v>
      </c>
      <c r="I2870">
        <v>2011</v>
      </c>
      <c r="J2870" s="93">
        <v>12.51</v>
      </c>
      <c r="K2870">
        <v>12</v>
      </c>
      <c r="L2870" s="1"/>
      <c r="M2870">
        <v>0</v>
      </c>
      <c r="N2870">
        <v>4404</v>
      </c>
      <c r="O2870">
        <v>2.8400000000000001E-3</v>
      </c>
      <c r="P2870">
        <v>3</v>
      </c>
      <c r="Q2870" s="1" t="s">
        <v>560</v>
      </c>
      <c r="R2870" s="93">
        <v>12.51</v>
      </c>
      <c r="S2870">
        <v>0</v>
      </c>
      <c r="T2870">
        <v>1</v>
      </c>
      <c r="U2870" s="1" t="s">
        <v>672</v>
      </c>
      <c r="V2870" s="1"/>
      <c r="W2870">
        <v>12.515000000000001</v>
      </c>
      <c r="X2870">
        <v>0</v>
      </c>
      <c r="Y2870">
        <v>72741</v>
      </c>
    </row>
    <row r="2871" spans="1:25" ht="15" hidden="1" customHeight="1" x14ac:dyDescent="0.25">
      <c r="A2871" s="1" t="s">
        <v>37</v>
      </c>
      <c r="B2871" s="1"/>
      <c r="C2871" s="1" t="s">
        <v>191</v>
      </c>
      <c r="D2871">
        <v>9224</v>
      </c>
      <c r="E2871" s="1"/>
      <c r="F2871" s="1" t="s">
        <v>319</v>
      </c>
      <c r="G2871" s="1" t="s">
        <v>191</v>
      </c>
      <c r="H2871" s="1" t="s">
        <v>1405</v>
      </c>
      <c r="I2871">
        <v>2011</v>
      </c>
      <c r="J2871" s="93">
        <v>404.22</v>
      </c>
      <c r="K2871">
        <v>12</v>
      </c>
      <c r="L2871" s="1"/>
      <c r="M2871">
        <v>0</v>
      </c>
      <c r="N2871">
        <v>4404</v>
      </c>
      <c r="O2871">
        <v>9.1782000000000002E-2</v>
      </c>
      <c r="P2871">
        <v>3</v>
      </c>
      <c r="Q2871" s="1" t="s">
        <v>560</v>
      </c>
      <c r="R2871" s="93">
        <v>404.22</v>
      </c>
      <c r="S2871">
        <v>0</v>
      </c>
      <c r="T2871">
        <v>1</v>
      </c>
      <c r="U2871" s="1"/>
      <c r="V2871" s="1"/>
      <c r="W2871">
        <v>404.22</v>
      </c>
      <c r="X2871">
        <v>0</v>
      </c>
      <c r="Y2871">
        <v>77266</v>
      </c>
    </row>
    <row r="2872" spans="1:25" ht="15" hidden="1" customHeight="1" x14ac:dyDescent="0.25">
      <c r="A2872" s="1" t="s">
        <v>37</v>
      </c>
      <c r="B2872" s="1"/>
      <c r="C2872" s="1" t="s">
        <v>191</v>
      </c>
      <c r="D2872">
        <v>9224</v>
      </c>
      <c r="E2872" s="1"/>
      <c r="F2872" s="1" t="s">
        <v>319</v>
      </c>
      <c r="G2872" s="1" t="s">
        <v>191</v>
      </c>
      <c r="H2872" s="1" t="s">
        <v>1405</v>
      </c>
      <c r="I2872">
        <v>2011</v>
      </c>
      <c r="J2872" s="93">
        <v>531.49</v>
      </c>
      <c r="K2872">
        <v>11</v>
      </c>
      <c r="L2872" s="1" t="s">
        <v>447</v>
      </c>
      <c r="M2872">
        <v>0</v>
      </c>
      <c r="N2872">
        <v>4404</v>
      </c>
      <c r="O2872">
        <v>0.12068</v>
      </c>
      <c r="P2872">
        <v>3</v>
      </c>
      <c r="Q2872" s="1" t="s">
        <v>560</v>
      </c>
      <c r="R2872" s="93">
        <v>531.49</v>
      </c>
      <c r="S2872">
        <v>425.19</v>
      </c>
      <c r="T2872">
        <v>0</v>
      </c>
      <c r="U2872" s="1" t="s">
        <v>673</v>
      </c>
      <c r="V2872" s="1"/>
      <c r="W2872">
        <v>531.48562000000004</v>
      </c>
      <c r="X2872">
        <v>0</v>
      </c>
      <c r="Y2872">
        <v>77272</v>
      </c>
    </row>
    <row r="2873" spans="1:25" ht="15" hidden="1" customHeight="1" x14ac:dyDescent="0.25">
      <c r="A2873" s="1" t="s">
        <v>37</v>
      </c>
      <c r="B2873" s="1"/>
      <c r="C2873" s="1" t="s">
        <v>191</v>
      </c>
      <c r="D2873">
        <v>9224</v>
      </c>
      <c r="E2873" s="1"/>
      <c r="F2873" s="1" t="s">
        <v>319</v>
      </c>
      <c r="G2873" s="1" t="s">
        <v>191</v>
      </c>
      <c r="H2873" s="1" t="s">
        <v>1405</v>
      </c>
      <c r="I2873">
        <v>2010</v>
      </c>
      <c r="J2873" s="93">
        <v>87.09</v>
      </c>
      <c r="K2873">
        <v>12</v>
      </c>
      <c r="L2873" s="1"/>
      <c r="M2873">
        <v>0</v>
      </c>
      <c r="N2873">
        <v>4404</v>
      </c>
      <c r="O2873">
        <v>1.9774E-2</v>
      </c>
      <c r="P2873">
        <v>3</v>
      </c>
      <c r="Q2873" s="1" t="s">
        <v>560</v>
      </c>
      <c r="R2873" s="93">
        <v>87.09</v>
      </c>
      <c r="S2873">
        <v>0</v>
      </c>
      <c r="T2873">
        <v>1</v>
      </c>
      <c r="U2873" s="1" t="s">
        <v>672</v>
      </c>
      <c r="V2873" s="1"/>
      <c r="W2873">
        <v>87.081670000000003</v>
      </c>
      <c r="X2873">
        <v>0</v>
      </c>
      <c r="Y2873">
        <v>72741</v>
      </c>
    </row>
    <row r="2874" spans="1:25" ht="15" hidden="1" customHeight="1" x14ac:dyDescent="0.25">
      <c r="A2874" s="1" t="s">
        <v>37</v>
      </c>
      <c r="B2874" s="1"/>
      <c r="C2874" s="1" t="s">
        <v>191</v>
      </c>
      <c r="D2874">
        <v>9224</v>
      </c>
      <c r="E2874" s="1"/>
      <c r="F2874" s="1" t="s">
        <v>319</v>
      </c>
      <c r="G2874" s="1" t="s">
        <v>191</v>
      </c>
      <c r="H2874" s="1" t="s">
        <v>1405</v>
      </c>
      <c r="I2874">
        <v>2010</v>
      </c>
      <c r="J2874" s="93">
        <v>245.15</v>
      </c>
      <c r="K2874">
        <v>12</v>
      </c>
      <c r="L2874" s="1"/>
      <c r="M2874">
        <v>0</v>
      </c>
      <c r="N2874">
        <v>4404</v>
      </c>
      <c r="O2874">
        <v>5.5663999999999998E-2</v>
      </c>
      <c r="P2874">
        <v>3</v>
      </c>
      <c r="Q2874" s="1" t="s">
        <v>560</v>
      </c>
      <c r="R2874" s="93">
        <v>245.15</v>
      </c>
      <c r="S2874">
        <v>0</v>
      </c>
      <c r="T2874">
        <v>1</v>
      </c>
      <c r="U2874" s="1"/>
      <c r="V2874" s="1"/>
      <c r="W2874">
        <v>245.17751000000001</v>
      </c>
      <c r="X2874">
        <v>0</v>
      </c>
      <c r="Y2874">
        <v>77266</v>
      </c>
    </row>
    <row r="2875" spans="1:25" ht="15" hidden="1" customHeight="1" x14ac:dyDescent="0.25">
      <c r="A2875" s="1" t="s">
        <v>37</v>
      </c>
      <c r="B2875" s="1"/>
      <c r="C2875" s="1" t="s">
        <v>191</v>
      </c>
      <c r="D2875">
        <v>9224</v>
      </c>
      <c r="E2875" s="1"/>
      <c r="F2875" s="1" t="s">
        <v>319</v>
      </c>
      <c r="G2875" s="1" t="s">
        <v>191</v>
      </c>
      <c r="H2875" s="1" t="s">
        <v>1405</v>
      </c>
      <c r="I2875">
        <v>2010</v>
      </c>
      <c r="J2875" s="93">
        <v>372.69</v>
      </c>
      <c r="K2875">
        <v>10</v>
      </c>
      <c r="L2875" s="1" t="s">
        <v>447</v>
      </c>
      <c r="M2875">
        <v>0</v>
      </c>
      <c r="N2875">
        <v>4404</v>
      </c>
      <c r="O2875">
        <v>8.4623000000000004E-2</v>
      </c>
      <c r="P2875">
        <v>3</v>
      </c>
      <c r="Q2875" s="1" t="s">
        <v>560</v>
      </c>
      <c r="R2875" s="93">
        <v>372.69</v>
      </c>
      <c r="S2875">
        <v>298.16000000000003</v>
      </c>
      <c r="T2875">
        <v>0</v>
      </c>
      <c r="U2875" s="1" t="s">
        <v>673</v>
      </c>
      <c r="V2875" s="1"/>
      <c r="W2875">
        <v>372.68383</v>
      </c>
      <c r="X2875">
        <v>0</v>
      </c>
      <c r="Y2875">
        <v>77272</v>
      </c>
    </row>
    <row r="2876" spans="1:25" ht="15" hidden="1" customHeight="1" x14ac:dyDescent="0.25">
      <c r="A2876" s="1" t="s">
        <v>37</v>
      </c>
      <c r="B2876" s="1"/>
      <c r="C2876" s="1" t="s">
        <v>191</v>
      </c>
      <c r="D2876">
        <v>9224</v>
      </c>
      <c r="E2876" s="1"/>
      <c r="F2876" s="1" t="s">
        <v>319</v>
      </c>
      <c r="G2876" s="1" t="s">
        <v>191</v>
      </c>
      <c r="H2876" s="1" t="s">
        <v>1405</v>
      </c>
      <c r="I2876">
        <v>2009</v>
      </c>
      <c r="J2876" s="93">
        <v>91.55</v>
      </c>
      <c r="K2876">
        <v>12</v>
      </c>
      <c r="L2876" s="1"/>
      <c r="M2876">
        <v>0</v>
      </c>
      <c r="N2876">
        <v>4404</v>
      </c>
      <c r="O2876">
        <v>2.0787E-2</v>
      </c>
      <c r="P2876">
        <v>3</v>
      </c>
      <c r="Q2876" s="1" t="s">
        <v>560</v>
      </c>
      <c r="R2876" s="93">
        <v>91.55</v>
      </c>
      <c r="S2876">
        <v>0</v>
      </c>
      <c r="T2876">
        <v>1</v>
      </c>
      <c r="U2876" s="1" t="s">
        <v>672</v>
      </c>
      <c r="V2876" s="1"/>
      <c r="W2876">
        <v>91.548299999999998</v>
      </c>
      <c r="X2876">
        <v>0</v>
      </c>
      <c r="Y2876">
        <v>72741</v>
      </c>
    </row>
    <row r="2877" spans="1:25" ht="15" hidden="1" customHeight="1" x14ac:dyDescent="0.25">
      <c r="A2877" s="1" t="s">
        <v>37</v>
      </c>
      <c r="B2877" s="1"/>
      <c r="C2877" s="1" t="s">
        <v>191</v>
      </c>
      <c r="D2877">
        <v>9224</v>
      </c>
      <c r="E2877" s="1"/>
      <c r="F2877" s="1" t="s">
        <v>319</v>
      </c>
      <c r="G2877" s="1" t="s">
        <v>191</v>
      </c>
      <c r="H2877" s="1" t="s">
        <v>1405</v>
      </c>
      <c r="I2877">
        <v>2009</v>
      </c>
      <c r="J2877" s="93">
        <v>271.10000000000002</v>
      </c>
      <c r="K2877">
        <v>12</v>
      </c>
      <c r="L2877" s="1"/>
      <c r="M2877">
        <v>0</v>
      </c>
      <c r="N2877">
        <v>4404</v>
      </c>
      <c r="O2877">
        <v>6.1556E-2</v>
      </c>
      <c r="P2877">
        <v>3</v>
      </c>
      <c r="Q2877" s="1" t="s">
        <v>560</v>
      </c>
      <c r="R2877" s="93">
        <v>271.10000000000002</v>
      </c>
      <c r="S2877">
        <v>0</v>
      </c>
      <c r="T2877">
        <v>1</v>
      </c>
      <c r="U2877" s="1"/>
      <c r="V2877" s="1"/>
      <c r="W2877">
        <v>271.11250999999999</v>
      </c>
      <c r="X2877">
        <v>0</v>
      </c>
      <c r="Y2877">
        <v>77266</v>
      </c>
    </row>
    <row r="2878" spans="1:25" ht="15" hidden="1" customHeight="1" x14ac:dyDescent="0.25">
      <c r="A2878" s="1" t="s">
        <v>37</v>
      </c>
      <c r="B2878" s="1"/>
      <c r="C2878" s="1" t="s">
        <v>191</v>
      </c>
      <c r="D2878">
        <v>9224</v>
      </c>
      <c r="E2878" s="1"/>
      <c r="F2878" s="1" t="s">
        <v>319</v>
      </c>
      <c r="G2878" s="1" t="s">
        <v>191</v>
      </c>
      <c r="H2878" s="1" t="s">
        <v>1405</v>
      </c>
      <c r="I2878">
        <v>2009</v>
      </c>
      <c r="J2878" s="93">
        <v>534.73</v>
      </c>
      <c r="K2878">
        <v>8</v>
      </c>
      <c r="L2878" s="1" t="s">
        <v>447</v>
      </c>
      <c r="M2878">
        <v>0</v>
      </c>
      <c r="N2878">
        <v>4404</v>
      </c>
      <c r="O2878">
        <v>0.121416</v>
      </c>
      <c r="P2878">
        <v>3</v>
      </c>
      <c r="Q2878" s="1" t="s">
        <v>560</v>
      </c>
      <c r="R2878" s="93">
        <v>534.73</v>
      </c>
      <c r="S2878">
        <v>427.77</v>
      </c>
      <c r="T2878">
        <v>0</v>
      </c>
      <c r="U2878" s="1" t="s">
        <v>673</v>
      </c>
      <c r="V2878" s="1"/>
      <c r="W2878">
        <v>534.71982000000003</v>
      </c>
      <c r="X2878">
        <v>0</v>
      </c>
      <c r="Y2878">
        <v>77272</v>
      </c>
    </row>
    <row r="2879" spans="1:25" ht="15" hidden="1" customHeight="1" x14ac:dyDescent="0.25">
      <c r="A2879" s="1" t="s">
        <v>37</v>
      </c>
      <c r="B2879" s="1"/>
      <c r="C2879" s="1" t="s">
        <v>191</v>
      </c>
      <c r="D2879">
        <v>9224</v>
      </c>
      <c r="E2879" s="1"/>
      <c r="F2879" s="1" t="s">
        <v>319</v>
      </c>
      <c r="G2879" s="1" t="s">
        <v>191</v>
      </c>
      <c r="H2879" s="1" t="s">
        <v>1405</v>
      </c>
      <c r="I2879">
        <v>2008</v>
      </c>
      <c r="J2879" s="93">
        <v>74.34</v>
      </c>
      <c r="K2879">
        <v>12</v>
      </c>
      <c r="L2879" s="1"/>
      <c r="M2879">
        <v>0</v>
      </c>
      <c r="N2879">
        <v>4404</v>
      </c>
      <c r="O2879">
        <v>1.6879000000000002E-2</v>
      </c>
      <c r="P2879">
        <v>3</v>
      </c>
      <c r="Q2879" s="1" t="s">
        <v>560</v>
      </c>
      <c r="R2879" s="93">
        <v>74.34</v>
      </c>
      <c r="S2879">
        <v>0</v>
      </c>
      <c r="T2879">
        <v>1</v>
      </c>
      <c r="U2879" s="1" t="s">
        <v>672</v>
      </c>
      <c r="V2879" s="1"/>
      <c r="W2879">
        <v>74.34</v>
      </c>
      <c r="X2879">
        <v>0</v>
      </c>
      <c r="Y2879">
        <v>72741</v>
      </c>
    </row>
    <row r="2880" spans="1:25" ht="15" hidden="1" customHeight="1" x14ac:dyDescent="0.25">
      <c r="A2880" s="1" t="s">
        <v>37</v>
      </c>
      <c r="B2880" s="1"/>
      <c r="C2880" s="1" t="s">
        <v>191</v>
      </c>
      <c r="D2880">
        <v>9224</v>
      </c>
      <c r="E2880" s="1"/>
      <c r="F2880" s="1" t="s">
        <v>319</v>
      </c>
      <c r="G2880" s="1" t="s">
        <v>191</v>
      </c>
      <c r="H2880" s="1" t="s">
        <v>1405</v>
      </c>
      <c r="I2880">
        <v>2008</v>
      </c>
      <c r="J2880" s="93">
        <v>7.66</v>
      </c>
      <c r="K2880">
        <v>12</v>
      </c>
      <c r="L2880" s="1"/>
      <c r="M2880">
        <v>0</v>
      </c>
      <c r="N2880">
        <v>4404</v>
      </c>
      <c r="O2880">
        <v>1.7390000000000001E-3</v>
      </c>
      <c r="P2880">
        <v>3</v>
      </c>
      <c r="Q2880" s="1" t="s">
        <v>560</v>
      </c>
      <c r="R2880" s="93">
        <v>7.66</v>
      </c>
      <c r="S2880">
        <v>0</v>
      </c>
      <c r="T2880">
        <v>1</v>
      </c>
      <c r="U2880" s="1"/>
      <c r="V2880" s="1"/>
      <c r="W2880">
        <v>7.66</v>
      </c>
      <c r="X2880">
        <v>0</v>
      </c>
      <c r="Y2880">
        <v>77266</v>
      </c>
    </row>
    <row r="2881" spans="1:25" ht="15" hidden="1" customHeight="1" x14ac:dyDescent="0.25">
      <c r="A2881" s="1" t="s">
        <v>37</v>
      </c>
      <c r="B2881" s="1"/>
      <c r="C2881" s="1" t="s">
        <v>191</v>
      </c>
      <c r="D2881">
        <v>9224</v>
      </c>
      <c r="E2881" s="1"/>
      <c r="F2881" s="1" t="s">
        <v>319</v>
      </c>
      <c r="G2881" s="1" t="s">
        <v>191</v>
      </c>
      <c r="H2881" s="1" t="s">
        <v>1405</v>
      </c>
      <c r="I2881">
        <v>2008</v>
      </c>
      <c r="J2881" s="93">
        <v>425.52</v>
      </c>
      <c r="K2881">
        <v>10</v>
      </c>
      <c r="L2881" s="1" t="s">
        <v>447</v>
      </c>
      <c r="M2881">
        <v>0</v>
      </c>
      <c r="N2881">
        <v>4404</v>
      </c>
      <c r="O2881">
        <v>9.6618999999999997E-2</v>
      </c>
      <c r="P2881">
        <v>3</v>
      </c>
      <c r="Q2881" s="1" t="s">
        <v>560</v>
      </c>
      <c r="R2881" s="93">
        <v>425.52</v>
      </c>
      <c r="S2881">
        <v>340.42</v>
      </c>
      <c r="T2881">
        <v>0</v>
      </c>
      <c r="U2881" s="1" t="s">
        <v>673</v>
      </c>
      <c r="V2881" s="1"/>
      <c r="W2881">
        <v>425.52614999999997</v>
      </c>
      <c r="X2881">
        <v>0</v>
      </c>
      <c r="Y2881">
        <v>77272</v>
      </c>
    </row>
    <row r="2882" spans="1:25" ht="15" customHeight="1" x14ac:dyDescent="0.25">
      <c r="A2882" s="1" t="s">
        <v>37</v>
      </c>
      <c r="B2882" s="1"/>
      <c r="C2882" s="1" t="s">
        <v>192</v>
      </c>
      <c r="D2882">
        <v>10230</v>
      </c>
      <c r="E2882" s="1"/>
      <c r="F2882" s="1" t="s">
        <v>320</v>
      </c>
      <c r="G2882" s="1" t="s">
        <v>320</v>
      </c>
      <c r="H2882" s="1" t="s">
        <v>1405</v>
      </c>
      <c r="I2882">
        <v>2015</v>
      </c>
      <c r="J2882" s="93">
        <v>194</v>
      </c>
      <c r="K2882">
        <v>5</v>
      </c>
      <c r="L2882" s="1" t="s">
        <v>399</v>
      </c>
      <c r="M2882">
        <v>0</v>
      </c>
      <c r="N2882">
        <v>711</v>
      </c>
      <c r="O2882">
        <v>5.8233E-2</v>
      </c>
      <c r="P2882">
        <v>3</v>
      </c>
      <c r="Q2882" s="1" t="s">
        <v>560</v>
      </c>
      <c r="R2882" s="93">
        <v>41.41</v>
      </c>
      <c r="S2882">
        <v>33.130000000000003</v>
      </c>
      <c r="T2882">
        <v>0</v>
      </c>
      <c r="U2882" s="1" t="s">
        <v>674</v>
      </c>
      <c r="V2882" s="1"/>
      <c r="W2882">
        <v>41.41</v>
      </c>
      <c r="X2882">
        <v>0</v>
      </c>
      <c r="Y2882">
        <v>77502</v>
      </c>
    </row>
    <row r="2883" spans="1:25" ht="15" hidden="1" customHeight="1" x14ac:dyDescent="0.25">
      <c r="A2883" s="1" t="s">
        <v>37</v>
      </c>
      <c r="B2883" s="1"/>
      <c r="C2883" s="1" t="s">
        <v>192</v>
      </c>
      <c r="D2883">
        <v>10230</v>
      </c>
      <c r="E2883" s="1"/>
      <c r="F2883" s="1" t="s">
        <v>320</v>
      </c>
      <c r="G2883" s="1" t="s">
        <v>320</v>
      </c>
      <c r="H2883" s="1" t="s">
        <v>1405</v>
      </c>
      <c r="I2883">
        <v>2013</v>
      </c>
      <c r="J2883" s="93">
        <v>162.19999999999999</v>
      </c>
      <c r="K2883">
        <v>12</v>
      </c>
      <c r="L2883" s="1" t="s">
        <v>399</v>
      </c>
      <c r="M2883">
        <v>0</v>
      </c>
      <c r="N2883">
        <v>711</v>
      </c>
      <c r="O2883">
        <v>0.22809699999999999</v>
      </c>
      <c r="P2883">
        <v>3</v>
      </c>
      <c r="Q2883" s="1" t="s">
        <v>560</v>
      </c>
      <c r="R2883" s="93">
        <v>162.19999999999999</v>
      </c>
      <c r="S2883">
        <v>129.76</v>
      </c>
      <c r="T2883">
        <v>0</v>
      </c>
      <c r="U2883" s="1" t="s">
        <v>674</v>
      </c>
      <c r="V2883" s="1"/>
      <c r="W2883">
        <v>162.19999999999999</v>
      </c>
      <c r="X2883">
        <v>0</v>
      </c>
      <c r="Y2883">
        <v>77502</v>
      </c>
    </row>
    <row r="2884" spans="1:25" ht="15" hidden="1" customHeight="1" x14ac:dyDescent="0.25">
      <c r="A2884" s="1" t="s">
        <v>37</v>
      </c>
      <c r="B2884" s="1"/>
      <c r="C2884" s="1" t="s">
        <v>192</v>
      </c>
      <c r="D2884">
        <v>10230</v>
      </c>
      <c r="E2884" s="1"/>
      <c r="F2884" s="1" t="s">
        <v>320</v>
      </c>
      <c r="G2884" s="1" t="s">
        <v>320</v>
      </c>
      <c r="H2884" s="1" t="s">
        <v>1405</v>
      </c>
      <c r="I2884">
        <v>2012</v>
      </c>
      <c r="J2884" s="93">
        <v>154.1</v>
      </c>
      <c r="K2884">
        <v>12</v>
      </c>
      <c r="L2884" s="1" t="s">
        <v>399</v>
      </c>
      <c r="M2884">
        <v>0</v>
      </c>
      <c r="N2884">
        <v>711</v>
      </c>
      <c r="O2884">
        <v>0.21670600000000001</v>
      </c>
      <c r="P2884">
        <v>3</v>
      </c>
      <c r="Q2884" s="1" t="s">
        <v>560</v>
      </c>
      <c r="R2884" s="93">
        <v>154.1</v>
      </c>
      <c r="S2884">
        <v>123.28</v>
      </c>
      <c r="T2884">
        <v>0</v>
      </c>
      <c r="U2884" s="1" t="s">
        <v>674</v>
      </c>
      <c r="V2884" s="1"/>
      <c r="W2884">
        <v>154.1</v>
      </c>
      <c r="X2884">
        <v>0</v>
      </c>
      <c r="Y2884">
        <v>77502</v>
      </c>
    </row>
    <row r="2885" spans="1:25" ht="15" hidden="1" customHeight="1" x14ac:dyDescent="0.25">
      <c r="A2885" s="1" t="s">
        <v>37</v>
      </c>
      <c r="B2885" s="1"/>
      <c r="C2885" s="1" t="s">
        <v>192</v>
      </c>
      <c r="D2885">
        <v>10230</v>
      </c>
      <c r="E2885" s="1"/>
      <c r="F2885" s="1" t="s">
        <v>320</v>
      </c>
      <c r="G2885" s="1" t="s">
        <v>320</v>
      </c>
      <c r="H2885" s="1" t="s">
        <v>1405</v>
      </c>
      <c r="I2885">
        <v>2011</v>
      </c>
      <c r="J2885" s="93">
        <v>120.64</v>
      </c>
      <c r="K2885">
        <v>9</v>
      </c>
      <c r="L2885" s="1" t="s">
        <v>399</v>
      </c>
      <c r="M2885">
        <v>0</v>
      </c>
      <c r="N2885">
        <v>711</v>
      </c>
      <c r="O2885">
        <v>0.169652</v>
      </c>
      <c r="P2885">
        <v>3</v>
      </c>
      <c r="Q2885" s="1" t="s">
        <v>560</v>
      </c>
      <c r="R2885" s="93">
        <v>120.64</v>
      </c>
      <c r="S2885">
        <v>96.52</v>
      </c>
      <c r="T2885">
        <v>0</v>
      </c>
      <c r="U2885" s="1" t="s">
        <v>674</v>
      </c>
      <c r="V2885" s="1"/>
      <c r="W2885">
        <v>120.63636</v>
      </c>
      <c r="X2885">
        <v>0</v>
      </c>
      <c r="Y2885">
        <v>77502</v>
      </c>
    </row>
    <row r="2886" spans="1:25" ht="15" hidden="1" customHeight="1" x14ac:dyDescent="0.25">
      <c r="A2886" s="1" t="s">
        <v>37</v>
      </c>
      <c r="B2886" s="1"/>
      <c r="C2886" s="1" t="s">
        <v>192</v>
      </c>
      <c r="D2886">
        <v>10230</v>
      </c>
      <c r="E2886" s="1"/>
      <c r="F2886" s="1" t="s">
        <v>320</v>
      </c>
      <c r="G2886" s="1" t="s">
        <v>320</v>
      </c>
      <c r="H2886" s="1" t="s">
        <v>1405</v>
      </c>
      <c r="I2886">
        <v>2010</v>
      </c>
      <c r="J2886" s="93">
        <v>306.42</v>
      </c>
      <c r="K2886">
        <v>11</v>
      </c>
      <c r="L2886" s="1" t="s">
        <v>399</v>
      </c>
      <c r="M2886">
        <v>0</v>
      </c>
      <c r="N2886">
        <v>711</v>
      </c>
      <c r="O2886">
        <v>0.43090899999999999</v>
      </c>
      <c r="P2886">
        <v>3</v>
      </c>
      <c r="Q2886" s="1" t="s">
        <v>560</v>
      </c>
      <c r="R2886" s="93">
        <v>306.42</v>
      </c>
      <c r="S2886">
        <v>245.15</v>
      </c>
      <c r="T2886">
        <v>0</v>
      </c>
      <c r="U2886" s="1" t="s">
        <v>674</v>
      </c>
      <c r="V2886" s="1"/>
      <c r="W2886">
        <v>306.42077999999998</v>
      </c>
      <c r="X2886">
        <v>0</v>
      </c>
      <c r="Y2886">
        <v>77502</v>
      </c>
    </row>
    <row r="2887" spans="1:25" ht="15" hidden="1" customHeight="1" x14ac:dyDescent="0.25">
      <c r="A2887" s="1" t="s">
        <v>37</v>
      </c>
      <c r="B2887" s="1"/>
      <c r="C2887" s="1" t="s">
        <v>192</v>
      </c>
      <c r="D2887">
        <v>10230</v>
      </c>
      <c r="E2887" s="1"/>
      <c r="F2887" s="1" t="s">
        <v>320</v>
      </c>
      <c r="G2887" s="1" t="s">
        <v>320</v>
      </c>
      <c r="H2887" s="1" t="s">
        <v>1405</v>
      </c>
      <c r="I2887">
        <v>2009</v>
      </c>
      <c r="J2887" s="93">
        <v>159.51</v>
      </c>
      <c r="K2887">
        <v>12</v>
      </c>
      <c r="L2887" s="1" t="s">
        <v>399</v>
      </c>
      <c r="M2887">
        <v>0</v>
      </c>
      <c r="N2887">
        <v>711</v>
      </c>
      <c r="O2887">
        <v>0.22431400000000001</v>
      </c>
      <c r="P2887">
        <v>3</v>
      </c>
      <c r="Q2887" s="1" t="s">
        <v>560</v>
      </c>
      <c r="R2887" s="93">
        <v>159.51</v>
      </c>
      <c r="S2887">
        <v>127.62</v>
      </c>
      <c r="T2887">
        <v>0</v>
      </c>
      <c r="U2887" s="1" t="s">
        <v>674</v>
      </c>
      <c r="V2887" s="1"/>
      <c r="W2887">
        <v>159.52350000000001</v>
      </c>
      <c r="X2887">
        <v>0</v>
      </c>
      <c r="Y2887">
        <v>77502</v>
      </c>
    </row>
    <row r="2888" spans="1:25" ht="15" hidden="1" customHeight="1" x14ac:dyDescent="0.25">
      <c r="A2888" s="1" t="s">
        <v>37</v>
      </c>
      <c r="B2888" s="1"/>
      <c r="C2888" s="1" t="s">
        <v>192</v>
      </c>
      <c r="D2888">
        <v>10230</v>
      </c>
      <c r="E2888" s="1"/>
      <c r="F2888" s="1" t="s">
        <v>320</v>
      </c>
      <c r="G2888" s="1" t="s">
        <v>320</v>
      </c>
      <c r="H2888" s="1" t="s">
        <v>1405</v>
      </c>
      <c r="I2888">
        <v>2008</v>
      </c>
      <c r="J2888" s="93">
        <v>182.67</v>
      </c>
      <c r="K2888">
        <v>13</v>
      </c>
      <c r="L2888" s="1" t="s">
        <v>399</v>
      </c>
      <c r="M2888">
        <v>0</v>
      </c>
      <c r="N2888">
        <v>711</v>
      </c>
      <c r="O2888">
        <v>0.25688299999999997</v>
      </c>
      <c r="P2888">
        <v>3</v>
      </c>
      <c r="Q2888" s="1" t="s">
        <v>560</v>
      </c>
      <c r="R2888" s="93">
        <v>182.67</v>
      </c>
      <c r="S2888">
        <v>146.13999999999999</v>
      </c>
      <c r="T2888">
        <v>0</v>
      </c>
      <c r="U2888" s="1" t="s">
        <v>674</v>
      </c>
      <c r="V2888" s="1"/>
      <c r="W2888">
        <v>182.67741000000001</v>
      </c>
      <c r="X2888">
        <v>0</v>
      </c>
      <c r="Y2888">
        <v>77502</v>
      </c>
    </row>
    <row r="2889" spans="1:25" ht="15" customHeight="1" x14ac:dyDescent="0.25">
      <c r="A2889" s="1" t="s">
        <v>37</v>
      </c>
      <c r="B2889" s="1"/>
      <c r="C2889" s="1" t="s">
        <v>193</v>
      </c>
      <c r="D2889">
        <v>10991</v>
      </c>
      <c r="E2889" s="1"/>
      <c r="F2889" s="1" t="s">
        <v>321</v>
      </c>
      <c r="G2889" s="1" t="s">
        <v>1398</v>
      </c>
      <c r="H2889" s="1" t="s">
        <v>1405</v>
      </c>
      <c r="I2889">
        <v>2015</v>
      </c>
      <c r="J2889" s="93">
        <v>898</v>
      </c>
      <c r="K2889">
        <v>3</v>
      </c>
      <c r="L2889" s="1" t="s">
        <v>421</v>
      </c>
      <c r="M2889">
        <v>0</v>
      </c>
      <c r="N2889">
        <v>1475</v>
      </c>
      <c r="O2889">
        <v>0.250471</v>
      </c>
      <c r="P2889">
        <v>3</v>
      </c>
      <c r="Q2889" s="1" t="s">
        <v>560</v>
      </c>
      <c r="R2889" s="93">
        <v>369.47</v>
      </c>
      <c r="S2889">
        <v>295.57</v>
      </c>
      <c r="T2889">
        <v>0</v>
      </c>
      <c r="U2889" s="1" t="s">
        <v>675</v>
      </c>
      <c r="V2889" s="1"/>
      <c r="W2889">
        <v>369.46807999999999</v>
      </c>
      <c r="X2889">
        <v>0</v>
      </c>
      <c r="Y2889">
        <v>79482</v>
      </c>
    </row>
    <row r="2890" spans="1:25" ht="15" customHeight="1" x14ac:dyDescent="0.25">
      <c r="A2890" s="1" t="s">
        <v>37</v>
      </c>
      <c r="B2890" s="1"/>
      <c r="C2890" s="1" t="s">
        <v>193</v>
      </c>
      <c r="D2890">
        <v>10991</v>
      </c>
      <c r="E2890" s="1"/>
      <c r="F2890" s="1" t="s">
        <v>321</v>
      </c>
      <c r="G2890" s="1" t="s">
        <v>1398</v>
      </c>
      <c r="H2890" s="1" t="s">
        <v>1405</v>
      </c>
      <c r="I2890">
        <v>2015</v>
      </c>
      <c r="J2890" s="93">
        <v>166.74</v>
      </c>
      <c r="K2890">
        <v>3</v>
      </c>
      <c r="L2890" s="1" t="s">
        <v>421</v>
      </c>
      <c r="M2890">
        <v>0</v>
      </c>
      <c r="N2890">
        <v>1475</v>
      </c>
      <c r="O2890">
        <v>0.113036</v>
      </c>
      <c r="P2890">
        <v>3</v>
      </c>
      <c r="Q2890" s="1" t="s">
        <v>560</v>
      </c>
      <c r="R2890" s="93">
        <v>166.74</v>
      </c>
      <c r="S2890">
        <v>133.4</v>
      </c>
      <c r="T2890">
        <v>1</v>
      </c>
      <c r="U2890" s="1" t="s">
        <v>676</v>
      </c>
      <c r="V2890" s="1"/>
      <c r="W2890">
        <v>166.74467000000001</v>
      </c>
      <c r="X2890">
        <v>0</v>
      </c>
      <c r="Y2890">
        <v>79717</v>
      </c>
    </row>
    <row r="2891" spans="1:25" ht="15" customHeight="1" x14ac:dyDescent="0.25">
      <c r="A2891" s="1" t="s">
        <v>37</v>
      </c>
      <c r="B2891" s="1"/>
      <c r="C2891" s="1" t="s">
        <v>193</v>
      </c>
      <c r="D2891">
        <v>10991</v>
      </c>
      <c r="E2891" s="1"/>
      <c r="F2891" s="1" t="s">
        <v>321</v>
      </c>
      <c r="G2891" s="1" t="s">
        <v>1398</v>
      </c>
      <c r="H2891" s="1" t="s">
        <v>1405</v>
      </c>
      <c r="I2891">
        <v>2015</v>
      </c>
      <c r="J2891" s="93">
        <v>30</v>
      </c>
      <c r="K2891">
        <v>3</v>
      </c>
      <c r="L2891" s="1" t="s">
        <v>421</v>
      </c>
      <c r="M2891">
        <v>0</v>
      </c>
      <c r="N2891">
        <v>1475</v>
      </c>
      <c r="O2891">
        <v>2.0337000000000001E-2</v>
      </c>
      <c r="P2891">
        <v>3</v>
      </c>
      <c r="Q2891" s="1" t="s">
        <v>560</v>
      </c>
      <c r="R2891" s="93">
        <v>30</v>
      </c>
      <c r="S2891">
        <v>24</v>
      </c>
      <c r="T2891">
        <v>1</v>
      </c>
      <c r="U2891" s="1" t="s">
        <v>677</v>
      </c>
      <c r="V2891" s="1"/>
      <c r="W2891">
        <v>30</v>
      </c>
      <c r="X2891">
        <v>0</v>
      </c>
      <c r="Y2891">
        <v>79718</v>
      </c>
    </row>
    <row r="2892" spans="1:25" ht="15" customHeight="1" x14ac:dyDescent="0.25">
      <c r="A2892" s="1" t="s">
        <v>37</v>
      </c>
      <c r="B2892" s="1"/>
      <c r="C2892" s="1" t="s">
        <v>193</v>
      </c>
      <c r="D2892">
        <v>10991</v>
      </c>
      <c r="E2892" s="1"/>
      <c r="F2892" s="1" t="s">
        <v>321</v>
      </c>
      <c r="G2892" s="1" t="s">
        <v>1398</v>
      </c>
      <c r="H2892" s="1" t="s">
        <v>1405</v>
      </c>
      <c r="I2892">
        <v>2015</v>
      </c>
      <c r="J2892" s="93">
        <v>0</v>
      </c>
      <c r="K2892">
        <v>3</v>
      </c>
      <c r="L2892" s="1" t="s">
        <v>421</v>
      </c>
      <c r="M2892">
        <v>0</v>
      </c>
      <c r="N2892">
        <v>1475</v>
      </c>
      <c r="O2892">
        <v>0</v>
      </c>
      <c r="P2892">
        <v>3</v>
      </c>
      <c r="Q2892" s="1" t="s">
        <v>560</v>
      </c>
      <c r="R2892" s="93">
        <v>0</v>
      </c>
      <c r="S2892">
        <v>0</v>
      </c>
      <c r="T2892">
        <v>1</v>
      </c>
      <c r="U2892" s="1" t="s">
        <v>678</v>
      </c>
      <c r="V2892" s="1"/>
      <c r="W2892">
        <v>0</v>
      </c>
      <c r="X2892">
        <v>0</v>
      </c>
      <c r="Y2892">
        <v>79719</v>
      </c>
    </row>
    <row r="2893" spans="1:25" ht="15" hidden="1" customHeight="1" x14ac:dyDescent="0.25">
      <c r="A2893" s="1" t="s">
        <v>37</v>
      </c>
      <c r="B2893" s="1"/>
      <c r="C2893" s="1" t="s">
        <v>191</v>
      </c>
      <c r="D2893">
        <v>9224</v>
      </c>
      <c r="E2893" s="1"/>
      <c r="F2893" s="1" t="s">
        <v>319</v>
      </c>
      <c r="G2893" s="1" t="s">
        <v>191</v>
      </c>
      <c r="H2893" s="1" t="s">
        <v>1405</v>
      </c>
      <c r="I2893">
        <v>2014</v>
      </c>
      <c r="J2893" s="93">
        <v>75.08</v>
      </c>
      <c r="K2893">
        <v>12</v>
      </c>
      <c r="L2893" s="1"/>
      <c r="M2893">
        <v>0</v>
      </c>
      <c r="N2893">
        <v>4404</v>
      </c>
      <c r="O2893">
        <v>1.7047E-2</v>
      </c>
      <c r="P2893">
        <v>3</v>
      </c>
      <c r="Q2893" s="1" t="s">
        <v>560</v>
      </c>
      <c r="R2893" s="93">
        <v>75.08</v>
      </c>
      <c r="S2893">
        <v>0</v>
      </c>
      <c r="T2893">
        <v>1</v>
      </c>
      <c r="U2893" s="1" t="s">
        <v>672</v>
      </c>
      <c r="V2893" s="1"/>
      <c r="W2893">
        <v>75.078000000000003</v>
      </c>
      <c r="X2893">
        <v>0</v>
      </c>
      <c r="Y2893">
        <v>72741</v>
      </c>
    </row>
    <row r="2894" spans="1:25" ht="15" hidden="1" customHeight="1" x14ac:dyDescent="0.25">
      <c r="A2894" s="1" t="s">
        <v>37</v>
      </c>
      <c r="B2894" s="1"/>
      <c r="C2894" s="1" t="s">
        <v>193</v>
      </c>
      <c r="D2894">
        <v>10991</v>
      </c>
      <c r="E2894" s="1"/>
      <c r="F2894" s="1" t="s">
        <v>321</v>
      </c>
      <c r="G2894" s="1" t="s">
        <v>1398</v>
      </c>
      <c r="H2894" s="1" t="s">
        <v>1405</v>
      </c>
      <c r="I2894">
        <v>2013</v>
      </c>
      <c r="J2894" s="93">
        <v>864.86</v>
      </c>
      <c r="K2894">
        <v>11</v>
      </c>
      <c r="L2894" s="1" t="s">
        <v>421</v>
      </c>
      <c r="M2894">
        <v>0</v>
      </c>
      <c r="N2894">
        <v>1475</v>
      </c>
      <c r="O2894">
        <v>0.58630599999999999</v>
      </c>
      <c r="P2894">
        <v>3</v>
      </c>
      <c r="Q2894" s="1" t="s">
        <v>560</v>
      </c>
      <c r="R2894" s="93">
        <v>864.86</v>
      </c>
      <c r="S2894">
        <v>691.9</v>
      </c>
      <c r="T2894">
        <v>0</v>
      </c>
      <c r="U2894" s="1" t="s">
        <v>675</v>
      </c>
      <c r="V2894" s="1"/>
      <c r="W2894">
        <v>864.87937999999997</v>
      </c>
      <c r="X2894">
        <v>0</v>
      </c>
      <c r="Y2894">
        <v>79482</v>
      </c>
    </row>
    <row r="2895" spans="1:25" ht="15" hidden="1" customHeight="1" x14ac:dyDescent="0.25">
      <c r="A2895" s="1" t="s">
        <v>37</v>
      </c>
      <c r="B2895" s="1"/>
      <c r="C2895" s="1" t="s">
        <v>193</v>
      </c>
      <c r="D2895">
        <v>10991</v>
      </c>
      <c r="E2895" s="1"/>
      <c r="F2895" s="1" t="s">
        <v>321</v>
      </c>
      <c r="G2895" s="1" t="s">
        <v>1398</v>
      </c>
      <c r="H2895" s="1" t="s">
        <v>1405</v>
      </c>
      <c r="I2895">
        <v>2013</v>
      </c>
      <c r="J2895" s="93">
        <v>347.56</v>
      </c>
      <c r="K2895">
        <v>11</v>
      </c>
      <c r="L2895" s="1" t="s">
        <v>421</v>
      </c>
      <c r="M2895">
        <v>0</v>
      </c>
      <c r="N2895">
        <v>1475</v>
      </c>
      <c r="O2895">
        <v>0.23561699999999999</v>
      </c>
      <c r="P2895">
        <v>3</v>
      </c>
      <c r="Q2895" s="1" t="s">
        <v>560</v>
      </c>
      <c r="R2895" s="93">
        <v>347.56</v>
      </c>
      <c r="S2895">
        <v>278.06</v>
      </c>
      <c r="T2895">
        <v>1</v>
      </c>
      <c r="U2895" s="1" t="s">
        <v>676</v>
      </c>
      <c r="V2895" s="1"/>
      <c r="W2895">
        <v>347.56099999999998</v>
      </c>
      <c r="X2895">
        <v>0</v>
      </c>
      <c r="Y2895">
        <v>79717</v>
      </c>
    </row>
    <row r="2896" spans="1:25" ht="15" hidden="1" customHeight="1" x14ac:dyDescent="0.25">
      <c r="A2896" s="1" t="s">
        <v>37</v>
      </c>
      <c r="B2896" s="1"/>
      <c r="C2896" s="1" t="s">
        <v>193</v>
      </c>
      <c r="D2896">
        <v>10991</v>
      </c>
      <c r="E2896" s="1"/>
      <c r="F2896" s="1" t="s">
        <v>321</v>
      </c>
      <c r="G2896" s="1" t="s">
        <v>1398</v>
      </c>
      <c r="H2896" s="1" t="s">
        <v>1405</v>
      </c>
      <c r="I2896">
        <v>2013</v>
      </c>
      <c r="J2896" s="93">
        <v>71.87</v>
      </c>
      <c r="K2896">
        <v>11</v>
      </c>
      <c r="L2896" s="1" t="s">
        <v>421</v>
      </c>
      <c r="M2896">
        <v>0</v>
      </c>
      <c r="N2896">
        <v>1475</v>
      </c>
      <c r="O2896">
        <v>4.8722000000000001E-2</v>
      </c>
      <c r="P2896">
        <v>3</v>
      </c>
      <c r="Q2896" s="1" t="s">
        <v>560</v>
      </c>
      <c r="R2896" s="93">
        <v>71.87</v>
      </c>
      <c r="S2896">
        <v>57.5</v>
      </c>
      <c r="T2896">
        <v>1</v>
      </c>
      <c r="U2896" s="1" t="s">
        <v>677</v>
      </c>
      <c r="V2896" s="1"/>
      <c r="W2896">
        <v>71.869569999999996</v>
      </c>
      <c r="X2896">
        <v>0</v>
      </c>
      <c r="Y2896">
        <v>79718</v>
      </c>
    </row>
    <row r="2897" spans="1:25" ht="15" hidden="1" customHeight="1" x14ac:dyDescent="0.25">
      <c r="A2897" s="1" t="s">
        <v>37</v>
      </c>
      <c r="B2897" s="1"/>
      <c r="C2897" s="1" t="s">
        <v>193</v>
      </c>
      <c r="D2897">
        <v>10991</v>
      </c>
      <c r="E2897" s="1"/>
      <c r="F2897" s="1" t="s">
        <v>321</v>
      </c>
      <c r="G2897" s="1" t="s">
        <v>1398</v>
      </c>
      <c r="H2897" s="1" t="s">
        <v>1405</v>
      </c>
      <c r="I2897">
        <v>2013</v>
      </c>
      <c r="J2897" s="93">
        <v>19</v>
      </c>
      <c r="K2897">
        <v>11</v>
      </c>
      <c r="L2897" s="1" t="s">
        <v>421</v>
      </c>
      <c r="M2897">
        <v>0</v>
      </c>
      <c r="N2897">
        <v>1475</v>
      </c>
      <c r="O2897">
        <v>1.2880000000000001E-2</v>
      </c>
      <c r="P2897">
        <v>3</v>
      </c>
      <c r="Q2897" s="1" t="s">
        <v>560</v>
      </c>
      <c r="R2897" s="93">
        <v>19</v>
      </c>
      <c r="S2897">
        <v>15.19</v>
      </c>
      <c r="T2897">
        <v>1</v>
      </c>
      <c r="U2897" s="1" t="s">
        <v>678</v>
      </c>
      <c r="V2897" s="1"/>
      <c r="W2897">
        <v>19</v>
      </c>
      <c r="X2897">
        <v>0</v>
      </c>
      <c r="Y2897">
        <v>79719</v>
      </c>
    </row>
    <row r="2898" spans="1:25" ht="15" hidden="1" customHeight="1" x14ac:dyDescent="0.25">
      <c r="A2898" s="1" t="s">
        <v>37</v>
      </c>
      <c r="B2898" s="1"/>
      <c r="C2898" s="1" t="s">
        <v>193</v>
      </c>
      <c r="D2898">
        <v>10991</v>
      </c>
      <c r="E2898" s="1"/>
      <c r="F2898" s="1" t="s">
        <v>321</v>
      </c>
      <c r="G2898" s="1" t="s">
        <v>1398</v>
      </c>
      <c r="H2898" s="1" t="s">
        <v>1405</v>
      </c>
      <c r="I2898">
        <v>2012</v>
      </c>
      <c r="J2898" s="93">
        <v>896.69</v>
      </c>
      <c r="K2898">
        <v>11</v>
      </c>
      <c r="L2898" s="1" t="s">
        <v>421</v>
      </c>
      <c r="M2898">
        <v>0</v>
      </c>
      <c r="N2898">
        <v>1475</v>
      </c>
      <c r="O2898">
        <v>0.60788399999999998</v>
      </c>
      <c r="P2898">
        <v>3</v>
      </c>
      <c r="Q2898" s="1" t="s">
        <v>560</v>
      </c>
      <c r="R2898" s="93">
        <v>896.69</v>
      </c>
      <c r="S2898">
        <v>717.37</v>
      </c>
      <c r="T2898">
        <v>0</v>
      </c>
      <c r="U2898" s="1" t="s">
        <v>675</v>
      </c>
      <c r="V2898" s="1"/>
      <c r="W2898">
        <v>896.68894999999998</v>
      </c>
      <c r="X2898">
        <v>0</v>
      </c>
      <c r="Y2898">
        <v>79482</v>
      </c>
    </row>
    <row r="2899" spans="1:25" ht="15" hidden="1" customHeight="1" x14ac:dyDescent="0.25">
      <c r="A2899" s="1" t="s">
        <v>37</v>
      </c>
      <c r="B2899" s="1"/>
      <c r="C2899" s="1" t="s">
        <v>193</v>
      </c>
      <c r="D2899">
        <v>10991</v>
      </c>
      <c r="E2899" s="1"/>
      <c r="F2899" s="1" t="s">
        <v>321</v>
      </c>
      <c r="G2899" s="1" t="s">
        <v>1398</v>
      </c>
      <c r="H2899" s="1" t="s">
        <v>1405</v>
      </c>
      <c r="I2899">
        <v>2012</v>
      </c>
      <c r="J2899" s="93">
        <v>332.08</v>
      </c>
      <c r="K2899">
        <v>11</v>
      </c>
      <c r="L2899" s="1" t="s">
        <v>421</v>
      </c>
      <c r="M2899">
        <v>0</v>
      </c>
      <c r="N2899">
        <v>1475</v>
      </c>
      <c r="O2899">
        <v>0.22512299999999999</v>
      </c>
      <c r="P2899">
        <v>3</v>
      </c>
      <c r="Q2899" s="1" t="s">
        <v>560</v>
      </c>
      <c r="R2899" s="93">
        <v>332.08</v>
      </c>
      <c r="S2899">
        <v>265.66000000000003</v>
      </c>
      <c r="T2899">
        <v>1</v>
      </c>
      <c r="U2899" s="1" t="s">
        <v>676</v>
      </c>
      <c r="V2899" s="1"/>
      <c r="W2899">
        <v>332.0772</v>
      </c>
      <c r="X2899">
        <v>0</v>
      </c>
      <c r="Y2899">
        <v>79717</v>
      </c>
    </row>
    <row r="2900" spans="1:25" ht="15" hidden="1" customHeight="1" x14ac:dyDescent="0.25">
      <c r="A2900" s="1" t="s">
        <v>37</v>
      </c>
      <c r="B2900" s="1"/>
      <c r="C2900" s="1" t="s">
        <v>193</v>
      </c>
      <c r="D2900">
        <v>10991</v>
      </c>
      <c r="E2900" s="1"/>
      <c r="F2900" s="1" t="s">
        <v>321</v>
      </c>
      <c r="G2900" s="1" t="s">
        <v>1398</v>
      </c>
      <c r="H2900" s="1" t="s">
        <v>1405</v>
      </c>
      <c r="I2900">
        <v>2012</v>
      </c>
      <c r="J2900" s="93">
        <v>46.99</v>
      </c>
      <c r="K2900">
        <v>11</v>
      </c>
      <c r="L2900" s="1" t="s">
        <v>421</v>
      </c>
      <c r="M2900">
        <v>0</v>
      </c>
      <c r="N2900">
        <v>1475</v>
      </c>
      <c r="O2900">
        <v>3.1855000000000001E-2</v>
      </c>
      <c r="P2900">
        <v>3</v>
      </c>
      <c r="Q2900" s="1" t="s">
        <v>560</v>
      </c>
      <c r="R2900" s="93">
        <v>46.99</v>
      </c>
      <c r="S2900">
        <v>37.6</v>
      </c>
      <c r="T2900">
        <v>1</v>
      </c>
      <c r="U2900" s="1" t="s">
        <v>677</v>
      </c>
      <c r="V2900" s="1"/>
      <c r="W2900">
        <v>47</v>
      </c>
      <c r="X2900">
        <v>0</v>
      </c>
      <c r="Y2900">
        <v>79718</v>
      </c>
    </row>
    <row r="2901" spans="1:25" ht="15" hidden="1" customHeight="1" x14ac:dyDescent="0.25">
      <c r="A2901" s="1" t="s">
        <v>37</v>
      </c>
      <c r="B2901" s="1"/>
      <c r="C2901" s="1" t="s">
        <v>193</v>
      </c>
      <c r="D2901">
        <v>10991</v>
      </c>
      <c r="E2901" s="1"/>
      <c r="F2901" s="1" t="s">
        <v>321</v>
      </c>
      <c r="G2901" s="1" t="s">
        <v>1398</v>
      </c>
      <c r="H2901" s="1" t="s">
        <v>1405</v>
      </c>
      <c r="I2901">
        <v>2012</v>
      </c>
      <c r="J2901" s="93">
        <v>13.15</v>
      </c>
      <c r="K2901">
        <v>11</v>
      </c>
      <c r="L2901" s="1" t="s">
        <v>421</v>
      </c>
      <c r="M2901">
        <v>0</v>
      </c>
      <c r="N2901">
        <v>1475</v>
      </c>
      <c r="O2901">
        <v>8.914E-3</v>
      </c>
      <c r="P2901">
        <v>3</v>
      </c>
      <c r="Q2901" s="1" t="s">
        <v>560</v>
      </c>
      <c r="R2901" s="93">
        <v>13.15</v>
      </c>
      <c r="S2901">
        <v>10.51</v>
      </c>
      <c r="T2901">
        <v>1</v>
      </c>
      <c r="U2901" s="1" t="s">
        <v>678</v>
      </c>
      <c r="V2901" s="1"/>
      <c r="W2901">
        <v>13.142860000000001</v>
      </c>
      <c r="X2901">
        <v>0</v>
      </c>
      <c r="Y2901">
        <v>79719</v>
      </c>
    </row>
    <row r="2902" spans="1:25" ht="15" hidden="1" customHeight="1" x14ac:dyDescent="0.25">
      <c r="A2902" s="1" t="s">
        <v>37</v>
      </c>
      <c r="B2902" s="1"/>
      <c r="C2902" s="1" t="s">
        <v>193</v>
      </c>
      <c r="D2902">
        <v>10991</v>
      </c>
      <c r="E2902" s="1"/>
      <c r="F2902" s="1" t="s">
        <v>321</v>
      </c>
      <c r="G2902" s="1" t="s">
        <v>1398</v>
      </c>
      <c r="H2902" s="1" t="s">
        <v>1405</v>
      </c>
      <c r="I2902">
        <v>2011</v>
      </c>
      <c r="J2902" s="93">
        <v>1298.4000000000001</v>
      </c>
      <c r="K2902">
        <v>8</v>
      </c>
      <c r="L2902" s="1" t="s">
        <v>421</v>
      </c>
      <c r="M2902">
        <v>0</v>
      </c>
      <c r="N2902">
        <v>1475</v>
      </c>
      <c r="O2902">
        <v>0.88021099999999997</v>
      </c>
      <c r="P2902">
        <v>3</v>
      </c>
      <c r="Q2902" s="1" t="s">
        <v>560</v>
      </c>
      <c r="R2902" s="93">
        <v>1298.4000000000001</v>
      </c>
      <c r="S2902">
        <v>1038.73</v>
      </c>
      <c r="T2902">
        <v>0</v>
      </c>
      <c r="U2902" s="1" t="s">
        <v>675</v>
      </c>
      <c r="V2902" s="1"/>
      <c r="W2902">
        <v>1298.3961200000001</v>
      </c>
      <c r="X2902">
        <v>0</v>
      </c>
      <c r="Y2902">
        <v>79482</v>
      </c>
    </row>
    <row r="2903" spans="1:25" ht="15" hidden="1" customHeight="1" x14ac:dyDescent="0.25">
      <c r="A2903" s="1" t="s">
        <v>37</v>
      </c>
      <c r="B2903" s="1"/>
      <c r="C2903" s="1" t="s">
        <v>193</v>
      </c>
      <c r="D2903">
        <v>10991</v>
      </c>
      <c r="E2903" s="1"/>
      <c r="F2903" s="1" t="s">
        <v>321</v>
      </c>
      <c r="G2903" s="1" t="s">
        <v>1398</v>
      </c>
      <c r="H2903" s="1" t="s">
        <v>1405</v>
      </c>
      <c r="I2903">
        <v>2011</v>
      </c>
      <c r="J2903" s="93">
        <v>380.9</v>
      </c>
      <c r="K2903">
        <v>8</v>
      </c>
      <c r="L2903" s="1" t="s">
        <v>421</v>
      </c>
      <c r="M2903">
        <v>0</v>
      </c>
      <c r="N2903">
        <v>1475</v>
      </c>
      <c r="O2903">
        <v>0.25821899999999998</v>
      </c>
      <c r="P2903">
        <v>3</v>
      </c>
      <c r="Q2903" s="1" t="s">
        <v>560</v>
      </c>
      <c r="R2903" s="93">
        <v>380.9</v>
      </c>
      <c r="S2903">
        <v>304.70999999999998</v>
      </c>
      <c r="T2903">
        <v>1</v>
      </c>
      <c r="U2903" s="1" t="s">
        <v>676</v>
      </c>
      <c r="V2903" s="1"/>
      <c r="W2903">
        <v>380.89936</v>
      </c>
      <c r="X2903">
        <v>0</v>
      </c>
      <c r="Y2903">
        <v>79717</v>
      </c>
    </row>
    <row r="2904" spans="1:25" ht="15" hidden="1" customHeight="1" x14ac:dyDescent="0.25">
      <c r="A2904" s="1" t="s">
        <v>37</v>
      </c>
      <c r="B2904" s="1"/>
      <c r="C2904" s="1" t="s">
        <v>193</v>
      </c>
      <c r="D2904">
        <v>10991</v>
      </c>
      <c r="E2904" s="1"/>
      <c r="F2904" s="1" t="s">
        <v>321</v>
      </c>
      <c r="G2904" s="1" t="s">
        <v>1398</v>
      </c>
      <c r="H2904" s="1" t="s">
        <v>1405</v>
      </c>
      <c r="I2904">
        <v>2011</v>
      </c>
      <c r="J2904" s="93">
        <v>63.19</v>
      </c>
      <c r="K2904">
        <v>8</v>
      </c>
      <c r="L2904" s="1" t="s">
        <v>421</v>
      </c>
      <c r="M2904">
        <v>0</v>
      </c>
      <c r="N2904">
        <v>1475</v>
      </c>
      <c r="O2904">
        <v>4.2837E-2</v>
      </c>
      <c r="P2904">
        <v>3</v>
      </c>
      <c r="Q2904" s="1" t="s">
        <v>560</v>
      </c>
      <c r="R2904" s="93">
        <v>63.19</v>
      </c>
      <c r="S2904">
        <v>50.55</v>
      </c>
      <c r="T2904">
        <v>1</v>
      </c>
      <c r="U2904" s="1" t="s">
        <v>677</v>
      </c>
      <c r="V2904" s="1"/>
      <c r="W2904">
        <v>63.181829999999998</v>
      </c>
      <c r="X2904">
        <v>0</v>
      </c>
      <c r="Y2904">
        <v>79718</v>
      </c>
    </row>
    <row r="2905" spans="1:25" ht="15" hidden="1" customHeight="1" x14ac:dyDescent="0.25">
      <c r="A2905" s="1" t="s">
        <v>37</v>
      </c>
      <c r="B2905" s="1"/>
      <c r="C2905" s="1" t="s">
        <v>193</v>
      </c>
      <c r="D2905">
        <v>10991</v>
      </c>
      <c r="E2905" s="1"/>
      <c r="F2905" s="1" t="s">
        <v>321</v>
      </c>
      <c r="G2905" s="1" t="s">
        <v>1398</v>
      </c>
      <c r="H2905" s="1" t="s">
        <v>1405</v>
      </c>
      <c r="I2905">
        <v>2011</v>
      </c>
      <c r="J2905" s="93">
        <v>337.68</v>
      </c>
      <c r="K2905">
        <v>8</v>
      </c>
      <c r="L2905" s="1" t="s">
        <v>421</v>
      </c>
      <c r="M2905">
        <v>0</v>
      </c>
      <c r="N2905">
        <v>1475</v>
      </c>
      <c r="O2905">
        <v>0.22892000000000001</v>
      </c>
      <c r="P2905">
        <v>3</v>
      </c>
      <c r="Q2905" s="1" t="s">
        <v>560</v>
      </c>
      <c r="R2905" s="93">
        <v>337.68</v>
      </c>
      <c r="S2905">
        <v>270.13</v>
      </c>
      <c r="T2905">
        <v>1</v>
      </c>
      <c r="U2905" s="1" t="s">
        <v>678</v>
      </c>
      <c r="V2905" s="1"/>
      <c r="W2905">
        <v>337.67532</v>
      </c>
      <c r="X2905">
        <v>0</v>
      </c>
      <c r="Y2905">
        <v>79719</v>
      </c>
    </row>
    <row r="2906" spans="1:25" ht="15" hidden="1" customHeight="1" x14ac:dyDescent="0.25">
      <c r="A2906" s="1" t="s">
        <v>37</v>
      </c>
      <c r="B2906" s="1"/>
      <c r="C2906" s="1" t="s">
        <v>193</v>
      </c>
      <c r="D2906">
        <v>10991</v>
      </c>
      <c r="E2906" s="1"/>
      <c r="F2906" s="1" t="s">
        <v>321</v>
      </c>
      <c r="G2906" s="1" t="s">
        <v>1398</v>
      </c>
      <c r="H2906" s="1" t="s">
        <v>1405</v>
      </c>
      <c r="I2906">
        <v>2010</v>
      </c>
      <c r="J2906" s="93">
        <v>967.96</v>
      </c>
      <c r="K2906">
        <v>12</v>
      </c>
      <c r="L2906" s="1" t="s">
        <v>421</v>
      </c>
      <c r="M2906">
        <v>0</v>
      </c>
      <c r="N2906">
        <v>1475</v>
      </c>
      <c r="O2906">
        <v>0.65619899999999998</v>
      </c>
      <c r="P2906">
        <v>3</v>
      </c>
      <c r="Q2906" s="1" t="s">
        <v>560</v>
      </c>
      <c r="R2906" s="93">
        <v>967.96</v>
      </c>
      <c r="S2906">
        <v>774.38</v>
      </c>
      <c r="T2906">
        <v>0</v>
      </c>
      <c r="U2906" s="1" t="s">
        <v>675</v>
      </c>
      <c r="V2906" s="1"/>
      <c r="W2906">
        <v>967.96104000000003</v>
      </c>
      <c r="X2906">
        <v>0</v>
      </c>
      <c r="Y2906">
        <v>79482</v>
      </c>
    </row>
    <row r="2907" spans="1:25" ht="15" hidden="1" customHeight="1" x14ac:dyDescent="0.25">
      <c r="A2907" s="1" t="s">
        <v>37</v>
      </c>
      <c r="B2907" s="1"/>
      <c r="C2907" s="1" t="s">
        <v>193</v>
      </c>
      <c r="D2907">
        <v>10991</v>
      </c>
      <c r="E2907" s="1"/>
      <c r="F2907" s="1" t="s">
        <v>321</v>
      </c>
      <c r="G2907" s="1" t="s">
        <v>1398</v>
      </c>
      <c r="H2907" s="1" t="s">
        <v>1405</v>
      </c>
      <c r="I2907">
        <v>2010</v>
      </c>
      <c r="J2907" s="93">
        <v>374.63</v>
      </c>
      <c r="K2907">
        <v>12</v>
      </c>
      <c r="L2907" s="1" t="s">
        <v>421</v>
      </c>
      <c r="M2907">
        <v>0</v>
      </c>
      <c r="N2907">
        <v>1475</v>
      </c>
      <c r="O2907">
        <v>0.253969</v>
      </c>
      <c r="P2907">
        <v>3</v>
      </c>
      <c r="Q2907" s="1" t="s">
        <v>560</v>
      </c>
      <c r="R2907" s="93">
        <v>374.63</v>
      </c>
      <c r="S2907">
        <v>299.70999999999998</v>
      </c>
      <c r="T2907">
        <v>1</v>
      </c>
      <c r="U2907" s="1" t="s">
        <v>676</v>
      </c>
      <c r="V2907" s="1"/>
      <c r="W2907">
        <v>374.63637</v>
      </c>
      <c r="X2907">
        <v>0</v>
      </c>
      <c r="Y2907">
        <v>79717</v>
      </c>
    </row>
    <row r="2908" spans="1:25" ht="15" hidden="1" customHeight="1" x14ac:dyDescent="0.25">
      <c r="A2908" s="1" t="s">
        <v>37</v>
      </c>
      <c r="B2908" s="1"/>
      <c r="C2908" s="1" t="s">
        <v>193</v>
      </c>
      <c r="D2908">
        <v>10991</v>
      </c>
      <c r="E2908" s="1"/>
      <c r="F2908" s="1" t="s">
        <v>321</v>
      </c>
      <c r="G2908" s="1" t="s">
        <v>1398</v>
      </c>
      <c r="H2908" s="1" t="s">
        <v>1405</v>
      </c>
      <c r="I2908">
        <v>2010</v>
      </c>
      <c r="J2908" s="93">
        <v>53.93</v>
      </c>
      <c r="K2908">
        <v>12</v>
      </c>
      <c r="L2908" s="1" t="s">
        <v>421</v>
      </c>
      <c r="M2908">
        <v>0</v>
      </c>
      <c r="N2908">
        <v>1475</v>
      </c>
      <c r="O2908">
        <v>3.6560000000000002E-2</v>
      </c>
      <c r="P2908">
        <v>3</v>
      </c>
      <c r="Q2908" s="1" t="s">
        <v>560</v>
      </c>
      <c r="R2908" s="93">
        <v>53.93</v>
      </c>
      <c r="S2908">
        <v>43.14</v>
      </c>
      <c r="T2908">
        <v>1</v>
      </c>
      <c r="U2908" s="1" t="s">
        <v>677</v>
      </c>
      <c r="V2908" s="1"/>
      <c r="W2908">
        <v>53.932470000000002</v>
      </c>
      <c r="X2908">
        <v>0</v>
      </c>
      <c r="Y2908">
        <v>79718</v>
      </c>
    </row>
    <row r="2909" spans="1:25" ht="15" hidden="1" customHeight="1" x14ac:dyDescent="0.25">
      <c r="A2909" s="1" t="s">
        <v>37</v>
      </c>
      <c r="B2909" s="1"/>
      <c r="C2909" s="1" t="s">
        <v>193</v>
      </c>
      <c r="D2909">
        <v>10991</v>
      </c>
      <c r="E2909" s="1"/>
      <c r="F2909" s="1" t="s">
        <v>321</v>
      </c>
      <c r="G2909" s="1" t="s">
        <v>1398</v>
      </c>
      <c r="H2909" s="1" t="s">
        <v>1405</v>
      </c>
      <c r="I2909">
        <v>2010</v>
      </c>
      <c r="J2909" s="93">
        <v>27.18</v>
      </c>
      <c r="K2909">
        <v>12</v>
      </c>
      <c r="L2909" s="1" t="s">
        <v>421</v>
      </c>
      <c r="M2909">
        <v>0</v>
      </c>
      <c r="N2909">
        <v>1475</v>
      </c>
      <c r="O2909">
        <v>1.8425E-2</v>
      </c>
      <c r="P2909">
        <v>3</v>
      </c>
      <c r="Q2909" s="1" t="s">
        <v>560</v>
      </c>
      <c r="R2909" s="93">
        <v>27.18</v>
      </c>
      <c r="S2909">
        <v>21.75</v>
      </c>
      <c r="T2909">
        <v>1</v>
      </c>
      <c r="U2909" s="1" t="s">
        <v>678</v>
      </c>
      <c r="V2909" s="1"/>
      <c r="W2909">
        <v>27.181809999999999</v>
      </c>
      <c r="X2909">
        <v>0</v>
      </c>
      <c r="Y2909">
        <v>79719</v>
      </c>
    </row>
    <row r="2910" spans="1:25" ht="15" hidden="1" customHeight="1" x14ac:dyDescent="0.25">
      <c r="A2910" s="1" t="s">
        <v>37</v>
      </c>
      <c r="B2910" s="1"/>
      <c r="C2910" s="1" t="s">
        <v>193</v>
      </c>
      <c r="D2910">
        <v>10991</v>
      </c>
      <c r="E2910" s="1"/>
      <c r="F2910" s="1" t="s">
        <v>321</v>
      </c>
      <c r="G2910" s="1" t="s">
        <v>1398</v>
      </c>
      <c r="H2910" s="1" t="s">
        <v>1405</v>
      </c>
      <c r="I2910">
        <v>2009</v>
      </c>
      <c r="J2910" s="93">
        <v>927.79</v>
      </c>
      <c r="K2910">
        <v>11</v>
      </c>
      <c r="L2910" s="1" t="s">
        <v>421</v>
      </c>
      <c r="M2910">
        <v>0</v>
      </c>
      <c r="N2910">
        <v>1475</v>
      </c>
      <c r="O2910">
        <v>0.62896700000000005</v>
      </c>
      <c r="P2910">
        <v>3</v>
      </c>
      <c r="Q2910" s="1" t="s">
        <v>560</v>
      </c>
      <c r="R2910" s="93">
        <v>927.79</v>
      </c>
      <c r="S2910">
        <v>742.23</v>
      </c>
      <c r="T2910">
        <v>0</v>
      </c>
      <c r="U2910" s="1" t="s">
        <v>675</v>
      </c>
      <c r="V2910" s="1"/>
      <c r="W2910">
        <v>927.79264000000001</v>
      </c>
      <c r="X2910">
        <v>0</v>
      </c>
      <c r="Y2910">
        <v>79482</v>
      </c>
    </row>
    <row r="2911" spans="1:25" ht="15" hidden="1" customHeight="1" x14ac:dyDescent="0.25">
      <c r="A2911" s="1" t="s">
        <v>37</v>
      </c>
      <c r="B2911" s="1"/>
      <c r="C2911" s="1" t="s">
        <v>193</v>
      </c>
      <c r="D2911">
        <v>10991</v>
      </c>
      <c r="E2911" s="1"/>
      <c r="F2911" s="1" t="s">
        <v>321</v>
      </c>
      <c r="G2911" s="1" t="s">
        <v>1398</v>
      </c>
      <c r="H2911" s="1" t="s">
        <v>1405</v>
      </c>
      <c r="I2911">
        <v>2009</v>
      </c>
      <c r="J2911" s="93">
        <v>325.20999999999998</v>
      </c>
      <c r="K2911">
        <v>11</v>
      </c>
      <c r="L2911" s="1" t="s">
        <v>421</v>
      </c>
      <c r="M2911">
        <v>0</v>
      </c>
      <c r="N2911">
        <v>1475</v>
      </c>
      <c r="O2911">
        <v>0.220466</v>
      </c>
      <c r="P2911">
        <v>3</v>
      </c>
      <c r="Q2911" s="1" t="s">
        <v>560</v>
      </c>
      <c r="R2911" s="93">
        <v>325.20999999999998</v>
      </c>
      <c r="S2911">
        <v>260.14999999999998</v>
      </c>
      <c r="T2911">
        <v>1</v>
      </c>
      <c r="U2911" s="1" t="s">
        <v>676</v>
      </c>
      <c r="V2911" s="1"/>
      <c r="W2911">
        <v>325.19355000000002</v>
      </c>
      <c r="X2911">
        <v>0</v>
      </c>
      <c r="Y2911">
        <v>79717</v>
      </c>
    </row>
    <row r="2912" spans="1:25" ht="15" hidden="1" customHeight="1" x14ac:dyDescent="0.25">
      <c r="A2912" s="1" t="s">
        <v>37</v>
      </c>
      <c r="B2912" s="1"/>
      <c r="C2912" s="1" t="s">
        <v>193</v>
      </c>
      <c r="D2912">
        <v>10991</v>
      </c>
      <c r="E2912" s="1"/>
      <c r="F2912" s="1" t="s">
        <v>321</v>
      </c>
      <c r="G2912" s="1" t="s">
        <v>1398</v>
      </c>
      <c r="H2912" s="1" t="s">
        <v>1405</v>
      </c>
      <c r="I2912">
        <v>2009</v>
      </c>
      <c r="J2912" s="93">
        <v>94.88</v>
      </c>
      <c r="K2912">
        <v>11</v>
      </c>
      <c r="L2912" s="1" t="s">
        <v>421</v>
      </c>
      <c r="M2912">
        <v>0</v>
      </c>
      <c r="N2912">
        <v>1475</v>
      </c>
      <c r="O2912">
        <v>6.4321000000000003E-2</v>
      </c>
      <c r="P2912">
        <v>3</v>
      </c>
      <c r="Q2912" s="1" t="s">
        <v>560</v>
      </c>
      <c r="R2912" s="93">
        <v>94.88</v>
      </c>
      <c r="S2912">
        <v>75.92</v>
      </c>
      <c r="T2912">
        <v>1</v>
      </c>
      <c r="U2912" s="1" t="s">
        <v>677</v>
      </c>
      <c r="V2912" s="1"/>
      <c r="W2912">
        <v>94.885720000000006</v>
      </c>
      <c r="X2912">
        <v>0</v>
      </c>
      <c r="Y2912">
        <v>79718</v>
      </c>
    </row>
    <row r="2913" spans="1:25" ht="15" hidden="1" customHeight="1" x14ac:dyDescent="0.25">
      <c r="A2913" s="1" t="s">
        <v>37</v>
      </c>
      <c r="B2913" s="1"/>
      <c r="C2913" s="1" t="s">
        <v>193</v>
      </c>
      <c r="D2913">
        <v>10991</v>
      </c>
      <c r="E2913" s="1"/>
      <c r="F2913" s="1" t="s">
        <v>321</v>
      </c>
      <c r="G2913" s="1" t="s">
        <v>1398</v>
      </c>
      <c r="H2913" s="1" t="s">
        <v>1405</v>
      </c>
      <c r="I2913">
        <v>2009</v>
      </c>
      <c r="J2913" s="93">
        <v>24.55</v>
      </c>
      <c r="K2913">
        <v>11</v>
      </c>
      <c r="L2913" s="1" t="s">
        <v>421</v>
      </c>
      <c r="M2913">
        <v>0</v>
      </c>
      <c r="N2913">
        <v>1475</v>
      </c>
      <c r="O2913">
        <v>1.6642000000000001E-2</v>
      </c>
      <c r="P2913">
        <v>3</v>
      </c>
      <c r="Q2913" s="1" t="s">
        <v>560</v>
      </c>
      <c r="R2913" s="93">
        <v>24.55</v>
      </c>
      <c r="S2913">
        <v>19.64</v>
      </c>
      <c r="T2913">
        <v>1</v>
      </c>
      <c r="U2913" s="1" t="s">
        <v>678</v>
      </c>
      <c r="V2913" s="1"/>
      <c r="W2913">
        <v>24.548390000000001</v>
      </c>
      <c r="X2913">
        <v>0</v>
      </c>
      <c r="Y2913">
        <v>79719</v>
      </c>
    </row>
    <row r="2914" spans="1:25" ht="15" hidden="1" customHeight="1" x14ac:dyDescent="0.25">
      <c r="A2914" s="1" t="s">
        <v>37</v>
      </c>
      <c r="B2914" s="1"/>
      <c r="C2914" s="1" t="s">
        <v>193</v>
      </c>
      <c r="D2914">
        <v>10991</v>
      </c>
      <c r="E2914" s="1"/>
      <c r="F2914" s="1" t="s">
        <v>321</v>
      </c>
      <c r="G2914" s="1" t="s">
        <v>1398</v>
      </c>
      <c r="H2914" s="1" t="s">
        <v>1405</v>
      </c>
      <c r="I2914">
        <v>2008</v>
      </c>
      <c r="J2914" s="93">
        <v>1449.66</v>
      </c>
      <c r="K2914">
        <v>12</v>
      </c>
      <c r="L2914" s="1" t="s">
        <v>421</v>
      </c>
      <c r="M2914">
        <v>0</v>
      </c>
      <c r="N2914">
        <v>1475</v>
      </c>
      <c r="O2914">
        <v>0.98275299999999999</v>
      </c>
      <c r="P2914">
        <v>3</v>
      </c>
      <c r="Q2914" s="1" t="s">
        <v>560</v>
      </c>
      <c r="R2914" s="93">
        <v>1449.66</v>
      </c>
      <c r="S2914">
        <v>1159.72</v>
      </c>
      <c r="T2914">
        <v>0</v>
      </c>
      <c r="U2914" s="1" t="s">
        <v>675</v>
      </c>
      <c r="V2914" s="1"/>
      <c r="W2914">
        <v>1449.64516</v>
      </c>
      <c r="X2914">
        <v>0</v>
      </c>
      <c r="Y2914">
        <v>79482</v>
      </c>
    </row>
    <row r="2915" spans="1:25" ht="15" hidden="1" customHeight="1" x14ac:dyDescent="0.25">
      <c r="A2915" s="1" t="s">
        <v>37</v>
      </c>
      <c r="B2915" s="1"/>
      <c r="C2915" s="1" t="s">
        <v>193</v>
      </c>
      <c r="D2915">
        <v>10991</v>
      </c>
      <c r="E2915" s="1"/>
      <c r="F2915" s="1" t="s">
        <v>321</v>
      </c>
      <c r="G2915" s="1" t="s">
        <v>1398</v>
      </c>
      <c r="H2915" s="1" t="s">
        <v>1405</v>
      </c>
      <c r="I2915">
        <v>2008</v>
      </c>
      <c r="J2915" s="93">
        <v>283.87</v>
      </c>
      <c r="K2915">
        <v>12</v>
      </c>
      <c r="L2915" s="1" t="s">
        <v>421</v>
      </c>
      <c r="M2915">
        <v>0</v>
      </c>
      <c r="N2915">
        <v>1475</v>
      </c>
      <c r="O2915">
        <v>0.192441</v>
      </c>
      <c r="P2915">
        <v>3</v>
      </c>
      <c r="Q2915" s="1" t="s">
        <v>560</v>
      </c>
      <c r="R2915" s="93">
        <v>283.87</v>
      </c>
      <c r="S2915">
        <v>227.1</v>
      </c>
      <c r="T2915">
        <v>1</v>
      </c>
      <c r="U2915" s="1" t="s">
        <v>676</v>
      </c>
      <c r="V2915" s="1"/>
      <c r="W2915">
        <v>283.87097</v>
      </c>
      <c r="X2915">
        <v>0</v>
      </c>
      <c r="Y2915">
        <v>79717</v>
      </c>
    </row>
    <row r="2916" spans="1:25" ht="15" hidden="1" customHeight="1" x14ac:dyDescent="0.25">
      <c r="A2916" s="1" t="s">
        <v>37</v>
      </c>
      <c r="B2916" s="1"/>
      <c r="C2916" s="1" t="s">
        <v>193</v>
      </c>
      <c r="D2916">
        <v>10991</v>
      </c>
      <c r="E2916" s="1"/>
      <c r="F2916" s="1" t="s">
        <v>321</v>
      </c>
      <c r="G2916" s="1" t="s">
        <v>1398</v>
      </c>
      <c r="H2916" s="1" t="s">
        <v>1405</v>
      </c>
      <c r="I2916">
        <v>2008</v>
      </c>
      <c r="J2916" s="93">
        <v>119.91</v>
      </c>
      <c r="K2916">
        <v>12</v>
      </c>
      <c r="L2916" s="1" t="s">
        <v>421</v>
      </c>
      <c r="M2916">
        <v>0</v>
      </c>
      <c r="N2916">
        <v>1475</v>
      </c>
      <c r="O2916">
        <v>8.1289E-2</v>
      </c>
      <c r="P2916">
        <v>3</v>
      </c>
      <c r="Q2916" s="1" t="s">
        <v>560</v>
      </c>
      <c r="R2916" s="93">
        <v>119.91</v>
      </c>
      <c r="S2916">
        <v>95.92</v>
      </c>
      <c r="T2916">
        <v>1</v>
      </c>
      <c r="U2916" s="1" t="s">
        <v>677</v>
      </c>
      <c r="V2916" s="1"/>
      <c r="W2916">
        <v>119.90322999999999</v>
      </c>
      <c r="X2916">
        <v>0</v>
      </c>
      <c r="Y2916">
        <v>79718</v>
      </c>
    </row>
    <row r="2917" spans="1:25" ht="15" hidden="1" customHeight="1" x14ac:dyDescent="0.25">
      <c r="A2917" s="1" t="s">
        <v>37</v>
      </c>
      <c r="B2917" s="1"/>
      <c r="C2917" s="1" t="s">
        <v>193</v>
      </c>
      <c r="D2917">
        <v>10991</v>
      </c>
      <c r="E2917" s="1"/>
      <c r="F2917" s="1" t="s">
        <v>321</v>
      </c>
      <c r="G2917" s="1" t="s">
        <v>1398</v>
      </c>
      <c r="H2917" s="1" t="s">
        <v>1405</v>
      </c>
      <c r="I2917">
        <v>2008</v>
      </c>
      <c r="J2917" s="93">
        <v>82.45</v>
      </c>
      <c r="K2917">
        <v>12</v>
      </c>
      <c r="L2917" s="1" t="s">
        <v>421</v>
      </c>
      <c r="M2917">
        <v>0</v>
      </c>
      <c r="N2917">
        <v>1475</v>
      </c>
      <c r="O2917">
        <v>5.5893999999999999E-2</v>
      </c>
      <c r="P2917">
        <v>3</v>
      </c>
      <c r="Q2917" s="1" t="s">
        <v>560</v>
      </c>
      <c r="R2917" s="93">
        <v>82.45</v>
      </c>
      <c r="S2917">
        <v>65.97</v>
      </c>
      <c r="T2917">
        <v>1</v>
      </c>
      <c r="U2917" s="1" t="s">
        <v>678</v>
      </c>
      <c r="V2917" s="1"/>
      <c r="W2917">
        <v>82.451610000000002</v>
      </c>
      <c r="X2917">
        <v>0</v>
      </c>
      <c r="Y2917">
        <v>79719</v>
      </c>
    </row>
    <row r="2918" spans="1:25" ht="15" customHeight="1" x14ac:dyDescent="0.25">
      <c r="A2918" s="1" t="s">
        <v>37</v>
      </c>
      <c r="B2918" s="1"/>
      <c r="C2918" s="1" t="s">
        <v>193</v>
      </c>
      <c r="D2918">
        <v>9220</v>
      </c>
      <c r="E2918" s="1"/>
      <c r="F2918" s="1" t="s">
        <v>322</v>
      </c>
      <c r="G2918" s="1" t="s">
        <v>1398</v>
      </c>
      <c r="H2918" s="1" t="s">
        <v>1405</v>
      </c>
      <c r="I2918">
        <v>2015</v>
      </c>
      <c r="J2918" s="93">
        <v>1005</v>
      </c>
      <c r="K2918">
        <v>5</v>
      </c>
      <c r="L2918" s="1"/>
      <c r="M2918">
        <v>0</v>
      </c>
      <c r="N2918">
        <v>7549</v>
      </c>
      <c r="O2918">
        <v>2.9550000000000002E-3</v>
      </c>
      <c r="P2918">
        <v>3</v>
      </c>
      <c r="Q2918" s="1" t="s">
        <v>560</v>
      </c>
      <c r="R2918" s="93">
        <v>22.31</v>
      </c>
      <c r="S2918">
        <v>0</v>
      </c>
      <c r="T2918">
        <v>0</v>
      </c>
      <c r="U2918" s="1" t="s">
        <v>672</v>
      </c>
      <c r="V2918" s="1"/>
      <c r="W2918">
        <v>22.315999999999999</v>
      </c>
      <c r="X2918">
        <v>0</v>
      </c>
      <c r="Y2918">
        <v>72733</v>
      </c>
    </row>
    <row r="2919" spans="1:25" ht="15" customHeight="1" x14ac:dyDescent="0.25">
      <c r="A2919" s="1" t="s">
        <v>37</v>
      </c>
      <c r="B2919" s="1"/>
      <c r="C2919" s="1" t="s">
        <v>193</v>
      </c>
      <c r="D2919">
        <v>9220</v>
      </c>
      <c r="E2919" s="1"/>
      <c r="F2919" s="1" t="s">
        <v>322</v>
      </c>
      <c r="G2919" s="1" t="s">
        <v>1398</v>
      </c>
      <c r="H2919" s="1" t="s">
        <v>1405</v>
      </c>
      <c r="I2919">
        <v>2015</v>
      </c>
      <c r="J2919" s="93">
        <v>0</v>
      </c>
      <c r="K2919">
        <v>5</v>
      </c>
      <c r="L2919" s="1" t="s">
        <v>448</v>
      </c>
      <c r="M2919">
        <v>0</v>
      </c>
      <c r="N2919">
        <v>7549</v>
      </c>
      <c r="O2919">
        <v>5.7318000000000001E-2</v>
      </c>
      <c r="P2919">
        <v>3</v>
      </c>
      <c r="Q2919" s="1" t="s">
        <v>560</v>
      </c>
      <c r="R2919" s="93">
        <v>432.7</v>
      </c>
      <c r="S2919">
        <v>346.16</v>
      </c>
      <c r="T2919">
        <v>0</v>
      </c>
      <c r="U2919" s="1" t="s">
        <v>679</v>
      </c>
      <c r="V2919" s="1"/>
      <c r="W2919">
        <v>432.7</v>
      </c>
      <c r="X2919">
        <v>0</v>
      </c>
      <c r="Y2919">
        <v>77261</v>
      </c>
    </row>
    <row r="2920" spans="1:25" ht="15" customHeight="1" x14ac:dyDescent="0.25">
      <c r="A2920" s="1" t="s">
        <v>37</v>
      </c>
      <c r="B2920" s="1"/>
      <c r="C2920" s="1" t="s">
        <v>193</v>
      </c>
      <c r="D2920">
        <v>9220</v>
      </c>
      <c r="E2920" s="1"/>
      <c r="F2920" s="1" t="s">
        <v>322</v>
      </c>
      <c r="G2920" s="1" t="s">
        <v>1398</v>
      </c>
      <c r="H2920" s="1" t="s">
        <v>1405</v>
      </c>
      <c r="I2920">
        <v>2015</v>
      </c>
      <c r="J2920" s="93">
        <v>0</v>
      </c>
      <c r="K2920">
        <v>5</v>
      </c>
      <c r="L2920" s="1" t="s">
        <v>449</v>
      </c>
      <c r="M2920">
        <v>0</v>
      </c>
      <c r="N2920">
        <v>7549</v>
      </c>
      <c r="O2920">
        <v>1.1990000000000001E-2</v>
      </c>
      <c r="P2920">
        <v>3</v>
      </c>
      <c r="Q2920" s="1" t="s">
        <v>560</v>
      </c>
      <c r="R2920" s="93">
        <v>90.52</v>
      </c>
      <c r="S2920">
        <v>72.42</v>
      </c>
      <c r="T2920">
        <v>0</v>
      </c>
      <c r="U2920" s="1" t="s">
        <v>680</v>
      </c>
      <c r="V2920" s="1"/>
      <c r="W2920">
        <v>90.519000000000005</v>
      </c>
      <c r="X2920">
        <v>0</v>
      </c>
      <c r="Y2920">
        <v>79481</v>
      </c>
    </row>
    <row r="2921" spans="1:25" ht="15" hidden="1" customHeight="1" x14ac:dyDescent="0.25">
      <c r="A2921" s="1" t="s">
        <v>37</v>
      </c>
      <c r="B2921" s="1"/>
      <c r="C2921" s="1" t="s">
        <v>191</v>
      </c>
      <c r="D2921">
        <v>9224</v>
      </c>
      <c r="E2921" s="1"/>
      <c r="F2921" s="1" t="s">
        <v>319</v>
      </c>
      <c r="G2921" s="1" t="s">
        <v>191</v>
      </c>
      <c r="H2921" s="1" t="s">
        <v>1405</v>
      </c>
      <c r="I2921">
        <v>2014</v>
      </c>
      <c r="J2921" s="93">
        <v>215.73</v>
      </c>
      <c r="K2921">
        <v>12</v>
      </c>
      <c r="L2921" s="1"/>
      <c r="M2921">
        <v>0</v>
      </c>
      <c r="N2921">
        <v>4404</v>
      </c>
      <c r="O2921">
        <v>4.8982999999999999E-2</v>
      </c>
      <c r="P2921">
        <v>3</v>
      </c>
      <c r="Q2921" s="1" t="s">
        <v>560</v>
      </c>
      <c r="R2921" s="93">
        <v>215.73</v>
      </c>
      <c r="S2921">
        <v>0</v>
      </c>
      <c r="T2921">
        <v>1</v>
      </c>
      <c r="U2921" s="1"/>
      <c r="V2921" s="1"/>
      <c r="W2921">
        <v>215.73</v>
      </c>
      <c r="X2921">
        <v>0</v>
      </c>
      <c r="Y2921">
        <v>77266</v>
      </c>
    </row>
    <row r="2922" spans="1:25" ht="15" hidden="1" customHeight="1" x14ac:dyDescent="0.25">
      <c r="A2922" s="1" t="s">
        <v>37</v>
      </c>
      <c r="B2922" s="1"/>
      <c r="C2922" s="1" t="s">
        <v>191</v>
      </c>
      <c r="D2922">
        <v>9224</v>
      </c>
      <c r="E2922" s="1"/>
      <c r="F2922" s="1" t="s">
        <v>319</v>
      </c>
      <c r="G2922" s="1" t="s">
        <v>191</v>
      </c>
      <c r="H2922" s="1" t="s">
        <v>1405</v>
      </c>
      <c r="I2922">
        <v>2014</v>
      </c>
      <c r="J2922" s="93">
        <v>385.23</v>
      </c>
      <c r="K2922">
        <v>12</v>
      </c>
      <c r="L2922" s="1" t="s">
        <v>447</v>
      </c>
      <c r="M2922">
        <v>0</v>
      </c>
      <c r="N2922">
        <v>4404</v>
      </c>
      <c r="O2922">
        <v>8.7470000000000006E-2</v>
      </c>
      <c r="P2922">
        <v>3</v>
      </c>
      <c r="Q2922" s="1" t="s">
        <v>560</v>
      </c>
      <c r="R2922" s="93">
        <v>385.23</v>
      </c>
      <c r="S2922">
        <v>308.2</v>
      </c>
      <c r="T2922">
        <v>0</v>
      </c>
      <c r="U2922" s="1" t="s">
        <v>673</v>
      </c>
      <c r="V2922" s="1"/>
      <c r="W2922">
        <v>385.25200000000001</v>
      </c>
      <c r="X2922">
        <v>0</v>
      </c>
      <c r="Y2922">
        <v>77272</v>
      </c>
    </row>
    <row r="2923" spans="1:25" ht="15" hidden="1" customHeight="1" x14ac:dyDescent="0.25">
      <c r="A2923" s="1" t="s">
        <v>37</v>
      </c>
      <c r="B2923" s="1"/>
      <c r="C2923" s="1" t="s">
        <v>192</v>
      </c>
      <c r="D2923">
        <v>10230</v>
      </c>
      <c r="E2923" s="1"/>
      <c r="F2923" s="1" t="s">
        <v>320</v>
      </c>
      <c r="G2923" s="1" t="s">
        <v>320</v>
      </c>
      <c r="H2923" s="1" t="s">
        <v>1405</v>
      </c>
      <c r="I2923">
        <v>2013</v>
      </c>
      <c r="J2923" s="93">
        <v>12593</v>
      </c>
      <c r="K2923">
        <v>12</v>
      </c>
      <c r="L2923" s="1" t="s">
        <v>399</v>
      </c>
      <c r="M2923">
        <v>0</v>
      </c>
      <c r="N2923">
        <v>711</v>
      </c>
      <c r="O2923">
        <v>17.709181999999998</v>
      </c>
      <c r="P2923">
        <v>2</v>
      </c>
      <c r="Q2923" s="1" t="s">
        <v>569</v>
      </c>
      <c r="R2923" s="93">
        <v>12593</v>
      </c>
      <c r="S2923">
        <v>3777.91</v>
      </c>
      <c r="T2923">
        <v>0</v>
      </c>
      <c r="U2923" s="1" t="s">
        <v>1072</v>
      </c>
      <c r="V2923" s="1" t="s">
        <v>1329</v>
      </c>
      <c r="W2923">
        <v>12593.002</v>
      </c>
      <c r="X2923">
        <v>0</v>
      </c>
      <c r="Y2923">
        <v>77501</v>
      </c>
    </row>
    <row r="2924" spans="1:25" ht="15" hidden="1" customHeight="1" x14ac:dyDescent="0.25">
      <c r="A2924" s="1" t="s">
        <v>37</v>
      </c>
      <c r="B2924" s="1"/>
      <c r="C2924" s="1" t="s">
        <v>193</v>
      </c>
      <c r="D2924">
        <v>9220</v>
      </c>
      <c r="E2924" s="1"/>
      <c r="F2924" s="1" t="s">
        <v>322</v>
      </c>
      <c r="G2924" s="1" t="s">
        <v>1398</v>
      </c>
      <c r="H2924" s="1" t="s">
        <v>1405</v>
      </c>
      <c r="I2924">
        <v>2013</v>
      </c>
      <c r="J2924" s="93">
        <v>43.4</v>
      </c>
      <c r="K2924">
        <v>12</v>
      </c>
      <c r="L2924" s="1"/>
      <c r="M2924">
        <v>0</v>
      </c>
      <c r="N2924">
        <v>7549</v>
      </c>
      <c r="O2924">
        <v>5.7489999999999998E-3</v>
      </c>
      <c r="P2924">
        <v>3</v>
      </c>
      <c r="Q2924" s="1" t="s">
        <v>560</v>
      </c>
      <c r="R2924" s="93">
        <v>43.4</v>
      </c>
      <c r="S2924">
        <v>0</v>
      </c>
      <c r="T2924">
        <v>0</v>
      </c>
      <c r="U2924" s="1" t="s">
        <v>672</v>
      </c>
      <c r="V2924" s="1"/>
      <c r="W2924">
        <v>43.384999999999998</v>
      </c>
      <c r="X2924">
        <v>0</v>
      </c>
      <c r="Y2924">
        <v>72733</v>
      </c>
    </row>
    <row r="2925" spans="1:25" ht="15" hidden="1" customHeight="1" x14ac:dyDescent="0.25">
      <c r="A2925" s="1" t="s">
        <v>37</v>
      </c>
      <c r="B2925" s="1"/>
      <c r="C2925" s="1" t="s">
        <v>193</v>
      </c>
      <c r="D2925">
        <v>9220</v>
      </c>
      <c r="E2925" s="1"/>
      <c r="F2925" s="1" t="s">
        <v>322</v>
      </c>
      <c r="G2925" s="1" t="s">
        <v>1398</v>
      </c>
      <c r="H2925" s="1" t="s">
        <v>1405</v>
      </c>
      <c r="I2925">
        <v>2013</v>
      </c>
      <c r="J2925" s="93">
        <v>1278.9000000000001</v>
      </c>
      <c r="K2925">
        <v>12</v>
      </c>
      <c r="L2925" s="1" t="s">
        <v>448</v>
      </c>
      <c r="M2925">
        <v>0</v>
      </c>
      <c r="N2925">
        <v>7549</v>
      </c>
      <c r="O2925">
        <v>0.16941000000000001</v>
      </c>
      <c r="P2925">
        <v>3</v>
      </c>
      <c r="Q2925" s="1" t="s">
        <v>560</v>
      </c>
      <c r="R2925" s="93">
        <v>1278.9000000000001</v>
      </c>
      <c r="S2925">
        <v>1023.12</v>
      </c>
      <c r="T2925">
        <v>0</v>
      </c>
      <c r="U2925" s="1" t="s">
        <v>679</v>
      </c>
      <c r="V2925" s="1"/>
      <c r="W2925">
        <v>1278.9000000000001</v>
      </c>
      <c r="X2925">
        <v>0</v>
      </c>
      <c r="Y2925">
        <v>77261</v>
      </c>
    </row>
    <row r="2926" spans="1:25" ht="15" hidden="1" customHeight="1" x14ac:dyDescent="0.25">
      <c r="A2926" s="1" t="s">
        <v>37</v>
      </c>
      <c r="B2926" s="1"/>
      <c r="C2926" s="1" t="s">
        <v>193</v>
      </c>
      <c r="D2926">
        <v>9220</v>
      </c>
      <c r="E2926" s="1"/>
      <c r="F2926" s="1" t="s">
        <v>322</v>
      </c>
      <c r="G2926" s="1" t="s">
        <v>1398</v>
      </c>
      <c r="H2926" s="1" t="s">
        <v>1405</v>
      </c>
      <c r="I2926">
        <v>2013</v>
      </c>
      <c r="J2926" s="93">
        <v>181.4</v>
      </c>
      <c r="K2926">
        <v>12</v>
      </c>
      <c r="L2926" s="1" t="s">
        <v>449</v>
      </c>
      <c r="M2926">
        <v>0</v>
      </c>
      <c r="N2926">
        <v>7549</v>
      </c>
      <c r="O2926">
        <v>2.4028999999999998E-2</v>
      </c>
      <c r="P2926">
        <v>3</v>
      </c>
      <c r="Q2926" s="1" t="s">
        <v>560</v>
      </c>
      <c r="R2926" s="93">
        <v>181.4</v>
      </c>
      <c r="S2926">
        <v>145.12</v>
      </c>
      <c r="T2926">
        <v>0</v>
      </c>
      <c r="U2926" s="1" t="s">
        <v>680</v>
      </c>
      <c r="V2926" s="1"/>
      <c r="W2926">
        <v>181.4</v>
      </c>
      <c r="X2926">
        <v>0</v>
      </c>
      <c r="Y2926">
        <v>79481</v>
      </c>
    </row>
    <row r="2927" spans="1:25" ht="15" hidden="1" customHeight="1" x14ac:dyDescent="0.25">
      <c r="A2927" s="1" t="s">
        <v>37</v>
      </c>
      <c r="B2927" s="1"/>
      <c r="C2927" s="1" t="s">
        <v>193</v>
      </c>
      <c r="D2927">
        <v>9220</v>
      </c>
      <c r="E2927" s="1"/>
      <c r="F2927" s="1" t="s">
        <v>322</v>
      </c>
      <c r="G2927" s="1" t="s">
        <v>1398</v>
      </c>
      <c r="H2927" s="1" t="s">
        <v>1405</v>
      </c>
      <c r="I2927">
        <v>2012</v>
      </c>
      <c r="J2927" s="93">
        <v>53.61</v>
      </c>
      <c r="K2927">
        <v>12</v>
      </c>
      <c r="L2927" s="1"/>
      <c r="M2927">
        <v>0</v>
      </c>
      <c r="N2927">
        <v>7549</v>
      </c>
      <c r="O2927">
        <v>7.1009999999999997E-3</v>
      </c>
      <c r="P2927">
        <v>3</v>
      </c>
      <c r="Q2927" s="1" t="s">
        <v>560</v>
      </c>
      <c r="R2927" s="93">
        <v>53.61</v>
      </c>
      <c r="S2927">
        <v>0</v>
      </c>
      <c r="T2927">
        <v>0</v>
      </c>
      <c r="U2927" s="1" t="s">
        <v>672</v>
      </c>
      <c r="V2927" s="1"/>
      <c r="W2927">
        <v>53.600999999999999</v>
      </c>
      <c r="X2927">
        <v>0</v>
      </c>
      <c r="Y2927">
        <v>72733</v>
      </c>
    </row>
    <row r="2928" spans="1:25" ht="15" hidden="1" customHeight="1" x14ac:dyDescent="0.25">
      <c r="A2928" s="1" t="s">
        <v>37</v>
      </c>
      <c r="B2928" s="1"/>
      <c r="C2928" s="1" t="s">
        <v>193</v>
      </c>
      <c r="D2928">
        <v>9220</v>
      </c>
      <c r="E2928" s="1"/>
      <c r="F2928" s="1" t="s">
        <v>322</v>
      </c>
      <c r="G2928" s="1" t="s">
        <v>1398</v>
      </c>
      <c r="H2928" s="1" t="s">
        <v>1405</v>
      </c>
      <c r="I2928">
        <v>2012</v>
      </c>
      <c r="J2928" s="93">
        <v>2364.09</v>
      </c>
      <c r="K2928">
        <v>12</v>
      </c>
      <c r="L2928" s="1" t="s">
        <v>448</v>
      </c>
      <c r="M2928">
        <v>0</v>
      </c>
      <c r="N2928">
        <v>7549</v>
      </c>
      <c r="O2928">
        <v>0.31316100000000002</v>
      </c>
      <c r="P2928">
        <v>3</v>
      </c>
      <c r="Q2928" s="1" t="s">
        <v>560</v>
      </c>
      <c r="R2928" s="93">
        <v>2364.09</v>
      </c>
      <c r="S2928">
        <v>1891.27</v>
      </c>
      <c r="T2928">
        <v>0</v>
      </c>
      <c r="U2928" s="1" t="s">
        <v>679</v>
      </c>
      <c r="V2928" s="1"/>
      <c r="W2928">
        <v>2364.09</v>
      </c>
      <c r="X2928">
        <v>0</v>
      </c>
      <c r="Y2928">
        <v>77261</v>
      </c>
    </row>
    <row r="2929" spans="1:25" ht="15" hidden="1" customHeight="1" x14ac:dyDescent="0.25">
      <c r="A2929" s="1" t="s">
        <v>37</v>
      </c>
      <c r="B2929" s="1"/>
      <c r="C2929" s="1" t="s">
        <v>193</v>
      </c>
      <c r="D2929">
        <v>9220</v>
      </c>
      <c r="E2929" s="1"/>
      <c r="F2929" s="1" t="s">
        <v>322</v>
      </c>
      <c r="G2929" s="1" t="s">
        <v>1398</v>
      </c>
      <c r="H2929" s="1" t="s">
        <v>1405</v>
      </c>
      <c r="I2929">
        <v>2012</v>
      </c>
      <c r="J2929" s="93">
        <v>204.26</v>
      </c>
      <c r="K2929">
        <v>13</v>
      </c>
      <c r="L2929" s="1" t="s">
        <v>449</v>
      </c>
      <c r="M2929">
        <v>0</v>
      </c>
      <c r="N2929">
        <v>7549</v>
      </c>
      <c r="O2929">
        <v>2.7057000000000001E-2</v>
      </c>
      <c r="P2929">
        <v>3</v>
      </c>
      <c r="Q2929" s="1" t="s">
        <v>560</v>
      </c>
      <c r="R2929" s="93">
        <v>204.26</v>
      </c>
      <c r="S2929">
        <v>163.4</v>
      </c>
      <c r="T2929">
        <v>0</v>
      </c>
      <c r="U2929" s="1" t="s">
        <v>680</v>
      </c>
      <c r="V2929" s="1"/>
      <c r="W2929">
        <v>204.26429999999999</v>
      </c>
      <c r="X2929">
        <v>0</v>
      </c>
      <c r="Y2929">
        <v>79481</v>
      </c>
    </row>
    <row r="2930" spans="1:25" ht="15" hidden="1" customHeight="1" x14ac:dyDescent="0.25">
      <c r="A2930" s="1" t="s">
        <v>37</v>
      </c>
      <c r="B2930" s="1"/>
      <c r="C2930" s="1" t="s">
        <v>193</v>
      </c>
      <c r="D2930">
        <v>9220</v>
      </c>
      <c r="E2930" s="1"/>
      <c r="F2930" s="1" t="s">
        <v>322</v>
      </c>
      <c r="G2930" s="1" t="s">
        <v>1398</v>
      </c>
      <c r="H2930" s="1" t="s">
        <v>1405</v>
      </c>
      <c r="I2930">
        <v>2011</v>
      </c>
      <c r="J2930" s="93">
        <v>51.29</v>
      </c>
      <c r="K2930">
        <v>12</v>
      </c>
      <c r="L2930" s="1"/>
      <c r="M2930">
        <v>0</v>
      </c>
      <c r="N2930">
        <v>7549</v>
      </c>
      <c r="O2930">
        <v>6.7939999999999997E-3</v>
      </c>
      <c r="P2930">
        <v>3</v>
      </c>
      <c r="Q2930" s="1" t="s">
        <v>560</v>
      </c>
      <c r="R2930" s="93">
        <v>51.29</v>
      </c>
      <c r="S2930">
        <v>0</v>
      </c>
      <c r="T2930">
        <v>0</v>
      </c>
      <c r="U2930" s="1" t="s">
        <v>672</v>
      </c>
      <c r="V2930" s="1"/>
      <c r="W2930">
        <v>51.29</v>
      </c>
      <c r="X2930">
        <v>0</v>
      </c>
      <c r="Y2930">
        <v>72733</v>
      </c>
    </row>
    <row r="2931" spans="1:25" ht="15" hidden="1" customHeight="1" x14ac:dyDescent="0.25">
      <c r="A2931" s="1" t="s">
        <v>37</v>
      </c>
      <c r="B2931" s="1"/>
      <c r="C2931" s="1" t="s">
        <v>193</v>
      </c>
      <c r="D2931">
        <v>9220</v>
      </c>
      <c r="E2931" s="1"/>
      <c r="F2931" s="1" t="s">
        <v>322</v>
      </c>
      <c r="G2931" s="1" t="s">
        <v>1398</v>
      </c>
      <c r="H2931" s="1" t="s">
        <v>1405</v>
      </c>
      <c r="I2931">
        <v>2011</v>
      </c>
      <c r="J2931" s="93">
        <v>397.89</v>
      </c>
      <c r="K2931">
        <v>12</v>
      </c>
      <c r="L2931" s="1" t="s">
        <v>448</v>
      </c>
      <c r="M2931">
        <v>0</v>
      </c>
      <c r="N2931">
        <v>7549</v>
      </c>
      <c r="O2931">
        <v>5.2706000000000003E-2</v>
      </c>
      <c r="P2931">
        <v>3</v>
      </c>
      <c r="Q2931" s="1" t="s">
        <v>560</v>
      </c>
      <c r="R2931" s="93">
        <v>397.89</v>
      </c>
      <c r="S2931">
        <v>318.31</v>
      </c>
      <c r="T2931">
        <v>0</v>
      </c>
      <c r="U2931" s="1" t="s">
        <v>679</v>
      </c>
      <c r="V2931" s="1"/>
      <c r="W2931">
        <v>397.89</v>
      </c>
      <c r="X2931">
        <v>0</v>
      </c>
      <c r="Y2931">
        <v>77261</v>
      </c>
    </row>
    <row r="2932" spans="1:25" ht="15" hidden="1" customHeight="1" x14ac:dyDescent="0.25">
      <c r="A2932" s="1" t="s">
        <v>37</v>
      </c>
      <c r="B2932" s="1"/>
      <c r="C2932" s="1" t="s">
        <v>193</v>
      </c>
      <c r="D2932">
        <v>9220</v>
      </c>
      <c r="E2932" s="1"/>
      <c r="F2932" s="1" t="s">
        <v>322</v>
      </c>
      <c r="G2932" s="1" t="s">
        <v>1398</v>
      </c>
      <c r="H2932" s="1" t="s">
        <v>1405</v>
      </c>
      <c r="I2932">
        <v>2011</v>
      </c>
      <c r="J2932" s="93">
        <v>191.79</v>
      </c>
      <c r="K2932">
        <v>8</v>
      </c>
      <c r="L2932" s="1" t="s">
        <v>449</v>
      </c>
      <c r="M2932">
        <v>0</v>
      </c>
      <c r="N2932">
        <v>7549</v>
      </c>
      <c r="O2932">
        <v>2.5405E-2</v>
      </c>
      <c r="P2932">
        <v>3</v>
      </c>
      <c r="Q2932" s="1" t="s">
        <v>560</v>
      </c>
      <c r="R2932" s="93">
        <v>191.79</v>
      </c>
      <c r="S2932">
        <v>153.44999999999999</v>
      </c>
      <c r="T2932">
        <v>0</v>
      </c>
      <c r="U2932" s="1" t="s">
        <v>680</v>
      </c>
      <c r="V2932" s="1"/>
      <c r="W2932">
        <v>191.80843999999999</v>
      </c>
      <c r="X2932">
        <v>0</v>
      </c>
      <c r="Y2932">
        <v>79481</v>
      </c>
    </row>
    <row r="2933" spans="1:25" ht="15" hidden="1" customHeight="1" x14ac:dyDescent="0.25">
      <c r="A2933" s="1" t="s">
        <v>37</v>
      </c>
      <c r="B2933" s="1"/>
      <c r="C2933" s="1" t="s">
        <v>193</v>
      </c>
      <c r="D2933">
        <v>9220</v>
      </c>
      <c r="E2933" s="1"/>
      <c r="F2933" s="1" t="s">
        <v>322</v>
      </c>
      <c r="G2933" s="1" t="s">
        <v>1398</v>
      </c>
      <c r="H2933" s="1" t="s">
        <v>1405</v>
      </c>
      <c r="I2933">
        <v>2010</v>
      </c>
      <c r="J2933" s="93">
        <v>6.9</v>
      </c>
      <c r="K2933">
        <v>12</v>
      </c>
      <c r="L2933" s="1"/>
      <c r="M2933">
        <v>0</v>
      </c>
      <c r="N2933">
        <v>7549</v>
      </c>
      <c r="O2933">
        <v>9.1399999999999999E-4</v>
      </c>
      <c r="P2933">
        <v>3</v>
      </c>
      <c r="Q2933" s="1" t="s">
        <v>560</v>
      </c>
      <c r="R2933" s="93">
        <v>6.9</v>
      </c>
      <c r="S2933">
        <v>0</v>
      </c>
      <c r="T2933">
        <v>0</v>
      </c>
      <c r="U2933" s="1" t="s">
        <v>672</v>
      </c>
      <c r="V2933" s="1"/>
      <c r="W2933">
        <v>6.899</v>
      </c>
      <c r="X2933">
        <v>0</v>
      </c>
      <c r="Y2933">
        <v>72733</v>
      </c>
    </row>
    <row r="2934" spans="1:25" ht="15" hidden="1" customHeight="1" x14ac:dyDescent="0.25">
      <c r="A2934" s="1" t="s">
        <v>37</v>
      </c>
      <c r="B2934" s="1"/>
      <c r="C2934" s="1" t="s">
        <v>193</v>
      </c>
      <c r="D2934">
        <v>9220</v>
      </c>
      <c r="E2934" s="1"/>
      <c r="F2934" s="1" t="s">
        <v>322</v>
      </c>
      <c r="G2934" s="1" t="s">
        <v>1398</v>
      </c>
      <c r="H2934" s="1" t="s">
        <v>1405</v>
      </c>
      <c r="I2934">
        <v>2010</v>
      </c>
      <c r="J2934" s="93">
        <v>542.9</v>
      </c>
      <c r="K2934">
        <v>9</v>
      </c>
      <c r="L2934" s="1" t="s">
        <v>448</v>
      </c>
      <c r="M2934">
        <v>0</v>
      </c>
      <c r="N2934">
        <v>7549</v>
      </c>
      <c r="O2934">
        <v>7.1915000000000007E-2</v>
      </c>
      <c r="P2934">
        <v>3</v>
      </c>
      <c r="Q2934" s="1" t="s">
        <v>560</v>
      </c>
      <c r="R2934" s="93">
        <v>542.9</v>
      </c>
      <c r="S2934">
        <v>434.32</v>
      </c>
      <c r="T2934">
        <v>0</v>
      </c>
      <c r="U2934" s="1" t="s">
        <v>679</v>
      </c>
      <c r="V2934" s="1"/>
      <c r="W2934">
        <v>542.90058999999997</v>
      </c>
      <c r="X2934">
        <v>0</v>
      </c>
      <c r="Y2934">
        <v>77261</v>
      </c>
    </row>
    <row r="2935" spans="1:25" ht="15" hidden="1" customHeight="1" x14ac:dyDescent="0.25">
      <c r="A2935" s="1" t="s">
        <v>37</v>
      </c>
      <c r="B2935" s="1"/>
      <c r="C2935" s="1" t="s">
        <v>193</v>
      </c>
      <c r="D2935">
        <v>9220</v>
      </c>
      <c r="E2935" s="1"/>
      <c r="F2935" s="1" t="s">
        <v>322</v>
      </c>
      <c r="G2935" s="1" t="s">
        <v>1398</v>
      </c>
      <c r="H2935" s="1" t="s">
        <v>1405</v>
      </c>
      <c r="I2935">
        <v>2010</v>
      </c>
      <c r="J2935" s="93">
        <v>224.27</v>
      </c>
      <c r="K2935">
        <v>12</v>
      </c>
      <c r="L2935" s="1" t="s">
        <v>449</v>
      </c>
      <c r="M2935">
        <v>0</v>
      </c>
      <c r="N2935">
        <v>7549</v>
      </c>
      <c r="O2935">
        <v>2.9707999999999998E-2</v>
      </c>
      <c r="P2935">
        <v>3</v>
      </c>
      <c r="Q2935" s="1" t="s">
        <v>560</v>
      </c>
      <c r="R2935" s="93">
        <v>224.27</v>
      </c>
      <c r="S2935">
        <v>179.42</v>
      </c>
      <c r="T2935">
        <v>0</v>
      </c>
      <c r="U2935" s="1" t="s">
        <v>680</v>
      </c>
      <c r="V2935" s="1"/>
      <c r="W2935">
        <v>224.27012999999999</v>
      </c>
      <c r="X2935">
        <v>0</v>
      </c>
      <c r="Y2935">
        <v>79481</v>
      </c>
    </row>
    <row r="2936" spans="1:25" ht="15" hidden="1" customHeight="1" x14ac:dyDescent="0.25">
      <c r="A2936" s="1" t="s">
        <v>37</v>
      </c>
      <c r="B2936" s="1"/>
      <c r="C2936" s="1" t="s">
        <v>193</v>
      </c>
      <c r="D2936">
        <v>9220</v>
      </c>
      <c r="E2936" s="1"/>
      <c r="F2936" s="1" t="s">
        <v>322</v>
      </c>
      <c r="G2936" s="1" t="s">
        <v>1398</v>
      </c>
      <c r="H2936" s="1" t="s">
        <v>1405</v>
      </c>
      <c r="I2936">
        <v>2009</v>
      </c>
      <c r="J2936" s="93">
        <v>17.13</v>
      </c>
      <c r="K2936">
        <v>12</v>
      </c>
      <c r="L2936" s="1"/>
      <c r="M2936">
        <v>0</v>
      </c>
      <c r="N2936">
        <v>7549</v>
      </c>
      <c r="O2936">
        <v>2.2690000000000002E-3</v>
      </c>
      <c r="P2936">
        <v>3</v>
      </c>
      <c r="Q2936" s="1" t="s">
        <v>560</v>
      </c>
      <c r="R2936" s="93">
        <v>17.13</v>
      </c>
      <c r="S2936">
        <v>0</v>
      </c>
      <c r="T2936">
        <v>0</v>
      </c>
      <c r="U2936" s="1" t="s">
        <v>672</v>
      </c>
      <c r="V2936" s="1"/>
      <c r="W2936">
        <v>17.123999999999999</v>
      </c>
      <c r="X2936">
        <v>0</v>
      </c>
      <c r="Y2936">
        <v>72733</v>
      </c>
    </row>
    <row r="2937" spans="1:25" ht="15" hidden="1" customHeight="1" x14ac:dyDescent="0.25">
      <c r="A2937" s="1" t="s">
        <v>37</v>
      </c>
      <c r="B2937" s="1"/>
      <c r="C2937" s="1" t="s">
        <v>193</v>
      </c>
      <c r="D2937">
        <v>9220</v>
      </c>
      <c r="E2937" s="1"/>
      <c r="F2937" s="1" t="s">
        <v>322</v>
      </c>
      <c r="G2937" s="1" t="s">
        <v>1398</v>
      </c>
      <c r="H2937" s="1" t="s">
        <v>1405</v>
      </c>
      <c r="I2937">
        <v>2009</v>
      </c>
      <c r="J2937" s="93">
        <v>417.16</v>
      </c>
      <c r="K2937">
        <v>12</v>
      </c>
      <c r="L2937" s="1" t="s">
        <v>448</v>
      </c>
      <c r="M2937">
        <v>0</v>
      </c>
      <c r="N2937">
        <v>7549</v>
      </c>
      <c r="O2937">
        <v>5.5259000000000003E-2</v>
      </c>
      <c r="P2937">
        <v>3</v>
      </c>
      <c r="Q2937" s="1" t="s">
        <v>560</v>
      </c>
      <c r="R2937" s="93">
        <v>417.16</v>
      </c>
      <c r="S2937">
        <v>333.74</v>
      </c>
      <c r="T2937">
        <v>0</v>
      </c>
      <c r="U2937" s="1" t="s">
        <v>679</v>
      </c>
      <c r="V2937" s="1"/>
      <c r="W2937">
        <v>417.17457999999999</v>
      </c>
      <c r="X2937">
        <v>0</v>
      </c>
      <c r="Y2937">
        <v>77261</v>
      </c>
    </row>
    <row r="2938" spans="1:25" ht="15" hidden="1" customHeight="1" x14ac:dyDescent="0.25">
      <c r="A2938" s="1" t="s">
        <v>37</v>
      </c>
      <c r="B2938" s="1"/>
      <c r="C2938" s="1" t="s">
        <v>193</v>
      </c>
      <c r="D2938">
        <v>9220</v>
      </c>
      <c r="E2938" s="1"/>
      <c r="F2938" s="1" t="s">
        <v>322</v>
      </c>
      <c r="G2938" s="1" t="s">
        <v>1398</v>
      </c>
      <c r="H2938" s="1" t="s">
        <v>1405</v>
      </c>
      <c r="I2938">
        <v>2009</v>
      </c>
      <c r="J2938" s="93">
        <v>272.83</v>
      </c>
      <c r="K2938">
        <v>11</v>
      </c>
      <c r="L2938" s="1" t="s">
        <v>449</v>
      </c>
      <c r="M2938">
        <v>0</v>
      </c>
      <c r="N2938">
        <v>7549</v>
      </c>
      <c r="O2938">
        <v>3.6139999999999999E-2</v>
      </c>
      <c r="P2938">
        <v>3</v>
      </c>
      <c r="Q2938" s="1" t="s">
        <v>560</v>
      </c>
      <c r="R2938" s="93">
        <v>272.83</v>
      </c>
      <c r="S2938">
        <v>218.29</v>
      </c>
      <c r="T2938">
        <v>0</v>
      </c>
      <c r="U2938" s="1" t="s">
        <v>680</v>
      </c>
      <c r="V2938" s="1"/>
      <c r="W2938">
        <v>272.84424000000001</v>
      </c>
      <c r="X2938">
        <v>0</v>
      </c>
      <c r="Y2938">
        <v>79481</v>
      </c>
    </row>
    <row r="2939" spans="1:25" ht="15" hidden="1" customHeight="1" x14ac:dyDescent="0.25">
      <c r="A2939" s="1" t="s">
        <v>37</v>
      </c>
      <c r="B2939" s="1"/>
      <c r="C2939" s="1" t="s">
        <v>193</v>
      </c>
      <c r="D2939">
        <v>9220</v>
      </c>
      <c r="E2939" s="1"/>
      <c r="F2939" s="1" t="s">
        <v>322</v>
      </c>
      <c r="G2939" s="1" t="s">
        <v>1398</v>
      </c>
      <c r="H2939" s="1" t="s">
        <v>1405</v>
      </c>
      <c r="I2939">
        <v>2008</v>
      </c>
      <c r="J2939" s="93">
        <v>30.7</v>
      </c>
      <c r="K2939">
        <v>12</v>
      </c>
      <c r="L2939" s="1"/>
      <c r="M2939">
        <v>0</v>
      </c>
      <c r="N2939">
        <v>7549</v>
      </c>
      <c r="O2939">
        <v>4.0660000000000002E-3</v>
      </c>
      <c r="P2939">
        <v>3</v>
      </c>
      <c r="Q2939" s="1" t="s">
        <v>560</v>
      </c>
      <c r="R2939" s="93">
        <v>30.7</v>
      </c>
      <c r="S2939">
        <v>0</v>
      </c>
      <c r="T2939">
        <v>0</v>
      </c>
      <c r="U2939" s="1" t="s">
        <v>672</v>
      </c>
      <c r="V2939" s="1"/>
      <c r="W2939">
        <v>30.687999999999999</v>
      </c>
      <c r="X2939">
        <v>0</v>
      </c>
      <c r="Y2939">
        <v>72733</v>
      </c>
    </row>
    <row r="2940" spans="1:25" ht="15" hidden="1" customHeight="1" x14ac:dyDescent="0.25">
      <c r="A2940" s="1" t="s">
        <v>37</v>
      </c>
      <c r="B2940" s="1"/>
      <c r="C2940" s="1" t="s">
        <v>193</v>
      </c>
      <c r="D2940">
        <v>9220</v>
      </c>
      <c r="E2940" s="1"/>
      <c r="F2940" s="1" t="s">
        <v>322</v>
      </c>
      <c r="G2940" s="1" t="s">
        <v>1398</v>
      </c>
      <c r="H2940" s="1" t="s">
        <v>1405</v>
      </c>
      <c r="I2940">
        <v>2008</v>
      </c>
      <c r="J2940" s="93">
        <v>501.98</v>
      </c>
      <c r="K2940">
        <v>12</v>
      </c>
      <c r="L2940" s="1" t="s">
        <v>448</v>
      </c>
      <c r="M2940">
        <v>0</v>
      </c>
      <c r="N2940">
        <v>7549</v>
      </c>
      <c r="O2940">
        <v>6.6494999999999999E-2</v>
      </c>
      <c r="P2940">
        <v>3</v>
      </c>
      <c r="Q2940" s="1" t="s">
        <v>560</v>
      </c>
      <c r="R2940" s="93">
        <v>501.98</v>
      </c>
      <c r="S2940">
        <v>401.61</v>
      </c>
      <c r="T2940">
        <v>0</v>
      </c>
      <c r="U2940" s="1" t="s">
        <v>679</v>
      </c>
      <c r="V2940" s="1"/>
      <c r="W2940">
        <v>502.00000999999997</v>
      </c>
      <c r="X2940">
        <v>0</v>
      </c>
      <c r="Y2940">
        <v>77261</v>
      </c>
    </row>
    <row r="2941" spans="1:25" ht="15" hidden="1" customHeight="1" x14ac:dyDescent="0.25">
      <c r="A2941" s="1" t="s">
        <v>37</v>
      </c>
      <c r="B2941" s="1"/>
      <c r="C2941" s="1" t="s">
        <v>193</v>
      </c>
      <c r="D2941">
        <v>9220</v>
      </c>
      <c r="E2941" s="1"/>
      <c r="F2941" s="1" t="s">
        <v>322</v>
      </c>
      <c r="G2941" s="1" t="s">
        <v>1398</v>
      </c>
      <c r="H2941" s="1" t="s">
        <v>1405</v>
      </c>
      <c r="I2941">
        <v>2008</v>
      </c>
      <c r="J2941" s="93">
        <v>218.92</v>
      </c>
      <c r="K2941">
        <v>12</v>
      </c>
      <c r="L2941" s="1" t="s">
        <v>449</v>
      </c>
      <c r="M2941">
        <v>0</v>
      </c>
      <c r="N2941">
        <v>7549</v>
      </c>
      <c r="O2941">
        <v>2.8999E-2</v>
      </c>
      <c r="P2941">
        <v>3</v>
      </c>
      <c r="Q2941" s="1" t="s">
        <v>560</v>
      </c>
      <c r="R2941" s="93">
        <v>218.92</v>
      </c>
      <c r="S2941">
        <v>175.12</v>
      </c>
      <c r="T2941">
        <v>0</v>
      </c>
      <c r="U2941" s="1" t="s">
        <v>680</v>
      </c>
      <c r="V2941" s="1"/>
      <c r="W2941">
        <v>218.90323000000001</v>
      </c>
      <c r="X2941">
        <v>0</v>
      </c>
      <c r="Y2941">
        <v>79481</v>
      </c>
    </row>
    <row r="2942" spans="1:25" ht="15" customHeight="1" x14ac:dyDescent="0.25">
      <c r="A2942" s="1" t="s">
        <v>37</v>
      </c>
      <c r="B2942" s="1"/>
      <c r="C2942" s="1" t="s">
        <v>193</v>
      </c>
      <c r="D2942">
        <v>11000</v>
      </c>
      <c r="E2942" s="1"/>
      <c r="F2942" s="1" t="s">
        <v>323</v>
      </c>
      <c r="G2942" s="1" t="s">
        <v>1398</v>
      </c>
      <c r="H2942" s="1" t="s">
        <v>1405</v>
      </c>
      <c r="I2942">
        <v>2015</v>
      </c>
      <c r="J2942" s="93">
        <v>285</v>
      </c>
      <c r="K2942">
        <v>5</v>
      </c>
      <c r="L2942" s="1" t="s">
        <v>450</v>
      </c>
      <c r="M2942">
        <v>0</v>
      </c>
      <c r="N2942">
        <v>652</v>
      </c>
      <c r="O2942">
        <v>0.20208499999999999</v>
      </c>
      <c r="P2942">
        <v>3</v>
      </c>
      <c r="Q2942" s="1" t="s">
        <v>560</v>
      </c>
      <c r="R2942" s="93">
        <v>131.78</v>
      </c>
      <c r="S2942">
        <v>105.42</v>
      </c>
      <c r="T2942">
        <v>0</v>
      </c>
      <c r="U2942" s="1" t="s">
        <v>681</v>
      </c>
      <c r="V2942" s="1"/>
      <c r="W2942">
        <v>131.77799999999999</v>
      </c>
      <c r="X2942">
        <v>0</v>
      </c>
      <c r="Y2942">
        <v>79480</v>
      </c>
    </row>
    <row r="2943" spans="1:25" ht="15" hidden="1" customHeight="1" x14ac:dyDescent="0.25">
      <c r="A2943" s="1" t="s">
        <v>35</v>
      </c>
      <c r="B2943" s="1" t="s">
        <v>76</v>
      </c>
      <c r="C2943" s="1" t="s">
        <v>184</v>
      </c>
      <c r="D2943">
        <v>5270</v>
      </c>
      <c r="E2943" s="1"/>
      <c r="F2943" s="1" t="s">
        <v>314</v>
      </c>
      <c r="G2943" s="1" t="s">
        <v>184</v>
      </c>
      <c r="H2943" s="1" t="s">
        <v>1405</v>
      </c>
      <c r="I2943">
        <v>2014</v>
      </c>
      <c r="J2943" s="93">
        <v>130268.52</v>
      </c>
      <c r="K2943">
        <v>12</v>
      </c>
      <c r="L2943" s="1"/>
      <c r="M2943">
        <v>0</v>
      </c>
      <c r="N2943">
        <v>2625</v>
      </c>
      <c r="O2943">
        <v>49.624212</v>
      </c>
      <c r="P2943">
        <v>1</v>
      </c>
      <c r="Q2943" s="1" t="s">
        <v>564</v>
      </c>
      <c r="R2943" s="93">
        <v>153760.47</v>
      </c>
      <c r="S2943">
        <v>32517.51</v>
      </c>
      <c r="T2943">
        <v>0</v>
      </c>
      <c r="U2943" s="1" t="s">
        <v>842</v>
      </c>
      <c r="V2943" s="1" t="s">
        <v>1217</v>
      </c>
      <c r="W2943">
        <v>12061.9</v>
      </c>
      <c r="X2943">
        <v>0</v>
      </c>
      <c r="Y2943">
        <v>56823</v>
      </c>
    </row>
    <row r="2944" spans="1:25" ht="15" hidden="1" customHeight="1" x14ac:dyDescent="0.25">
      <c r="A2944" s="1" t="s">
        <v>37</v>
      </c>
      <c r="B2944" s="1"/>
      <c r="C2944" s="1" t="s">
        <v>193</v>
      </c>
      <c r="D2944">
        <v>11000</v>
      </c>
      <c r="E2944" s="1"/>
      <c r="F2944" s="1" t="s">
        <v>323</v>
      </c>
      <c r="G2944" s="1" t="s">
        <v>1398</v>
      </c>
      <c r="H2944" s="1" t="s">
        <v>1405</v>
      </c>
      <c r="I2944">
        <v>2013</v>
      </c>
      <c r="J2944" s="93">
        <v>287.36</v>
      </c>
      <c r="K2944">
        <v>12</v>
      </c>
      <c r="L2944" s="1" t="s">
        <v>450</v>
      </c>
      <c r="M2944">
        <v>0</v>
      </c>
      <c r="N2944">
        <v>652</v>
      </c>
      <c r="O2944">
        <v>0.440668</v>
      </c>
      <c r="P2944">
        <v>3</v>
      </c>
      <c r="Q2944" s="1" t="s">
        <v>560</v>
      </c>
      <c r="R2944" s="93">
        <v>287.36</v>
      </c>
      <c r="S2944">
        <v>229.9</v>
      </c>
      <c r="T2944">
        <v>0</v>
      </c>
      <c r="U2944" s="1" t="s">
        <v>681</v>
      </c>
      <c r="V2944" s="1"/>
      <c r="W2944">
        <v>287.37200000000001</v>
      </c>
      <c r="X2944">
        <v>0</v>
      </c>
      <c r="Y2944">
        <v>79480</v>
      </c>
    </row>
    <row r="2945" spans="1:25" ht="15" hidden="1" customHeight="1" x14ac:dyDescent="0.25">
      <c r="A2945" s="1" t="s">
        <v>37</v>
      </c>
      <c r="B2945" s="1"/>
      <c r="C2945" s="1" t="s">
        <v>193</v>
      </c>
      <c r="D2945">
        <v>11000</v>
      </c>
      <c r="E2945" s="1"/>
      <c r="F2945" s="1" t="s">
        <v>323</v>
      </c>
      <c r="G2945" s="1" t="s">
        <v>1398</v>
      </c>
      <c r="H2945" s="1" t="s">
        <v>1405</v>
      </c>
      <c r="I2945">
        <v>2012</v>
      </c>
      <c r="J2945" s="93">
        <v>61.61</v>
      </c>
      <c r="K2945">
        <v>12</v>
      </c>
      <c r="L2945" s="1" t="s">
        <v>450</v>
      </c>
      <c r="M2945">
        <v>0</v>
      </c>
      <c r="N2945">
        <v>652</v>
      </c>
      <c r="O2945">
        <v>9.4478999999999994E-2</v>
      </c>
      <c r="P2945">
        <v>3</v>
      </c>
      <c r="Q2945" s="1" t="s">
        <v>560</v>
      </c>
      <c r="R2945" s="93">
        <v>61.61</v>
      </c>
      <c r="S2945">
        <v>49.29</v>
      </c>
      <c r="T2945">
        <v>0</v>
      </c>
      <c r="U2945" s="1" t="s">
        <v>681</v>
      </c>
      <c r="V2945" s="1"/>
      <c r="W2945">
        <v>61.603999999999999</v>
      </c>
      <c r="X2945">
        <v>0</v>
      </c>
      <c r="Y2945">
        <v>79480</v>
      </c>
    </row>
    <row r="2946" spans="1:25" ht="15" hidden="1" customHeight="1" x14ac:dyDescent="0.25">
      <c r="A2946" s="1" t="s">
        <v>37</v>
      </c>
      <c r="B2946" s="1"/>
      <c r="C2946" s="1" t="s">
        <v>193</v>
      </c>
      <c r="D2946">
        <v>11000</v>
      </c>
      <c r="E2946" s="1"/>
      <c r="F2946" s="1" t="s">
        <v>323</v>
      </c>
      <c r="G2946" s="1" t="s">
        <v>1398</v>
      </c>
      <c r="H2946" s="1" t="s">
        <v>1405</v>
      </c>
      <c r="I2946">
        <v>2011</v>
      </c>
      <c r="J2946" s="93">
        <v>10.35</v>
      </c>
      <c r="K2946">
        <v>12</v>
      </c>
      <c r="L2946" s="1" t="s">
        <v>450</v>
      </c>
      <c r="M2946">
        <v>0</v>
      </c>
      <c r="N2946">
        <v>652</v>
      </c>
      <c r="O2946">
        <v>1.5871E-2</v>
      </c>
      <c r="P2946">
        <v>3</v>
      </c>
      <c r="Q2946" s="1" t="s">
        <v>560</v>
      </c>
      <c r="R2946" s="93">
        <v>10.35</v>
      </c>
      <c r="S2946">
        <v>8.2899999999999991</v>
      </c>
      <c r="T2946">
        <v>0</v>
      </c>
      <c r="U2946" s="1" t="s">
        <v>681</v>
      </c>
      <c r="V2946" s="1"/>
      <c r="W2946">
        <v>10.343</v>
      </c>
      <c r="X2946">
        <v>0</v>
      </c>
      <c r="Y2946">
        <v>79480</v>
      </c>
    </row>
    <row r="2947" spans="1:25" ht="15" hidden="1" customHeight="1" x14ac:dyDescent="0.25">
      <c r="A2947" s="1" t="s">
        <v>37</v>
      </c>
      <c r="B2947" s="1"/>
      <c r="C2947" s="1" t="s">
        <v>193</v>
      </c>
      <c r="D2947">
        <v>11000</v>
      </c>
      <c r="E2947" s="1"/>
      <c r="F2947" s="1" t="s">
        <v>323</v>
      </c>
      <c r="G2947" s="1" t="s">
        <v>1398</v>
      </c>
      <c r="H2947" s="1" t="s">
        <v>1405</v>
      </c>
      <c r="I2947">
        <v>2010</v>
      </c>
      <c r="J2947" s="93">
        <v>381.6</v>
      </c>
      <c r="K2947">
        <v>13</v>
      </c>
      <c r="L2947" s="1" t="s">
        <v>450</v>
      </c>
      <c r="M2947">
        <v>0</v>
      </c>
      <c r="N2947">
        <v>652</v>
      </c>
      <c r="O2947">
        <v>0.58518599999999998</v>
      </c>
      <c r="P2947">
        <v>3</v>
      </c>
      <c r="Q2947" s="1" t="s">
        <v>560</v>
      </c>
      <c r="R2947" s="93">
        <v>381.6</v>
      </c>
      <c r="S2947">
        <v>305.27999999999997</v>
      </c>
      <c r="T2947">
        <v>0</v>
      </c>
      <c r="U2947" s="1" t="s">
        <v>681</v>
      </c>
      <c r="V2947" s="1"/>
      <c r="W2947">
        <v>381.60086000000001</v>
      </c>
      <c r="X2947">
        <v>0</v>
      </c>
      <c r="Y2947">
        <v>79480</v>
      </c>
    </row>
    <row r="2948" spans="1:25" ht="15" hidden="1" customHeight="1" x14ac:dyDescent="0.25">
      <c r="A2948" s="1" t="s">
        <v>37</v>
      </c>
      <c r="B2948" s="1"/>
      <c r="C2948" s="1" t="s">
        <v>193</v>
      </c>
      <c r="D2948">
        <v>11000</v>
      </c>
      <c r="E2948" s="1"/>
      <c r="F2948" s="1" t="s">
        <v>323</v>
      </c>
      <c r="G2948" s="1" t="s">
        <v>1398</v>
      </c>
      <c r="H2948" s="1" t="s">
        <v>1405</v>
      </c>
      <c r="I2948">
        <v>2009</v>
      </c>
      <c r="J2948" s="93">
        <v>446.55</v>
      </c>
      <c r="K2948">
        <v>11</v>
      </c>
      <c r="L2948" s="1" t="s">
        <v>450</v>
      </c>
      <c r="M2948">
        <v>0</v>
      </c>
      <c r="N2948">
        <v>652</v>
      </c>
      <c r="O2948">
        <v>0.68478700000000003</v>
      </c>
      <c r="P2948">
        <v>3</v>
      </c>
      <c r="Q2948" s="1" t="s">
        <v>560</v>
      </c>
      <c r="R2948" s="93">
        <v>446.55</v>
      </c>
      <c r="S2948">
        <v>357.24</v>
      </c>
      <c r="T2948">
        <v>0</v>
      </c>
      <c r="U2948" s="1" t="s">
        <v>681</v>
      </c>
      <c r="V2948" s="1"/>
      <c r="W2948">
        <v>446.56038000000001</v>
      </c>
      <c r="X2948">
        <v>0</v>
      </c>
      <c r="Y2948">
        <v>79480</v>
      </c>
    </row>
    <row r="2949" spans="1:25" ht="15" hidden="1" customHeight="1" x14ac:dyDescent="0.25">
      <c r="A2949" s="1" t="s">
        <v>37</v>
      </c>
      <c r="B2949" s="1"/>
      <c r="C2949" s="1" t="s">
        <v>193</v>
      </c>
      <c r="D2949">
        <v>11000</v>
      </c>
      <c r="E2949" s="1"/>
      <c r="F2949" s="1" t="s">
        <v>323</v>
      </c>
      <c r="G2949" s="1" t="s">
        <v>1398</v>
      </c>
      <c r="H2949" s="1" t="s">
        <v>1405</v>
      </c>
      <c r="I2949">
        <v>2008</v>
      </c>
      <c r="J2949" s="93">
        <v>435.57</v>
      </c>
      <c r="K2949">
        <v>12</v>
      </c>
      <c r="L2949" s="1" t="s">
        <v>450</v>
      </c>
      <c r="M2949">
        <v>0</v>
      </c>
      <c r="N2949">
        <v>652</v>
      </c>
      <c r="O2949">
        <v>0.66794900000000001</v>
      </c>
      <c r="P2949">
        <v>3</v>
      </c>
      <c r="Q2949" s="1" t="s">
        <v>560</v>
      </c>
      <c r="R2949" s="93">
        <v>435.57</v>
      </c>
      <c r="S2949">
        <v>348.48</v>
      </c>
      <c r="T2949">
        <v>0</v>
      </c>
      <c r="U2949" s="1" t="s">
        <v>681</v>
      </c>
      <c r="V2949" s="1"/>
      <c r="W2949">
        <v>435.58064999999999</v>
      </c>
      <c r="X2949">
        <v>0</v>
      </c>
      <c r="Y2949">
        <v>79480</v>
      </c>
    </row>
    <row r="2950" spans="1:25" ht="15" hidden="1" customHeight="1" x14ac:dyDescent="0.25">
      <c r="A2950" s="1" t="s">
        <v>37</v>
      </c>
      <c r="B2950" s="1"/>
      <c r="C2950" s="1" t="s">
        <v>194</v>
      </c>
      <c r="D2950">
        <v>14252</v>
      </c>
      <c r="E2950" s="1" t="s">
        <v>243</v>
      </c>
      <c r="F2950" s="1" t="s">
        <v>324</v>
      </c>
      <c r="G2950" s="1" t="s">
        <v>194</v>
      </c>
      <c r="H2950" s="1" t="s">
        <v>1405</v>
      </c>
      <c r="I2950">
        <v>2015</v>
      </c>
      <c r="J2950" s="93">
        <v>878</v>
      </c>
      <c r="K2950">
        <v>5</v>
      </c>
      <c r="L2950" s="1"/>
      <c r="M2950">
        <v>0</v>
      </c>
      <c r="N2950">
        <v>3700</v>
      </c>
      <c r="O2950">
        <v>9.4797000000000006E-2</v>
      </c>
      <c r="P2950">
        <v>3</v>
      </c>
      <c r="Q2950" s="1" t="s">
        <v>560</v>
      </c>
      <c r="R2950" s="93">
        <v>350.76</v>
      </c>
      <c r="S2950">
        <v>280.61</v>
      </c>
      <c r="T2950">
        <v>0</v>
      </c>
      <c r="U2950" s="1" t="s">
        <v>682</v>
      </c>
      <c r="V2950" s="1"/>
      <c r="W2950">
        <v>350.76600000000002</v>
      </c>
      <c r="X2950">
        <v>0</v>
      </c>
      <c r="Y2950">
        <v>77354</v>
      </c>
    </row>
    <row r="2951" spans="1:25" ht="15" hidden="1" customHeight="1" x14ac:dyDescent="0.25">
      <c r="A2951" s="1" t="s">
        <v>37</v>
      </c>
      <c r="B2951" s="1"/>
      <c r="C2951" s="1" t="s">
        <v>194</v>
      </c>
      <c r="D2951">
        <v>14252</v>
      </c>
      <c r="E2951" s="1" t="s">
        <v>243</v>
      </c>
      <c r="F2951" s="1" t="s">
        <v>324</v>
      </c>
      <c r="G2951" s="1" t="s">
        <v>194</v>
      </c>
      <c r="H2951" s="1" t="s">
        <v>1405</v>
      </c>
      <c r="I2951">
        <v>2013</v>
      </c>
      <c r="J2951" s="93">
        <v>729.46</v>
      </c>
      <c r="K2951">
        <v>12</v>
      </c>
      <c r="L2951" s="1"/>
      <c r="M2951">
        <v>0</v>
      </c>
      <c r="N2951">
        <v>3700</v>
      </c>
      <c r="O2951">
        <v>0.19714599999999999</v>
      </c>
      <c r="P2951">
        <v>3</v>
      </c>
      <c r="Q2951" s="1" t="s">
        <v>560</v>
      </c>
      <c r="R2951" s="93">
        <v>729.46</v>
      </c>
      <c r="S2951">
        <v>583.58000000000004</v>
      </c>
      <c r="T2951">
        <v>0</v>
      </c>
      <c r="U2951" s="1" t="s">
        <v>682</v>
      </c>
      <c r="V2951" s="1"/>
      <c r="W2951">
        <v>729.45699999999999</v>
      </c>
      <c r="X2951">
        <v>0</v>
      </c>
      <c r="Y2951">
        <v>77354</v>
      </c>
    </row>
    <row r="2952" spans="1:25" ht="15" hidden="1" customHeight="1" x14ac:dyDescent="0.25">
      <c r="A2952" s="1" t="s">
        <v>37</v>
      </c>
      <c r="B2952" s="1"/>
      <c r="C2952" s="1" t="s">
        <v>194</v>
      </c>
      <c r="D2952">
        <v>14252</v>
      </c>
      <c r="E2952" s="1" t="s">
        <v>243</v>
      </c>
      <c r="F2952" s="1" t="s">
        <v>324</v>
      </c>
      <c r="G2952" s="1" t="s">
        <v>194</v>
      </c>
      <c r="H2952" s="1" t="s">
        <v>1405</v>
      </c>
      <c r="I2952">
        <v>2012</v>
      </c>
      <c r="J2952" s="93">
        <v>689.86</v>
      </c>
      <c r="K2952">
        <v>12</v>
      </c>
      <c r="L2952" s="1"/>
      <c r="M2952">
        <v>0</v>
      </c>
      <c r="N2952">
        <v>3700</v>
      </c>
      <c r="O2952">
        <v>0.186443</v>
      </c>
      <c r="P2952">
        <v>3</v>
      </c>
      <c r="Q2952" s="1" t="s">
        <v>560</v>
      </c>
      <c r="R2952" s="93">
        <v>689.86</v>
      </c>
      <c r="S2952">
        <v>551.89</v>
      </c>
      <c r="T2952">
        <v>0</v>
      </c>
      <c r="U2952" s="1" t="s">
        <v>682</v>
      </c>
      <c r="V2952" s="1"/>
      <c r="W2952">
        <v>689.86300000000006</v>
      </c>
      <c r="X2952">
        <v>0</v>
      </c>
      <c r="Y2952">
        <v>77354</v>
      </c>
    </row>
    <row r="2953" spans="1:25" ht="15" hidden="1" customHeight="1" x14ac:dyDescent="0.25">
      <c r="A2953" s="1" t="s">
        <v>37</v>
      </c>
      <c r="B2953" s="1"/>
      <c r="C2953" s="1" t="s">
        <v>194</v>
      </c>
      <c r="D2953">
        <v>14252</v>
      </c>
      <c r="E2953" s="1" t="s">
        <v>243</v>
      </c>
      <c r="F2953" s="1" t="s">
        <v>324</v>
      </c>
      <c r="G2953" s="1" t="s">
        <v>194</v>
      </c>
      <c r="H2953" s="1" t="s">
        <v>1405</v>
      </c>
      <c r="I2953">
        <v>2011</v>
      </c>
      <c r="J2953" s="93">
        <v>1022.21</v>
      </c>
      <c r="K2953">
        <v>12</v>
      </c>
      <c r="L2953" s="1"/>
      <c r="M2953">
        <v>0</v>
      </c>
      <c r="N2953">
        <v>3700</v>
      </c>
      <c r="O2953">
        <v>0.27626499999999998</v>
      </c>
      <c r="P2953">
        <v>3</v>
      </c>
      <c r="Q2953" s="1" t="s">
        <v>560</v>
      </c>
      <c r="R2953" s="93">
        <v>1022.21</v>
      </c>
      <c r="S2953">
        <v>817.76</v>
      </c>
      <c r="T2953">
        <v>0</v>
      </c>
      <c r="U2953" s="1" t="s">
        <v>682</v>
      </c>
      <c r="V2953" s="1"/>
      <c r="W2953">
        <v>1022.206</v>
      </c>
      <c r="X2953">
        <v>0</v>
      </c>
      <c r="Y2953">
        <v>77354</v>
      </c>
    </row>
    <row r="2954" spans="1:25" ht="15" hidden="1" customHeight="1" x14ac:dyDescent="0.25">
      <c r="A2954" s="1" t="s">
        <v>37</v>
      </c>
      <c r="B2954" s="1"/>
      <c r="C2954" s="1" t="s">
        <v>194</v>
      </c>
      <c r="D2954">
        <v>14252</v>
      </c>
      <c r="E2954" s="1" t="s">
        <v>243</v>
      </c>
      <c r="F2954" s="1" t="s">
        <v>324</v>
      </c>
      <c r="G2954" s="1" t="s">
        <v>194</v>
      </c>
      <c r="H2954" s="1" t="s">
        <v>1405</v>
      </c>
      <c r="I2954">
        <v>2010</v>
      </c>
      <c r="J2954" s="93">
        <v>1092.7</v>
      </c>
      <c r="K2954">
        <v>12</v>
      </c>
      <c r="L2954" s="1"/>
      <c r="M2954">
        <v>0</v>
      </c>
      <c r="N2954">
        <v>3700</v>
      </c>
      <c r="O2954">
        <v>0.29531600000000002</v>
      </c>
      <c r="P2954">
        <v>3</v>
      </c>
      <c r="Q2954" s="1" t="s">
        <v>560</v>
      </c>
      <c r="R2954" s="93">
        <v>1092.7</v>
      </c>
      <c r="S2954">
        <v>874.15</v>
      </c>
      <c r="T2954">
        <v>0</v>
      </c>
      <c r="U2954" s="1" t="s">
        <v>682</v>
      </c>
      <c r="V2954" s="1"/>
      <c r="W2954">
        <v>1092.6808900000001</v>
      </c>
      <c r="X2954">
        <v>0</v>
      </c>
      <c r="Y2954">
        <v>77354</v>
      </c>
    </row>
    <row r="2955" spans="1:25" ht="15" hidden="1" customHeight="1" x14ac:dyDescent="0.25">
      <c r="A2955" s="1" t="s">
        <v>37</v>
      </c>
      <c r="B2955" s="1"/>
      <c r="C2955" s="1" t="s">
        <v>194</v>
      </c>
      <c r="D2955">
        <v>14252</v>
      </c>
      <c r="E2955" s="1" t="s">
        <v>243</v>
      </c>
      <c r="F2955" s="1" t="s">
        <v>324</v>
      </c>
      <c r="G2955" s="1" t="s">
        <v>194</v>
      </c>
      <c r="H2955" s="1" t="s">
        <v>1405</v>
      </c>
      <c r="I2955">
        <v>2009</v>
      </c>
      <c r="J2955" s="93">
        <v>1748.76</v>
      </c>
      <c r="K2955">
        <v>12</v>
      </c>
      <c r="L2955" s="1"/>
      <c r="M2955">
        <v>0</v>
      </c>
      <c r="N2955">
        <v>3700</v>
      </c>
      <c r="O2955">
        <v>0.47262500000000002</v>
      </c>
      <c r="P2955">
        <v>3</v>
      </c>
      <c r="Q2955" s="1" t="s">
        <v>560</v>
      </c>
      <c r="R2955" s="93">
        <v>1748.76</v>
      </c>
      <c r="S2955">
        <v>1399.02</v>
      </c>
      <c r="T2955">
        <v>0</v>
      </c>
      <c r="U2955" s="1" t="s">
        <v>682</v>
      </c>
      <c r="V2955" s="1"/>
      <c r="W2955">
        <v>1748.742</v>
      </c>
      <c r="X2955">
        <v>0</v>
      </c>
      <c r="Y2955">
        <v>77354</v>
      </c>
    </row>
    <row r="2956" spans="1:25" ht="15" hidden="1" customHeight="1" x14ac:dyDescent="0.25">
      <c r="A2956" s="1" t="s">
        <v>37</v>
      </c>
      <c r="B2956" s="1"/>
      <c r="C2956" s="1" t="s">
        <v>194</v>
      </c>
      <c r="D2956">
        <v>14252</v>
      </c>
      <c r="E2956" s="1" t="s">
        <v>243</v>
      </c>
      <c r="F2956" s="1" t="s">
        <v>324</v>
      </c>
      <c r="G2956" s="1" t="s">
        <v>194</v>
      </c>
      <c r="H2956" s="1" t="s">
        <v>1405</v>
      </c>
      <c r="I2956">
        <v>2008</v>
      </c>
      <c r="J2956" s="93">
        <v>541.51</v>
      </c>
      <c r="K2956">
        <v>12</v>
      </c>
      <c r="L2956" s="1"/>
      <c r="M2956">
        <v>0</v>
      </c>
      <c r="N2956">
        <v>3700</v>
      </c>
      <c r="O2956">
        <v>0.14635000000000001</v>
      </c>
      <c r="P2956">
        <v>3</v>
      </c>
      <c r="Q2956" s="1" t="s">
        <v>560</v>
      </c>
      <c r="R2956" s="93">
        <v>541.51</v>
      </c>
      <c r="S2956">
        <v>433.2</v>
      </c>
      <c r="T2956">
        <v>0</v>
      </c>
      <c r="U2956" s="1" t="s">
        <v>682</v>
      </c>
      <c r="V2956" s="1"/>
      <c r="W2956">
        <v>541.50300000000004</v>
      </c>
      <c r="X2956">
        <v>0</v>
      </c>
      <c r="Y2956">
        <v>77354</v>
      </c>
    </row>
    <row r="2957" spans="1:25" ht="15" hidden="1" customHeight="1" x14ac:dyDescent="0.25">
      <c r="A2957" s="1" t="s">
        <v>37</v>
      </c>
      <c r="B2957" s="1"/>
      <c r="C2957" s="1" t="s">
        <v>194</v>
      </c>
      <c r="D2957">
        <v>14253</v>
      </c>
      <c r="E2957" s="1" t="s">
        <v>243</v>
      </c>
      <c r="F2957" s="1" t="s">
        <v>325</v>
      </c>
      <c r="G2957" s="1" t="s">
        <v>194</v>
      </c>
      <c r="H2957" s="1" t="s">
        <v>1405</v>
      </c>
      <c r="I2957">
        <v>2015</v>
      </c>
      <c r="J2957" s="93">
        <v>957</v>
      </c>
      <c r="K2957">
        <v>5</v>
      </c>
      <c r="L2957" s="1" t="s">
        <v>398</v>
      </c>
      <c r="M2957">
        <v>0</v>
      </c>
      <c r="N2957">
        <v>6105</v>
      </c>
      <c r="O2957">
        <v>6.2979999999999994E-2</v>
      </c>
      <c r="P2957">
        <v>3</v>
      </c>
      <c r="Q2957" s="1" t="s">
        <v>560</v>
      </c>
      <c r="R2957" s="93">
        <v>384.5</v>
      </c>
      <c r="S2957">
        <v>307.60000000000002</v>
      </c>
      <c r="T2957">
        <v>0</v>
      </c>
      <c r="U2957" s="1" t="s">
        <v>683</v>
      </c>
      <c r="V2957" s="1"/>
      <c r="W2957">
        <v>384.5</v>
      </c>
      <c r="X2957">
        <v>0</v>
      </c>
      <c r="Y2957">
        <v>78672</v>
      </c>
    </row>
    <row r="2958" spans="1:25" ht="15" hidden="1" customHeight="1" x14ac:dyDescent="0.25">
      <c r="A2958" s="1" t="s">
        <v>37</v>
      </c>
      <c r="B2958" s="1"/>
      <c r="C2958" s="1" t="s">
        <v>194</v>
      </c>
      <c r="D2958">
        <v>14253</v>
      </c>
      <c r="E2958" s="1" t="s">
        <v>243</v>
      </c>
      <c r="F2958" s="1" t="s">
        <v>325</v>
      </c>
      <c r="G2958" s="1" t="s">
        <v>194</v>
      </c>
      <c r="H2958" s="1" t="s">
        <v>1405</v>
      </c>
      <c r="I2958">
        <v>2013</v>
      </c>
      <c r="J2958" s="93">
        <v>639.79999999999995</v>
      </c>
      <c r="K2958">
        <v>12</v>
      </c>
      <c r="L2958" s="1" t="s">
        <v>398</v>
      </c>
      <c r="M2958">
        <v>0</v>
      </c>
      <c r="N2958">
        <v>6105</v>
      </c>
      <c r="O2958">
        <v>0.104797</v>
      </c>
      <c r="P2958">
        <v>3</v>
      </c>
      <c r="Q2958" s="1" t="s">
        <v>560</v>
      </c>
      <c r="R2958" s="93">
        <v>639.79999999999995</v>
      </c>
      <c r="S2958">
        <v>511.84</v>
      </c>
      <c r="T2958">
        <v>0</v>
      </c>
      <c r="U2958" s="1" t="s">
        <v>683</v>
      </c>
      <c r="V2958" s="1"/>
      <c r="W2958">
        <v>639.79999999999995</v>
      </c>
      <c r="X2958">
        <v>0</v>
      </c>
      <c r="Y2958">
        <v>78672</v>
      </c>
    </row>
    <row r="2959" spans="1:25" ht="15" hidden="1" customHeight="1" x14ac:dyDescent="0.25">
      <c r="A2959" s="1" t="s">
        <v>37</v>
      </c>
      <c r="B2959" s="1"/>
      <c r="C2959" s="1" t="s">
        <v>194</v>
      </c>
      <c r="D2959">
        <v>14253</v>
      </c>
      <c r="E2959" s="1" t="s">
        <v>243</v>
      </c>
      <c r="F2959" s="1" t="s">
        <v>325</v>
      </c>
      <c r="G2959" s="1" t="s">
        <v>194</v>
      </c>
      <c r="H2959" s="1" t="s">
        <v>1405</v>
      </c>
      <c r="I2959">
        <v>2012</v>
      </c>
      <c r="J2959" s="93">
        <v>1026</v>
      </c>
      <c r="K2959">
        <v>12</v>
      </c>
      <c r="L2959" s="1" t="s">
        <v>398</v>
      </c>
      <c r="M2959">
        <v>0</v>
      </c>
      <c r="N2959">
        <v>6105</v>
      </c>
      <c r="O2959">
        <v>0.16805600000000001</v>
      </c>
      <c r="P2959">
        <v>3</v>
      </c>
      <c r="Q2959" s="1" t="s">
        <v>560</v>
      </c>
      <c r="R2959" s="93">
        <v>1026</v>
      </c>
      <c r="S2959">
        <v>820.8</v>
      </c>
      <c r="T2959">
        <v>0</v>
      </c>
      <c r="U2959" s="1" t="s">
        <v>683</v>
      </c>
      <c r="V2959" s="1"/>
      <c r="W2959">
        <v>1026</v>
      </c>
      <c r="X2959">
        <v>0</v>
      </c>
      <c r="Y2959">
        <v>78672</v>
      </c>
    </row>
    <row r="2960" spans="1:25" ht="15" hidden="1" customHeight="1" x14ac:dyDescent="0.25">
      <c r="A2960" s="1" t="s">
        <v>37</v>
      </c>
      <c r="B2960" s="1"/>
      <c r="C2960" s="1" t="s">
        <v>194</v>
      </c>
      <c r="D2960">
        <v>14253</v>
      </c>
      <c r="E2960" s="1" t="s">
        <v>243</v>
      </c>
      <c r="F2960" s="1" t="s">
        <v>325</v>
      </c>
      <c r="G2960" s="1" t="s">
        <v>194</v>
      </c>
      <c r="H2960" s="1" t="s">
        <v>1405</v>
      </c>
      <c r="I2960">
        <v>2011</v>
      </c>
      <c r="J2960" s="93">
        <v>1153.81</v>
      </c>
      <c r="K2960">
        <v>12</v>
      </c>
      <c r="L2960" s="1" t="s">
        <v>398</v>
      </c>
      <c r="M2960">
        <v>0</v>
      </c>
      <c r="N2960">
        <v>6105</v>
      </c>
      <c r="O2960">
        <v>0.18899099999999999</v>
      </c>
      <c r="P2960">
        <v>3</v>
      </c>
      <c r="Q2960" s="1" t="s">
        <v>560</v>
      </c>
      <c r="R2960" s="93">
        <v>1153.81</v>
      </c>
      <c r="S2960">
        <v>923.04</v>
      </c>
      <c r="T2960">
        <v>0</v>
      </c>
      <c r="U2960" s="1" t="s">
        <v>683</v>
      </c>
      <c r="V2960" s="1"/>
      <c r="W2960">
        <v>1153.80159</v>
      </c>
      <c r="X2960">
        <v>0</v>
      </c>
      <c r="Y2960">
        <v>78672</v>
      </c>
    </row>
    <row r="2961" spans="1:25" ht="15" hidden="1" customHeight="1" x14ac:dyDescent="0.25">
      <c r="A2961" s="1" t="s">
        <v>37</v>
      </c>
      <c r="B2961" s="1"/>
      <c r="C2961" s="1" t="s">
        <v>194</v>
      </c>
      <c r="D2961">
        <v>14253</v>
      </c>
      <c r="E2961" s="1" t="s">
        <v>243</v>
      </c>
      <c r="F2961" s="1" t="s">
        <v>325</v>
      </c>
      <c r="G2961" s="1" t="s">
        <v>194</v>
      </c>
      <c r="H2961" s="1" t="s">
        <v>1405</v>
      </c>
      <c r="I2961">
        <v>2010</v>
      </c>
      <c r="J2961" s="93">
        <v>989.91</v>
      </c>
      <c r="K2961">
        <v>6</v>
      </c>
      <c r="L2961" s="1" t="s">
        <v>398</v>
      </c>
      <c r="M2961">
        <v>0</v>
      </c>
      <c r="N2961">
        <v>6105</v>
      </c>
      <c r="O2961">
        <v>0.16214400000000001</v>
      </c>
      <c r="P2961">
        <v>3</v>
      </c>
      <c r="Q2961" s="1" t="s">
        <v>560</v>
      </c>
      <c r="R2961" s="93">
        <v>989.91</v>
      </c>
      <c r="S2961">
        <v>791.91</v>
      </c>
      <c r="T2961">
        <v>0</v>
      </c>
      <c r="U2961" s="1" t="s">
        <v>683</v>
      </c>
      <c r="V2961" s="1"/>
      <c r="W2961">
        <v>989.90130999999997</v>
      </c>
      <c r="X2961">
        <v>0</v>
      </c>
      <c r="Y2961">
        <v>78672</v>
      </c>
    </row>
    <row r="2962" spans="1:25" ht="15" hidden="1" customHeight="1" x14ac:dyDescent="0.25">
      <c r="A2962" s="1" t="s">
        <v>37</v>
      </c>
      <c r="B2962" s="1"/>
      <c r="C2962" s="1" t="s">
        <v>194</v>
      </c>
      <c r="D2962">
        <v>14253</v>
      </c>
      <c r="E2962" s="1" t="s">
        <v>243</v>
      </c>
      <c r="F2962" s="1" t="s">
        <v>325</v>
      </c>
      <c r="G2962" s="1" t="s">
        <v>194</v>
      </c>
      <c r="H2962" s="1" t="s">
        <v>1405</v>
      </c>
      <c r="I2962">
        <v>2009</v>
      </c>
      <c r="J2962" s="93">
        <v>1356.14</v>
      </c>
      <c r="K2962">
        <v>4</v>
      </c>
      <c r="L2962" s="1" t="s">
        <v>398</v>
      </c>
      <c r="M2962">
        <v>0</v>
      </c>
      <c r="N2962">
        <v>6105</v>
      </c>
      <c r="O2962">
        <v>0.222132</v>
      </c>
      <c r="P2962">
        <v>3</v>
      </c>
      <c r="Q2962" s="1" t="s">
        <v>560</v>
      </c>
      <c r="R2962" s="93">
        <v>1356.14</v>
      </c>
      <c r="S2962">
        <v>1084.9000000000001</v>
      </c>
      <c r="T2962">
        <v>0</v>
      </c>
      <c r="U2962" s="1" t="s">
        <v>683</v>
      </c>
      <c r="V2962" s="1"/>
      <c r="W2962">
        <v>1356.1442300000001</v>
      </c>
      <c r="X2962">
        <v>0</v>
      </c>
      <c r="Y2962">
        <v>78672</v>
      </c>
    </row>
    <row r="2963" spans="1:25" ht="15" hidden="1" customHeight="1" x14ac:dyDescent="0.25">
      <c r="A2963" s="1" t="s">
        <v>37</v>
      </c>
      <c r="B2963" s="1"/>
      <c r="C2963" s="1" t="s">
        <v>194</v>
      </c>
      <c r="D2963">
        <v>14253</v>
      </c>
      <c r="E2963" s="1" t="s">
        <v>243</v>
      </c>
      <c r="F2963" s="1" t="s">
        <v>325</v>
      </c>
      <c r="G2963" s="1" t="s">
        <v>194</v>
      </c>
      <c r="H2963" s="1" t="s">
        <v>1405</v>
      </c>
      <c r="I2963">
        <v>2008</v>
      </c>
      <c r="J2963" s="93">
        <v>708.48</v>
      </c>
      <c r="K2963">
        <v>11</v>
      </c>
      <c r="L2963" s="1" t="s">
        <v>398</v>
      </c>
      <c r="M2963">
        <v>0</v>
      </c>
      <c r="N2963">
        <v>6105</v>
      </c>
      <c r="O2963">
        <v>0.116047</v>
      </c>
      <c r="P2963">
        <v>3</v>
      </c>
      <c r="Q2963" s="1" t="s">
        <v>560</v>
      </c>
      <c r="R2963" s="93">
        <v>708.48</v>
      </c>
      <c r="S2963">
        <v>566.77</v>
      </c>
      <c r="T2963">
        <v>0</v>
      </c>
      <c r="U2963" s="1" t="s">
        <v>683</v>
      </c>
      <c r="V2963" s="1"/>
      <c r="W2963">
        <v>708.45160999999996</v>
      </c>
      <c r="X2963">
        <v>0</v>
      </c>
      <c r="Y2963">
        <v>78672</v>
      </c>
    </row>
    <row r="2964" spans="1:25" ht="15" hidden="1" customHeight="1" x14ac:dyDescent="0.25">
      <c r="A2964" s="1" t="s">
        <v>37</v>
      </c>
      <c r="B2964" s="1"/>
      <c r="C2964" s="1" t="s">
        <v>194</v>
      </c>
      <c r="D2964">
        <v>14254</v>
      </c>
      <c r="E2964" s="1" t="s">
        <v>243</v>
      </c>
      <c r="F2964" s="1" t="s">
        <v>326</v>
      </c>
      <c r="G2964" s="1" t="s">
        <v>194</v>
      </c>
      <c r="H2964" s="1" t="s">
        <v>1405</v>
      </c>
      <c r="I2964">
        <v>2015</v>
      </c>
      <c r="J2964" s="93">
        <v>537</v>
      </c>
      <c r="K2964">
        <v>5</v>
      </c>
      <c r="L2964" s="1" t="s">
        <v>398</v>
      </c>
      <c r="M2964">
        <v>0</v>
      </c>
      <c r="N2964">
        <v>2840</v>
      </c>
      <c r="O2964">
        <v>0.107777</v>
      </c>
      <c r="P2964">
        <v>3</v>
      </c>
      <c r="Q2964" s="1" t="s">
        <v>560</v>
      </c>
      <c r="R2964" s="93">
        <v>306.10000000000002</v>
      </c>
      <c r="S2964">
        <v>244.88</v>
      </c>
      <c r="T2964">
        <v>0</v>
      </c>
      <c r="U2964" s="1" t="s">
        <v>684</v>
      </c>
      <c r="V2964" s="1"/>
      <c r="W2964">
        <v>306.10000000000002</v>
      </c>
      <c r="X2964">
        <v>0</v>
      </c>
      <c r="Y2964">
        <v>78673</v>
      </c>
    </row>
    <row r="2965" spans="1:25" ht="15" hidden="1" customHeight="1" x14ac:dyDescent="0.25">
      <c r="A2965" s="1" t="s">
        <v>37</v>
      </c>
      <c r="B2965" s="1"/>
      <c r="C2965" s="1" t="s">
        <v>194</v>
      </c>
      <c r="D2965">
        <v>14254</v>
      </c>
      <c r="E2965" s="1" t="s">
        <v>243</v>
      </c>
      <c r="F2965" s="1" t="s">
        <v>326</v>
      </c>
      <c r="G2965" s="1" t="s">
        <v>194</v>
      </c>
      <c r="H2965" s="1" t="s">
        <v>1405</v>
      </c>
      <c r="I2965">
        <v>2013</v>
      </c>
      <c r="J2965" s="93">
        <v>370</v>
      </c>
      <c r="K2965">
        <v>12</v>
      </c>
      <c r="L2965" s="1" t="s">
        <v>398</v>
      </c>
      <c r="M2965">
        <v>0</v>
      </c>
      <c r="N2965">
        <v>2840</v>
      </c>
      <c r="O2965">
        <v>0.130277</v>
      </c>
      <c r="P2965">
        <v>3</v>
      </c>
      <c r="Q2965" s="1" t="s">
        <v>560</v>
      </c>
      <c r="R2965" s="93">
        <v>370</v>
      </c>
      <c r="S2965">
        <v>296</v>
      </c>
      <c r="T2965">
        <v>0</v>
      </c>
      <c r="U2965" s="1" t="s">
        <v>684</v>
      </c>
      <c r="V2965" s="1"/>
      <c r="W2965">
        <v>370</v>
      </c>
      <c r="X2965">
        <v>0</v>
      </c>
      <c r="Y2965">
        <v>78673</v>
      </c>
    </row>
    <row r="2966" spans="1:25" ht="15" hidden="1" customHeight="1" x14ac:dyDescent="0.25">
      <c r="A2966" s="1" t="s">
        <v>37</v>
      </c>
      <c r="B2966" s="1"/>
      <c r="C2966" s="1" t="s">
        <v>194</v>
      </c>
      <c r="D2966">
        <v>14254</v>
      </c>
      <c r="E2966" s="1" t="s">
        <v>243</v>
      </c>
      <c r="F2966" s="1" t="s">
        <v>326</v>
      </c>
      <c r="G2966" s="1" t="s">
        <v>194</v>
      </c>
      <c r="H2966" s="1" t="s">
        <v>1405</v>
      </c>
      <c r="I2966">
        <v>2012</v>
      </c>
      <c r="J2966" s="93">
        <v>341.7</v>
      </c>
      <c r="K2966">
        <v>12</v>
      </c>
      <c r="L2966" s="1" t="s">
        <v>398</v>
      </c>
      <c r="M2966">
        <v>0</v>
      </c>
      <c r="N2966">
        <v>2840</v>
      </c>
      <c r="O2966">
        <v>0.120312</v>
      </c>
      <c r="P2966">
        <v>3</v>
      </c>
      <c r="Q2966" s="1" t="s">
        <v>560</v>
      </c>
      <c r="R2966" s="93">
        <v>341.7</v>
      </c>
      <c r="S2966">
        <v>273.36</v>
      </c>
      <c r="T2966">
        <v>0</v>
      </c>
      <c r="U2966" s="1" t="s">
        <v>684</v>
      </c>
      <c r="V2966" s="1"/>
      <c r="W2966">
        <v>341.7</v>
      </c>
      <c r="X2966">
        <v>0</v>
      </c>
      <c r="Y2966">
        <v>78673</v>
      </c>
    </row>
    <row r="2967" spans="1:25" ht="15" hidden="1" customHeight="1" x14ac:dyDescent="0.25">
      <c r="A2967" s="1" t="s">
        <v>37</v>
      </c>
      <c r="B2967" s="1"/>
      <c r="C2967" s="1" t="s">
        <v>194</v>
      </c>
      <c r="D2967">
        <v>14254</v>
      </c>
      <c r="E2967" s="1" t="s">
        <v>243</v>
      </c>
      <c r="F2967" s="1" t="s">
        <v>326</v>
      </c>
      <c r="G2967" s="1" t="s">
        <v>194</v>
      </c>
      <c r="H2967" s="1" t="s">
        <v>1405</v>
      </c>
      <c r="I2967">
        <v>2011</v>
      </c>
      <c r="J2967" s="93">
        <v>730.79</v>
      </c>
      <c r="K2967">
        <v>12</v>
      </c>
      <c r="L2967" s="1" t="s">
        <v>398</v>
      </c>
      <c r="M2967">
        <v>0</v>
      </c>
      <c r="N2967">
        <v>2840</v>
      </c>
      <c r="O2967">
        <v>0.25731100000000001</v>
      </c>
      <c r="P2967">
        <v>3</v>
      </c>
      <c r="Q2967" s="1" t="s">
        <v>560</v>
      </c>
      <c r="R2967" s="93">
        <v>730.79</v>
      </c>
      <c r="S2967">
        <v>584.62</v>
      </c>
      <c r="T2967">
        <v>0</v>
      </c>
      <c r="U2967" s="1" t="s">
        <v>684</v>
      </c>
      <c r="V2967" s="1"/>
      <c r="W2967">
        <v>730.77885000000003</v>
      </c>
      <c r="X2967">
        <v>0</v>
      </c>
      <c r="Y2967">
        <v>78673</v>
      </c>
    </row>
    <row r="2968" spans="1:25" ht="15" hidden="1" customHeight="1" x14ac:dyDescent="0.25">
      <c r="A2968" s="1" t="s">
        <v>37</v>
      </c>
      <c r="B2968" s="1"/>
      <c r="C2968" s="1" t="s">
        <v>194</v>
      </c>
      <c r="D2968">
        <v>14254</v>
      </c>
      <c r="E2968" s="1" t="s">
        <v>243</v>
      </c>
      <c r="F2968" s="1" t="s">
        <v>326</v>
      </c>
      <c r="G2968" s="1" t="s">
        <v>194</v>
      </c>
      <c r="H2968" s="1" t="s">
        <v>1405</v>
      </c>
      <c r="I2968">
        <v>2010</v>
      </c>
      <c r="J2968" s="93">
        <v>905.64</v>
      </c>
      <c r="K2968">
        <v>5</v>
      </c>
      <c r="L2968" s="1" t="s">
        <v>398</v>
      </c>
      <c r="M2968">
        <v>0</v>
      </c>
      <c r="N2968">
        <v>2840</v>
      </c>
      <c r="O2968">
        <v>0.31887599999999999</v>
      </c>
      <c r="P2968">
        <v>3</v>
      </c>
      <c r="Q2968" s="1" t="s">
        <v>560</v>
      </c>
      <c r="R2968" s="93">
        <v>905.64</v>
      </c>
      <c r="S2968">
        <v>724.49</v>
      </c>
      <c r="T2968">
        <v>0</v>
      </c>
      <c r="U2968" s="1" t="s">
        <v>684</v>
      </c>
      <c r="V2968" s="1"/>
      <c r="W2968">
        <v>905.63401999999996</v>
      </c>
      <c r="X2968">
        <v>0</v>
      </c>
      <c r="Y2968">
        <v>78673</v>
      </c>
    </row>
    <row r="2969" spans="1:25" ht="15" hidden="1" customHeight="1" x14ac:dyDescent="0.25">
      <c r="A2969" s="1" t="s">
        <v>37</v>
      </c>
      <c r="B2969" s="1"/>
      <c r="C2969" s="1" t="s">
        <v>194</v>
      </c>
      <c r="D2969">
        <v>14254</v>
      </c>
      <c r="E2969" s="1" t="s">
        <v>243</v>
      </c>
      <c r="F2969" s="1" t="s">
        <v>326</v>
      </c>
      <c r="G2969" s="1" t="s">
        <v>194</v>
      </c>
      <c r="H2969" s="1" t="s">
        <v>1405</v>
      </c>
      <c r="I2969">
        <v>2009</v>
      </c>
      <c r="J2969" s="93">
        <v>1291.95</v>
      </c>
      <c r="K2969">
        <v>4</v>
      </c>
      <c r="L2969" s="1" t="s">
        <v>398</v>
      </c>
      <c r="M2969">
        <v>0</v>
      </c>
      <c r="N2969">
        <v>2840</v>
      </c>
      <c r="O2969">
        <v>0.45489499999999999</v>
      </c>
      <c r="P2969">
        <v>3</v>
      </c>
      <c r="Q2969" s="1" t="s">
        <v>560</v>
      </c>
      <c r="R2969" s="93">
        <v>1291.95</v>
      </c>
      <c r="S2969">
        <v>1033.5899999999999</v>
      </c>
      <c r="T2969">
        <v>0</v>
      </c>
      <c r="U2969" s="1" t="s">
        <v>684</v>
      </c>
      <c r="V2969" s="1"/>
      <c r="W2969">
        <v>1291.9650799999999</v>
      </c>
      <c r="X2969">
        <v>0</v>
      </c>
      <c r="Y2969">
        <v>78673</v>
      </c>
    </row>
    <row r="2970" spans="1:25" ht="15" hidden="1" customHeight="1" x14ac:dyDescent="0.25">
      <c r="A2970" s="1" t="s">
        <v>37</v>
      </c>
      <c r="B2970" s="1"/>
      <c r="C2970" s="1" t="s">
        <v>194</v>
      </c>
      <c r="D2970">
        <v>14254</v>
      </c>
      <c r="E2970" s="1" t="s">
        <v>243</v>
      </c>
      <c r="F2970" s="1" t="s">
        <v>326</v>
      </c>
      <c r="G2970" s="1" t="s">
        <v>194</v>
      </c>
      <c r="H2970" s="1" t="s">
        <v>1405</v>
      </c>
      <c r="I2970">
        <v>2008</v>
      </c>
      <c r="J2970" s="93">
        <v>754.98</v>
      </c>
      <c r="K2970">
        <v>11</v>
      </c>
      <c r="L2970" s="1" t="s">
        <v>398</v>
      </c>
      <c r="M2970">
        <v>0</v>
      </c>
      <c r="N2970">
        <v>2840</v>
      </c>
      <c r="O2970">
        <v>0.26582800000000001</v>
      </c>
      <c r="P2970">
        <v>3</v>
      </c>
      <c r="Q2970" s="1" t="s">
        <v>560</v>
      </c>
      <c r="R2970" s="93">
        <v>754.98</v>
      </c>
      <c r="S2970">
        <v>604.01</v>
      </c>
      <c r="T2970">
        <v>0</v>
      </c>
      <c r="U2970" s="1" t="s">
        <v>684</v>
      </c>
      <c r="V2970" s="1"/>
      <c r="W2970">
        <v>754.99999000000003</v>
      </c>
      <c r="X2970">
        <v>0</v>
      </c>
      <c r="Y2970">
        <v>78673</v>
      </c>
    </row>
    <row r="2971" spans="1:25" ht="15" hidden="1" customHeight="1" x14ac:dyDescent="0.25">
      <c r="A2971" s="1" t="s">
        <v>37</v>
      </c>
      <c r="B2971" s="1"/>
      <c r="C2971" s="1" t="s">
        <v>195</v>
      </c>
      <c r="D2971">
        <v>9518</v>
      </c>
      <c r="E2971" s="1"/>
      <c r="F2971" s="1" t="s">
        <v>327</v>
      </c>
      <c r="G2971" s="1" t="s">
        <v>195</v>
      </c>
      <c r="H2971" s="1" t="s">
        <v>1405</v>
      </c>
      <c r="I2971">
        <v>2015</v>
      </c>
      <c r="J2971" s="93">
        <v>440</v>
      </c>
      <c r="K2971">
        <v>5</v>
      </c>
      <c r="L2971" s="1"/>
      <c r="M2971">
        <v>0</v>
      </c>
      <c r="N2971">
        <v>2128</v>
      </c>
      <c r="O2971">
        <v>8.6551000000000003E-2</v>
      </c>
      <c r="P2971">
        <v>3</v>
      </c>
      <c r="Q2971" s="1" t="s">
        <v>560</v>
      </c>
      <c r="R2971" s="93">
        <v>184.19</v>
      </c>
      <c r="S2971">
        <v>147.35</v>
      </c>
      <c r="T2971">
        <v>0</v>
      </c>
      <c r="U2971" s="1"/>
      <c r="V2971" s="1"/>
      <c r="W2971">
        <v>184.18299999999999</v>
      </c>
      <c r="X2971">
        <v>0</v>
      </c>
      <c r="Y2971">
        <v>74429</v>
      </c>
    </row>
    <row r="2972" spans="1:25" ht="15" hidden="1" customHeight="1" x14ac:dyDescent="0.25">
      <c r="A2972" s="1" t="s">
        <v>37</v>
      </c>
      <c r="B2972" s="1"/>
      <c r="C2972" s="1" t="s">
        <v>195</v>
      </c>
      <c r="D2972">
        <v>9518</v>
      </c>
      <c r="E2972" s="1"/>
      <c r="F2972" s="1" t="s">
        <v>327</v>
      </c>
      <c r="G2972" s="1" t="s">
        <v>195</v>
      </c>
      <c r="H2972" s="1" t="s">
        <v>1405</v>
      </c>
      <c r="I2972">
        <v>2013</v>
      </c>
      <c r="J2972" s="93">
        <v>297.25</v>
      </c>
      <c r="K2972">
        <v>12</v>
      </c>
      <c r="L2972" s="1"/>
      <c r="M2972">
        <v>0</v>
      </c>
      <c r="N2972">
        <v>2128</v>
      </c>
      <c r="O2972">
        <v>0.139678</v>
      </c>
      <c r="P2972">
        <v>3</v>
      </c>
      <c r="Q2972" s="1" t="s">
        <v>560</v>
      </c>
      <c r="R2972" s="93">
        <v>297.25</v>
      </c>
      <c r="S2972">
        <v>237.8</v>
      </c>
      <c r="T2972">
        <v>0</v>
      </c>
      <c r="U2972" s="1"/>
      <c r="V2972" s="1"/>
      <c r="W2972">
        <v>297.24900000000002</v>
      </c>
      <c r="X2972">
        <v>0</v>
      </c>
      <c r="Y2972">
        <v>74429</v>
      </c>
    </row>
    <row r="2973" spans="1:25" ht="15" hidden="1" customHeight="1" x14ac:dyDescent="0.25">
      <c r="A2973" s="1" t="s">
        <v>37</v>
      </c>
      <c r="B2973" s="1"/>
      <c r="C2973" s="1" t="s">
        <v>195</v>
      </c>
      <c r="D2973">
        <v>9518</v>
      </c>
      <c r="E2973" s="1"/>
      <c r="F2973" s="1" t="s">
        <v>327</v>
      </c>
      <c r="G2973" s="1" t="s">
        <v>195</v>
      </c>
      <c r="H2973" s="1" t="s">
        <v>1405</v>
      </c>
      <c r="I2973">
        <v>2012</v>
      </c>
      <c r="J2973" s="93">
        <v>286.11</v>
      </c>
      <c r="K2973">
        <v>12</v>
      </c>
      <c r="L2973" s="1"/>
      <c r="M2973">
        <v>0</v>
      </c>
      <c r="N2973">
        <v>2128</v>
      </c>
      <c r="O2973">
        <v>0.13444300000000001</v>
      </c>
      <c r="P2973">
        <v>3</v>
      </c>
      <c r="Q2973" s="1" t="s">
        <v>560</v>
      </c>
      <c r="R2973" s="93">
        <v>286.11</v>
      </c>
      <c r="S2973">
        <v>228.89</v>
      </c>
      <c r="T2973">
        <v>0</v>
      </c>
      <c r="U2973" s="1"/>
      <c r="V2973" s="1"/>
      <c r="W2973">
        <v>286.11700000000002</v>
      </c>
      <c r="X2973">
        <v>0</v>
      </c>
      <c r="Y2973">
        <v>74429</v>
      </c>
    </row>
    <row r="2974" spans="1:25" ht="15" hidden="1" customHeight="1" x14ac:dyDescent="0.25">
      <c r="A2974" s="1" t="s">
        <v>37</v>
      </c>
      <c r="B2974" s="1"/>
      <c r="C2974" s="1" t="s">
        <v>195</v>
      </c>
      <c r="D2974">
        <v>9518</v>
      </c>
      <c r="E2974" s="1"/>
      <c r="F2974" s="1" t="s">
        <v>327</v>
      </c>
      <c r="G2974" s="1" t="s">
        <v>195</v>
      </c>
      <c r="H2974" s="1" t="s">
        <v>1405</v>
      </c>
      <c r="I2974">
        <v>2011</v>
      </c>
      <c r="J2974" s="93">
        <v>301.13</v>
      </c>
      <c r="K2974">
        <v>12</v>
      </c>
      <c r="L2974" s="1"/>
      <c r="M2974">
        <v>0</v>
      </c>
      <c r="N2974">
        <v>2128</v>
      </c>
      <c r="O2974">
        <v>0.14150099999999999</v>
      </c>
      <c r="P2974">
        <v>3</v>
      </c>
      <c r="Q2974" s="1" t="s">
        <v>560</v>
      </c>
      <c r="R2974" s="93">
        <v>301.13</v>
      </c>
      <c r="S2974">
        <v>240.9</v>
      </c>
      <c r="T2974">
        <v>0</v>
      </c>
      <c r="U2974" s="1"/>
      <c r="V2974" s="1"/>
      <c r="W2974">
        <v>301.13400000000001</v>
      </c>
      <c r="X2974">
        <v>0</v>
      </c>
      <c r="Y2974">
        <v>74429</v>
      </c>
    </row>
    <row r="2975" spans="1:25" ht="15" hidden="1" customHeight="1" x14ac:dyDescent="0.25">
      <c r="A2975" s="1" t="s">
        <v>37</v>
      </c>
      <c r="B2975" s="1"/>
      <c r="C2975" s="1" t="s">
        <v>195</v>
      </c>
      <c r="D2975">
        <v>9518</v>
      </c>
      <c r="E2975" s="1"/>
      <c r="F2975" s="1" t="s">
        <v>327</v>
      </c>
      <c r="G2975" s="1" t="s">
        <v>195</v>
      </c>
      <c r="H2975" s="1" t="s">
        <v>1405</v>
      </c>
      <c r="I2975">
        <v>2010</v>
      </c>
      <c r="J2975" s="93">
        <v>341.5</v>
      </c>
      <c r="K2975">
        <v>12</v>
      </c>
      <c r="L2975" s="1"/>
      <c r="M2975">
        <v>0</v>
      </c>
      <c r="N2975">
        <v>2128</v>
      </c>
      <c r="O2975">
        <v>0.160471</v>
      </c>
      <c r="P2975">
        <v>3</v>
      </c>
      <c r="Q2975" s="1" t="s">
        <v>560</v>
      </c>
      <c r="R2975" s="93">
        <v>341.5</v>
      </c>
      <c r="S2975">
        <v>273.19</v>
      </c>
      <c r="T2975">
        <v>0</v>
      </c>
      <c r="U2975" s="1"/>
      <c r="V2975" s="1"/>
      <c r="W2975">
        <v>341.48500000000001</v>
      </c>
      <c r="X2975">
        <v>0</v>
      </c>
      <c r="Y2975">
        <v>74429</v>
      </c>
    </row>
    <row r="2976" spans="1:25" ht="15" hidden="1" customHeight="1" x14ac:dyDescent="0.25">
      <c r="A2976" s="1" t="s">
        <v>37</v>
      </c>
      <c r="B2976" s="1"/>
      <c r="C2976" s="1" t="s">
        <v>195</v>
      </c>
      <c r="D2976">
        <v>9518</v>
      </c>
      <c r="E2976" s="1"/>
      <c r="F2976" s="1" t="s">
        <v>327</v>
      </c>
      <c r="G2976" s="1" t="s">
        <v>195</v>
      </c>
      <c r="H2976" s="1" t="s">
        <v>1405</v>
      </c>
      <c r="I2976">
        <v>2009</v>
      </c>
      <c r="J2976" s="93">
        <v>321.75</v>
      </c>
      <c r="K2976">
        <v>12</v>
      </c>
      <c r="L2976" s="1"/>
      <c r="M2976">
        <v>0</v>
      </c>
      <c r="N2976">
        <v>2128</v>
      </c>
      <c r="O2976">
        <v>0.15119099999999999</v>
      </c>
      <c r="P2976">
        <v>3</v>
      </c>
      <c r="Q2976" s="1" t="s">
        <v>560</v>
      </c>
      <c r="R2976" s="93">
        <v>321.75</v>
      </c>
      <c r="S2976">
        <v>257.41000000000003</v>
      </c>
      <c r="T2976">
        <v>0</v>
      </c>
      <c r="U2976" s="1"/>
      <c r="V2976" s="1"/>
      <c r="W2976">
        <v>321.75400000000002</v>
      </c>
      <c r="X2976">
        <v>0</v>
      </c>
      <c r="Y2976">
        <v>74429</v>
      </c>
    </row>
    <row r="2977" spans="1:25" ht="15" hidden="1" customHeight="1" x14ac:dyDescent="0.25">
      <c r="A2977" s="1" t="s">
        <v>37</v>
      </c>
      <c r="B2977" s="1"/>
      <c r="C2977" s="1" t="s">
        <v>195</v>
      </c>
      <c r="D2977">
        <v>9518</v>
      </c>
      <c r="E2977" s="1"/>
      <c r="F2977" s="1" t="s">
        <v>327</v>
      </c>
      <c r="G2977" s="1" t="s">
        <v>195</v>
      </c>
      <c r="H2977" s="1" t="s">
        <v>1405</v>
      </c>
      <c r="I2977">
        <v>2008</v>
      </c>
      <c r="J2977" s="93">
        <v>285.85000000000002</v>
      </c>
      <c r="K2977">
        <v>12</v>
      </c>
      <c r="L2977" s="1"/>
      <c r="M2977">
        <v>0</v>
      </c>
      <c r="N2977">
        <v>2128</v>
      </c>
      <c r="O2977">
        <v>0.134321</v>
      </c>
      <c r="P2977">
        <v>3</v>
      </c>
      <c r="Q2977" s="1" t="s">
        <v>560</v>
      </c>
      <c r="R2977" s="93">
        <v>285.85000000000002</v>
      </c>
      <c r="S2977">
        <v>228.69</v>
      </c>
      <c r="T2977">
        <v>0</v>
      </c>
      <c r="U2977" s="1"/>
      <c r="V2977" s="1"/>
      <c r="W2977">
        <v>285.84199999999998</v>
      </c>
      <c r="X2977">
        <v>0</v>
      </c>
      <c r="Y2977">
        <v>74429</v>
      </c>
    </row>
    <row r="2978" spans="1:25" ht="15" hidden="1" customHeight="1" x14ac:dyDescent="0.25">
      <c r="A2978" s="1" t="s">
        <v>37</v>
      </c>
      <c r="B2978" s="1"/>
      <c r="C2978" s="1" t="s">
        <v>195</v>
      </c>
      <c r="D2978">
        <v>9519</v>
      </c>
      <c r="E2978" s="1"/>
      <c r="F2978" s="1" t="s">
        <v>328</v>
      </c>
      <c r="G2978" s="1" t="s">
        <v>195</v>
      </c>
      <c r="H2978" s="1" t="s">
        <v>1405</v>
      </c>
      <c r="I2978">
        <v>2015</v>
      </c>
      <c r="J2978" s="93">
        <v>161</v>
      </c>
      <c r="K2978">
        <v>5</v>
      </c>
      <c r="L2978" s="1"/>
      <c r="M2978">
        <v>0</v>
      </c>
      <c r="N2978">
        <v>353</v>
      </c>
      <c r="O2978">
        <v>0.20305799999999999</v>
      </c>
      <c r="P2978">
        <v>3</v>
      </c>
      <c r="Q2978" s="1" t="s">
        <v>560</v>
      </c>
      <c r="R2978" s="93">
        <v>71.7</v>
      </c>
      <c r="S2978">
        <v>57.34</v>
      </c>
      <c r="T2978">
        <v>0</v>
      </c>
      <c r="U2978" s="1"/>
      <c r="V2978" s="1"/>
      <c r="W2978">
        <v>71.69</v>
      </c>
      <c r="X2978">
        <v>0</v>
      </c>
      <c r="Y2978">
        <v>74432</v>
      </c>
    </row>
    <row r="2979" spans="1:25" ht="15" hidden="1" customHeight="1" x14ac:dyDescent="0.25">
      <c r="A2979" s="1" t="s">
        <v>37</v>
      </c>
      <c r="B2979" s="1"/>
      <c r="C2979" s="1" t="s">
        <v>195</v>
      </c>
      <c r="D2979">
        <v>9519</v>
      </c>
      <c r="E2979" s="1"/>
      <c r="F2979" s="1" t="s">
        <v>328</v>
      </c>
      <c r="G2979" s="1" t="s">
        <v>195</v>
      </c>
      <c r="H2979" s="1" t="s">
        <v>1405</v>
      </c>
      <c r="I2979">
        <v>2013</v>
      </c>
      <c r="J2979" s="93">
        <v>155.94999999999999</v>
      </c>
      <c r="K2979">
        <v>12</v>
      </c>
      <c r="L2979" s="1"/>
      <c r="M2979">
        <v>0</v>
      </c>
      <c r="N2979">
        <v>353</v>
      </c>
      <c r="O2979">
        <v>0.44165900000000002</v>
      </c>
      <c r="P2979">
        <v>3</v>
      </c>
      <c r="Q2979" s="1" t="s">
        <v>560</v>
      </c>
      <c r="R2979" s="93">
        <v>155.94999999999999</v>
      </c>
      <c r="S2979">
        <v>124.78</v>
      </c>
      <c r="T2979">
        <v>0</v>
      </c>
      <c r="U2979" s="1"/>
      <c r="V2979" s="1"/>
      <c r="W2979">
        <v>155.95400000000001</v>
      </c>
      <c r="X2979">
        <v>0</v>
      </c>
      <c r="Y2979">
        <v>74432</v>
      </c>
    </row>
    <row r="2980" spans="1:25" ht="15" hidden="1" customHeight="1" x14ac:dyDescent="0.25">
      <c r="A2980" s="1" t="s">
        <v>37</v>
      </c>
      <c r="B2980" s="1"/>
      <c r="C2980" s="1" t="s">
        <v>195</v>
      </c>
      <c r="D2980">
        <v>9519</v>
      </c>
      <c r="E2980" s="1"/>
      <c r="F2980" s="1" t="s">
        <v>328</v>
      </c>
      <c r="G2980" s="1" t="s">
        <v>195</v>
      </c>
      <c r="H2980" s="1" t="s">
        <v>1405</v>
      </c>
      <c r="I2980">
        <v>2012</v>
      </c>
      <c r="J2980" s="93">
        <v>271.42</v>
      </c>
      <c r="K2980">
        <v>12</v>
      </c>
      <c r="L2980" s="1"/>
      <c r="M2980">
        <v>0</v>
      </c>
      <c r="N2980">
        <v>353</v>
      </c>
      <c r="O2980">
        <v>0.76867700000000005</v>
      </c>
      <c r="P2980">
        <v>3</v>
      </c>
      <c r="Q2980" s="1" t="s">
        <v>560</v>
      </c>
      <c r="R2980" s="93">
        <v>271.42</v>
      </c>
      <c r="S2980">
        <v>217.14</v>
      </c>
      <c r="T2980">
        <v>0</v>
      </c>
      <c r="U2980" s="1"/>
      <c r="V2980" s="1"/>
      <c r="W2980">
        <v>271.43</v>
      </c>
      <c r="X2980">
        <v>0</v>
      </c>
      <c r="Y2980">
        <v>74432</v>
      </c>
    </row>
    <row r="2981" spans="1:25" ht="15" hidden="1" customHeight="1" x14ac:dyDescent="0.25">
      <c r="A2981" s="1" t="s">
        <v>37</v>
      </c>
      <c r="B2981" s="1"/>
      <c r="C2981" s="1" t="s">
        <v>195</v>
      </c>
      <c r="D2981">
        <v>9519</v>
      </c>
      <c r="E2981" s="1"/>
      <c r="F2981" s="1" t="s">
        <v>328</v>
      </c>
      <c r="G2981" s="1" t="s">
        <v>195</v>
      </c>
      <c r="H2981" s="1" t="s">
        <v>1405</v>
      </c>
      <c r="I2981">
        <v>2011</v>
      </c>
      <c r="J2981" s="93">
        <v>221.53</v>
      </c>
      <c r="K2981">
        <v>12</v>
      </c>
      <c r="L2981" s="1"/>
      <c r="M2981">
        <v>0</v>
      </c>
      <c r="N2981">
        <v>353</v>
      </c>
      <c r="O2981">
        <v>0.627386</v>
      </c>
      <c r="P2981">
        <v>3</v>
      </c>
      <c r="Q2981" s="1" t="s">
        <v>560</v>
      </c>
      <c r="R2981" s="93">
        <v>221.53</v>
      </c>
      <c r="S2981">
        <v>177.24</v>
      </c>
      <c r="T2981">
        <v>0</v>
      </c>
      <c r="U2981" s="1"/>
      <c r="V2981" s="1"/>
      <c r="W2981">
        <v>221.55</v>
      </c>
      <c r="X2981">
        <v>0</v>
      </c>
      <c r="Y2981">
        <v>74432</v>
      </c>
    </row>
    <row r="2982" spans="1:25" ht="15" hidden="1" customHeight="1" x14ac:dyDescent="0.25">
      <c r="A2982" s="1" t="s">
        <v>37</v>
      </c>
      <c r="B2982" s="1"/>
      <c r="C2982" s="1" t="s">
        <v>195</v>
      </c>
      <c r="D2982">
        <v>9519</v>
      </c>
      <c r="E2982" s="1"/>
      <c r="F2982" s="1" t="s">
        <v>328</v>
      </c>
      <c r="G2982" s="1" t="s">
        <v>195</v>
      </c>
      <c r="H2982" s="1" t="s">
        <v>1405</v>
      </c>
      <c r="I2982">
        <v>2010</v>
      </c>
      <c r="J2982" s="93">
        <v>184.39</v>
      </c>
      <c r="K2982">
        <v>12</v>
      </c>
      <c r="L2982" s="1"/>
      <c r="M2982">
        <v>0</v>
      </c>
      <c r="N2982">
        <v>353</v>
      </c>
      <c r="O2982">
        <v>0.52220299999999997</v>
      </c>
      <c r="P2982">
        <v>3</v>
      </c>
      <c r="Q2982" s="1" t="s">
        <v>560</v>
      </c>
      <c r="R2982" s="93">
        <v>184.39</v>
      </c>
      <c r="S2982">
        <v>147.51</v>
      </c>
      <c r="T2982">
        <v>0</v>
      </c>
      <c r="U2982" s="1"/>
      <c r="V2982" s="1"/>
      <c r="W2982">
        <v>184.40299999999999</v>
      </c>
      <c r="X2982">
        <v>0</v>
      </c>
      <c r="Y2982">
        <v>74432</v>
      </c>
    </row>
    <row r="2983" spans="1:25" ht="15" hidden="1" customHeight="1" x14ac:dyDescent="0.25">
      <c r="A2983" s="1" t="s">
        <v>37</v>
      </c>
      <c r="B2983" s="1"/>
      <c r="C2983" s="1" t="s">
        <v>195</v>
      </c>
      <c r="D2983">
        <v>9519</v>
      </c>
      <c r="E2983" s="1"/>
      <c r="F2983" s="1" t="s">
        <v>328</v>
      </c>
      <c r="G2983" s="1" t="s">
        <v>195</v>
      </c>
      <c r="H2983" s="1" t="s">
        <v>1405</v>
      </c>
      <c r="I2983">
        <v>2009</v>
      </c>
      <c r="J2983" s="93">
        <v>212.17</v>
      </c>
      <c r="K2983">
        <v>12</v>
      </c>
      <c r="L2983" s="1"/>
      <c r="M2983">
        <v>0</v>
      </c>
      <c r="N2983">
        <v>353</v>
      </c>
      <c r="O2983">
        <v>0.60087699999999999</v>
      </c>
      <c r="P2983">
        <v>3</v>
      </c>
      <c r="Q2983" s="1" t="s">
        <v>560</v>
      </c>
      <c r="R2983" s="93">
        <v>212.17</v>
      </c>
      <c r="S2983">
        <v>169.76</v>
      </c>
      <c r="T2983">
        <v>0</v>
      </c>
      <c r="U2983" s="1"/>
      <c r="V2983" s="1"/>
      <c r="W2983">
        <v>212.18</v>
      </c>
      <c r="X2983">
        <v>0</v>
      </c>
      <c r="Y2983">
        <v>74432</v>
      </c>
    </row>
    <row r="2984" spans="1:25" ht="15" hidden="1" customHeight="1" x14ac:dyDescent="0.25">
      <c r="A2984" s="1" t="s">
        <v>37</v>
      </c>
      <c r="B2984" s="1"/>
      <c r="C2984" s="1" t="s">
        <v>195</v>
      </c>
      <c r="D2984">
        <v>9519</v>
      </c>
      <c r="E2984" s="1"/>
      <c r="F2984" s="1" t="s">
        <v>328</v>
      </c>
      <c r="G2984" s="1" t="s">
        <v>195</v>
      </c>
      <c r="H2984" s="1" t="s">
        <v>1405</v>
      </c>
      <c r="I2984">
        <v>2008</v>
      </c>
      <c r="J2984" s="93">
        <v>242.93</v>
      </c>
      <c r="K2984">
        <v>12</v>
      </c>
      <c r="L2984" s="1"/>
      <c r="M2984">
        <v>0</v>
      </c>
      <c r="N2984">
        <v>353</v>
      </c>
      <c r="O2984">
        <v>0.68799200000000005</v>
      </c>
      <c r="P2984">
        <v>3</v>
      </c>
      <c r="Q2984" s="1" t="s">
        <v>560</v>
      </c>
      <c r="R2984" s="93">
        <v>242.93</v>
      </c>
      <c r="S2984">
        <v>194.34</v>
      </c>
      <c r="T2984">
        <v>0</v>
      </c>
      <c r="U2984" s="1"/>
      <c r="V2984" s="1"/>
      <c r="W2984">
        <v>242.93199999999999</v>
      </c>
      <c r="X2984">
        <v>0</v>
      </c>
      <c r="Y2984">
        <v>74432</v>
      </c>
    </row>
    <row r="2985" spans="1:25" ht="15" hidden="1" customHeight="1" x14ac:dyDescent="0.25">
      <c r="A2985" s="1" t="s">
        <v>37</v>
      </c>
      <c r="B2985" s="1" t="s">
        <v>81</v>
      </c>
      <c r="C2985" s="1" t="s">
        <v>196</v>
      </c>
      <c r="D2985">
        <v>5480</v>
      </c>
      <c r="E2985" s="1"/>
      <c r="F2985" s="1" t="s">
        <v>329</v>
      </c>
      <c r="G2985" s="1" t="s">
        <v>1399</v>
      </c>
      <c r="H2985" s="1" t="s">
        <v>1396</v>
      </c>
      <c r="I2985">
        <v>2015</v>
      </c>
      <c r="J2985" s="93">
        <v>36.08</v>
      </c>
      <c r="K2985">
        <v>5</v>
      </c>
      <c r="L2985" s="1" t="s">
        <v>402</v>
      </c>
      <c r="M2985">
        <v>0</v>
      </c>
      <c r="N2985">
        <v>0</v>
      </c>
      <c r="O2985">
        <v>360.8</v>
      </c>
      <c r="P2985">
        <v>3</v>
      </c>
      <c r="Q2985" s="1" t="s">
        <v>560</v>
      </c>
      <c r="R2985" s="93">
        <v>36.08</v>
      </c>
      <c r="S2985">
        <v>28.87</v>
      </c>
      <c r="T2985">
        <v>1</v>
      </c>
      <c r="U2985" s="1" t="s">
        <v>685</v>
      </c>
      <c r="V2985" s="1"/>
      <c r="W2985">
        <v>36.085000000000001</v>
      </c>
      <c r="X2985">
        <v>0</v>
      </c>
      <c r="Y2985">
        <v>57940</v>
      </c>
    </row>
    <row r="2986" spans="1:25" ht="15" hidden="1" customHeight="1" x14ac:dyDescent="0.25">
      <c r="A2986" s="1" t="s">
        <v>37</v>
      </c>
      <c r="B2986" s="1" t="s">
        <v>81</v>
      </c>
      <c r="C2986" s="1" t="s">
        <v>196</v>
      </c>
      <c r="D2986">
        <v>5480</v>
      </c>
      <c r="E2986" s="1"/>
      <c r="F2986" s="1" t="s">
        <v>329</v>
      </c>
      <c r="G2986" s="1" t="s">
        <v>1399</v>
      </c>
      <c r="H2986" s="1" t="s">
        <v>1396</v>
      </c>
      <c r="I2986">
        <v>2013</v>
      </c>
      <c r="J2986" s="93">
        <v>242.06</v>
      </c>
      <c r="K2986">
        <v>12</v>
      </c>
      <c r="L2986" s="1" t="s">
        <v>402</v>
      </c>
      <c r="M2986">
        <v>0</v>
      </c>
      <c r="N2986">
        <v>0</v>
      </c>
      <c r="O2986">
        <v>2420.6</v>
      </c>
      <c r="P2986">
        <v>3</v>
      </c>
      <c r="Q2986" s="1" t="s">
        <v>560</v>
      </c>
      <c r="R2986" s="93">
        <v>242.06</v>
      </c>
      <c r="S2986">
        <v>193.64</v>
      </c>
      <c r="T2986">
        <v>1</v>
      </c>
      <c r="U2986" s="1" t="s">
        <v>685</v>
      </c>
      <c r="V2986" s="1"/>
      <c r="W2986">
        <v>242.054</v>
      </c>
      <c r="X2986">
        <v>0</v>
      </c>
      <c r="Y2986">
        <v>57940</v>
      </c>
    </row>
    <row r="2987" spans="1:25" ht="15" hidden="1" customHeight="1" x14ac:dyDescent="0.25">
      <c r="A2987" s="1" t="s">
        <v>37</v>
      </c>
      <c r="B2987" s="1" t="s">
        <v>81</v>
      </c>
      <c r="C2987" s="1" t="s">
        <v>196</v>
      </c>
      <c r="D2987">
        <v>5480</v>
      </c>
      <c r="E2987" s="1"/>
      <c r="F2987" s="1" t="s">
        <v>329</v>
      </c>
      <c r="G2987" s="1" t="s">
        <v>1399</v>
      </c>
      <c r="H2987" s="1" t="s">
        <v>1396</v>
      </c>
      <c r="I2987">
        <v>2012</v>
      </c>
      <c r="J2987" s="93">
        <v>274.8</v>
      </c>
      <c r="K2987">
        <v>12</v>
      </c>
      <c r="L2987" s="1" t="s">
        <v>402</v>
      </c>
      <c r="M2987">
        <v>0</v>
      </c>
      <c r="N2987">
        <v>0</v>
      </c>
      <c r="O2987">
        <v>2748</v>
      </c>
      <c r="P2987">
        <v>3</v>
      </c>
      <c r="Q2987" s="1" t="s">
        <v>560</v>
      </c>
      <c r="R2987" s="93">
        <v>274.8</v>
      </c>
      <c r="S2987">
        <v>219.86</v>
      </c>
      <c r="T2987">
        <v>1</v>
      </c>
      <c r="U2987" s="1" t="s">
        <v>685</v>
      </c>
      <c r="V2987" s="1"/>
      <c r="W2987">
        <v>274.822</v>
      </c>
      <c r="X2987">
        <v>0</v>
      </c>
      <c r="Y2987">
        <v>57940</v>
      </c>
    </row>
    <row r="2988" spans="1:25" ht="15" hidden="1" customHeight="1" x14ac:dyDescent="0.25">
      <c r="A2988" s="1" t="s">
        <v>37</v>
      </c>
      <c r="B2988" s="1" t="s">
        <v>81</v>
      </c>
      <c r="C2988" s="1" t="s">
        <v>196</v>
      </c>
      <c r="D2988">
        <v>5480</v>
      </c>
      <c r="E2988" s="1"/>
      <c r="F2988" s="1" t="s">
        <v>329</v>
      </c>
      <c r="G2988" s="1" t="s">
        <v>1399</v>
      </c>
      <c r="H2988" s="1" t="s">
        <v>1396</v>
      </c>
      <c r="I2988">
        <v>2011</v>
      </c>
      <c r="J2988" s="93">
        <v>266.54000000000002</v>
      </c>
      <c r="K2988">
        <v>12</v>
      </c>
      <c r="L2988" s="1" t="s">
        <v>402</v>
      </c>
      <c r="M2988">
        <v>0</v>
      </c>
      <c r="N2988">
        <v>0</v>
      </c>
      <c r="O2988">
        <v>2665.4</v>
      </c>
      <c r="P2988">
        <v>3</v>
      </c>
      <c r="Q2988" s="1" t="s">
        <v>560</v>
      </c>
      <c r="R2988" s="93">
        <v>266.54000000000002</v>
      </c>
      <c r="S2988">
        <v>213.23</v>
      </c>
      <c r="T2988">
        <v>1</v>
      </c>
      <c r="U2988" s="1" t="s">
        <v>685</v>
      </c>
      <c r="V2988" s="1"/>
      <c r="W2988">
        <v>266.54300000000001</v>
      </c>
      <c r="X2988">
        <v>0</v>
      </c>
      <c r="Y2988">
        <v>57940</v>
      </c>
    </row>
    <row r="2989" spans="1:25" ht="15" hidden="1" customHeight="1" x14ac:dyDescent="0.25">
      <c r="A2989" s="1" t="s">
        <v>37</v>
      </c>
      <c r="B2989" s="1" t="s">
        <v>81</v>
      </c>
      <c r="C2989" s="1" t="s">
        <v>196</v>
      </c>
      <c r="D2989">
        <v>5480</v>
      </c>
      <c r="E2989" s="1"/>
      <c r="F2989" s="1" t="s">
        <v>329</v>
      </c>
      <c r="G2989" s="1" t="s">
        <v>1399</v>
      </c>
      <c r="H2989" s="1" t="s">
        <v>1396</v>
      </c>
      <c r="I2989">
        <v>2010</v>
      </c>
      <c r="J2989" s="93">
        <v>290.62</v>
      </c>
      <c r="K2989">
        <v>12</v>
      </c>
      <c r="L2989" s="1" t="s">
        <v>402</v>
      </c>
      <c r="M2989">
        <v>0</v>
      </c>
      <c r="N2989">
        <v>0</v>
      </c>
      <c r="O2989">
        <v>2906.2</v>
      </c>
      <c r="P2989">
        <v>3</v>
      </c>
      <c r="Q2989" s="1" t="s">
        <v>560</v>
      </c>
      <c r="R2989" s="93">
        <v>290.62</v>
      </c>
      <c r="S2989">
        <v>232.48</v>
      </c>
      <c r="T2989">
        <v>1</v>
      </c>
      <c r="U2989" s="1" t="s">
        <v>685</v>
      </c>
      <c r="V2989" s="1"/>
      <c r="W2989">
        <v>290.608</v>
      </c>
      <c r="X2989">
        <v>0</v>
      </c>
      <c r="Y2989">
        <v>57940</v>
      </c>
    </row>
    <row r="2990" spans="1:25" ht="15" hidden="1" customHeight="1" x14ac:dyDescent="0.25">
      <c r="A2990" s="1" t="s">
        <v>37</v>
      </c>
      <c r="B2990" s="1" t="s">
        <v>81</v>
      </c>
      <c r="C2990" s="1" t="s">
        <v>196</v>
      </c>
      <c r="D2990">
        <v>5480</v>
      </c>
      <c r="E2990" s="1"/>
      <c r="F2990" s="1" t="s">
        <v>329</v>
      </c>
      <c r="G2990" s="1" t="s">
        <v>1399</v>
      </c>
      <c r="H2990" s="1" t="s">
        <v>1396</v>
      </c>
      <c r="I2990">
        <v>2009</v>
      </c>
      <c r="J2990" s="93">
        <v>277.94</v>
      </c>
      <c r="K2990">
        <v>12</v>
      </c>
      <c r="L2990" s="1" t="s">
        <v>402</v>
      </c>
      <c r="M2990">
        <v>0</v>
      </c>
      <c r="N2990">
        <v>0</v>
      </c>
      <c r="O2990">
        <v>2779.4</v>
      </c>
      <c r="P2990">
        <v>3</v>
      </c>
      <c r="Q2990" s="1" t="s">
        <v>560</v>
      </c>
      <c r="R2990" s="93">
        <v>277.94</v>
      </c>
      <c r="S2990">
        <v>222.35</v>
      </c>
      <c r="T2990">
        <v>1</v>
      </c>
      <c r="U2990" s="1" t="s">
        <v>685</v>
      </c>
      <c r="V2990" s="1"/>
      <c r="W2990">
        <v>277.93299999999999</v>
      </c>
      <c r="X2990">
        <v>0</v>
      </c>
      <c r="Y2990">
        <v>57940</v>
      </c>
    </row>
    <row r="2991" spans="1:25" ht="15" hidden="1" customHeight="1" x14ac:dyDescent="0.25">
      <c r="A2991" s="1" t="s">
        <v>37</v>
      </c>
      <c r="B2991" s="1" t="s">
        <v>81</v>
      </c>
      <c r="C2991" s="1" t="s">
        <v>196</v>
      </c>
      <c r="D2991">
        <v>5480</v>
      </c>
      <c r="E2991" s="1"/>
      <c r="F2991" s="1" t="s">
        <v>329</v>
      </c>
      <c r="G2991" s="1" t="s">
        <v>1399</v>
      </c>
      <c r="H2991" s="1" t="s">
        <v>1396</v>
      </c>
      <c r="I2991">
        <v>2008</v>
      </c>
      <c r="J2991" s="93">
        <v>298.05</v>
      </c>
      <c r="K2991">
        <v>12</v>
      </c>
      <c r="L2991" s="1" t="s">
        <v>402</v>
      </c>
      <c r="M2991">
        <v>0</v>
      </c>
      <c r="N2991">
        <v>0</v>
      </c>
      <c r="O2991">
        <v>2980.5</v>
      </c>
      <c r="P2991">
        <v>3</v>
      </c>
      <c r="Q2991" s="1" t="s">
        <v>560</v>
      </c>
      <c r="R2991" s="93">
        <v>298.05</v>
      </c>
      <c r="S2991">
        <v>238.45</v>
      </c>
      <c r="T2991">
        <v>1</v>
      </c>
      <c r="U2991" s="1" t="s">
        <v>685</v>
      </c>
      <c r="V2991" s="1"/>
      <c r="W2991">
        <v>298.03800000000001</v>
      </c>
      <c r="X2991">
        <v>0</v>
      </c>
      <c r="Y2991">
        <v>57940</v>
      </c>
    </row>
    <row r="2992" spans="1:25" ht="15" hidden="1" customHeight="1" x14ac:dyDescent="0.25">
      <c r="A2992" s="1" t="s">
        <v>37</v>
      </c>
      <c r="B2992" s="1" t="s">
        <v>81</v>
      </c>
      <c r="C2992" s="1" t="s">
        <v>196</v>
      </c>
      <c r="D2992">
        <v>5481</v>
      </c>
      <c r="E2992" s="1"/>
      <c r="F2992" s="1" t="s">
        <v>330</v>
      </c>
      <c r="G2992" s="1" t="s">
        <v>1399</v>
      </c>
      <c r="H2992" s="1" t="s">
        <v>1405</v>
      </c>
      <c r="I2992">
        <v>2015</v>
      </c>
      <c r="J2992" s="93">
        <v>0</v>
      </c>
      <c r="K2992">
        <v>5</v>
      </c>
      <c r="L2992" s="1" t="s">
        <v>402</v>
      </c>
      <c r="M2992">
        <v>0</v>
      </c>
      <c r="N2992">
        <v>1273</v>
      </c>
      <c r="O2992">
        <v>1.2716E-2</v>
      </c>
      <c r="P2992">
        <v>3</v>
      </c>
      <c r="Q2992" s="1" t="s">
        <v>560</v>
      </c>
      <c r="R2992" s="93">
        <v>16.190000000000001</v>
      </c>
      <c r="S2992">
        <v>12.94</v>
      </c>
      <c r="T2992">
        <v>1</v>
      </c>
      <c r="U2992" s="1" t="s">
        <v>686</v>
      </c>
      <c r="V2992" s="1"/>
      <c r="W2992">
        <v>16.18</v>
      </c>
      <c r="X2992">
        <v>0</v>
      </c>
      <c r="Y2992">
        <v>57946</v>
      </c>
    </row>
    <row r="2993" spans="1:25" ht="15" hidden="1" customHeight="1" x14ac:dyDescent="0.25">
      <c r="A2993" s="1" t="s">
        <v>37</v>
      </c>
      <c r="B2993" s="1" t="s">
        <v>81</v>
      </c>
      <c r="C2993" s="1" t="s">
        <v>196</v>
      </c>
      <c r="D2993">
        <v>5481</v>
      </c>
      <c r="E2993" s="1"/>
      <c r="F2993" s="1" t="s">
        <v>330</v>
      </c>
      <c r="G2993" s="1" t="s">
        <v>1399</v>
      </c>
      <c r="H2993" s="1" t="s">
        <v>1405</v>
      </c>
      <c r="I2993">
        <v>2013</v>
      </c>
      <c r="J2993" s="93">
        <v>26.1</v>
      </c>
      <c r="K2993">
        <v>12</v>
      </c>
      <c r="L2993" s="1" t="s">
        <v>402</v>
      </c>
      <c r="M2993">
        <v>0</v>
      </c>
      <c r="N2993">
        <v>1273</v>
      </c>
      <c r="O2993">
        <v>2.0500999999999998E-2</v>
      </c>
      <c r="P2993">
        <v>3</v>
      </c>
      <c r="Q2993" s="1" t="s">
        <v>560</v>
      </c>
      <c r="R2993" s="93">
        <v>26.1</v>
      </c>
      <c r="S2993">
        <v>20.86</v>
      </c>
      <c r="T2993">
        <v>1</v>
      </c>
      <c r="U2993" s="1" t="s">
        <v>686</v>
      </c>
      <c r="V2993" s="1"/>
      <c r="W2993">
        <v>26.091000000000001</v>
      </c>
      <c r="X2993">
        <v>0</v>
      </c>
      <c r="Y2993">
        <v>57946</v>
      </c>
    </row>
    <row r="2994" spans="1:25" ht="15" hidden="1" customHeight="1" x14ac:dyDescent="0.25">
      <c r="A2994" s="1" t="s">
        <v>37</v>
      </c>
      <c r="B2994" s="1" t="s">
        <v>81</v>
      </c>
      <c r="C2994" s="1" t="s">
        <v>196</v>
      </c>
      <c r="D2994">
        <v>5481</v>
      </c>
      <c r="E2994" s="1"/>
      <c r="F2994" s="1" t="s">
        <v>330</v>
      </c>
      <c r="G2994" s="1" t="s">
        <v>1399</v>
      </c>
      <c r="H2994" s="1" t="s">
        <v>1405</v>
      </c>
      <c r="I2994">
        <v>2012</v>
      </c>
      <c r="J2994" s="93">
        <v>42.41</v>
      </c>
      <c r="K2994">
        <v>12</v>
      </c>
      <c r="L2994" s="1" t="s">
        <v>402</v>
      </c>
      <c r="M2994">
        <v>0</v>
      </c>
      <c r="N2994">
        <v>1273</v>
      </c>
      <c r="O2994">
        <v>3.3312000000000001E-2</v>
      </c>
      <c r="P2994">
        <v>3</v>
      </c>
      <c r="Q2994" s="1" t="s">
        <v>560</v>
      </c>
      <c r="R2994" s="93">
        <v>42.41</v>
      </c>
      <c r="S2994">
        <v>33.92</v>
      </c>
      <c r="T2994">
        <v>1</v>
      </c>
      <c r="U2994" s="1" t="s">
        <v>686</v>
      </c>
      <c r="V2994" s="1"/>
      <c r="W2994">
        <v>42.399000000000001</v>
      </c>
      <c r="X2994">
        <v>0</v>
      </c>
      <c r="Y2994">
        <v>57946</v>
      </c>
    </row>
    <row r="2995" spans="1:25" ht="15" hidden="1" customHeight="1" x14ac:dyDescent="0.25">
      <c r="A2995" s="1" t="s">
        <v>37</v>
      </c>
      <c r="B2995" s="1" t="s">
        <v>81</v>
      </c>
      <c r="C2995" s="1" t="s">
        <v>196</v>
      </c>
      <c r="D2995">
        <v>5481</v>
      </c>
      <c r="E2995" s="1"/>
      <c r="F2995" s="1" t="s">
        <v>330</v>
      </c>
      <c r="G2995" s="1" t="s">
        <v>1399</v>
      </c>
      <c r="H2995" s="1" t="s">
        <v>1405</v>
      </c>
      <c r="I2995">
        <v>2011</v>
      </c>
      <c r="J2995" s="93">
        <v>45.99</v>
      </c>
      <c r="K2995">
        <v>12</v>
      </c>
      <c r="L2995" s="1" t="s">
        <v>402</v>
      </c>
      <c r="M2995">
        <v>0</v>
      </c>
      <c r="N2995">
        <v>1273</v>
      </c>
      <c r="O2995">
        <v>3.6124000000000003E-2</v>
      </c>
      <c r="P2995">
        <v>3</v>
      </c>
      <c r="Q2995" s="1" t="s">
        <v>560</v>
      </c>
      <c r="R2995" s="93">
        <v>45.99</v>
      </c>
      <c r="S2995">
        <v>36.799999999999997</v>
      </c>
      <c r="T2995">
        <v>1</v>
      </c>
      <c r="U2995" s="1" t="s">
        <v>686</v>
      </c>
      <c r="V2995" s="1"/>
      <c r="W2995">
        <v>46.018000000000001</v>
      </c>
      <c r="X2995">
        <v>0</v>
      </c>
      <c r="Y2995">
        <v>57946</v>
      </c>
    </row>
    <row r="2996" spans="1:25" ht="15" hidden="1" customHeight="1" x14ac:dyDescent="0.25">
      <c r="A2996" s="1" t="s">
        <v>37</v>
      </c>
      <c r="B2996" s="1" t="s">
        <v>81</v>
      </c>
      <c r="C2996" s="1" t="s">
        <v>196</v>
      </c>
      <c r="D2996">
        <v>5481</v>
      </c>
      <c r="E2996" s="1"/>
      <c r="F2996" s="1" t="s">
        <v>330</v>
      </c>
      <c r="G2996" s="1" t="s">
        <v>1399</v>
      </c>
      <c r="H2996" s="1" t="s">
        <v>1405</v>
      </c>
      <c r="I2996">
        <v>2010</v>
      </c>
      <c r="J2996" s="93">
        <v>55.83</v>
      </c>
      <c r="K2996">
        <v>12</v>
      </c>
      <c r="L2996" s="1" t="s">
        <v>402</v>
      </c>
      <c r="M2996">
        <v>0</v>
      </c>
      <c r="N2996">
        <v>1273</v>
      </c>
      <c r="O2996">
        <v>4.3853000000000003E-2</v>
      </c>
      <c r="P2996">
        <v>3</v>
      </c>
      <c r="Q2996" s="1" t="s">
        <v>560</v>
      </c>
      <c r="R2996" s="93">
        <v>55.83</v>
      </c>
      <c r="S2996">
        <v>44.65</v>
      </c>
      <c r="T2996">
        <v>1</v>
      </c>
      <c r="U2996" s="1" t="s">
        <v>686</v>
      </c>
      <c r="V2996" s="1"/>
      <c r="W2996">
        <v>55.829000000000001</v>
      </c>
      <c r="X2996">
        <v>0</v>
      </c>
      <c r="Y2996">
        <v>57946</v>
      </c>
    </row>
    <row r="2997" spans="1:25" ht="15" hidden="1" customHeight="1" x14ac:dyDescent="0.25">
      <c r="A2997" s="1" t="s">
        <v>37</v>
      </c>
      <c r="B2997" s="1" t="s">
        <v>81</v>
      </c>
      <c r="C2997" s="1" t="s">
        <v>196</v>
      </c>
      <c r="D2997">
        <v>5481</v>
      </c>
      <c r="E2997" s="1"/>
      <c r="F2997" s="1" t="s">
        <v>330</v>
      </c>
      <c r="G2997" s="1" t="s">
        <v>1399</v>
      </c>
      <c r="H2997" s="1" t="s">
        <v>1405</v>
      </c>
      <c r="I2997">
        <v>2009</v>
      </c>
      <c r="J2997" s="93">
        <v>111.03</v>
      </c>
      <c r="K2997">
        <v>12</v>
      </c>
      <c r="L2997" s="1" t="s">
        <v>402</v>
      </c>
      <c r="M2997">
        <v>0</v>
      </c>
      <c r="N2997">
        <v>1273</v>
      </c>
      <c r="O2997">
        <v>8.7211999999999998E-2</v>
      </c>
      <c r="P2997">
        <v>3</v>
      </c>
      <c r="Q2997" s="1" t="s">
        <v>560</v>
      </c>
      <c r="R2997" s="93">
        <v>111.03</v>
      </c>
      <c r="S2997">
        <v>88.85</v>
      </c>
      <c r="T2997">
        <v>1</v>
      </c>
      <c r="U2997" s="1" t="s">
        <v>686</v>
      </c>
      <c r="V2997" s="1"/>
      <c r="W2997">
        <v>111.059</v>
      </c>
      <c r="X2997">
        <v>0</v>
      </c>
      <c r="Y2997">
        <v>57946</v>
      </c>
    </row>
    <row r="2998" spans="1:25" ht="15" hidden="1" customHeight="1" x14ac:dyDescent="0.25">
      <c r="A2998" s="1" t="s">
        <v>37</v>
      </c>
      <c r="B2998" s="1" t="s">
        <v>81</v>
      </c>
      <c r="C2998" s="1" t="s">
        <v>196</v>
      </c>
      <c r="D2998">
        <v>5481</v>
      </c>
      <c r="E2998" s="1"/>
      <c r="F2998" s="1" t="s">
        <v>330</v>
      </c>
      <c r="G2998" s="1" t="s">
        <v>1399</v>
      </c>
      <c r="H2998" s="1" t="s">
        <v>1405</v>
      </c>
      <c r="I2998">
        <v>2008</v>
      </c>
      <c r="J2998" s="93">
        <v>114.9</v>
      </c>
      <c r="K2998">
        <v>12</v>
      </c>
      <c r="L2998" s="1" t="s">
        <v>402</v>
      </c>
      <c r="M2998">
        <v>0</v>
      </c>
      <c r="N2998">
        <v>1273</v>
      </c>
      <c r="O2998">
        <v>9.0251999999999999E-2</v>
      </c>
      <c r="P2998">
        <v>3</v>
      </c>
      <c r="Q2998" s="1" t="s">
        <v>560</v>
      </c>
      <c r="R2998" s="93">
        <v>114.9</v>
      </c>
      <c r="S2998">
        <v>91.95</v>
      </c>
      <c r="T2998">
        <v>1</v>
      </c>
      <c r="U2998" s="1" t="s">
        <v>686</v>
      </c>
      <c r="V2998" s="1"/>
      <c r="W2998">
        <v>114.905</v>
      </c>
      <c r="X2998">
        <v>0</v>
      </c>
      <c r="Y2998">
        <v>57946</v>
      </c>
    </row>
    <row r="2999" spans="1:25" ht="15" hidden="1" customHeight="1" x14ac:dyDescent="0.25">
      <c r="A2999" s="1" t="s">
        <v>37</v>
      </c>
      <c r="B2999" s="1" t="s">
        <v>81</v>
      </c>
      <c r="C2999" s="1" t="s">
        <v>196</v>
      </c>
      <c r="D2999">
        <v>5479</v>
      </c>
      <c r="E2999" s="1"/>
      <c r="F2999" s="1" t="s">
        <v>331</v>
      </c>
      <c r="G2999" s="1" t="s">
        <v>1399</v>
      </c>
      <c r="H2999" s="1" t="s">
        <v>1405</v>
      </c>
      <c r="I2999">
        <v>2015</v>
      </c>
      <c r="J2999" s="93">
        <v>1335</v>
      </c>
      <c r="K2999">
        <v>5</v>
      </c>
      <c r="L2999" s="1" t="s">
        <v>402</v>
      </c>
      <c r="M2999">
        <v>0</v>
      </c>
      <c r="N2999">
        <v>6089</v>
      </c>
      <c r="O2999">
        <v>0.13986399999999999</v>
      </c>
      <c r="P2999">
        <v>3</v>
      </c>
      <c r="Q2999" s="1" t="s">
        <v>560</v>
      </c>
      <c r="R2999" s="93">
        <v>851.65</v>
      </c>
      <c r="S2999">
        <v>681.32</v>
      </c>
      <c r="T2999">
        <v>0</v>
      </c>
      <c r="U2999" s="1" t="s">
        <v>687</v>
      </c>
      <c r="V2999" s="1"/>
      <c r="W2999">
        <v>851.66</v>
      </c>
      <c r="X2999">
        <v>0</v>
      </c>
      <c r="Y2999">
        <v>57933</v>
      </c>
    </row>
    <row r="3000" spans="1:25" ht="15" hidden="1" customHeight="1" x14ac:dyDescent="0.25">
      <c r="A3000" s="1" t="s">
        <v>37</v>
      </c>
      <c r="B3000" s="1" t="s">
        <v>81</v>
      </c>
      <c r="C3000" s="1" t="s">
        <v>196</v>
      </c>
      <c r="D3000">
        <v>5479</v>
      </c>
      <c r="E3000" s="1"/>
      <c r="F3000" s="1" t="s">
        <v>331</v>
      </c>
      <c r="G3000" s="1" t="s">
        <v>1399</v>
      </c>
      <c r="H3000" s="1" t="s">
        <v>1405</v>
      </c>
      <c r="I3000">
        <v>2013</v>
      </c>
      <c r="J3000" s="93">
        <v>1104.99</v>
      </c>
      <c r="K3000">
        <v>12</v>
      </c>
      <c r="L3000" s="1" t="s">
        <v>402</v>
      </c>
      <c r="M3000">
        <v>0</v>
      </c>
      <c r="N3000">
        <v>6089</v>
      </c>
      <c r="O3000">
        <v>0.18146999999999999</v>
      </c>
      <c r="P3000">
        <v>3</v>
      </c>
      <c r="Q3000" s="1" t="s">
        <v>560</v>
      </c>
      <c r="R3000" s="93">
        <v>1104.99</v>
      </c>
      <c r="S3000">
        <v>883.99</v>
      </c>
      <c r="T3000">
        <v>0</v>
      </c>
      <c r="U3000" s="1" t="s">
        <v>687</v>
      </c>
      <c r="V3000" s="1"/>
      <c r="W3000">
        <v>1104.9939999999999</v>
      </c>
      <c r="X3000">
        <v>0</v>
      </c>
      <c r="Y3000">
        <v>57933</v>
      </c>
    </row>
    <row r="3001" spans="1:25" ht="15" hidden="1" customHeight="1" x14ac:dyDescent="0.25">
      <c r="A3001" s="1" t="s">
        <v>37</v>
      </c>
      <c r="B3001" s="1" t="s">
        <v>81</v>
      </c>
      <c r="C3001" s="1" t="s">
        <v>196</v>
      </c>
      <c r="D3001">
        <v>5479</v>
      </c>
      <c r="E3001" s="1"/>
      <c r="F3001" s="1" t="s">
        <v>331</v>
      </c>
      <c r="G3001" s="1" t="s">
        <v>1399</v>
      </c>
      <c r="H3001" s="1" t="s">
        <v>1405</v>
      </c>
      <c r="I3001">
        <v>2012</v>
      </c>
      <c r="J3001" s="93">
        <v>1240.31</v>
      </c>
      <c r="K3001">
        <v>12</v>
      </c>
      <c r="L3001" s="1" t="s">
        <v>402</v>
      </c>
      <c r="M3001">
        <v>0</v>
      </c>
      <c r="N3001">
        <v>6089</v>
      </c>
      <c r="O3001">
        <v>0.20369300000000001</v>
      </c>
      <c r="P3001">
        <v>3</v>
      </c>
      <c r="Q3001" s="1" t="s">
        <v>560</v>
      </c>
      <c r="R3001" s="93">
        <v>1240.31</v>
      </c>
      <c r="S3001">
        <v>992.23</v>
      </c>
      <c r="T3001">
        <v>0</v>
      </c>
      <c r="U3001" s="1" t="s">
        <v>687</v>
      </c>
      <c r="V3001" s="1"/>
      <c r="W3001">
        <v>1240.2940000000001</v>
      </c>
      <c r="X3001">
        <v>0</v>
      </c>
      <c r="Y3001">
        <v>57933</v>
      </c>
    </row>
    <row r="3002" spans="1:25" ht="15" hidden="1" customHeight="1" x14ac:dyDescent="0.25">
      <c r="A3002" s="1" t="s">
        <v>37</v>
      </c>
      <c r="B3002" s="1" t="s">
        <v>81</v>
      </c>
      <c r="C3002" s="1" t="s">
        <v>196</v>
      </c>
      <c r="D3002">
        <v>5479</v>
      </c>
      <c r="E3002" s="1"/>
      <c r="F3002" s="1" t="s">
        <v>331</v>
      </c>
      <c r="G3002" s="1" t="s">
        <v>1399</v>
      </c>
      <c r="H3002" s="1" t="s">
        <v>1405</v>
      </c>
      <c r="I3002">
        <v>2011</v>
      </c>
      <c r="J3002" s="93">
        <v>1247.25</v>
      </c>
      <c r="K3002">
        <v>12</v>
      </c>
      <c r="L3002" s="1" t="s">
        <v>402</v>
      </c>
      <c r="M3002">
        <v>0</v>
      </c>
      <c r="N3002">
        <v>6089</v>
      </c>
      <c r="O3002">
        <v>0.20483299999999999</v>
      </c>
      <c r="P3002">
        <v>3</v>
      </c>
      <c r="Q3002" s="1" t="s">
        <v>560</v>
      </c>
      <c r="R3002" s="93">
        <v>1247.25</v>
      </c>
      <c r="S3002">
        <v>997.8</v>
      </c>
      <c r="T3002">
        <v>0</v>
      </c>
      <c r="U3002" s="1" t="s">
        <v>687</v>
      </c>
      <c r="V3002" s="1"/>
      <c r="W3002">
        <v>1247.2449999999999</v>
      </c>
      <c r="X3002">
        <v>0</v>
      </c>
      <c r="Y3002">
        <v>57933</v>
      </c>
    </row>
    <row r="3003" spans="1:25" ht="15" hidden="1" customHeight="1" x14ac:dyDescent="0.25">
      <c r="A3003" s="1" t="s">
        <v>37</v>
      </c>
      <c r="B3003" s="1" t="s">
        <v>81</v>
      </c>
      <c r="C3003" s="1" t="s">
        <v>196</v>
      </c>
      <c r="D3003">
        <v>5479</v>
      </c>
      <c r="E3003" s="1"/>
      <c r="F3003" s="1" t="s">
        <v>331</v>
      </c>
      <c r="G3003" s="1" t="s">
        <v>1399</v>
      </c>
      <c r="H3003" s="1" t="s">
        <v>1405</v>
      </c>
      <c r="I3003">
        <v>2010</v>
      </c>
      <c r="J3003" s="93">
        <v>1429.95</v>
      </c>
      <c r="K3003">
        <v>12</v>
      </c>
      <c r="L3003" s="1" t="s">
        <v>402</v>
      </c>
      <c r="M3003">
        <v>0</v>
      </c>
      <c r="N3003">
        <v>6089</v>
      </c>
      <c r="O3003">
        <v>0.23483699999999999</v>
      </c>
      <c r="P3003">
        <v>3</v>
      </c>
      <c r="Q3003" s="1" t="s">
        <v>560</v>
      </c>
      <c r="R3003" s="93">
        <v>1429.95</v>
      </c>
      <c r="S3003">
        <v>1144.01</v>
      </c>
      <c r="T3003">
        <v>0</v>
      </c>
      <c r="U3003" s="1" t="s">
        <v>687</v>
      </c>
      <c r="V3003" s="1"/>
      <c r="W3003">
        <v>1429.9690000000001</v>
      </c>
      <c r="X3003">
        <v>0</v>
      </c>
      <c r="Y3003">
        <v>57933</v>
      </c>
    </row>
    <row r="3004" spans="1:25" ht="15" hidden="1" customHeight="1" x14ac:dyDescent="0.25">
      <c r="A3004" s="1" t="s">
        <v>37</v>
      </c>
      <c r="B3004" s="1" t="s">
        <v>81</v>
      </c>
      <c r="C3004" s="1" t="s">
        <v>196</v>
      </c>
      <c r="D3004">
        <v>5479</v>
      </c>
      <c r="E3004" s="1"/>
      <c r="F3004" s="1" t="s">
        <v>331</v>
      </c>
      <c r="G3004" s="1" t="s">
        <v>1399</v>
      </c>
      <c r="H3004" s="1" t="s">
        <v>1405</v>
      </c>
      <c r="I3004">
        <v>2009</v>
      </c>
      <c r="J3004" s="93">
        <v>1309.67</v>
      </c>
      <c r="K3004">
        <v>12</v>
      </c>
      <c r="L3004" s="1" t="s">
        <v>402</v>
      </c>
      <c r="M3004">
        <v>0</v>
      </c>
      <c r="N3004">
        <v>6089</v>
      </c>
      <c r="O3004">
        <v>0.215084</v>
      </c>
      <c r="P3004">
        <v>3</v>
      </c>
      <c r="Q3004" s="1" t="s">
        <v>560</v>
      </c>
      <c r="R3004" s="93">
        <v>1309.67</v>
      </c>
      <c r="S3004">
        <v>1047.75</v>
      </c>
      <c r="T3004">
        <v>0</v>
      </c>
      <c r="U3004" s="1" t="s">
        <v>687</v>
      </c>
      <c r="V3004" s="1"/>
      <c r="W3004">
        <v>1309.6790000000001</v>
      </c>
      <c r="X3004">
        <v>0</v>
      </c>
      <c r="Y3004">
        <v>57933</v>
      </c>
    </row>
    <row r="3005" spans="1:25" ht="15" hidden="1" customHeight="1" x14ac:dyDescent="0.25">
      <c r="A3005" s="1" t="s">
        <v>37</v>
      </c>
      <c r="B3005" s="1" t="s">
        <v>81</v>
      </c>
      <c r="C3005" s="1" t="s">
        <v>196</v>
      </c>
      <c r="D3005">
        <v>5479</v>
      </c>
      <c r="E3005" s="1"/>
      <c r="F3005" s="1" t="s">
        <v>331</v>
      </c>
      <c r="G3005" s="1" t="s">
        <v>1399</v>
      </c>
      <c r="H3005" s="1" t="s">
        <v>1405</v>
      </c>
      <c r="I3005">
        <v>2008</v>
      </c>
      <c r="J3005" s="93">
        <v>1042.7</v>
      </c>
      <c r="K3005">
        <v>12</v>
      </c>
      <c r="L3005" s="1" t="s">
        <v>402</v>
      </c>
      <c r="M3005">
        <v>0</v>
      </c>
      <c r="N3005">
        <v>6089</v>
      </c>
      <c r="O3005">
        <v>0.17124</v>
      </c>
      <c r="P3005">
        <v>3</v>
      </c>
      <c r="Q3005" s="1" t="s">
        <v>560</v>
      </c>
      <c r="R3005" s="93">
        <v>1042.7</v>
      </c>
      <c r="S3005">
        <v>834.16</v>
      </c>
      <c r="T3005">
        <v>0</v>
      </c>
      <c r="U3005" s="1" t="s">
        <v>687</v>
      </c>
      <c r="V3005" s="1"/>
      <c r="W3005">
        <v>1042.7</v>
      </c>
      <c r="X3005">
        <v>0</v>
      </c>
      <c r="Y3005">
        <v>57933</v>
      </c>
    </row>
    <row r="3006" spans="1:25" ht="15" hidden="1" customHeight="1" x14ac:dyDescent="0.25">
      <c r="A3006" s="1" t="s">
        <v>37</v>
      </c>
      <c r="B3006" s="1"/>
      <c r="C3006" s="1" t="s">
        <v>197</v>
      </c>
      <c r="D3006">
        <v>10161</v>
      </c>
      <c r="E3006" s="1"/>
      <c r="F3006" s="1" t="s">
        <v>332</v>
      </c>
      <c r="G3006" s="1" t="s">
        <v>197</v>
      </c>
      <c r="H3006" s="1" t="s">
        <v>1405</v>
      </c>
      <c r="I3006">
        <v>2015</v>
      </c>
      <c r="J3006" s="93">
        <v>66</v>
      </c>
      <c r="K3006">
        <v>5</v>
      </c>
      <c r="L3006" s="1"/>
      <c r="M3006">
        <v>0</v>
      </c>
      <c r="N3006">
        <v>265</v>
      </c>
      <c r="P3006">
        <v>3</v>
      </c>
      <c r="Q3006" s="1" t="s">
        <v>561</v>
      </c>
      <c r="S3006">
        <v>0</v>
      </c>
      <c r="T3006">
        <v>0</v>
      </c>
      <c r="U3006" s="1" t="s">
        <v>688</v>
      </c>
      <c r="V3006" s="1"/>
      <c r="W3006">
        <v>29761</v>
      </c>
      <c r="X3006">
        <v>0</v>
      </c>
      <c r="Y3006">
        <v>92156</v>
      </c>
    </row>
    <row r="3007" spans="1:25" ht="15" hidden="1" customHeight="1" x14ac:dyDescent="0.25">
      <c r="A3007" s="1" t="s">
        <v>37</v>
      </c>
      <c r="B3007" s="1"/>
      <c r="C3007" s="1" t="s">
        <v>197</v>
      </c>
      <c r="D3007">
        <v>10161</v>
      </c>
      <c r="E3007" s="1"/>
      <c r="F3007" s="1" t="s">
        <v>332</v>
      </c>
      <c r="G3007" s="1" t="s">
        <v>197</v>
      </c>
      <c r="H3007" s="1" t="s">
        <v>1405</v>
      </c>
      <c r="I3007">
        <v>2013</v>
      </c>
      <c r="J3007" s="93">
        <v>49.9</v>
      </c>
      <c r="K3007">
        <v>12</v>
      </c>
      <c r="L3007" s="1"/>
      <c r="M3007">
        <v>0</v>
      </c>
      <c r="N3007">
        <v>265</v>
      </c>
      <c r="O3007">
        <v>0.18823000000000001</v>
      </c>
      <c r="P3007">
        <v>3</v>
      </c>
      <c r="Q3007" s="1" t="s">
        <v>561</v>
      </c>
      <c r="R3007" s="93">
        <v>49.9</v>
      </c>
      <c r="S3007">
        <v>0</v>
      </c>
      <c r="T3007">
        <v>0</v>
      </c>
      <c r="U3007" s="1" t="s">
        <v>688</v>
      </c>
      <c r="V3007" s="1"/>
      <c r="W3007">
        <v>49898</v>
      </c>
      <c r="X3007">
        <v>0</v>
      </c>
      <c r="Y3007">
        <v>92156</v>
      </c>
    </row>
    <row r="3008" spans="1:25" ht="15" hidden="1" customHeight="1" x14ac:dyDescent="0.25">
      <c r="A3008" s="1" t="s">
        <v>37</v>
      </c>
      <c r="B3008" s="1"/>
      <c r="C3008" s="1" t="s">
        <v>197</v>
      </c>
      <c r="D3008">
        <v>10161</v>
      </c>
      <c r="E3008" s="1"/>
      <c r="F3008" s="1" t="s">
        <v>332</v>
      </c>
      <c r="G3008" s="1" t="s">
        <v>197</v>
      </c>
      <c r="H3008" s="1" t="s">
        <v>1405</v>
      </c>
      <c r="I3008">
        <v>2012</v>
      </c>
      <c r="J3008" s="93">
        <v>39.81</v>
      </c>
      <c r="K3008">
        <v>12</v>
      </c>
      <c r="L3008" s="1"/>
      <c r="M3008">
        <v>0</v>
      </c>
      <c r="N3008">
        <v>265</v>
      </c>
      <c r="O3008">
        <v>0.150169</v>
      </c>
      <c r="P3008">
        <v>3</v>
      </c>
      <c r="Q3008" s="1" t="s">
        <v>561</v>
      </c>
      <c r="R3008" s="93">
        <v>39.81</v>
      </c>
      <c r="S3008">
        <v>0</v>
      </c>
      <c r="T3008">
        <v>0</v>
      </c>
      <c r="U3008" s="1" t="s">
        <v>688</v>
      </c>
      <c r="V3008" s="1"/>
      <c r="W3008">
        <v>39799</v>
      </c>
      <c r="X3008">
        <v>0</v>
      </c>
      <c r="Y3008">
        <v>92156</v>
      </c>
    </row>
    <row r="3009" spans="1:25" ht="15" hidden="1" customHeight="1" x14ac:dyDescent="0.25">
      <c r="A3009" s="1" t="s">
        <v>37</v>
      </c>
      <c r="B3009" s="1"/>
      <c r="C3009" s="1" t="s">
        <v>197</v>
      </c>
      <c r="D3009">
        <v>10161</v>
      </c>
      <c r="E3009" s="1"/>
      <c r="F3009" s="1" t="s">
        <v>332</v>
      </c>
      <c r="G3009" s="1" t="s">
        <v>197</v>
      </c>
      <c r="H3009" s="1" t="s">
        <v>1405</v>
      </c>
      <c r="I3009">
        <v>2011</v>
      </c>
      <c r="J3009" s="93">
        <v>2.54</v>
      </c>
      <c r="K3009">
        <v>1</v>
      </c>
      <c r="L3009" s="1"/>
      <c r="M3009">
        <v>0</v>
      </c>
      <c r="N3009">
        <v>265</v>
      </c>
      <c r="O3009">
        <v>9.5809999999999992E-3</v>
      </c>
      <c r="P3009">
        <v>3</v>
      </c>
      <c r="Q3009" s="1" t="s">
        <v>561</v>
      </c>
      <c r="R3009" s="93">
        <v>2.54</v>
      </c>
      <c r="S3009">
        <v>0</v>
      </c>
      <c r="T3009">
        <v>0</v>
      </c>
      <c r="U3009" s="1" t="s">
        <v>688</v>
      </c>
      <c r="V3009" s="1"/>
      <c r="W3009">
        <v>2543</v>
      </c>
      <c r="X3009">
        <v>0</v>
      </c>
      <c r="Y3009">
        <v>92156</v>
      </c>
    </row>
    <row r="3010" spans="1:25" ht="15" hidden="1" customHeight="1" x14ac:dyDescent="0.25">
      <c r="A3010" s="1" t="s">
        <v>37</v>
      </c>
      <c r="B3010" s="1"/>
      <c r="C3010" s="1" t="s">
        <v>197</v>
      </c>
      <c r="D3010">
        <v>10161</v>
      </c>
      <c r="E3010" s="1"/>
      <c r="F3010" s="1" t="s">
        <v>332</v>
      </c>
      <c r="G3010" s="1" t="s">
        <v>197</v>
      </c>
      <c r="H3010" s="1" t="s">
        <v>1405</v>
      </c>
      <c r="I3010">
        <v>2011</v>
      </c>
      <c r="J3010" s="93">
        <v>98.71</v>
      </c>
      <c r="K3010">
        <v>1</v>
      </c>
      <c r="L3010" s="1" t="s">
        <v>426</v>
      </c>
      <c r="M3010">
        <v>0</v>
      </c>
      <c r="N3010">
        <v>265</v>
      </c>
      <c r="O3010">
        <v>0.37235000000000001</v>
      </c>
      <c r="P3010">
        <v>3</v>
      </c>
      <c r="Q3010" s="1" t="s">
        <v>560</v>
      </c>
      <c r="R3010" s="93">
        <v>98.71</v>
      </c>
      <c r="S3010">
        <v>78.95</v>
      </c>
      <c r="T3010">
        <v>0</v>
      </c>
      <c r="U3010" s="1" t="s">
        <v>23</v>
      </c>
      <c r="V3010" s="1"/>
      <c r="W3010">
        <v>98.703590000000005</v>
      </c>
      <c r="X3010">
        <v>0</v>
      </c>
      <c r="Y3010">
        <v>77143</v>
      </c>
    </row>
    <row r="3011" spans="1:25" ht="15" hidden="1" customHeight="1" x14ac:dyDescent="0.25">
      <c r="A3011" s="1" t="s">
        <v>37</v>
      </c>
      <c r="B3011" s="1"/>
      <c r="C3011" s="1" t="s">
        <v>197</v>
      </c>
      <c r="D3011">
        <v>10161</v>
      </c>
      <c r="E3011" s="1"/>
      <c r="F3011" s="1" t="s">
        <v>332</v>
      </c>
      <c r="G3011" s="1" t="s">
        <v>197</v>
      </c>
      <c r="H3011" s="1" t="s">
        <v>1405</v>
      </c>
      <c r="I3011">
        <v>2010</v>
      </c>
      <c r="J3011" s="93">
        <v>102.38</v>
      </c>
      <c r="K3011">
        <v>1</v>
      </c>
      <c r="L3011" s="1" t="s">
        <v>426</v>
      </c>
      <c r="M3011">
        <v>0</v>
      </c>
      <c r="N3011">
        <v>265</v>
      </c>
      <c r="O3011">
        <v>0.38619300000000001</v>
      </c>
      <c r="P3011">
        <v>3</v>
      </c>
      <c r="Q3011" s="1" t="s">
        <v>560</v>
      </c>
      <c r="R3011" s="93">
        <v>102.38</v>
      </c>
      <c r="S3011">
        <v>81.89</v>
      </c>
      <c r="T3011">
        <v>0</v>
      </c>
      <c r="U3011" s="1" t="s">
        <v>23</v>
      </c>
      <c r="V3011" s="1"/>
      <c r="W3011">
        <v>102.38283</v>
      </c>
      <c r="X3011">
        <v>0</v>
      </c>
      <c r="Y3011">
        <v>77143</v>
      </c>
    </row>
    <row r="3012" spans="1:25" ht="15" hidden="1" customHeight="1" x14ac:dyDescent="0.25">
      <c r="A3012" s="1" t="s">
        <v>37</v>
      </c>
      <c r="B3012" s="1"/>
      <c r="C3012" s="1" t="s">
        <v>197</v>
      </c>
      <c r="D3012">
        <v>10161</v>
      </c>
      <c r="E3012" s="1"/>
      <c r="F3012" s="1" t="s">
        <v>332</v>
      </c>
      <c r="G3012" s="1" t="s">
        <v>197</v>
      </c>
      <c r="H3012" s="1" t="s">
        <v>1405</v>
      </c>
      <c r="I3012">
        <v>2009</v>
      </c>
      <c r="J3012" s="93">
        <v>34.97</v>
      </c>
      <c r="K3012">
        <v>4</v>
      </c>
      <c r="L3012" s="1" t="s">
        <v>426</v>
      </c>
      <c r="M3012">
        <v>0</v>
      </c>
      <c r="N3012">
        <v>265</v>
      </c>
      <c r="O3012">
        <v>0.131912</v>
      </c>
      <c r="P3012">
        <v>3</v>
      </c>
      <c r="Q3012" s="1" t="s">
        <v>560</v>
      </c>
      <c r="R3012" s="93">
        <v>34.97</v>
      </c>
      <c r="S3012">
        <v>27.98</v>
      </c>
      <c r="T3012">
        <v>0</v>
      </c>
      <c r="U3012" s="1" t="s">
        <v>23</v>
      </c>
      <c r="V3012" s="1"/>
      <c r="W3012">
        <v>34.970709999999997</v>
      </c>
      <c r="X3012">
        <v>0</v>
      </c>
      <c r="Y3012">
        <v>77143</v>
      </c>
    </row>
    <row r="3013" spans="1:25" ht="15" hidden="1" customHeight="1" x14ac:dyDescent="0.25">
      <c r="A3013" s="1" t="s">
        <v>37</v>
      </c>
      <c r="B3013" s="1"/>
      <c r="C3013" s="1" t="s">
        <v>197</v>
      </c>
      <c r="D3013">
        <v>10161</v>
      </c>
      <c r="E3013" s="1"/>
      <c r="F3013" s="1" t="s">
        <v>332</v>
      </c>
      <c r="G3013" s="1" t="s">
        <v>197</v>
      </c>
      <c r="H3013" s="1" t="s">
        <v>1405</v>
      </c>
      <c r="I3013">
        <v>2008</v>
      </c>
      <c r="J3013" s="93">
        <v>265.22000000000003</v>
      </c>
      <c r="K3013">
        <v>6</v>
      </c>
      <c r="L3013" s="1" t="s">
        <v>426</v>
      </c>
      <c r="M3013">
        <v>0</v>
      </c>
      <c r="N3013">
        <v>265</v>
      </c>
      <c r="O3013">
        <v>1.0004519999999999</v>
      </c>
      <c r="P3013">
        <v>3</v>
      </c>
      <c r="Q3013" s="1" t="s">
        <v>560</v>
      </c>
      <c r="R3013" s="93">
        <v>265.22000000000003</v>
      </c>
      <c r="S3013">
        <v>212.17</v>
      </c>
      <c r="T3013">
        <v>0</v>
      </c>
      <c r="U3013" s="1" t="s">
        <v>23</v>
      </c>
      <c r="V3013" s="1"/>
      <c r="W3013">
        <v>265.22856999999999</v>
      </c>
      <c r="X3013">
        <v>0</v>
      </c>
      <c r="Y3013">
        <v>77143</v>
      </c>
    </row>
    <row r="3014" spans="1:25" ht="15" hidden="1" customHeight="1" x14ac:dyDescent="0.25">
      <c r="A3014" s="1" t="s">
        <v>37</v>
      </c>
      <c r="B3014" s="1" t="s">
        <v>82</v>
      </c>
      <c r="C3014" s="1" t="s">
        <v>198</v>
      </c>
      <c r="D3014">
        <v>6369</v>
      </c>
      <c r="E3014" s="1"/>
      <c r="F3014" s="1" t="s">
        <v>333</v>
      </c>
      <c r="G3014" s="1" t="s">
        <v>334</v>
      </c>
      <c r="H3014" s="1" t="s">
        <v>1405</v>
      </c>
      <c r="I3014">
        <v>2015</v>
      </c>
      <c r="J3014" s="93">
        <v>12</v>
      </c>
      <c r="K3014">
        <v>5</v>
      </c>
      <c r="L3014" s="1" t="s">
        <v>399</v>
      </c>
      <c r="M3014">
        <v>0</v>
      </c>
      <c r="N3014">
        <v>110</v>
      </c>
      <c r="O3014">
        <v>6.0581000000000003E-2</v>
      </c>
      <c r="P3014">
        <v>3</v>
      </c>
      <c r="Q3014" s="1" t="s">
        <v>560</v>
      </c>
      <c r="R3014" s="93">
        <v>6.67</v>
      </c>
      <c r="S3014">
        <v>5.33</v>
      </c>
      <c r="T3014">
        <v>0</v>
      </c>
      <c r="U3014" s="1" t="s">
        <v>689</v>
      </c>
      <c r="V3014" s="1"/>
      <c r="W3014">
        <v>6.6669999999999998</v>
      </c>
      <c r="X3014">
        <v>0</v>
      </c>
      <c r="Y3014">
        <v>62720</v>
      </c>
    </row>
    <row r="3015" spans="1:25" ht="15" hidden="1" customHeight="1" x14ac:dyDescent="0.25">
      <c r="A3015" s="1" t="s">
        <v>37</v>
      </c>
      <c r="B3015" s="1" t="s">
        <v>82</v>
      </c>
      <c r="C3015" s="1" t="s">
        <v>198</v>
      </c>
      <c r="D3015">
        <v>6369</v>
      </c>
      <c r="E3015" s="1"/>
      <c r="F3015" s="1" t="s">
        <v>333</v>
      </c>
      <c r="G3015" s="1" t="s">
        <v>334</v>
      </c>
      <c r="H3015" s="1" t="s">
        <v>1405</v>
      </c>
      <c r="I3015">
        <v>2013</v>
      </c>
      <c r="J3015" s="93">
        <v>19.36</v>
      </c>
      <c r="K3015">
        <v>12</v>
      </c>
      <c r="L3015" s="1" t="s">
        <v>399</v>
      </c>
      <c r="M3015">
        <v>0</v>
      </c>
      <c r="N3015">
        <v>110</v>
      </c>
      <c r="O3015">
        <v>0.17584</v>
      </c>
      <c r="P3015">
        <v>3</v>
      </c>
      <c r="Q3015" s="1" t="s">
        <v>560</v>
      </c>
      <c r="R3015" s="93">
        <v>19.36</v>
      </c>
      <c r="S3015">
        <v>15.47</v>
      </c>
      <c r="T3015">
        <v>0</v>
      </c>
      <c r="U3015" s="1" t="s">
        <v>689</v>
      </c>
      <c r="V3015" s="1"/>
      <c r="W3015">
        <v>19.332999999999998</v>
      </c>
      <c r="X3015">
        <v>0</v>
      </c>
      <c r="Y3015">
        <v>62720</v>
      </c>
    </row>
    <row r="3016" spans="1:25" ht="15" hidden="1" customHeight="1" x14ac:dyDescent="0.25">
      <c r="A3016" s="1" t="s">
        <v>37</v>
      </c>
      <c r="B3016" s="1" t="s">
        <v>82</v>
      </c>
      <c r="C3016" s="1" t="s">
        <v>198</v>
      </c>
      <c r="D3016">
        <v>6369</v>
      </c>
      <c r="E3016" s="1"/>
      <c r="F3016" s="1" t="s">
        <v>333</v>
      </c>
      <c r="G3016" s="1" t="s">
        <v>334</v>
      </c>
      <c r="H3016" s="1" t="s">
        <v>1405</v>
      </c>
      <c r="I3016">
        <v>2012</v>
      </c>
      <c r="J3016" s="93">
        <v>11.65</v>
      </c>
      <c r="K3016">
        <v>12</v>
      </c>
      <c r="L3016" s="1" t="s">
        <v>399</v>
      </c>
      <c r="M3016">
        <v>0</v>
      </c>
      <c r="N3016">
        <v>110</v>
      </c>
      <c r="O3016">
        <v>0.105812</v>
      </c>
      <c r="P3016">
        <v>3</v>
      </c>
      <c r="Q3016" s="1" t="s">
        <v>560</v>
      </c>
      <c r="R3016" s="93">
        <v>11.65</v>
      </c>
      <c r="S3016">
        <v>9.33</v>
      </c>
      <c r="T3016">
        <v>0</v>
      </c>
      <c r="U3016" s="1" t="s">
        <v>689</v>
      </c>
      <c r="V3016" s="1"/>
      <c r="W3016">
        <v>11.656000000000001</v>
      </c>
      <c r="X3016">
        <v>0</v>
      </c>
      <c r="Y3016">
        <v>62720</v>
      </c>
    </row>
    <row r="3017" spans="1:25" ht="15" hidden="1" customHeight="1" x14ac:dyDescent="0.25">
      <c r="A3017" s="1" t="s">
        <v>37</v>
      </c>
      <c r="B3017" s="1" t="s">
        <v>82</v>
      </c>
      <c r="C3017" s="1" t="s">
        <v>198</v>
      </c>
      <c r="D3017">
        <v>6369</v>
      </c>
      <c r="E3017" s="1"/>
      <c r="F3017" s="1" t="s">
        <v>333</v>
      </c>
      <c r="G3017" s="1" t="s">
        <v>334</v>
      </c>
      <c r="H3017" s="1" t="s">
        <v>1405</v>
      </c>
      <c r="I3017">
        <v>2011</v>
      </c>
      <c r="J3017" s="93">
        <v>13.88</v>
      </c>
      <c r="K3017">
        <v>5</v>
      </c>
      <c r="L3017" s="1" t="s">
        <v>399</v>
      </c>
      <c r="M3017">
        <v>0</v>
      </c>
      <c r="N3017">
        <v>110</v>
      </c>
      <c r="O3017">
        <v>0.12606700000000001</v>
      </c>
      <c r="P3017">
        <v>3</v>
      </c>
      <c r="Q3017" s="1" t="s">
        <v>560</v>
      </c>
      <c r="R3017" s="93">
        <v>13.88</v>
      </c>
      <c r="S3017">
        <v>11.1</v>
      </c>
      <c r="T3017">
        <v>0</v>
      </c>
      <c r="U3017" s="1" t="s">
        <v>689</v>
      </c>
      <c r="V3017" s="1"/>
      <c r="W3017">
        <v>13.8718</v>
      </c>
      <c r="X3017">
        <v>0</v>
      </c>
      <c r="Y3017">
        <v>62720</v>
      </c>
    </row>
    <row r="3018" spans="1:25" ht="15" hidden="1" customHeight="1" x14ac:dyDescent="0.25">
      <c r="A3018" s="1" t="s">
        <v>37</v>
      </c>
      <c r="B3018" s="1" t="s">
        <v>82</v>
      </c>
      <c r="C3018" s="1" t="s">
        <v>198</v>
      </c>
      <c r="D3018">
        <v>6369</v>
      </c>
      <c r="E3018" s="1"/>
      <c r="F3018" s="1" t="s">
        <v>333</v>
      </c>
      <c r="G3018" s="1" t="s">
        <v>334</v>
      </c>
      <c r="H3018" s="1" t="s">
        <v>1405</v>
      </c>
      <c r="I3018">
        <v>2010</v>
      </c>
      <c r="J3018" s="93">
        <v>6.14</v>
      </c>
      <c r="K3018">
        <v>3</v>
      </c>
      <c r="L3018" s="1" t="s">
        <v>399</v>
      </c>
      <c r="M3018">
        <v>0</v>
      </c>
      <c r="N3018">
        <v>110</v>
      </c>
      <c r="O3018">
        <v>5.5766999999999997E-2</v>
      </c>
      <c r="P3018">
        <v>3</v>
      </c>
      <c r="Q3018" s="1" t="s">
        <v>560</v>
      </c>
      <c r="R3018" s="93">
        <v>6.14</v>
      </c>
      <c r="S3018">
        <v>4.8899999999999997</v>
      </c>
      <c r="T3018">
        <v>0</v>
      </c>
      <c r="U3018" s="1" t="s">
        <v>689</v>
      </c>
      <c r="V3018" s="1"/>
      <c r="W3018">
        <v>6.1281999999999996</v>
      </c>
      <c r="X3018">
        <v>0</v>
      </c>
      <c r="Y3018">
        <v>62720</v>
      </c>
    </row>
    <row r="3019" spans="1:25" ht="15" hidden="1" customHeight="1" x14ac:dyDescent="0.25">
      <c r="A3019" s="1" t="s">
        <v>37</v>
      </c>
      <c r="B3019" s="1" t="s">
        <v>82</v>
      </c>
      <c r="C3019" s="1" t="s">
        <v>198</v>
      </c>
      <c r="D3019">
        <v>6369</v>
      </c>
      <c r="E3019" s="1"/>
      <c r="F3019" s="1" t="s">
        <v>333</v>
      </c>
      <c r="G3019" s="1" t="s">
        <v>334</v>
      </c>
      <c r="H3019" s="1" t="s">
        <v>1405</v>
      </c>
      <c r="I3019">
        <v>2009</v>
      </c>
      <c r="J3019" s="93">
        <v>54</v>
      </c>
      <c r="K3019">
        <v>3</v>
      </c>
      <c r="L3019" s="1" t="s">
        <v>399</v>
      </c>
      <c r="M3019">
        <v>0</v>
      </c>
      <c r="N3019">
        <v>110</v>
      </c>
      <c r="O3019">
        <v>0.49046299999999998</v>
      </c>
      <c r="P3019">
        <v>3</v>
      </c>
      <c r="Q3019" s="1" t="s">
        <v>560</v>
      </c>
      <c r="R3019" s="93">
        <v>54</v>
      </c>
      <c r="S3019">
        <v>43.2</v>
      </c>
      <c r="T3019">
        <v>0</v>
      </c>
      <c r="U3019" s="1" t="s">
        <v>689</v>
      </c>
      <c r="V3019" s="1"/>
      <c r="W3019">
        <v>54</v>
      </c>
      <c r="X3019">
        <v>0</v>
      </c>
      <c r="Y3019">
        <v>62720</v>
      </c>
    </row>
    <row r="3020" spans="1:25" ht="15" hidden="1" customHeight="1" x14ac:dyDescent="0.25">
      <c r="A3020" s="1" t="s">
        <v>37</v>
      </c>
      <c r="B3020" s="1" t="s">
        <v>82</v>
      </c>
      <c r="C3020" s="1" t="s">
        <v>198</v>
      </c>
      <c r="D3020">
        <v>6369</v>
      </c>
      <c r="E3020" s="1"/>
      <c r="F3020" s="1" t="s">
        <v>333</v>
      </c>
      <c r="G3020" s="1" t="s">
        <v>334</v>
      </c>
      <c r="H3020" s="1" t="s">
        <v>1405</v>
      </c>
      <c r="I3020">
        <v>2008</v>
      </c>
      <c r="J3020" s="93">
        <v>13.25</v>
      </c>
      <c r="K3020">
        <v>10</v>
      </c>
      <c r="L3020" s="1" t="s">
        <v>399</v>
      </c>
      <c r="M3020">
        <v>0</v>
      </c>
      <c r="N3020">
        <v>110</v>
      </c>
      <c r="O3020">
        <v>0.12034499999999999</v>
      </c>
      <c r="P3020">
        <v>3</v>
      </c>
      <c r="Q3020" s="1" t="s">
        <v>560</v>
      </c>
      <c r="R3020" s="93">
        <v>13.25</v>
      </c>
      <c r="S3020">
        <v>10.6</v>
      </c>
      <c r="T3020">
        <v>0</v>
      </c>
      <c r="U3020" s="1" t="s">
        <v>689</v>
      </c>
      <c r="V3020" s="1"/>
      <c r="W3020">
        <v>13.24999</v>
      </c>
      <c r="X3020">
        <v>0</v>
      </c>
      <c r="Y3020">
        <v>62720</v>
      </c>
    </row>
    <row r="3021" spans="1:25" ht="15" hidden="1" customHeight="1" x14ac:dyDescent="0.25">
      <c r="A3021" s="1" t="s">
        <v>37</v>
      </c>
      <c r="B3021" s="1" t="s">
        <v>82</v>
      </c>
      <c r="C3021" s="1" t="s">
        <v>199</v>
      </c>
      <c r="D3021">
        <v>5474</v>
      </c>
      <c r="E3021" s="1"/>
      <c r="F3021" s="1" t="s">
        <v>334</v>
      </c>
      <c r="G3021" s="1" t="s">
        <v>334</v>
      </c>
      <c r="H3021" s="1" t="s">
        <v>1405</v>
      </c>
      <c r="I3021">
        <v>2015</v>
      </c>
      <c r="J3021" s="93">
        <v>1619</v>
      </c>
      <c r="K3021">
        <v>5</v>
      </c>
      <c r="L3021" s="1" t="s">
        <v>393</v>
      </c>
      <c r="M3021">
        <v>0</v>
      </c>
      <c r="N3021">
        <v>10600</v>
      </c>
      <c r="O3021">
        <v>6.9767999999999997E-2</v>
      </c>
      <c r="P3021">
        <v>3</v>
      </c>
      <c r="Q3021" s="1" t="s">
        <v>560</v>
      </c>
      <c r="R3021" s="93">
        <v>739.55</v>
      </c>
      <c r="S3021">
        <v>591.64</v>
      </c>
      <c r="T3021">
        <v>0</v>
      </c>
      <c r="U3021" s="1" t="s">
        <v>690</v>
      </c>
      <c r="V3021" s="1"/>
      <c r="W3021">
        <v>739.55</v>
      </c>
      <c r="X3021">
        <v>0</v>
      </c>
      <c r="Y3021">
        <v>57911</v>
      </c>
    </row>
    <row r="3022" spans="1:25" ht="15" hidden="1" customHeight="1" x14ac:dyDescent="0.25">
      <c r="A3022" s="1" t="s">
        <v>37</v>
      </c>
      <c r="B3022" s="1" t="s">
        <v>82</v>
      </c>
      <c r="C3022" s="1" t="s">
        <v>199</v>
      </c>
      <c r="D3022">
        <v>5474</v>
      </c>
      <c r="E3022" s="1"/>
      <c r="F3022" s="1" t="s">
        <v>334</v>
      </c>
      <c r="G3022" s="1" t="s">
        <v>334</v>
      </c>
      <c r="H3022" s="1" t="s">
        <v>1405</v>
      </c>
      <c r="I3022">
        <v>2015</v>
      </c>
      <c r="J3022" s="93">
        <v>0</v>
      </c>
      <c r="K3022">
        <v>5</v>
      </c>
      <c r="L3022" s="1" t="s">
        <v>402</v>
      </c>
      <c r="M3022">
        <v>0</v>
      </c>
      <c r="N3022">
        <v>10600</v>
      </c>
      <c r="O3022">
        <v>1.2253E-2</v>
      </c>
      <c r="P3022">
        <v>3</v>
      </c>
      <c r="Q3022" s="1" t="s">
        <v>560</v>
      </c>
      <c r="R3022" s="93">
        <v>129.88999999999999</v>
      </c>
      <c r="S3022">
        <v>0</v>
      </c>
      <c r="T3022">
        <v>1</v>
      </c>
      <c r="U3022" s="1" t="s">
        <v>588</v>
      </c>
      <c r="V3022" s="1"/>
      <c r="W3022">
        <v>129.88999999999999</v>
      </c>
      <c r="X3022">
        <v>0</v>
      </c>
      <c r="Y3022">
        <v>58235</v>
      </c>
    </row>
    <row r="3023" spans="1:25" ht="15" hidden="1" customHeight="1" x14ac:dyDescent="0.25">
      <c r="A3023" s="1" t="s">
        <v>37</v>
      </c>
      <c r="B3023" s="1" t="s">
        <v>82</v>
      </c>
      <c r="C3023" s="1" t="s">
        <v>199</v>
      </c>
      <c r="D3023">
        <v>5474</v>
      </c>
      <c r="E3023" s="1"/>
      <c r="F3023" s="1" t="s">
        <v>334</v>
      </c>
      <c r="G3023" s="1" t="s">
        <v>334</v>
      </c>
      <c r="H3023" s="1" t="s">
        <v>1405</v>
      </c>
      <c r="I3023">
        <v>2013</v>
      </c>
      <c r="J3023" s="93">
        <v>1351.56</v>
      </c>
      <c r="K3023">
        <v>12</v>
      </c>
      <c r="L3023" s="1" t="s">
        <v>393</v>
      </c>
      <c r="M3023">
        <v>0</v>
      </c>
      <c r="N3023">
        <v>10600</v>
      </c>
      <c r="O3023">
        <v>0.12750400000000001</v>
      </c>
      <c r="P3023">
        <v>3</v>
      </c>
      <c r="Q3023" s="1" t="s">
        <v>560</v>
      </c>
      <c r="R3023" s="93">
        <v>1351.56</v>
      </c>
      <c r="S3023">
        <v>1081.25</v>
      </c>
      <c r="T3023">
        <v>0</v>
      </c>
      <c r="U3023" s="1" t="s">
        <v>690</v>
      </c>
      <c r="V3023" s="1"/>
      <c r="W3023">
        <v>1351.56</v>
      </c>
      <c r="X3023">
        <v>0</v>
      </c>
      <c r="Y3023">
        <v>57911</v>
      </c>
    </row>
    <row r="3024" spans="1:25" ht="15" hidden="1" customHeight="1" x14ac:dyDescent="0.25">
      <c r="A3024" s="1" t="s">
        <v>37</v>
      </c>
      <c r="B3024" s="1" t="s">
        <v>82</v>
      </c>
      <c r="C3024" s="1" t="s">
        <v>199</v>
      </c>
      <c r="D3024">
        <v>5474</v>
      </c>
      <c r="E3024" s="1"/>
      <c r="F3024" s="1" t="s">
        <v>334</v>
      </c>
      <c r="G3024" s="1" t="s">
        <v>334</v>
      </c>
      <c r="H3024" s="1" t="s">
        <v>1405</v>
      </c>
      <c r="I3024">
        <v>2013</v>
      </c>
      <c r="J3024" s="93">
        <v>294.49</v>
      </c>
      <c r="K3024">
        <v>12</v>
      </c>
      <c r="L3024" s="1" t="s">
        <v>402</v>
      </c>
      <c r="M3024">
        <v>0</v>
      </c>
      <c r="N3024">
        <v>10600</v>
      </c>
      <c r="O3024">
        <v>2.7781E-2</v>
      </c>
      <c r="P3024">
        <v>3</v>
      </c>
      <c r="Q3024" s="1" t="s">
        <v>560</v>
      </c>
      <c r="R3024" s="93">
        <v>294.49</v>
      </c>
      <c r="S3024">
        <v>0</v>
      </c>
      <c r="T3024">
        <v>1</v>
      </c>
      <c r="U3024" s="1" t="s">
        <v>588</v>
      </c>
      <c r="V3024" s="1"/>
      <c r="W3024">
        <v>294.49</v>
      </c>
      <c r="X3024">
        <v>0</v>
      </c>
      <c r="Y3024">
        <v>58235</v>
      </c>
    </row>
    <row r="3025" spans="1:25" ht="15" hidden="1" customHeight="1" x14ac:dyDescent="0.25">
      <c r="A3025" s="1" t="s">
        <v>37</v>
      </c>
      <c r="B3025" s="1" t="s">
        <v>82</v>
      </c>
      <c r="C3025" s="1" t="s">
        <v>199</v>
      </c>
      <c r="D3025">
        <v>5474</v>
      </c>
      <c r="E3025" s="1"/>
      <c r="F3025" s="1" t="s">
        <v>334</v>
      </c>
      <c r="G3025" s="1" t="s">
        <v>334</v>
      </c>
      <c r="H3025" s="1" t="s">
        <v>1405</v>
      </c>
      <c r="I3025">
        <v>2012</v>
      </c>
      <c r="J3025" s="93">
        <v>1352.45</v>
      </c>
      <c r="K3025">
        <v>12</v>
      </c>
      <c r="L3025" s="1" t="s">
        <v>393</v>
      </c>
      <c r="M3025">
        <v>0</v>
      </c>
      <c r="N3025">
        <v>10600</v>
      </c>
      <c r="O3025">
        <v>0.12758800000000001</v>
      </c>
      <c r="P3025">
        <v>3</v>
      </c>
      <c r="Q3025" s="1" t="s">
        <v>560</v>
      </c>
      <c r="R3025" s="93">
        <v>1352.45</v>
      </c>
      <c r="S3025">
        <v>1081.96</v>
      </c>
      <c r="T3025">
        <v>0</v>
      </c>
      <c r="U3025" s="1" t="s">
        <v>690</v>
      </c>
      <c r="V3025" s="1"/>
      <c r="W3025">
        <v>1352.45</v>
      </c>
      <c r="X3025">
        <v>0</v>
      </c>
      <c r="Y3025">
        <v>57911</v>
      </c>
    </row>
    <row r="3026" spans="1:25" ht="15" hidden="1" customHeight="1" x14ac:dyDescent="0.25">
      <c r="A3026" s="1" t="s">
        <v>37</v>
      </c>
      <c r="B3026" s="1" t="s">
        <v>82</v>
      </c>
      <c r="C3026" s="1" t="s">
        <v>199</v>
      </c>
      <c r="D3026">
        <v>5474</v>
      </c>
      <c r="E3026" s="1"/>
      <c r="F3026" s="1" t="s">
        <v>334</v>
      </c>
      <c r="G3026" s="1" t="s">
        <v>334</v>
      </c>
      <c r="H3026" s="1" t="s">
        <v>1405</v>
      </c>
      <c r="I3026">
        <v>2012</v>
      </c>
      <c r="J3026" s="93">
        <v>286.47000000000003</v>
      </c>
      <c r="K3026">
        <v>12</v>
      </c>
      <c r="L3026" s="1" t="s">
        <v>402</v>
      </c>
      <c r="M3026">
        <v>0</v>
      </c>
      <c r="N3026">
        <v>10600</v>
      </c>
      <c r="O3026">
        <v>2.7025E-2</v>
      </c>
      <c r="P3026">
        <v>3</v>
      </c>
      <c r="Q3026" s="1" t="s">
        <v>560</v>
      </c>
      <c r="R3026" s="93">
        <v>286.47000000000003</v>
      </c>
      <c r="S3026">
        <v>0</v>
      </c>
      <c r="T3026">
        <v>1</v>
      </c>
      <c r="U3026" s="1" t="s">
        <v>588</v>
      </c>
      <c r="V3026" s="1"/>
      <c r="W3026">
        <v>286.47000000000003</v>
      </c>
      <c r="X3026">
        <v>0</v>
      </c>
      <c r="Y3026">
        <v>58235</v>
      </c>
    </row>
    <row r="3027" spans="1:25" ht="15" hidden="1" customHeight="1" x14ac:dyDescent="0.25">
      <c r="A3027" s="1" t="s">
        <v>37</v>
      </c>
      <c r="B3027" s="1" t="s">
        <v>82</v>
      </c>
      <c r="C3027" s="1" t="s">
        <v>199</v>
      </c>
      <c r="D3027">
        <v>5474</v>
      </c>
      <c r="E3027" s="1"/>
      <c r="F3027" s="1" t="s">
        <v>334</v>
      </c>
      <c r="G3027" s="1" t="s">
        <v>334</v>
      </c>
      <c r="H3027" s="1" t="s">
        <v>1405</v>
      </c>
      <c r="I3027">
        <v>2011</v>
      </c>
      <c r="J3027" s="93">
        <v>1339.23</v>
      </c>
      <c r="K3027">
        <v>12</v>
      </c>
      <c r="L3027" s="1" t="s">
        <v>393</v>
      </c>
      <c r="M3027">
        <v>0</v>
      </c>
      <c r="N3027">
        <v>10600</v>
      </c>
      <c r="O3027">
        <v>0.12634100000000001</v>
      </c>
      <c r="P3027">
        <v>3</v>
      </c>
      <c r="Q3027" s="1" t="s">
        <v>560</v>
      </c>
      <c r="R3027" s="93">
        <v>1339.23</v>
      </c>
      <c r="S3027">
        <v>1071.3800000000001</v>
      </c>
      <c r="T3027">
        <v>0</v>
      </c>
      <c r="U3027" s="1" t="s">
        <v>690</v>
      </c>
      <c r="V3027" s="1"/>
      <c r="W3027">
        <v>1339.23</v>
      </c>
      <c r="X3027">
        <v>0</v>
      </c>
      <c r="Y3027">
        <v>57911</v>
      </c>
    </row>
    <row r="3028" spans="1:25" ht="15" hidden="1" customHeight="1" x14ac:dyDescent="0.25">
      <c r="A3028" s="1" t="s">
        <v>37</v>
      </c>
      <c r="B3028" s="1" t="s">
        <v>82</v>
      </c>
      <c r="C3028" s="1" t="s">
        <v>199</v>
      </c>
      <c r="D3028">
        <v>5474</v>
      </c>
      <c r="E3028" s="1"/>
      <c r="F3028" s="1" t="s">
        <v>334</v>
      </c>
      <c r="G3028" s="1" t="s">
        <v>334</v>
      </c>
      <c r="H3028" s="1" t="s">
        <v>1405</v>
      </c>
      <c r="I3028">
        <v>2011</v>
      </c>
      <c r="J3028" s="93">
        <v>286.44</v>
      </c>
      <c r="K3028">
        <v>12</v>
      </c>
      <c r="L3028" s="1" t="s">
        <v>402</v>
      </c>
      <c r="M3028">
        <v>0</v>
      </c>
      <c r="N3028">
        <v>10600</v>
      </c>
      <c r="O3028">
        <v>2.7022000000000001E-2</v>
      </c>
      <c r="P3028">
        <v>3</v>
      </c>
      <c r="Q3028" s="1" t="s">
        <v>560</v>
      </c>
      <c r="R3028" s="93">
        <v>286.44</v>
      </c>
      <c r="S3028">
        <v>0</v>
      </c>
      <c r="T3028">
        <v>1</v>
      </c>
      <c r="U3028" s="1" t="s">
        <v>588</v>
      </c>
      <c r="V3028" s="1"/>
      <c r="W3028">
        <v>286.44</v>
      </c>
      <c r="X3028">
        <v>0</v>
      </c>
      <c r="Y3028">
        <v>58235</v>
      </c>
    </row>
    <row r="3029" spans="1:25" ht="15" hidden="1" customHeight="1" x14ac:dyDescent="0.25">
      <c r="A3029" s="1" t="s">
        <v>37</v>
      </c>
      <c r="B3029" s="1" t="s">
        <v>82</v>
      </c>
      <c r="C3029" s="1" t="s">
        <v>199</v>
      </c>
      <c r="D3029">
        <v>5474</v>
      </c>
      <c r="E3029" s="1"/>
      <c r="F3029" s="1" t="s">
        <v>334</v>
      </c>
      <c r="G3029" s="1" t="s">
        <v>334</v>
      </c>
      <c r="H3029" s="1" t="s">
        <v>1405</v>
      </c>
      <c r="I3029">
        <v>2010</v>
      </c>
      <c r="J3029" s="93">
        <v>1400.89</v>
      </c>
      <c r="K3029">
        <v>12</v>
      </c>
      <c r="L3029" s="1" t="s">
        <v>393</v>
      </c>
      <c r="M3029">
        <v>0</v>
      </c>
      <c r="N3029">
        <v>10600</v>
      </c>
      <c r="O3029">
        <v>0.132158</v>
      </c>
      <c r="P3029">
        <v>3</v>
      </c>
      <c r="Q3029" s="1" t="s">
        <v>560</v>
      </c>
      <c r="R3029" s="93">
        <v>1400.89</v>
      </c>
      <c r="S3029">
        <v>1120.71</v>
      </c>
      <c r="T3029">
        <v>0</v>
      </c>
      <c r="U3029" s="1" t="s">
        <v>690</v>
      </c>
      <c r="V3029" s="1"/>
      <c r="W3029">
        <v>1400.89</v>
      </c>
      <c r="X3029">
        <v>0</v>
      </c>
      <c r="Y3029">
        <v>57911</v>
      </c>
    </row>
    <row r="3030" spans="1:25" ht="15" hidden="1" customHeight="1" x14ac:dyDescent="0.25">
      <c r="A3030" s="1" t="s">
        <v>37</v>
      </c>
      <c r="B3030" s="1" t="s">
        <v>82</v>
      </c>
      <c r="C3030" s="1" t="s">
        <v>199</v>
      </c>
      <c r="D3030">
        <v>5474</v>
      </c>
      <c r="E3030" s="1"/>
      <c r="F3030" s="1" t="s">
        <v>334</v>
      </c>
      <c r="G3030" s="1" t="s">
        <v>334</v>
      </c>
      <c r="H3030" s="1" t="s">
        <v>1405</v>
      </c>
      <c r="I3030">
        <v>2010</v>
      </c>
      <c r="J3030" s="93">
        <v>444.44</v>
      </c>
      <c r="K3030">
        <v>12</v>
      </c>
      <c r="L3030" s="1" t="s">
        <v>402</v>
      </c>
      <c r="M3030">
        <v>0</v>
      </c>
      <c r="N3030">
        <v>10600</v>
      </c>
      <c r="O3030">
        <v>4.1926999999999999E-2</v>
      </c>
      <c r="P3030">
        <v>3</v>
      </c>
      <c r="Q3030" s="1" t="s">
        <v>560</v>
      </c>
      <c r="R3030" s="93">
        <v>444.44</v>
      </c>
      <c r="S3030">
        <v>0</v>
      </c>
      <c r="T3030">
        <v>1</v>
      </c>
      <c r="U3030" s="1" t="s">
        <v>588</v>
      </c>
      <c r="V3030" s="1"/>
      <c r="W3030">
        <v>444.44</v>
      </c>
      <c r="X3030">
        <v>0</v>
      </c>
      <c r="Y3030">
        <v>58235</v>
      </c>
    </row>
    <row r="3031" spans="1:25" ht="15" hidden="1" customHeight="1" x14ac:dyDescent="0.25">
      <c r="A3031" s="1" t="s">
        <v>37</v>
      </c>
      <c r="B3031" s="1" t="s">
        <v>82</v>
      </c>
      <c r="C3031" s="1" t="s">
        <v>199</v>
      </c>
      <c r="D3031">
        <v>5474</v>
      </c>
      <c r="E3031" s="1"/>
      <c r="F3031" s="1" t="s">
        <v>334</v>
      </c>
      <c r="G3031" s="1" t="s">
        <v>334</v>
      </c>
      <c r="H3031" s="1" t="s">
        <v>1405</v>
      </c>
      <c r="I3031">
        <v>2009</v>
      </c>
      <c r="J3031" s="93">
        <v>1539.18</v>
      </c>
      <c r="K3031">
        <v>12</v>
      </c>
      <c r="L3031" s="1" t="s">
        <v>393</v>
      </c>
      <c r="M3031">
        <v>0</v>
      </c>
      <c r="N3031">
        <v>10600</v>
      </c>
      <c r="O3031">
        <v>0.145204</v>
      </c>
      <c r="P3031">
        <v>3</v>
      </c>
      <c r="Q3031" s="1" t="s">
        <v>560</v>
      </c>
      <c r="R3031" s="93">
        <v>1539.18</v>
      </c>
      <c r="S3031">
        <v>1231.3399999999999</v>
      </c>
      <c r="T3031">
        <v>0</v>
      </c>
      <c r="U3031" s="1" t="s">
        <v>690</v>
      </c>
      <c r="V3031" s="1"/>
      <c r="W3031">
        <v>1539.18</v>
      </c>
      <c r="X3031">
        <v>0</v>
      </c>
      <c r="Y3031">
        <v>57911</v>
      </c>
    </row>
    <row r="3032" spans="1:25" ht="15" hidden="1" customHeight="1" x14ac:dyDescent="0.25">
      <c r="A3032" s="1" t="s">
        <v>37</v>
      </c>
      <c r="B3032" s="1" t="s">
        <v>82</v>
      </c>
      <c r="C3032" s="1" t="s">
        <v>199</v>
      </c>
      <c r="D3032">
        <v>5474</v>
      </c>
      <c r="E3032" s="1"/>
      <c r="F3032" s="1" t="s">
        <v>334</v>
      </c>
      <c r="G3032" s="1" t="s">
        <v>334</v>
      </c>
      <c r="H3032" s="1" t="s">
        <v>1405</v>
      </c>
      <c r="I3032">
        <v>2009</v>
      </c>
      <c r="J3032" s="93">
        <v>456.52</v>
      </c>
      <c r="K3032">
        <v>12</v>
      </c>
      <c r="L3032" s="1" t="s">
        <v>402</v>
      </c>
      <c r="M3032">
        <v>0</v>
      </c>
      <c r="N3032">
        <v>10600</v>
      </c>
      <c r="O3032">
        <v>4.3067000000000001E-2</v>
      </c>
      <c r="P3032">
        <v>3</v>
      </c>
      <c r="Q3032" s="1" t="s">
        <v>560</v>
      </c>
      <c r="R3032" s="93">
        <v>456.52</v>
      </c>
      <c r="S3032">
        <v>0</v>
      </c>
      <c r="T3032">
        <v>1</v>
      </c>
      <c r="U3032" s="1" t="s">
        <v>588</v>
      </c>
      <c r="V3032" s="1"/>
      <c r="W3032">
        <v>456.52</v>
      </c>
      <c r="X3032">
        <v>0</v>
      </c>
      <c r="Y3032">
        <v>58235</v>
      </c>
    </row>
    <row r="3033" spans="1:25" ht="15" hidden="1" customHeight="1" x14ac:dyDescent="0.25">
      <c r="A3033" s="1" t="s">
        <v>37</v>
      </c>
      <c r="B3033" s="1" t="s">
        <v>82</v>
      </c>
      <c r="C3033" s="1" t="s">
        <v>199</v>
      </c>
      <c r="D3033">
        <v>5474</v>
      </c>
      <c r="E3033" s="1"/>
      <c r="F3033" s="1" t="s">
        <v>334</v>
      </c>
      <c r="G3033" s="1" t="s">
        <v>334</v>
      </c>
      <c r="H3033" s="1" t="s">
        <v>1405</v>
      </c>
      <c r="I3033">
        <v>2008</v>
      </c>
      <c r="J3033" s="93">
        <v>1967.75</v>
      </c>
      <c r="K3033">
        <v>12</v>
      </c>
      <c r="L3033" s="1" t="s">
        <v>393</v>
      </c>
      <c r="M3033">
        <v>0</v>
      </c>
      <c r="N3033">
        <v>10600</v>
      </c>
      <c r="O3033">
        <v>0.18563499999999999</v>
      </c>
      <c r="P3033">
        <v>3</v>
      </c>
      <c r="Q3033" s="1" t="s">
        <v>560</v>
      </c>
      <c r="R3033" s="93">
        <v>1967.75</v>
      </c>
      <c r="S3033">
        <v>1574.21</v>
      </c>
      <c r="T3033">
        <v>0</v>
      </c>
      <c r="U3033" s="1" t="s">
        <v>690</v>
      </c>
      <c r="V3033" s="1"/>
      <c r="W3033">
        <v>1967.75</v>
      </c>
      <c r="X3033">
        <v>0</v>
      </c>
      <c r="Y3033">
        <v>57911</v>
      </c>
    </row>
    <row r="3034" spans="1:25" ht="15" hidden="1" customHeight="1" x14ac:dyDescent="0.25">
      <c r="A3034" s="1" t="s">
        <v>37</v>
      </c>
      <c r="B3034" s="1" t="s">
        <v>82</v>
      </c>
      <c r="C3034" s="1" t="s">
        <v>199</v>
      </c>
      <c r="D3034">
        <v>5474</v>
      </c>
      <c r="E3034" s="1"/>
      <c r="F3034" s="1" t="s">
        <v>334</v>
      </c>
      <c r="G3034" s="1" t="s">
        <v>334</v>
      </c>
      <c r="H3034" s="1" t="s">
        <v>1405</v>
      </c>
      <c r="I3034">
        <v>2008</v>
      </c>
      <c r="J3034" s="93">
        <v>397.2</v>
      </c>
      <c r="K3034">
        <v>12</v>
      </c>
      <c r="L3034" s="1" t="s">
        <v>402</v>
      </c>
      <c r="M3034">
        <v>0</v>
      </c>
      <c r="N3034">
        <v>10600</v>
      </c>
      <c r="O3034">
        <v>3.7470999999999997E-2</v>
      </c>
      <c r="P3034">
        <v>3</v>
      </c>
      <c r="Q3034" s="1" t="s">
        <v>560</v>
      </c>
      <c r="R3034" s="93">
        <v>397.2</v>
      </c>
      <c r="S3034">
        <v>0</v>
      </c>
      <c r="T3034">
        <v>1</v>
      </c>
      <c r="U3034" s="1" t="s">
        <v>588</v>
      </c>
      <c r="V3034" s="1"/>
      <c r="W3034">
        <v>397.2</v>
      </c>
      <c r="X3034">
        <v>0</v>
      </c>
      <c r="Y3034">
        <v>58235</v>
      </c>
    </row>
    <row r="3035" spans="1:25" ht="15" hidden="1" customHeight="1" x14ac:dyDescent="0.25">
      <c r="A3035" s="1" t="s">
        <v>37</v>
      </c>
      <c r="B3035" s="1" t="s">
        <v>66</v>
      </c>
      <c r="C3035" s="1" t="s">
        <v>200</v>
      </c>
      <c r="D3035">
        <v>5473</v>
      </c>
      <c r="E3035" s="1"/>
      <c r="F3035" s="1" t="s">
        <v>254</v>
      </c>
      <c r="G3035" s="1" t="s">
        <v>200</v>
      </c>
      <c r="H3035" s="1" t="s">
        <v>1396</v>
      </c>
      <c r="I3035">
        <v>2015</v>
      </c>
      <c r="J3035" s="93">
        <v>8.2899999999999991</v>
      </c>
      <c r="K3035">
        <v>5</v>
      </c>
      <c r="L3035" s="1"/>
      <c r="M3035">
        <v>0</v>
      </c>
      <c r="N3035">
        <v>0</v>
      </c>
      <c r="O3035">
        <v>82.9</v>
      </c>
      <c r="P3035">
        <v>3</v>
      </c>
      <c r="Q3035" s="1" t="s">
        <v>560</v>
      </c>
      <c r="R3035" s="93">
        <v>8.2899999999999991</v>
      </c>
      <c r="S3035">
        <v>6.63</v>
      </c>
      <c r="T3035">
        <v>1</v>
      </c>
      <c r="U3035" s="1" t="s">
        <v>685</v>
      </c>
      <c r="V3035" s="1"/>
      <c r="W3035">
        <v>8.2899999999999991</v>
      </c>
      <c r="X3035">
        <v>0</v>
      </c>
      <c r="Y3035">
        <v>57899</v>
      </c>
    </row>
    <row r="3036" spans="1:25" ht="15" hidden="1" customHeight="1" x14ac:dyDescent="0.25">
      <c r="A3036" s="1" t="s">
        <v>37</v>
      </c>
      <c r="B3036" s="1" t="s">
        <v>66</v>
      </c>
      <c r="C3036" s="1" t="s">
        <v>200</v>
      </c>
      <c r="D3036">
        <v>5473</v>
      </c>
      <c r="E3036" s="1"/>
      <c r="F3036" s="1" t="s">
        <v>254</v>
      </c>
      <c r="G3036" s="1" t="s">
        <v>200</v>
      </c>
      <c r="H3036" s="1" t="s">
        <v>1396</v>
      </c>
      <c r="I3036">
        <v>2015</v>
      </c>
      <c r="J3036" s="93">
        <v>36.35</v>
      </c>
      <c r="K3036">
        <v>5</v>
      </c>
      <c r="L3036" s="1"/>
      <c r="M3036">
        <v>0</v>
      </c>
      <c r="N3036">
        <v>0</v>
      </c>
      <c r="O3036">
        <v>363.5</v>
      </c>
      <c r="P3036">
        <v>3</v>
      </c>
      <c r="Q3036" s="1" t="s">
        <v>560</v>
      </c>
      <c r="R3036" s="93">
        <v>36.35</v>
      </c>
      <c r="S3036">
        <v>29.08</v>
      </c>
      <c r="T3036">
        <v>1</v>
      </c>
      <c r="U3036" s="1" t="s">
        <v>691</v>
      </c>
      <c r="V3036" s="1"/>
      <c r="W3036">
        <v>36.35</v>
      </c>
      <c r="X3036">
        <v>0</v>
      </c>
      <c r="Y3036">
        <v>57900</v>
      </c>
    </row>
    <row r="3037" spans="1:25" ht="15" hidden="1" customHeight="1" x14ac:dyDescent="0.25">
      <c r="A3037" s="1" t="s">
        <v>37</v>
      </c>
      <c r="B3037" s="1" t="s">
        <v>66</v>
      </c>
      <c r="C3037" s="1" t="s">
        <v>200</v>
      </c>
      <c r="D3037">
        <v>5473</v>
      </c>
      <c r="E3037" s="1"/>
      <c r="F3037" s="1" t="s">
        <v>254</v>
      </c>
      <c r="G3037" s="1" t="s">
        <v>200</v>
      </c>
      <c r="H3037" s="1" t="s">
        <v>1396</v>
      </c>
      <c r="I3037">
        <v>2013</v>
      </c>
      <c r="J3037" s="93">
        <v>23.97</v>
      </c>
      <c r="K3037">
        <v>12</v>
      </c>
      <c r="L3037" s="1"/>
      <c r="M3037">
        <v>0</v>
      </c>
      <c r="N3037">
        <v>0</v>
      </c>
      <c r="O3037">
        <v>239.7</v>
      </c>
      <c r="P3037">
        <v>3</v>
      </c>
      <c r="Q3037" s="1" t="s">
        <v>560</v>
      </c>
      <c r="R3037" s="93">
        <v>23.97</v>
      </c>
      <c r="S3037">
        <v>19.170000000000002</v>
      </c>
      <c r="T3037">
        <v>1</v>
      </c>
      <c r="U3037" s="1" t="s">
        <v>685</v>
      </c>
      <c r="V3037" s="1"/>
      <c r="W3037">
        <v>23.97</v>
      </c>
      <c r="X3037">
        <v>0</v>
      </c>
      <c r="Y3037">
        <v>57899</v>
      </c>
    </row>
    <row r="3038" spans="1:25" ht="15" hidden="1" customHeight="1" x14ac:dyDescent="0.25">
      <c r="A3038" s="1" t="s">
        <v>37</v>
      </c>
      <c r="B3038" s="1" t="s">
        <v>66</v>
      </c>
      <c r="C3038" s="1" t="s">
        <v>200</v>
      </c>
      <c r="D3038">
        <v>5473</v>
      </c>
      <c r="E3038" s="1"/>
      <c r="F3038" s="1" t="s">
        <v>254</v>
      </c>
      <c r="G3038" s="1" t="s">
        <v>200</v>
      </c>
      <c r="H3038" s="1" t="s">
        <v>1396</v>
      </c>
      <c r="I3038">
        <v>2013</v>
      </c>
      <c r="J3038" s="93">
        <v>85.06</v>
      </c>
      <c r="K3038">
        <v>12</v>
      </c>
      <c r="L3038" s="1"/>
      <c r="M3038">
        <v>0</v>
      </c>
      <c r="N3038">
        <v>0</v>
      </c>
      <c r="O3038">
        <v>850.6</v>
      </c>
      <c r="P3038">
        <v>3</v>
      </c>
      <c r="Q3038" s="1" t="s">
        <v>560</v>
      </c>
      <c r="R3038" s="93">
        <v>85.06</v>
      </c>
      <c r="S3038">
        <v>68.05</v>
      </c>
      <c r="T3038">
        <v>1</v>
      </c>
      <c r="U3038" s="1" t="s">
        <v>691</v>
      </c>
      <c r="V3038" s="1"/>
      <c r="W3038">
        <v>85.06</v>
      </c>
      <c r="X3038">
        <v>0</v>
      </c>
      <c r="Y3038">
        <v>57900</v>
      </c>
    </row>
    <row r="3039" spans="1:25" ht="15" hidden="1" customHeight="1" x14ac:dyDescent="0.25">
      <c r="A3039" s="1" t="s">
        <v>37</v>
      </c>
      <c r="B3039" s="1" t="s">
        <v>66</v>
      </c>
      <c r="C3039" s="1" t="s">
        <v>200</v>
      </c>
      <c r="D3039">
        <v>5473</v>
      </c>
      <c r="E3039" s="1"/>
      <c r="F3039" s="1" t="s">
        <v>254</v>
      </c>
      <c r="G3039" s="1" t="s">
        <v>200</v>
      </c>
      <c r="H3039" s="1" t="s">
        <v>1396</v>
      </c>
      <c r="I3039">
        <v>2012</v>
      </c>
      <c r="J3039" s="93">
        <v>22.66</v>
      </c>
      <c r="K3039">
        <v>12</v>
      </c>
      <c r="L3039" s="1"/>
      <c r="M3039">
        <v>0</v>
      </c>
      <c r="N3039">
        <v>0</v>
      </c>
      <c r="O3039">
        <v>226.6</v>
      </c>
      <c r="P3039">
        <v>3</v>
      </c>
      <c r="Q3039" s="1" t="s">
        <v>560</v>
      </c>
      <c r="R3039" s="93">
        <v>22.66</v>
      </c>
      <c r="S3039">
        <v>18.13</v>
      </c>
      <c r="T3039">
        <v>1</v>
      </c>
      <c r="U3039" s="1" t="s">
        <v>685</v>
      </c>
      <c r="V3039" s="1"/>
      <c r="W3039">
        <v>22.66</v>
      </c>
      <c r="X3039">
        <v>0</v>
      </c>
      <c r="Y3039">
        <v>57899</v>
      </c>
    </row>
    <row r="3040" spans="1:25" ht="15" hidden="1" customHeight="1" x14ac:dyDescent="0.25">
      <c r="A3040" s="1" t="s">
        <v>37</v>
      </c>
      <c r="B3040" s="1" t="s">
        <v>66</v>
      </c>
      <c r="C3040" s="1" t="s">
        <v>200</v>
      </c>
      <c r="D3040">
        <v>5473</v>
      </c>
      <c r="E3040" s="1"/>
      <c r="F3040" s="1" t="s">
        <v>254</v>
      </c>
      <c r="G3040" s="1" t="s">
        <v>200</v>
      </c>
      <c r="H3040" s="1" t="s">
        <v>1396</v>
      </c>
      <c r="I3040">
        <v>2012</v>
      </c>
      <c r="J3040" s="93">
        <v>65.819999999999993</v>
      </c>
      <c r="K3040">
        <v>12</v>
      </c>
      <c r="L3040" s="1"/>
      <c r="M3040">
        <v>0</v>
      </c>
      <c r="N3040">
        <v>0</v>
      </c>
      <c r="O3040">
        <v>658.2</v>
      </c>
      <c r="P3040">
        <v>3</v>
      </c>
      <c r="Q3040" s="1" t="s">
        <v>560</v>
      </c>
      <c r="R3040" s="93">
        <v>65.819999999999993</v>
      </c>
      <c r="S3040">
        <v>52.65</v>
      </c>
      <c r="T3040">
        <v>1</v>
      </c>
      <c r="U3040" s="1" t="s">
        <v>691</v>
      </c>
      <c r="V3040" s="1"/>
      <c r="W3040">
        <v>65.819999999999993</v>
      </c>
      <c r="X3040">
        <v>0</v>
      </c>
      <c r="Y3040">
        <v>57900</v>
      </c>
    </row>
    <row r="3041" spans="1:25" ht="15" hidden="1" customHeight="1" x14ac:dyDescent="0.25">
      <c r="A3041" s="1" t="s">
        <v>37</v>
      </c>
      <c r="B3041" s="1" t="s">
        <v>66</v>
      </c>
      <c r="C3041" s="1" t="s">
        <v>200</v>
      </c>
      <c r="D3041">
        <v>5473</v>
      </c>
      <c r="E3041" s="1"/>
      <c r="F3041" s="1" t="s">
        <v>254</v>
      </c>
      <c r="G3041" s="1" t="s">
        <v>200</v>
      </c>
      <c r="H3041" s="1" t="s">
        <v>1396</v>
      </c>
      <c r="I3041">
        <v>2011</v>
      </c>
      <c r="J3041" s="93">
        <v>19.63</v>
      </c>
      <c r="K3041">
        <v>12</v>
      </c>
      <c r="L3041" s="1"/>
      <c r="M3041">
        <v>0</v>
      </c>
      <c r="N3041">
        <v>0</v>
      </c>
      <c r="O3041">
        <v>196.3</v>
      </c>
      <c r="P3041">
        <v>3</v>
      </c>
      <c r="Q3041" s="1" t="s">
        <v>560</v>
      </c>
      <c r="R3041" s="93">
        <v>19.63</v>
      </c>
      <c r="S3041">
        <v>15.7</v>
      </c>
      <c r="T3041">
        <v>1</v>
      </c>
      <c r="U3041" s="1" t="s">
        <v>685</v>
      </c>
      <c r="V3041" s="1"/>
      <c r="W3041">
        <v>19.63</v>
      </c>
      <c r="X3041">
        <v>0</v>
      </c>
      <c r="Y3041">
        <v>57899</v>
      </c>
    </row>
    <row r="3042" spans="1:25" ht="15" hidden="1" customHeight="1" x14ac:dyDescent="0.25">
      <c r="A3042" s="1" t="s">
        <v>37</v>
      </c>
      <c r="B3042" s="1" t="s">
        <v>66</v>
      </c>
      <c r="C3042" s="1" t="s">
        <v>200</v>
      </c>
      <c r="D3042">
        <v>5473</v>
      </c>
      <c r="E3042" s="1"/>
      <c r="F3042" s="1" t="s">
        <v>254</v>
      </c>
      <c r="G3042" s="1" t="s">
        <v>200</v>
      </c>
      <c r="H3042" s="1" t="s">
        <v>1396</v>
      </c>
      <c r="I3042">
        <v>2011</v>
      </c>
      <c r="J3042" s="93">
        <v>53.09</v>
      </c>
      <c r="K3042">
        <v>12</v>
      </c>
      <c r="L3042" s="1"/>
      <c r="M3042">
        <v>0</v>
      </c>
      <c r="N3042">
        <v>0</v>
      </c>
      <c r="O3042">
        <v>530.9</v>
      </c>
      <c r="P3042">
        <v>3</v>
      </c>
      <c r="Q3042" s="1" t="s">
        <v>560</v>
      </c>
      <c r="R3042" s="93">
        <v>53.09</v>
      </c>
      <c r="S3042">
        <v>42.48</v>
      </c>
      <c r="T3042">
        <v>1</v>
      </c>
      <c r="U3042" s="1" t="s">
        <v>691</v>
      </c>
      <c r="V3042" s="1"/>
      <c r="W3042">
        <v>53.09</v>
      </c>
      <c r="X3042">
        <v>0</v>
      </c>
      <c r="Y3042">
        <v>57900</v>
      </c>
    </row>
    <row r="3043" spans="1:25" ht="15" hidden="1" customHeight="1" x14ac:dyDescent="0.25">
      <c r="A3043" s="1" t="s">
        <v>37</v>
      </c>
      <c r="B3043" s="1" t="s">
        <v>66</v>
      </c>
      <c r="C3043" s="1" t="s">
        <v>200</v>
      </c>
      <c r="D3043">
        <v>5473</v>
      </c>
      <c r="E3043" s="1"/>
      <c r="F3043" s="1" t="s">
        <v>254</v>
      </c>
      <c r="G3043" s="1" t="s">
        <v>200</v>
      </c>
      <c r="H3043" s="1" t="s">
        <v>1396</v>
      </c>
      <c r="I3043">
        <v>2010</v>
      </c>
      <c r="J3043" s="93">
        <v>25.35</v>
      </c>
      <c r="K3043">
        <v>12</v>
      </c>
      <c r="L3043" s="1"/>
      <c r="M3043">
        <v>0</v>
      </c>
      <c r="N3043">
        <v>0</v>
      </c>
      <c r="O3043">
        <v>253.5</v>
      </c>
      <c r="P3043">
        <v>3</v>
      </c>
      <c r="Q3043" s="1" t="s">
        <v>560</v>
      </c>
      <c r="R3043" s="93">
        <v>25.35</v>
      </c>
      <c r="S3043">
        <v>20.28</v>
      </c>
      <c r="T3043">
        <v>1</v>
      </c>
      <c r="U3043" s="1" t="s">
        <v>685</v>
      </c>
      <c r="V3043" s="1"/>
      <c r="W3043">
        <v>25.35</v>
      </c>
      <c r="X3043">
        <v>0</v>
      </c>
      <c r="Y3043">
        <v>57899</v>
      </c>
    </row>
    <row r="3044" spans="1:25" ht="15" hidden="1" customHeight="1" x14ac:dyDescent="0.25">
      <c r="A3044" s="1" t="s">
        <v>37</v>
      </c>
      <c r="B3044" s="1" t="s">
        <v>66</v>
      </c>
      <c r="C3044" s="1" t="s">
        <v>200</v>
      </c>
      <c r="D3044">
        <v>5473</v>
      </c>
      <c r="E3044" s="1"/>
      <c r="F3044" s="1" t="s">
        <v>254</v>
      </c>
      <c r="G3044" s="1" t="s">
        <v>200</v>
      </c>
      <c r="H3044" s="1" t="s">
        <v>1396</v>
      </c>
      <c r="I3044">
        <v>2010</v>
      </c>
      <c r="J3044" s="93">
        <v>101.06</v>
      </c>
      <c r="K3044">
        <v>12</v>
      </c>
      <c r="L3044" s="1"/>
      <c r="M3044">
        <v>0</v>
      </c>
      <c r="N3044">
        <v>0</v>
      </c>
      <c r="O3044">
        <v>1010.6</v>
      </c>
      <c r="P3044">
        <v>3</v>
      </c>
      <c r="Q3044" s="1" t="s">
        <v>560</v>
      </c>
      <c r="R3044" s="93">
        <v>101.06</v>
      </c>
      <c r="S3044">
        <v>80.849999999999994</v>
      </c>
      <c r="T3044">
        <v>1</v>
      </c>
      <c r="U3044" s="1" t="s">
        <v>691</v>
      </c>
      <c r="V3044" s="1"/>
      <c r="W3044">
        <v>101.06</v>
      </c>
      <c r="X3044">
        <v>0</v>
      </c>
      <c r="Y3044">
        <v>57900</v>
      </c>
    </row>
    <row r="3045" spans="1:25" ht="15" hidden="1" customHeight="1" x14ac:dyDescent="0.25">
      <c r="A3045" s="1" t="s">
        <v>37</v>
      </c>
      <c r="B3045" s="1" t="s">
        <v>66</v>
      </c>
      <c r="C3045" s="1" t="s">
        <v>200</v>
      </c>
      <c r="D3045">
        <v>5473</v>
      </c>
      <c r="E3045" s="1"/>
      <c r="F3045" s="1" t="s">
        <v>254</v>
      </c>
      <c r="G3045" s="1" t="s">
        <v>200</v>
      </c>
      <c r="H3045" s="1" t="s">
        <v>1396</v>
      </c>
      <c r="I3045">
        <v>2009</v>
      </c>
      <c r="J3045" s="93">
        <v>29.8</v>
      </c>
      <c r="K3045">
        <v>12</v>
      </c>
      <c r="L3045" s="1"/>
      <c r="M3045">
        <v>0</v>
      </c>
      <c r="N3045">
        <v>0</v>
      </c>
      <c r="O3045">
        <v>298</v>
      </c>
      <c r="P3045">
        <v>3</v>
      </c>
      <c r="Q3045" s="1" t="s">
        <v>560</v>
      </c>
      <c r="R3045" s="93">
        <v>29.8</v>
      </c>
      <c r="S3045">
        <v>23.85</v>
      </c>
      <c r="T3045">
        <v>1</v>
      </c>
      <c r="U3045" s="1" t="s">
        <v>685</v>
      </c>
      <c r="V3045" s="1"/>
      <c r="W3045">
        <v>29.8</v>
      </c>
      <c r="X3045">
        <v>0</v>
      </c>
      <c r="Y3045">
        <v>57899</v>
      </c>
    </row>
    <row r="3046" spans="1:25" ht="15" hidden="1" customHeight="1" x14ac:dyDescent="0.25">
      <c r="A3046" s="1" t="s">
        <v>37</v>
      </c>
      <c r="B3046" s="1" t="s">
        <v>66</v>
      </c>
      <c r="C3046" s="1" t="s">
        <v>200</v>
      </c>
      <c r="D3046">
        <v>5473</v>
      </c>
      <c r="E3046" s="1"/>
      <c r="F3046" s="1" t="s">
        <v>254</v>
      </c>
      <c r="G3046" s="1" t="s">
        <v>200</v>
      </c>
      <c r="H3046" s="1" t="s">
        <v>1396</v>
      </c>
      <c r="I3046">
        <v>2009</v>
      </c>
      <c r="J3046" s="93">
        <v>65.7</v>
      </c>
      <c r="K3046">
        <v>12</v>
      </c>
      <c r="L3046" s="1"/>
      <c r="M3046">
        <v>0</v>
      </c>
      <c r="N3046">
        <v>0</v>
      </c>
      <c r="O3046">
        <v>657</v>
      </c>
      <c r="P3046">
        <v>3</v>
      </c>
      <c r="Q3046" s="1" t="s">
        <v>560</v>
      </c>
      <c r="R3046" s="93">
        <v>65.7</v>
      </c>
      <c r="S3046">
        <v>52.56</v>
      </c>
      <c r="T3046">
        <v>1</v>
      </c>
      <c r="U3046" s="1" t="s">
        <v>691</v>
      </c>
      <c r="V3046" s="1"/>
      <c r="W3046">
        <v>65.7</v>
      </c>
      <c r="X3046">
        <v>0</v>
      </c>
      <c r="Y3046">
        <v>57900</v>
      </c>
    </row>
    <row r="3047" spans="1:25" ht="15" hidden="1" customHeight="1" x14ac:dyDescent="0.25">
      <c r="A3047" s="1" t="s">
        <v>37</v>
      </c>
      <c r="B3047" s="1" t="s">
        <v>66</v>
      </c>
      <c r="C3047" s="1" t="s">
        <v>200</v>
      </c>
      <c r="D3047">
        <v>5473</v>
      </c>
      <c r="E3047" s="1"/>
      <c r="F3047" s="1" t="s">
        <v>254</v>
      </c>
      <c r="G3047" s="1" t="s">
        <v>200</v>
      </c>
      <c r="H3047" s="1" t="s">
        <v>1396</v>
      </c>
      <c r="I3047">
        <v>2008</v>
      </c>
      <c r="J3047" s="93">
        <v>30.86</v>
      </c>
      <c r="K3047">
        <v>12</v>
      </c>
      <c r="L3047" s="1"/>
      <c r="M3047">
        <v>0</v>
      </c>
      <c r="N3047">
        <v>0</v>
      </c>
      <c r="O3047">
        <v>308.60000000000002</v>
      </c>
      <c r="P3047">
        <v>3</v>
      </c>
      <c r="Q3047" s="1" t="s">
        <v>560</v>
      </c>
      <c r="R3047" s="93">
        <v>30.86</v>
      </c>
      <c r="S3047">
        <v>24.69</v>
      </c>
      <c r="T3047">
        <v>1</v>
      </c>
      <c r="U3047" s="1" t="s">
        <v>685</v>
      </c>
      <c r="V3047" s="1"/>
      <c r="W3047">
        <v>30.86</v>
      </c>
      <c r="X3047">
        <v>0</v>
      </c>
      <c r="Y3047">
        <v>57899</v>
      </c>
    </row>
    <row r="3048" spans="1:25" ht="15" hidden="1" customHeight="1" x14ac:dyDescent="0.25">
      <c r="A3048" s="1" t="s">
        <v>37</v>
      </c>
      <c r="B3048" s="1" t="s">
        <v>66</v>
      </c>
      <c r="C3048" s="1" t="s">
        <v>200</v>
      </c>
      <c r="D3048">
        <v>5473</v>
      </c>
      <c r="E3048" s="1"/>
      <c r="F3048" s="1" t="s">
        <v>254</v>
      </c>
      <c r="G3048" s="1" t="s">
        <v>200</v>
      </c>
      <c r="H3048" s="1" t="s">
        <v>1396</v>
      </c>
      <c r="I3048">
        <v>2008</v>
      </c>
      <c r="J3048" s="93">
        <v>88.68</v>
      </c>
      <c r="K3048">
        <v>12</v>
      </c>
      <c r="L3048" s="1"/>
      <c r="M3048">
        <v>0</v>
      </c>
      <c r="N3048">
        <v>0</v>
      </c>
      <c r="O3048">
        <v>886.8</v>
      </c>
      <c r="P3048">
        <v>3</v>
      </c>
      <c r="Q3048" s="1" t="s">
        <v>560</v>
      </c>
      <c r="R3048" s="93">
        <v>88.68</v>
      </c>
      <c r="S3048">
        <v>70.94</v>
      </c>
      <c r="T3048">
        <v>1</v>
      </c>
      <c r="U3048" s="1" t="s">
        <v>691</v>
      </c>
      <c r="V3048" s="1"/>
      <c r="W3048">
        <v>88.68</v>
      </c>
      <c r="X3048">
        <v>0</v>
      </c>
      <c r="Y3048">
        <v>57900</v>
      </c>
    </row>
    <row r="3049" spans="1:25" ht="15" hidden="1" customHeight="1" x14ac:dyDescent="0.25">
      <c r="A3049" s="1" t="s">
        <v>37</v>
      </c>
      <c r="B3049" s="1" t="s">
        <v>66</v>
      </c>
      <c r="C3049" s="1" t="s">
        <v>200</v>
      </c>
      <c r="D3049">
        <v>5471</v>
      </c>
      <c r="E3049" s="1"/>
      <c r="F3049" s="1" t="s">
        <v>335</v>
      </c>
      <c r="G3049" s="1" t="s">
        <v>200</v>
      </c>
      <c r="H3049" s="1" t="s">
        <v>1405</v>
      </c>
      <c r="I3049">
        <v>2015</v>
      </c>
      <c r="J3049" s="93">
        <v>1256</v>
      </c>
      <c r="K3049">
        <v>5</v>
      </c>
      <c r="L3049" s="1" t="s">
        <v>393</v>
      </c>
      <c r="M3049">
        <v>0</v>
      </c>
      <c r="N3049">
        <v>8656</v>
      </c>
      <c r="O3049">
        <v>6.3768000000000005E-2</v>
      </c>
      <c r="P3049">
        <v>3</v>
      </c>
      <c r="Q3049" s="1" t="s">
        <v>560</v>
      </c>
      <c r="R3049" s="93">
        <v>551.99</v>
      </c>
      <c r="S3049">
        <v>441.58</v>
      </c>
      <c r="T3049">
        <v>0</v>
      </c>
      <c r="U3049" s="1" t="s">
        <v>692</v>
      </c>
      <c r="V3049" s="1"/>
      <c r="W3049">
        <v>551.99</v>
      </c>
      <c r="X3049">
        <v>0</v>
      </c>
      <c r="Y3049">
        <v>57892</v>
      </c>
    </row>
    <row r="3050" spans="1:25" ht="15" hidden="1" customHeight="1" x14ac:dyDescent="0.25">
      <c r="A3050" s="1" t="s">
        <v>37</v>
      </c>
      <c r="B3050" s="1" t="s">
        <v>66</v>
      </c>
      <c r="C3050" s="1" t="s">
        <v>200</v>
      </c>
      <c r="D3050">
        <v>5471</v>
      </c>
      <c r="E3050" s="1"/>
      <c r="F3050" s="1" t="s">
        <v>335</v>
      </c>
      <c r="G3050" s="1" t="s">
        <v>200</v>
      </c>
      <c r="H3050" s="1" t="s">
        <v>1405</v>
      </c>
      <c r="I3050">
        <v>2013</v>
      </c>
      <c r="J3050" s="93">
        <v>1498.63</v>
      </c>
      <c r="K3050">
        <v>12</v>
      </c>
      <c r="L3050" s="1" t="s">
        <v>393</v>
      </c>
      <c r="M3050">
        <v>0</v>
      </c>
      <c r="N3050">
        <v>8656</v>
      </c>
      <c r="O3050">
        <v>0.17312900000000001</v>
      </c>
      <c r="P3050">
        <v>3</v>
      </c>
      <c r="Q3050" s="1" t="s">
        <v>560</v>
      </c>
      <c r="R3050" s="93">
        <v>1498.63</v>
      </c>
      <c r="S3050">
        <v>1198.9100000000001</v>
      </c>
      <c r="T3050">
        <v>0</v>
      </c>
      <c r="U3050" s="1" t="s">
        <v>692</v>
      </c>
      <c r="V3050" s="1"/>
      <c r="W3050">
        <v>1498.63</v>
      </c>
      <c r="X3050">
        <v>0</v>
      </c>
      <c r="Y3050">
        <v>57892</v>
      </c>
    </row>
    <row r="3051" spans="1:25" ht="15" hidden="1" customHeight="1" x14ac:dyDescent="0.25">
      <c r="A3051" s="1" t="s">
        <v>37</v>
      </c>
      <c r="B3051" s="1" t="s">
        <v>66</v>
      </c>
      <c r="C3051" s="1" t="s">
        <v>200</v>
      </c>
      <c r="D3051">
        <v>5471</v>
      </c>
      <c r="E3051" s="1"/>
      <c r="F3051" s="1" t="s">
        <v>335</v>
      </c>
      <c r="G3051" s="1" t="s">
        <v>200</v>
      </c>
      <c r="H3051" s="1" t="s">
        <v>1405</v>
      </c>
      <c r="I3051">
        <v>2012</v>
      </c>
      <c r="J3051" s="93">
        <v>1513.88</v>
      </c>
      <c r="K3051">
        <v>12</v>
      </c>
      <c r="L3051" s="1" t="s">
        <v>393</v>
      </c>
      <c r="M3051">
        <v>0</v>
      </c>
      <c r="N3051">
        <v>8656</v>
      </c>
      <c r="O3051">
        <v>0.17489099999999999</v>
      </c>
      <c r="P3051">
        <v>3</v>
      </c>
      <c r="Q3051" s="1" t="s">
        <v>560</v>
      </c>
      <c r="R3051" s="93">
        <v>1513.88</v>
      </c>
      <c r="S3051">
        <v>1211.0999999999999</v>
      </c>
      <c r="T3051">
        <v>0</v>
      </c>
      <c r="U3051" s="1" t="s">
        <v>692</v>
      </c>
      <c r="V3051" s="1"/>
      <c r="W3051">
        <v>1513.88</v>
      </c>
      <c r="X3051">
        <v>0</v>
      </c>
      <c r="Y3051">
        <v>57892</v>
      </c>
    </row>
    <row r="3052" spans="1:25" ht="15" hidden="1" customHeight="1" x14ac:dyDescent="0.25">
      <c r="A3052" s="1" t="s">
        <v>37</v>
      </c>
      <c r="B3052" s="1" t="s">
        <v>66</v>
      </c>
      <c r="C3052" s="1" t="s">
        <v>200</v>
      </c>
      <c r="D3052">
        <v>5471</v>
      </c>
      <c r="E3052" s="1"/>
      <c r="F3052" s="1" t="s">
        <v>335</v>
      </c>
      <c r="G3052" s="1" t="s">
        <v>200</v>
      </c>
      <c r="H3052" s="1" t="s">
        <v>1405</v>
      </c>
      <c r="I3052">
        <v>2011</v>
      </c>
      <c r="J3052" s="93">
        <v>1375.76</v>
      </c>
      <c r="K3052">
        <v>12</v>
      </c>
      <c r="L3052" s="1" t="s">
        <v>393</v>
      </c>
      <c r="M3052">
        <v>0</v>
      </c>
      <c r="N3052">
        <v>8656</v>
      </c>
      <c r="O3052">
        <v>0.15893499999999999</v>
      </c>
      <c r="P3052">
        <v>3</v>
      </c>
      <c r="Q3052" s="1" t="s">
        <v>560</v>
      </c>
      <c r="R3052" s="93">
        <v>1375.76</v>
      </c>
      <c r="S3052">
        <v>1100.5999999999999</v>
      </c>
      <c r="T3052">
        <v>0</v>
      </c>
      <c r="U3052" s="1" t="s">
        <v>692</v>
      </c>
      <c r="V3052" s="1"/>
      <c r="W3052">
        <v>1375.76</v>
      </c>
      <c r="X3052">
        <v>0</v>
      </c>
      <c r="Y3052">
        <v>57892</v>
      </c>
    </row>
    <row r="3053" spans="1:25" ht="15" hidden="1" customHeight="1" x14ac:dyDescent="0.25">
      <c r="A3053" s="1" t="s">
        <v>37</v>
      </c>
      <c r="B3053" s="1" t="s">
        <v>66</v>
      </c>
      <c r="C3053" s="1" t="s">
        <v>200</v>
      </c>
      <c r="D3053">
        <v>5471</v>
      </c>
      <c r="E3053" s="1"/>
      <c r="F3053" s="1" t="s">
        <v>335</v>
      </c>
      <c r="G3053" s="1" t="s">
        <v>200</v>
      </c>
      <c r="H3053" s="1" t="s">
        <v>1405</v>
      </c>
      <c r="I3053">
        <v>2010</v>
      </c>
      <c r="J3053" s="93">
        <v>1609.5</v>
      </c>
      <c r="K3053">
        <v>12</v>
      </c>
      <c r="L3053" s="1" t="s">
        <v>393</v>
      </c>
      <c r="M3053">
        <v>0</v>
      </c>
      <c r="N3053">
        <v>8656</v>
      </c>
      <c r="O3053">
        <v>0.18593799999999999</v>
      </c>
      <c r="P3053">
        <v>3</v>
      </c>
      <c r="Q3053" s="1" t="s">
        <v>560</v>
      </c>
      <c r="R3053" s="93">
        <v>1609.5</v>
      </c>
      <c r="S3053">
        <v>1287.5999999999999</v>
      </c>
      <c r="T3053">
        <v>0</v>
      </c>
      <c r="U3053" s="1" t="s">
        <v>692</v>
      </c>
      <c r="V3053" s="1"/>
      <c r="W3053">
        <v>1609.5</v>
      </c>
      <c r="X3053">
        <v>0</v>
      </c>
      <c r="Y3053">
        <v>57892</v>
      </c>
    </row>
    <row r="3054" spans="1:25" ht="15" hidden="1" customHeight="1" x14ac:dyDescent="0.25">
      <c r="A3054" s="1" t="s">
        <v>37</v>
      </c>
      <c r="B3054" s="1" t="s">
        <v>66</v>
      </c>
      <c r="C3054" s="1" t="s">
        <v>200</v>
      </c>
      <c r="D3054">
        <v>5471</v>
      </c>
      <c r="E3054" s="1"/>
      <c r="F3054" s="1" t="s">
        <v>335</v>
      </c>
      <c r="G3054" s="1" t="s">
        <v>200</v>
      </c>
      <c r="H3054" s="1" t="s">
        <v>1405</v>
      </c>
      <c r="I3054">
        <v>2009</v>
      </c>
      <c r="J3054" s="93">
        <v>1634.61</v>
      </c>
      <c r="K3054">
        <v>12</v>
      </c>
      <c r="L3054" s="1" t="s">
        <v>393</v>
      </c>
      <c r="M3054">
        <v>0</v>
      </c>
      <c r="N3054">
        <v>8656</v>
      </c>
      <c r="O3054">
        <v>0.18883900000000001</v>
      </c>
      <c r="P3054">
        <v>3</v>
      </c>
      <c r="Q3054" s="1" t="s">
        <v>560</v>
      </c>
      <c r="R3054" s="93">
        <v>1634.61</v>
      </c>
      <c r="S3054">
        <v>1307.69</v>
      </c>
      <c r="T3054">
        <v>0</v>
      </c>
      <c r="U3054" s="1" t="s">
        <v>692</v>
      </c>
      <c r="V3054" s="1"/>
      <c r="W3054">
        <v>1634.61</v>
      </c>
      <c r="X3054">
        <v>0</v>
      </c>
      <c r="Y3054">
        <v>57892</v>
      </c>
    </row>
    <row r="3055" spans="1:25" ht="15" hidden="1" customHeight="1" x14ac:dyDescent="0.25">
      <c r="A3055" s="1" t="s">
        <v>37</v>
      </c>
      <c r="B3055" s="1" t="s">
        <v>66</v>
      </c>
      <c r="C3055" s="1" t="s">
        <v>200</v>
      </c>
      <c r="D3055">
        <v>5471</v>
      </c>
      <c r="E3055" s="1"/>
      <c r="F3055" s="1" t="s">
        <v>335</v>
      </c>
      <c r="G3055" s="1" t="s">
        <v>200</v>
      </c>
      <c r="H3055" s="1" t="s">
        <v>1405</v>
      </c>
      <c r="I3055">
        <v>2008</v>
      </c>
      <c r="J3055" s="93">
        <v>1530.07</v>
      </c>
      <c r="K3055">
        <v>12</v>
      </c>
      <c r="L3055" s="1" t="s">
        <v>393</v>
      </c>
      <c r="M3055">
        <v>0</v>
      </c>
      <c r="N3055">
        <v>8656</v>
      </c>
      <c r="O3055">
        <v>0.176762</v>
      </c>
      <c r="P3055">
        <v>3</v>
      </c>
      <c r="Q3055" s="1" t="s">
        <v>560</v>
      </c>
      <c r="R3055" s="93">
        <v>1530.07</v>
      </c>
      <c r="S3055">
        <v>1224.05</v>
      </c>
      <c r="T3055">
        <v>0</v>
      </c>
      <c r="U3055" s="1" t="s">
        <v>692</v>
      </c>
      <c r="V3055" s="1"/>
      <c r="W3055">
        <v>1530.07</v>
      </c>
      <c r="X3055">
        <v>0</v>
      </c>
      <c r="Y3055">
        <v>57892</v>
      </c>
    </row>
    <row r="3056" spans="1:25" ht="15" hidden="1" customHeight="1" x14ac:dyDescent="0.25">
      <c r="A3056" s="1" t="s">
        <v>37</v>
      </c>
      <c r="B3056" s="1"/>
      <c r="C3056" s="1" t="s">
        <v>201</v>
      </c>
      <c r="D3056">
        <v>9223</v>
      </c>
      <c r="E3056" s="1"/>
      <c r="F3056" s="1" t="s">
        <v>336</v>
      </c>
      <c r="G3056" s="1" t="s">
        <v>336</v>
      </c>
      <c r="H3056" s="1" t="s">
        <v>1405</v>
      </c>
      <c r="I3056">
        <v>2015</v>
      </c>
      <c r="J3056" s="93">
        <v>1042</v>
      </c>
      <c r="K3056">
        <v>5</v>
      </c>
      <c r="L3056" s="1"/>
      <c r="M3056">
        <v>0</v>
      </c>
      <c r="N3056">
        <v>7936</v>
      </c>
      <c r="O3056">
        <v>5.4663999999999997E-2</v>
      </c>
      <c r="P3056">
        <v>3</v>
      </c>
      <c r="Q3056" s="1" t="s">
        <v>560</v>
      </c>
      <c r="R3056" s="93">
        <v>433.82</v>
      </c>
      <c r="S3056">
        <v>347.04</v>
      </c>
      <c r="T3056">
        <v>0</v>
      </c>
      <c r="U3056" s="1"/>
      <c r="V3056" s="1"/>
      <c r="W3056">
        <v>433.81</v>
      </c>
      <c r="X3056">
        <v>0</v>
      </c>
      <c r="Y3056">
        <v>72739</v>
      </c>
    </row>
    <row r="3057" spans="1:25" ht="15" hidden="1" customHeight="1" x14ac:dyDescent="0.25">
      <c r="A3057" s="1" t="s">
        <v>37</v>
      </c>
      <c r="B3057" s="1"/>
      <c r="C3057" s="1" t="s">
        <v>201</v>
      </c>
      <c r="D3057">
        <v>9223</v>
      </c>
      <c r="E3057" s="1"/>
      <c r="F3057" s="1" t="s">
        <v>336</v>
      </c>
      <c r="G3057" s="1" t="s">
        <v>336</v>
      </c>
      <c r="H3057" s="1" t="s">
        <v>1405</v>
      </c>
      <c r="I3057">
        <v>2013</v>
      </c>
      <c r="J3057" s="93">
        <v>1151.01</v>
      </c>
      <c r="K3057">
        <v>12</v>
      </c>
      <c r="L3057" s="1"/>
      <c r="M3057">
        <v>0</v>
      </c>
      <c r="N3057">
        <v>7936</v>
      </c>
      <c r="O3057">
        <v>0.145034</v>
      </c>
      <c r="P3057">
        <v>3</v>
      </c>
      <c r="Q3057" s="1" t="s">
        <v>560</v>
      </c>
      <c r="R3057" s="93">
        <v>1151.01</v>
      </c>
      <c r="S3057">
        <v>920.8</v>
      </c>
      <c r="T3057">
        <v>0</v>
      </c>
      <c r="U3057" s="1"/>
      <c r="V3057" s="1"/>
      <c r="W3057">
        <v>1150.999</v>
      </c>
      <c r="X3057">
        <v>0</v>
      </c>
      <c r="Y3057">
        <v>72739</v>
      </c>
    </row>
    <row r="3058" spans="1:25" ht="15" hidden="1" customHeight="1" x14ac:dyDescent="0.25">
      <c r="A3058" s="1" t="s">
        <v>37</v>
      </c>
      <c r="B3058" s="1"/>
      <c r="C3058" s="1" t="s">
        <v>201</v>
      </c>
      <c r="D3058">
        <v>9223</v>
      </c>
      <c r="E3058" s="1"/>
      <c r="F3058" s="1" t="s">
        <v>336</v>
      </c>
      <c r="G3058" s="1" t="s">
        <v>336</v>
      </c>
      <c r="H3058" s="1" t="s">
        <v>1405</v>
      </c>
      <c r="I3058">
        <v>2012</v>
      </c>
      <c r="J3058" s="93">
        <v>1165.83</v>
      </c>
      <c r="K3058">
        <v>12</v>
      </c>
      <c r="L3058" s="1"/>
      <c r="M3058">
        <v>0</v>
      </c>
      <c r="N3058">
        <v>7936</v>
      </c>
      <c r="O3058">
        <v>0.146902</v>
      </c>
      <c r="P3058">
        <v>3</v>
      </c>
      <c r="Q3058" s="1" t="s">
        <v>560</v>
      </c>
      <c r="R3058" s="93">
        <v>1165.83</v>
      </c>
      <c r="S3058">
        <v>932.64</v>
      </c>
      <c r="T3058">
        <v>0</v>
      </c>
      <c r="U3058" s="1"/>
      <c r="V3058" s="1"/>
      <c r="W3058">
        <v>1165.8340000000001</v>
      </c>
      <c r="X3058">
        <v>0</v>
      </c>
      <c r="Y3058">
        <v>72739</v>
      </c>
    </row>
    <row r="3059" spans="1:25" ht="15" hidden="1" customHeight="1" x14ac:dyDescent="0.25">
      <c r="A3059" s="1" t="s">
        <v>37</v>
      </c>
      <c r="B3059" s="1"/>
      <c r="C3059" s="1" t="s">
        <v>201</v>
      </c>
      <c r="D3059">
        <v>9223</v>
      </c>
      <c r="E3059" s="1"/>
      <c r="F3059" s="1" t="s">
        <v>336</v>
      </c>
      <c r="G3059" s="1" t="s">
        <v>336</v>
      </c>
      <c r="H3059" s="1" t="s">
        <v>1405</v>
      </c>
      <c r="I3059">
        <v>2011</v>
      </c>
      <c r="J3059" s="93">
        <v>1024.08</v>
      </c>
      <c r="K3059">
        <v>12</v>
      </c>
      <c r="L3059" s="1"/>
      <c r="M3059">
        <v>0</v>
      </c>
      <c r="N3059">
        <v>7936</v>
      </c>
      <c r="O3059">
        <v>0.12903999999999999</v>
      </c>
      <c r="P3059">
        <v>3</v>
      </c>
      <c r="Q3059" s="1" t="s">
        <v>560</v>
      </c>
      <c r="R3059" s="93">
        <v>1024.08</v>
      </c>
      <c r="S3059">
        <v>819.25</v>
      </c>
      <c r="T3059">
        <v>0</v>
      </c>
      <c r="U3059" s="1"/>
      <c r="V3059" s="1"/>
      <c r="W3059">
        <v>1024.0740000000001</v>
      </c>
      <c r="X3059">
        <v>0</v>
      </c>
      <c r="Y3059">
        <v>72739</v>
      </c>
    </row>
    <row r="3060" spans="1:25" ht="15" hidden="1" customHeight="1" x14ac:dyDescent="0.25">
      <c r="A3060" s="1" t="s">
        <v>37</v>
      </c>
      <c r="B3060" s="1"/>
      <c r="C3060" s="1" t="s">
        <v>201</v>
      </c>
      <c r="D3060">
        <v>9223</v>
      </c>
      <c r="E3060" s="1"/>
      <c r="F3060" s="1" t="s">
        <v>336</v>
      </c>
      <c r="G3060" s="1" t="s">
        <v>336</v>
      </c>
      <c r="H3060" s="1" t="s">
        <v>1405</v>
      </c>
      <c r="I3060">
        <v>2010</v>
      </c>
      <c r="J3060" s="93">
        <v>1198.06</v>
      </c>
      <c r="K3060">
        <v>12</v>
      </c>
      <c r="L3060" s="1"/>
      <c r="M3060">
        <v>0</v>
      </c>
      <c r="N3060">
        <v>7936</v>
      </c>
      <c r="O3060">
        <v>0.15096300000000001</v>
      </c>
      <c r="P3060">
        <v>3</v>
      </c>
      <c r="Q3060" s="1" t="s">
        <v>560</v>
      </c>
      <c r="R3060" s="93">
        <v>1198.06</v>
      </c>
      <c r="S3060">
        <v>958.46</v>
      </c>
      <c r="T3060">
        <v>0</v>
      </c>
      <c r="U3060" s="1"/>
      <c r="V3060" s="1"/>
      <c r="W3060">
        <v>1198.0630000000001</v>
      </c>
      <c r="X3060">
        <v>0</v>
      </c>
      <c r="Y3060">
        <v>72739</v>
      </c>
    </row>
    <row r="3061" spans="1:25" ht="15" hidden="1" customHeight="1" x14ac:dyDescent="0.25">
      <c r="A3061" s="1" t="s">
        <v>37</v>
      </c>
      <c r="B3061" s="1"/>
      <c r="C3061" s="1" t="s">
        <v>201</v>
      </c>
      <c r="D3061">
        <v>9223</v>
      </c>
      <c r="E3061" s="1"/>
      <c r="F3061" s="1" t="s">
        <v>336</v>
      </c>
      <c r="G3061" s="1" t="s">
        <v>336</v>
      </c>
      <c r="H3061" s="1" t="s">
        <v>1405</v>
      </c>
      <c r="I3061">
        <v>2009</v>
      </c>
      <c r="J3061" s="93">
        <v>1387.62</v>
      </c>
      <c r="K3061">
        <v>12</v>
      </c>
      <c r="L3061" s="1"/>
      <c r="M3061">
        <v>0</v>
      </c>
      <c r="N3061">
        <v>7936</v>
      </c>
      <c r="O3061">
        <v>0.174849</v>
      </c>
      <c r="P3061">
        <v>3</v>
      </c>
      <c r="Q3061" s="1" t="s">
        <v>560</v>
      </c>
      <c r="R3061" s="93">
        <v>1387.62</v>
      </c>
      <c r="S3061">
        <v>1110.08</v>
      </c>
      <c r="T3061">
        <v>0</v>
      </c>
      <c r="U3061" s="1"/>
      <c r="V3061" s="1"/>
      <c r="W3061">
        <v>1387.614</v>
      </c>
      <c r="X3061">
        <v>0</v>
      </c>
      <c r="Y3061">
        <v>72739</v>
      </c>
    </row>
    <row r="3062" spans="1:25" ht="15" hidden="1" customHeight="1" x14ac:dyDescent="0.25">
      <c r="A3062" s="1" t="s">
        <v>37</v>
      </c>
      <c r="B3062" s="1"/>
      <c r="C3062" s="1" t="s">
        <v>201</v>
      </c>
      <c r="D3062">
        <v>9223</v>
      </c>
      <c r="E3062" s="1"/>
      <c r="F3062" s="1" t="s">
        <v>336</v>
      </c>
      <c r="G3062" s="1" t="s">
        <v>336</v>
      </c>
      <c r="H3062" s="1" t="s">
        <v>1405</v>
      </c>
      <c r="I3062">
        <v>2008</v>
      </c>
      <c r="J3062" s="93">
        <v>1442.75</v>
      </c>
      <c r="K3062">
        <v>12</v>
      </c>
      <c r="L3062" s="1"/>
      <c r="M3062">
        <v>0</v>
      </c>
      <c r="N3062">
        <v>7936</v>
      </c>
      <c r="O3062">
        <v>0.18179500000000001</v>
      </c>
      <c r="P3062">
        <v>3</v>
      </c>
      <c r="Q3062" s="1" t="s">
        <v>560</v>
      </c>
      <c r="R3062" s="93">
        <v>1442.75</v>
      </c>
      <c r="S3062">
        <v>1154.23</v>
      </c>
      <c r="T3062">
        <v>0</v>
      </c>
      <c r="U3062" s="1"/>
      <c r="V3062" s="1"/>
      <c r="W3062">
        <v>1442.77</v>
      </c>
      <c r="X3062">
        <v>0</v>
      </c>
      <c r="Y3062">
        <v>72739</v>
      </c>
    </row>
    <row r="3063" spans="1:25" ht="15" hidden="1" customHeight="1" x14ac:dyDescent="0.25">
      <c r="A3063" s="1" t="s">
        <v>37</v>
      </c>
      <c r="B3063" s="1"/>
      <c r="C3063" s="1" t="s">
        <v>202</v>
      </c>
      <c r="D3063">
        <v>10321</v>
      </c>
      <c r="E3063" s="1"/>
      <c r="F3063" s="1" t="s">
        <v>337</v>
      </c>
      <c r="G3063" s="1" t="s">
        <v>1400</v>
      </c>
      <c r="H3063" s="1" t="s">
        <v>1405</v>
      </c>
      <c r="I3063">
        <v>2015</v>
      </c>
      <c r="J3063" s="93">
        <v>22</v>
      </c>
      <c r="K3063">
        <v>5</v>
      </c>
      <c r="L3063" s="1" t="s">
        <v>411</v>
      </c>
      <c r="M3063">
        <v>0</v>
      </c>
      <c r="N3063">
        <v>126</v>
      </c>
      <c r="O3063">
        <v>7.034E-2</v>
      </c>
      <c r="P3063">
        <v>3</v>
      </c>
      <c r="Q3063" s="1" t="s">
        <v>560</v>
      </c>
      <c r="R3063" s="93">
        <v>8.8699999999999992</v>
      </c>
      <c r="S3063">
        <v>7.1</v>
      </c>
      <c r="T3063">
        <v>0</v>
      </c>
      <c r="U3063" s="1" t="s">
        <v>693</v>
      </c>
      <c r="V3063" s="1"/>
      <c r="W3063">
        <v>8.8770000000000007</v>
      </c>
      <c r="X3063">
        <v>0</v>
      </c>
      <c r="Y3063">
        <v>77809</v>
      </c>
    </row>
    <row r="3064" spans="1:25" ht="15" hidden="1" customHeight="1" x14ac:dyDescent="0.25">
      <c r="A3064" s="1" t="s">
        <v>37</v>
      </c>
      <c r="B3064" s="1"/>
      <c r="C3064" s="1" t="s">
        <v>202</v>
      </c>
      <c r="D3064">
        <v>10321</v>
      </c>
      <c r="E3064" s="1"/>
      <c r="F3064" s="1" t="s">
        <v>337</v>
      </c>
      <c r="G3064" s="1" t="s">
        <v>1400</v>
      </c>
      <c r="H3064" s="1" t="s">
        <v>1405</v>
      </c>
      <c r="I3064">
        <v>2013</v>
      </c>
      <c r="J3064" s="93">
        <v>16.579999999999998</v>
      </c>
      <c r="K3064">
        <v>12</v>
      </c>
      <c r="L3064" s="1" t="s">
        <v>411</v>
      </c>
      <c r="M3064">
        <v>0</v>
      </c>
      <c r="N3064">
        <v>126</v>
      </c>
      <c r="O3064">
        <v>0.13148199999999999</v>
      </c>
      <c r="P3064">
        <v>3</v>
      </c>
      <c r="Q3064" s="1" t="s">
        <v>560</v>
      </c>
      <c r="R3064" s="93">
        <v>16.579999999999998</v>
      </c>
      <c r="S3064">
        <v>13.27</v>
      </c>
      <c r="T3064">
        <v>0</v>
      </c>
      <c r="U3064" s="1" t="s">
        <v>693</v>
      </c>
      <c r="V3064" s="1"/>
      <c r="W3064">
        <v>16.596</v>
      </c>
      <c r="X3064">
        <v>0</v>
      </c>
      <c r="Y3064">
        <v>77809</v>
      </c>
    </row>
    <row r="3065" spans="1:25" ht="15" hidden="1" customHeight="1" x14ac:dyDescent="0.25">
      <c r="A3065" s="1" t="s">
        <v>37</v>
      </c>
      <c r="B3065" s="1"/>
      <c r="C3065" s="1" t="s">
        <v>202</v>
      </c>
      <c r="D3065">
        <v>10321</v>
      </c>
      <c r="E3065" s="1"/>
      <c r="F3065" s="1" t="s">
        <v>337</v>
      </c>
      <c r="G3065" s="1" t="s">
        <v>1400</v>
      </c>
      <c r="H3065" s="1" t="s">
        <v>1405</v>
      </c>
      <c r="I3065">
        <v>2012</v>
      </c>
      <c r="J3065" s="93">
        <v>29.17</v>
      </c>
      <c r="K3065">
        <v>12</v>
      </c>
      <c r="L3065" s="1" t="s">
        <v>411</v>
      </c>
      <c r="M3065">
        <v>0</v>
      </c>
      <c r="N3065">
        <v>126</v>
      </c>
      <c r="O3065">
        <v>0.231324</v>
      </c>
      <c r="P3065">
        <v>3</v>
      </c>
      <c r="Q3065" s="1" t="s">
        <v>560</v>
      </c>
      <c r="R3065" s="93">
        <v>29.17</v>
      </c>
      <c r="S3065">
        <v>23.34</v>
      </c>
      <c r="T3065">
        <v>0</v>
      </c>
      <c r="U3065" s="1" t="s">
        <v>693</v>
      </c>
      <c r="V3065" s="1"/>
      <c r="W3065">
        <v>29.161180000000002</v>
      </c>
      <c r="X3065">
        <v>0</v>
      </c>
      <c r="Y3065">
        <v>77809</v>
      </c>
    </row>
    <row r="3066" spans="1:25" ht="15" hidden="1" customHeight="1" x14ac:dyDescent="0.25">
      <c r="A3066" s="1" t="s">
        <v>37</v>
      </c>
      <c r="B3066" s="1"/>
      <c r="C3066" s="1" t="s">
        <v>202</v>
      </c>
      <c r="D3066">
        <v>10321</v>
      </c>
      <c r="E3066" s="1"/>
      <c r="F3066" s="1" t="s">
        <v>337</v>
      </c>
      <c r="G3066" s="1" t="s">
        <v>1400</v>
      </c>
      <c r="H3066" s="1" t="s">
        <v>1405</v>
      </c>
      <c r="I3066">
        <v>2011</v>
      </c>
      <c r="J3066" s="93">
        <v>46.18</v>
      </c>
      <c r="K3066">
        <v>4</v>
      </c>
      <c r="L3066" s="1" t="s">
        <v>411</v>
      </c>
      <c r="M3066">
        <v>0</v>
      </c>
      <c r="N3066">
        <v>126</v>
      </c>
      <c r="O3066">
        <v>0.36621700000000001</v>
      </c>
      <c r="P3066">
        <v>3</v>
      </c>
      <c r="Q3066" s="1" t="s">
        <v>560</v>
      </c>
      <c r="R3066" s="93">
        <v>46.18</v>
      </c>
      <c r="S3066">
        <v>36.96</v>
      </c>
      <c r="T3066">
        <v>0</v>
      </c>
      <c r="U3066" s="1" t="s">
        <v>693</v>
      </c>
      <c r="V3066" s="1"/>
      <c r="W3066">
        <v>46.181820000000002</v>
      </c>
      <c r="X3066">
        <v>0</v>
      </c>
      <c r="Y3066">
        <v>77809</v>
      </c>
    </row>
    <row r="3067" spans="1:25" ht="15" hidden="1" customHeight="1" x14ac:dyDescent="0.25">
      <c r="A3067" s="1" t="s">
        <v>37</v>
      </c>
      <c r="B3067" s="1"/>
      <c r="C3067" s="1" t="s">
        <v>202</v>
      </c>
      <c r="D3067">
        <v>10321</v>
      </c>
      <c r="E3067" s="1"/>
      <c r="F3067" s="1" t="s">
        <v>337</v>
      </c>
      <c r="G3067" s="1" t="s">
        <v>1400</v>
      </c>
      <c r="H3067" s="1" t="s">
        <v>1405</v>
      </c>
      <c r="I3067">
        <v>2010</v>
      </c>
      <c r="J3067" s="93">
        <v>15.92</v>
      </c>
      <c r="K3067">
        <v>3</v>
      </c>
      <c r="L3067" s="1" t="s">
        <v>411</v>
      </c>
      <c r="M3067">
        <v>0</v>
      </c>
      <c r="N3067">
        <v>126</v>
      </c>
      <c r="O3067">
        <v>0.126249</v>
      </c>
      <c r="P3067">
        <v>3</v>
      </c>
      <c r="Q3067" s="1" t="s">
        <v>560</v>
      </c>
      <c r="R3067" s="93">
        <v>15.92</v>
      </c>
      <c r="S3067">
        <v>12.74</v>
      </c>
      <c r="T3067">
        <v>0</v>
      </c>
      <c r="U3067" s="1" t="s">
        <v>693</v>
      </c>
      <c r="V3067" s="1"/>
      <c r="W3067">
        <v>15.928129999999999</v>
      </c>
      <c r="X3067">
        <v>0</v>
      </c>
      <c r="Y3067">
        <v>77809</v>
      </c>
    </row>
    <row r="3068" spans="1:25" ht="15" hidden="1" customHeight="1" x14ac:dyDescent="0.25">
      <c r="A3068" s="1" t="s">
        <v>37</v>
      </c>
      <c r="B3068" s="1"/>
      <c r="C3068" s="1" t="s">
        <v>202</v>
      </c>
      <c r="D3068">
        <v>10321</v>
      </c>
      <c r="E3068" s="1"/>
      <c r="F3068" s="1" t="s">
        <v>337</v>
      </c>
      <c r="G3068" s="1" t="s">
        <v>1400</v>
      </c>
      <c r="H3068" s="1" t="s">
        <v>1405</v>
      </c>
      <c r="I3068">
        <v>2009</v>
      </c>
      <c r="J3068" s="93">
        <v>20.079999999999998</v>
      </c>
      <c r="K3068">
        <v>4</v>
      </c>
      <c r="L3068" s="1" t="s">
        <v>411</v>
      </c>
      <c r="M3068">
        <v>0</v>
      </c>
      <c r="N3068">
        <v>126</v>
      </c>
      <c r="O3068">
        <v>0.15923799999999999</v>
      </c>
      <c r="P3068">
        <v>3</v>
      </c>
      <c r="Q3068" s="1" t="s">
        <v>560</v>
      </c>
      <c r="R3068" s="93">
        <v>20.079999999999998</v>
      </c>
      <c r="S3068">
        <v>16.059999999999999</v>
      </c>
      <c r="T3068">
        <v>0</v>
      </c>
      <c r="U3068" s="1" t="s">
        <v>693</v>
      </c>
      <c r="V3068" s="1"/>
      <c r="W3068">
        <v>20.071840000000002</v>
      </c>
      <c r="X3068">
        <v>0</v>
      </c>
      <c r="Y3068">
        <v>77809</v>
      </c>
    </row>
    <row r="3069" spans="1:25" ht="15" hidden="1" customHeight="1" x14ac:dyDescent="0.25">
      <c r="A3069" s="1" t="s">
        <v>37</v>
      </c>
      <c r="B3069" s="1"/>
      <c r="C3069" s="1" t="s">
        <v>202</v>
      </c>
      <c r="D3069">
        <v>10321</v>
      </c>
      <c r="E3069" s="1"/>
      <c r="F3069" s="1" t="s">
        <v>337</v>
      </c>
      <c r="G3069" s="1" t="s">
        <v>1400</v>
      </c>
      <c r="H3069" s="1" t="s">
        <v>1405</v>
      </c>
      <c r="I3069">
        <v>2008</v>
      </c>
      <c r="J3069" s="93">
        <v>4.29</v>
      </c>
      <c r="K3069">
        <v>6</v>
      </c>
      <c r="L3069" s="1" t="s">
        <v>411</v>
      </c>
      <c r="M3069">
        <v>0</v>
      </c>
      <c r="N3069">
        <v>126</v>
      </c>
      <c r="O3069">
        <v>3.4020000000000002E-2</v>
      </c>
      <c r="P3069">
        <v>3</v>
      </c>
      <c r="Q3069" s="1" t="s">
        <v>560</v>
      </c>
      <c r="R3069" s="93">
        <v>4.29</v>
      </c>
      <c r="S3069">
        <v>3.42</v>
      </c>
      <c r="T3069">
        <v>0</v>
      </c>
      <c r="U3069" s="1" t="s">
        <v>693</v>
      </c>
      <c r="V3069" s="1"/>
      <c r="W3069">
        <v>4.2713799999999997</v>
      </c>
      <c r="X3069">
        <v>0</v>
      </c>
      <c r="Y3069">
        <v>77809</v>
      </c>
    </row>
    <row r="3070" spans="1:25" ht="15" hidden="1" customHeight="1" x14ac:dyDescent="0.25">
      <c r="A3070" s="1" t="s">
        <v>37</v>
      </c>
      <c r="B3070" s="1"/>
      <c r="C3070" s="1" t="s">
        <v>203</v>
      </c>
      <c r="D3070">
        <v>9222</v>
      </c>
      <c r="E3070" s="1"/>
      <c r="F3070" s="1" t="s">
        <v>338</v>
      </c>
      <c r="G3070" s="1" t="s">
        <v>338</v>
      </c>
      <c r="H3070" s="1" t="s">
        <v>1405</v>
      </c>
      <c r="I3070">
        <v>2015</v>
      </c>
      <c r="J3070" s="93">
        <v>1734</v>
      </c>
      <c r="K3070">
        <v>5</v>
      </c>
      <c r="L3070" s="1"/>
      <c r="M3070">
        <v>0</v>
      </c>
      <c r="N3070">
        <v>11252</v>
      </c>
      <c r="O3070">
        <v>6.6655000000000006E-2</v>
      </c>
      <c r="P3070">
        <v>3</v>
      </c>
      <c r="Q3070" s="1" t="s">
        <v>560</v>
      </c>
      <c r="R3070" s="93">
        <v>750.01</v>
      </c>
      <c r="S3070">
        <v>600</v>
      </c>
      <c r="T3070">
        <v>0</v>
      </c>
      <c r="U3070" s="1"/>
      <c r="V3070" s="1"/>
      <c r="W3070">
        <v>750.00900000000001</v>
      </c>
      <c r="X3070">
        <v>0</v>
      </c>
      <c r="Y3070">
        <v>72737</v>
      </c>
    </row>
    <row r="3071" spans="1:25" ht="15" hidden="1" customHeight="1" x14ac:dyDescent="0.25">
      <c r="A3071" s="1" t="s">
        <v>37</v>
      </c>
      <c r="B3071" s="1"/>
      <c r="C3071" s="1" t="s">
        <v>203</v>
      </c>
      <c r="D3071">
        <v>9222</v>
      </c>
      <c r="E3071" s="1"/>
      <c r="F3071" s="1" t="s">
        <v>338</v>
      </c>
      <c r="G3071" s="1" t="s">
        <v>338</v>
      </c>
      <c r="H3071" s="1" t="s">
        <v>1405</v>
      </c>
      <c r="I3071">
        <v>2013</v>
      </c>
      <c r="J3071" s="93">
        <v>1777.58</v>
      </c>
      <c r="K3071">
        <v>12</v>
      </c>
      <c r="L3071" s="1"/>
      <c r="M3071">
        <v>0</v>
      </c>
      <c r="N3071">
        <v>11252</v>
      </c>
      <c r="O3071">
        <v>0.15797700000000001</v>
      </c>
      <c r="P3071">
        <v>3</v>
      </c>
      <c r="Q3071" s="1" t="s">
        <v>560</v>
      </c>
      <c r="R3071" s="93">
        <v>1777.58</v>
      </c>
      <c r="S3071">
        <v>1422.06</v>
      </c>
      <c r="T3071">
        <v>0</v>
      </c>
      <c r="U3071" s="1"/>
      <c r="V3071" s="1"/>
      <c r="W3071">
        <v>1777.5889999999999</v>
      </c>
      <c r="X3071">
        <v>0</v>
      </c>
      <c r="Y3071">
        <v>72737</v>
      </c>
    </row>
    <row r="3072" spans="1:25" ht="15" hidden="1" customHeight="1" x14ac:dyDescent="0.25">
      <c r="A3072" s="1" t="s">
        <v>37</v>
      </c>
      <c r="B3072" s="1"/>
      <c r="C3072" s="1" t="s">
        <v>203</v>
      </c>
      <c r="D3072">
        <v>9222</v>
      </c>
      <c r="E3072" s="1"/>
      <c r="F3072" s="1" t="s">
        <v>338</v>
      </c>
      <c r="G3072" s="1" t="s">
        <v>338</v>
      </c>
      <c r="H3072" s="1" t="s">
        <v>1405</v>
      </c>
      <c r="I3072">
        <v>2012</v>
      </c>
      <c r="J3072" s="93">
        <v>1652.64</v>
      </c>
      <c r="K3072">
        <v>12</v>
      </c>
      <c r="L3072" s="1"/>
      <c r="M3072">
        <v>0</v>
      </c>
      <c r="N3072">
        <v>11252</v>
      </c>
      <c r="O3072">
        <v>0.146873</v>
      </c>
      <c r="P3072">
        <v>3</v>
      </c>
      <c r="Q3072" s="1" t="s">
        <v>560</v>
      </c>
      <c r="R3072" s="93">
        <v>1652.64</v>
      </c>
      <c r="S3072">
        <v>1322.12</v>
      </c>
      <c r="T3072">
        <v>0</v>
      </c>
      <c r="U3072" s="1"/>
      <c r="V3072" s="1"/>
      <c r="W3072">
        <v>1652.6479999999999</v>
      </c>
      <c r="X3072">
        <v>0</v>
      </c>
      <c r="Y3072">
        <v>72737</v>
      </c>
    </row>
    <row r="3073" spans="1:25" ht="15" hidden="1" customHeight="1" x14ac:dyDescent="0.25">
      <c r="A3073" s="1" t="s">
        <v>37</v>
      </c>
      <c r="B3073" s="1"/>
      <c r="C3073" s="1" t="s">
        <v>203</v>
      </c>
      <c r="D3073">
        <v>9222</v>
      </c>
      <c r="E3073" s="1"/>
      <c r="F3073" s="1" t="s">
        <v>338</v>
      </c>
      <c r="G3073" s="1" t="s">
        <v>338</v>
      </c>
      <c r="H3073" s="1" t="s">
        <v>1405</v>
      </c>
      <c r="I3073">
        <v>2011</v>
      </c>
      <c r="J3073" s="93">
        <v>1979.08</v>
      </c>
      <c r="K3073">
        <v>12</v>
      </c>
      <c r="L3073" s="1"/>
      <c r="M3073">
        <v>0</v>
      </c>
      <c r="N3073">
        <v>11252</v>
      </c>
      <c r="O3073">
        <v>0.17588500000000001</v>
      </c>
      <c r="P3073">
        <v>3</v>
      </c>
      <c r="Q3073" s="1" t="s">
        <v>560</v>
      </c>
      <c r="R3073" s="93">
        <v>1979.08</v>
      </c>
      <c r="S3073">
        <v>1583.27</v>
      </c>
      <c r="T3073">
        <v>0</v>
      </c>
      <c r="U3073" s="1"/>
      <c r="V3073" s="1"/>
      <c r="W3073">
        <v>1979.079</v>
      </c>
      <c r="X3073">
        <v>0</v>
      </c>
      <c r="Y3073">
        <v>72737</v>
      </c>
    </row>
    <row r="3074" spans="1:25" ht="15" hidden="1" customHeight="1" x14ac:dyDescent="0.25">
      <c r="A3074" s="1" t="s">
        <v>37</v>
      </c>
      <c r="B3074" s="1"/>
      <c r="C3074" s="1" t="s">
        <v>203</v>
      </c>
      <c r="D3074">
        <v>9222</v>
      </c>
      <c r="E3074" s="1"/>
      <c r="F3074" s="1" t="s">
        <v>338</v>
      </c>
      <c r="G3074" s="1" t="s">
        <v>338</v>
      </c>
      <c r="H3074" s="1" t="s">
        <v>1405</v>
      </c>
      <c r="I3074">
        <v>2010</v>
      </c>
      <c r="J3074" s="93">
        <v>1620.74</v>
      </c>
      <c r="K3074">
        <v>12</v>
      </c>
      <c r="L3074" s="1"/>
      <c r="M3074">
        <v>0</v>
      </c>
      <c r="N3074">
        <v>11252</v>
      </c>
      <c r="O3074">
        <v>0.144038</v>
      </c>
      <c r="P3074">
        <v>3</v>
      </c>
      <c r="Q3074" s="1" t="s">
        <v>560</v>
      </c>
      <c r="R3074" s="93">
        <v>1620.74</v>
      </c>
      <c r="S3074">
        <v>1296.5999999999999</v>
      </c>
      <c r="T3074">
        <v>0</v>
      </c>
      <c r="U3074" s="1"/>
      <c r="V3074" s="1"/>
      <c r="W3074">
        <v>1620.7360000000001</v>
      </c>
      <c r="X3074">
        <v>0</v>
      </c>
      <c r="Y3074">
        <v>72737</v>
      </c>
    </row>
    <row r="3075" spans="1:25" ht="15" hidden="1" customHeight="1" x14ac:dyDescent="0.25">
      <c r="A3075" s="1" t="s">
        <v>37</v>
      </c>
      <c r="B3075" s="1"/>
      <c r="C3075" s="1" t="s">
        <v>203</v>
      </c>
      <c r="D3075">
        <v>9222</v>
      </c>
      <c r="E3075" s="1"/>
      <c r="F3075" s="1" t="s">
        <v>338</v>
      </c>
      <c r="G3075" s="1" t="s">
        <v>338</v>
      </c>
      <c r="H3075" s="1" t="s">
        <v>1405</v>
      </c>
      <c r="I3075">
        <v>2009</v>
      </c>
      <c r="J3075" s="93">
        <v>1623.84</v>
      </c>
      <c r="K3075">
        <v>12</v>
      </c>
      <c r="L3075" s="1"/>
      <c r="M3075">
        <v>0</v>
      </c>
      <c r="N3075">
        <v>11252</v>
      </c>
      <c r="O3075">
        <v>0.144314</v>
      </c>
      <c r="P3075">
        <v>3</v>
      </c>
      <c r="Q3075" s="1" t="s">
        <v>560</v>
      </c>
      <c r="R3075" s="93">
        <v>1623.84</v>
      </c>
      <c r="S3075">
        <v>1299.0899999999999</v>
      </c>
      <c r="T3075">
        <v>0</v>
      </c>
      <c r="U3075" s="1"/>
      <c r="V3075" s="1"/>
      <c r="W3075">
        <v>1623.8489999999999</v>
      </c>
      <c r="X3075">
        <v>0</v>
      </c>
      <c r="Y3075">
        <v>72737</v>
      </c>
    </row>
    <row r="3076" spans="1:25" ht="15" hidden="1" customHeight="1" x14ac:dyDescent="0.25">
      <c r="A3076" s="1" t="s">
        <v>37</v>
      </c>
      <c r="B3076" s="1"/>
      <c r="C3076" s="1" t="s">
        <v>203</v>
      </c>
      <c r="D3076">
        <v>9222</v>
      </c>
      <c r="E3076" s="1"/>
      <c r="F3076" s="1" t="s">
        <v>338</v>
      </c>
      <c r="G3076" s="1" t="s">
        <v>338</v>
      </c>
      <c r="H3076" s="1" t="s">
        <v>1405</v>
      </c>
      <c r="I3076">
        <v>2008</v>
      </c>
      <c r="J3076" s="93">
        <v>1691.63</v>
      </c>
      <c r="K3076">
        <v>12</v>
      </c>
      <c r="L3076" s="1"/>
      <c r="M3076">
        <v>0</v>
      </c>
      <c r="N3076">
        <v>11252</v>
      </c>
      <c r="O3076">
        <v>0.150339</v>
      </c>
      <c r="P3076">
        <v>3</v>
      </c>
      <c r="Q3076" s="1" t="s">
        <v>560</v>
      </c>
      <c r="R3076" s="93">
        <v>1691.63</v>
      </c>
      <c r="S3076">
        <v>1353.31</v>
      </c>
      <c r="T3076">
        <v>0</v>
      </c>
      <c r="U3076" s="1"/>
      <c r="V3076" s="1"/>
      <c r="W3076">
        <v>1691.624</v>
      </c>
      <c r="X3076">
        <v>0</v>
      </c>
      <c r="Y3076">
        <v>72737</v>
      </c>
    </row>
    <row r="3077" spans="1:25" ht="15" hidden="1" customHeight="1" x14ac:dyDescent="0.25">
      <c r="A3077" s="1" t="s">
        <v>37</v>
      </c>
      <c r="B3077" s="1"/>
      <c r="C3077" s="1" t="s">
        <v>202</v>
      </c>
      <c r="D3077">
        <v>10321</v>
      </c>
      <c r="E3077" s="1"/>
      <c r="F3077" s="1" t="s">
        <v>337</v>
      </c>
      <c r="G3077" s="1" t="s">
        <v>1400</v>
      </c>
      <c r="H3077" s="1" t="s">
        <v>1405</v>
      </c>
      <c r="I3077">
        <v>2014</v>
      </c>
      <c r="J3077" s="93">
        <v>28.37</v>
      </c>
      <c r="K3077">
        <v>12</v>
      </c>
      <c r="L3077" s="1" t="s">
        <v>411</v>
      </c>
      <c r="M3077">
        <v>0</v>
      </c>
      <c r="N3077">
        <v>126</v>
      </c>
      <c r="O3077">
        <v>0.22498000000000001</v>
      </c>
      <c r="P3077">
        <v>3</v>
      </c>
      <c r="Q3077" s="1" t="s">
        <v>560</v>
      </c>
      <c r="R3077" s="93">
        <v>28.37</v>
      </c>
      <c r="S3077">
        <v>22.69</v>
      </c>
      <c r="T3077">
        <v>0</v>
      </c>
      <c r="U3077" s="1" t="s">
        <v>693</v>
      </c>
      <c r="V3077" s="1"/>
      <c r="W3077">
        <v>28.381</v>
      </c>
      <c r="X3077">
        <v>0</v>
      </c>
      <c r="Y3077">
        <v>77809</v>
      </c>
    </row>
    <row r="3078" spans="1:25" ht="15" hidden="1" customHeight="1" x14ac:dyDescent="0.25">
      <c r="A3078" s="1" t="s">
        <v>37</v>
      </c>
      <c r="B3078" s="1"/>
      <c r="C3078" s="1" t="s">
        <v>202</v>
      </c>
      <c r="D3078">
        <v>10321</v>
      </c>
      <c r="E3078" s="1"/>
      <c r="F3078" s="1" t="s">
        <v>337</v>
      </c>
      <c r="G3078" s="1" t="s">
        <v>1400</v>
      </c>
      <c r="H3078" s="1" t="s">
        <v>1405</v>
      </c>
      <c r="I3078">
        <v>2014</v>
      </c>
      <c r="J3078" s="93">
        <v>16772</v>
      </c>
      <c r="K3078">
        <v>12</v>
      </c>
      <c r="L3078" s="1" t="s">
        <v>411</v>
      </c>
      <c r="M3078">
        <v>0</v>
      </c>
      <c r="N3078">
        <v>126</v>
      </c>
      <c r="O3078">
        <v>133.005551</v>
      </c>
      <c r="P3078">
        <v>1</v>
      </c>
      <c r="Q3078" s="1" t="s">
        <v>562</v>
      </c>
      <c r="R3078" s="93">
        <v>20176.22</v>
      </c>
      <c r="S3078">
        <v>1291.28</v>
      </c>
      <c r="T3078">
        <v>0</v>
      </c>
      <c r="U3078" s="1" t="s">
        <v>870</v>
      </c>
      <c r="V3078" s="1"/>
      <c r="W3078">
        <v>16772</v>
      </c>
      <c r="X3078">
        <v>0</v>
      </c>
      <c r="Y3078">
        <v>77810</v>
      </c>
    </row>
    <row r="3079" spans="1:25" ht="15" hidden="1" customHeight="1" x14ac:dyDescent="0.25">
      <c r="A3079" s="1" t="s">
        <v>37</v>
      </c>
      <c r="B3079" s="1"/>
      <c r="C3079" s="1" t="s">
        <v>193</v>
      </c>
      <c r="D3079">
        <v>10991</v>
      </c>
      <c r="E3079" s="1"/>
      <c r="F3079" s="1" t="s">
        <v>321</v>
      </c>
      <c r="G3079" s="1" t="s">
        <v>1398</v>
      </c>
      <c r="H3079" s="1" t="s">
        <v>1405</v>
      </c>
      <c r="I3079">
        <v>2013</v>
      </c>
      <c r="J3079" s="93">
        <v>63221.45</v>
      </c>
      <c r="K3079">
        <v>11</v>
      </c>
      <c r="L3079" s="1" t="s">
        <v>421</v>
      </c>
      <c r="M3079">
        <v>0</v>
      </c>
      <c r="N3079">
        <v>1475</v>
      </c>
      <c r="O3079">
        <v>42.859093999999999</v>
      </c>
      <c r="P3079">
        <v>2</v>
      </c>
      <c r="Q3079" s="1" t="s">
        <v>569</v>
      </c>
      <c r="R3079" s="93">
        <v>63221.45</v>
      </c>
      <c r="S3079">
        <v>18966.43</v>
      </c>
      <c r="T3079">
        <v>0</v>
      </c>
      <c r="U3079" s="1" t="s">
        <v>1073</v>
      </c>
      <c r="V3079" s="1"/>
      <c r="W3079">
        <v>63221.441800000001</v>
      </c>
      <c r="X3079">
        <v>0</v>
      </c>
      <c r="Y3079">
        <v>79756</v>
      </c>
    </row>
    <row r="3080" spans="1:25" ht="15" customHeight="1" x14ac:dyDescent="0.25">
      <c r="A3080" s="1" t="s">
        <v>37</v>
      </c>
      <c r="B3080" s="1"/>
      <c r="C3080" s="1" t="s">
        <v>193</v>
      </c>
      <c r="D3080">
        <v>10991</v>
      </c>
      <c r="E3080" s="1"/>
      <c r="F3080" s="1" t="s">
        <v>321</v>
      </c>
      <c r="G3080" s="1" t="s">
        <v>1398</v>
      </c>
      <c r="H3080" s="1" t="s">
        <v>1405</v>
      </c>
      <c r="I3080">
        <v>2014</v>
      </c>
      <c r="J3080" s="93">
        <v>849.75</v>
      </c>
      <c r="K3080">
        <v>9</v>
      </c>
      <c r="L3080" s="1" t="s">
        <v>421</v>
      </c>
      <c r="M3080">
        <v>0</v>
      </c>
      <c r="N3080">
        <v>1475</v>
      </c>
      <c r="O3080">
        <v>0.57606199999999996</v>
      </c>
      <c r="P3080">
        <v>3</v>
      </c>
      <c r="Q3080" s="1" t="s">
        <v>560</v>
      </c>
      <c r="R3080" s="93">
        <v>849.75</v>
      </c>
      <c r="S3080">
        <v>679.8</v>
      </c>
      <c r="T3080">
        <v>0</v>
      </c>
      <c r="U3080" s="1" t="s">
        <v>675</v>
      </c>
      <c r="V3080" s="1"/>
      <c r="W3080">
        <v>849.74929999999995</v>
      </c>
      <c r="X3080">
        <v>0</v>
      </c>
      <c r="Y3080">
        <v>79482</v>
      </c>
    </row>
    <row r="3081" spans="1:25" ht="15" customHeight="1" x14ac:dyDescent="0.25">
      <c r="A3081" s="1" t="s">
        <v>37</v>
      </c>
      <c r="B3081" s="1"/>
      <c r="C3081" s="1" t="s">
        <v>193</v>
      </c>
      <c r="D3081">
        <v>10991</v>
      </c>
      <c r="E3081" s="1"/>
      <c r="F3081" s="1" t="s">
        <v>321</v>
      </c>
      <c r="G3081" s="1" t="s">
        <v>1398</v>
      </c>
      <c r="H3081" s="1" t="s">
        <v>1405</v>
      </c>
      <c r="I3081">
        <v>2014</v>
      </c>
      <c r="J3081" s="93">
        <v>344.08</v>
      </c>
      <c r="K3081">
        <v>10</v>
      </c>
      <c r="L3081" s="1" t="s">
        <v>421</v>
      </c>
      <c r="M3081">
        <v>0</v>
      </c>
      <c r="N3081">
        <v>1475</v>
      </c>
      <c r="O3081">
        <v>0.23325799999999999</v>
      </c>
      <c r="P3081">
        <v>3</v>
      </c>
      <c r="Q3081" s="1" t="s">
        <v>560</v>
      </c>
      <c r="R3081" s="93">
        <v>344.08</v>
      </c>
      <c r="S3081">
        <v>275.26</v>
      </c>
      <c r="T3081">
        <v>1</v>
      </c>
      <c r="U3081" s="1" t="s">
        <v>676</v>
      </c>
      <c r="V3081" s="1"/>
      <c r="W3081">
        <v>344.08139999999997</v>
      </c>
      <c r="X3081">
        <v>0</v>
      </c>
      <c r="Y3081">
        <v>79717</v>
      </c>
    </row>
    <row r="3082" spans="1:25" ht="15" customHeight="1" x14ac:dyDescent="0.25">
      <c r="A3082" s="1" t="s">
        <v>37</v>
      </c>
      <c r="B3082" s="1"/>
      <c r="C3082" s="1" t="s">
        <v>193</v>
      </c>
      <c r="D3082">
        <v>10991</v>
      </c>
      <c r="E3082" s="1"/>
      <c r="F3082" s="1" t="s">
        <v>321</v>
      </c>
      <c r="G3082" s="1" t="s">
        <v>1398</v>
      </c>
      <c r="H3082" s="1" t="s">
        <v>1405</v>
      </c>
      <c r="I3082">
        <v>2014</v>
      </c>
      <c r="J3082" s="93">
        <v>57.12</v>
      </c>
      <c r="K3082">
        <v>10</v>
      </c>
      <c r="L3082" s="1" t="s">
        <v>421</v>
      </c>
      <c r="M3082">
        <v>0</v>
      </c>
      <c r="N3082">
        <v>1475</v>
      </c>
      <c r="O3082">
        <v>3.8721999999999999E-2</v>
      </c>
      <c r="P3082">
        <v>3</v>
      </c>
      <c r="Q3082" s="1" t="s">
        <v>560</v>
      </c>
      <c r="R3082" s="93">
        <v>57.12</v>
      </c>
      <c r="S3082">
        <v>45.7</v>
      </c>
      <c r="T3082">
        <v>1</v>
      </c>
      <c r="U3082" s="1" t="s">
        <v>677</v>
      </c>
      <c r="V3082" s="1"/>
      <c r="W3082">
        <v>57.13044</v>
      </c>
      <c r="X3082">
        <v>0</v>
      </c>
      <c r="Y3082">
        <v>79718</v>
      </c>
    </row>
    <row r="3083" spans="1:25" ht="15" customHeight="1" x14ac:dyDescent="0.25">
      <c r="A3083" s="1" t="s">
        <v>37</v>
      </c>
      <c r="B3083" s="1"/>
      <c r="C3083" s="1" t="s">
        <v>193</v>
      </c>
      <c r="D3083">
        <v>10991</v>
      </c>
      <c r="E3083" s="1"/>
      <c r="F3083" s="1" t="s">
        <v>321</v>
      </c>
      <c r="G3083" s="1" t="s">
        <v>1398</v>
      </c>
      <c r="H3083" s="1" t="s">
        <v>1405</v>
      </c>
      <c r="I3083">
        <v>2014</v>
      </c>
      <c r="J3083" s="93">
        <v>0</v>
      </c>
      <c r="K3083">
        <v>10</v>
      </c>
      <c r="L3083" s="1" t="s">
        <v>421</v>
      </c>
      <c r="M3083">
        <v>0</v>
      </c>
      <c r="N3083">
        <v>1475</v>
      </c>
      <c r="O3083">
        <v>0</v>
      </c>
      <c r="P3083">
        <v>3</v>
      </c>
      <c r="Q3083" s="1" t="s">
        <v>560</v>
      </c>
      <c r="R3083" s="93">
        <v>0</v>
      </c>
      <c r="S3083">
        <v>0</v>
      </c>
      <c r="T3083">
        <v>1</v>
      </c>
      <c r="U3083" s="1" t="s">
        <v>678</v>
      </c>
      <c r="V3083" s="1"/>
      <c r="W3083">
        <v>0</v>
      </c>
      <c r="X3083">
        <v>0</v>
      </c>
      <c r="Y3083">
        <v>79719</v>
      </c>
    </row>
    <row r="3084" spans="1:25" ht="15" customHeight="1" x14ac:dyDescent="0.25">
      <c r="A3084" s="1" t="s">
        <v>37</v>
      </c>
      <c r="B3084" s="1"/>
      <c r="C3084" s="1" t="s">
        <v>193</v>
      </c>
      <c r="D3084">
        <v>9220</v>
      </c>
      <c r="E3084" s="1"/>
      <c r="F3084" s="1" t="s">
        <v>322</v>
      </c>
      <c r="G3084" s="1" t="s">
        <v>1398</v>
      </c>
      <c r="H3084" s="1" t="s">
        <v>1405</v>
      </c>
      <c r="I3084">
        <v>2014</v>
      </c>
      <c r="J3084" s="93">
        <v>46.78</v>
      </c>
      <c r="K3084">
        <v>12</v>
      </c>
      <c r="L3084" s="1"/>
      <c r="M3084">
        <v>0</v>
      </c>
      <c r="N3084">
        <v>7549</v>
      </c>
      <c r="O3084">
        <v>6.1960000000000001E-3</v>
      </c>
      <c r="P3084">
        <v>3</v>
      </c>
      <c r="Q3084" s="1" t="s">
        <v>560</v>
      </c>
      <c r="R3084" s="93">
        <v>46.78</v>
      </c>
      <c r="S3084">
        <v>0</v>
      </c>
      <c r="T3084">
        <v>0</v>
      </c>
      <c r="U3084" s="1" t="s">
        <v>672</v>
      </c>
      <c r="V3084" s="1"/>
      <c r="W3084">
        <v>46.779000000000003</v>
      </c>
      <c r="X3084">
        <v>0</v>
      </c>
      <c r="Y3084">
        <v>72733</v>
      </c>
    </row>
    <row r="3085" spans="1:25" ht="15" customHeight="1" x14ac:dyDescent="0.25">
      <c r="A3085" s="1" t="s">
        <v>37</v>
      </c>
      <c r="B3085" s="1"/>
      <c r="C3085" s="1" t="s">
        <v>193</v>
      </c>
      <c r="D3085">
        <v>9220</v>
      </c>
      <c r="E3085" s="1"/>
      <c r="F3085" s="1" t="s">
        <v>322</v>
      </c>
      <c r="G3085" s="1" t="s">
        <v>1398</v>
      </c>
      <c r="H3085" s="1" t="s">
        <v>1405</v>
      </c>
      <c r="I3085">
        <v>2014</v>
      </c>
      <c r="J3085" s="93">
        <v>1255.9000000000001</v>
      </c>
      <c r="K3085">
        <v>12</v>
      </c>
      <c r="L3085" s="1" t="s">
        <v>448</v>
      </c>
      <c r="M3085">
        <v>0</v>
      </c>
      <c r="N3085">
        <v>7549</v>
      </c>
      <c r="O3085">
        <v>0.16636400000000001</v>
      </c>
      <c r="P3085">
        <v>3</v>
      </c>
      <c r="Q3085" s="1" t="s">
        <v>560</v>
      </c>
      <c r="R3085" s="93">
        <v>1255.9000000000001</v>
      </c>
      <c r="S3085">
        <v>1004.72</v>
      </c>
      <c r="T3085">
        <v>0</v>
      </c>
      <c r="U3085" s="1" t="s">
        <v>679</v>
      </c>
      <c r="V3085" s="1"/>
      <c r="W3085">
        <v>1255.9000000000001</v>
      </c>
      <c r="X3085">
        <v>0</v>
      </c>
      <c r="Y3085">
        <v>77261</v>
      </c>
    </row>
    <row r="3086" spans="1:25" ht="15" customHeight="1" x14ac:dyDescent="0.25">
      <c r="A3086" s="1" t="s">
        <v>37</v>
      </c>
      <c r="B3086" s="1"/>
      <c r="C3086" s="1" t="s">
        <v>193</v>
      </c>
      <c r="D3086">
        <v>9220</v>
      </c>
      <c r="E3086" s="1"/>
      <c r="F3086" s="1" t="s">
        <v>322</v>
      </c>
      <c r="G3086" s="1" t="s">
        <v>1398</v>
      </c>
      <c r="H3086" s="1" t="s">
        <v>1405</v>
      </c>
      <c r="I3086">
        <v>2014</v>
      </c>
      <c r="J3086" s="93">
        <v>250.86</v>
      </c>
      <c r="K3086">
        <v>12</v>
      </c>
      <c r="L3086" s="1" t="s">
        <v>449</v>
      </c>
      <c r="M3086">
        <v>0</v>
      </c>
      <c r="N3086">
        <v>7549</v>
      </c>
      <c r="O3086">
        <v>3.3230000000000003E-2</v>
      </c>
      <c r="P3086">
        <v>3</v>
      </c>
      <c r="Q3086" s="1" t="s">
        <v>560</v>
      </c>
      <c r="R3086" s="93">
        <v>250.86</v>
      </c>
      <c r="S3086">
        <v>200.67</v>
      </c>
      <c r="T3086">
        <v>0</v>
      </c>
      <c r="U3086" s="1" t="s">
        <v>680</v>
      </c>
      <c r="V3086" s="1"/>
      <c r="W3086">
        <v>250.852</v>
      </c>
      <c r="X3086">
        <v>0</v>
      </c>
      <c r="Y3086">
        <v>79481</v>
      </c>
    </row>
    <row r="3087" spans="1:25" ht="15" customHeight="1" x14ac:dyDescent="0.25">
      <c r="A3087" s="1" t="s">
        <v>37</v>
      </c>
      <c r="B3087" s="1"/>
      <c r="C3087" s="1" t="s">
        <v>193</v>
      </c>
      <c r="D3087">
        <v>11000</v>
      </c>
      <c r="E3087" s="1"/>
      <c r="F3087" s="1" t="s">
        <v>323</v>
      </c>
      <c r="G3087" s="1" t="s">
        <v>1398</v>
      </c>
      <c r="H3087" s="1" t="s">
        <v>1405</v>
      </c>
      <c r="I3087">
        <v>2014</v>
      </c>
      <c r="J3087" s="93">
        <v>303.51</v>
      </c>
      <c r="K3087">
        <v>12</v>
      </c>
      <c r="L3087" s="1" t="s">
        <v>450</v>
      </c>
      <c r="M3087">
        <v>0</v>
      </c>
      <c r="N3087">
        <v>652</v>
      </c>
      <c r="O3087">
        <v>0.46543400000000001</v>
      </c>
      <c r="P3087">
        <v>3</v>
      </c>
      <c r="Q3087" s="1" t="s">
        <v>560</v>
      </c>
      <c r="R3087" s="93">
        <v>303.51</v>
      </c>
      <c r="S3087">
        <v>242.8</v>
      </c>
      <c r="T3087">
        <v>0</v>
      </c>
      <c r="U3087" s="1" t="s">
        <v>681</v>
      </c>
      <c r="V3087" s="1"/>
      <c r="W3087">
        <v>303.495</v>
      </c>
      <c r="X3087">
        <v>0</v>
      </c>
      <c r="Y3087">
        <v>79480</v>
      </c>
    </row>
    <row r="3088" spans="1:25" ht="15" hidden="1" customHeight="1" x14ac:dyDescent="0.25">
      <c r="A3088" s="1" t="s">
        <v>37</v>
      </c>
      <c r="B3088" s="1"/>
      <c r="C3088" s="1" t="s">
        <v>193</v>
      </c>
      <c r="D3088">
        <v>9220</v>
      </c>
      <c r="E3088" s="1"/>
      <c r="F3088" s="1" t="s">
        <v>322</v>
      </c>
      <c r="G3088" s="1" t="s">
        <v>1398</v>
      </c>
      <c r="H3088" s="1" t="s">
        <v>1405</v>
      </c>
      <c r="I3088">
        <v>2013</v>
      </c>
      <c r="J3088" s="93">
        <v>58620</v>
      </c>
      <c r="K3088">
        <v>12</v>
      </c>
      <c r="L3088" s="1"/>
      <c r="M3088">
        <v>0</v>
      </c>
      <c r="N3088">
        <v>7549</v>
      </c>
      <c r="O3088">
        <v>7.7651640000000004</v>
      </c>
      <c r="P3088">
        <v>1</v>
      </c>
      <c r="Q3088" s="1" t="s">
        <v>562</v>
      </c>
      <c r="R3088" s="93">
        <v>58620</v>
      </c>
      <c r="S3088">
        <v>10844.7</v>
      </c>
      <c r="T3088">
        <v>0</v>
      </c>
      <c r="U3088" s="1" t="s">
        <v>852</v>
      </c>
      <c r="V3088" s="1"/>
      <c r="W3088">
        <v>58620</v>
      </c>
      <c r="X3088">
        <v>0</v>
      </c>
      <c r="Y3088">
        <v>77262</v>
      </c>
    </row>
    <row r="3089" spans="1:25" ht="15" hidden="1" customHeight="1" x14ac:dyDescent="0.25">
      <c r="A3089" s="1" t="s">
        <v>37</v>
      </c>
      <c r="B3089" s="1"/>
      <c r="C3089" s="1" t="s">
        <v>193</v>
      </c>
      <c r="D3089">
        <v>9220</v>
      </c>
      <c r="E3089" s="1"/>
      <c r="F3089" s="1" t="s">
        <v>322</v>
      </c>
      <c r="G3089" s="1" t="s">
        <v>1398</v>
      </c>
      <c r="H3089" s="1" t="s">
        <v>1405</v>
      </c>
      <c r="I3089">
        <v>2013</v>
      </c>
      <c r="J3089" s="93">
        <v>703141.52</v>
      </c>
      <c r="K3089">
        <v>12</v>
      </c>
      <c r="L3089" s="1" t="s">
        <v>432</v>
      </c>
      <c r="M3089">
        <v>0</v>
      </c>
      <c r="N3089">
        <v>7549</v>
      </c>
      <c r="O3089">
        <v>93.142430000000004</v>
      </c>
      <c r="P3089">
        <v>1</v>
      </c>
      <c r="Q3089" s="1" t="s">
        <v>565</v>
      </c>
      <c r="R3089" s="93">
        <v>738576.82</v>
      </c>
      <c r="S3089">
        <v>136636.74</v>
      </c>
      <c r="T3089">
        <v>0</v>
      </c>
      <c r="U3089" s="1" t="s">
        <v>853</v>
      </c>
      <c r="V3089" s="1"/>
      <c r="W3089">
        <v>-449617.29100000003</v>
      </c>
      <c r="X3089">
        <v>0</v>
      </c>
      <c r="Y3089">
        <v>77263</v>
      </c>
    </row>
    <row r="3090" spans="1:25" ht="15" hidden="1" customHeight="1" x14ac:dyDescent="0.25">
      <c r="A3090" s="1" t="s">
        <v>37</v>
      </c>
      <c r="B3090" s="1"/>
      <c r="C3090" s="1" t="s">
        <v>193</v>
      </c>
      <c r="D3090">
        <v>11000</v>
      </c>
      <c r="E3090" s="1"/>
      <c r="F3090" s="1" t="s">
        <v>323</v>
      </c>
      <c r="G3090" s="1" t="s">
        <v>1398</v>
      </c>
      <c r="H3090" s="1" t="s">
        <v>1405</v>
      </c>
      <c r="I3090">
        <v>2013</v>
      </c>
      <c r="J3090" s="93">
        <v>5659.85</v>
      </c>
      <c r="K3090">
        <v>12</v>
      </c>
      <c r="L3090" s="1" t="s">
        <v>450</v>
      </c>
      <c r="M3090">
        <v>0</v>
      </c>
      <c r="N3090">
        <v>652</v>
      </c>
      <c r="O3090">
        <v>8.6794200000000004</v>
      </c>
      <c r="P3090">
        <v>1</v>
      </c>
      <c r="Q3090" s="1" t="s">
        <v>565</v>
      </c>
      <c r="R3090" s="93">
        <v>5659.85</v>
      </c>
      <c r="S3090">
        <v>0.37</v>
      </c>
      <c r="T3090">
        <v>0</v>
      </c>
      <c r="U3090" s="1" t="s">
        <v>856</v>
      </c>
      <c r="V3090" s="1"/>
      <c r="W3090">
        <v>-216577.69</v>
      </c>
      <c r="X3090">
        <v>0</v>
      </c>
      <c r="Y3090">
        <v>80204</v>
      </c>
    </row>
    <row r="3091" spans="1:25" ht="15" hidden="1" customHeight="1" x14ac:dyDescent="0.25">
      <c r="A3091" s="1" t="s">
        <v>37</v>
      </c>
      <c r="B3091" s="1"/>
      <c r="C3091" s="1" t="s">
        <v>193</v>
      </c>
      <c r="D3091">
        <v>9220</v>
      </c>
      <c r="E3091" s="1"/>
      <c r="F3091" s="1" t="s">
        <v>322</v>
      </c>
      <c r="G3091" s="1" t="s">
        <v>1398</v>
      </c>
      <c r="H3091" s="1" t="s">
        <v>1405</v>
      </c>
      <c r="I3091">
        <v>2013</v>
      </c>
      <c r="J3091" s="93">
        <v>170431.86</v>
      </c>
      <c r="K3091">
        <v>12</v>
      </c>
      <c r="L3091" s="1" t="s">
        <v>448</v>
      </c>
      <c r="M3091">
        <v>0</v>
      </c>
      <c r="N3091">
        <v>7549</v>
      </c>
      <c r="O3091">
        <v>22.576447000000002</v>
      </c>
      <c r="P3091">
        <v>2</v>
      </c>
      <c r="Q3091" s="1" t="s">
        <v>569</v>
      </c>
      <c r="R3091" s="93">
        <v>170431.86</v>
      </c>
      <c r="S3091">
        <v>51129.56</v>
      </c>
      <c r="T3091">
        <v>0</v>
      </c>
      <c r="U3091" s="1" t="s">
        <v>1074</v>
      </c>
      <c r="V3091" s="1"/>
      <c r="W3091">
        <v>170431.8682</v>
      </c>
      <c r="X3091">
        <v>0</v>
      </c>
      <c r="Y3091">
        <v>78606</v>
      </c>
    </row>
    <row r="3092" spans="1:25" ht="15" hidden="1" customHeight="1" x14ac:dyDescent="0.25">
      <c r="A3092" s="1" t="s">
        <v>37</v>
      </c>
      <c r="B3092" s="1"/>
      <c r="C3092" s="1" t="s">
        <v>193</v>
      </c>
      <c r="D3092">
        <v>11000</v>
      </c>
      <c r="E3092" s="1"/>
      <c r="F3092" s="1" t="s">
        <v>323</v>
      </c>
      <c r="G3092" s="1" t="s">
        <v>1398</v>
      </c>
      <c r="H3092" s="1" t="s">
        <v>1405</v>
      </c>
      <c r="I3092">
        <v>2013</v>
      </c>
      <c r="J3092" s="93">
        <v>1896.06</v>
      </c>
      <c r="K3092">
        <v>12</v>
      </c>
      <c r="L3092" s="1" t="s">
        <v>421</v>
      </c>
      <c r="M3092">
        <v>0</v>
      </c>
      <c r="N3092">
        <v>652</v>
      </c>
      <c r="O3092">
        <v>2.9076209999999998</v>
      </c>
      <c r="P3092">
        <v>2</v>
      </c>
      <c r="Q3092" s="1" t="s">
        <v>569</v>
      </c>
      <c r="R3092" s="93">
        <v>1896.06</v>
      </c>
      <c r="S3092">
        <v>568.83000000000004</v>
      </c>
      <c r="T3092">
        <v>0</v>
      </c>
      <c r="U3092" s="1" t="s">
        <v>1075</v>
      </c>
      <c r="V3092" s="1" t="s">
        <v>1330</v>
      </c>
      <c r="W3092">
        <v>1896.05485</v>
      </c>
      <c r="X3092">
        <v>0</v>
      </c>
      <c r="Y3092">
        <v>79720</v>
      </c>
    </row>
    <row r="3093" spans="1:25" ht="15" hidden="1" customHeight="1" x14ac:dyDescent="0.25">
      <c r="A3093" s="1" t="s">
        <v>37</v>
      </c>
      <c r="B3093" s="1"/>
      <c r="C3093" s="1" t="s">
        <v>194</v>
      </c>
      <c r="D3093">
        <v>14253</v>
      </c>
      <c r="E3093" s="1" t="s">
        <v>243</v>
      </c>
      <c r="F3093" s="1" t="s">
        <v>325</v>
      </c>
      <c r="G3093" s="1" t="s">
        <v>194</v>
      </c>
      <c r="H3093" s="1" t="s">
        <v>1405</v>
      </c>
      <c r="I3093">
        <v>2013</v>
      </c>
      <c r="J3093" s="93">
        <v>260471.35</v>
      </c>
      <c r="K3093">
        <v>12</v>
      </c>
      <c r="L3093" s="1" t="s">
        <v>478</v>
      </c>
      <c r="M3093">
        <v>0</v>
      </c>
      <c r="N3093">
        <v>6105</v>
      </c>
      <c r="O3093">
        <v>42.664549999999998</v>
      </c>
      <c r="P3093">
        <v>2</v>
      </c>
      <c r="Q3093" s="1" t="s">
        <v>569</v>
      </c>
      <c r="R3093" s="93">
        <v>260471.35</v>
      </c>
      <c r="S3093">
        <v>78141.38</v>
      </c>
      <c r="T3093">
        <v>0</v>
      </c>
      <c r="U3093" s="1" t="s">
        <v>1076</v>
      </c>
      <c r="V3093" s="1" t="s">
        <v>1331</v>
      </c>
      <c r="W3093">
        <v>260471.35</v>
      </c>
      <c r="X3093">
        <v>0</v>
      </c>
      <c r="Y3093">
        <v>72734</v>
      </c>
    </row>
    <row r="3094" spans="1:25" ht="15" hidden="1" customHeight="1" x14ac:dyDescent="0.25">
      <c r="A3094" s="1" t="s">
        <v>37</v>
      </c>
      <c r="B3094" s="1"/>
      <c r="C3094" s="1" t="s">
        <v>193</v>
      </c>
      <c r="D3094">
        <v>11000</v>
      </c>
      <c r="E3094" s="1"/>
      <c r="F3094" s="1" t="s">
        <v>323</v>
      </c>
      <c r="G3094" s="1" t="s">
        <v>1398</v>
      </c>
      <c r="H3094" s="1" t="s">
        <v>1405</v>
      </c>
      <c r="I3094">
        <v>2013</v>
      </c>
      <c r="J3094" s="93">
        <v>35315</v>
      </c>
      <c r="K3094">
        <v>12</v>
      </c>
      <c r="L3094" s="1" t="s">
        <v>494</v>
      </c>
      <c r="M3094">
        <v>0</v>
      </c>
      <c r="N3094">
        <v>652</v>
      </c>
      <c r="O3094">
        <v>54.155804000000003</v>
      </c>
      <c r="P3094">
        <v>1</v>
      </c>
      <c r="Q3094" s="1" t="s">
        <v>562</v>
      </c>
      <c r="R3094" s="93">
        <v>35315</v>
      </c>
      <c r="S3094">
        <v>2260.17</v>
      </c>
      <c r="T3094">
        <v>0</v>
      </c>
      <c r="U3094" s="1" t="s">
        <v>855</v>
      </c>
      <c r="V3094" s="1"/>
      <c r="W3094">
        <v>35315</v>
      </c>
      <c r="X3094">
        <v>0</v>
      </c>
      <c r="Y3094">
        <v>79521</v>
      </c>
    </row>
    <row r="3095" spans="1:25" ht="15" hidden="1" customHeight="1" x14ac:dyDescent="0.25">
      <c r="A3095" s="1" t="s">
        <v>37</v>
      </c>
      <c r="B3095" s="1"/>
      <c r="C3095" s="1" t="s">
        <v>193</v>
      </c>
      <c r="D3095">
        <v>10991</v>
      </c>
      <c r="E3095" s="1"/>
      <c r="F3095" s="1" t="s">
        <v>321</v>
      </c>
      <c r="G3095" s="1" t="s">
        <v>1398</v>
      </c>
      <c r="H3095" s="1" t="s">
        <v>1405</v>
      </c>
      <c r="I3095">
        <v>2013</v>
      </c>
      <c r="J3095" s="93">
        <v>315730</v>
      </c>
      <c r="K3095">
        <v>12</v>
      </c>
      <c r="L3095" s="1" t="s">
        <v>445</v>
      </c>
      <c r="M3095">
        <v>0</v>
      </c>
      <c r="N3095">
        <v>1475</v>
      </c>
      <c r="O3095">
        <v>214.039726</v>
      </c>
      <c r="P3095">
        <v>1</v>
      </c>
      <c r="Q3095" s="1" t="s">
        <v>562</v>
      </c>
      <c r="R3095" s="93">
        <v>332973.82</v>
      </c>
      <c r="S3095">
        <v>61600.15</v>
      </c>
      <c r="T3095">
        <v>0</v>
      </c>
      <c r="U3095" s="1" t="s">
        <v>850</v>
      </c>
      <c r="V3095" s="1"/>
      <c r="W3095">
        <v>315729.99699999997</v>
      </c>
      <c r="X3095">
        <v>0</v>
      </c>
      <c r="Y3095">
        <v>94185</v>
      </c>
    </row>
    <row r="3096" spans="1:25" ht="15" hidden="1" customHeight="1" x14ac:dyDescent="0.25">
      <c r="A3096" s="1" t="s">
        <v>37</v>
      </c>
      <c r="B3096" s="1"/>
      <c r="C3096" s="1" t="s">
        <v>193</v>
      </c>
      <c r="D3096">
        <v>9220</v>
      </c>
      <c r="E3096" s="1"/>
      <c r="F3096" s="1" t="s">
        <v>322</v>
      </c>
      <c r="G3096" s="1" t="s">
        <v>1398</v>
      </c>
      <c r="H3096" s="1" t="s">
        <v>1405</v>
      </c>
      <c r="I3096">
        <v>2013</v>
      </c>
      <c r="J3096" s="93">
        <v>69312.479999999996</v>
      </c>
      <c r="K3096">
        <v>12</v>
      </c>
      <c r="L3096" s="1"/>
      <c r="M3096">
        <v>0</v>
      </c>
      <c r="N3096">
        <v>7549</v>
      </c>
      <c r="O3096">
        <v>9.1815549999999995</v>
      </c>
      <c r="P3096">
        <v>1</v>
      </c>
      <c r="Q3096" s="1" t="s">
        <v>563</v>
      </c>
      <c r="R3096" s="93">
        <v>69312.479999999996</v>
      </c>
      <c r="S3096">
        <v>367521.04</v>
      </c>
      <c r="T3096">
        <v>0</v>
      </c>
      <c r="U3096" s="1" t="s">
        <v>852</v>
      </c>
      <c r="V3096" s="1"/>
      <c r="W3096">
        <v>1986.6</v>
      </c>
      <c r="X3096">
        <v>77262</v>
      </c>
      <c r="Y3096">
        <v>77265</v>
      </c>
    </row>
    <row r="3097" spans="1:25" ht="15" hidden="1" customHeight="1" x14ac:dyDescent="0.25">
      <c r="A3097" s="1" t="s">
        <v>37</v>
      </c>
      <c r="B3097" s="1"/>
      <c r="C3097" s="1" t="s">
        <v>191</v>
      </c>
      <c r="D3097">
        <v>9224</v>
      </c>
      <c r="E3097" s="1"/>
      <c r="F3097" s="1" t="s">
        <v>319</v>
      </c>
      <c r="G3097" s="1" t="s">
        <v>191</v>
      </c>
      <c r="H3097" s="1" t="s">
        <v>1405</v>
      </c>
      <c r="I3097">
        <v>2015</v>
      </c>
      <c r="J3097" s="93">
        <v>421876</v>
      </c>
      <c r="K3097">
        <v>5</v>
      </c>
      <c r="L3097" s="1"/>
      <c r="M3097">
        <v>0</v>
      </c>
      <c r="N3097">
        <v>4404</v>
      </c>
      <c r="O3097">
        <v>57.315945999999997</v>
      </c>
      <c r="P3097">
        <v>1</v>
      </c>
      <c r="Q3097" s="1" t="s">
        <v>564</v>
      </c>
      <c r="R3097" s="93">
        <v>485000</v>
      </c>
      <c r="S3097">
        <v>60085.91</v>
      </c>
      <c r="T3097">
        <v>0</v>
      </c>
      <c r="U3097" s="1"/>
      <c r="V3097" s="1" t="s">
        <v>1219</v>
      </c>
      <c r="W3097">
        <v>23372.7</v>
      </c>
      <c r="X3097">
        <v>0</v>
      </c>
      <c r="Y3097">
        <v>77267</v>
      </c>
    </row>
    <row r="3098" spans="1:25" ht="15" hidden="1" customHeight="1" x14ac:dyDescent="0.25">
      <c r="A3098" s="1" t="s">
        <v>37</v>
      </c>
      <c r="B3098" s="1"/>
      <c r="C3098" s="1" t="s">
        <v>191</v>
      </c>
      <c r="D3098">
        <v>9224</v>
      </c>
      <c r="E3098" s="1"/>
      <c r="F3098" s="1" t="s">
        <v>319</v>
      </c>
      <c r="G3098" s="1" t="s">
        <v>191</v>
      </c>
      <c r="H3098" s="1" t="s">
        <v>1405</v>
      </c>
      <c r="I3098">
        <v>2013</v>
      </c>
      <c r="J3098" s="93">
        <v>519220.8</v>
      </c>
      <c r="K3098">
        <v>12</v>
      </c>
      <c r="L3098" s="1"/>
      <c r="M3098">
        <v>0</v>
      </c>
      <c r="N3098">
        <v>4404</v>
      </c>
      <c r="O3098">
        <v>117.89487</v>
      </c>
      <c r="P3098">
        <v>1</v>
      </c>
      <c r="Q3098" s="1" t="s">
        <v>564</v>
      </c>
      <c r="R3098" s="93">
        <v>541156.37</v>
      </c>
      <c r="S3098">
        <v>114444.56</v>
      </c>
      <c r="T3098">
        <v>0</v>
      </c>
      <c r="U3098" s="1"/>
      <c r="V3098" s="1" t="s">
        <v>1219</v>
      </c>
      <c r="W3098">
        <v>48076</v>
      </c>
      <c r="X3098">
        <v>0</v>
      </c>
      <c r="Y3098">
        <v>77267</v>
      </c>
    </row>
    <row r="3099" spans="1:25" ht="15" hidden="1" customHeight="1" x14ac:dyDescent="0.25">
      <c r="A3099" s="1" t="s">
        <v>37</v>
      </c>
      <c r="B3099" s="1"/>
      <c r="C3099" s="1" t="s">
        <v>191</v>
      </c>
      <c r="D3099">
        <v>9224</v>
      </c>
      <c r="E3099" s="1"/>
      <c r="F3099" s="1" t="s">
        <v>319</v>
      </c>
      <c r="G3099" s="1" t="s">
        <v>191</v>
      </c>
      <c r="H3099" s="1" t="s">
        <v>1405</v>
      </c>
      <c r="I3099">
        <v>2012</v>
      </c>
      <c r="J3099" s="93">
        <v>542937.59999999998</v>
      </c>
      <c r="K3099">
        <v>12</v>
      </c>
      <c r="L3099" s="1"/>
      <c r="M3099">
        <v>0</v>
      </c>
      <c r="N3099">
        <v>4404</v>
      </c>
      <c r="O3099">
        <v>123.280034</v>
      </c>
      <c r="P3099">
        <v>1</v>
      </c>
      <c r="Q3099" s="1" t="s">
        <v>564</v>
      </c>
      <c r="R3099" s="93">
        <v>572202.49</v>
      </c>
      <c r="S3099">
        <v>121010.23</v>
      </c>
      <c r="T3099">
        <v>0</v>
      </c>
      <c r="U3099" s="1"/>
      <c r="V3099" s="1" t="s">
        <v>1219</v>
      </c>
      <c r="W3099">
        <v>50272</v>
      </c>
      <c r="X3099">
        <v>0</v>
      </c>
      <c r="Y3099">
        <v>77267</v>
      </c>
    </row>
    <row r="3100" spans="1:25" ht="15" hidden="1" customHeight="1" x14ac:dyDescent="0.25">
      <c r="A3100" s="1" t="s">
        <v>37</v>
      </c>
      <c r="B3100" s="1"/>
      <c r="C3100" s="1" t="s">
        <v>191</v>
      </c>
      <c r="D3100">
        <v>9224</v>
      </c>
      <c r="E3100" s="1"/>
      <c r="F3100" s="1" t="s">
        <v>319</v>
      </c>
      <c r="G3100" s="1" t="s">
        <v>191</v>
      </c>
      <c r="H3100" s="1" t="s">
        <v>1405</v>
      </c>
      <c r="I3100">
        <v>2011</v>
      </c>
      <c r="J3100" s="93">
        <v>514933.2</v>
      </c>
      <c r="K3100">
        <v>12</v>
      </c>
      <c r="L3100" s="1"/>
      <c r="M3100">
        <v>0</v>
      </c>
      <c r="N3100">
        <v>4404</v>
      </c>
      <c r="O3100">
        <v>116.921323</v>
      </c>
      <c r="P3100">
        <v>1</v>
      </c>
      <c r="Q3100" s="1" t="s">
        <v>564</v>
      </c>
      <c r="R3100" s="93">
        <v>567606.04</v>
      </c>
      <c r="S3100">
        <v>120038.15</v>
      </c>
      <c r="T3100">
        <v>0</v>
      </c>
      <c r="U3100" s="1"/>
      <c r="V3100" s="1" t="s">
        <v>1219</v>
      </c>
      <c r="W3100">
        <v>47679</v>
      </c>
      <c r="X3100">
        <v>0</v>
      </c>
      <c r="Y3100">
        <v>77267</v>
      </c>
    </row>
    <row r="3101" spans="1:25" ht="15" hidden="1" customHeight="1" x14ac:dyDescent="0.25">
      <c r="A3101" s="1" t="s">
        <v>37</v>
      </c>
      <c r="B3101" s="1"/>
      <c r="C3101" s="1" t="s">
        <v>191</v>
      </c>
      <c r="D3101">
        <v>9224</v>
      </c>
      <c r="E3101" s="1"/>
      <c r="F3101" s="1" t="s">
        <v>319</v>
      </c>
      <c r="G3101" s="1" t="s">
        <v>191</v>
      </c>
      <c r="H3101" s="1" t="s">
        <v>1405</v>
      </c>
      <c r="I3101">
        <v>2010</v>
      </c>
      <c r="J3101" s="93">
        <v>670544.87</v>
      </c>
      <c r="K3101">
        <v>12</v>
      </c>
      <c r="L3101" s="1"/>
      <c r="M3101">
        <v>0</v>
      </c>
      <c r="N3101">
        <v>4404</v>
      </c>
      <c r="O3101">
        <v>152.25468699999999</v>
      </c>
      <c r="P3101">
        <v>1</v>
      </c>
      <c r="Q3101" s="1" t="s">
        <v>564</v>
      </c>
      <c r="R3101" s="93">
        <v>893369.63</v>
      </c>
      <c r="S3101">
        <v>188931.13</v>
      </c>
      <c r="T3101">
        <v>0</v>
      </c>
      <c r="U3101" s="1"/>
      <c r="V3101" s="1" t="s">
        <v>1219</v>
      </c>
      <c r="W3101">
        <v>62087.487999999998</v>
      </c>
      <c r="X3101">
        <v>0</v>
      </c>
      <c r="Y3101">
        <v>77267</v>
      </c>
    </row>
    <row r="3102" spans="1:25" ht="15" hidden="1" customHeight="1" x14ac:dyDescent="0.25">
      <c r="A3102" s="1" t="s">
        <v>37</v>
      </c>
      <c r="B3102" s="1"/>
      <c r="C3102" s="1" t="s">
        <v>191</v>
      </c>
      <c r="D3102">
        <v>9224</v>
      </c>
      <c r="E3102" s="1"/>
      <c r="F3102" s="1" t="s">
        <v>319</v>
      </c>
      <c r="G3102" s="1" t="s">
        <v>191</v>
      </c>
      <c r="H3102" s="1" t="s">
        <v>1405</v>
      </c>
      <c r="I3102">
        <v>2009</v>
      </c>
      <c r="J3102" s="93">
        <v>493306.34</v>
      </c>
      <c r="K3102">
        <v>12</v>
      </c>
      <c r="L3102" s="1"/>
      <c r="M3102">
        <v>0</v>
      </c>
      <c r="N3102">
        <v>4404</v>
      </c>
      <c r="O3102">
        <v>112.01070300000001</v>
      </c>
      <c r="P3102">
        <v>1</v>
      </c>
      <c r="Q3102" s="1" t="s">
        <v>564</v>
      </c>
      <c r="R3102" s="93">
        <v>526273.94999999995</v>
      </c>
      <c r="S3102">
        <v>111297.19</v>
      </c>
      <c r="T3102">
        <v>0</v>
      </c>
      <c r="U3102" s="1"/>
      <c r="V3102" s="1" t="s">
        <v>1219</v>
      </c>
      <c r="W3102">
        <v>45676.512999999999</v>
      </c>
      <c r="X3102">
        <v>0</v>
      </c>
      <c r="Y3102">
        <v>77267</v>
      </c>
    </row>
    <row r="3103" spans="1:25" ht="15" hidden="1" customHeight="1" x14ac:dyDescent="0.25">
      <c r="A3103" s="1" t="s">
        <v>37</v>
      </c>
      <c r="B3103" s="1"/>
      <c r="C3103" s="1" t="s">
        <v>191</v>
      </c>
      <c r="D3103">
        <v>9224</v>
      </c>
      <c r="E3103" s="1"/>
      <c r="F3103" s="1" t="s">
        <v>319</v>
      </c>
      <c r="G3103" s="1" t="s">
        <v>191</v>
      </c>
      <c r="H3103" s="1" t="s">
        <v>1405</v>
      </c>
      <c r="I3103">
        <v>2008</v>
      </c>
      <c r="J3103" s="93">
        <v>221851.16</v>
      </c>
      <c r="K3103">
        <v>3</v>
      </c>
      <c r="L3103" s="1" t="s">
        <v>491</v>
      </c>
      <c r="M3103">
        <v>0</v>
      </c>
      <c r="N3103">
        <v>4404</v>
      </c>
      <c r="O3103">
        <v>50.373778000000001</v>
      </c>
      <c r="P3103">
        <v>1</v>
      </c>
      <c r="Q3103" s="1" t="s">
        <v>564</v>
      </c>
      <c r="R3103" s="93">
        <v>277073.8</v>
      </c>
      <c r="S3103">
        <v>58595.97</v>
      </c>
      <c r="T3103">
        <v>0</v>
      </c>
      <c r="U3103" s="1" t="s">
        <v>810</v>
      </c>
      <c r="V3103" s="1"/>
      <c r="W3103">
        <v>20541.77419</v>
      </c>
      <c r="X3103">
        <v>0</v>
      </c>
      <c r="Y3103">
        <v>77972</v>
      </c>
    </row>
    <row r="3104" spans="1:25" ht="15" hidden="1" customHeight="1" x14ac:dyDescent="0.25">
      <c r="A3104" s="1" t="s">
        <v>37</v>
      </c>
      <c r="B3104" s="1"/>
      <c r="C3104" s="1" t="s">
        <v>191</v>
      </c>
      <c r="D3104">
        <v>9224</v>
      </c>
      <c r="E3104" s="1"/>
      <c r="F3104" s="1" t="s">
        <v>319</v>
      </c>
      <c r="G3104" s="1" t="s">
        <v>191</v>
      </c>
      <c r="H3104" s="1" t="s">
        <v>1405</v>
      </c>
      <c r="I3104">
        <v>2008</v>
      </c>
      <c r="J3104" s="93">
        <v>318265.2</v>
      </c>
      <c r="K3104">
        <v>12</v>
      </c>
      <c r="L3104" s="1"/>
      <c r="M3104">
        <v>0</v>
      </c>
      <c r="N3104">
        <v>4404</v>
      </c>
      <c r="O3104">
        <v>72.265660999999994</v>
      </c>
      <c r="P3104">
        <v>1</v>
      </c>
      <c r="Q3104" s="1" t="s">
        <v>564</v>
      </c>
      <c r="R3104" s="93">
        <v>353205.49</v>
      </c>
      <c r="S3104">
        <v>74696.41</v>
      </c>
      <c r="T3104">
        <v>0</v>
      </c>
      <c r="U3104" s="1"/>
      <c r="V3104" s="1" t="s">
        <v>1219</v>
      </c>
      <c r="W3104">
        <v>29469</v>
      </c>
      <c r="X3104">
        <v>0</v>
      </c>
      <c r="Y3104">
        <v>77267</v>
      </c>
    </row>
    <row r="3105" spans="1:25" ht="15" customHeight="1" x14ac:dyDescent="0.25">
      <c r="A3105" s="1" t="s">
        <v>37</v>
      </c>
      <c r="B3105" s="1"/>
      <c r="C3105" s="1" t="s">
        <v>192</v>
      </c>
      <c r="D3105">
        <v>10230</v>
      </c>
      <c r="E3105" s="1"/>
      <c r="F3105" s="1" t="s">
        <v>320</v>
      </c>
      <c r="G3105" s="1" t="s">
        <v>320</v>
      </c>
      <c r="H3105" s="1" t="s">
        <v>1405</v>
      </c>
      <c r="I3105">
        <v>2015</v>
      </c>
      <c r="J3105" s="93">
        <v>45505</v>
      </c>
      <c r="K3105">
        <v>5</v>
      </c>
      <c r="L3105" s="1"/>
      <c r="M3105">
        <v>0</v>
      </c>
      <c r="N3105">
        <v>711</v>
      </c>
      <c r="O3105">
        <v>40.561101999999998</v>
      </c>
      <c r="P3105">
        <v>1</v>
      </c>
      <c r="Q3105" s="1" t="s">
        <v>562</v>
      </c>
      <c r="R3105" s="93">
        <v>53668</v>
      </c>
      <c r="S3105">
        <v>6063.02</v>
      </c>
      <c r="T3105">
        <v>0</v>
      </c>
      <c r="U3105" s="1" t="s">
        <v>849</v>
      </c>
      <c r="V3105" s="1"/>
      <c r="W3105">
        <v>28843</v>
      </c>
      <c r="X3105">
        <v>0</v>
      </c>
      <c r="Y3105">
        <v>90964</v>
      </c>
    </row>
    <row r="3106" spans="1:25" ht="15" hidden="1" customHeight="1" x14ac:dyDescent="0.25">
      <c r="A3106" s="1" t="s">
        <v>37</v>
      </c>
      <c r="B3106" s="1"/>
      <c r="C3106" s="1" t="s">
        <v>192</v>
      </c>
      <c r="D3106">
        <v>10230</v>
      </c>
      <c r="E3106" s="1"/>
      <c r="F3106" s="1" t="s">
        <v>320</v>
      </c>
      <c r="G3106" s="1" t="s">
        <v>320</v>
      </c>
      <c r="H3106" s="1" t="s">
        <v>1405</v>
      </c>
      <c r="I3106">
        <v>2013</v>
      </c>
      <c r="J3106" s="93">
        <v>58396</v>
      </c>
      <c r="K3106">
        <v>12</v>
      </c>
      <c r="L3106" s="1"/>
      <c r="M3106">
        <v>0</v>
      </c>
      <c r="N3106">
        <v>711</v>
      </c>
      <c r="O3106">
        <v>82.120658000000006</v>
      </c>
      <c r="P3106">
        <v>1</v>
      </c>
      <c r="Q3106" s="1" t="s">
        <v>562</v>
      </c>
      <c r="R3106" s="93">
        <v>60539.97</v>
      </c>
      <c r="S3106">
        <v>11199.88</v>
      </c>
      <c r="T3106">
        <v>0</v>
      </c>
      <c r="U3106" s="1" t="s">
        <v>849</v>
      </c>
      <c r="V3106" s="1"/>
      <c r="W3106">
        <v>58396</v>
      </c>
      <c r="X3106">
        <v>0</v>
      </c>
      <c r="Y3106">
        <v>90964</v>
      </c>
    </row>
    <row r="3107" spans="1:25" ht="15" hidden="1" customHeight="1" x14ac:dyDescent="0.25">
      <c r="A3107" s="1" t="s">
        <v>37</v>
      </c>
      <c r="B3107" s="1"/>
      <c r="C3107" s="1" t="s">
        <v>192</v>
      </c>
      <c r="D3107">
        <v>10230</v>
      </c>
      <c r="E3107" s="1"/>
      <c r="F3107" s="1" t="s">
        <v>320</v>
      </c>
      <c r="G3107" s="1" t="s">
        <v>320</v>
      </c>
      <c r="H3107" s="1" t="s">
        <v>1405</v>
      </c>
      <c r="I3107">
        <v>2012</v>
      </c>
      <c r="J3107" s="93">
        <v>59412</v>
      </c>
      <c r="K3107">
        <v>12</v>
      </c>
      <c r="L3107" s="1"/>
      <c r="M3107">
        <v>0</v>
      </c>
      <c r="N3107">
        <v>711</v>
      </c>
      <c r="O3107">
        <v>83.549430000000001</v>
      </c>
      <c r="P3107">
        <v>1</v>
      </c>
      <c r="Q3107" s="1" t="s">
        <v>562</v>
      </c>
      <c r="R3107" s="93">
        <v>62221.61</v>
      </c>
      <c r="S3107">
        <v>11511</v>
      </c>
      <c r="T3107">
        <v>0</v>
      </c>
      <c r="U3107" s="1" t="s">
        <v>849</v>
      </c>
      <c r="V3107" s="1"/>
      <c r="W3107">
        <v>59412.0003</v>
      </c>
      <c r="X3107">
        <v>0</v>
      </c>
      <c r="Y3107">
        <v>90964</v>
      </c>
    </row>
    <row r="3108" spans="1:25" ht="15" hidden="1" customHeight="1" x14ac:dyDescent="0.25">
      <c r="A3108" s="1" t="s">
        <v>37</v>
      </c>
      <c r="B3108" s="1"/>
      <c r="C3108" s="1" t="s">
        <v>192</v>
      </c>
      <c r="D3108">
        <v>10230</v>
      </c>
      <c r="E3108" s="1"/>
      <c r="F3108" s="1" t="s">
        <v>320</v>
      </c>
      <c r="G3108" s="1" t="s">
        <v>320</v>
      </c>
      <c r="H3108" s="1" t="s">
        <v>1405</v>
      </c>
      <c r="I3108">
        <v>2011</v>
      </c>
      <c r="J3108" s="93">
        <v>55544.01</v>
      </c>
      <c r="K3108">
        <v>9</v>
      </c>
      <c r="L3108" s="1" t="s">
        <v>399</v>
      </c>
      <c r="M3108">
        <v>0</v>
      </c>
      <c r="N3108">
        <v>711</v>
      </c>
      <c r="O3108">
        <v>78.109983999999997</v>
      </c>
      <c r="P3108">
        <v>1</v>
      </c>
      <c r="Q3108" s="1" t="s">
        <v>565</v>
      </c>
      <c r="R3108" s="93">
        <v>64734.080000000002</v>
      </c>
      <c r="S3108">
        <v>11975.81</v>
      </c>
      <c r="T3108">
        <v>0</v>
      </c>
      <c r="U3108" s="1" t="s">
        <v>849</v>
      </c>
      <c r="V3108" s="1"/>
      <c r="W3108">
        <v>55.54401</v>
      </c>
      <c r="X3108">
        <v>0</v>
      </c>
      <c r="Y3108">
        <v>77565</v>
      </c>
    </row>
    <row r="3109" spans="1:25" ht="15" hidden="1" customHeight="1" x14ac:dyDescent="0.25">
      <c r="A3109" s="1" t="s">
        <v>37</v>
      </c>
      <c r="B3109" s="1"/>
      <c r="C3109" s="1" t="s">
        <v>192</v>
      </c>
      <c r="D3109">
        <v>10230</v>
      </c>
      <c r="E3109" s="1"/>
      <c r="F3109" s="1" t="s">
        <v>320</v>
      </c>
      <c r="G3109" s="1" t="s">
        <v>320</v>
      </c>
      <c r="H3109" s="1" t="s">
        <v>1405</v>
      </c>
      <c r="I3109">
        <v>2010</v>
      </c>
      <c r="J3109" s="93">
        <v>73418.740000000005</v>
      </c>
      <c r="K3109">
        <v>11</v>
      </c>
      <c r="L3109" s="1" t="s">
        <v>399</v>
      </c>
      <c r="M3109">
        <v>0</v>
      </c>
      <c r="N3109">
        <v>711</v>
      </c>
      <c r="O3109">
        <v>103.24671600000001</v>
      </c>
      <c r="P3109">
        <v>1</v>
      </c>
      <c r="Q3109" s="1" t="s">
        <v>565</v>
      </c>
      <c r="R3109" s="93">
        <v>66801.460000000006</v>
      </c>
      <c r="S3109">
        <v>12358.25</v>
      </c>
      <c r="T3109">
        <v>0</v>
      </c>
      <c r="U3109" s="1" t="s">
        <v>849</v>
      </c>
      <c r="V3109" s="1"/>
      <c r="W3109">
        <v>73.41874</v>
      </c>
      <c r="X3109">
        <v>0</v>
      </c>
      <c r="Y3109">
        <v>77565</v>
      </c>
    </row>
    <row r="3110" spans="1:25" ht="15" hidden="1" customHeight="1" x14ac:dyDescent="0.25">
      <c r="A3110" s="1" t="s">
        <v>37</v>
      </c>
      <c r="B3110" s="1"/>
      <c r="C3110" s="1" t="s">
        <v>192</v>
      </c>
      <c r="D3110">
        <v>10230</v>
      </c>
      <c r="E3110" s="1"/>
      <c r="F3110" s="1" t="s">
        <v>320</v>
      </c>
      <c r="G3110" s="1" t="s">
        <v>320</v>
      </c>
      <c r="H3110" s="1" t="s">
        <v>1405</v>
      </c>
      <c r="I3110">
        <v>2009</v>
      </c>
      <c r="J3110" s="93">
        <v>55067.57</v>
      </c>
      <c r="K3110">
        <v>12</v>
      </c>
      <c r="L3110" s="1" t="s">
        <v>399</v>
      </c>
      <c r="M3110">
        <v>0</v>
      </c>
      <c r="N3110">
        <v>711</v>
      </c>
      <c r="O3110">
        <v>77.439980000000006</v>
      </c>
      <c r="P3110">
        <v>1</v>
      </c>
      <c r="Q3110" s="1" t="s">
        <v>565</v>
      </c>
      <c r="R3110" s="93">
        <v>58053.08</v>
      </c>
      <c r="S3110">
        <v>10739.83</v>
      </c>
      <c r="T3110">
        <v>0</v>
      </c>
      <c r="U3110" s="1" t="s">
        <v>849</v>
      </c>
      <c r="V3110" s="1"/>
      <c r="W3110">
        <v>55.067570000000003</v>
      </c>
      <c r="X3110">
        <v>0</v>
      </c>
      <c r="Y3110">
        <v>77565</v>
      </c>
    </row>
    <row r="3111" spans="1:25" ht="15" hidden="1" customHeight="1" x14ac:dyDescent="0.25">
      <c r="A3111" s="1" t="s">
        <v>37</v>
      </c>
      <c r="B3111" s="1"/>
      <c r="C3111" s="1" t="s">
        <v>192</v>
      </c>
      <c r="D3111">
        <v>10230</v>
      </c>
      <c r="E3111" s="1"/>
      <c r="F3111" s="1" t="s">
        <v>320</v>
      </c>
      <c r="G3111" s="1" t="s">
        <v>320</v>
      </c>
      <c r="H3111" s="1" t="s">
        <v>1405</v>
      </c>
      <c r="I3111">
        <v>2008</v>
      </c>
      <c r="J3111" s="93">
        <v>57181.55</v>
      </c>
      <c r="K3111">
        <v>13</v>
      </c>
      <c r="L3111" s="1" t="s">
        <v>399</v>
      </c>
      <c r="M3111">
        <v>0</v>
      </c>
      <c r="N3111">
        <v>711</v>
      </c>
      <c r="O3111">
        <v>80.412811000000005</v>
      </c>
      <c r="P3111">
        <v>1</v>
      </c>
      <c r="Q3111" s="1" t="s">
        <v>565</v>
      </c>
      <c r="R3111" s="93">
        <v>65914.539999999994</v>
      </c>
      <c r="S3111">
        <v>12194.19</v>
      </c>
      <c r="T3111">
        <v>0</v>
      </c>
      <c r="U3111" s="1" t="s">
        <v>849</v>
      </c>
      <c r="V3111" s="1"/>
      <c r="W3111">
        <v>57.181550000000001</v>
      </c>
      <c r="X3111">
        <v>0</v>
      </c>
      <c r="Y3111">
        <v>77565</v>
      </c>
    </row>
    <row r="3112" spans="1:25" ht="15" customHeight="1" x14ac:dyDescent="0.25">
      <c r="A3112" s="1" t="s">
        <v>37</v>
      </c>
      <c r="B3112" s="1"/>
      <c r="C3112" s="1" t="s">
        <v>193</v>
      </c>
      <c r="D3112">
        <v>10991</v>
      </c>
      <c r="E3112" s="1"/>
      <c r="F3112" s="1" t="s">
        <v>321</v>
      </c>
      <c r="G3112" s="1" t="s">
        <v>1398</v>
      </c>
      <c r="H3112" s="1" t="s">
        <v>1405</v>
      </c>
      <c r="I3112">
        <v>2014</v>
      </c>
      <c r="J3112" s="93">
        <v>383300</v>
      </c>
      <c r="K3112">
        <v>12</v>
      </c>
      <c r="L3112" s="1" t="s">
        <v>445</v>
      </c>
      <c r="M3112">
        <v>0</v>
      </c>
      <c r="N3112">
        <v>1475</v>
      </c>
      <c r="O3112">
        <v>259.84679</v>
      </c>
      <c r="P3112">
        <v>1</v>
      </c>
      <c r="Q3112" s="1" t="s">
        <v>562</v>
      </c>
      <c r="R3112" s="93">
        <v>446433.06</v>
      </c>
      <c r="S3112">
        <v>82590.13</v>
      </c>
      <c r="T3112">
        <v>0</v>
      </c>
      <c r="U3112" s="1" t="s">
        <v>850</v>
      </c>
      <c r="V3112" s="1"/>
      <c r="W3112">
        <v>383300.00300000003</v>
      </c>
      <c r="X3112">
        <v>0</v>
      </c>
      <c r="Y3112">
        <v>94185</v>
      </c>
    </row>
    <row r="3113" spans="1:25" ht="15" customHeight="1" x14ac:dyDescent="0.25">
      <c r="A3113" s="1" t="s">
        <v>37</v>
      </c>
      <c r="B3113" s="1"/>
      <c r="C3113" s="1" t="s">
        <v>193</v>
      </c>
      <c r="D3113">
        <v>9220</v>
      </c>
      <c r="E3113" s="1"/>
      <c r="F3113" s="1" t="s">
        <v>322</v>
      </c>
      <c r="G3113" s="1" t="s">
        <v>1398</v>
      </c>
      <c r="H3113" s="1" t="s">
        <v>1405</v>
      </c>
      <c r="I3113">
        <v>2014</v>
      </c>
      <c r="J3113" s="93">
        <v>51295.28</v>
      </c>
      <c r="K3113">
        <v>12</v>
      </c>
      <c r="L3113" s="1"/>
      <c r="M3113">
        <v>0</v>
      </c>
      <c r="N3113">
        <v>7549</v>
      </c>
      <c r="O3113">
        <v>6.794886</v>
      </c>
      <c r="P3113">
        <v>1</v>
      </c>
      <c r="Q3113" s="1" t="s">
        <v>563</v>
      </c>
      <c r="R3113" s="93">
        <v>51295.28</v>
      </c>
      <c r="S3113">
        <v>271987.01</v>
      </c>
      <c r="T3113">
        <v>0</v>
      </c>
      <c r="U3113" s="1" t="s">
        <v>852</v>
      </c>
      <c r="V3113" s="1"/>
      <c r="W3113">
        <v>1470.2</v>
      </c>
      <c r="X3113">
        <v>77262</v>
      </c>
      <c r="Y3113">
        <v>77265</v>
      </c>
    </row>
    <row r="3114" spans="1:25" ht="15" hidden="1" customHeight="1" x14ac:dyDescent="0.25">
      <c r="A3114" s="1" t="s">
        <v>37</v>
      </c>
      <c r="B3114" s="1"/>
      <c r="C3114" s="1" t="s">
        <v>193</v>
      </c>
      <c r="D3114">
        <v>10991</v>
      </c>
      <c r="E3114" s="1"/>
      <c r="F3114" s="1" t="s">
        <v>321</v>
      </c>
      <c r="G3114" s="1" t="s">
        <v>1398</v>
      </c>
      <c r="H3114" s="1" t="s">
        <v>1405</v>
      </c>
      <c r="I3114">
        <v>2012</v>
      </c>
      <c r="J3114" s="93">
        <v>248775.7</v>
      </c>
      <c r="K3114">
        <v>9</v>
      </c>
      <c r="L3114" s="1" t="s">
        <v>492</v>
      </c>
      <c r="M3114">
        <v>0</v>
      </c>
      <c r="N3114">
        <v>1475</v>
      </c>
      <c r="O3114">
        <v>168.650057</v>
      </c>
      <c r="P3114">
        <v>1</v>
      </c>
      <c r="Q3114" s="1" t="s">
        <v>565</v>
      </c>
      <c r="R3114" s="93">
        <v>248775.7</v>
      </c>
      <c r="S3114">
        <v>46023.519999999997</v>
      </c>
      <c r="T3114">
        <v>0</v>
      </c>
      <c r="U3114" s="1" t="s">
        <v>851</v>
      </c>
      <c r="V3114" s="1"/>
      <c r="W3114">
        <v>248.7757</v>
      </c>
      <c r="X3114">
        <v>0</v>
      </c>
      <c r="Y3114">
        <v>79522</v>
      </c>
    </row>
    <row r="3115" spans="1:25" ht="15" hidden="1" customHeight="1" x14ac:dyDescent="0.25">
      <c r="A3115" s="1" t="s">
        <v>37</v>
      </c>
      <c r="B3115" s="1"/>
      <c r="C3115" s="1" t="s">
        <v>193</v>
      </c>
      <c r="D3115">
        <v>10991</v>
      </c>
      <c r="E3115" s="1"/>
      <c r="F3115" s="1" t="s">
        <v>321</v>
      </c>
      <c r="G3115" s="1" t="s">
        <v>1398</v>
      </c>
      <c r="H3115" s="1" t="s">
        <v>1405</v>
      </c>
      <c r="I3115">
        <v>2011</v>
      </c>
      <c r="J3115" s="93">
        <v>397827.01</v>
      </c>
      <c r="K3115">
        <v>8</v>
      </c>
      <c r="L3115" s="1" t="s">
        <v>492</v>
      </c>
      <c r="M3115">
        <v>0</v>
      </c>
      <c r="N3115">
        <v>1475</v>
      </c>
      <c r="O3115">
        <v>269.69494200000003</v>
      </c>
      <c r="P3115">
        <v>1</v>
      </c>
      <c r="Q3115" s="1" t="s">
        <v>565</v>
      </c>
      <c r="R3115" s="93">
        <v>397827.01</v>
      </c>
      <c r="S3115">
        <v>73598.009999999995</v>
      </c>
      <c r="T3115">
        <v>0</v>
      </c>
      <c r="U3115" s="1" t="s">
        <v>851</v>
      </c>
      <c r="V3115" s="1"/>
      <c r="W3115">
        <v>397.82700999999997</v>
      </c>
      <c r="X3115">
        <v>0</v>
      </c>
      <c r="Y3115">
        <v>79522</v>
      </c>
    </row>
    <row r="3116" spans="1:25" ht="15" hidden="1" customHeight="1" x14ac:dyDescent="0.25">
      <c r="A3116" s="1" t="s">
        <v>37</v>
      </c>
      <c r="B3116" s="1"/>
      <c r="C3116" s="1" t="s">
        <v>193</v>
      </c>
      <c r="D3116">
        <v>10991</v>
      </c>
      <c r="E3116" s="1"/>
      <c r="F3116" s="1" t="s">
        <v>321</v>
      </c>
      <c r="G3116" s="1" t="s">
        <v>1398</v>
      </c>
      <c r="H3116" s="1" t="s">
        <v>1405</v>
      </c>
      <c r="I3116">
        <v>2010</v>
      </c>
      <c r="J3116" s="93">
        <v>449873.56</v>
      </c>
      <c r="K3116">
        <v>12</v>
      </c>
      <c r="L3116" s="1" t="s">
        <v>492</v>
      </c>
      <c r="M3116">
        <v>0</v>
      </c>
      <c r="N3116">
        <v>1475</v>
      </c>
      <c r="O3116">
        <v>304.97834699999999</v>
      </c>
      <c r="P3116">
        <v>1</v>
      </c>
      <c r="Q3116" s="1" t="s">
        <v>565</v>
      </c>
      <c r="R3116" s="93">
        <v>449873.56</v>
      </c>
      <c r="S3116">
        <v>83226.600000000006</v>
      </c>
      <c r="T3116">
        <v>0</v>
      </c>
      <c r="U3116" s="1" t="s">
        <v>851</v>
      </c>
      <c r="V3116" s="1"/>
      <c r="W3116">
        <v>449.87356</v>
      </c>
      <c r="X3116">
        <v>0</v>
      </c>
      <c r="Y3116">
        <v>79522</v>
      </c>
    </row>
    <row r="3117" spans="1:25" ht="15" hidden="1" customHeight="1" x14ac:dyDescent="0.25">
      <c r="A3117" s="1" t="s">
        <v>37</v>
      </c>
      <c r="B3117" s="1"/>
      <c r="C3117" s="1" t="s">
        <v>193</v>
      </c>
      <c r="D3117">
        <v>10991</v>
      </c>
      <c r="E3117" s="1"/>
      <c r="F3117" s="1" t="s">
        <v>321</v>
      </c>
      <c r="G3117" s="1" t="s">
        <v>1398</v>
      </c>
      <c r="H3117" s="1" t="s">
        <v>1405</v>
      </c>
      <c r="I3117">
        <v>2009</v>
      </c>
      <c r="J3117" s="93">
        <v>380427.6</v>
      </c>
      <c r="K3117">
        <v>11</v>
      </c>
      <c r="L3117" s="1" t="s">
        <v>492</v>
      </c>
      <c r="M3117">
        <v>0</v>
      </c>
      <c r="N3117">
        <v>1475</v>
      </c>
      <c r="O3117">
        <v>257.89953200000002</v>
      </c>
      <c r="P3117">
        <v>1</v>
      </c>
      <c r="Q3117" s="1" t="s">
        <v>565</v>
      </c>
      <c r="R3117" s="93">
        <v>380427.6</v>
      </c>
      <c r="S3117">
        <v>70379.100000000006</v>
      </c>
      <c r="T3117">
        <v>0</v>
      </c>
      <c r="U3117" s="1" t="s">
        <v>851</v>
      </c>
      <c r="V3117" s="1"/>
      <c r="W3117">
        <v>380.42759999999998</v>
      </c>
      <c r="X3117">
        <v>0</v>
      </c>
      <c r="Y3117">
        <v>79522</v>
      </c>
    </row>
    <row r="3118" spans="1:25" ht="15" hidden="1" customHeight="1" x14ac:dyDescent="0.25">
      <c r="A3118" s="1" t="s">
        <v>37</v>
      </c>
      <c r="B3118" s="1"/>
      <c r="C3118" s="1" t="s">
        <v>193</v>
      </c>
      <c r="D3118">
        <v>10991</v>
      </c>
      <c r="E3118" s="1"/>
      <c r="F3118" s="1" t="s">
        <v>321</v>
      </c>
      <c r="G3118" s="1" t="s">
        <v>1398</v>
      </c>
      <c r="H3118" s="1" t="s">
        <v>1405</v>
      </c>
      <c r="I3118">
        <v>2008</v>
      </c>
      <c r="J3118" s="93">
        <v>430283.55</v>
      </c>
      <c r="K3118">
        <v>12</v>
      </c>
      <c r="L3118" s="1" t="s">
        <v>492</v>
      </c>
      <c r="M3118">
        <v>0</v>
      </c>
      <c r="N3118">
        <v>1475</v>
      </c>
      <c r="O3118">
        <v>291.69788399999999</v>
      </c>
      <c r="P3118">
        <v>1</v>
      </c>
      <c r="Q3118" s="1" t="s">
        <v>565</v>
      </c>
      <c r="R3118" s="93">
        <v>430283.55</v>
      </c>
      <c r="S3118">
        <v>79602.45</v>
      </c>
      <c r="T3118">
        <v>0</v>
      </c>
      <c r="U3118" s="1" t="s">
        <v>851</v>
      </c>
      <c r="V3118" s="1"/>
      <c r="W3118">
        <v>430.28354999999999</v>
      </c>
      <c r="X3118">
        <v>0</v>
      </c>
      <c r="Y3118">
        <v>79522</v>
      </c>
    </row>
    <row r="3119" spans="1:25" ht="15" customHeight="1" x14ac:dyDescent="0.25">
      <c r="A3119" s="1" t="s">
        <v>37</v>
      </c>
      <c r="B3119" s="1"/>
      <c r="C3119" s="1" t="s">
        <v>193</v>
      </c>
      <c r="D3119">
        <v>9220</v>
      </c>
      <c r="E3119" s="1"/>
      <c r="F3119" s="1" t="s">
        <v>322</v>
      </c>
      <c r="G3119" s="1" t="s">
        <v>1398</v>
      </c>
      <c r="H3119" s="1" t="s">
        <v>1405</v>
      </c>
      <c r="I3119">
        <v>2014</v>
      </c>
      <c r="J3119" s="93">
        <v>46620</v>
      </c>
      <c r="K3119">
        <v>12</v>
      </c>
      <c r="L3119" s="1"/>
      <c r="M3119">
        <v>0</v>
      </c>
      <c r="N3119">
        <v>7549</v>
      </c>
      <c r="O3119">
        <v>6.1755699999999996</v>
      </c>
      <c r="P3119">
        <v>1</v>
      </c>
      <c r="Q3119" s="1" t="s">
        <v>562</v>
      </c>
      <c r="R3119" s="93">
        <v>46620</v>
      </c>
      <c r="S3119">
        <v>8624.7000000000007</v>
      </c>
      <c r="T3119">
        <v>0</v>
      </c>
      <c r="U3119" s="1" t="s">
        <v>852</v>
      </c>
      <c r="V3119" s="1"/>
      <c r="W3119">
        <v>46620</v>
      </c>
      <c r="X3119">
        <v>0</v>
      </c>
      <c r="Y3119">
        <v>77262</v>
      </c>
    </row>
    <row r="3120" spans="1:25" ht="15" customHeight="1" x14ac:dyDescent="0.25">
      <c r="A3120" s="1" t="s">
        <v>37</v>
      </c>
      <c r="B3120" s="1"/>
      <c r="C3120" s="1" t="s">
        <v>193</v>
      </c>
      <c r="D3120">
        <v>11000</v>
      </c>
      <c r="E3120" s="1"/>
      <c r="F3120" s="1" t="s">
        <v>323</v>
      </c>
      <c r="G3120" s="1" t="s">
        <v>1398</v>
      </c>
      <c r="H3120" s="1" t="s">
        <v>1405</v>
      </c>
      <c r="I3120">
        <v>2014</v>
      </c>
      <c r="J3120" s="93">
        <v>22869</v>
      </c>
      <c r="K3120">
        <v>12</v>
      </c>
      <c r="L3120" s="1" t="s">
        <v>494</v>
      </c>
      <c r="M3120">
        <v>0</v>
      </c>
      <c r="N3120">
        <v>652</v>
      </c>
      <c r="O3120">
        <v>35.069774000000002</v>
      </c>
      <c r="P3120">
        <v>1</v>
      </c>
      <c r="Q3120" s="1" t="s">
        <v>562</v>
      </c>
      <c r="R3120" s="93">
        <v>22869</v>
      </c>
      <c r="S3120">
        <v>1463.61</v>
      </c>
      <c r="T3120">
        <v>0</v>
      </c>
      <c r="U3120" s="1" t="s">
        <v>855</v>
      </c>
      <c r="V3120" s="1"/>
      <c r="W3120">
        <v>22869</v>
      </c>
      <c r="X3120">
        <v>0</v>
      </c>
      <c r="Y3120">
        <v>79521</v>
      </c>
    </row>
    <row r="3121" spans="1:25" ht="15" customHeight="1" x14ac:dyDescent="0.25">
      <c r="A3121" s="1" t="s">
        <v>37</v>
      </c>
      <c r="B3121" s="1"/>
      <c r="C3121" s="1" t="s">
        <v>193</v>
      </c>
      <c r="D3121">
        <v>9220</v>
      </c>
      <c r="E3121" s="1"/>
      <c r="F3121" s="1" t="s">
        <v>322</v>
      </c>
      <c r="G3121" s="1" t="s">
        <v>1398</v>
      </c>
      <c r="H3121" s="1" t="s">
        <v>1405</v>
      </c>
      <c r="I3121">
        <v>2014</v>
      </c>
      <c r="J3121" s="93">
        <v>560704.72</v>
      </c>
      <c r="K3121">
        <v>12</v>
      </c>
      <c r="L3121" s="1" t="s">
        <v>432</v>
      </c>
      <c r="M3121">
        <v>0</v>
      </c>
      <c r="N3121">
        <v>7549</v>
      </c>
      <c r="O3121">
        <v>74.274378999999996</v>
      </c>
      <c r="P3121">
        <v>1</v>
      </c>
      <c r="Q3121" s="1" t="s">
        <v>565</v>
      </c>
      <c r="R3121" s="93">
        <v>721807.82</v>
      </c>
      <c r="S3121">
        <v>133534.46</v>
      </c>
      <c r="T3121">
        <v>0</v>
      </c>
      <c r="U3121" s="1" t="s">
        <v>853</v>
      </c>
      <c r="V3121" s="1"/>
      <c r="W3121">
        <v>-469391.20069999999</v>
      </c>
      <c r="X3121">
        <v>0</v>
      </c>
      <c r="Y3121">
        <v>77263</v>
      </c>
    </row>
    <row r="3122" spans="1:25" ht="15" customHeight="1" x14ac:dyDescent="0.25">
      <c r="A3122" s="1" t="s">
        <v>37</v>
      </c>
      <c r="B3122" s="1"/>
      <c r="C3122" s="1" t="s">
        <v>193</v>
      </c>
      <c r="D3122">
        <v>11000</v>
      </c>
      <c r="E3122" s="1"/>
      <c r="F3122" s="1" t="s">
        <v>323</v>
      </c>
      <c r="G3122" s="1" t="s">
        <v>1398</v>
      </c>
      <c r="H3122" s="1" t="s">
        <v>1405</v>
      </c>
      <c r="I3122">
        <v>2014</v>
      </c>
      <c r="J3122" s="93">
        <v>14110.89</v>
      </c>
      <c r="K3122">
        <v>12</v>
      </c>
      <c r="L3122" s="1" t="s">
        <v>450</v>
      </c>
      <c r="M3122">
        <v>0</v>
      </c>
      <c r="N3122">
        <v>652</v>
      </c>
      <c r="O3122">
        <v>21.639150000000001</v>
      </c>
      <c r="P3122">
        <v>1</v>
      </c>
      <c r="Q3122" s="1" t="s">
        <v>565</v>
      </c>
      <c r="R3122" s="93">
        <v>14110.89</v>
      </c>
      <c r="S3122">
        <v>0.91</v>
      </c>
      <c r="T3122">
        <v>0</v>
      </c>
      <c r="U3122" s="1" t="s">
        <v>856</v>
      </c>
      <c r="V3122" s="1"/>
      <c r="W3122">
        <v>-178706.10010000001</v>
      </c>
      <c r="X3122">
        <v>0</v>
      </c>
      <c r="Y3122">
        <v>80204</v>
      </c>
    </row>
    <row r="3123" spans="1:25" ht="15" customHeight="1" x14ac:dyDescent="0.25">
      <c r="A3123" s="1" t="s">
        <v>37</v>
      </c>
      <c r="B3123" s="1"/>
      <c r="C3123" s="1" t="s">
        <v>193</v>
      </c>
      <c r="D3123">
        <v>10991</v>
      </c>
      <c r="E3123" s="1"/>
      <c r="F3123" s="1" t="s">
        <v>321</v>
      </c>
      <c r="G3123" s="1" t="s">
        <v>1398</v>
      </c>
      <c r="H3123" s="1" t="s">
        <v>1405</v>
      </c>
      <c r="I3123">
        <v>2015</v>
      </c>
      <c r="J3123" s="93">
        <v>199590</v>
      </c>
      <c r="K3123">
        <v>5</v>
      </c>
      <c r="L3123" s="1" t="s">
        <v>445</v>
      </c>
      <c r="M3123">
        <v>0</v>
      </c>
      <c r="N3123">
        <v>1475</v>
      </c>
      <c r="O3123">
        <v>135.30608000000001</v>
      </c>
      <c r="P3123">
        <v>1</v>
      </c>
      <c r="Q3123" s="1" t="s">
        <v>562</v>
      </c>
      <c r="R3123" s="93">
        <v>221253.63</v>
      </c>
      <c r="S3123">
        <v>40931.919999999998</v>
      </c>
      <c r="T3123">
        <v>0</v>
      </c>
      <c r="U3123" s="1" t="s">
        <v>850</v>
      </c>
      <c r="V3123" s="1"/>
      <c r="W3123">
        <v>199590</v>
      </c>
      <c r="X3123">
        <v>0</v>
      </c>
      <c r="Y3123">
        <v>94185</v>
      </c>
    </row>
    <row r="3124" spans="1:25" ht="15" customHeight="1" x14ac:dyDescent="0.25">
      <c r="A3124" s="1" t="s">
        <v>37</v>
      </c>
      <c r="B3124" s="1"/>
      <c r="C3124" s="1" t="s">
        <v>193</v>
      </c>
      <c r="D3124">
        <v>9220</v>
      </c>
      <c r="E3124" s="1"/>
      <c r="F3124" s="1" t="s">
        <v>322</v>
      </c>
      <c r="G3124" s="1" t="s">
        <v>1398</v>
      </c>
      <c r="H3124" s="1" t="s">
        <v>1405</v>
      </c>
      <c r="I3124">
        <v>2015</v>
      </c>
      <c r="J3124" s="93">
        <v>38218.51</v>
      </c>
      <c r="K3124">
        <v>5</v>
      </c>
      <c r="L3124" s="1"/>
      <c r="M3124">
        <v>0</v>
      </c>
      <c r="N3124">
        <v>7549</v>
      </c>
      <c r="O3124">
        <v>5.0626569999999997</v>
      </c>
      <c r="P3124">
        <v>1</v>
      </c>
      <c r="Q3124" s="1" t="s">
        <v>563</v>
      </c>
      <c r="R3124" s="93">
        <v>38218.51</v>
      </c>
      <c r="S3124">
        <v>202649.03</v>
      </c>
      <c r="T3124">
        <v>0</v>
      </c>
      <c r="U3124" s="1" t="s">
        <v>852</v>
      </c>
      <c r="V3124" s="1"/>
      <c r="W3124">
        <v>1095.4000000000001</v>
      </c>
      <c r="X3124">
        <v>77262</v>
      </c>
      <c r="Y3124">
        <v>77265</v>
      </c>
    </row>
    <row r="3125" spans="1:25" ht="15" hidden="1" customHeight="1" x14ac:dyDescent="0.25">
      <c r="A3125" s="1" t="s">
        <v>37</v>
      </c>
      <c r="B3125" s="1"/>
      <c r="C3125" s="1" t="s">
        <v>193</v>
      </c>
      <c r="D3125">
        <v>9220</v>
      </c>
      <c r="E3125" s="1"/>
      <c r="F3125" s="1" t="s">
        <v>322</v>
      </c>
      <c r="G3125" s="1" t="s">
        <v>1398</v>
      </c>
      <c r="H3125" s="1" t="s">
        <v>1405</v>
      </c>
      <c r="I3125">
        <v>2012</v>
      </c>
      <c r="J3125" s="93">
        <v>68480</v>
      </c>
      <c r="K3125">
        <v>12</v>
      </c>
      <c r="L3125" s="1"/>
      <c r="M3125">
        <v>0</v>
      </c>
      <c r="N3125">
        <v>7549</v>
      </c>
      <c r="O3125">
        <v>9.0712799999999998</v>
      </c>
      <c r="P3125">
        <v>1</v>
      </c>
      <c r="Q3125" s="1" t="s">
        <v>562</v>
      </c>
      <c r="R3125" s="93">
        <v>68480</v>
      </c>
      <c r="S3125">
        <v>12668.8</v>
      </c>
      <c r="T3125">
        <v>0</v>
      </c>
      <c r="U3125" s="1" t="s">
        <v>852</v>
      </c>
      <c r="V3125" s="1"/>
      <c r="W3125">
        <v>68480</v>
      </c>
      <c r="X3125">
        <v>0</v>
      </c>
      <c r="Y3125">
        <v>77262</v>
      </c>
    </row>
    <row r="3126" spans="1:25" ht="15" hidden="1" customHeight="1" x14ac:dyDescent="0.25">
      <c r="A3126" s="1" t="s">
        <v>37</v>
      </c>
      <c r="B3126" s="1"/>
      <c r="C3126" s="1" t="s">
        <v>193</v>
      </c>
      <c r="D3126">
        <v>9220</v>
      </c>
      <c r="E3126" s="1"/>
      <c r="F3126" s="1" t="s">
        <v>322</v>
      </c>
      <c r="G3126" s="1" t="s">
        <v>1398</v>
      </c>
      <c r="H3126" s="1" t="s">
        <v>1405</v>
      </c>
      <c r="I3126">
        <v>2012</v>
      </c>
      <c r="J3126" s="93">
        <v>56553.2</v>
      </c>
      <c r="K3126">
        <v>12</v>
      </c>
      <c r="L3126" s="1"/>
      <c r="M3126">
        <v>0</v>
      </c>
      <c r="N3126">
        <v>7549</v>
      </c>
      <c r="O3126">
        <v>7.4913829999999999</v>
      </c>
      <c r="P3126">
        <v>1</v>
      </c>
      <c r="Q3126" s="1" t="s">
        <v>563</v>
      </c>
      <c r="R3126" s="93">
        <v>56553.2</v>
      </c>
      <c r="S3126">
        <v>299866.48</v>
      </c>
      <c r="T3126">
        <v>0</v>
      </c>
      <c r="U3126" s="1" t="s">
        <v>852</v>
      </c>
      <c r="V3126" s="1"/>
      <c r="W3126">
        <v>1620.9</v>
      </c>
      <c r="X3126">
        <v>77262</v>
      </c>
      <c r="Y3126">
        <v>77265</v>
      </c>
    </row>
    <row r="3127" spans="1:25" ht="15" hidden="1" customHeight="1" x14ac:dyDescent="0.25">
      <c r="A3127" s="1" t="s">
        <v>37</v>
      </c>
      <c r="B3127" s="1"/>
      <c r="C3127" s="1" t="s">
        <v>193</v>
      </c>
      <c r="D3127">
        <v>9220</v>
      </c>
      <c r="E3127" s="1"/>
      <c r="F3127" s="1" t="s">
        <v>322</v>
      </c>
      <c r="G3127" s="1" t="s">
        <v>1398</v>
      </c>
      <c r="H3127" s="1" t="s">
        <v>1405</v>
      </c>
      <c r="I3127">
        <v>2012</v>
      </c>
      <c r="J3127" s="93">
        <v>823264.89</v>
      </c>
      <c r="K3127">
        <v>12</v>
      </c>
      <c r="L3127" s="1" t="s">
        <v>432</v>
      </c>
      <c r="M3127">
        <v>0</v>
      </c>
      <c r="N3127">
        <v>7549</v>
      </c>
      <c r="O3127">
        <v>109.05470699999999</v>
      </c>
      <c r="P3127">
        <v>1</v>
      </c>
      <c r="Q3127" s="1" t="s">
        <v>565</v>
      </c>
      <c r="R3127" s="93">
        <v>880499.33</v>
      </c>
      <c r="S3127">
        <v>162892.32</v>
      </c>
      <c r="T3127">
        <v>0</v>
      </c>
      <c r="U3127" s="1" t="s">
        <v>853</v>
      </c>
      <c r="V3127" s="1"/>
      <c r="W3127">
        <v>-130763.14399</v>
      </c>
      <c r="X3127">
        <v>0</v>
      </c>
      <c r="Y3127">
        <v>77263</v>
      </c>
    </row>
    <row r="3128" spans="1:25" ht="15" hidden="1" customHeight="1" x14ac:dyDescent="0.25">
      <c r="A3128" s="1" t="s">
        <v>37</v>
      </c>
      <c r="B3128" s="1"/>
      <c r="C3128" s="1" t="s">
        <v>193</v>
      </c>
      <c r="D3128">
        <v>9220</v>
      </c>
      <c r="E3128" s="1"/>
      <c r="F3128" s="1" t="s">
        <v>322</v>
      </c>
      <c r="G3128" s="1" t="s">
        <v>1398</v>
      </c>
      <c r="H3128" s="1" t="s">
        <v>1405</v>
      </c>
      <c r="I3128">
        <v>2011</v>
      </c>
      <c r="J3128" s="93">
        <v>752523.9</v>
      </c>
      <c r="K3128">
        <v>9</v>
      </c>
      <c r="L3128" s="1" t="s">
        <v>432</v>
      </c>
      <c r="M3128">
        <v>0</v>
      </c>
      <c r="N3128">
        <v>7549</v>
      </c>
      <c r="O3128">
        <v>99.683921999999995</v>
      </c>
      <c r="P3128">
        <v>1</v>
      </c>
      <c r="Q3128" s="1" t="s">
        <v>565</v>
      </c>
      <c r="R3128" s="93">
        <v>933858.15</v>
      </c>
      <c r="S3128">
        <v>172763.76</v>
      </c>
      <c r="T3128">
        <v>0</v>
      </c>
      <c r="U3128" s="1" t="s">
        <v>853</v>
      </c>
      <c r="V3128" s="1"/>
      <c r="W3128">
        <v>-163799.24012999999</v>
      </c>
      <c r="X3128">
        <v>0</v>
      </c>
      <c r="Y3128">
        <v>77263</v>
      </c>
    </row>
    <row r="3129" spans="1:25" ht="15" hidden="1" customHeight="1" x14ac:dyDescent="0.25">
      <c r="A3129" s="1" t="s">
        <v>37</v>
      </c>
      <c r="B3129" s="1"/>
      <c r="C3129" s="1" t="s">
        <v>193</v>
      </c>
      <c r="D3129">
        <v>9220</v>
      </c>
      <c r="E3129" s="1"/>
      <c r="F3129" s="1" t="s">
        <v>322</v>
      </c>
      <c r="G3129" s="1" t="s">
        <v>1398</v>
      </c>
      <c r="H3129" s="1" t="s">
        <v>1405</v>
      </c>
      <c r="I3129">
        <v>2011</v>
      </c>
      <c r="J3129" s="93">
        <v>51856.37</v>
      </c>
      <c r="K3129">
        <v>4</v>
      </c>
      <c r="L3129" s="1" t="s">
        <v>493</v>
      </c>
      <c r="M3129">
        <v>0</v>
      </c>
      <c r="N3129">
        <v>7549</v>
      </c>
      <c r="O3129">
        <v>6.8692120000000001</v>
      </c>
      <c r="P3129">
        <v>1</v>
      </c>
      <c r="Q3129" s="1" t="s">
        <v>565</v>
      </c>
      <c r="R3129" s="93">
        <v>51856.37</v>
      </c>
      <c r="S3129">
        <v>9.6</v>
      </c>
      <c r="T3129">
        <v>0</v>
      </c>
      <c r="U3129" s="1" t="s">
        <v>854</v>
      </c>
      <c r="V3129" s="1"/>
      <c r="W3129">
        <v>51.856369999999998</v>
      </c>
      <c r="X3129">
        <v>0</v>
      </c>
      <c r="Y3129">
        <v>79520</v>
      </c>
    </row>
    <row r="3130" spans="1:25" ht="15" hidden="1" customHeight="1" x14ac:dyDescent="0.25">
      <c r="A3130" s="1" t="s">
        <v>37</v>
      </c>
      <c r="B3130" s="1"/>
      <c r="C3130" s="1" t="s">
        <v>193</v>
      </c>
      <c r="D3130">
        <v>9220</v>
      </c>
      <c r="E3130" s="1"/>
      <c r="F3130" s="1" t="s">
        <v>322</v>
      </c>
      <c r="G3130" s="1" t="s">
        <v>1398</v>
      </c>
      <c r="H3130" s="1" t="s">
        <v>1405</v>
      </c>
      <c r="I3130">
        <v>2011</v>
      </c>
      <c r="J3130" s="93">
        <v>81370</v>
      </c>
      <c r="K3130">
        <v>12</v>
      </c>
      <c r="L3130" s="1"/>
      <c r="M3130">
        <v>0</v>
      </c>
      <c r="N3130">
        <v>7549</v>
      </c>
      <c r="O3130">
        <v>10.778767999999999</v>
      </c>
      <c r="P3130">
        <v>1</v>
      </c>
      <c r="Q3130" s="1" t="s">
        <v>562</v>
      </c>
      <c r="R3130" s="93">
        <v>81370</v>
      </c>
      <c r="S3130">
        <v>15053.45</v>
      </c>
      <c r="T3130">
        <v>0</v>
      </c>
      <c r="U3130" s="1" t="s">
        <v>852</v>
      </c>
      <c r="V3130" s="1"/>
      <c r="W3130">
        <v>81370</v>
      </c>
      <c r="X3130">
        <v>0</v>
      </c>
      <c r="Y3130">
        <v>77262</v>
      </c>
    </row>
    <row r="3131" spans="1:25" ht="15" hidden="1" customHeight="1" x14ac:dyDescent="0.25">
      <c r="A3131" s="1" t="s">
        <v>37</v>
      </c>
      <c r="B3131" s="1"/>
      <c r="C3131" s="1" t="s">
        <v>193</v>
      </c>
      <c r="D3131">
        <v>9220</v>
      </c>
      <c r="E3131" s="1"/>
      <c r="F3131" s="1" t="s">
        <v>322</v>
      </c>
      <c r="G3131" s="1" t="s">
        <v>1398</v>
      </c>
      <c r="H3131" s="1" t="s">
        <v>1405</v>
      </c>
      <c r="I3131">
        <v>2011</v>
      </c>
      <c r="J3131" s="93">
        <v>61280.82</v>
      </c>
      <c r="K3131">
        <v>12</v>
      </c>
      <c r="L3131" s="1"/>
      <c r="M3131">
        <v>0</v>
      </c>
      <c r="N3131">
        <v>7549</v>
      </c>
      <c r="O3131">
        <v>8.1176320000000004</v>
      </c>
      <c r="P3131">
        <v>1</v>
      </c>
      <c r="Q3131" s="1" t="s">
        <v>563</v>
      </c>
      <c r="R3131" s="93">
        <v>61280.82</v>
      </c>
      <c r="S3131">
        <v>324934.15000000002</v>
      </c>
      <c r="T3131">
        <v>0</v>
      </c>
      <c r="U3131" s="1" t="s">
        <v>852</v>
      </c>
      <c r="V3131" s="1"/>
      <c r="W3131">
        <v>1756.4</v>
      </c>
      <c r="X3131">
        <v>77262</v>
      </c>
      <c r="Y3131">
        <v>77265</v>
      </c>
    </row>
    <row r="3132" spans="1:25" ht="15" hidden="1" customHeight="1" x14ac:dyDescent="0.25">
      <c r="A3132" s="1" t="s">
        <v>37</v>
      </c>
      <c r="B3132" s="1"/>
      <c r="C3132" s="1" t="s">
        <v>193</v>
      </c>
      <c r="D3132">
        <v>9220</v>
      </c>
      <c r="E3132" s="1"/>
      <c r="F3132" s="1" t="s">
        <v>322</v>
      </c>
      <c r="G3132" s="1" t="s">
        <v>1398</v>
      </c>
      <c r="H3132" s="1" t="s">
        <v>1405</v>
      </c>
      <c r="I3132">
        <v>2010</v>
      </c>
      <c r="J3132" s="93">
        <v>821040.68</v>
      </c>
      <c r="K3132">
        <v>13</v>
      </c>
      <c r="L3132" s="1" t="s">
        <v>432</v>
      </c>
      <c r="M3132">
        <v>0</v>
      </c>
      <c r="N3132">
        <v>7549</v>
      </c>
      <c r="O3132">
        <v>108.760074</v>
      </c>
      <c r="P3132">
        <v>1</v>
      </c>
      <c r="Q3132" s="1" t="s">
        <v>565</v>
      </c>
      <c r="R3132" s="93">
        <v>713579.35</v>
      </c>
      <c r="S3132">
        <v>132012.21</v>
      </c>
      <c r="T3132">
        <v>0</v>
      </c>
      <c r="U3132" s="1" t="s">
        <v>853</v>
      </c>
      <c r="V3132" s="1"/>
      <c r="W3132">
        <v>-124860.03247999999</v>
      </c>
      <c r="X3132">
        <v>0</v>
      </c>
      <c r="Y3132">
        <v>77263</v>
      </c>
    </row>
    <row r="3133" spans="1:25" ht="15" hidden="1" customHeight="1" x14ac:dyDescent="0.25">
      <c r="A3133" s="1" t="s">
        <v>37</v>
      </c>
      <c r="B3133" s="1"/>
      <c r="C3133" s="1" t="s">
        <v>193</v>
      </c>
      <c r="D3133">
        <v>9220</v>
      </c>
      <c r="E3133" s="1"/>
      <c r="F3133" s="1" t="s">
        <v>322</v>
      </c>
      <c r="G3133" s="1" t="s">
        <v>1398</v>
      </c>
      <c r="H3133" s="1" t="s">
        <v>1405</v>
      </c>
      <c r="I3133">
        <v>2010</v>
      </c>
      <c r="J3133" s="93">
        <v>84159.63</v>
      </c>
      <c r="K3133">
        <v>12</v>
      </c>
      <c r="L3133" s="1" t="s">
        <v>493</v>
      </c>
      <c r="M3133">
        <v>0</v>
      </c>
      <c r="N3133">
        <v>7549</v>
      </c>
      <c r="O3133">
        <v>11.148299</v>
      </c>
      <c r="P3133">
        <v>1</v>
      </c>
      <c r="Q3133" s="1" t="s">
        <v>565</v>
      </c>
      <c r="R3133" s="93">
        <v>84159.63</v>
      </c>
      <c r="S3133">
        <v>15.56</v>
      </c>
      <c r="T3133">
        <v>0</v>
      </c>
      <c r="U3133" s="1" t="s">
        <v>854</v>
      </c>
      <c r="V3133" s="1"/>
      <c r="W3133">
        <v>84.159630000000007</v>
      </c>
      <c r="X3133">
        <v>0</v>
      </c>
      <c r="Y3133">
        <v>79520</v>
      </c>
    </row>
    <row r="3134" spans="1:25" ht="15" hidden="1" customHeight="1" x14ac:dyDescent="0.25">
      <c r="A3134" s="1" t="s">
        <v>37</v>
      </c>
      <c r="B3134" s="1"/>
      <c r="C3134" s="1" t="s">
        <v>193</v>
      </c>
      <c r="D3134">
        <v>9220</v>
      </c>
      <c r="E3134" s="1"/>
      <c r="F3134" s="1" t="s">
        <v>322</v>
      </c>
      <c r="G3134" s="1" t="s">
        <v>1398</v>
      </c>
      <c r="H3134" s="1" t="s">
        <v>1405</v>
      </c>
      <c r="I3134">
        <v>2010</v>
      </c>
      <c r="J3134" s="93">
        <v>23010</v>
      </c>
      <c r="K3134">
        <v>12</v>
      </c>
      <c r="L3134" s="1"/>
      <c r="M3134">
        <v>0</v>
      </c>
      <c r="N3134">
        <v>7549</v>
      </c>
      <c r="O3134">
        <v>3.0480450000000001</v>
      </c>
      <c r="P3134">
        <v>1</v>
      </c>
      <c r="Q3134" s="1" t="s">
        <v>562</v>
      </c>
      <c r="R3134" s="93">
        <v>23010</v>
      </c>
      <c r="S3134">
        <v>4256.8500000000004</v>
      </c>
      <c r="T3134">
        <v>0</v>
      </c>
      <c r="U3134" s="1" t="s">
        <v>852</v>
      </c>
      <c r="V3134" s="1"/>
      <c r="W3134">
        <v>23010</v>
      </c>
      <c r="X3134">
        <v>0</v>
      </c>
      <c r="Y3134">
        <v>77262</v>
      </c>
    </row>
    <row r="3135" spans="1:25" ht="15" hidden="1" customHeight="1" x14ac:dyDescent="0.25">
      <c r="A3135" s="1" t="s">
        <v>37</v>
      </c>
      <c r="B3135" s="1"/>
      <c r="C3135" s="1" t="s">
        <v>193</v>
      </c>
      <c r="D3135">
        <v>9220</v>
      </c>
      <c r="E3135" s="1"/>
      <c r="F3135" s="1" t="s">
        <v>322</v>
      </c>
      <c r="G3135" s="1" t="s">
        <v>1398</v>
      </c>
      <c r="H3135" s="1" t="s">
        <v>1405</v>
      </c>
      <c r="I3135">
        <v>2010</v>
      </c>
      <c r="J3135" s="93">
        <v>16806.52</v>
      </c>
      <c r="K3135">
        <v>12</v>
      </c>
      <c r="L3135" s="1"/>
      <c r="M3135">
        <v>0</v>
      </c>
      <c r="N3135">
        <v>7549</v>
      </c>
      <c r="O3135">
        <v>2.2262940000000002</v>
      </c>
      <c r="P3135">
        <v>1</v>
      </c>
      <c r="Q3135" s="1" t="s">
        <v>563</v>
      </c>
      <c r="R3135" s="93">
        <v>16806.52</v>
      </c>
      <c r="S3135">
        <v>89114.54</v>
      </c>
      <c r="T3135">
        <v>0</v>
      </c>
      <c r="U3135" s="1" t="s">
        <v>852</v>
      </c>
      <c r="V3135" s="1"/>
      <c r="W3135">
        <v>481.7</v>
      </c>
      <c r="X3135">
        <v>77262</v>
      </c>
      <c r="Y3135">
        <v>77265</v>
      </c>
    </row>
    <row r="3136" spans="1:25" ht="15" hidden="1" customHeight="1" x14ac:dyDescent="0.25">
      <c r="A3136" s="1" t="s">
        <v>37</v>
      </c>
      <c r="B3136" s="1"/>
      <c r="C3136" s="1" t="s">
        <v>193</v>
      </c>
      <c r="D3136">
        <v>9220</v>
      </c>
      <c r="E3136" s="1"/>
      <c r="F3136" s="1" t="s">
        <v>322</v>
      </c>
      <c r="G3136" s="1" t="s">
        <v>1398</v>
      </c>
      <c r="H3136" s="1" t="s">
        <v>1405</v>
      </c>
      <c r="I3136">
        <v>2009</v>
      </c>
      <c r="J3136" s="93">
        <v>31120</v>
      </c>
      <c r="K3136">
        <v>12</v>
      </c>
      <c r="L3136" s="1"/>
      <c r="M3136">
        <v>0</v>
      </c>
      <c r="N3136">
        <v>7549</v>
      </c>
      <c r="O3136">
        <v>4.1223450000000001</v>
      </c>
      <c r="P3136">
        <v>1</v>
      </c>
      <c r="Q3136" s="1" t="s">
        <v>562</v>
      </c>
      <c r="R3136" s="93">
        <v>31120</v>
      </c>
      <c r="S3136">
        <v>5757.2</v>
      </c>
      <c r="T3136">
        <v>0</v>
      </c>
      <c r="U3136" s="1" t="s">
        <v>852</v>
      </c>
      <c r="V3136" s="1"/>
      <c r="W3136">
        <v>31120</v>
      </c>
      <c r="X3136">
        <v>0</v>
      </c>
      <c r="Y3136">
        <v>77262</v>
      </c>
    </row>
    <row r="3137" spans="1:25" ht="15" hidden="1" customHeight="1" x14ac:dyDescent="0.25">
      <c r="A3137" s="1" t="s">
        <v>37</v>
      </c>
      <c r="B3137" s="1"/>
      <c r="C3137" s="1" t="s">
        <v>193</v>
      </c>
      <c r="D3137">
        <v>9220</v>
      </c>
      <c r="E3137" s="1"/>
      <c r="F3137" s="1" t="s">
        <v>322</v>
      </c>
      <c r="G3137" s="1" t="s">
        <v>1398</v>
      </c>
      <c r="H3137" s="1" t="s">
        <v>1405</v>
      </c>
      <c r="I3137">
        <v>2009</v>
      </c>
      <c r="J3137" s="93">
        <v>18708.009999999998</v>
      </c>
      <c r="K3137">
        <v>12</v>
      </c>
      <c r="L3137" s="1"/>
      <c r="M3137">
        <v>0</v>
      </c>
      <c r="N3137">
        <v>7549</v>
      </c>
      <c r="O3137">
        <v>2.4781770000000001</v>
      </c>
      <c r="P3137">
        <v>1</v>
      </c>
      <c r="Q3137" s="1" t="s">
        <v>563</v>
      </c>
      <c r="R3137" s="93">
        <v>18708.009999999998</v>
      </c>
      <c r="S3137">
        <v>99196.96</v>
      </c>
      <c r="T3137">
        <v>0</v>
      </c>
      <c r="U3137" s="1" t="s">
        <v>852</v>
      </c>
      <c r="V3137" s="1"/>
      <c r="W3137">
        <v>536.20000000000005</v>
      </c>
      <c r="X3137">
        <v>77262</v>
      </c>
      <c r="Y3137">
        <v>77265</v>
      </c>
    </row>
    <row r="3138" spans="1:25" ht="15" hidden="1" customHeight="1" x14ac:dyDescent="0.25">
      <c r="A3138" s="1" t="s">
        <v>37</v>
      </c>
      <c r="B3138" s="1"/>
      <c r="C3138" s="1" t="s">
        <v>193</v>
      </c>
      <c r="D3138">
        <v>9220</v>
      </c>
      <c r="E3138" s="1"/>
      <c r="F3138" s="1" t="s">
        <v>322</v>
      </c>
      <c r="G3138" s="1" t="s">
        <v>1398</v>
      </c>
      <c r="H3138" s="1" t="s">
        <v>1405</v>
      </c>
      <c r="I3138">
        <v>2009</v>
      </c>
      <c r="J3138" s="93">
        <v>702998.53</v>
      </c>
      <c r="K3138">
        <v>11</v>
      </c>
      <c r="L3138" s="1" t="s">
        <v>432</v>
      </c>
      <c r="M3138">
        <v>0</v>
      </c>
      <c r="N3138">
        <v>7549</v>
      </c>
      <c r="O3138">
        <v>93.123487999999995</v>
      </c>
      <c r="P3138">
        <v>1</v>
      </c>
      <c r="Q3138" s="1" t="s">
        <v>565</v>
      </c>
      <c r="R3138" s="93">
        <v>766481.99</v>
      </c>
      <c r="S3138">
        <v>141799.20000000001</v>
      </c>
      <c r="T3138">
        <v>0</v>
      </c>
      <c r="U3138" s="1" t="s">
        <v>853</v>
      </c>
      <c r="V3138" s="1"/>
      <c r="W3138">
        <v>-102488.5102</v>
      </c>
      <c r="X3138">
        <v>0</v>
      </c>
      <c r="Y3138">
        <v>77263</v>
      </c>
    </row>
    <row r="3139" spans="1:25" ht="15" hidden="1" customHeight="1" x14ac:dyDescent="0.25">
      <c r="A3139" s="1" t="s">
        <v>37</v>
      </c>
      <c r="B3139" s="1"/>
      <c r="C3139" s="1" t="s">
        <v>193</v>
      </c>
      <c r="D3139">
        <v>9220</v>
      </c>
      <c r="E3139" s="1"/>
      <c r="F3139" s="1" t="s">
        <v>322</v>
      </c>
      <c r="G3139" s="1" t="s">
        <v>1398</v>
      </c>
      <c r="H3139" s="1" t="s">
        <v>1405</v>
      </c>
      <c r="I3139">
        <v>2009</v>
      </c>
      <c r="J3139" s="93">
        <v>61012.7</v>
      </c>
      <c r="K3139">
        <v>11</v>
      </c>
      <c r="L3139" s="1" t="s">
        <v>493</v>
      </c>
      <c r="M3139">
        <v>0</v>
      </c>
      <c r="N3139">
        <v>7549</v>
      </c>
      <c r="O3139">
        <v>8.0821149999999999</v>
      </c>
      <c r="P3139">
        <v>1</v>
      </c>
      <c r="Q3139" s="1" t="s">
        <v>565</v>
      </c>
      <c r="R3139" s="93">
        <v>61012.7</v>
      </c>
      <c r="S3139">
        <v>11.28</v>
      </c>
      <c r="T3139">
        <v>0</v>
      </c>
      <c r="U3139" s="1" t="s">
        <v>854</v>
      </c>
      <c r="V3139" s="1"/>
      <c r="W3139">
        <v>61.012700000000002</v>
      </c>
      <c r="X3139">
        <v>0</v>
      </c>
      <c r="Y3139">
        <v>79520</v>
      </c>
    </row>
    <row r="3140" spans="1:25" ht="15" hidden="1" customHeight="1" x14ac:dyDescent="0.25">
      <c r="A3140" s="1" t="s">
        <v>37</v>
      </c>
      <c r="B3140" s="1"/>
      <c r="C3140" s="1" t="s">
        <v>193</v>
      </c>
      <c r="D3140">
        <v>9220</v>
      </c>
      <c r="E3140" s="1"/>
      <c r="F3140" s="1" t="s">
        <v>322</v>
      </c>
      <c r="G3140" s="1" t="s">
        <v>1398</v>
      </c>
      <c r="H3140" s="1" t="s">
        <v>1405</v>
      </c>
      <c r="I3140">
        <v>2008</v>
      </c>
      <c r="J3140" s="93">
        <v>48887.75</v>
      </c>
      <c r="K3140">
        <v>12</v>
      </c>
      <c r="L3140" s="1" t="s">
        <v>493</v>
      </c>
      <c r="M3140">
        <v>0</v>
      </c>
      <c r="N3140">
        <v>7549</v>
      </c>
      <c r="O3140">
        <v>6.4759700000000002</v>
      </c>
      <c r="P3140">
        <v>1</v>
      </c>
      <c r="Q3140" s="1" t="s">
        <v>565</v>
      </c>
      <c r="R3140" s="93">
        <v>48887.75</v>
      </c>
      <c r="S3140">
        <v>9.0500000000000007</v>
      </c>
      <c r="T3140">
        <v>0</v>
      </c>
      <c r="U3140" s="1" t="s">
        <v>854</v>
      </c>
      <c r="V3140" s="1"/>
      <c r="W3140">
        <v>48.887749999999997</v>
      </c>
      <c r="X3140">
        <v>0</v>
      </c>
      <c r="Y3140">
        <v>79520</v>
      </c>
    </row>
    <row r="3141" spans="1:25" ht="15" hidden="1" customHeight="1" x14ac:dyDescent="0.25">
      <c r="A3141" s="1" t="s">
        <v>37</v>
      </c>
      <c r="B3141" s="1"/>
      <c r="C3141" s="1" t="s">
        <v>193</v>
      </c>
      <c r="D3141">
        <v>9220</v>
      </c>
      <c r="E3141" s="1"/>
      <c r="F3141" s="1" t="s">
        <v>322</v>
      </c>
      <c r="G3141" s="1" t="s">
        <v>1398</v>
      </c>
      <c r="H3141" s="1" t="s">
        <v>1405</v>
      </c>
      <c r="I3141">
        <v>2008</v>
      </c>
      <c r="J3141" s="93">
        <v>17860</v>
      </c>
      <c r="K3141">
        <v>12</v>
      </c>
      <c r="L3141" s="1"/>
      <c r="M3141">
        <v>0</v>
      </c>
      <c r="N3141">
        <v>7549</v>
      </c>
      <c r="O3141">
        <v>2.3658440000000001</v>
      </c>
      <c r="P3141">
        <v>1</v>
      </c>
      <c r="Q3141" s="1" t="s">
        <v>562</v>
      </c>
      <c r="R3141" s="93">
        <v>17860</v>
      </c>
      <c r="S3141">
        <v>3304.1</v>
      </c>
      <c r="T3141">
        <v>0</v>
      </c>
      <c r="U3141" s="1" t="s">
        <v>852</v>
      </c>
      <c r="V3141" s="1"/>
      <c r="W3141">
        <v>17860</v>
      </c>
      <c r="X3141">
        <v>0</v>
      </c>
      <c r="Y3141">
        <v>77262</v>
      </c>
    </row>
    <row r="3142" spans="1:25" ht="15" hidden="1" customHeight="1" x14ac:dyDescent="0.25">
      <c r="A3142" s="1" t="s">
        <v>37</v>
      </c>
      <c r="B3142" s="1"/>
      <c r="C3142" s="1" t="s">
        <v>193</v>
      </c>
      <c r="D3142">
        <v>9220</v>
      </c>
      <c r="E3142" s="1"/>
      <c r="F3142" s="1" t="s">
        <v>322</v>
      </c>
      <c r="G3142" s="1" t="s">
        <v>1398</v>
      </c>
      <c r="H3142" s="1" t="s">
        <v>1405</v>
      </c>
      <c r="I3142">
        <v>2008</v>
      </c>
      <c r="J3142" s="93">
        <v>10774.04</v>
      </c>
      <c r="K3142">
        <v>12</v>
      </c>
      <c r="L3142" s="1"/>
      <c r="M3142">
        <v>0</v>
      </c>
      <c r="N3142">
        <v>7549</v>
      </c>
      <c r="O3142">
        <v>1.427195</v>
      </c>
      <c r="P3142">
        <v>1</v>
      </c>
      <c r="Q3142" s="1" t="s">
        <v>563</v>
      </c>
      <c r="R3142" s="93">
        <v>10774.04</v>
      </c>
      <c r="S3142">
        <v>57128.04</v>
      </c>
      <c r="T3142">
        <v>0</v>
      </c>
      <c r="U3142" s="1" t="s">
        <v>852</v>
      </c>
      <c r="V3142" s="1"/>
      <c r="W3142">
        <v>308.8</v>
      </c>
      <c r="X3142">
        <v>77262</v>
      </c>
      <c r="Y3142">
        <v>77265</v>
      </c>
    </row>
    <row r="3143" spans="1:25" ht="15" hidden="1" customHeight="1" x14ac:dyDescent="0.25">
      <c r="A3143" s="1" t="s">
        <v>37</v>
      </c>
      <c r="B3143" s="1"/>
      <c r="C3143" s="1" t="s">
        <v>193</v>
      </c>
      <c r="D3143">
        <v>9220</v>
      </c>
      <c r="E3143" s="1"/>
      <c r="F3143" s="1" t="s">
        <v>322</v>
      </c>
      <c r="G3143" s="1" t="s">
        <v>1398</v>
      </c>
      <c r="H3143" s="1" t="s">
        <v>1405</v>
      </c>
      <c r="I3143">
        <v>2008</v>
      </c>
      <c r="J3143" s="93">
        <v>978541.43</v>
      </c>
      <c r="K3143">
        <v>12</v>
      </c>
      <c r="L3143" s="1" t="s">
        <v>432</v>
      </c>
      <c r="M3143">
        <v>0</v>
      </c>
      <c r="N3143">
        <v>7549</v>
      </c>
      <c r="O3143">
        <v>129.62358800000001</v>
      </c>
      <c r="P3143">
        <v>1</v>
      </c>
      <c r="Q3143" s="1" t="s">
        <v>565</v>
      </c>
      <c r="R3143" s="93">
        <v>1143359.98</v>
      </c>
      <c r="S3143">
        <v>211521.63</v>
      </c>
      <c r="T3143">
        <v>0</v>
      </c>
      <c r="U3143" s="1" t="s">
        <v>853</v>
      </c>
      <c r="V3143" s="1"/>
      <c r="W3143">
        <v>-51993.854180000002</v>
      </c>
      <c r="X3143">
        <v>0</v>
      </c>
      <c r="Y3143">
        <v>77263</v>
      </c>
    </row>
    <row r="3144" spans="1:25" ht="15" customHeight="1" x14ac:dyDescent="0.25">
      <c r="A3144" s="1" t="s">
        <v>37</v>
      </c>
      <c r="B3144" s="1"/>
      <c r="C3144" s="1" t="s">
        <v>193</v>
      </c>
      <c r="D3144">
        <v>9220</v>
      </c>
      <c r="E3144" s="1"/>
      <c r="F3144" s="1" t="s">
        <v>322</v>
      </c>
      <c r="G3144" s="1" t="s">
        <v>1398</v>
      </c>
      <c r="H3144" s="1" t="s">
        <v>1405</v>
      </c>
      <c r="I3144">
        <v>2015</v>
      </c>
      <c r="J3144" s="93"/>
      <c r="K3144">
        <v>5</v>
      </c>
      <c r="L3144" s="1"/>
      <c r="M3144">
        <v>0</v>
      </c>
      <c r="N3144">
        <v>7549</v>
      </c>
      <c r="O3144">
        <v>0</v>
      </c>
      <c r="P3144">
        <v>1</v>
      </c>
      <c r="Q3144" s="1" t="s">
        <v>562</v>
      </c>
      <c r="R3144" s="93">
        <v>0</v>
      </c>
      <c r="S3144">
        <v>5762.75</v>
      </c>
      <c r="T3144">
        <v>0</v>
      </c>
      <c r="U3144" s="1" t="s">
        <v>852</v>
      </c>
      <c r="V3144" s="1"/>
      <c r="W3144">
        <v>31150</v>
      </c>
      <c r="X3144">
        <v>0</v>
      </c>
      <c r="Y3144">
        <v>77262</v>
      </c>
    </row>
    <row r="3145" spans="1:25" ht="15" customHeight="1" x14ac:dyDescent="0.25">
      <c r="A3145" s="1" t="s">
        <v>37</v>
      </c>
      <c r="B3145" s="1"/>
      <c r="C3145" s="1" t="s">
        <v>193</v>
      </c>
      <c r="D3145">
        <v>9220</v>
      </c>
      <c r="E3145" s="1"/>
      <c r="F3145" s="1" t="s">
        <v>322</v>
      </c>
      <c r="G3145" s="1" t="s">
        <v>1398</v>
      </c>
      <c r="H3145" s="1" t="s">
        <v>1405</v>
      </c>
      <c r="I3145">
        <v>2015</v>
      </c>
      <c r="J3145" s="93">
        <v>682142</v>
      </c>
      <c r="K3145">
        <v>5</v>
      </c>
      <c r="L3145" s="1" t="s">
        <v>432</v>
      </c>
      <c r="M3145">
        <v>0</v>
      </c>
      <c r="N3145">
        <v>7549</v>
      </c>
      <c r="O3145">
        <v>44.206128999999997</v>
      </c>
      <c r="P3145">
        <v>1</v>
      </c>
      <c r="Q3145" s="1" t="s">
        <v>565</v>
      </c>
      <c r="R3145" s="93">
        <v>832816</v>
      </c>
      <c r="S3145">
        <v>75809.740000000005</v>
      </c>
      <c r="T3145">
        <v>0</v>
      </c>
      <c r="U3145" s="1" t="s">
        <v>853</v>
      </c>
      <c r="V3145" s="1"/>
      <c r="W3145">
        <v>-245592.351</v>
      </c>
      <c r="X3145">
        <v>0</v>
      </c>
      <c r="Y3145">
        <v>77263</v>
      </c>
    </row>
    <row r="3146" spans="1:25" ht="15" customHeight="1" x14ac:dyDescent="0.25">
      <c r="A3146" s="1" t="s">
        <v>37</v>
      </c>
      <c r="B3146" s="1"/>
      <c r="C3146" s="1" t="s">
        <v>193</v>
      </c>
      <c r="D3146">
        <v>11000</v>
      </c>
      <c r="E3146" s="1"/>
      <c r="F3146" s="1" t="s">
        <v>323</v>
      </c>
      <c r="G3146" s="1" t="s">
        <v>1398</v>
      </c>
      <c r="H3146" s="1" t="s">
        <v>1405</v>
      </c>
      <c r="I3146">
        <v>2015</v>
      </c>
      <c r="J3146" s="93">
        <v>35733</v>
      </c>
      <c r="K3146">
        <v>5</v>
      </c>
      <c r="L3146" s="1" t="s">
        <v>494</v>
      </c>
      <c r="M3146">
        <v>0</v>
      </c>
      <c r="N3146">
        <v>652</v>
      </c>
      <c r="O3146">
        <v>22.042631</v>
      </c>
      <c r="P3146">
        <v>1</v>
      </c>
      <c r="Q3146" s="1" t="s">
        <v>562</v>
      </c>
      <c r="R3146" s="93">
        <v>35733</v>
      </c>
      <c r="S3146">
        <v>919.93</v>
      </c>
      <c r="T3146">
        <v>0</v>
      </c>
      <c r="U3146" s="1" t="s">
        <v>855</v>
      </c>
      <c r="V3146" s="1"/>
      <c r="W3146">
        <v>14374</v>
      </c>
      <c r="X3146">
        <v>0</v>
      </c>
      <c r="Y3146">
        <v>79521</v>
      </c>
    </row>
    <row r="3147" spans="1:25" ht="15" customHeight="1" x14ac:dyDescent="0.25">
      <c r="A3147" s="1" t="s">
        <v>37</v>
      </c>
      <c r="B3147" s="1"/>
      <c r="C3147" s="1" t="s">
        <v>193</v>
      </c>
      <c r="D3147">
        <v>11000</v>
      </c>
      <c r="E3147" s="1"/>
      <c r="F3147" s="1" t="s">
        <v>323</v>
      </c>
      <c r="G3147" s="1" t="s">
        <v>1398</v>
      </c>
      <c r="H3147" s="1" t="s">
        <v>1405</v>
      </c>
      <c r="I3147">
        <v>2015</v>
      </c>
      <c r="J3147" s="93">
        <v>0</v>
      </c>
      <c r="K3147">
        <v>5</v>
      </c>
      <c r="L3147" s="1" t="s">
        <v>450</v>
      </c>
      <c r="M3147">
        <v>0</v>
      </c>
      <c r="N3147">
        <v>652</v>
      </c>
      <c r="O3147">
        <v>12.836865</v>
      </c>
      <c r="P3147">
        <v>1</v>
      </c>
      <c r="Q3147" s="1" t="s">
        <v>565</v>
      </c>
      <c r="R3147" s="93">
        <v>0</v>
      </c>
      <c r="S3147">
        <v>0.52</v>
      </c>
      <c r="T3147">
        <v>0</v>
      </c>
      <c r="U3147" s="1" t="s">
        <v>856</v>
      </c>
      <c r="V3147" s="1"/>
      <c r="W3147">
        <v>-98956.645000000004</v>
      </c>
      <c r="X3147">
        <v>0</v>
      </c>
      <c r="Y3147">
        <v>80204</v>
      </c>
    </row>
    <row r="3148" spans="1:25" ht="15" hidden="1" customHeight="1" x14ac:dyDescent="0.25">
      <c r="A3148" s="1" t="s">
        <v>37</v>
      </c>
      <c r="B3148" s="1"/>
      <c r="C3148" s="1" t="s">
        <v>193</v>
      </c>
      <c r="D3148">
        <v>11000</v>
      </c>
      <c r="E3148" s="1"/>
      <c r="F3148" s="1" t="s">
        <v>323</v>
      </c>
      <c r="G3148" s="1" t="s">
        <v>1398</v>
      </c>
      <c r="H3148" s="1" t="s">
        <v>1405</v>
      </c>
      <c r="I3148">
        <v>2012</v>
      </c>
      <c r="J3148" s="93">
        <v>-2519.09</v>
      </c>
      <c r="K3148">
        <v>12</v>
      </c>
      <c r="L3148" s="1" t="s">
        <v>450</v>
      </c>
      <c r="M3148">
        <v>0</v>
      </c>
      <c r="N3148">
        <v>652</v>
      </c>
      <c r="O3148">
        <v>-3.8630420000000001</v>
      </c>
      <c r="P3148">
        <v>1</v>
      </c>
      <c r="Q3148" s="1" t="s">
        <v>565</v>
      </c>
      <c r="R3148" s="93">
        <v>-2519.09</v>
      </c>
      <c r="S3148">
        <v>-0.47</v>
      </c>
      <c r="T3148">
        <v>0</v>
      </c>
      <c r="U3148" s="1" t="s">
        <v>856</v>
      </c>
      <c r="V3148" s="1"/>
      <c r="W3148">
        <v>-194000.98373000001</v>
      </c>
      <c r="X3148">
        <v>0</v>
      </c>
      <c r="Y3148">
        <v>80204</v>
      </c>
    </row>
    <row r="3149" spans="1:25" ht="15" hidden="1" customHeight="1" x14ac:dyDescent="0.25">
      <c r="A3149" s="1" t="s">
        <v>37</v>
      </c>
      <c r="B3149" s="1"/>
      <c r="C3149" s="1" t="s">
        <v>193</v>
      </c>
      <c r="D3149">
        <v>11000</v>
      </c>
      <c r="E3149" s="1"/>
      <c r="F3149" s="1" t="s">
        <v>323</v>
      </c>
      <c r="G3149" s="1" t="s">
        <v>1398</v>
      </c>
      <c r="H3149" s="1" t="s">
        <v>1405</v>
      </c>
      <c r="I3149">
        <v>2012</v>
      </c>
      <c r="J3149" s="93">
        <v>31637</v>
      </c>
      <c r="K3149">
        <v>12</v>
      </c>
      <c r="L3149" s="1" t="s">
        <v>494</v>
      </c>
      <c r="M3149">
        <v>0</v>
      </c>
      <c r="N3149">
        <v>652</v>
      </c>
      <c r="O3149">
        <v>48.515565000000002</v>
      </c>
      <c r="P3149">
        <v>1</v>
      </c>
      <c r="Q3149" s="1" t="s">
        <v>562</v>
      </c>
      <c r="R3149" s="93">
        <v>31637</v>
      </c>
      <c r="S3149">
        <v>5852.84</v>
      </c>
      <c r="T3149">
        <v>0</v>
      </c>
      <c r="U3149" s="1" t="s">
        <v>855</v>
      </c>
      <c r="V3149" s="1"/>
      <c r="W3149">
        <v>31637</v>
      </c>
      <c r="X3149">
        <v>0</v>
      </c>
      <c r="Y3149">
        <v>79521</v>
      </c>
    </row>
    <row r="3150" spans="1:25" ht="15" hidden="1" customHeight="1" x14ac:dyDescent="0.25">
      <c r="A3150" s="1" t="s">
        <v>37</v>
      </c>
      <c r="B3150" s="1"/>
      <c r="C3150" s="1" t="s">
        <v>193</v>
      </c>
      <c r="D3150">
        <v>11000</v>
      </c>
      <c r="E3150" s="1"/>
      <c r="F3150" s="1" t="s">
        <v>323</v>
      </c>
      <c r="G3150" s="1" t="s">
        <v>1398</v>
      </c>
      <c r="H3150" s="1" t="s">
        <v>1405</v>
      </c>
      <c r="I3150">
        <v>2011</v>
      </c>
      <c r="J3150" s="93">
        <v>37191</v>
      </c>
      <c r="K3150">
        <v>12</v>
      </c>
      <c r="L3150" s="1" t="s">
        <v>494</v>
      </c>
      <c r="M3150">
        <v>0</v>
      </c>
      <c r="N3150">
        <v>652</v>
      </c>
      <c r="O3150">
        <v>57.032662999999999</v>
      </c>
      <c r="P3150">
        <v>1</v>
      </c>
      <c r="Q3150" s="1" t="s">
        <v>562</v>
      </c>
      <c r="R3150" s="93">
        <v>37191</v>
      </c>
      <c r="S3150">
        <v>6880.34</v>
      </c>
      <c r="T3150">
        <v>0</v>
      </c>
      <c r="U3150" s="1" t="s">
        <v>855</v>
      </c>
      <c r="V3150" s="1"/>
      <c r="W3150">
        <v>37191</v>
      </c>
      <c r="X3150">
        <v>0</v>
      </c>
      <c r="Y3150">
        <v>79521</v>
      </c>
    </row>
    <row r="3151" spans="1:25" ht="15" hidden="1" customHeight="1" x14ac:dyDescent="0.25">
      <c r="A3151" s="1" t="s">
        <v>37</v>
      </c>
      <c r="B3151" s="1"/>
      <c r="C3151" s="1" t="s">
        <v>193</v>
      </c>
      <c r="D3151">
        <v>11000</v>
      </c>
      <c r="E3151" s="1"/>
      <c r="F3151" s="1" t="s">
        <v>323</v>
      </c>
      <c r="G3151" s="1" t="s">
        <v>1398</v>
      </c>
      <c r="H3151" s="1" t="s">
        <v>1405</v>
      </c>
      <c r="I3151">
        <v>2011</v>
      </c>
      <c r="J3151" s="93">
        <v>-17818.52</v>
      </c>
      <c r="K3151">
        <v>12</v>
      </c>
      <c r="L3151" s="1" t="s">
        <v>450</v>
      </c>
      <c r="M3151">
        <v>0</v>
      </c>
      <c r="N3151">
        <v>652</v>
      </c>
      <c r="O3151">
        <v>-27.324826999999999</v>
      </c>
      <c r="P3151">
        <v>1</v>
      </c>
      <c r="Q3151" s="1" t="s">
        <v>565</v>
      </c>
      <c r="R3151" s="93">
        <v>-17818.52</v>
      </c>
      <c r="S3151">
        <v>-3.29</v>
      </c>
      <c r="T3151">
        <v>0</v>
      </c>
      <c r="U3151" s="1" t="s">
        <v>856</v>
      </c>
      <c r="V3151" s="1"/>
      <c r="W3151">
        <v>-17.818519999999999</v>
      </c>
      <c r="X3151">
        <v>0</v>
      </c>
      <c r="Y3151">
        <v>80204</v>
      </c>
    </row>
    <row r="3152" spans="1:25" ht="15" hidden="1" customHeight="1" x14ac:dyDescent="0.25">
      <c r="A3152" s="1" t="s">
        <v>37</v>
      </c>
      <c r="B3152" s="1"/>
      <c r="C3152" s="1" t="s">
        <v>193</v>
      </c>
      <c r="D3152">
        <v>11000</v>
      </c>
      <c r="E3152" s="1"/>
      <c r="F3152" s="1" t="s">
        <v>323</v>
      </c>
      <c r="G3152" s="1" t="s">
        <v>1398</v>
      </c>
      <c r="H3152" s="1" t="s">
        <v>1405</v>
      </c>
      <c r="I3152">
        <v>2010</v>
      </c>
      <c r="J3152" s="93">
        <v>47485.02</v>
      </c>
      <c r="K3152">
        <v>9</v>
      </c>
      <c r="L3152" s="1" t="s">
        <v>494</v>
      </c>
      <c r="M3152">
        <v>0</v>
      </c>
      <c r="N3152">
        <v>652</v>
      </c>
      <c r="O3152">
        <v>72.818616000000006</v>
      </c>
      <c r="P3152">
        <v>1</v>
      </c>
      <c r="Q3152" s="1" t="s">
        <v>562</v>
      </c>
      <c r="R3152" s="93">
        <v>47485.02</v>
      </c>
      <c r="S3152">
        <v>8784.7099999999991</v>
      </c>
      <c r="T3152">
        <v>0</v>
      </c>
      <c r="U3152" s="1" t="s">
        <v>855</v>
      </c>
      <c r="V3152" s="1"/>
      <c r="W3152">
        <v>47485.000010000003</v>
      </c>
      <c r="X3152">
        <v>0</v>
      </c>
      <c r="Y3152">
        <v>79521</v>
      </c>
    </row>
    <row r="3153" spans="1:25" ht="15" hidden="1" customHeight="1" x14ac:dyDescent="0.25">
      <c r="A3153" s="1" t="s">
        <v>37</v>
      </c>
      <c r="B3153" s="1"/>
      <c r="C3153" s="1" t="s">
        <v>193</v>
      </c>
      <c r="D3153">
        <v>11000</v>
      </c>
      <c r="E3153" s="1"/>
      <c r="F3153" s="1" t="s">
        <v>323</v>
      </c>
      <c r="G3153" s="1" t="s">
        <v>1398</v>
      </c>
      <c r="H3153" s="1" t="s">
        <v>1405</v>
      </c>
      <c r="I3153">
        <v>2010</v>
      </c>
      <c r="J3153" s="93">
        <v>33353.589999999997</v>
      </c>
      <c r="K3153">
        <v>12</v>
      </c>
      <c r="L3153" s="1" t="s">
        <v>450</v>
      </c>
      <c r="M3153">
        <v>0</v>
      </c>
      <c r="N3153">
        <v>652</v>
      </c>
      <c r="O3153">
        <v>51.147967999999999</v>
      </c>
      <c r="P3153">
        <v>1</v>
      </c>
      <c r="Q3153" s="1" t="s">
        <v>565</v>
      </c>
      <c r="R3153" s="93">
        <v>33353.589999999997</v>
      </c>
      <c r="S3153">
        <v>6.2</v>
      </c>
      <c r="T3153">
        <v>0</v>
      </c>
      <c r="U3153" s="1" t="s">
        <v>856</v>
      </c>
      <c r="V3153" s="1"/>
      <c r="W3153">
        <v>33.353589999999997</v>
      </c>
      <c r="X3153">
        <v>0</v>
      </c>
      <c r="Y3153">
        <v>80204</v>
      </c>
    </row>
    <row r="3154" spans="1:25" ht="15" hidden="1" customHeight="1" x14ac:dyDescent="0.25">
      <c r="A3154" s="1" t="s">
        <v>37</v>
      </c>
      <c r="B3154" s="1"/>
      <c r="C3154" s="1" t="s">
        <v>193</v>
      </c>
      <c r="D3154">
        <v>11000</v>
      </c>
      <c r="E3154" s="1"/>
      <c r="F3154" s="1" t="s">
        <v>323</v>
      </c>
      <c r="G3154" s="1" t="s">
        <v>1398</v>
      </c>
      <c r="H3154" s="1" t="s">
        <v>1405</v>
      </c>
      <c r="I3154">
        <v>2009</v>
      </c>
      <c r="J3154" s="93">
        <v>67876.59</v>
      </c>
      <c r="K3154">
        <v>11</v>
      </c>
      <c r="L3154" s="1" t="s">
        <v>450</v>
      </c>
      <c r="M3154">
        <v>0</v>
      </c>
      <c r="N3154">
        <v>652</v>
      </c>
      <c r="O3154">
        <v>104.089234</v>
      </c>
      <c r="P3154">
        <v>1</v>
      </c>
      <c r="Q3154" s="1" t="s">
        <v>565</v>
      </c>
      <c r="R3154" s="93">
        <v>67876.59</v>
      </c>
      <c r="S3154">
        <v>12.54</v>
      </c>
      <c r="T3154">
        <v>0</v>
      </c>
      <c r="U3154" s="1" t="s">
        <v>856</v>
      </c>
      <c r="V3154" s="1"/>
      <c r="W3154">
        <v>67.876589999999993</v>
      </c>
      <c r="X3154">
        <v>0</v>
      </c>
      <c r="Y3154">
        <v>80204</v>
      </c>
    </row>
    <row r="3155" spans="1:25" ht="15" hidden="1" customHeight="1" x14ac:dyDescent="0.25">
      <c r="A3155" s="1" t="s">
        <v>37</v>
      </c>
      <c r="B3155" s="1"/>
      <c r="C3155" s="1" t="s">
        <v>193</v>
      </c>
      <c r="D3155">
        <v>11000</v>
      </c>
      <c r="E3155" s="1"/>
      <c r="F3155" s="1" t="s">
        <v>323</v>
      </c>
      <c r="G3155" s="1" t="s">
        <v>1398</v>
      </c>
      <c r="H3155" s="1" t="s">
        <v>1405</v>
      </c>
      <c r="I3155">
        <v>2009</v>
      </c>
      <c r="J3155" s="93">
        <v>20657.650000000001</v>
      </c>
      <c r="K3155">
        <v>11</v>
      </c>
      <c r="L3155" s="1" t="s">
        <v>494</v>
      </c>
      <c r="M3155">
        <v>0</v>
      </c>
      <c r="N3155">
        <v>652</v>
      </c>
      <c r="O3155">
        <v>31.678653000000001</v>
      </c>
      <c r="P3155">
        <v>1</v>
      </c>
      <c r="Q3155" s="1" t="s">
        <v>562</v>
      </c>
      <c r="R3155" s="93">
        <v>20657.650000000001</v>
      </c>
      <c r="S3155">
        <v>3821.67</v>
      </c>
      <c r="T3155">
        <v>0</v>
      </c>
      <c r="U3155" s="1" t="s">
        <v>855</v>
      </c>
      <c r="V3155" s="1"/>
      <c r="W3155">
        <v>20657.64515</v>
      </c>
      <c r="X3155">
        <v>0</v>
      </c>
      <c r="Y3155">
        <v>79521</v>
      </c>
    </row>
    <row r="3156" spans="1:25" ht="15" hidden="1" customHeight="1" x14ac:dyDescent="0.25">
      <c r="A3156" s="1" t="s">
        <v>37</v>
      </c>
      <c r="B3156" s="1"/>
      <c r="C3156" s="1" t="s">
        <v>193</v>
      </c>
      <c r="D3156">
        <v>11000</v>
      </c>
      <c r="E3156" s="1"/>
      <c r="F3156" s="1" t="s">
        <v>323</v>
      </c>
      <c r="G3156" s="1" t="s">
        <v>1398</v>
      </c>
      <c r="H3156" s="1" t="s">
        <v>1405</v>
      </c>
      <c r="I3156">
        <v>2008</v>
      </c>
      <c r="J3156" s="93">
        <v>-116295.28</v>
      </c>
      <c r="K3156">
        <v>7</v>
      </c>
      <c r="L3156" s="1" t="s">
        <v>450</v>
      </c>
      <c r="M3156">
        <v>0</v>
      </c>
      <c r="N3156">
        <v>652</v>
      </c>
      <c r="O3156">
        <v>-178.339641</v>
      </c>
      <c r="P3156">
        <v>1</v>
      </c>
      <c r="Q3156" s="1" t="s">
        <v>565</v>
      </c>
      <c r="R3156" s="93">
        <v>-116295.28</v>
      </c>
      <c r="S3156">
        <v>-21.49</v>
      </c>
      <c r="T3156">
        <v>0</v>
      </c>
      <c r="U3156" s="1" t="s">
        <v>856</v>
      </c>
      <c r="V3156" s="1"/>
      <c r="W3156">
        <v>-116.29528000000001</v>
      </c>
      <c r="X3156">
        <v>0</v>
      </c>
      <c r="Y3156">
        <v>80204</v>
      </c>
    </row>
    <row r="3157" spans="1:25" ht="15" hidden="1" customHeight="1" x14ac:dyDescent="0.25">
      <c r="A3157" s="1" t="s">
        <v>37</v>
      </c>
      <c r="B3157" s="1"/>
      <c r="C3157" s="1" t="s">
        <v>193</v>
      </c>
      <c r="D3157">
        <v>11000</v>
      </c>
      <c r="E3157" s="1"/>
      <c r="F3157" s="1" t="s">
        <v>323</v>
      </c>
      <c r="G3157" s="1" t="s">
        <v>1398</v>
      </c>
      <c r="H3157" s="1" t="s">
        <v>1405</v>
      </c>
      <c r="I3157">
        <v>2008</v>
      </c>
      <c r="J3157" s="93">
        <v>34591.65</v>
      </c>
      <c r="K3157">
        <v>12</v>
      </c>
      <c r="L3157" s="1" t="s">
        <v>494</v>
      </c>
      <c r="M3157">
        <v>0</v>
      </c>
      <c r="N3157">
        <v>652</v>
      </c>
      <c r="O3157">
        <v>53.046540999999998</v>
      </c>
      <c r="P3157">
        <v>1</v>
      </c>
      <c r="Q3157" s="1" t="s">
        <v>562</v>
      </c>
      <c r="R3157" s="93">
        <v>34591.65</v>
      </c>
      <c r="S3157">
        <v>6399.46</v>
      </c>
      <c r="T3157">
        <v>0</v>
      </c>
      <c r="U3157" s="1" t="s">
        <v>855</v>
      </c>
      <c r="V3157" s="1"/>
      <c r="W3157">
        <v>34591.645140000001</v>
      </c>
      <c r="X3157">
        <v>0</v>
      </c>
      <c r="Y3157">
        <v>79521</v>
      </c>
    </row>
    <row r="3158" spans="1:25" ht="15" hidden="1" customHeight="1" x14ac:dyDescent="0.25">
      <c r="A3158" s="1" t="s">
        <v>37</v>
      </c>
      <c r="B3158" s="1"/>
      <c r="C3158" s="1" t="s">
        <v>194</v>
      </c>
      <c r="D3158">
        <v>14252</v>
      </c>
      <c r="E3158" s="1" t="s">
        <v>243</v>
      </c>
      <c r="F3158" s="1" t="s">
        <v>324</v>
      </c>
      <c r="G3158" s="1" t="s">
        <v>194</v>
      </c>
      <c r="H3158" s="1" t="s">
        <v>1405</v>
      </c>
      <c r="I3158">
        <v>2015</v>
      </c>
      <c r="J3158" s="93">
        <v>233150</v>
      </c>
      <c r="K3158">
        <v>5</v>
      </c>
      <c r="L3158" s="1" t="s">
        <v>448</v>
      </c>
      <c r="M3158">
        <v>0</v>
      </c>
      <c r="N3158">
        <v>3700</v>
      </c>
      <c r="O3158">
        <v>40.328639000000003</v>
      </c>
      <c r="P3158">
        <v>1</v>
      </c>
      <c r="Q3158" s="1" t="s">
        <v>565</v>
      </c>
      <c r="R3158" s="93">
        <v>272828</v>
      </c>
      <c r="S3158">
        <v>10859.07</v>
      </c>
      <c r="T3158">
        <v>0</v>
      </c>
      <c r="U3158" s="1" t="s">
        <v>857</v>
      </c>
      <c r="V3158" s="1"/>
      <c r="W3158">
        <v>149.22</v>
      </c>
      <c r="X3158">
        <v>0</v>
      </c>
      <c r="Y3158">
        <v>79444</v>
      </c>
    </row>
    <row r="3159" spans="1:25" ht="15" hidden="1" customHeight="1" x14ac:dyDescent="0.25">
      <c r="A3159" s="1" t="s">
        <v>37</v>
      </c>
      <c r="B3159" s="1"/>
      <c r="C3159" s="1" t="s">
        <v>194</v>
      </c>
      <c r="D3159">
        <v>14252</v>
      </c>
      <c r="E3159" s="1" t="s">
        <v>243</v>
      </c>
      <c r="F3159" s="1" t="s">
        <v>324</v>
      </c>
      <c r="G3159" s="1" t="s">
        <v>194</v>
      </c>
      <c r="H3159" s="1" t="s">
        <v>1405</v>
      </c>
      <c r="I3159">
        <v>2013</v>
      </c>
      <c r="J3159" s="93">
        <v>262440</v>
      </c>
      <c r="K3159">
        <v>12</v>
      </c>
      <c r="L3159" s="1" t="s">
        <v>448</v>
      </c>
      <c r="M3159">
        <v>0</v>
      </c>
      <c r="N3159">
        <v>3700</v>
      </c>
      <c r="O3159">
        <v>70.927812000000003</v>
      </c>
      <c r="P3159">
        <v>1</v>
      </c>
      <c r="Q3159" s="1" t="s">
        <v>565</v>
      </c>
      <c r="R3159" s="93">
        <v>279051.15999999997</v>
      </c>
      <c r="S3159">
        <v>17859.27</v>
      </c>
      <c r="T3159">
        <v>0</v>
      </c>
      <c r="U3159" s="1" t="s">
        <v>857</v>
      </c>
      <c r="V3159" s="1"/>
      <c r="W3159">
        <v>262.44</v>
      </c>
      <c r="X3159">
        <v>0</v>
      </c>
      <c r="Y3159">
        <v>79444</v>
      </c>
    </row>
    <row r="3160" spans="1:25" ht="15" hidden="1" customHeight="1" x14ac:dyDescent="0.25">
      <c r="A3160" s="1" t="s">
        <v>37</v>
      </c>
      <c r="B3160" s="1"/>
      <c r="C3160" s="1" t="s">
        <v>194</v>
      </c>
      <c r="D3160">
        <v>14252</v>
      </c>
      <c r="E3160" s="1" t="s">
        <v>243</v>
      </c>
      <c r="F3160" s="1" t="s">
        <v>324</v>
      </c>
      <c r="G3160" s="1" t="s">
        <v>194</v>
      </c>
      <c r="H3160" s="1" t="s">
        <v>1405</v>
      </c>
      <c r="I3160">
        <v>2012</v>
      </c>
      <c r="J3160" s="93">
        <v>332700</v>
      </c>
      <c r="K3160">
        <v>12</v>
      </c>
      <c r="L3160" s="1" t="s">
        <v>448</v>
      </c>
      <c r="M3160">
        <v>0</v>
      </c>
      <c r="N3160">
        <v>3700</v>
      </c>
      <c r="O3160">
        <v>89.916488000000001</v>
      </c>
      <c r="P3160">
        <v>1</v>
      </c>
      <c r="Q3160" s="1" t="s">
        <v>565</v>
      </c>
      <c r="R3160" s="93">
        <v>352367.15</v>
      </c>
      <c r="S3160">
        <v>65187.92</v>
      </c>
      <c r="T3160">
        <v>0</v>
      </c>
      <c r="U3160" s="1" t="s">
        <v>857</v>
      </c>
      <c r="V3160" s="1"/>
      <c r="W3160">
        <v>332.7</v>
      </c>
      <c r="X3160">
        <v>0</v>
      </c>
      <c r="Y3160">
        <v>79444</v>
      </c>
    </row>
    <row r="3161" spans="1:25" ht="15" hidden="1" customHeight="1" x14ac:dyDescent="0.25">
      <c r="A3161" s="1" t="s">
        <v>37</v>
      </c>
      <c r="B3161" s="1"/>
      <c r="C3161" s="1" t="s">
        <v>194</v>
      </c>
      <c r="D3161">
        <v>14252</v>
      </c>
      <c r="E3161" s="1" t="s">
        <v>243</v>
      </c>
      <c r="F3161" s="1" t="s">
        <v>324</v>
      </c>
      <c r="G3161" s="1" t="s">
        <v>194</v>
      </c>
      <c r="H3161" s="1" t="s">
        <v>1405</v>
      </c>
      <c r="I3161">
        <v>2011</v>
      </c>
      <c r="J3161" s="93">
        <v>373500</v>
      </c>
      <c r="K3161">
        <v>12</v>
      </c>
      <c r="L3161" s="1" t="s">
        <v>448</v>
      </c>
      <c r="M3161">
        <v>0</v>
      </c>
      <c r="N3161">
        <v>3700</v>
      </c>
      <c r="O3161">
        <v>100.943217</v>
      </c>
      <c r="P3161">
        <v>1</v>
      </c>
      <c r="Q3161" s="1" t="s">
        <v>565</v>
      </c>
      <c r="R3161" s="93">
        <v>405751.59</v>
      </c>
      <c r="S3161">
        <v>75064.05</v>
      </c>
      <c r="T3161">
        <v>0</v>
      </c>
      <c r="U3161" s="1" t="s">
        <v>857</v>
      </c>
      <c r="V3161" s="1"/>
      <c r="W3161">
        <v>373.5</v>
      </c>
      <c r="X3161">
        <v>0</v>
      </c>
      <c r="Y3161">
        <v>79444</v>
      </c>
    </row>
    <row r="3162" spans="1:25" ht="15" hidden="1" customHeight="1" x14ac:dyDescent="0.25">
      <c r="A3162" s="1" t="s">
        <v>37</v>
      </c>
      <c r="B3162" s="1"/>
      <c r="C3162" s="1" t="s">
        <v>194</v>
      </c>
      <c r="D3162">
        <v>14252</v>
      </c>
      <c r="E3162" s="1" t="s">
        <v>243</v>
      </c>
      <c r="F3162" s="1" t="s">
        <v>324</v>
      </c>
      <c r="G3162" s="1" t="s">
        <v>194</v>
      </c>
      <c r="H3162" s="1" t="s">
        <v>1405</v>
      </c>
      <c r="I3162">
        <v>2010</v>
      </c>
      <c r="J3162" s="93">
        <v>483073.32</v>
      </c>
      <c r="K3162">
        <v>8</v>
      </c>
      <c r="L3162" s="1" t="s">
        <v>448</v>
      </c>
      <c r="M3162">
        <v>0</v>
      </c>
      <c r="N3162">
        <v>3700</v>
      </c>
      <c r="O3162">
        <v>130.556828</v>
      </c>
      <c r="P3162">
        <v>1</v>
      </c>
      <c r="Q3162" s="1" t="s">
        <v>565</v>
      </c>
      <c r="R3162" s="93">
        <v>602624.80000000005</v>
      </c>
      <c r="S3162">
        <v>111485.58</v>
      </c>
      <c r="T3162">
        <v>0</v>
      </c>
      <c r="U3162" s="1" t="s">
        <v>857</v>
      </c>
      <c r="V3162" s="1"/>
      <c r="W3162">
        <v>483.07332000000002</v>
      </c>
      <c r="X3162">
        <v>0</v>
      </c>
      <c r="Y3162">
        <v>79444</v>
      </c>
    </row>
    <row r="3163" spans="1:25" ht="15" hidden="1" customHeight="1" x14ac:dyDescent="0.25">
      <c r="A3163" s="1" t="s">
        <v>37</v>
      </c>
      <c r="B3163" s="1"/>
      <c r="C3163" s="1" t="s">
        <v>194</v>
      </c>
      <c r="D3163">
        <v>14252</v>
      </c>
      <c r="E3163" s="1" t="s">
        <v>243</v>
      </c>
      <c r="F3163" s="1" t="s">
        <v>324</v>
      </c>
      <c r="G3163" s="1" t="s">
        <v>194</v>
      </c>
      <c r="H3163" s="1" t="s">
        <v>1405</v>
      </c>
      <c r="I3163">
        <v>2009</v>
      </c>
      <c r="J3163" s="93">
        <v>388825.71</v>
      </c>
      <c r="K3163">
        <v>15</v>
      </c>
      <c r="L3163" s="1" t="s">
        <v>448</v>
      </c>
      <c r="M3163">
        <v>0</v>
      </c>
      <c r="N3163">
        <v>3700</v>
      </c>
      <c r="O3163">
        <v>105.085189</v>
      </c>
      <c r="P3163">
        <v>1</v>
      </c>
      <c r="Q3163" s="1" t="s">
        <v>565</v>
      </c>
      <c r="R3163" s="93">
        <v>425137.9</v>
      </c>
      <c r="S3163">
        <v>78650.5</v>
      </c>
      <c r="T3163">
        <v>0</v>
      </c>
      <c r="U3163" s="1" t="s">
        <v>857</v>
      </c>
      <c r="V3163" s="1"/>
      <c r="W3163">
        <v>388.82571000000002</v>
      </c>
      <c r="X3163">
        <v>0</v>
      </c>
      <c r="Y3163">
        <v>79444</v>
      </c>
    </row>
    <row r="3164" spans="1:25" ht="15" hidden="1" customHeight="1" x14ac:dyDescent="0.25">
      <c r="A3164" s="1" t="s">
        <v>37</v>
      </c>
      <c r="B3164" s="1"/>
      <c r="C3164" s="1" t="s">
        <v>194</v>
      </c>
      <c r="D3164">
        <v>14252</v>
      </c>
      <c r="E3164" s="1" t="s">
        <v>243</v>
      </c>
      <c r="F3164" s="1" t="s">
        <v>324</v>
      </c>
      <c r="G3164" s="1" t="s">
        <v>194</v>
      </c>
      <c r="H3164" s="1" t="s">
        <v>1405</v>
      </c>
      <c r="I3164">
        <v>2008</v>
      </c>
      <c r="J3164" s="93">
        <v>320088.09000000003</v>
      </c>
      <c r="K3164">
        <v>14</v>
      </c>
      <c r="L3164" s="1" t="s">
        <v>448</v>
      </c>
      <c r="M3164">
        <v>0</v>
      </c>
      <c r="N3164">
        <v>3700</v>
      </c>
      <c r="O3164">
        <v>86.507955999999993</v>
      </c>
      <c r="P3164">
        <v>1</v>
      </c>
      <c r="Q3164" s="1" t="s">
        <v>565</v>
      </c>
      <c r="R3164" s="93">
        <v>368992.28</v>
      </c>
      <c r="S3164">
        <v>68263.55</v>
      </c>
      <c r="T3164">
        <v>0</v>
      </c>
      <c r="U3164" s="1" t="s">
        <v>857</v>
      </c>
      <c r="V3164" s="1"/>
      <c r="W3164">
        <v>320.08809000000002</v>
      </c>
      <c r="X3164">
        <v>0</v>
      </c>
      <c r="Y3164">
        <v>79444</v>
      </c>
    </row>
    <row r="3165" spans="1:25" ht="15" hidden="1" customHeight="1" x14ac:dyDescent="0.25">
      <c r="A3165" s="1" t="s">
        <v>37</v>
      </c>
      <c r="B3165" s="1"/>
      <c r="C3165" s="1" t="s">
        <v>194</v>
      </c>
      <c r="D3165">
        <v>14253</v>
      </c>
      <c r="E3165" s="1" t="s">
        <v>243</v>
      </c>
      <c r="F3165" s="1" t="s">
        <v>325</v>
      </c>
      <c r="G3165" s="1" t="s">
        <v>194</v>
      </c>
      <c r="H3165" s="1" t="s">
        <v>1405</v>
      </c>
      <c r="I3165">
        <v>2015</v>
      </c>
      <c r="J3165" s="93">
        <v>418100</v>
      </c>
      <c r="K3165">
        <v>5</v>
      </c>
      <c r="L3165" s="1"/>
      <c r="M3165">
        <v>0</v>
      </c>
      <c r="N3165">
        <v>6105</v>
      </c>
      <c r="O3165">
        <v>40.195900999999999</v>
      </c>
      <c r="P3165">
        <v>1</v>
      </c>
      <c r="Q3165" s="1" t="s">
        <v>565</v>
      </c>
      <c r="R3165" s="93">
        <v>484540</v>
      </c>
      <c r="S3165">
        <v>17684.75</v>
      </c>
      <c r="T3165">
        <v>0</v>
      </c>
      <c r="U3165" s="1" t="s">
        <v>858</v>
      </c>
      <c r="V3165" s="1"/>
      <c r="W3165">
        <v>245.4</v>
      </c>
      <c r="X3165">
        <v>0</v>
      </c>
      <c r="Y3165">
        <v>77355</v>
      </c>
    </row>
    <row r="3166" spans="1:25" ht="15" hidden="1" customHeight="1" x14ac:dyDescent="0.25">
      <c r="A3166" s="1" t="s">
        <v>37</v>
      </c>
      <c r="B3166" s="1"/>
      <c r="C3166" s="1" t="s">
        <v>194</v>
      </c>
      <c r="D3166">
        <v>14253</v>
      </c>
      <c r="E3166" s="1" t="s">
        <v>243</v>
      </c>
      <c r="F3166" s="1" t="s">
        <v>325</v>
      </c>
      <c r="G3166" s="1" t="s">
        <v>194</v>
      </c>
      <c r="H3166" s="1" t="s">
        <v>1405</v>
      </c>
      <c r="I3166">
        <v>2013</v>
      </c>
      <c r="J3166" s="93">
        <v>533000</v>
      </c>
      <c r="K3166">
        <v>12</v>
      </c>
      <c r="L3166" s="1"/>
      <c r="M3166">
        <v>0</v>
      </c>
      <c r="N3166">
        <v>6105</v>
      </c>
      <c r="O3166">
        <v>87.304057</v>
      </c>
      <c r="P3166">
        <v>1</v>
      </c>
      <c r="Q3166" s="1" t="s">
        <v>565</v>
      </c>
      <c r="R3166" s="93">
        <v>555454.88</v>
      </c>
      <c r="S3166">
        <v>35549.129999999997</v>
      </c>
      <c r="T3166">
        <v>0</v>
      </c>
      <c r="U3166" s="1" t="s">
        <v>858</v>
      </c>
      <c r="V3166" s="1"/>
      <c r="W3166">
        <v>533</v>
      </c>
      <c r="X3166">
        <v>0</v>
      </c>
      <c r="Y3166">
        <v>77355</v>
      </c>
    </row>
    <row r="3167" spans="1:25" ht="15" hidden="1" customHeight="1" x14ac:dyDescent="0.25">
      <c r="A3167" s="1" t="s">
        <v>37</v>
      </c>
      <c r="B3167" s="1"/>
      <c r="C3167" s="1" t="s">
        <v>194</v>
      </c>
      <c r="D3167">
        <v>14253</v>
      </c>
      <c r="E3167" s="1" t="s">
        <v>243</v>
      </c>
      <c r="F3167" s="1" t="s">
        <v>325</v>
      </c>
      <c r="G3167" s="1" t="s">
        <v>194</v>
      </c>
      <c r="H3167" s="1" t="s">
        <v>1405</v>
      </c>
      <c r="I3167">
        <v>2012</v>
      </c>
      <c r="J3167" s="93">
        <v>598700</v>
      </c>
      <c r="K3167">
        <v>12</v>
      </c>
      <c r="L3167" s="1"/>
      <c r="M3167">
        <v>0</v>
      </c>
      <c r="N3167">
        <v>6105</v>
      </c>
      <c r="O3167">
        <v>98.065550999999999</v>
      </c>
      <c r="P3167">
        <v>1</v>
      </c>
      <c r="Q3167" s="1" t="s">
        <v>565</v>
      </c>
      <c r="R3167" s="93">
        <v>630422.37</v>
      </c>
      <c r="S3167">
        <v>116628.13</v>
      </c>
      <c r="T3167">
        <v>0</v>
      </c>
      <c r="U3167" s="1" t="s">
        <v>858</v>
      </c>
      <c r="V3167" s="1"/>
      <c r="W3167">
        <v>598.70000000000005</v>
      </c>
      <c r="X3167">
        <v>0</v>
      </c>
      <c r="Y3167">
        <v>77355</v>
      </c>
    </row>
    <row r="3168" spans="1:25" ht="15" hidden="1" customHeight="1" x14ac:dyDescent="0.25">
      <c r="A3168" s="1" t="s">
        <v>37</v>
      </c>
      <c r="B3168" s="1"/>
      <c r="C3168" s="1" t="s">
        <v>194</v>
      </c>
      <c r="D3168">
        <v>14253</v>
      </c>
      <c r="E3168" s="1" t="s">
        <v>243</v>
      </c>
      <c r="F3168" s="1" t="s">
        <v>325</v>
      </c>
      <c r="G3168" s="1" t="s">
        <v>194</v>
      </c>
      <c r="H3168" s="1" t="s">
        <v>1405</v>
      </c>
      <c r="I3168">
        <v>2011</v>
      </c>
      <c r="J3168" s="93">
        <v>635200</v>
      </c>
      <c r="K3168">
        <v>12</v>
      </c>
      <c r="L3168" s="1"/>
      <c r="M3168">
        <v>0</v>
      </c>
      <c r="N3168">
        <v>6105</v>
      </c>
      <c r="O3168">
        <v>104.04415899999999</v>
      </c>
      <c r="P3168">
        <v>1</v>
      </c>
      <c r="Q3168" s="1" t="s">
        <v>565</v>
      </c>
      <c r="R3168" s="93">
        <v>684232.47</v>
      </c>
      <c r="S3168">
        <v>126583.02</v>
      </c>
      <c r="T3168">
        <v>0</v>
      </c>
      <c r="U3168" s="1" t="s">
        <v>858</v>
      </c>
      <c r="V3168" s="1"/>
      <c r="W3168">
        <v>635.20000000000005</v>
      </c>
      <c r="X3168">
        <v>0</v>
      </c>
      <c r="Y3168">
        <v>77355</v>
      </c>
    </row>
    <row r="3169" spans="1:25" ht="15" hidden="1" customHeight="1" x14ac:dyDescent="0.25">
      <c r="A3169" s="1" t="s">
        <v>37</v>
      </c>
      <c r="B3169" s="1"/>
      <c r="C3169" s="1" t="s">
        <v>194</v>
      </c>
      <c r="D3169">
        <v>14253</v>
      </c>
      <c r="E3169" s="1" t="s">
        <v>243</v>
      </c>
      <c r="F3169" s="1" t="s">
        <v>325</v>
      </c>
      <c r="G3169" s="1" t="s">
        <v>194</v>
      </c>
      <c r="H3169" s="1" t="s">
        <v>1405</v>
      </c>
      <c r="I3169">
        <v>2010</v>
      </c>
      <c r="J3169" s="93">
        <v>755599.99</v>
      </c>
      <c r="K3169">
        <v>12</v>
      </c>
      <c r="L3169" s="1"/>
      <c r="M3169">
        <v>0</v>
      </c>
      <c r="N3169">
        <v>6105</v>
      </c>
      <c r="O3169">
        <v>123.76537399999999</v>
      </c>
      <c r="P3169">
        <v>1</v>
      </c>
      <c r="Q3169" s="1" t="s">
        <v>565</v>
      </c>
      <c r="R3169" s="93">
        <v>683919.44</v>
      </c>
      <c r="S3169">
        <v>126525.09</v>
      </c>
      <c r="T3169">
        <v>0</v>
      </c>
      <c r="U3169" s="1" t="s">
        <v>858</v>
      </c>
      <c r="V3169" s="1"/>
      <c r="W3169">
        <v>755.59999000000005</v>
      </c>
      <c r="X3169">
        <v>0</v>
      </c>
      <c r="Y3169">
        <v>77355</v>
      </c>
    </row>
    <row r="3170" spans="1:25" ht="15" hidden="1" customHeight="1" x14ac:dyDescent="0.25">
      <c r="A3170" s="1" t="s">
        <v>37</v>
      </c>
      <c r="B3170" s="1"/>
      <c r="C3170" s="1" t="s">
        <v>194</v>
      </c>
      <c r="D3170">
        <v>14253</v>
      </c>
      <c r="E3170" s="1" t="s">
        <v>243</v>
      </c>
      <c r="F3170" s="1" t="s">
        <v>325</v>
      </c>
      <c r="G3170" s="1" t="s">
        <v>194</v>
      </c>
      <c r="H3170" s="1" t="s">
        <v>1405</v>
      </c>
      <c r="I3170">
        <v>2009</v>
      </c>
      <c r="J3170" s="93">
        <v>583600</v>
      </c>
      <c r="K3170">
        <v>12</v>
      </c>
      <c r="L3170" s="1"/>
      <c r="M3170">
        <v>0</v>
      </c>
      <c r="N3170">
        <v>6105</v>
      </c>
      <c r="O3170">
        <v>95.592208999999997</v>
      </c>
      <c r="P3170">
        <v>1</v>
      </c>
      <c r="Q3170" s="1" t="s">
        <v>565</v>
      </c>
      <c r="R3170" s="93">
        <v>613801.06999999995</v>
      </c>
      <c r="S3170">
        <v>113553.19</v>
      </c>
      <c r="T3170">
        <v>0</v>
      </c>
      <c r="U3170" s="1" t="s">
        <v>858</v>
      </c>
      <c r="V3170" s="1"/>
      <c r="W3170">
        <v>583.6</v>
      </c>
      <c r="X3170">
        <v>0</v>
      </c>
      <c r="Y3170">
        <v>77355</v>
      </c>
    </row>
    <row r="3171" spans="1:25" ht="15" hidden="1" customHeight="1" x14ac:dyDescent="0.25">
      <c r="A3171" s="1" t="s">
        <v>37</v>
      </c>
      <c r="B3171" s="1"/>
      <c r="C3171" s="1" t="s">
        <v>194</v>
      </c>
      <c r="D3171">
        <v>14253</v>
      </c>
      <c r="E3171" s="1" t="s">
        <v>243</v>
      </c>
      <c r="F3171" s="1" t="s">
        <v>325</v>
      </c>
      <c r="G3171" s="1" t="s">
        <v>194</v>
      </c>
      <c r="H3171" s="1" t="s">
        <v>1405</v>
      </c>
      <c r="I3171">
        <v>2008</v>
      </c>
      <c r="J3171" s="93">
        <v>244600</v>
      </c>
      <c r="K3171">
        <v>12</v>
      </c>
      <c r="L3171" s="1"/>
      <c r="M3171">
        <v>0</v>
      </c>
      <c r="N3171">
        <v>6105</v>
      </c>
      <c r="O3171">
        <v>40.064863000000003</v>
      </c>
      <c r="P3171">
        <v>1</v>
      </c>
      <c r="Q3171" s="1" t="s">
        <v>565</v>
      </c>
      <c r="R3171" s="93">
        <v>260570.95</v>
      </c>
      <c r="S3171">
        <v>48205.63</v>
      </c>
      <c r="T3171">
        <v>0</v>
      </c>
      <c r="U3171" s="1" t="s">
        <v>858</v>
      </c>
      <c r="V3171" s="1"/>
      <c r="W3171">
        <v>244.6</v>
      </c>
      <c r="X3171">
        <v>0</v>
      </c>
      <c r="Y3171">
        <v>77355</v>
      </c>
    </row>
    <row r="3172" spans="1:25" ht="15" hidden="1" customHeight="1" x14ac:dyDescent="0.25">
      <c r="A3172" s="1" t="s">
        <v>37</v>
      </c>
      <c r="B3172" s="1"/>
      <c r="C3172" s="1" t="s">
        <v>194</v>
      </c>
      <c r="D3172">
        <v>14254</v>
      </c>
      <c r="E3172" s="1" t="s">
        <v>243</v>
      </c>
      <c r="F3172" s="1" t="s">
        <v>326</v>
      </c>
      <c r="G3172" s="1" t="s">
        <v>194</v>
      </c>
      <c r="H3172" s="1" t="s">
        <v>1405</v>
      </c>
      <c r="I3172">
        <v>2015</v>
      </c>
      <c r="J3172" s="93">
        <v>243700</v>
      </c>
      <c r="K3172">
        <v>5</v>
      </c>
      <c r="L3172" s="1"/>
      <c r="M3172">
        <v>0</v>
      </c>
      <c r="N3172">
        <v>2840</v>
      </c>
      <c r="O3172">
        <v>54.748072000000001</v>
      </c>
      <c r="P3172">
        <v>1</v>
      </c>
      <c r="Q3172" s="1" t="s">
        <v>562</v>
      </c>
      <c r="R3172" s="93">
        <v>281763</v>
      </c>
      <c r="S3172">
        <v>11218.72</v>
      </c>
      <c r="T3172">
        <v>0</v>
      </c>
      <c r="U3172" s="1" t="s">
        <v>859</v>
      </c>
      <c r="V3172" s="1"/>
      <c r="W3172">
        <v>155490</v>
      </c>
      <c r="X3172">
        <v>0</v>
      </c>
      <c r="Y3172">
        <v>77356</v>
      </c>
    </row>
    <row r="3173" spans="1:25" ht="15" hidden="1" customHeight="1" x14ac:dyDescent="0.25">
      <c r="A3173" s="1" t="s">
        <v>37</v>
      </c>
      <c r="B3173" s="1"/>
      <c r="C3173" s="1" t="s">
        <v>194</v>
      </c>
      <c r="D3173">
        <v>14254</v>
      </c>
      <c r="E3173" s="1" t="s">
        <v>243</v>
      </c>
      <c r="F3173" s="1" t="s">
        <v>326</v>
      </c>
      <c r="G3173" s="1" t="s">
        <v>194</v>
      </c>
      <c r="H3173" s="1" t="s">
        <v>1405</v>
      </c>
      <c r="I3173">
        <v>2013</v>
      </c>
      <c r="J3173" s="93">
        <v>311260</v>
      </c>
      <c r="K3173">
        <v>12</v>
      </c>
      <c r="L3173" s="1"/>
      <c r="M3173">
        <v>0</v>
      </c>
      <c r="N3173">
        <v>2840</v>
      </c>
      <c r="O3173">
        <v>109.59473199999999</v>
      </c>
      <c r="P3173">
        <v>1</v>
      </c>
      <c r="Q3173" s="1" t="s">
        <v>562</v>
      </c>
      <c r="R3173" s="93">
        <v>324535.3</v>
      </c>
      <c r="S3173">
        <v>20770.25</v>
      </c>
      <c r="T3173">
        <v>0</v>
      </c>
      <c r="U3173" s="1" t="s">
        <v>859</v>
      </c>
      <c r="V3173" s="1"/>
      <c r="W3173">
        <v>311260</v>
      </c>
      <c r="X3173">
        <v>0</v>
      </c>
      <c r="Y3173">
        <v>77356</v>
      </c>
    </row>
    <row r="3174" spans="1:25" ht="15" hidden="1" customHeight="1" x14ac:dyDescent="0.25">
      <c r="A3174" s="1" t="s">
        <v>37</v>
      </c>
      <c r="B3174" s="1"/>
      <c r="C3174" s="1" t="s">
        <v>194</v>
      </c>
      <c r="D3174">
        <v>14254</v>
      </c>
      <c r="E3174" s="1" t="s">
        <v>243</v>
      </c>
      <c r="F3174" s="1" t="s">
        <v>326</v>
      </c>
      <c r="G3174" s="1" t="s">
        <v>194</v>
      </c>
      <c r="H3174" s="1" t="s">
        <v>1405</v>
      </c>
      <c r="I3174">
        <v>2012</v>
      </c>
      <c r="J3174" s="93">
        <v>373540</v>
      </c>
      <c r="K3174">
        <v>12</v>
      </c>
      <c r="L3174" s="1"/>
      <c r="M3174">
        <v>0</v>
      </c>
      <c r="N3174">
        <v>2840</v>
      </c>
      <c r="O3174">
        <v>131.523537</v>
      </c>
      <c r="P3174">
        <v>1</v>
      </c>
      <c r="Q3174" s="1" t="s">
        <v>562</v>
      </c>
      <c r="R3174" s="93">
        <v>393763.8</v>
      </c>
      <c r="S3174">
        <v>72846.3</v>
      </c>
      <c r="T3174">
        <v>0</v>
      </c>
      <c r="U3174" s="1" t="s">
        <v>859</v>
      </c>
      <c r="V3174" s="1"/>
      <c r="W3174">
        <v>373540</v>
      </c>
      <c r="X3174">
        <v>0</v>
      </c>
      <c r="Y3174">
        <v>77356</v>
      </c>
    </row>
    <row r="3175" spans="1:25" ht="15" hidden="1" customHeight="1" x14ac:dyDescent="0.25">
      <c r="A3175" s="1" t="s">
        <v>37</v>
      </c>
      <c r="B3175" s="1"/>
      <c r="C3175" s="1" t="s">
        <v>194</v>
      </c>
      <c r="D3175">
        <v>14254</v>
      </c>
      <c r="E3175" s="1" t="s">
        <v>243</v>
      </c>
      <c r="F3175" s="1" t="s">
        <v>326</v>
      </c>
      <c r="G3175" s="1" t="s">
        <v>194</v>
      </c>
      <c r="H3175" s="1" t="s">
        <v>1405</v>
      </c>
      <c r="I3175">
        <v>2011</v>
      </c>
      <c r="J3175" s="93">
        <v>346880</v>
      </c>
      <c r="K3175">
        <v>12</v>
      </c>
      <c r="L3175" s="1"/>
      <c r="M3175">
        <v>0</v>
      </c>
      <c r="N3175">
        <v>2840</v>
      </c>
      <c r="O3175">
        <v>122.136544</v>
      </c>
      <c r="P3175">
        <v>1</v>
      </c>
      <c r="Q3175" s="1" t="s">
        <v>562</v>
      </c>
      <c r="R3175" s="93">
        <v>379022.71</v>
      </c>
      <c r="S3175">
        <v>70119.22</v>
      </c>
      <c r="T3175">
        <v>0</v>
      </c>
      <c r="U3175" s="1" t="s">
        <v>859</v>
      </c>
      <c r="V3175" s="1"/>
      <c r="W3175">
        <v>346880</v>
      </c>
      <c r="X3175">
        <v>0</v>
      </c>
      <c r="Y3175">
        <v>77356</v>
      </c>
    </row>
    <row r="3176" spans="1:25" ht="15" hidden="1" customHeight="1" x14ac:dyDescent="0.25">
      <c r="A3176" s="1" t="s">
        <v>37</v>
      </c>
      <c r="B3176" s="1"/>
      <c r="C3176" s="1" t="s">
        <v>194</v>
      </c>
      <c r="D3176">
        <v>14254</v>
      </c>
      <c r="E3176" s="1" t="s">
        <v>243</v>
      </c>
      <c r="F3176" s="1" t="s">
        <v>326</v>
      </c>
      <c r="G3176" s="1" t="s">
        <v>194</v>
      </c>
      <c r="H3176" s="1" t="s">
        <v>1405</v>
      </c>
      <c r="I3176">
        <v>2010</v>
      </c>
      <c r="J3176" s="93">
        <v>451560</v>
      </c>
      <c r="K3176">
        <v>12</v>
      </c>
      <c r="L3176" s="1"/>
      <c r="M3176">
        <v>0</v>
      </c>
      <c r="N3176">
        <v>2840</v>
      </c>
      <c r="O3176">
        <v>158.99440100000001</v>
      </c>
      <c r="P3176">
        <v>1</v>
      </c>
      <c r="Q3176" s="1" t="s">
        <v>562</v>
      </c>
      <c r="R3176" s="93">
        <v>414613.16</v>
      </c>
      <c r="S3176">
        <v>76703.429999999993</v>
      </c>
      <c r="T3176">
        <v>0</v>
      </c>
      <c r="U3176" s="1" t="s">
        <v>859</v>
      </c>
      <c r="V3176" s="1"/>
      <c r="W3176">
        <v>451560</v>
      </c>
      <c r="X3176">
        <v>0</v>
      </c>
      <c r="Y3176">
        <v>77356</v>
      </c>
    </row>
    <row r="3177" spans="1:25" ht="15" hidden="1" customHeight="1" x14ac:dyDescent="0.25">
      <c r="A3177" s="1" t="s">
        <v>37</v>
      </c>
      <c r="B3177" s="1"/>
      <c r="C3177" s="1" t="s">
        <v>194</v>
      </c>
      <c r="D3177">
        <v>14254</v>
      </c>
      <c r="E3177" s="1" t="s">
        <v>243</v>
      </c>
      <c r="F3177" s="1" t="s">
        <v>326</v>
      </c>
      <c r="G3177" s="1" t="s">
        <v>194</v>
      </c>
      <c r="H3177" s="1" t="s">
        <v>1405</v>
      </c>
      <c r="I3177">
        <v>2009</v>
      </c>
      <c r="J3177" s="93">
        <v>333340</v>
      </c>
      <c r="K3177">
        <v>12</v>
      </c>
      <c r="L3177" s="1"/>
      <c r="M3177">
        <v>0</v>
      </c>
      <c r="N3177">
        <v>2840</v>
      </c>
      <c r="O3177">
        <v>117.369106</v>
      </c>
      <c r="P3177">
        <v>1</v>
      </c>
      <c r="Q3177" s="1" t="s">
        <v>562</v>
      </c>
      <c r="R3177" s="93">
        <v>348714.83</v>
      </c>
      <c r="S3177">
        <v>64512.26</v>
      </c>
      <c r="T3177">
        <v>0</v>
      </c>
      <c r="U3177" s="1" t="s">
        <v>859</v>
      </c>
      <c r="V3177" s="1"/>
      <c r="W3177">
        <v>333340</v>
      </c>
      <c r="X3177">
        <v>0</v>
      </c>
      <c r="Y3177">
        <v>77356</v>
      </c>
    </row>
    <row r="3178" spans="1:25" ht="15" hidden="1" customHeight="1" x14ac:dyDescent="0.25">
      <c r="A3178" s="1" t="s">
        <v>37</v>
      </c>
      <c r="B3178" s="1"/>
      <c r="C3178" s="1" t="s">
        <v>194</v>
      </c>
      <c r="D3178">
        <v>14254</v>
      </c>
      <c r="E3178" s="1" t="s">
        <v>243</v>
      </c>
      <c r="F3178" s="1" t="s">
        <v>326</v>
      </c>
      <c r="G3178" s="1" t="s">
        <v>194</v>
      </c>
      <c r="H3178" s="1" t="s">
        <v>1405</v>
      </c>
      <c r="I3178">
        <v>2008</v>
      </c>
      <c r="J3178" s="93">
        <v>138380</v>
      </c>
      <c r="K3178">
        <v>12</v>
      </c>
      <c r="L3178" s="1"/>
      <c r="M3178">
        <v>0</v>
      </c>
      <c r="N3178">
        <v>2840</v>
      </c>
      <c r="O3178">
        <v>48.723635999999999</v>
      </c>
      <c r="P3178">
        <v>1</v>
      </c>
      <c r="Q3178" s="1" t="s">
        <v>562</v>
      </c>
      <c r="R3178" s="93">
        <v>150653.70000000001</v>
      </c>
      <c r="S3178">
        <v>27870.93</v>
      </c>
      <c r="T3178">
        <v>0</v>
      </c>
      <c r="U3178" s="1" t="s">
        <v>859</v>
      </c>
      <c r="V3178" s="1"/>
      <c r="W3178">
        <v>138380</v>
      </c>
      <c r="X3178">
        <v>0</v>
      </c>
      <c r="Y3178">
        <v>77356</v>
      </c>
    </row>
    <row r="3179" spans="1:25" ht="15" hidden="1" customHeight="1" x14ac:dyDescent="0.25">
      <c r="A3179" s="1" t="s">
        <v>37</v>
      </c>
      <c r="B3179" s="1"/>
      <c r="C3179" s="1" t="s">
        <v>195</v>
      </c>
      <c r="D3179">
        <v>9518</v>
      </c>
      <c r="E3179" s="1"/>
      <c r="F3179" s="1" t="s">
        <v>327</v>
      </c>
      <c r="G3179" s="1" t="s">
        <v>195</v>
      </c>
      <c r="H3179" s="1" t="s">
        <v>1405</v>
      </c>
      <c r="I3179">
        <v>2015</v>
      </c>
      <c r="J3179" s="93">
        <v>183990</v>
      </c>
      <c r="K3179">
        <v>5</v>
      </c>
      <c r="L3179" s="1"/>
      <c r="M3179">
        <v>0</v>
      </c>
      <c r="N3179">
        <v>2128</v>
      </c>
      <c r="O3179">
        <v>47.487110000000001</v>
      </c>
      <c r="P3179">
        <v>1</v>
      </c>
      <c r="Q3179" s="1" t="s">
        <v>564</v>
      </c>
      <c r="R3179" s="93">
        <v>210729</v>
      </c>
      <c r="S3179">
        <v>23985.65</v>
      </c>
      <c r="T3179">
        <v>0</v>
      </c>
      <c r="U3179" s="1" t="s">
        <v>860</v>
      </c>
      <c r="V3179" s="1" t="s">
        <v>1220</v>
      </c>
      <c r="W3179">
        <v>9357.16</v>
      </c>
      <c r="X3179">
        <v>0</v>
      </c>
      <c r="Y3179">
        <v>74430</v>
      </c>
    </row>
    <row r="3180" spans="1:25" ht="15" hidden="1" customHeight="1" x14ac:dyDescent="0.25">
      <c r="A3180" s="1" t="s">
        <v>37</v>
      </c>
      <c r="B3180" s="1"/>
      <c r="C3180" s="1" t="s">
        <v>195</v>
      </c>
      <c r="D3180">
        <v>9518</v>
      </c>
      <c r="E3180" s="1"/>
      <c r="F3180" s="1" t="s">
        <v>327</v>
      </c>
      <c r="G3180" s="1" t="s">
        <v>195</v>
      </c>
      <c r="H3180" s="1" t="s">
        <v>1405</v>
      </c>
      <c r="I3180">
        <v>2013</v>
      </c>
      <c r="J3180" s="93">
        <v>210828.96</v>
      </c>
      <c r="K3180">
        <v>12</v>
      </c>
      <c r="L3180" s="1"/>
      <c r="M3180">
        <v>0</v>
      </c>
      <c r="N3180">
        <v>2128</v>
      </c>
      <c r="O3180">
        <v>99.069102999999998</v>
      </c>
      <c r="P3180">
        <v>1</v>
      </c>
      <c r="Q3180" s="1" t="s">
        <v>564</v>
      </c>
      <c r="R3180" s="93">
        <v>220130.75</v>
      </c>
      <c r="S3180">
        <v>46553.58</v>
      </c>
      <c r="T3180">
        <v>0</v>
      </c>
      <c r="U3180" s="1" t="s">
        <v>860</v>
      </c>
      <c r="V3180" s="1" t="s">
        <v>1220</v>
      </c>
      <c r="W3180">
        <v>19521.2</v>
      </c>
      <c r="X3180">
        <v>0</v>
      </c>
      <c r="Y3180">
        <v>74430</v>
      </c>
    </row>
    <row r="3181" spans="1:25" ht="15" hidden="1" customHeight="1" x14ac:dyDescent="0.25">
      <c r="A3181" s="1" t="s">
        <v>37</v>
      </c>
      <c r="B3181" s="1"/>
      <c r="C3181" s="1" t="s">
        <v>195</v>
      </c>
      <c r="D3181">
        <v>9518</v>
      </c>
      <c r="E3181" s="1"/>
      <c r="F3181" s="1" t="s">
        <v>327</v>
      </c>
      <c r="G3181" s="1" t="s">
        <v>195</v>
      </c>
      <c r="H3181" s="1" t="s">
        <v>1405</v>
      </c>
      <c r="I3181">
        <v>2012</v>
      </c>
      <c r="J3181" s="93">
        <v>199030.38</v>
      </c>
      <c r="K3181">
        <v>12</v>
      </c>
      <c r="L3181" s="1"/>
      <c r="M3181">
        <v>0</v>
      </c>
      <c r="N3181">
        <v>2128</v>
      </c>
      <c r="O3181">
        <v>93.524918</v>
      </c>
      <c r="P3181">
        <v>1</v>
      </c>
      <c r="Q3181" s="1" t="s">
        <v>564</v>
      </c>
      <c r="R3181" s="93">
        <v>208055.05</v>
      </c>
      <c r="S3181">
        <v>43999.8</v>
      </c>
      <c r="T3181">
        <v>0</v>
      </c>
      <c r="U3181" s="1" t="s">
        <v>860</v>
      </c>
      <c r="V3181" s="1" t="s">
        <v>1220</v>
      </c>
      <c r="W3181">
        <v>18428.740000000002</v>
      </c>
      <c r="X3181">
        <v>0</v>
      </c>
      <c r="Y3181">
        <v>74430</v>
      </c>
    </row>
    <row r="3182" spans="1:25" ht="15" hidden="1" customHeight="1" x14ac:dyDescent="0.25">
      <c r="A3182" s="1" t="s">
        <v>37</v>
      </c>
      <c r="B3182" s="1"/>
      <c r="C3182" s="1" t="s">
        <v>195</v>
      </c>
      <c r="D3182">
        <v>9518</v>
      </c>
      <c r="E3182" s="1"/>
      <c r="F3182" s="1" t="s">
        <v>327</v>
      </c>
      <c r="G3182" s="1" t="s">
        <v>195</v>
      </c>
      <c r="H3182" s="1" t="s">
        <v>1405</v>
      </c>
      <c r="I3182">
        <v>2011</v>
      </c>
      <c r="J3182" s="93">
        <v>186639.35</v>
      </c>
      <c r="K3182">
        <v>12</v>
      </c>
      <c r="L3182" s="1"/>
      <c r="M3182">
        <v>0</v>
      </c>
      <c r="N3182">
        <v>2128</v>
      </c>
      <c r="O3182">
        <v>87.702340000000007</v>
      </c>
      <c r="P3182">
        <v>1</v>
      </c>
      <c r="Q3182" s="1" t="s">
        <v>564</v>
      </c>
      <c r="R3182" s="93">
        <v>203763.53</v>
      </c>
      <c r="S3182">
        <v>43092.22</v>
      </c>
      <c r="T3182">
        <v>0</v>
      </c>
      <c r="U3182" s="1" t="s">
        <v>860</v>
      </c>
      <c r="V3182" s="1" t="s">
        <v>1220</v>
      </c>
      <c r="W3182">
        <v>17281.420020000001</v>
      </c>
      <c r="X3182">
        <v>0</v>
      </c>
      <c r="Y3182">
        <v>74430</v>
      </c>
    </row>
    <row r="3183" spans="1:25" ht="15" hidden="1" customHeight="1" x14ac:dyDescent="0.25">
      <c r="A3183" s="1" t="s">
        <v>37</v>
      </c>
      <c r="B3183" s="1"/>
      <c r="C3183" s="1" t="s">
        <v>195</v>
      </c>
      <c r="D3183">
        <v>9518</v>
      </c>
      <c r="E3183" s="1"/>
      <c r="F3183" s="1" t="s">
        <v>327</v>
      </c>
      <c r="G3183" s="1" t="s">
        <v>195</v>
      </c>
      <c r="H3183" s="1" t="s">
        <v>1405</v>
      </c>
      <c r="I3183">
        <v>2010</v>
      </c>
      <c r="J3183" s="93">
        <v>209524.09</v>
      </c>
      <c r="K3183">
        <v>12</v>
      </c>
      <c r="L3183" s="1"/>
      <c r="M3183">
        <v>0</v>
      </c>
      <c r="N3183">
        <v>2128</v>
      </c>
      <c r="O3183">
        <v>98.455940999999996</v>
      </c>
      <c r="P3183">
        <v>1</v>
      </c>
      <c r="Q3183" s="1" t="s">
        <v>564</v>
      </c>
      <c r="R3183" s="93">
        <v>191478.73</v>
      </c>
      <c r="S3183">
        <v>40494.199999999997</v>
      </c>
      <c r="T3183">
        <v>0</v>
      </c>
      <c r="U3183" s="1" t="s">
        <v>860</v>
      </c>
      <c r="V3183" s="1" t="s">
        <v>1220</v>
      </c>
      <c r="W3183">
        <v>19400.38</v>
      </c>
      <c r="X3183">
        <v>0</v>
      </c>
      <c r="Y3183">
        <v>74430</v>
      </c>
    </row>
    <row r="3184" spans="1:25" ht="15" hidden="1" customHeight="1" x14ac:dyDescent="0.25">
      <c r="A3184" s="1" t="s">
        <v>37</v>
      </c>
      <c r="B3184" s="1"/>
      <c r="C3184" s="1" t="s">
        <v>195</v>
      </c>
      <c r="D3184">
        <v>9518</v>
      </c>
      <c r="E3184" s="1"/>
      <c r="F3184" s="1" t="s">
        <v>327</v>
      </c>
      <c r="G3184" s="1" t="s">
        <v>195</v>
      </c>
      <c r="H3184" s="1" t="s">
        <v>1405</v>
      </c>
      <c r="I3184">
        <v>2009</v>
      </c>
      <c r="J3184" s="93">
        <v>193870.35</v>
      </c>
      <c r="K3184">
        <v>12</v>
      </c>
      <c r="L3184" s="1"/>
      <c r="M3184">
        <v>0</v>
      </c>
      <c r="N3184">
        <v>2128</v>
      </c>
      <c r="O3184">
        <v>91.100206</v>
      </c>
      <c r="P3184">
        <v>1</v>
      </c>
      <c r="Q3184" s="1" t="s">
        <v>564</v>
      </c>
      <c r="R3184" s="93">
        <v>206528.39</v>
      </c>
      <c r="S3184">
        <v>43676.93</v>
      </c>
      <c r="T3184">
        <v>0</v>
      </c>
      <c r="U3184" s="1" t="s">
        <v>860</v>
      </c>
      <c r="V3184" s="1" t="s">
        <v>1220</v>
      </c>
      <c r="W3184">
        <v>17950.96</v>
      </c>
      <c r="X3184">
        <v>0</v>
      </c>
      <c r="Y3184">
        <v>74430</v>
      </c>
    </row>
    <row r="3185" spans="1:25" ht="15" hidden="1" customHeight="1" x14ac:dyDescent="0.25">
      <c r="A3185" s="1" t="s">
        <v>37</v>
      </c>
      <c r="B3185" s="1"/>
      <c r="C3185" s="1" t="s">
        <v>195</v>
      </c>
      <c r="D3185">
        <v>9518</v>
      </c>
      <c r="E3185" s="1"/>
      <c r="F3185" s="1" t="s">
        <v>327</v>
      </c>
      <c r="G3185" s="1" t="s">
        <v>195</v>
      </c>
      <c r="H3185" s="1" t="s">
        <v>1405</v>
      </c>
      <c r="I3185">
        <v>2008</v>
      </c>
      <c r="J3185" s="93">
        <v>187620.09</v>
      </c>
      <c r="K3185">
        <v>12</v>
      </c>
      <c r="L3185" s="1"/>
      <c r="M3185">
        <v>0</v>
      </c>
      <c r="N3185">
        <v>2128</v>
      </c>
      <c r="O3185">
        <v>88.163191999999995</v>
      </c>
      <c r="P3185">
        <v>1</v>
      </c>
      <c r="Q3185" s="1" t="s">
        <v>564</v>
      </c>
      <c r="R3185" s="93">
        <v>213117.84</v>
      </c>
      <c r="S3185">
        <v>45070.47</v>
      </c>
      <c r="T3185">
        <v>0</v>
      </c>
      <c r="U3185" s="1" t="s">
        <v>860</v>
      </c>
      <c r="V3185" s="1" t="s">
        <v>1220</v>
      </c>
      <c r="W3185">
        <v>17372.23</v>
      </c>
      <c r="X3185">
        <v>0</v>
      </c>
      <c r="Y3185">
        <v>74430</v>
      </c>
    </row>
    <row r="3186" spans="1:25" ht="15" hidden="1" customHeight="1" x14ac:dyDescent="0.25">
      <c r="A3186" s="1" t="s">
        <v>37</v>
      </c>
      <c r="B3186" s="1"/>
      <c r="C3186" s="1" t="s">
        <v>195</v>
      </c>
      <c r="D3186">
        <v>9519</v>
      </c>
      <c r="E3186" s="1"/>
      <c r="F3186" s="1" t="s">
        <v>328</v>
      </c>
      <c r="G3186" s="1" t="s">
        <v>195</v>
      </c>
      <c r="H3186" s="1" t="s">
        <v>1405</v>
      </c>
      <c r="I3186">
        <v>2015</v>
      </c>
      <c r="J3186" s="93">
        <v>68607</v>
      </c>
      <c r="K3186">
        <v>5</v>
      </c>
      <c r="L3186" s="1"/>
      <c r="M3186">
        <v>0</v>
      </c>
      <c r="N3186">
        <v>353</v>
      </c>
      <c r="O3186">
        <v>107.848286</v>
      </c>
      <c r="P3186">
        <v>1</v>
      </c>
      <c r="Q3186" s="1" t="s">
        <v>564</v>
      </c>
      <c r="R3186" s="93">
        <v>79007</v>
      </c>
      <c r="S3186">
        <v>9079.8700000000008</v>
      </c>
      <c r="T3186">
        <v>0</v>
      </c>
      <c r="U3186" s="1"/>
      <c r="V3186" s="1" t="s">
        <v>1221</v>
      </c>
      <c r="W3186">
        <v>3526.04</v>
      </c>
      <c r="X3186">
        <v>0</v>
      </c>
      <c r="Y3186">
        <v>74433</v>
      </c>
    </row>
    <row r="3187" spans="1:25" ht="15" hidden="1" customHeight="1" x14ac:dyDescent="0.25">
      <c r="A3187" s="1" t="s">
        <v>37</v>
      </c>
      <c r="B3187" s="1"/>
      <c r="C3187" s="1" t="s">
        <v>195</v>
      </c>
      <c r="D3187">
        <v>9519</v>
      </c>
      <c r="E3187" s="1"/>
      <c r="F3187" s="1" t="s">
        <v>328</v>
      </c>
      <c r="G3187" s="1" t="s">
        <v>195</v>
      </c>
      <c r="H3187" s="1" t="s">
        <v>1405</v>
      </c>
      <c r="I3187">
        <v>2013</v>
      </c>
      <c r="J3187" s="93">
        <v>81793.039999999994</v>
      </c>
      <c r="K3187">
        <v>12</v>
      </c>
      <c r="L3187" s="1"/>
      <c r="M3187">
        <v>0</v>
      </c>
      <c r="N3187">
        <v>353</v>
      </c>
      <c r="O3187">
        <v>231.642707</v>
      </c>
      <c r="P3187">
        <v>1</v>
      </c>
      <c r="Q3187" s="1" t="s">
        <v>564</v>
      </c>
      <c r="R3187" s="93">
        <v>85479.02</v>
      </c>
      <c r="S3187">
        <v>18077.22</v>
      </c>
      <c r="T3187">
        <v>0</v>
      </c>
      <c r="U3187" s="1"/>
      <c r="V3187" s="1" t="s">
        <v>1221</v>
      </c>
      <c r="W3187">
        <v>7573.43</v>
      </c>
      <c r="X3187">
        <v>0</v>
      </c>
      <c r="Y3187">
        <v>74433</v>
      </c>
    </row>
    <row r="3188" spans="1:25" ht="15" hidden="1" customHeight="1" x14ac:dyDescent="0.25">
      <c r="A3188" s="1" t="s">
        <v>37</v>
      </c>
      <c r="B3188" s="1"/>
      <c r="C3188" s="1" t="s">
        <v>195</v>
      </c>
      <c r="D3188">
        <v>9519</v>
      </c>
      <c r="E3188" s="1"/>
      <c r="F3188" s="1" t="s">
        <v>328</v>
      </c>
      <c r="G3188" s="1" t="s">
        <v>195</v>
      </c>
      <c r="H3188" s="1" t="s">
        <v>1405</v>
      </c>
      <c r="I3188">
        <v>2012</v>
      </c>
      <c r="J3188" s="93">
        <v>83111.199999999997</v>
      </c>
      <c r="K3188">
        <v>12</v>
      </c>
      <c r="L3188" s="1"/>
      <c r="M3188">
        <v>0</v>
      </c>
      <c r="N3188">
        <v>353</v>
      </c>
      <c r="O3188">
        <v>235.37581399999999</v>
      </c>
      <c r="P3188">
        <v>1</v>
      </c>
      <c r="Q3188" s="1" t="s">
        <v>564</v>
      </c>
      <c r="R3188" s="93">
        <v>87188.96</v>
      </c>
      <c r="S3188">
        <v>18438.86</v>
      </c>
      <c r="T3188">
        <v>0</v>
      </c>
      <c r="U3188" s="1"/>
      <c r="V3188" s="1" t="s">
        <v>1221</v>
      </c>
      <c r="W3188">
        <v>7695.48</v>
      </c>
      <c r="X3188">
        <v>0</v>
      </c>
      <c r="Y3188">
        <v>74433</v>
      </c>
    </row>
    <row r="3189" spans="1:25" ht="15" hidden="1" customHeight="1" x14ac:dyDescent="0.25">
      <c r="A3189" s="1" t="s">
        <v>37</v>
      </c>
      <c r="B3189" s="1"/>
      <c r="C3189" s="1" t="s">
        <v>195</v>
      </c>
      <c r="D3189">
        <v>9519</v>
      </c>
      <c r="E3189" s="1"/>
      <c r="F3189" s="1" t="s">
        <v>328</v>
      </c>
      <c r="G3189" s="1" t="s">
        <v>195</v>
      </c>
      <c r="H3189" s="1" t="s">
        <v>1405</v>
      </c>
      <c r="I3189">
        <v>2011</v>
      </c>
      <c r="J3189" s="93">
        <v>76959.289999999994</v>
      </c>
      <c r="K3189">
        <v>12</v>
      </c>
      <c r="L3189" s="1"/>
      <c r="M3189">
        <v>0</v>
      </c>
      <c r="N3189">
        <v>353</v>
      </c>
      <c r="O3189">
        <v>217.95324199999999</v>
      </c>
      <c r="P3189">
        <v>1</v>
      </c>
      <c r="Q3189" s="1" t="s">
        <v>564</v>
      </c>
      <c r="R3189" s="93">
        <v>83628.06</v>
      </c>
      <c r="S3189">
        <v>17685.77</v>
      </c>
      <c r="T3189">
        <v>0</v>
      </c>
      <c r="U3189" s="1"/>
      <c r="V3189" s="1" t="s">
        <v>1221</v>
      </c>
      <c r="W3189">
        <v>7125.86</v>
      </c>
      <c r="X3189">
        <v>0</v>
      </c>
      <c r="Y3189">
        <v>74433</v>
      </c>
    </row>
    <row r="3190" spans="1:25" ht="15" hidden="1" customHeight="1" x14ac:dyDescent="0.25">
      <c r="A3190" s="1" t="s">
        <v>37</v>
      </c>
      <c r="B3190" s="1"/>
      <c r="C3190" s="1" t="s">
        <v>195</v>
      </c>
      <c r="D3190">
        <v>9519</v>
      </c>
      <c r="E3190" s="1"/>
      <c r="F3190" s="1" t="s">
        <v>328</v>
      </c>
      <c r="G3190" s="1" t="s">
        <v>195</v>
      </c>
      <c r="H3190" s="1" t="s">
        <v>1405</v>
      </c>
      <c r="I3190">
        <v>2010</v>
      </c>
      <c r="J3190" s="93">
        <v>97736.22</v>
      </c>
      <c r="K3190">
        <v>12</v>
      </c>
      <c r="L3190" s="1"/>
      <c r="M3190">
        <v>0</v>
      </c>
      <c r="N3190">
        <v>353</v>
      </c>
      <c r="O3190">
        <v>276.79473200000001</v>
      </c>
      <c r="P3190">
        <v>1</v>
      </c>
      <c r="Q3190" s="1" t="s">
        <v>564</v>
      </c>
      <c r="R3190" s="93">
        <v>88892.88</v>
      </c>
      <c r="S3190">
        <v>18799.2</v>
      </c>
      <c r="T3190">
        <v>0</v>
      </c>
      <c r="U3190" s="1"/>
      <c r="V3190" s="1" t="s">
        <v>1221</v>
      </c>
      <c r="W3190">
        <v>9049.65</v>
      </c>
      <c r="X3190">
        <v>0</v>
      </c>
      <c r="Y3190">
        <v>74433</v>
      </c>
    </row>
    <row r="3191" spans="1:25" ht="15" hidden="1" customHeight="1" x14ac:dyDescent="0.25">
      <c r="A3191" s="1" t="s">
        <v>37</v>
      </c>
      <c r="B3191" s="1"/>
      <c r="C3191" s="1" t="s">
        <v>195</v>
      </c>
      <c r="D3191">
        <v>9519</v>
      </c>
      <c r="E3191" s="1"/>
      <c r="F3191" s="1" t="s">
        <v>328</v>
      </c>
      <c r="G3191" s="1" t="s">
        <v>195</v>
      </c>
      <c r="H3191" s="1" t="s">
        <v>1405</v>
      </c>
      <c r="I3191">
        <v>2009</v>
      </c>
      <c r="J3191" s="93">
        <v>83365.41</v>
      </c>
      <c r="K3191">
        <v>12</v>
      </c>
      <c r="L3191" s="1"/>
      <c r="M3191">
        <v>0</v>
      </c>
      <c r="N3191">
        <v>353</v>
      </c>
      <c r="O3191">
        <v>236.09575100000001</v>
      </c>
      <c r="P3191">
        <v>1</v>
      </c>
      <c r="Q3191" s="1" t="s">
        <v>564</v>
      </c>
      <c r="R3191" s="93">
        <v>88710.8</v>
      </c>
      <c r="S3191">
        <v>18760.71</v>
      </c>
      <c r="T3191">
        <v>0</v>
      </c>
      <c r="U3191" s="1"/>
      <c r="V3191" s="1" t="s">
        <v>1221</v>
      </c>
      <c r="W3191">
        <v>7719.02</v>
      </c>
      <c r="X3191">
        <v>0</v>
      </c>
      <c r="Y3191">
        <v>74433</v>
      </c>
    </row>
    <row r="3192" spans="1:25" ht="15" hidden="1" customHeight="1" x14ac:dyDescent="0.25">
      <c r="A3192" s="1" t="s">
        <v>37</v>
      </c>
      <c r="B3192" s="1"/>
      <c r="C3192" s="1" t="s">
        <v>195</v>
      </c>
      <c r="D3192">
        <v>9519</v>
      </c>
      <c r="E3192" s="1"/>
      <c r="F3192" s="1" t="s">
        <v>328</v>
      </c>
      <c r="G3192" s="1" t="s">
        <v>195</v>
      </c>
      <c r="H3192" s="1" t="s">
        <v>1405</v>
      </c>
      <c r="I3192">
        <v>2008</v>
      </c>
      <c r="J3192" s="93">
        <v>79167.14</v>
      </c>
      <c r="K3192">
        <v>12</v>
      </c>
      <c r="L3192" s="1"/>
      <c r="M3192">
        <v>0</v>
      </c>
      <c r="N3192">
        <v>353</v>
      </c>
      <c r="O3192">
        <v>224.20600300000001</v>
      </c>
      <c r="P3192">
        <v>1</v>
      </c>
      <c r="Q3192" s="1" t="s">
        <v>564</v>
      </c>
      <c r="R3192" s="93">
        <v>92468.77</v>
      </c>
      <c r="S3192">
        <v>19555.43</v>
      </c>
      <c r="T3192">
        <v>0</v>
      </c>
      <c r="U3192" s="1"/>
      <c r="V3192" s="1" t="s">
        <v>1221</v>
      </c>
      <c r="W3192">
        <v>7330.2902000000004</v>
      </c>
      <c r="X3192">
        <v>0</v>
      </c>
      <c r="Y3192">
        <v>74433</v>
      </c>
    </row>
    <row r="3193" spans="1:25" ht="15" hidden="1" customHeight="1" x14ac:dyDescent="0.25">
      <c r="A3193" s="1" t="s">
        <v>37</v>
      </c>
      <c r="B3193" s="1" t="s">
        <v>81</v>
      </c>
      <c r="C3193" s="1" t="s">
        <v>196</v>
      </c>
      <c r="D3193">
        <v>5481</v>
      </c>
      <c r="E3193" s="1"/>
      <c r="F3193" s="1" t="s">
        <v>330</v>
      </c>
      <c r="G3193" s="1" t="s">
        <v>1399</v>
      </c>
      <c r="H3193" s="1" t="s">
        <v>1405</v>
      </c>
      <c r="I3193">
        <v>2015</v>
      </c>
      <c r="J3193" s="93">
        <v>80390</v>
      </c>
      <c r="K3193">
        <v>5</v>
      </c>
      <c r="L3193" s="1" t="s">
        <v>495</v>
      </c>
      <c r="M3193">
        <v>0</v>
      </c>
      <c r="N3193">
        <v>1273</v>
      </c>
      <c r="O3193">
        <v>34.969757999999999</v>
      </c>
      <c r="P3193">
        <v>1</v>
      </c>
      <c r="Q3193" s="1" t="s">
        <v>562</v>
      </c>
      <c r="R3193" s="93">
        <v>95230</v>
      </c>
      <c r="S3193">
        <v>9446590.25</v>
      </c>
      <c r="T3193">
        <v>0</v>
      </c>
      <c r="U3193" s="1" t="s">
        <v>861</v>
      </c>
      <c r="V3193" s="1"/>
      <c r="W3193">
        <v>44520</v>
      </c>
      <c r="X3193">
        <v>0</v>
      </c>
      <c r="Y3193">
        <v>57945</v>
      </c>
    </row>
    <row r="3194" spans="1:25" ht="15" hidden="1" customHeight="1" x14ac:dyDescent="0.25">
      <c r="A3194" s="1" t="s">
        <v>37</v>
      </c>
      <c r="B3194" s="1" t="s">
        <v>81</v>
      </c>
      <c r="C3194" s="1" t="s">
        <v>196</v>
      </c>
      <c r="D3194">
        <v>5481</v>
      </c>
      <c r="E3194" s="1"/>
      <c r="F3194" s="1" t="s">
        <v>330</v>
      </c>
      <c r="G3194" s="1" t="s">
        <v>1399</v>
      </c>
      <c r="H3194" s="1" t="s">
        <v>1396</v>
      </c>
      <c r="I3194">
        <v>2015</v>
      </c>
      <c r="J3194" s="93">
        <v>99338.81</v>
      </c>
      <c r="K3194">
        <v>5</v>
      </c>
      <c r="L3194" s="1" t="s">
        <v>496</v>
      </c>
      <c r="M3194">
        <v>0</v>
      </c>
      <c r="N3194">
        <v>1273</v>
      </c>
      <c r="O3194">
        <v>78.029070000000004</v>
      </c>
      <c r="P3194">
        <v>1</v>
      </c>
      <c r="Q3194" s="1" t="s">
        <v>563</v>
      </c>
      <c r="R3194" s="93">
        <v>108652.08</v>
      </c>
      <c r="S3194">
        <v>576114.5</v>
      </c>
      <c r="T3194">
        <v>1</v>
      </c>
      <c r="U3194" s="1" t="s">
        <v>861</v>
      </c>
      <c r="V3194" s="1"/>
      <c r="W3194">
        <v>2847.2</v>
      </c>
      <c r="X3194">
        <v>0</v>
      </c>
      <c r="Y3194">
        <v>58125</v>
      </c>
    </row>
    <row r="3195" spans="1:25" ht="15" hidden="1" customHeight="1" x14ac:dyDescent="0.25">
      <c r="A3195" s="1" t="s">
        <v>37</v>
      </c>
      <c r="B3195" s="1" t="s">
        <v>81</v>
      </c>
      <c r="C3195" s="1" t="s">
        <v>196</v>
      </c>
      <c r="D3195">
        <v>5481</v>
      </c>
      <c r="E3195" s="1"/>
      <c r="F3195" s="1" t="s">
        <v>330</v>
      </c>
      <c r="G3195" s="1" t="s">
        <v>1399</v>
      </c>
      <c r="H3195" s="1" t="s">
        <v>1405</v>
      </c>
      <c r="I3195">
        <v>2013</v>
      </c>
      <c r="J3195" s="93">
        <v>84330</v>
      </c>
      <c r="K3195">
        <v>12</v>
      </c>
      <c r="L3195" s="1" t="s">
        <v>495</v>
      </c>
      <c r="M3195">
        <v>0</v>
      </c>
      <c r="N3195">
        <v>1273</v>
      </c>
      <c r="O3195">
        <v>66.239885999999998</v>
      </c>
      <c r="P3195">
        <v>1</v>
      </c>
      <c r="Q3195" s="1" t="s">
        <v>562</v>
      </c>
      <c r="R3195" s="93">
        <v>87435.1</v>
      </c>
      <c r="S3195">
        <v>16175.5</v>
      </c>
      <c r="T3195">
        <v>0</v>
      </c>
      <c r="U3195" s="1" t="s">
        <v>861</v>
      </c>
      <c r="V3195" s="1"/>
      <c r="W3195">
        <v>84330</v>
      </c>
      <c r="X3195">
        <v>0</v>
      </c>
      <c r="Y3195">
        <v>57945</v>
      </c>
    </row>
    <row r="3196" spans="1:25" ht="15" hidden="1" customHeight="1" x14ac:dyDescent="0.25">
      <c r="A3196" s="1" t="s">
        <v>37</v>
      </c>
      <c r="B3196" s="1" t="s">
        <v>81</v>
      </c>
      <c r="C3196" s="1" t="s">
        <v>196</v>
      </c>
      <c r="D3196">
        <v>5481</v>
      </c>
      <c r="E3196" s="1"/>
      <c r="F3196" s="1" t="s">
        <v>330</v>
      </c>
      <c r="G3196" s="1" t="s">
        <v>1399</v>
      </c>
      <c r="H3196" s="1" t="s">
        <v>1396</v>
      </c>
      <c r="I3196">
        <v>2013</v>
      </c>
      <c r="J3196" s="93">
        <v>85400.25</v>
      </c>
      <c r="K3196">
        <v>12</v>
      </c>
      <c r="L3196" s="1" t="s">
        <v>496</v>
      </c>
      <c r="M3196">
        <v>0</v>
      </c>
      <c r="N3196">
        <v>1273</v>
      </c>
      <c r="O3196">
        <v>67.080551</v>
      </c>
      <c r="P3196">
        <v>1</v>
      </c>
      <c r="Q3196" s="1" t="s">
        <v>563</v>
      </c>
      <c r="R3196" s="93">
        <v>97321.5</v>
      </c>
      <c r="S3196">
        <v>516.03</v>
      </c>
      <c r="T3196">
        <v>1</v>
      </c>
      <c r="U3196" s="1" t="s">
        <v>861</v>
      </c>
      <c r="V3196" s="1"/>
      <c r="W3196">
        <v>2447.6999999999998</v>
      </c>
      <c r="X3196">
        <v>0</v>
      </c>
      <c r="Y3196">
        <v>58125</v>
      </c>
    </row>
    <row r="3197" spans="1:25" ht="15" hidden="1" customHeight="1" x14ac:dyDescent="0.25">
      <c r="A3197" s="1" t="s">
        <v>37</v>
      </c>
      <c r="B3197" s="1" t="s">
        <v>81</v>
      </c>
      <c r="C3197" s="1" t="s">
        <v>196</v>
      </c>
      <c r="D3197">
        <v>5481</v>
      </c>
      <c r="E3197" s="1"/>
      <c r="F3197" s="1" t="s">
        <v>330</v>
      </c>
      <c r="G3197" s="1" t="s">
        <v>1399</v>
      </c>
      <c r="H3197" s="1" t="s">
        <v>1405</v>
      </c>
      <c r="I3197">
        <v>2012</v>
      </c>
      <c r="J3197" s="93">
        <v>100090</v>
      </c>
      <c r="K3197">
        <v>12</v>
      </c>
      <c r="L3197" s="1" t="s">
        <v>495</v>
      </c>
      <c r="M3197">
        <v>0</v>
      </c>
      <c r="N3197">
        <v>1273</v>
      </c>
      <c r="O3197">
        <v>78.619118</v>
      </c>
      <c r="P3197">
        <v>1</v>
      </c>
      <c r="Q3197" s="1" t="s">
        <v>562</v>
      </c>
      <c r="R3197" s="93">
        <v>106248.98</v>
      </c>
      <c r="S3197">
        <v>19656.07</v>
      </c>
      <c r="T3197">
        <v>0</v>
      </c>
      <c r="U3197" s="1" t="s">
        <v>861</v>
      </c>
      <c r="V3197" s="1"/>
      <c r="W3197">
        <v>100090</v>
      </c>
      <c r="X3197">
        <v>0</v>
      </c>
      <c r="Y3197">
        <v>57945</v>
      </c>
    </row>
    <row r="3198" spans="1:25" ht="15" hidden="1" customHeight="1" x14ac:dyDescent="0.25">
      <c r="A3198" s="1" t="s">
        <v>37</v>
      </c>
      <c r="B3198" s="1" t="s">
        <v>81</v>
      </c>
      <c r="C3198" s="1" t="s">
        <v>196</v>
      </c>
      <c r="D3198">
        <v>5481</v>
      </c>
      <c r="E3198" s="1"/>
      <c r="F3198" s="1" t="s">
        <v>330</v>
      </c>
      <c r="G3198" s="1" t="s">
        <v>1399</v>
      </c>
      <c r="H3198" s="1" t="s">
        <v>1396</v>
      </c>
      <c r="I3198">
        <v>2012</v>
      </c>
      <c r="J3198" s="93">
        <v>85543.3</v>
      </c>
      <c r="K3198">
        <v>12</v>
      </c>
      <c r="L3198" s="1" t="s">
        <v>496</v>
      </c>
      <c r="M3198">
        <v>0</v>
      </c>
      <c r="N3198">
        <v>1273</v>
      </c>
      <c r="O3198">
        <v>67.192914000000002</v>
      </c>
      <c r="P3198">
        <v>1</v>
      </c>
      <c r="Q3198" s="1" t="s">
        <v>563</v>
      </c>
      <c r="R3198" s="93">
        <v>91451.9</v>
      </c>
      <c r="S3198">
        <v>484.91</v>
      </c>
      <c r="T3198">
        <v>1</v>
      </c>
      <c r="U3198" s="1" t="s">
        <v>861</v>
      </c>
      <c r="V3198" s="1"/>
      <c r="W3198">
        <v>2451.8000000000002</v>
      </c>
      <c r="X3198">
        <v>0</v>
      </c>
      <c r="Y3198">
        <v>58125</v>
      </c>
    </row>
    <row r="3199" spans="1:25" ht="15" hidden="1" customHeight="1" x14ac:dyDescent="0.25">
      <c r="A3199" s="1" t="s">
        <v>37</v>
      </c>
      <c r="B3199" s="1" t="s">
        <v>81</v>
      </c>
      <c r="C3199" s="1" t="s">
        <v>196</v>
      </c>
      <c r="D3199">
        <v>5481</v>
      </c>
      <c r="E3199" s="1"/>
      <c r="F3199" s="1" t="s">
        <v>330</v>
      </c>
      <c r="G3199" s="1" t="s">
        <v>1399</v>
      </c>
      <c r="H3199" s="1" t="s">
        <v>1405</v>
      </c>
      <c r="I3199">
        <v>2011</v>
      </c>
      <c r="J3199" s="93">
        <v>115133.75999999999</v>
      </c>
      <c r="K3199">
        <v>12</v>
      </c>
      <c r="L3199" s="1" t="s">
        <v>495</v>
      </c>
      <c r="M3199">
        <v>0</v>
      </c>
      <c r="N3199">
        <v>1273</v>
      </c>
      <c r="O3199">
        <v>90.435755</v>
      </c>
      <c r="P3199">
        <v>1</v>
      </c>
      <c r="Q3199" s="1" t="s">
        <v>562</v>
      </c>
      <c r="R3199" s="93">
        <v>136919.22</v>
      </c>
      <c r="S3199">
        <v>25330.06</v>
      </c>
      <c r="T3199">
        <v>0</v>
      </c>
      <c r="U3199" s="1" t="s">
        <v>861</v>
      </c>
      <c r="V3199" s="1"/>
      <c r="W3199">
        <v>115133.773</v>
      </c>
      <c r="X3199">
        <v>0</v>
      </c>
      <c r="Y3199">
        <v>57945</v>
      </c>
    </row>
    <row r="3200" spans="1:25" ht="15" hidden="1" customHeight="1" x14ac:dyDescent="0.25">
      <c r="A3200" s="1" t="s">
        <v>37</v>
      </c>
      <c r="B3200" s="1" t="s">
        <v>81</v>
      </c>
      <c r="C3200" s="1" t="s">
        <v>196</v>
      </c>
      <c r="D3200">
        <v>5481</v>
      </c>
      <c r="E3200" s="1"/>
      <c r="F3200" s="1" t="s">
        <v>330</v>
      </c>
      <c r="G3200" s="1" t="s">
        <v>1399</v>
      </c>
      <c r="H3200" s="1" t="s">
        <v>1396</v>
      </c>
      <c r="I3200">
        <v>2011</v>
      </c>
      <c r="J3200" s="93">
        <v>20326.919999999998</v>
      </c>
      <c r="K3200">
        <v>12</v>
      </c>
      <c r="L3200" s="1" t="s">
        <v>496</v>
      </c>
      <c r="M3200">
        <v>0</v>
      </c>
      <c r="N3200">
        <v>1273</v>
      </c>
      <c r="O3200">
        <v>15.966475000000001</v>
      </c>
      <c r="P3200">
        <v>1</v>
      </c>
      <c r="Q3200" s="1" t="s">
        <v>563</v>
      </c>
      <c r="R3200" s="93">
        <v>24186.91</v>
      </c>
      <c r="S3200">
        <v>128.24</v>
      </c>
      <c r="T3200">
        <v>1</v>
      </c>
      <c r="U3200" s="1" t="s">
        <v>861</v>
      </c>
      <c r="V3200" s="1"/>
      <c r="W3200">
        <v>582.6</v>
      </c>
      <c r="X3200">
        <v>0</v>
      </c>
      <c r="Y3200">
        <v>58125</v>
      </c>
    </row>
    <row r="3201" spans="1:25" ht="15" hidden="1" customHeight="1" x14ac:dyDescent="0.25">
      <c r="A3201" s="1" t="s">
        <v>37</v>
      </c>
      <c r="B3201" s="1" t="s">
        <v>81</v>
      </c>
      <c r="C3201" s="1" t="s">
        <v>196</v>
      </c>
      <c r="D3201">
        <v>5481</v>
      </c>
      <c r="E3201" s="1"/>
      <c r="F3201" s="1" t="s">
        <v>330</v>
      </c>
      <c r="G3201" s="1" t="s">
        <v>1399</v>
      </c>
      <c r="H3201" s="1" t="s">
        <v>1405</v>
      </c>
      <c r="I3201">
        <v>2010</v>
      </c>
      <c r="J3201" s="93">
        <v>110531.22</v>
      </c>
      <c r="K3201">
        <v>12</v>
      </c>
      <c r="L3201" s="1" t="s">
        <v>495</v>
      </c>
      <c r="M3201">
        <v>0</v>
      </c>
      <c r="N3201">
        <v>1273</v>
      </c>
      <c r="O3201">
        <v>86.820532</v>
      </c>
      <c r="P3201">
        <v>1</v>
      </c>
      <c r="Q3201" s="1" t="s">
        <v>562</v>
      </c>
      <c r="R3201" s="93">
        <v>149226.06</v>
      </c>
      <c r="S3201">
        <v>27606.82</v>
      </c>
      <c r="T3201">
        <v>0</v>
      </c>
      <c r="U3201" s="1" t="s">
        <v>861</v>
      </c>
      <c r="V3201" s="1"/>
      <c r="W3201">
        <v>110531.242</v>
      </c>
      <c r="X3201">
        <v>0</v>
      </c>
      <c r="Y3201">
        <v>57945</v>
      </c>
    </row>
    <row r="3202" spans="1:25" ht="15" hidden="1" customHeight="1" x14ac:dyDescent="0.25">
      <c r="A3202" s="1" t="s">
        <v>37</v>
      </c>
      <c r="B3202" s="1" t="s">
        <v>81</v>
      </c>
      <c r="C3202" s="1" t="s">
        <v>196</v>
      </c>
      <c r="D3202">
        <v>5481</v>
      </c>
      <c r="E3202" s="1"/>
      <c r="F3202" s="1" t="s">
        <v>330</v>
      </c>
      <c r="G3202" s="1" t="s">
        <v>1399</v>
      </c>
      <c r="H3202" s="1" t="s">
        <v>1396</v>
      </c>
      <c r="I3202">
        <v>2010</v>
      </c>
      <c r="J3202" s="93">
        <v>4278.05</v>
      </c>
      <c r="K3202">
        <v>13</v>
      </c>
      <c r="L3202" s="1" t="s">
        <v>496</v>
      </c>
      <c r="M3202">
        <v>0</v>
      </c>
      <c r="N3202">
        <v>1273</v>
      </c>
      <c r="O3202">
        <v>3.3603399999999999</v>
      </c>
      <c r="P3202">
        <v>1</v>
      </c>
      <c r="Q3202" s="1" t="s">
        <v>563</v>
      </c>
      <c r="R3202" s="93">
        <v>3690.83</v>
      </c>
      <c r="S3202">
        <v>19.57</v>
      </c>
      <c r="T3202">
        <v>1</v>
      </c>
      <c r="U3202" s="1" t="s">
        <v>861</v>
      </c>
      <c r="V3202" s="1"/>
      <c r="W3202">
        <v>122.61547</v>
      </c>
      <c r="X3202">
        <v>0</v>
      </c>
      <c r="Y3202">
        <v>58125</v>
      </c>
    </row>
    <row r="3203" spans="1:25" ht="15" hidden="1" customHeight="1" x14ac:dyDescent="0.25">
      <c r="A3203" s="1" t="s">
        <v>37</v>
      </c>
      <c r="B3203" s="1" t="s">
        <v>81</v>
      </c>
      <c r="C3203" s="1" t="s">
        <v>196</v>
      </c>
      <c r="D3203">
        <v>5481</v>
      </c>
      <c r="E3203" s="1"/>
      <c r="F3203" s="1" t="s">
        <v>330</v>
      </c>
      <c r="G3203" s="1" t="s">
        <v>1399</v>
      </c>
      <c r="H3203" s="1" t="s">
        <v>1405</v>
      </c>
      <c r="I3203">
        <v>2009</v>
      </c>
      <c r="J3203" s="93">
        <v>104244.99</v>
      </c>
      <c r="K3203">
        <v>12</v>
      </c>
      <c r="L3203" s="1" t="s">
        <v>495</v>
      </c>
      <c r="M3203">
        <v>0</v>
      </c>
      <c r="N3203">
        <v>1273</v>
      </c>
      <c r="O3203">
        <v>81.882796999999997</v>
      </c>
      <c r="P3203">
        <v>1</v>
      </c>
      <c r="Q3203" s="1" t="s">
        <v>562</v>
      </c>
      <c r="R3203" s="93">
        <v>116587.47</v>
      </c>
      <c r="S3203">
        <v>21568.69</v>
      </c>
      <c r="T3203">
        <v>0</v>
      </c>
      <c r="U3203" s="1" t="s">
        <v>861</v>
      </c>
      <c r="V3203" s="1"/>
      <c r="W3203">
        <v>104244.993</v>
      </c>
      <c r="X3203">
        <v>0</v>
      </c>
      <c r="Y3203">
        <v>57945</v>
      </c>
    </row>
    <row r="3204" spans="1:25" ht="15" hidden="1" customHeight="1" x14ac:dyDescent="0.25">
      <c r="A3204" s="1" t="s">
        <v>37</v>
      </c>
      <c r="B3204" s="1" t="s">
        <v>81</v>
      </c>
      <c r="C3204" s="1" t="s">
        <v>196</v>
      </c>
      <c r="D3204">
        <v>5481</v>
      </c>
      <c r="E3204" s="1"/>
      <c r="F3204" s="1" t="s">
        <v>330</v>
      </c>
      <c r="G3204" s="1" t="s">
        <v>1399</v>
      </c>
      <c r="H3204" s="1" t="s">
        <v>1396</v>
      </c>
      <c r="I3204">
        <v>2009</v>
      </c>
      <c r="J3204" s="93">
        <v>175952.37</v>
      </c>
      <c r="K3204">
        <v>12</v>
      </c>
      <c r="L3204" s="1" t="s">
        <v>496</v>
      </c>
      <c r="M3204">
        <v>0</v>
      </c>
      <c r="N3204">
        <v>1273</v>
      </c>
      <c r="O3204">
        <v>138.20781500000001</v>
      </c>
      <c r="P3204">
        <v>1</v>
      </c>
      <c r="Q3204" s="1" t="s">
        <v>563</v>
      </c>
      <c r="R3204" s="93">
        <v>252022.02</v>
      </c>
      <c r="S3204">
        <v>1336.32</v>
      </c>
      <c r="T3204">
        <v>1</v>
      </c>
      <c r="U3204" s="1" t="s">
        <v>861</v>
      </c>
      <c r="V3204" s="1"/>
      <c r="W3204">
        <v>5043.0605400000004</v>
      </c>
      <c r="X3204">
        <v>0</v>
      </c>
      <c r="Y3204">
        <v>58125</v>
      </c>
    </row>
    <row r="3205" spans="1:25" ht="15" hidden="1" customHeight="1" x14ac:dyDescent="0.25">
      <c r="A3205" s="1" t="s">
        <v>37</v>
      </c>
      <c r="B3205" s="1" t="s">
        <v>81</v>
      </c>
      <c r="C3205" s="1" t="s">
        <v>196</v>
      </c>
      <c r="D3205">
        <v>5481</v>
      </c>
      <c r="E3205" s="1"/>
      <c r="F3205" s="1" t="s">
        <v>330</v>
      </c>
      <c r="G3205" s="1" t="s">
        <v>1399</v>
      </c>
      <c r="H3205" s="1" t="s">
        <v>1405</v>
      </c>
      <c r="I3205">
        <v>2008</v>
      </c>
      <c r="J3205" s="93">
        <v>101440</v>
      </c>
      <c r="K3205">
        <v>12</v>
      </c>
      <c r="L3205" s="1" t="s">
        <v>495</v>
      </c>
      <c r="M3205">
        <v>0</v>
      </c>
      <c r="N3205">
        <v>1273</v>
      </c>
      <c r="O3205">
        <v>79.679522000000006</v>
      </c>
      <c r="P3205">
        <v>1</v>
      </c>
      <c r="Q3205" s="1" t="s">
        <v>562</v>
      </c>
      <c r="R3205" s="93">
        <v>117088.86</v>
      </c>
      <c r="S3205">
        <v>21661.43</v>
      </c>
      <c r="T3205">
        <v>0</v>
      </c>
      <c r="U3205" s="1" t="s">
        <v>861</v>
      </c>
      <c r="V3205" s="1"/>
      <c r="W3205">
        <v>101440</v>
      </c>
      <c r="X3205">
        <v>0</v>
      </c>
      <c r="Y3205">
        <v>57945</v>
      </c>
    </row>
    <row r="3206" spans="1:25" ht="15" hidden="1" customHeight="1" x14ac:dyDescent="0.25">
      <c r="A3206" s="1" t="s">
        <v>37</v>
      </c>
      <c r="B3206" s="1" t="s">
        <v>81</v>
      </c>
      <c r="C3206" s="1" t="s">
        <v>196</v>
      </c>
      <c r="D3206">
        <v>5481</v>
      </c>
      <c r="E3206" s="1"/>
      <c r="F3206" s="1" t="s">
        <v>330</v>
      </c>
      <c r="G3206" s="1" t="s">
        <v>1399</v>
      </c>
      <c r="H3206" s="1" t="s">
        <v>1396</v>
      </c>
      <c r="I3206">
        <v>2008</v>
      </c>
      <c r="J3206" s="93">
        <v>204920.07</v>
      </c>
      <c r="K3206">
        <v>12</v>
      </c>
      <c r="L3206" s="1" t="s">
        <v>496</v>
      </c>
      <c r="M3206">
        <v>0</v>
      </c>
      <c r="N3206">
        <v>1273</v>
      </c>
      <c r="O3206">
        <v>160.96148700000001</v>
      </c>
      <c r="P3206">
        <v>1</v>
      </c>
      <c r="Q3206" s="1" t="s">
        <v>563</v>
      </c>
      <c r="R3206" s="93">
        <v>255009.67</v>
      </c>
      <c r="S3206">
        <v>1352.16</v>
      </c>
      <c r="T3206">
        <v>1</v>
      </c>
      <c r="U3206" s="1" t="s">
        <v>861</v>
      </c>
      <c r="V3206" s="1"/>
      <c r="W3206">
        <v>5873.3187799999996</v>
      </c>
      <c r="X3206">
        <v>0</v>
      </c>
      <c r="Y3206">
        <v>58125</v>
      </c>
    </row>
    <row r="3207" spans="1:25" ht="15" hidden="1" customHeight="1" x14ac:dyDescent="0.25">
      <c r="A3207" s="1" t="s">
        <v>37</v>
      </c>
      <c r="B3207" s="1" t="s">
        <v>81</v>
      </c>
      <c r="C3207" s="1" t="s">
        <v>196</v>
      </c>
      <c r="D3207">
        <v>5479</v>
      </c>
      <c r="E3207" s="1"/>
      <c r="F3207" s="1" t="s">
        <v>331</v>
      </c>
      <c r="G3207" s="1" t="s">
        <v>1399</v>
      </c>
      <c r="H3207" s="1" t="s">
        <v>1405</v>
      </c>
      <c r="I3207">
        <v>2015</v>
      </c>
      <c r="J3207" s="93">
        <v>394218</v>
      </c>
      <c r="K3207">
        <v>5</v>
      </c>
      <c r="L3207" s="1" t="s">
        <v>407</v>
      </c>
      <c r="M3207">
        <v>0</v>
      </c>
      <c r="N3207">
        <v>6089</v>
      </c>
      <c r="O3207">
        <v>36.071012000000003</v>
      </c>
      <c r="P3207">
        <v>1</v>
      </c>
      <c r="Q3207" s="1" t="s">
        <v>562</v>
      </c>
      <c r="R3207" s="93">
        <v>477072</v>
      </c>
      <c r="S3207">
        <v>48136648.5</v>
      </c>
      <c r="T3207">
        <v>0</v>
      </c>
      <c r="U3207" s="1" t="s">
        <v>862</v>
      </c>
      <c r="V3207" s="1"/>
      <c r="W3207">
        <v>296882.68</v>
      </c>
      <c r="X3207">
        <v>0</v>
      </c>
      <c r="Y3207">
        <v>57932</v>
      </c>
    </row>
    <row r="3208" spans="1:25" ht="15" hidden="1" customHeight="1" x14ac:dyDescent="0.25">
      <c r="A3208" s="1" t="s">
        <v>37</v>
      </c>
      <c r="B3208" s="1" t="s">
        <v>81</v>
      </c>
      <c r="C3208" s="1" t="s">
        <v>196</v>
      </c>
      <c r="D3208">
        <v>5479</v>
      </c>
      <c r="E3208" s="1"/>
      <c r="F3208" s="1" t="s">
        <v>331</v>
      </c>
      <c r="G3208" s="1" t="s">
        <v>1399</v>
      </c>
      <c r="H3208" s="1" t="s">
        <v>1396</v>
      </c>
      <c r="I3208">
        <v>2015</v>
      </c>
      <c r="J3208" s="93">
        <v>202051.49</v>
      </c>
      <c r="K3208">
        <v>5</v>
      </c>
      <c r="L3208" s="1" t="s">
        <v>407</v>
      </c>
      <c r="M3208">
        <v>0</v>
      </c>
      <c r="N3208">
        <v>6089</v>
      </c>
      <c r="O3208">
        <v>33.182487999999999</v>
      </c>
      <c r="P3208">
        <v>1</v>
      </c>
      <c r="Q3208" s="1" t="s">
        <v>563</v>
      </c>
      <c r="R3208" s="93">
        <v>229062.61</v>
      </c>
      <c r="S3208">
        <v>1214576.75</v>
      </c>
      <c r="T3208">
        <v>1</v>
      </c>
      <c r="U3208" s="1" t="s">
        <v>862</v>
      </c>
      <c r="V3208" s="1"/>
      <c r="W3208">
        <v>5791.1</v>
      </c>
      <c r="X3208">
        <v>0</v>
      </c>
      <c r="Y3208">
        <v>57937</v>
      </c>
    </row>
    <row r="3209" spans="1:25" ht="15" hidden="1" customHeight="1" x14ac:dyDescent="0.25">
      <c r="A3209" s="1" t="s">
        <v>37</v>
      </c>
      <c r="B3209" s="1" t="s">
        <v>81</v>
      </c>
      <c r="C3209" s="1" t="s">
        <v>196</v>
      </c>
      <c r="D3209">
        <v>5479</v>
      </c>
      <c r="E3209" s="1"/>
      <c r="F3209" s="1" t="s">
        <v>331</v>
      </c>
      <c r="G3209" s="1" t="s">
        <v>1399</v>
      </c>
      <c r="H3209" s="1" t="s">
        <v>1405</v>
      </c>
      <c r="I3209">
        <v>2013</v>
      </c>
      <c r="J3209" s="93">
        <v>504673.34</v>
      </c>
      <c r="K3209">
        <v>12</v>
      </c>
      <c r="L3209" s="1" t="s">
        <v>407</v>
      </c>
      <c r="M3209">
        <v>0</v>
      </c>
      <c r="N3209">
        <v>6089</v>
      </c>
      <c r="O3209">
        <v>82.881433999999999</v>
      </c>
      <c r="P3209">
        <v>1</v>
      </c>
      <c r="Q3209" s="1" t="s">
        <v>562</v>
      </c>
      <c r="R3209" s="93">
        <v>545553.12</v>
      </c>
      <c r="S3209">
        <v>100927.31</v>
      </c>
      <c r="T3209">
        <v>0</v>
      </c>
      <c r="U3209" s="1" t="s">
        <v>862</v>
      </c>
      <c r="V3209" s="1"/>
      <c r="W3209">
        <v>703840.63333999994</v>
      </c>
      <c r="X3209">
        <v>0</v>
      </c>
      <c r="Y3209">
        <v>57932</v>
      </c>
    </row>
    <row r="3210" spans="1:25" ht="15" hidden="1" customHeight="1" x14ac:dyDescent="0.25">
      <c r="A3210" s="1" t="s">
        <v>37</v>
      </c>
      <c r="B3210" s="1" t="s">
        <v>81</v>
      </c>
      <c r="C3210" s="1" t="s">
        <v>196</v>
      </c>
      <c r="D3210">
        <v>5479</v>
      </c>
      <c r="E3210" s="1"/>
      <c r="F3210" s="1" t="s">
        <v>331</v>
      </c>
      <c r="G3210" s="1" t="s">
        <v>1399</v>
      </c>
      <c r="H3210" s="1" t="s">
        <v>1396</v>
      </c>
      <c r="I3210">
        <v>2013</v>
      </c>
      <c r="J3210" s="93">
        <v>547493.86</v>
      </c>
      <c r="K3210">
        <v>12</v>
      </c>
      <c r="L3210" s="1" t="s">
        <v>407</v>
      </c>
      <c r="M3210">
        <v>0</v>
      </c>
      <c r="N3210">
        <v>6089</v>
      </c>
      <c r="O3210">
        <v>89.913757000000004</v>
      </c>
      <c r="P3210">
        <v>1</v>
      </c>
      <c r="Q3210" s="1" t="s">
        <v>563</v>
      </c>
      <c r="R3210" s="93">
        <v>580976.53</v>
      </c>
      <c r="S3210">
        <v>3080.55</v>
      </c>
      <c r="T3210">
        <v>1</v>
      </c>
      <c r="U3210" s="1" t="s">
        <v>862</v>
      </c>
      <c r="V3210" s="1"/>
      <c r="W3210">
        <v>15691.9997</v>
      </c>
      <c r="X3210">
        <v>0</v>
      </c>
      <c r="Y3210">
        <v>57937</v>
      </c>
    </row>
    <row r="3211" spans="1:25" ht="15" hidden="1" customHeight="1" x14ac:dyDescent="0.25">
      <c r="A3211" s="1" t="s">
        <v>37</v>
      </c>
      <c r="B3211" s="1" t="s">
        <v>81</v>
      </c>
      <c r="C3211" s="1" t="s">
        <v>196</v>
      </c>
      <c r="D3211">
        <v>5479</v>
      </c>
      <c r="E3211" s="1"/>
      <c r="F3211" s="1" t="s">
        <v>331</v>
      </c>
      <c r="G3211" s="1" t="s">
        <v>1399</v>
      </c>
      <c r="H3211" s="1" t="s">
        <v>1396</v>
      </c>
      <c r="I3211">
        <v>2012</v>
      </c>
      <c r="J3211" s="93">
        <v>677117.22</v>
      </c>
      <c r="K3211">
        <v>12</v>
      </c>
      <c r="L3211" s="1" t="s">
        <v>407</v>
      </c>
      <c r="M3211">
        <v>0</v>
      </c>
      <c r="N3211">
        <v>6089</v>
      </c>
      <c r="O3211">
        <v>111.201527</v>
      </c>
      <c r="P3211">
        <v>1</v>
      </c>
      <c r="Q3211" s="1" t="s">
        <v>563</v>
      </c>
      <c r="R3211" s="93">
        <v>726940.83</v>
      </c>
      <c r="S3211">
        <v>3854.51</v>
      </c>
      <c r="T3211">
        <v>1</v>
      </c>
      <c r="U3211" s="1" t="s">
        <v>862</v>
      </c>
      <c r="V3211" s="1"/>
      <c r="W3211">
        <v>19407.2</v>
      </c>
      <c r="X3211">
        <v>0</v>
      </c>
      <c r="Y3211">
        <v>57937</v>
      </c>
    </row>
    <row r="3212" spans="1:25" ht="15" hidden="1" customHeight="1" x14ac:dyDescent="0.25">
      <c r="A3212" s="1" t="s">
        <v>37</v>
      </c>
      <c r="B3212" s="1" t="s">
        <v>81</v>
      </c>
      <c r="C3212" s="1" t="s">
        <v>196</v>
      </c>
      <c r="D3212">
        <v>5479</v>
      </c>
      <c r="E3212" s="1"/>
      <c r="F3212" s="1" t="s">
        <v>331</v>
      </c>
      <c r="G3212" s="1" t="s">
        <v>1399</v>
      </c>
      <c r="H3212" s="1" t="s">
        <v>1405</v>
      </c>
      <c r="I3212">
        <v>2012</v>
      </c>
      <c r="J3212" s="93">
        <v>517674.38</v>
      </c>
      <c r="K3212">
        <v>12</v>
      </c>
      <c r="L3212" s="1" t="s">
        <v>407</v>
      </c>
      <c r="M3212">
        <v>0</v>
      </c>
      <c r="N3212">
        <v>6089</v>
      </c>
      <c r="O3212">
        <v>85.016566999999995</v>
      </c>
      <c r="P3212">
        <v>1</v>
      </c>
      <c r="Q3212" s="1" t="s">
        <v>562</v>
      </c>
      <c r="R3212" s="93">
        <v>561994.4</v>
      </c>
      <c r="S3212">
        <v>103968.98</v>
      </c>
      <c r="T3212">
        <v>0</v>
      </c>
      <c r="U3212" s="1" t="s">
        <v>862</v>
      </c>
      <c r="V3212" s="1"/>
      <c r="W3212">
        <v>692315.18437999999</v>
      </c>
      <c r="X3212">
        <v>0</v>
      </c>
      <c r="Y3212">
        <v>57932</v>
      </c>
    </row>
    <row r="3213" spans="1:25" ht="15" hidden="1" customHeight="1" x14ac:dyDescent="0.25">
      <c r="A3213" s="1" t="s">
        <v>37</v>
      </c>
      <c r="B3213" s="1" t="s">
        <v>81</v>
      </c>
      <c r="C3213" s="1" t="s">
        <v>196</v>
      </c>
      <c r="D3213">
        <v>5479</v>
      </c>
      <c r="E3213" s="1"/>
      <c r="F3213" s="1" t="s">
        <v>331</v>
      </c>
      <c r="G3213" s="1" t="s">
        <v>1399</v>
      </c>
      <c r="H3213" s="1" t="s">
        <v>1396</v>
      </c>
      <c r="I3213">
        <v>2011</v>
      </c>
      <c r="J3213" s="93">
        <v>708601.95</v>
      </c>
      <c r="K3213">
        <v>12</v>
      </c>
      <c r="L3213" s="1" t="s">
        <v>407</v>
      </c>
      <c r="M3213">
        <v>0</v>
      </c>
      <c r="N3213">
        <v>6089</v>
      </c>
      <c r="O3213">
        <v>116.372197</v>
      </c>
      <c r="P3213">
        <v>1</v>
      </c>
      <c r="Q3213" s="1" t="s">
        <v>563</v>
      </c>
      <c r="R3213" s="93">
        <v>783332.32</v>
      </c>
      <c r="S3213">
        <v>4153.5200000000004</v>
      </c>
      <c r="T3213">
        <v>1</v>
      </c>
      <c r="U3213" s="1" t="s">
        <v>862</v>
      </c>
      <c r="V3213" s="1"/>
      <c r="W3213">
        <v>20309.599999999999</v>
      </c>
      <c r="X3213">
        <v>0</v>
      </c>
      <c r="Y3213">
        <v>57937</v>
      </c>
    </row>
    <row r="3214" spans="1:25" ht="15" hidden="1" customHeight="1" x14ac:dyDescent="0.25">
      <c r="A3214" s="1" t="s">
        <v>37</v>
      </c>
      <c r="B3214" s="1" t="s">
        <v>81</v>
      </c>
      <c r="C3214" s="1" t="s">
        <v>196</v>
      </c>
      <c r="D3214">
        <v>5479</v>
      </c>
      <c r="E3214" s="1"/>
      <c r="F3214" s="1" t="s">
        <v>331</v>
      </c>
      <c r="G3214" s="1" t="s">
        <v>1399</v>
      </c>
      <c r="H3214" s="1" t="s">
        <v>1405</v>
      </c>
      <c r="I3214">
        <v>2011</v>
      </c>
      <c r="J3214" s="93">
        <v>562862.32999999996</v>
      </c>
      <c r="K3214">
        <v>12</v>
      </c>
      <c r="L3214" s="1" t="s">
        <v>407</v>
      </c>
      <c r="M3214">
        <v>0</v>
      </c>
      <c r="N3214">
        <v>6089</v>
      </c>
      <c r="O3214">
        <v>92.437687999999994</v>
      </c>
      <c r="P3214">
        <v>1</v>
      </c>
      <c r="Q3214" s="1" t="s">
        <v>562</v>
      </c>
      <c r="R3214" s="93">
        <v>638261.54</v>
      </c>
      <c r="S3214">
        <v>118078.36</v>
      </c>
      <c r="T3214">
        <v>0</v>
      </c>
      <c r="U3214" s="1" t="s">
        <v>862</v>
      </c>
      <c r="V3214" s="1"/>
      <c r="W3214">
        <v>715267.44232999999</v>
      </c>
      <c r="X3214">
        <v>0</v>
      </c>
      <c r="Y3214">
        <v>57932</v>
      </c>
    </row>
    <row r="3215" spans="1:25" ht="15" hidden="1" customHeight="1" x14ac:dyDescent="0.25">
      <c r="A3215" s="1" t="s">
        <v>37</v>
      </c>
      <c r="B3215" s="1" t="s">
        <v>81</v>
      </c>
      <c r="C3215" s="1" t="s">
        <v>196</v>
      </c>
      <c r="D3215">
        <v>5479</v>
      </c>
      <c r="E3215" s="1"/>
      <c r="F3215" s="1" t="s">
        <v>331</v>
      </c>
      <c r="G3215" s="1" t="s">
        <v>1399</v>
      </c>
      <c r="H3215" s="1" t="s">
        <v>1405</v>
      </c>
      <c r="I3215">
        <v>2010</v>
      </c>
      <c r="J3215" s="93">
        <v>614847.49</v>
      </c>
      <c r="K3215">
        <v>12</v>
      </c>
      <c r="L3215" s="1" t="s">
        <v>407</v>
      </c>
      <c r="M3215">
        <v>0</v>
      </c>
      <c r="N3215">
        <v>6089</v>
      </c>
      <c r="O3215">
        <v>100.975101</v>
      </c>
      <c r="P3215">
        <v>1</v>
      </c>
      <c r="Q3215" s="1" t="s">
        <v>562</v>
      </c>
      <c r="R3215" s="93">
        <v>537449.47</v>
      </c>
      <c r="S3215">
        <v>99428.13</v>
      </c>
      <c r="T3215">
        <v>0</v>
      </c>
      <c r="U3215" s="1" t="s">
        <v>862</v>
      </c>
      <c r="V3215" s="1"/>
      <c r="W3215">
        <v>812971.67749000003</v>
      </c>
      <c r="X3215">
        <v>0</v>
      </c>
      <c r="Y3215">
        <v>57932</v>
      </c>
    </row>
    <row r="3216" spans="1:25" ht="15" hidden="1" customHeight="1" x14ac:dyDescent="0.25">
      <c r="A3216" s="1" t="s">
        <v>37</v>
      </c>
      <c r="B3216" s="1" t="s">
        <v>81</v>
      </c>
      <c r="C3216" s="1" t="s">
        <v>196</v>
      </c>
      <c r="D3216">
        <v>5479</v>
      </c>
      <c r="E3216" s="1"/>
      <c r="F3216" s="1" t="s">
        <v>331</v>
      </c>
      <c r="G3216" s="1" t="s">
        <v>1399</v>
      </c>
      <c r="H3216" s="1" t="s">
        <v>1396</v>
      </c>
      <c r="I3216">
        <v>2010</v>
      </c>
      <c r="J3216" s="93">
        <v>792247.24</v>
      </c>
      <c r="K3216">
        <v>12</v>
      </c>
      <c r="L3216" s="1" t="s">
        <v>407</v>
      </c>
      <c r="M3216">
        <v>0</v>
      </c>
      <c r="N3216">
        <v>6089</v>
      </c>
      <c r="O3216">
        <v>130.10908599999999</v>
      </c>
      <c r="P3216">
        <v>1</v>
      </c>
      <c r="Q3216" s="1" t="s">
        <v>563</v>
      </c>
      <c r="R3216" s="93">
        <v>713255.4</v>
      </c>
      <c r="S3216">
        <v>3781.95</v>
      </c>
      <c r="T3216">
        <v>1</v>
      </c>
      <c r="U3216" s="1" t="s">
        <v>862</v>
      </c>
      <c r="V3216" s="1"/>
      <c r="W3216">
        <v>22707</v>
      </c>
      <c r="X3216">
        <v>0</v>
      </c>
      <c r="Y3216">
        <v>57937</v>
      </c>
    </row>
    <row r="3217" spans="1:25" ht="15" hidden="1" customHeight="1" x14ac:dyDescent="0.25">
      <c r="A3217" s="1" t="s">
        <v>37</v>
      </c>
      <c r="B3217" s="1" t="s">
        <v>81</v>
      </c>
      <c r="C3217" s="1" t="s">
        <v>196</v>
      </c>
      <c r="D3217">
        <v>5479</v>
      </c>
      <c r="E3217" s="1"/>
      <c r="F3217" s="1" t="s">
        <v>331</v>
      </c>
      <c r="G3217" s="1" t="s">
        <v>1399</v>
      </c>
      <c r="H3217" s="1" t="s">
        <v>1405</v>
      </c>
      <c r="I3217">
        <v>2009</v>
      </c>
      <c r="J3217" s="93">
        <v>575298.87</v>
      </c>
      <c r="K3217">
        <v>12</v>
      </c>
      <c r="L3217" s="1" t="s">
        <v>407</v>
      </c>
      <c r="M3217">
        <v>0</v>
      </c>
      <c r="N3217">
        <v>6089</v>
      </c>
      <c r="O3217">
        <v>94.480114999999998</v>
      </c>
      <c r="P3217">
        <v>1</v>
      </c>
      <c r="Q3217" s="1" t="s">
        <v>562</v>
      </c>
      <c r="R3217" s="93">
        <v>620827.46</v>
      </c>
      <c r="S3217">
        <v>114853.16</v>
      </c>
      <c r="T3217">
        <v>0</v>
      </c>
      <c r="U3217" s="1" t="s">
        <v>862</v>
      </c>
      <c r="V3217" s="1"/>
      <c r="W3217">
        <v>642672.55886999995</v>
      </c>
      <c r="X3217">
        <v>0</v>
      </c>
      <c r="Y3217">
        <v>57932</v>
      </c>
    </row>
    <row r="3218" spans="1:25" ht="15" hidden="1" customHeight="1" x14ac:dyDescent="0.25">
      <c r="A3218" s="1" t="s">
        <v>37</v>
      </c>
      <c r="B3218" s="1" t="s">
        <v>81</v>
      </c>
      <c r="C3218" s="1" t="s">
        <v>196</v>
      </c>
      <c r="D3218">
        <v>5479</v>
      </c>
      <c r="E3218" s="1"/>
      <c r="F3218" s="1" t="s">
        <v>331</v>
      </c>
      <c r="G3218" s="1" t="s">
        <v>1399</v>
      </c>
      <c r="H3218" s="1" t="s">
        <v>1396</v>
      </c>
      <c r="I3218">
        <v>2009</v>
      </c>
      <c r="J3218" s="93">
        <v>582481.55000000005</v>
      </c>
      <c r="K3218">
        <v>12</v>
      </c>
      <c r="L3218" s="1" t="s">
        <v>407</v>
      </c>
      <c r="M3218">
        <v>0</v>
      </c>
      <c r="N3218">
        <v>6089</v>
      </c>
      <c r="O3218">
        <v>95.659711000000001</v>
      </c>
      <c r="P3218">
        <v>1</v>
      </c>
      <c r="Q3218" s="1" t="s">
        <v>563</v>
      </c>
      <c r="R3218" s="93">
        <v>633601.05000000005</v>
      </c>
      <c r="S3218">
        <v>3359.59</v>
      </c>
      <c r="T3218">
        <v>1</v>
      </c>
      <c r="U3218" s="1" t="s">
        <v>862</v>
      </c>
      <c r="V3218" s="1"/>
      <c r="W3218">
        <v>16694.8</v>
      </c>
      <c r="X3218">
        <v>0</v>
      </c>
      <c r="Y3218">
        <v>57937</v>
      </c>
    </row>
    <row r="3219" spans="1:25" ht="15" hidden="1" customHeight="1" x14ac:dyDescent="0.25">
      <c r="A3219" s="1" t="s">
        <v>37</v>
      </c>
      <c r="B3219" s="1" t="s">
        <v>81</v>
      </c>
      <c r="C3219" s="1" t="s">
        <v>196</v>
      </c>
      <c r="D3219">
        <v>5479</v>
      </c>
      <c r="E3219" s="1"/>
      <c r="F3219" s="1" t="s">
        <v>331</v>
      </c>
      <c r="G3219" s="1" t="s">
        <v>1399</v>
      </c>
      <c r="H3219" s="1" t="s">
        <v>1396</v>
      </c>
      <c r="I3219">
        <v>2008</v>
      </c>
      <c r="J3219" s="93">
        <v>486720.74</v>
      </c>
      <c r="K3219">
        <v>12</v>
      </c>
      <c r="L3219" s="1" t="s">
        <v>407</v>
      </c>
      <c r="M3219">
        <v>0</v>
      </c>
      <c r="N3219">
        <v>6089</v>
      </c>
      <c r="O3219">
        <v>79.933115999999998</v>
      </c>
      <c r="P3219">
        <v>1</v>
      </c>
      <c r="Q3219" s="1" t="s">
        <v>563</v>
      </c>
      <c r="R3219" s="93">
        <v>562904.37</v>
      </c>
      <c r="S3219">
        <v>2984.73</v>
      </c>
      <c r="T3219">
        <v>1</v>
      </c>
      <c r="U3219" s="1" t="s">
        <v>862</v>
      </c>
      <c r="V3219" s="1"/>
      <c r="W3219">
        <v>13950.15</v>
      </c>
      <c r="X3219">
        <v>0</v>
      </c>
      <c r="Y3219">
        <v>57937</v>
      </c>
    </row>
    <row r="3220" spans="1:25" ht="15" hidden="1" customHeight="1" x14ac:dyDescent="0.25">
      <c r="A3220" s="1" t="s">
        <v>37</v>
      </c>
      <c r="B3220" s="1" t="s">
        <v>81</v>
      </c>
      <c r="C3220" s="1" t="s">
        <v>196</v>
      </c>
      <c r="D3220">
        <v>5479</v>
      </c>
      <c r="E3220" s="1"/>
      <c r="F3220" s="1" t="s">
        <v>331</v>
      </c>
      <c r="G3220" s="1" t="s">
        <v>1399</v>
      </c>
      <c r="H3220" s="1" t="s">
        <v>1405</v>
      </c>
      <c r="I3220">
        <v>2008</v>
      </c>
      <c r="J3220" s="93">
        <v>569610</v>
      </c>
      <c r="K3220">
        <v>12</v>
      </c>
      <c r="L3220" s="1" t="s">
        <v>407</v>
      </c>
      <c r="M3220">
        <v>0</v>
      </c>
      <c r="N3220">
        <v>6089</v>
      </c>
      <c r="O3220">
        <v>93.545844000000002</v>
      </c>
      <c r="P3220">
        <v>1</v>
      </c>
      <c r="Q3220" s="1" t="s">
        <v>562</v>
      </c>
      <c r="R3220" s="93">
        <v>654694.76</v>
      </c>
      <c r="S3220">
        <v>121118.54</v>
      </c>
      <c r="T3220">
        <v>0</v>
      </c>
      <c r="U3220" s="1" t="s">
        <v>862</v>
      </c>
      <c r="V3220" s="1"/>
      <c r="W3220">
        <v>569610</v>
      </c>
      <c r="X3220">
        <v>0</v>
      </c>
      <c r="Y3220">
        <v>57932</v>
      </c>
    </row>
    <row r="3221" spans="1:25" ht="15" hidden="1" customHeight="1" x14ac:dyDescent="0.25">
      <c r="A3221" s="1" t="s">
        <v>37</v>
      </c>
      <c r="B3221" s="1"/>
      <c r="C3221" s="1" t="s">
        <v>197</v>
      </c>
      <c r="D3221">
        <v>10161</v>
      </c>
      <c r="E3221" s="1"/>
      <c r="F3221" s="1" t="s">
        <v>332</v>
      </c>
      <c r="G3221" s="1" t="s">
        <v>197</v>
      </c>
      <c r="H3221" s="1" t="s">
        <v>1405</v>
      </c>
      <c r="I3221">
        <v>2015</v>
      </c>
      <c r="J3221" s="93">
        <v>23014</v>
      </c>
      <c r="K3221">
        <v>5</v>
      </c>
      <c r="L3221" s="1" t="s">
        <v>497</v>
      </c>
      <c r="M3221">
        <v>0</v>
      </c>
      <c r="N3221">
        <v>265</v>
      </c>
      <c r="O3221">
        <v>53.568463999999999</v>
      </c>
      <c r="P3221">
        <v>1</v>
      </c>
      <c r="Q3221" s="1" t="s">
        <v>562</v>
      </c>
      <c r="R3221" s="93">
        <v>26255</v>
      </c>
      <c r="S3221">
        <v>1015.25</v>
      </c>
      <c r="T3221">
        <v>0</v>
      </c>
      <c r="U3221" s="1" t="s">
        <v>863</v>
      </c>
      <c r="V3221" s="1"/>
      <c r="W3221">
        <v>14201</v>
      </c>
      <c r="X3221">
        <v>0</v>
      </c>
      <c r="Y3221">
        <v>77152</v>
      </c>
    </row>
    <row r="3222" spans="1:25" ht="15" hidden="1" customHeight="1" x14ac:dyDescent="0.25">
      <c r="A3222" s="1" t="s">
        <v>37</v>
      </c>
      <c r="B3222" s="1"/>
      <c r="C3222" s="1" t="s">
        <v>197</v>
      </c>
      <c r="D3222">
        <v>10161</v>
      </c>
      <c r="E3222" s="1"/>
      <c r="F3222" s="1" t="s">
        <v>332</v>
      </c>
      <c r="G3222" s="1" t="s">
        <v>197</v>
      </c>
      <c r="H3222" s="1" t="s">
        <v>1405</v>
      </c>
      <c r="I3222">
        <v>2013</v>
      </c>
      <c r="J3222" s="93">
        <v>24789</v>
      </c>
      <c r="K3222">
        <v>12</v>
      </c>
      <c r="L3222" s="1" t="s">
        <v>497</v>
      </c>
      <c r="M3222">
        <v>0</v>
      </c>
      <c r="N3222">
        <v>265</v>
      </c>
      <c r="O3222">
        <v>93.508110000000002</v>
      </c>
      <c r="P3222">
        <v>1</v>
      </c>
      <c r="Q3222" s="1" t="s">
        <v>562</v>
      </c>
      <c r="R3222" s="93">
        <v>25761.84</v>
      </c>
      <c r="S3222">
        <v>1648.78</v>
      </c>
      <c r="T3222">
        <v>0</v>
      </c>
      <c r="U3222" s="1" t="s">
        <v>863</v>
      </c>
      <c r="V3222" s="1"/>
      <c r="W3222">
        <v>24789</v>
      </c>
      <c r="X3222">
        <v>0</v>
      </c>
      <c r="Y3222">
        <v>77152</v>
      </c>
    </row>
    <row r="3223" spans="1:25" ht="15" hidden="1" customHeight="1" x14ac:dyDescent="0.25">
      <c r="A3223" s="1" t="s">
        <v>37</v>
      </c>
      <c r="B3223" s="1"/>
      <c r="C3223" s="1" t="s">
        <v>197</v>
      </c>
      <c r="D3223">
        <v>10161</v>
      </c>
      <c r="E3223" s="1"/>
      <c r="F3223" s="1" t="s">
        <v>332</v>
      </c>
      <c r="G3223" s="1" t="s">
        <v>197</v>
      </c>
      <c r="H3223" s="1" t="s">
        <v>1405</v>
      </c>
      <c r="I3223">
        <v>2012</v>
      </c>
      <c r="J3223" s="93">
        <v>27464.51</v>
      </c>
      <c r="K3223">
        <v>7</v>
      </c>
      <c r="L3223" s="1" t="s">
        <v>497</v>
      </c>
      <c r="M3223">
        <v>0</v>
      </c>
      <c r="N3223">
        <v>265</v>
      </c>
      <c r="O3223">
        <v>103.600565</v>
      </c>
      <c r="P3223">
        <v>1</v>
      </c>
      <c r="Q3223" s="1" t="s">
        <v>562</v>
      </c>
      <c r="R3223" s="93">
        <v>28282.31</v>
      </c>
      <c r="S3223">
        <v>5232.24</v>
      </c>
      <c r="T3223">
        <v>0</v>
      </c>
      <c r="U3223" s="1" t="s">
        <v>863</v>
      </c>
      <c r="V3223" s="1"/>
      <c r="W3223">
        <v>27464.50001</v>
      </c>
      <c r="X3223">
        <v>0</v>
      </c>
      <c r="Y3223">
        <v>77152</v>
      </c>
    </row>
    <row r="3224" spans="1:25" ht="15" hidden="1" customHeight="1" x14ac:dyDescent="0.25">
      <c r="A3224" s="1" t="s">
        <v>37</v>
      </c>
      <c r="B3224" s="1"/>
      <c r="C3224" s="1" t="s">
        <v>197</v>
      </c>
      <c r="D3224">
        <v>10161</v>
      </c>
      <c r="E3224" s="1"/>
      <c r="F3224" s="1" t="s">
        <v>332</v>
      </c>
      <c r="G3224" s="1" t="s">
        <v>197</v>
      </c>
      <c r="H3224" s="1" t="s">
        <v>1405</v>
      </c>
      <c r="I3224">
        <v>2011</v>
      </c>
      <c r="J3224" s="93">
        <v>25886.91</v>
      </c>
      <c r="K3224">
        <v>4</v>
      </c>
      <c r="L3224" s="1" t="s">
        <v>497</v>
      </c>
      <c r="M3224">
        <v>0</v>
      </c>
      <c r="N3224">
        <v>265</v>
      </c>
      <c r="O3224">
        <v>97.649602999999999</v>
      </c>
      <c r="P3224">
        <v>1</v>
      </c>
      <c r="Q3224" s="1" t="s">
        <v>562</v>
      </c>
      <c r="R3224" s="93">
        <v>29500.55</v>
      </c>
      <c r="S3224">
        <v>5457.6</v>
      </c>
      <c r="T3224">
        <v>0</v>
      </c>
      <c r="U3224" s="1" t="s">
        <v>863</v>
      </c>
      <c r="V3224" s="1"/>
      <c r="W3224">
        <v>25886.899990000002</v>
      </c>
      <c r="X3224">
        <v>0</v>
      </c>
      <c r="Y3224">
        <v>77152</v>
      </c>
    </row>
    <row r="3225" spans="1:25" ht="15" hidden="1" customHeight="1" x14ac:dyDescent="0.25">
      <c r="A3225" s="1" t="s">
        <v>37</v>
      </c>
      <c r="B3225" s="1"/>
      <c r="C3225" s="1" t="s">
        <v>197</v>
      </c>
      <c r="D3225">
        <v>10161</v>
      </c>
      <c r="E3225" s="1"/>
      <c r="F3225" s="1" t="s">
        <v>332</v>
      </c>
      <c r="G3225" s="1" t="s">
        <v>197</v>
      </c>
      <c r="H3225" s="1" t="s">
        <v>1405</v>
      </c>
      <c r="I3225">
        <v>2010</v>
      </c>
      <c r="J3225" s="93">
        <v>25054.799999999999</v>
      </c>
      <c r="K3225">
        <v>7</v>
      </c>
      <c r="L3225" s="1" t="s">
        <v>497</v>
      </c>
      <c r="M3225">
        <v>0</v>
      </c>
      <c r="N3225">
        <v>265</v>
      </c>
      <c r="O3225">
        <v>94.510750000000002</v>
      </c>
      <c r="P3225">
        <v>1</v>
      </c>
      <c r="Q3225" s="1" t="s">
        <v>562</v>
      </c>
      <c r="R3225" s="93">
        <v>23173.5</v>
      </c>
      <c r="S3225">
        <v>4287.1000000000004</v>
      </c>
      <c r="T3225">
        <v>0</v>
      </c>
      <c r="U3225" s="1" t="s">
        <v>863</v>
      </c>
      <c r="V3225" s="1"/>
      <c r="W3225">
        <v>25054.80226</v>
      </c>
      <c r="X3225">
        <v>0</v>
      </c>
      <c r="Y3225">
        <v>77152</v>
      </c>
    </row>
    <row r="3226" spans="1:25" ht="15" hidden="1" customHeight="1" x14ac:dyDescent="0.25">
      <c r="A3226" s="1" t="s">
        <v>37</v>
      </c>
      <c r="B3226" s="1"/>
      <c r="C3226" s="1" t="s">
        <v>197</v>
      </c>
      <c r="D3226">
        <v>10161</v>
      </c>
      <c r="E3226" s="1"/>
      <c r="F3226" s="1" t="s">
        <v>332</v>
      </c>
      <c r="G3226" s="1" t="s">
        <v>197</v>
      </c>
      <c r="H3226" s="1" t="s">
        <v>1405</v>
      </c>
      <c r="I3226">
        <v>2009</v>
      </c>
      <c r="J3226" s="93">
        <v>27719.79</v>
      </c>
      <c r="K3226">
        <v>4</v>
      </c>
      <c r="L3226" s="1" t="s">
        <v>497</v>
      </c>
      <c r="M3226">
        <v>0</v>
      </c>
      <c r="N3226">
        <v>265</v>
      </c>
      <c r="O3226">
        <v>104.563523</v>
      </c>
      <c r="P3226">
        <v>1</v>
      </c>
      <c r="Q3226" s="1" t="s">
        <v>562</v>
      </c>
      <c r="R3226" s="93">
        <v>36503.449999999997</v>
      </c>
      <c r="S3226">
        <v>6753.15</v>
      </c>
      <c r="T3226">
        <v>0</v>
      </c>
      <c r="U3226" s="1" t="s">
        <v>863</v>
      </c>
      <c r="V3226" s="1"/>
      <c r="W3226">
        <v>27719.797760000001</v>
      </c>
      <c r="X3226">
        <v>0</v>
      </c>
      <c r="Y3226">
        <v>77152</v>
      </c>
    </row>
    <row r="3227" spans="1:25" ht="15" hidden="1" customHeight="1" x14ac:dyDescent="0.25">
      <c r="A3227" s="1" t="s">
        <v>37</v>
      </c>
      <c r="B3227" s="1"/>
      <c r="C3227" s="1" t="s">
        <v>197</v>
      </c>
      <c r="D3227">
        <v>10161</v>
      </c>
      <c r="E3227" s="1"/>
      <c r="F3227" s="1" t="s">
        <v>332</v>
      </c>
      <c r="G3227" s="1" t="s">
        <v>197</v>
      </c>
      <c r="H3227" s="1" t="s">
        <v>1405</v>
      </c>
      <c r="I3227">
        <v>2008</v>
      </c>
      <c r="J3227" s="93">
        <v>21255.67</v>
      </c>
      <c r="K3227">
        <v>6</v>
      </c>
      <c r="L3227" s="1" t="s">
        <v>497</v>
      </c>
      <c r="M3227">
        <v>0</v>
      </c>
      <c r="N3227">
        <v>265</v>
      </c>
      <c r="O3227">
        <v>80.179817999999997</v>
      </c>
      <c r="P3227">
        <v>1</v>
      </c>
      <c r="Q3227" s="1" t="s">
        <v>562</v>
      </c>
      <c r="R3227" s="93">
        <v>23631.53</v>
      </c>
      <c r="S3227">
        <v>4371.8500000000004</v>
      </c>
      <c r="T3227">
        <v>0</v>
      </c>
      <c r="U3227" s="1" t="s">
        <v>863</v>
      </c>
      <c r="V3227" s="1"/>
      <c r="W3227">
        <v>21255.670340000001</v>
      </c>
      <c r="X3227">
        <v>0</v>
      </c>
      <c r="Y3227">
        <v>77152</v>
      </c>
    </row>
    <row r="3228" spans="1:25" ht="15" hidden="1" customHeight="1" x14ac:dyDescent="0.25">
      <c r="A3228" s="1" t="s">
        <v>37</v>
      </c>
      <c r="B3228" s="1" t="s">
        <v>82</v>
      </c>
      <c r="C3228" s="1" t="s">
        <v>198</v>
      </c>
      <c r="D3228">
        <v>6369</v>
      </c>
      <c r="E3228" s="1"/>
      <c r="F3228" s="1" t="s">
        <v>333</v>
      </c>
      <c r="G3228" s="1" t="s">
        <v>334</v>
      </c>
      <c r="H3228" s="1" t="s">
        <v>1405</v>
      </c>
      <c r="I3228">
        <v>2015</v>
      </c>
      <c r="J3228" s="93">
        <v>14683</v>
      </c>
      <c r="K3228">
        <v>5</v>
      </c>
      <c r="L3228" s="1" t="s">
        <v>410</v>
      </c>
      <c r="M3228">
        <v>0</v>
      </c>
      <c r="N3228">
        <v>110</v>
      </c>
      <c r="O3228">
        <v>73.378201000000004</v>
      </c>
      <c r="P3228">
        <v>1</v>
      </c>
      <c r="Q3228" s="1" t="s">
        <v>564</v>
      </c>
      <c r="R3228" s="93">
        <v>17395</v>
      </c>
      <c r="S3228">
        <v>1935.51</v>
      </c>
      <c r="T3228">
        <v>0</v>
      </c>
      <c r="U3228" s="1" t="s">
        <v>864</v>
      </c>
      <c r="V3228" s="1" t="s">
        <v>1222</v>
      </c>
      <c r="W3228">
        <v>748.05</v>
      </c>
      <c r="X3228">
        <v>0</v>
      </c>
      <c r="Y3228">
        <v>62719</v>
      </c>
    </row>
    <row r="3229" spans="1:25" ht="15" hidden="1" customHeight="1" x14ac:dyDescent="0.25">
      <c r="A3229" s="1" t="s">
        <v>37</v>
      </c>
      <c r="B3229" s="1" t="s">
        <v>82</v>
      </c>
      <c r="C3229" s="1" t="s">
        <v>198</v>
      </c>
      <c r="D3229">
        <v>6369</v>
      </c>
      <c r="E3229" s="1"/>
      <c r="F3229" s="1" t="s">
        <v>333</v>
      </c>
      <c r="G3229" s="1" t="s">
        <v>334</v>
      </c>
      <c r="H3229" s="1" t="s">
        <v>1405</v>
      </c>
      <c r="I3229">
        <v>2013</v>
      </c>
      <c r="J3229" s="93">
        <v>26282.51</v>
      </c>
      <c r="K3229">
        <v>13</v>
      </c>
      <c r="L3229" s="1" t="s">
        <v>410</v>
      </c>
      <c r="M3229">
        <v>0</v>
      </c>
      <c r="N3229">
        <v>110</v>
      </c>
      <c r="O3229">
        <v>238.71489500000001</v>
      </c>
      <c r="P3229">
        <v>1</v>
      </c>
      <c r="Q3229" s="1" t="s">
        <v>564</v>
      </c>
      <c r="R3229" s="93">
        <v>26905.3</v>
      </c>
      <c r="S3229">
        <v>5689.99</v>
      </c>
      <c r="T3229">
        <v>0</v>
      </c>
      <c r="U3229" s="1" t="s">
        <v>864</v>
      </c>
      <c r="V3229" s="1" t="s">
        <v>1222</v>
      </c>
      <c r="W3229">
        <v>2433.5643799999998</v>
      </c>
      <c r="X3229">
        <v>0</v>
      </c>
      <c r="Y3229">
        <v>62719</v>
      </c>
    </row>
    <row r="3230" spans="1:25" ht="15" hidden="1" customHeight="1" x14ac:dyDescent="0.25">
      <c r="A3230" s="1" t="s">
        <v>37</v>
      </c>
      <c r="B3230" s="1" t="s">
        <v>82</v>
      </c>
      <c r="C3230" s="1" t="s">
        <v>198</v>
      </c>
      <c r="D3230">
        <v>6369</v>
      </c>
      <c r="E3230" s="1"/>
      <c r="F3230" s="1" t="s">
        <v>333</v>
      </c>
      <c r="G3230" s="1" t="s">
        <v>334</v>
      </c>
      <c r="H3230" s="1" t="s">
        <v>1405</v>
      </c>
      <c r="I3230">
        <v>2012</v>
      </c>
      <c r="J3230" s="93">
        <v>40326.46</v>
      </c>
      <c r="K3230">
        <v>12</v>
      </c>
      <c r="L3230" s="1" t="s">
        <v>410</v>
      </c>
      <c r="M3230">
        <v>0</v>
      </c>
      <c r="N3230">
        <v>110</v>
      </c>
      <c r="O3230">
        <v>366.271207</v>
      </c>
      <c r="P3230">
        <v>1</v>
      </c>
      <c r="Q3230" s="1" t="s">
        <v>564</v>
      </c>
      <c r="R3230" s="93">
        <v>43747.78</v>
      </c>
      <c r="S3230">
        <v>9251.86</v>
      </c>
      <c r="T3230">
        <v>0</v>
      </c>
      <c r="U3230" s="1" t="s">
        <v>864</v>
      </c>
      <c r="V3230" s="1" t="s">
        <v>1222</v>
      </c>
      <c r="W3230">
        <v>3733.9313099999999</v>
      </c>
      <c r="X3230">
        <v>0</v>
      </c>
      <c r="Y3230">
        <v>62719</v>
      </c>
    </row>
    <row r="3231" spans="1:25" ht="15" hidden="1" customHeight="1" x14ac:dyDescent="0.25">
      <c r="A3231" s="1" t="s">
        <v>37</v>
      </c>
      <c r="B3231" s="1" t="s">
        <v>82</v>
      </c>
      <c r="C3231" s="1" t="s">
        <v>198</v>
      </c>
      <c r="D3231">
        <v>6369</v>
      </c>
      <c r="E3231" s="1"/>
      <c r="F3231" s="1" t="s">
        <v>333</v>
      </c>
      <c r="G3231" s="1" t="s">
        <v>334</v>
      </c>
      <c r="H3231" s="1" t="s">
        <v>1405</v>
      </c>
      <c r="I3231">
        <v>2011</v>
      </c>
      <c r="J3231" s="93">
        <v>25591.34</v>
      </c>
      <c r="K3231">
        <v>5</v>
      </c>
      <c r="L3231" s="1" t="s">
        <v>410</v>
      </c>
      <c r="M3231">
        <v>0</v>
      </c>
      <c r="N3231">
        <v>110</v>
      </c>
      <c r="O3231">
        <v>232.43723800000001</v>
      </c>
      <c r="P3231">
        <v>1</v>
      </c>
      <c r="Q3231" s="1" t="s">
        <v>564</v>
      </c>
      <c r="R3231" s="93">
        <v>28458.71</v>
      </c>
      <c r="S3231">
        <v>6018.49</v>
      </c>
      <c r="T3231">
        <v>0</v>
      </c>
      <c r="U3231" s="1" t="s">
        <v>864</v>
      </c>
      <c r="V3231" s="1" t="s">
        <v>1222</v>
      </c>
      <c r="W3231">
        <v>2369.5686999999998</v>
      </c>
      <c r="X3231">
        <v>0</v>
      </c>
      <c r="Y3231">
        <v>62719</v>
      </c>
    </row>
    <row r="3232" spans="1:25" ht="15" hidden="1" customHeight="1" x14ac:dyDescent="0.25">
      <c r="A3232" s="1" t="s">
        <v>37</v>
      </c>
      <c r="B3232" s="1" t="s">
        <v>82</v>
      </c>
      <c r="C3232" s="1" t="s">
        <v>198</v>
      </c>
      <c r="D3232">
        <v>6369</v>
      </c>
      <c r="E3232" s="1"/>
      <c r="F3232" s="1" t="s">
        <v>333</v>
      </c>
      <c r="G3232" s="1" t="s">
        <v>334</v>
      </c>
      <c r="H3232" s="1" t="s">
        <v>1405</v>
      </c>
      <c r="I3232">
        <v>2010</v>
      </c>
      <c r="J3232" s="93">
        <v>29393.3</v>
      </c>
      <c r="K3232">
        <v>3</v>
      </c>
      <c r="L3232" s="1" t="s">
        <v>410</v>
      </c>
      <c r="M3232">
        <v>0</v>
      </c>
      <c r="N3232">
        <v>110</v>
      </c>
      <c r="O3232">
        <v>266.96911799999998</v>
      </c>
      <c r="P3232">
        <v>1</v>
      </c>
      <c r="Q3232" s="1" t="s">
        <v>564</v>
      </c>
      <c r="R3232" s="93">
        <v>36453.32</v>
      </c>
      <c r="S3232">
        <v>7709.2</v>
      </c>
      <c r="T3232">
        <v>0</v>
      </c>
      <c r="U3232" s="1" t="s">
        <v>864</v>
      </c>
      <c r="V3232" s="1" t="s">
        <v>1222</v>
      </c>
      <c r="W3232">
        <v>2721.6016100000002</v>
      </c>
      <c r="X3232">
        <v>0</v>
      </c>
      <c r="Y3232">
        <v>62719</v>
      </c>
    </row>
    <row r="3233" spans="1:25" ht="15" hidden="1" customHeight="1" x14ac:dyDescent="0.25">
      <c r="A3233" s="1" t="s">
        <v>37</v>
      </c>
      <c r="B3233" s="1" t="s">
        <v>82</v>
      </c>
      <c r="C3233" s="1" t="s">
        <v>198</v>
      </c>
      <c r="D3233">
        <v>6369</v>
      </c>
      <c r="E3233" s="1"/>
      <c r="F3233" s="1" t="s">
        <v>333</v>
      </c>
      <c r="G3233" s="1" t="s">
        <v>334</v>
      </c>
      <c r="H3233" s="1" t="s">
        <v>1405</v>
      </c>
      <c r="I3233">
        <v>2009</v>
      </c>
      <c r="J3233" s="93">
        <v>28566.71</v>
      </c>
      <c r="K3233">
        <v>3</v>
      </c>
      <c r="L3233" s="1" t="s">
        <v>410</v>
      </c>
      <c r="M3233">
        <v>0</v>
      </c>
      <c r="N3233">
        <v>110</v>
      </c>
      <c r="O3233">
        <v>259.46148899999997</v>
      </c>
      <c r="P3233">
        <v>1</v>
      </c>
      <c r="Q3233" s="1" t="s">
        <v>564</v>
      </c>
      <c r="R3233" s="93">
        <v>38911.86</v>
      </c>
      <c r="S3233">
        <v>8229.14</v>
      </c>
      <c r="T3233">
        <v>0</v>
      </c>
      <c r="U3233" s="1" t="s">
        <v>864</v>
      </c>
      <c r="V3233" s="1" t="s">
        <v>1222</v>
      </c>
      <c r="W3233">
        <v>2645.0653900000002</v>
      </c>
      <c r="X3233">
        <v>0</v>
      </c>
      <c r="Y3233">
        <v>62719</v>
      </c>
    </row>
    <row r="3234" spans="1:25" ht="15" hidden="1" customHeight="1" x14ac:dyDescent="0.25">
      <c r="A3234" s="1" t="s">
        <v>37</v>
      </c>
      <c r="B3234" s="1" t="s">
        <v>82</v>
      </c>
      <c r="C3234" s="1" t="s">
        <v>198</v>
      </c>
      <c r="D3234">
        <v>6369</v>
      </c>
      <c r="E3234" s="1"/>
      <c r="F3234" s="1" t="s">
        <v>333</v>
      </c>
      <c r="G3234" s="1" t="s">
        <v>334</v>
      </c>
      <c r="H3234" s="1" t="s">
        <v>1405</v>
      </c>
      <c r="I3234">
        <v>2008</v>
      </c>
      <c r="J3234" s="93">
        <v>27961.03</v>
      </c>
      <c r="K3234">
        <v>9</v>
      </c>
      <c r="L3234" s="1" t="s">
        <v>410</v>
      </c>
      <c r="M3234">
        <v>0</v>
      </c>
      <c r="N3234">
        <v>110</v>
      </c>
      <c r="O3234">
        <v>253.960308</v>
      </c>
      <c r="P3234">
        <v>1</v>
      </c>
      <c r="Q3234" s="1" t="s">
        <v>564</v>
      </c>
      <c r="R3234" s="93">
        <v>32700.52</v>
      </c>
      <c r="S3234">
        <v>6915.56</v>
      </c>
      <c r="T3234">
        <v>0</v>
      </c>
      <c r="U3234" s="1" t="s">
        <v>864</v>
      </c>
      <c r="V3234" s="1" t="s">
        <v>1222</v>
      </c>
      <c r="W3234">
        <v>2588.9836700000001</v>
      </c>
      <c r="X3234">
        <v>0</v>
      </c>
      <c r="Y3234">
        <v>62719</v>
      </c>
    </row>
    <row r="3235" spans="1:25" ht="15" hidden="1" customHeight="1" x14ac:dyDescent="0.25">
      <c r="A3235" s="1" t="s">
        <v>37</v>
      </c>
      <c r="B3235" s="1" t="s">
        <v>82</v>
      </c>
      <c r="C3235" s="1" t="s">
        <v>199</v>
      </c>
      <c r="D3235">
        <v>5474</v>
      </c>
      <c r="E3235" s="1"/>
      <c r="F3235" s="1" t="s">
        <v>334</v>
      </c>
      <c r="G3235" s="1" t="s">
        <v>334</v>
      </c>
      <c r="H3235" s="1" t="s">
        <v>1405</v>
      </c>
      <c r="I3235">
        <v>2015</v>
      </c>
      <c r="J3235" s="93">
        <v>1262380</v>
      </c>
      <c r="K3235">
        <v>5</v>
      </c>
      <c r="L3235" s="1"/>
      <c r="M3235">
        <v>0</v>
      </c>
      <c r="N3235">
        <v>10600</v>
      </c>
      <c r="O3235">
        <v>79.176497999999995</v>
      </c>
      <c r="P3235">
        <v>1</v>
      </c>
      <c r="Q3235" s="1" t="s">
        <v>564</v>
      </c>
      <c r="R3235" s="93">
        <v>1441186</v>
      </c>
      <c r="S3235">
        <v>201590.15</v>
      </c>
      <c r="T3235">
        <v>0</v>
      </c>
      <c r="U3235" s="1" t="s">
        <v>865</v>
      </c>
      <c r="V3235" s="1" t="s">
        <v>1223</v>
      </c>
      <c r="W3235">
        <v>77711</v>
      </c>
      <c r="X3235">
        <v>0</v>
      </c>
      <c r="Y3235">
        <v>57912</v>
      </c>
    </row>
    <row r="3236" spans="1:25" ht="15" hidden="1" customHeight="1" x14ac:dyDescent="0.25">
      <c r="A3236" s="1" t="s">
        <v>37</v>
      </c>
      <c r="B3236" s="1" t="s">
        <v>82</v>
      </c>
      <c r="C3236" s="1" t="s">
        <v>199</v>
      </c>
      <c r="D3236">
        <v>5474</v>
      </c>
      <c r="E3236" s="1"/>
      <c r="F3236" s="1" t="s">
        <v>334</v>
      </c>
      <c r="G3236" s="1" t="s">
        <v>334</v>
      </c>
      <c r="H3236" s="1" t="s">
        <v>1405</v>
      </c>
      <c r="I3236">
        <v>2013</v>
      </c>
      <c r="J3236" s="93">
        <v>1350972</v>
      </c>
      <c r="K3236">
        <v>12</v>
      </c>
      <c r="L3236" s="1"/>
      <c r="M3236">
        <v>0</v>
      </c>
      <c r="N3236">
        <v>10600</v>
      </c>
      <c r="O3236">
        <v>127.448986</v>
      </c>
      <c r="P3236">
        <v>1</v>
      </c>
      <c r="Q3236" s="1" t="s">
        <v>564</v>
      </c>
      <c r="R3236" s="93">
        <v>1413417.71</v>
      </c>
      <c r="S3236">
        <v>298911.68</v>
      </c>
      <c r="T3236">
        <v>0</v>
      </c>
      <c r="U3236" s="1" t="s">
        <v>865</v>
      </c>
      <c r="V3236" s="1" t="s">
        <v>1223</v>
      </c>
      <c r="W3236">
        <v>125090</v>
      </c>
      <c r="X3236">
        <v>0</v>
      </c>
      <c r="Y3236">
        <v>57912</v>
      </c>
    </row>
    <row r="3237" spans="1:25" ht="15" hidden="1" customHeight="1" x14ac:dyDescent="0.25">
      <c r="A3237" s="1" t="s">
        <v>37</v>
      </c>
      <c r="B3237" s="1" t="s">
        <v>82</v>
      </c>
      <c r="C3237" s="1" t="s">
        <v>199</v>
      </c>
      <c r="D3237">
        <v>5474</v>
      </c>
      <c r="E3237" s="1"/>
      <c r="F3237" s="1" t="s">
        <v>334</v>
      </c>
      <c r="G3237" s="1" t="s">
        <v>334</v>
      </c>
      <c r="H3237" s="1" t="s">
        <v>1405</v>
      </c>
      <c r="I3237">
        <v>2012</v>
      </c>
      <c r="J3237" s="93">
        <v>1500562.8</v>
      </c>
      <c r="K3237">
        <v>12</v>
      </c>
      <c r="L3237" s="1"/>
      <c r="M3237">
        <v>0</v>
      </c>
      <c r="N3237">
        <v>10600</v>
      </c>
      <c r="O3237">
        <v>141.56119200000001</v>
      </c>
      <c r="P3237">
        <v>1</v>
      </c>
      <c r="Q3237" s="1" t="s">
        <v>564</v>
      </c>
      <c r="R3237" s="93">
        <v>1592487.41</v>
      </c>
      <c r="S3237">
        <v>336781.59</v>
      </c>
      <c r="T3237">
        <v>0</v>
      </c>
      <c r="U3237" s="1" t="s">
        <v>865</v>
      </c>
      <c r="V3237" s="1" t="s">
        <v>1223</v>
      </c>
      <c r="W3237">
        <v>138941</v>
      </c>
      <c r="X3237">
        <v>0</v>
      </c>
      <c r="Y3237">
        <v>57912</v>
      </c>
    </row>
    <row r="3238" spans="1:25" ht="15" hidden="1" customHeight="1" x14ac:dyDescent="0.25">
      <c r="A3238" s="1" t="s">
        <v>37</v>
      </c>
      <c r="B3238" s="1" t="s">
        <v>82</v>
      </c>
      <c r="C3238" s="1" t="s">
        <v>199</v>
      </c>
      <c r="D3238">
        <v>5474</v>
      </c>
      <c r="E3238" s="1"/>
      <c r="F3238" s="1" t="s">
        <v>334</v>
      </c>
      <c r="G3238" s="1" t="s">
        <v>334</v>
      </c>
      <c r="H3238" s="1" t="s">
        <v>1405</v>
      </c>
      <c r="I3238">
        <v>2011</v>
      </c>
      <c r="J3238" s="93">
        <v>1499461.2</v>
      </c>
      <c r="K3238">
        <v>12</v>
      </c>
      <c r="L3238" s="1"/>
      <c r="M3238">
        <v>0</v>
      </c>
      <c r="N3238">
        <v>10600</v>
      </c>
      <c r="O3238">
        <v>141.457269</v>
      </c>
      <c r="P3238">
        <v>1</v>
      </c>
      <c r="Q3238" s="1" t="s">
        <v>564</v>
      </c>
      <c r="R3238" s="93">
        <v>1662630.78</v>
      </c>
      <c r="S3238">
        <v>351615.63</v>
      </c>
      <c r="T3238">
        <v>0</v>
      </c>
      <c r="U3238" s="1" t="s">
        <v>865</v>
      </c>
      <c r="V3238" s="1" t="s">
        <v>1223</v>
      </c>
      <c r="W3238">
        <v>138839</v>
      </c>
      <c r="X3238">
        <v>0</v>
      </c>
      <c r="Y3238">
        <v>57912</v>
      </c>
    </row>
    <row r="3239" spans="1:25" ht="15" hidden="1" customHeight="1" x14ac:dyDescent="0.25">
      <c r="A3239" s="1" t="s">
        <v>37</v>
      </c>
      <c r="B3239" s="1" t="s">
        <v>82</v>
      </c>
      <c r="C3239" s="1" t="s">
        <v>199</v>
      </c>
      <c r="D3239">
        <v>5474</v>
      </c>
      <c r="E3239" s="1"/>
      <c r="F3239" s="1" t="s">
        <v>334</v>
      </c>
      <c r="G3239" s="1" t="s">
        <v>334</v>
      </c>
      <c r="H3239" s="1" t="s">
        <v>1405</v>
      </c>
      <c r="I3239">
        <v>2010</v>
      </c>
      <c r="J3239" s="93">
        <v>1822316.4</v>
      </c>
      <c r="K3239">
        <v>12</v>
      </c>
      <c r="L3239" s="1"/>
      <c r="M3239">
        <v>0</v>
      </c>
      <c r="N3239">
        <v>10600</v>
      </c>
      <c r="O3239">
        <v>171.915019</v>
      </c>
      <c r="P3239">
        <v>1</v>
      </c>
      <c r="Q3239" s="1" t="s">
        <v>564</v>
      </c>
      <c r="R3239" s="93">
        <v>1655607.97</v>
      </c>
      <c r="S3239">
        <v>350130.43</v>
      </c>
      <c r="T3239">
        <v>0</v>
      </c>
      <c r="U3239" s="1" t="s">
        <v>865</v>
      </c>
      <c r="V3239" s="1" t="s">
        <v>1223</v>
      </c>
      <c r="W3239">
        <v>168733</v>
      </c>
      <c r="X3239">
        <v>0</v>
      </c>
      <c r="Y3239">
        <v>57912</v>
      </c>
    </row>
    <row r="3240" spans="1:25" ht="15" hidden="1" customHeight="1" x14ac:dyDescent="0.25">
      <c r="A3240" s="1" t="s">
        <v>37</v>
      </c>
      <c r="B3240" s="1" t="s">
        <v>82</v>
      </c>
      <c r="C3240" s="1" t="s">
        <v>199</v>
      </c>
      <c r="D3240">
        <v>5474</v>
      </c>
      <c r="E3240" s="1"/>
      <c r="F3240" s="1" t="s">
        <v>334</v>
      </c>
      <c r="G3240" s="1" t="s">
        <v>334</v>
      </c>
      <c r="H3240" s="1" t="s">
        <v>1405</v>
      </c>
      <c r="I3240">
        <v>2009</v>
      </c>
      <c r="J3240" s="93">
        <v>1702944</v>
      </c>
      <c r="K3240">
        <v>12</v>
      </c>
      <c r="L3240" s="1"/>
      <c r="M3240">
        <v>0</v>
      </c>
      <c r="N3240">
        <v>10600</v>
      </c>
      <c r="O3240">
        <v>160.65357800000001</v>
      </c>
      <c r="P3240">
        <v>1</v>
      </c>
      <c r="Q3240" s="1" t="s">
        <v>564</v>
      </c>
      <c r="R3240" s="93">
        <v>1884957.1</v>
      </c>
      <c r="S3240">
        <v>398633.53</v>
      </c>
      <c r="T3240">
        <v>0</v>
      </c>
      <c r="U3240" s="1" t="s">
        <v>865</v>
      </c>
      <c r="V3240" s="1" t="s">
        <v>1223</v>
      </c>
      <c r="W3240">
        <v>157680</v>
      </c>
      <c r="X3240">
        <v>0</v>
      </c>
      <c r="Y3240">
        <v>57912</v>
      </c>
    </row>
    <row r="3241" spans="1:25" ht="15" hidden="1" customHeight="1" x14ac:dyDescent="0.25">
      <c r="A3241" s="1" t="s">
        <v>37</v>
      </c>
      <c r="B3241" s="1" t="s">
        <v>82</v>
      </c>
      <c r="C3241" s="1" t="s">
        <v>199</v>
      </c>
      <c r="D3241">
        <v>5474</v>
      </c>
      <c r="E3241" s="1"/>
      <c r="F3241" s="1" t="s">
        <v>334</v>
      </c>
      <c r="G3241" s="1" t="s">
        <v>334</v>
      </c>
      <c r="H3241" s="1" t="s">
        <v>1405</v>
      </c>
      <c r="I3241">
        <v>2008</v>
      </c>
      <c r="J3241" s="93">
        <v>1725818.4</v>
      </c>
      <c r="K3241">
        <v>12</v>
      </c>
      <c r="L3241" s="1"/>
      <c r="M3241">
        <v>0</v>
      </c>
      <c r="N3241">
        <v>10600</v>
      </c>
      <c r="O3241">
        <v>162.81152</v>
      </c>
      <c r="P3241">
        <v>1</v>
      </c>
      <c r="Q3241" s="1" t="s">
        <v>564</v>
      </c>
      <c r="R3241" s="93">
        <v>2041889.24</v>
      </c>
      <c r="S3241">
        <v>431821.77</v>
      </c>
      <c r="T3241">
        <v>0</v>
      </c>
      <c r="U3241" s="1" t="s">
        <v>865</v>
      </c>
      <c r="V3241" s="1" t="s">
        <v>1223</v>
      </c>
      <c r="W3241">
        <v>159798</v>
      </c>
      <c r="X3241">
        <v>0</v>
      </c>
      <c r="Y3241">
        <v>57912</v>
      </c>
    </row>
    <row r="3242" spans="1:25" ht="15" hidden="1" customHeight="1" x14ac:dyDescent="0.25">
      <c r="A3242" s="1" t="s">
        <v>37</v>
      </c>
      <c r="B3242" s="1" t="s">
        <v>66</v>
      </c>
      <c r="C3242" s="1" t="s">
        <v>200</v>
      </c>
      <c r="D3242">
        <v>5471</v>
      </c>
      <c r="E3242" s="1"/>
      <c r="F3242" s="1" t="s">
        <v>335</v>
      </c>
      <c r="G3242" s="1" t="s">
        <v>200</v>
      </c>
      <c r="H3242" s="1" t="s">
        <v>1405</v>
      </c>
      <c r="I3242">
        <v>2015</v>
      </c>
      <c r="J3242" s="93">
        <v>0</v>
      </c>
      <c r="K3242">
        <v>5</v>
      </c>
      <c r="L3242" s="1" t="s">
        <v>393</v>
      </c>
      <c r="M3242">
        <v>0</v>
      </c>
      <c r="N3242">
        <v>8656</v>
      </c>
      <c r="O3242">
        <v>25.307008</v>
      </c>
      <c r="P3242">
        <v>1</v>
      </c>
      <c r="Q3242" s="1" t="s">
        <v>562</v>
      </c>
      <c r="R3242" s="93">
        <v>0</v>
      </c>
      <c r="S3242">
        <v>46134756.100000001</v>
      </c>
      <c r="T3242">
        <v>0</v>
      </c>
      <c r="U3242" s="1" t="s">
        <v>866</v>
      </c>
      <c r="V3242" s="1"/>
      <c r="W3242">
        <v>219060</v>
      </c>
      <c r="X3242">
        <v>0</v>
      </c>
      <c r="Y3242">
        <v>57891</v>
      </c>
    </row>
    <row r="3243" spans="1:25" ht="15" hidden="1" customHeight="1" x14ac:dyDescent="0.25">
      <c r="A3243" s="1" t="s">
        <v>37</v>
      </c>
      <c r="B3243" s="1" t="s">
        <v>66</v>
      </c>
      <c r="C3243" s="1" t="s">
        <v>200</v>
      </c>
      <c r="D3243">
        <v>5471</v>
      </c>
      <c r="E3243" s="1"/>
      <c r="F3243" s="1" t="s">
        <v>335</v>
      </c>
      <c r="G3243" s="1" t="s">
        <v>200</v>
      </c>
      <c r="H3243" s="1" t="s">
        <v>1396</v>
      </c>
      <c r="I3243">
        <v>2015</v>
      </c>
      <c r="J3243" s="93">
        <v>235594.73</v>
      </c>
      <c r="K3243">
        <v>5</v>
      </c>
      <c r="L3243" s="1" t="s">
        <v>393</v>
      </c>
      <c r="M3243">
        <v>0</v>
      </c>
      <c r="N3243">
        <v>8656</v>
      </c>
      <c r="O3243">
        <v>27.217191</v>
      </c>
      <c r="P3243">
        <v>1</v>
      </c>
      <c r="Q3243" s="1" t="s">
        <v>563</v>
      </c>
      <c r="R3243" s="93">
        <v>267442.71999999997</v>
      </c>
      <c r="S3243">
        <v>1418082.64</v>
      </c>
      <c r="T3243">
        <v>1</v>
      </c>
      <c r="U3243" s="1" t="s">
        <v>866</v>
      </c>
      <c r="V3243" s="1"/>
      <c r="W3243">
        <v>6752.5</v>
      </c>
      <c r="X3243">
        <v>0</v>
      </c>
      <c r="Y3243">
        <v>57897</v>
      </c>
    </row>
    <row r="3244" spans="1:25" ht="15" hidden="1" customHeight="1" x14ac:dyDescent="0.25">
      <c r="A3244" s="1" t="s">
        <v>37</v>
      </c>
      <c r="B3244" s="1" t="s">
        <v>66</v>
      </c>
      <c r="C3244" s="1" t="s">
        <v>200</v>
      </c>
      <c r="D3244">
        <v>5471</v>
      </c>
      <c r="E3244" s="1"/>
      <c r="F3244" s="1" t="s">
        <v>335</v>
      </c>
      <c r="G3244" s="1" t="s">
        <v>200</v>
      </c>
      <c r="H3244" s="1" t="s">
        <v>1405</v>
      </c>
      <c r="I3244">
        <v>2015</v>
      </c>
      <c r="J3244" s="93">
        <v>728030</v>
      </c>
      <c r="K3244">
        <v>5</v>
      </c>
      <c r="L3244" s="1"/>
      <c r="M3244">
        <v>0</v>
      </c>
      <c r="N3244">
        <v>8656</v>
      </c>
      <c r="O3244">
        <v>26.179226</v>
      </c>
      <c r="P3244">
        <v>1</v>
      </c>
      <c r="Q3244" s="1" t="s">
        <v>562</v>
      </c>
      <c r="R3244" s="93">
        <v>855655</v>
      </c>
      <c r="S3244">
        <v>47995504.600000001</v>
      </c>
      <c r="T3244">
        <v>0</v>
      </c>
      <c r="U3244" s="1" t="s">
        <v>867</v>
      </c>
      <c r="V3244" s="1"/>
      <c r="W3244">
        <v>226610</v>
      </c>
      <c r="X3244">
        <v>0</v>
      </c>
      <c r="Y3244">
        <v>90717</v>
      </c>
    </row>
    <row r="3245" spans="1:25" ht="15" hidden="1" customHeight="1" x14ac:dyDescent="0.25">
      <c r="A3245" s="1" t="s">
        <v>37</v>
      </c>
      <c r="B3245" s="1" t="s">
        <v>66</v>
      </c>
      <c r="C3245" s="1" t="s">
        <v>200</v>
      </c>
      <c r="D3245">
        <v>5471</v>
      </c>
      <c r="E3245" s="1"/>
      <c r="F3245" s="1" t="s">
        <v>335</v>
      </c>
      <c r="G3245" s="1" t="s">
        <v>200</v>
      </c>
      <c r="H3245" s="1" t="s">
        <v>1405</v>
      </c>
      <c r="I3245">
        <v>2013</v>
      </c>
      <c r="J3245" s="93">
        <v>425620</v>
      </c>
      <c r="K3245">
        <v>12</v>
      </c>
      <c r="L3245" s="1" t="s">
        <v>393</v>
      </c>
      <c r="M3245">
        <v>0</v>
      </c>
      <c r="N3245">
        <v>8656</v>
      </c>
      <c r="O3245">
        <v>49.169949000000003</v>
      </c>
      <c r="P3245">
        <v>1</v>
      </c>
      <c r="Q3245" s="1" t="s">
        <v>562</v>
      </c>
      <c r="R3245" s="93">
        <v>447792.12</v>
      </c>
      <c r="S3245">
        <v>82841.55</v>
      </c>
      <c r="T3245">
        <v>0</v>
      </c>
      <c r="U3245" s="1" t="s">
        <v>866</v>
      </c>
      <c r="V3245" s="1"/>
      <c r="W3245">
        <v>425620</v>
      </c>
      <c r="X3245">
        <v>0</v>
      </c>
      <c r="Y3245">
        <v>57891</v>
      </c>
    </row>
    <row r="3246" spans="1:25" ht="15" hidden="1" customHeight="1" x14ac:dyDescent="0.25">
      <c r="A3246" s="1" t="s">
        <v>37</v>
      </c>
      <c r="B3246" s="1" t="s">
        <v>66</v>
      </c>
      <c r="C3246" s="1" t="s">
        <v>200</v>
      </c>
      <c r="D3246">
        <v>5471</v>
      </c>
      <c r="E3246" s="1"/>
      <c r="F3246" s="1" t="s">
        <v>335</v>
      </c>
      <c r="G3246" s="1" t="s">
        <v>200</v>
      </c>
      <c r="H3246" s="1" t="s">
        <v>1405</v>
      </c>
      <c r="I3246">
        <v>2013</v>
      </c>
      <c r="J3246" s="93">
        <v>379900</v>
      </c>
      <c r="K3246">
        <v>12</v>
      </c>
      <c r="L3246" s="1"/>
      <c r="M3246">
        <v>0</v>
      </c>
      <c r="N3246">
        <v>8656</v>
      </c>
      <c r="O3246">
        <v>43.888125000000002</v>
      </c>
      <c r="P3246">
        <v>1</v>
      </c>
      <c r="Q3246" s="1" t="s">
        <v>562</v>
      </c>
      <c r="R3246" s="93">
        <v>397826.99</v>
      </c>
      <c r="S3246">
        <v>73597.990000000005</v>
      </c>
      <c r="T3246">
        <v>0</v>
      </c>
      <c r="U3246" s="1" t="s">
        <v>867</v>
      </c>
      <c r="V3246" s="1"/>
      <c r="W3246">
        <v>379900</v>
      </c>
      <c r="X3246">
        <v>0</v>
      </c>
      <c r="Y3246">
        <v>90717</v>
      </c>
    </row>
    <row r="3247" spans="1:25" ht="15" hidden="1" customHeight="1" x14ac:dyDescent="0.25">
      <c r="A3247" s="1" t="s">
        <v>37</v>
      </c>
      <c r="B3247" s="1" t="s">
        <v>66</v>
      </c>
      <c r="C3247" s="1" t="s">
        <v>200</v>
      </c>
      <c r="D3247">
        <v>5471</v>
      </c>
      <c r="E3247" s="1"/>
      <c r="F3247" s="1" t="s">
        <v>335</v>
      </c>
      <c r="G3247" s="1" t="s">
        <v>200</v>
      </c>
      <c r="H3247" s="1" t="s">
        <v>1396</v>
      </c>
      <c r="I3247">
        <v>2013</v>
      </c>
      <c r="J3247" s="93">
        <v>476450.86</v>
      </c>
      <c r="K3247">
        <v>12</v>
      </c>
      <c r="L3247" s="1" t="s">
        <v>393</v>
      </c>
      <c r="M3247">
        <v>0</v>
      </c>
      <c r="N3247">
        <v>8656</v>
      </c>
      <c r="O3247">
        <v>55.042208000000002</v>
      </c>
      <c r="P3247">
        <v>1</v>
      </c>
      <c r="Q3247" s="1" t="s">
        <v>563</v>
      </c>
      <c r="R3247" s="93">
        <v>509547.78</v>
      </c>
      <c r="S3247">
        <v>2701.81</v>
      </c>
      <c r="T3247">
        <v>1</v>
      </c>
      <c r="U3247" s="1" t="s">
        <v>866</v>
      </c>
      <c r="V3247" s="1"/>
      <c r="W3247">
        <v>13655.7996</v>
      </c>
      <c r="X3247">
        <v>0</v>
      </c>
      <c r="Y3247">
        <v>57897</v>
      </c>
    </row>
    <row r="3248" spans="1:25" ht="15" hidden="1" customHeight="1" x14ac:dyDescent="0.25">
      <c r="A3248" s="1" t="s">
        <v>37</v>
      </c>
      <c r="B3248" s="1" t="s">
        <v>66</v>
      </c>
      <c r="C3248" s="1" t="s">
        <v>200</v>
      </c>
      <c r="D3248">
        <v>5471</v>
      </c>
      <c r="E3248" s="1"/>
      <c r="F3248" s="1" t="s">
        <v>335</v>
      </c>
      <c r="G3248" s="1" t="s">
        <v>200</v>
      </c>
      <c r="H3248" s="1" t="s">
        <v>1405</v>
      </c>
      <c r="I3248">
        <v>2012</v>
      </c>
      <c r="J3248" s="93">
        <v>466880.03</v>
      </c>
      <c r="K3248">
        <v>12</v>
      </c>
      <c r="L3248" s="1" t="s">
        <v>393</v>
      </c>
      <c r="M3248">
        <v>0</v>
      </c>
      <c r="N3248">
        <v>8656</v>
      </c>
      <c r="O3248">
        <v>53.936532999999997</v>
      </c>
      <c r="P3248">
        <v>1</v>
      </c>
      <c r="Q3248" s="1" t="s">
        <v>562</v>
      </c>
      <c r="R3248" s="93">
        <v>489871.99</v>
      </c>
      <c r="S3248">
        <v>90626.33</v>
      </c>
      <c r="T3248">
        <v>0</v>
      </c>
      <c r="U3248" s="1" t="s">
        <v>866</v>
      </c>
      <c r="V3248" s="1"/>
      <c r="W3248">
        <v>466880.03</v>
      </c>
      <c r="X3248">
        <v>0</v>
      </c>
      <c r="Y3248">
        <v>57891</v>
      </c>
    </row>
    <row r="3249" spans="1:25" ht="15" hidden="1" customHeight="1" x14ac:dyDescent="0.25">
      <c r="A3249" s="1" t="s">
        <v>37</v>
      </c>
      <c r="B3249" s="1" t="s">
        <v>66</v>
      </c>
      <c r="C3249" s="1" t="s">
        <v>200</v>
      </c>
      <c r="D3249">
        <v>5471</v>
      </c>
      <c r="E3249" s="1"/>
      <c r="F3249" s="1" t="s">
        <v>335</v>
      </c>
      <c r="G3249" s="1" t="s">
        <v>200</v>
      </c>
      <c r="H3249" s="1" t="s">
        <v>1405</v>
      </c>
      <c r="I3249">
        <v>2012</v>
      </c>
      <c r="J3249" s="93">
        <v>411970</v>
      </c>
      <c r="K3249">
        <v>12</v>
      </c>
      <c r="L3249" s="1"/>
      <c r="M3249">
        <v>0</v>
      </c>
      <c r="N3249">
        <v>8656</v>
      </c>
      <c r="O3249">
        <v>47.593026000000002</v>
      </c>
      <c r="P3249">
        <v>1</v>
      </c>
      <c r="Q3249" s="1" t="s">
        <v>562</v>
      </c>
      <c r="R3249" s="93">
        <v>435398.58</v>
      </c>
      <c r="S3249">
        <v>80548.72</v>
      </c>
      <c r="T3249">
        <v>0</v>
      </c>
      <c r="U3249" s="1" t="s">
        <v>867</v>
      </c>
      <c r="V3249" s="1"/>
      <c r="W3249">
        <v>411970</v>
      </c>
      <c r="X3249">
        <v>0</v>
      </c>
      <c r="Y3249">
        <v>90717</v>
      </c>
    </row>
    <row r="3250" spans="1:25" ht="15" hidden="1" customHeight="1" x14ac:dyDescent="0.25">
      <c r="A3250" s="1" t="s">
        <v>37</v>
      </c>
      <c r="B3250" s="1" t="s">
        <v>66</v>
      </c>
      <c r="C3250" s="1" t="s">
        <v>200</v>
      </c>
      <c r="D3250">
        <v>5471</v>
      </c>
      <c r="E3250" s="1"/>
      <c r="F3250" s="1" t="s">
        <v>335</v>
      </c>
      <c r="G3250" s="1" t="s">
        <v>200</v>
      </c>
      <c r="H3250" s="1" t="s">
        <v>1396</v>
      </c>
      <c r="I3250">
        <v>2012</v>
      </c>
      <c r="J3250" s="93">
        <v>474343.49</v>
      </c>
      <c r="K3250">
        <v>12</v>
      </c>
      <c r="L3250" s="1" t="s">
        <v>393</v>
      </c>
      <c r="M3250">
        <v>0</v>
      </c>
      <c r="N3250">
        <v>8656</v>
      </c>
      <c r="O3250">
        <v>54.798752999999998</v>
      </c>
      <c r="P3250">
        <v>1</v>
      </c>
      <c r="Q3250" s="1" t="s">
        <v>563</v>
      </c>
      <c r="R3250" s="93">
        <v>496722.33</v>
      </c>
      <c r="S3250">
        <v>2633.81</v>
      </c>
      <c r="T3250">
        <v>1</v>
      </c>
      <c r="U3250" s="1" t="s">
        <v>866</v>
      </c>
      <c r="V3250" s="1"/>
      <c r="W3250">
        <v>13595.3997</v>
      </c>
      <c r="X3250">
        <v>0</v>
      </c>
      <c r="Y3250">
        <v>57897</v>
      </c>
    </row>
    <row r="3251" spans="1:25" ht="15" hidden="1" customHeight="1" x14ac:dyDescent="0.25">
      <c r="A3251" s="1" t="s">
        <v>37</v>
      </c>
      <c r="B3251" s="1" t="s">
        <v>66</v>
      </c>
      <c r="C3251" s="1" t="s">
        <v>200</v>
      </c>
      <c r="D3251">
        <v>5471</v>
      </c>
      <c r="E3251" s="1"/>
      <c r="F3251" s="1" t="s">
        <v>335</v>
      </c>
      <c r="G3251" s="1" t="s">
        <v>200</v>
      </c>
      <c r="H3251" s="1" t="s">
        <v>1405</v>
      </c>
      <c r="I3251">
        <v>2011</v>
      </c>
      <c r="J3251" s="93">
        <v>103630</v>
      </c>
      <c r="K3251">
        <v>2</v>
      </c>
      <c r="L3251" s="1"/>
      <c r="M3251">
        <v>0</v>
      </c>
      <c r="N3251">
        <v>8656</v>
      </c>
      <c r="O3251">
        <v>11.971904</v>
      </c>
      <c r="P3251">
        <v>1</v>
      </c>
      <c r="Q3251" s="1" t="s">
        <v>562</v>
      </c>
      <c r="R3251" s="93">
        <v>121291.3</v>
      </c>
      <c r="S3251">
        <v>22438.89</v>
      </c>
      <c r="T3251">
        <v>0</v>
      </c>
      <c r="U3251" s="1" t="s">
        <v>867</v>
      </c>
      <c r="V3251" s="1"/>
      <c r="W3251">
        <v>103630</v>
      </c>
      <c r="X3251">
        <v>0</v>
      </c>
      <c r="Y3251">
        <v>90717</v>
      </c>
    </row>
    <row r="3252" spans="1:25" ht="15" hidden="1" customHeight="1" x14ac:dyDescent="0.25">
      <c r="A3252" s="1" t="s">
        <v>37</v>
      </c>
      <c r="B3252" s="1" t="s">
        <v>66</v>
      </c>
      <c r="C3252" s="1" t="s">
        <v>200</v>
      </c>
      <c r="D3252">
        <v>5471</v>
      </c>
      <c r="E3252" s="1"/>
      <c r="F3252" s="1" t="s">
        <v>335</v>
      </c>
      <c r="G3252" s="1" t="s">
        <v>200</v>
      </c>
      <c r="H3252" s="1" t="s">
        <v>1405</v>
      </c>
      <c r="I3252">
        <v>2011</v>
      </c>
      <c r="J3252" s="93">
        <v>939210</v>
      </c>
      <c r="K3252">
        <v>12</v>
      </c>
      <c r="L3252" s="1" t="s">
        <v>393</v>
      </c>
      <c r="M3252">
        <v>0</v>
      </c>
      <c r="N3252">
        <v>8656</v>
      </c>
      <c r="O3252">
        <v>108.502674</v>
      </c>
      <c r="P3252">
        <v>1</v>
      </c>
      <c r="Q3252" s="1" t="s">
        <v>562</v>
      </c>
      <c r="R3252" s="93">
        <v>1009439.82</v>
      </c>
      <c r="S3252">
        <v>186746.35</v>
      </c>
      <c r="T3252">
        <v>0</v>
      </c>
      <c r="U3252" s="1" t="s">
        <v>866</v>
      </c>
      <c r="V3252" s="1"/>
      <c r="W3252">
        <v>939209.99699999997</v>
      </c>
      <c r="X3252">
        <v>0</v>
      </c>
      <c r="Y3252">
        <v>57891</v>
      </c>
    </row>
    <row r="3253" spans="1:25" ht="15" hidden="1" customHeight="1" x14ac:dyDescent="0.25">
      <c r="A3253" s="1" t="s">
        <v>37</v>
      </c>
      <c r="B3253" s="1" t="s">
        <v>66</v>
      </c>
      <c r="C3253" s="1" t="s">
        <v>200</v>
      </c>
      <c r="D3253">
        <v>5471</v>
      </c>
      <c r="E3253" s="1"/>
      <c r="F3253" s="1" t="s">
        <v>335</v>
      </c>
      <c r="G3253" s="1" t="s">
        <v>200</v>
      </c>
      <c r="H3253" s="1" t="s">
        <v>1396</v>
      </c>
      <c r="I3253">
        <v>2011</v>
      </c>
      <c r="J3253" s="93">
        <v>990478.25</v>
      </c>
      <c r="K3253">
        <v>12</v>
      </c>
      <c r="L3253" s="1" t="s">
        <v>393</v>
      </c>
      <c r="M3253">
        <v>0</v>
      </c>
      <c r="N3253">
        <v>8656</v>
      </c>
      <c r="O3253">
        <v>114.425462</v>
      </c>
      <c r="P3253">
        <v>1</v>
      </c>
      <c r="Q3253" s="1" t="s">
        <v>563</v>
      </c>
      <c r="R3253" s="93">
        <v>1061880.25</v>
      </c>
      <c r="S3253">
        <v>5630.5</v>
      </c>
      <c r="T3253">
        <v>1</v>
      </c>
      <c r="U3253" s="1" t="s">
        <v>866</v>
      </c>
      <c r="V3253" s="1"/>
      <c r="W3253">
        <v>28388.599890000001</v>
      </c>
      <c r="X3253">
        <v>0</v>
      </c>
      <c r="Y3253">
        <v>57897</v>
      </c>
    </row>
    <row r="3254" spans="1:25" ht="15" hidden="1" customHeight="1" x14ac:dyDescent="0.25">
      <c r="A3254" s="1" t="s">
        <v>37</v>
      </c>
      <c r="B3254" s="1" t="s">
        <v>66</v>
      </c>
      <c r="C3254" s="1" t="s">
        <v>200</v>
      </c>
      <c r="D3254">
        <v>5471</v>
      </c>
      <c r="E3254" s="1"/>
      <c r="F3254" s="1" t="s">
        <v>335</v>
      </c>
      <c r="G3254" s="1" t="s">
        <v>200</v>
      </c>
      <c r="H3254" s="1" t="s">
        <v>1405</v>
      </c>
      <c r="I3254">
        <v>2010</v>
      </c>
      <c r="J3254" s="93">
        <v>1414070</v>
      </c>
      <c r="K3254">
        <v>12</v>
      </c>
      <c r="L3254" s="1" t="s">
        <v>393</v>
      </c>
      <c r="M3254">
        <v>0</v>
      </c>
      <c r="N3254">
        <v>8656</v>
      </c>
      <c r="O3254">
        <v>163.361097</v>
      </c>
      <c r="P3254">
        <v>1</v>
      </c>
      <c r="Q3254" s="1" t="s">
        <v>562</v>
      </c>
      <c r="R3254" s="93">
        <v>1280697.02</v>
      </c>
      <c r="S3254">
        <v>236928.94</v>
      </c>
      <c r="T3254">
        <v>0</v>
      </c>
      <c r="U3254" s="1" t="s">
        <v>866</v>
      </c>
      <c r="V3254" s="1"/>
      <c r="W3254">
        <v>1414070</v>
      </c>
      <c r="X3254">
        <v>0</v>
      </c>
      <c r="Y3254">
        <v>57891</v>
      </c>
    </row>
    <row r="3255" spans="1:25" ht="15" hidden="1" customHeight="1" x14ac:dyDescent="0.25">
      <c r="A3255" s="1" t="s">
        <v>37</v>
      </c>
      <c r="B3255" s="1" t="s">
        <v>66</v>
      </c>
      <c r="C3255" s="1" t="s">
        <v>200</v>
      </c>
      <c r="D3255">
        <v>5471</v>
      </c>
      <c r="E3255" s="1"/>
      <c r="F3255" s="1" t="s">
        <v>335</v>
      </c>
      <c r="G3255" s="1" t="s">
        <v>200</v>
      </c>
      <c r="H3255" s="1" t="s">
        <v>1396</v>
      </c>
      <c r="I3255">
        <v>2010</v>
      </c>
      <c r="J3255" s="93">
        <v>1657365.71</v>
      </c>
      <c r="K3255">
        <v>12</v>
      </c>
      <c r="L3255" s="1" t="s">
        <v>393</v>
      </c>
      <c r="M3255">
        <v>0</v>
      </c>
      <c r="N3255">
        <v>8656</v>
      </c>
      <c r="O3255">
        <v>191.46794800000001</v>
      </c>
      <c r="P3255">
        <v>1</v>
      </c>
      <c r="Q3255" s="1" t="s">
        <v>563</v>
      </c>
      <c r="R3255" s="93">
        <v>1525725</v>
      </c>
      <c r="S3255">
        <v>8089.98</v>
      </c>
      <c r="T3255">
        <v>1</v>
      </c>
      <c r="U3255" s="1" t="s">
        <v>866</v>
      </c>
      <c r="V3255" s="1"/>
      <c r="W3255">
        <v>47502.6</v>
      </c>
      <c r="X3255">
        <v>0</v>
      </c>
      <c r="Y3255">
        <v>57897</v>
      </c>
    </row>
    <row r="3256" spans="1:25" ht="15" hidden="1" customHeight="1" x14ac:dyDescent="0.25">
      <c r="A3256" s="1" t="s">
        <v>37</v>
      </c>
      <c r="B3256" s="1" t="s">
        <v>66</v>
      </c>
      <c r="C3256" s="1" t="s">
        <v>200</v>
      </c>
      <c r="D3256">
        <v>5471</v>
      </c>
      <c r="E3256" s="1"/>
      <c r="F3256" s="1" t="s">
        <v>335</v>
      </c>
      <c r="G3256" s="1" t="s">
        <v>200</v>
      </c>
      <c r="H3256" s="1" t="s">
        <v>1396</v>
      </c>
      <c r="I3256">
        <v>2009</v>
      </c>
      <c r="J3256" s="93">
        <v>1054490.93</v>
      </c>
      <c r="K3256">
        <v>12</v>
      </c>
      <c r="L3256" s="1" t="s">
        <v>393</v>
      </c>
      <c r="M3256">
        <v>0</v>
      </c>
      <c r="N3256">
        <v>8656</v>
      </c>
      <c r="O3256">
        <v>121.82055699999999</v>
      </c>
      <c r="P3256">
        <v>1</v>
      </c>
      <c r="Q3256" s="1" t="s">
        <v>563</v>
      </c>
      <c r="R3256" s="93">
        <v>1118423.52</v>
      </c>
      <c r="S3256">
        <v>5930.3</v>
      </c>
      <c r="T3256">
        <v>1</v>
      </c>
      <c r="U3256" s="1" t="s">
        <v>866</v>
      </c>
      <c r="V3256" s="1"/>
      <c r="W3256">
        <v>30223.3</v>
      </c>
      <c r="X3256">
        <v>0</v>
      </c>
      <c r="Y3256">
        <v>57897</v>
      </c>
    </row>
    <row r="3257" spans="1:25" ht="15" hidden="1" customHeight="1" x14ac:dyDescent="0.25">
      <c r="A3257" s="1" t="s">
        <v>37</v>
      </c>
      <c r="B3257" s="1" t="s">
        <v>66</v>
      </c>
      <c r="C3257" s="1" t="s">
        <v>200</v>
      </c>
      <c r="D3257">
        <v>5471</v>
      </c>
      <c r="E3257" s="1"/>
      <c r="F3257" s="1" t="s">
        <v>335</v>
      </c>
      <c r="G3257" s="1" t="s">
        <v>200</v>
      </c>
      <c r="H3257" s="1" t="s">
        <v>1405</v>
      </c>
      <c r="I3257">
        <v>2009</v>
      </c>
      <c r="J3257" s="93">
        <v>1111680</v>
      </c>
      <c r="K3257">
        <v>12</v>
      </c>
      <c r="L3257" s="1" t="s">
        <v>393</v>
      </c>
      <c r="M3257">
        <v>0</v>
      </c>
      <c r="N3257">
        <v>8656</v>
      </c>
      <c r="O3257">
        <v>128.42735099999999</v>
      </c>
      <c r="P3257">
        <v>1</v>
      </c>
      <c r="Q3257" s="1" t="s">
        <v>562</v>
      </c>
      <c r="R3257" s="93">
        <v>1182450.57</v>
      </c>
      <c r="S3257">
        <v>218753.36</v>
      </c>
      <c r="T3257">
        <v>0</v>
      </c>
      <c r="U3257" s="1" t="s">
        <v>866</v>
      </c>
      <c r="V3257" s="1"/>
      <c r="W3257">
        <v>1111680</v>
      </c>
      <c r="X3257">
        <v>0</v>
      </c>
      <c r="Y3257">
        <v>57891</v>
      </c>
    </row>
    <row r="3258" spans="1:25" ht="15" hidden="1" customHeight="1" x14ac:dyDescent="0.25">
      <c r="A3258" s="1" t="s">
        <v>37</v>
      </c>
      <c r="B3258" s="1" t="s">
        <v>66</v>
      </c>
      <c r="C3258" s="1" t="s">
        <v>200</v>
      </c>
      <c r="D3258">
        <v>5471</v>
      </c>
      <c r="E3258" s="1"/>
      <c r="F3258" s="1" t="s">
        <v>335</v>
      </c>
      <c r="G3258" s="1" t="s">
        <v>200</v>
      </c>
      <c r="H3258" s="1" t="s">
        <v>1405</v>
      </c>
      <c r="I3258">
        <v>2008</v>
      </c>
      <c r="J3258" s="93">
        <v>1094870</v>
      </c>
      <c r="K3258">
        <v>12</v>
      </c>
      <c r="L3258" s="1" t="s">
        <v>393</v>
      </c>
      <c r="M3258">
        <v>0</v>
      </c>
      <c r="N3258">
        <v>8656</v>
      </c>
      <c r="O3258">
        <v>126.48536799999999</v>
      </c>
      <c r="P3258">
        <v>1</v>
      </c>
      <c r="Q3258" s="1" t="s">
        <v>562</v>
      </c>
      <c r="R3258" s="93">
        <v>1276347.55</v>
      </c>
      <c r="S3258">
        <v>236124.3</v>
      </c>
      <c r="T3258">
        <v>0</v>
      </c>
      <c r="U3258" s="1" t="s">
        <v>866</v>
      </c>
      <c r="V3258" s="1"/>
      <c r="W3258">
        <v>1094870</v>
      </c>
      <c r="X3258">
        <v>0</v>
      </c>
      <c r="Y3258">
        <v>57891</v>
      </c>
    </row>
    <row r="3259" spans="1:25" ht="15" hidden="1" customHeight="1" x14ac:dyDescent="0.25">
      <c r="A3259" s="1" t="s">
        <v>37</v>
      </c>
      <c r="B3259" s="1" t="s">
        <v>66</v>
      </c>
      <c r="C3259" s="1" t="s">
        <v>200</v>
      </c>
      <c r="D3259">
        <v>5471</v>
      </c>
      <c r="E3259" s="1"/>
      <c r="F3259" s="1" t="s">
        <v>335</v>
      </c>
      <c r="G3259" s="1" t="s">
        <v>200</v>
      </c>
      <c r="H3259" s="1" t="s">
        <v>1396</v>
      </c>
      <c r="I3259">
        <v>2008</v>
      </c>
      <c r="J3259" s="93">
        <v>1033675.56</v>
      </c>
      <c r="K3259">
        <v>12</v>
      </c>
      <c r="L3259" s="1" t="s">
        <v>393</v>
      </c>
      <c r="M3259">
        <v>0</v>
      </c>
      <c r="N3259">
        <v>8656</v>
      </c>
      <c r="O3259">
        <v>119.415852</v>
      </c>
      <c r="P3259">
        <v>1</v>
      </c>
      <c r="Q3259" s="1" t="s">
        <v>563</v>
      </c>
      <c r="R3259" s="93">
        <v>1241307.19</v>
      </c>
      <c r="S3259">
        <v>6581.88</v>
      </c>
      <c r="T3259">
        <v>1</v>
      </c>
      <c r="U3259" s="1" t="s">
        <v>866</v>
      </c>
      <c r="V3259" s="1"/>
      <c r="W3259">
        <v>29626.7</v>
      </c>
      <c r="X3259">
        <v>0</v>
      </c>
      <c r="Y3259">
        <v>57897</v>
      </c>
    </row>
    <row r="3260" spans="1:25" ht="15" hidden="1" customHeight="1" x14ac:dyDescent="0.25">
      <c r="A3260" s="1" t="s">
        <v>37</v>
      </c>
      <c r="B3260" s="1"/>
      <c r="C3260" s="1" t="s">
        <v>201</v>
      </c>
      <c r="D3260">
        <v>9223</v>
      </c>
      <c r="E3260" s="1"/>
      <c r="F3260" s="1" t="s">
        <v>336</v>
      </c>
      <c r="G3260" s="1" t="s">
        <v>336</v>
      </c>
      <c r="H3260" s="1" t="s">
        <v>1405</v>
      </c>
      <c r="I3260">
        <v>2015</v>
      </c>
      <c r="J3260" s="93">
        <v>0</v>
      </c>
      <c r="K3260">
        <v>10</v>
      </c>
      <c r="L3260" s="1" t="s">
        <v>448</v>
      </c>
      <c r="M3260">
        <v>0</v>
      </c>
      <c r="N3260">
        <v>7936</v>
      </c>
      <c r="O3260">
        <v>0.607124</v>
      </c>
      <c r="P3260">
        <v>1</v>
      </c>
      <c r="Q3260" s="1" t="s">
        <v>564</v>
      </c>
      <c r="R3260" s="93">
        <v>0</v>
      </c>
      <c r="S3260">
        <v>1152.93</v>
      </c>
      <c r="T3260">
        <v>0</v>
      </c>
      <c r="U3260" s="1" t="s">
        <v>810</v>
      </c>
      <c r="V3260" s="1" t="s">
        <v>1224</v>
      </c>
      <c r="W3260">
        <v>446.13</v>
      </c>
      <c r="X3260">
        <v>0</v>
      </c>
      <c r="Y3260">
        <v>77843</v>
      </c>
    </row>
    <row r="3261" spans="1:25" ht="15" hidden="1" customHeight="1" x14ac:dyDescent="0.25">
      <c r="A3261" s="1" t="s">
        <v>37</v>
      </c>
      <c r="B3261" s="1"/>
      <c r="C3261" s="1" t="s">
        <v>201</v>
      </c>
      <c r="D3261">
        <v>9223</v>
      </c>
      <c r="E3261" s="1"/>
      <c r="F3261" s="1" t="s">
        <v>336</v>
      </c>
      <c r="G3261" s="1" t="s">
        <v>336</v>
      </c>
      <c r="H3261" s="1" t="s">
        <v>1405</v>
      </c>
      <c r="I3261">
        <v>2015</v>
      </c>
      <c r="J3261" s="93">
        <v>752979</v>
      </c>
      <c r="K3261">
        <v>10</v>
      </c>
      <c r="L3261" s="1"/>
      <c r="M3261">
        <v>0</v>
      </c>
      <c r="N3261">
        <v>7936</v>
      </c>
      <c r="O3261">
        <v>56.215268999999999</v>
      </c>
      <c r="P3261">
        <v>1</v>
      </c>
      <c r="Q3261" s="1" t="s">
        <v>565</v>
      </c>
      <c r="R3261" s="93">
        <v>875522</v>
      </c>
      <c r="S3261">
        <v>32516.29</v>
      </c>
      <c r="T3261">
        <v>0</v>
      </c>
      <c r="U3261" s="1" t="s">
        <v>868</v>
      </c>
      <c r="V3261" s="1"/>
      <c r="W3261">
        <v>446.13</v>
      </c>
      <c r="X3261">
        <v>0</v>
      </c>
      <c r="Y3261">
        <v>92758</v>
      </c>
    </row>
    <row r="3262" spans="1:25" ht="15" hidden="1" customHeight="1" x14ac:dyDescent="0.25">
      <c r="A3262" s="1" t="s">
        <v>37</v>
      </c>
      <c r="B3262" s="1"/>
      <c r="C3262" s="1" t="s">
        <v>201</v>
      </c>
      <c r="D3262">
        <v>9223</v>
      </c>
      <c r="E3262" s="1"/>
      <c r="F3262" s="1" t="s">
        <v>336</v>
      </c>
      <c r="G3262" s="1" t="s">
        <v>336</v>
      </c>
      <c r="H3262" s="1" t="s">
        <v>1405</v>
      </c>
      <c r="I3262">
        <v>2013</v>
      </c>
      <c r="J3262" s="93">
        <v>817700</v>
      </c>
      <c r="K3262">
        <v>24</v>
      </c>
      <c r="L3262" s="1"/>
      <c r="M3262">
        <v>0</v>
      </c>
      <c r="N3262">
        <v>7936</v>
      </c>
      <c r="O3262">
        <v>103.03549599999999</v>
      </c>
      <c r="P3262">
        <v>1</v>
      </c>
      <c r="Q3262" s="1" t="s">
        <v>565</v>
      </c>
      <c r="R3262" s="93">
        <v>856611.57</v>
      </c>
      <c r="S3262">
        <v>54823.13</v>
      </c>
      <c r="T3262">
        <v>0</v>
      </c>
      <c r="U3262" s="1" t="s">
        <v>868</v>
      </c>
      <c r="V3262" s="1"/>
      <c r="W3262">
        <v>817.7</v>
      </c>
      <c r="X3262">
        <v>0</v>
      </c>
      <c r="Y3262">
        <v>92758</v>
      </c>
    </row>
    <row r="3263" spans="1:25" ht="15" hidden="1" customHeight="1" x14ac:dyDescent="0.25">
      <c r="A3263" s="1" t="s">
        <v>37</v>
      </c>
      <c r="B3263" s="1"/>
      <c r="C3263" s="1" t="s">
        <v>201</v>
      </c>
      <c r="D3263">
        <v>9223</v>
      </c>
      <c r="E3263" s="1"/>
      <c r="F3263" s="1" t="s">
        <v>336</v>
      </c>
      <c r="G3263" s="1" t="s">
        <v>336</v>
      </c>
      <c r="H3263" s="1" t="s">
        <v>1405</v>
      </c>
      <c r="I3263">
        <v>2013</v>
      </c>
      <c r="J3263" s="93">
        <v>8831.16</v>
      </c>
      <c r="K3263">
        <v>24</v>
      </c>
      <c r="L3263" s="1" t="s">
        <v>448</v>
      </c>
      <c r="M3263">
        <v>0</v>
      </c>
      <c r="N3263">
        <v>7936</v>
      </c>
      <c r="O3263">
        <v>1.1127830000000001</v>
      </c>
      <c r="P3263">
        <v>1</v>
      </c>
      <c r="Q3263" s="1" t="s">
        <v>564</v>
      </c>
      <c r="R3263" s="93">
        <v>9186.34</v>
      </c>
      <c r="S3263">
        <v>1942.75</v>
      </c>
      <c r="T3263">
        <v>0</v>
      </c>
      <c r="U3263" s="1" t="s">
        <v>810</v>
      </c>
      <c r="V3263" s="1" t="s">
        <v>1224</v>
      </c>
      <c r="W3263">
        <v>817.7</v>
      </c>
      <c r="X3263">
        <v>0</v>
      </c>
      <c r="Y3263">
        <v>77843</v>
      </c>
    </row>
    <row r="3264" spans="1:25" ht="15" hidden="1" customHeight="1" x14ac:dyDescent="0.25">
      <c r="A3264" s="1" t="s">
        <v>37</v>
      </c>
      <c r="B3264" s="1"/>
      <c r="C3264" s="1" t="s">
        <v>201</v>
      </c>
      <c r="D3264">
        <v>9223</v>
      </c>
      <c r="E3264" s="1"/>
      <c r="F3264" s="1" t="s">
        <v>336</v>
      </c>
      <c r="G3264" s="1" t="s">
        <v>336</v>
      </c>
      <c r="H3264" s="1" t="s">
        <v>1405</v>
      </c>
      <c r="I3264">
        <v>2012</v>
      </c>
      <c r="J3264" s="93">
        <v>308490</v>
      </c>
      <c r="K3264">
        <v>8</v>
      </c>
      <c r="L3264" s="1"/>
      <c r="M3264">
        <v>0</v>
      </c>
      <c r="N3264">
        <v>7936</v>
      </c>
      <c r="O3264">
        <v>38.871738000000001</v>
      </c>
      <c r="P3264">
        <v>1</v>
      </c>
      <c r="Q3264" s="1" t="s">
        <v>565</v>
      </c>
      <c r="R3264" s="93">
        <v>300877.90000000002</v>
      </c>
      <c r="S3264">
        <v>19256.189999999999</v>
      </c>
      <c r="T3264">
        <v>0</v>
      </c>
      <c r="U3264" s="1" t="s">
        <v>868</v>
      </c>
      <c r="V3264" s="1"/>
      <c r="W3264">
        <v>308.49</v>
      </c>
      <c r="X3264">
        <v>0</v>
      </c>
      <c r="Y3264">
        <v>92758</v>
      </c>
    </row>
    <row r="3265" spans="1:25" ht="15" hidden="1" customHeight="1" x14ac:dyDescent="0.25">
      <c r="A3265" s="1" t="s">
        <v>37</v>
      </c>
      <c r="B3265" s="1"/>
      <c r="C3265" s="1" t="s">
        <v>201</v>
      </c>
      <c r="D3265">
        <v>9223</v>
      </c>
      <c r="E3265" s="1"/>
      <c r="F3265" s="1" t="s">
        <v>336</v>
      </c>
      <c r="G3265" s="1" t="s">
        <v>336</v>
      </c>
      <c r="H3265" s="1" t="s">
        <v>1405</v>
      </c>
      <c r="I3265">
        <v>2012</v>
      </c>
      <c r="J3265" s="93">
        <v>259000</v>
      </c>
      <c r="K3265">
        <v>8</v>
      </c>
      <c r="L3265" s="1" t="s">
        <v>498</v>
      </c>
      <c r="M3265">
        <v>0</v>
      </c>
      <c r="N3265">
        <v>7936</v>
      </c>
      <c r="O3265">
        <v>32.635677000000001</v>
      </c>
      <c r="P3265">
        <v>1</v>
      </c>
      <c r="Q3265" s="1" t="s">
        <v>565</v>
      </c>
      <c r="R3265" s="93">
        <v>321940.77</v>
      </c>
      <c r="S3265">
        <v>20604.22</v>
      </c>
      <c r="T3265">
        <v>0</v>
      </c>
      <c r="U3265" s="1" t="s">
        <v>869</v>
      </c>
      <c r="V3265" s="1"/>
      <c r="W3265">
        <v>259</v>
      </c>
      <c r="X3265">
        <v>0</v>
      </c>
      <c r="Y3265">
        <v>92946</v>
      </c>
    </row>
    <row r="3266" spans="1:25" ht="15" hidden="1" customHeight="1" x14ac:dyDescent="0.25">
      <c r="A3266" s="1" t="s">
        <v>37</v>
      </c>
      <c r="B3266" s="1"/>
      <c r="C3266" s="1" t="s">
        <v>201</v>
      </c>
      <c r="D3266">
        <v>9223</v>
      </c>
      <c r="E3266" s="1"/>
      <c r="F3266" s="1" t="s">
        <v>336</v>
      </c>
      <c r="G3266" s="1" t="s">
        <v>336</v>
      </c>
      <c r="H3266" s="1" t="s">
        <v>1405</v>
      </c>
      <c r="I3266">
        <v>2012</v>
      </c>
      <c r="J3266" s="93">
        <v>302656.93</v>
      </c>
      <c r="K3266">
        <v>24</v>
      </c>
      <c r="L3266" s="1" t="s">
        <v>448</v>
      </c>
      <c r="M3266">
        <v>0</v>
      </c>
      <c r="N3266">
        <v>7936</v>
      </c>
      <c r="O3266">
        <v>38.136733</v>
      </c>
      <c r="P3266">
        <v>1</v>
      </c>
      <c r="Q3266" s="1" t="s">
        <v>564</v>
      </c>
      <c r="R3266" s="93">
        <v>324895.94</v>
      </c>
      <c r="S3266">
        <v>68709.48</v>
      </c>
      <c r="T3266">
        <v>0</v>
      </c>
      <c r="U3266" s="1" t="s">
        <v>810</v>
      </c>
      <c r="V3266" s="1" t="s">
        <v>1224</v>
      </c>
      <c r="W3266">
        <v>28023.79</v>
      </c>
      <c r="X3266">
        <v>0</v>
      </c>
      <c r="Y3266">
        <v>77843</v>
      </c>
    </row>
    <row r="3267" spans="1:25" ht="15" hidden="1" customHeight="1" x14ac:dyDescent="0.25">
      <c r="A3267" s="1" t="s">
        <v>37</v>
      </c>
      <c r="B3267" s="1"/>
      <c r="C3267" s="1" t="s">
        <v>201</v>
      </c>
      <c r="D3267">
        <v>9223</v>
      </c>
      <c r="E3267" s="1"/>
      <c r="F3267" s="1" t="s">
        <v>336</v>
      </c>
      <c r="G3267" s="1" t="s">
        <v>336</v>
      </c>
      <c r="H3267" s="1" t="s">
        <v>1405</v>
      </c>
      <c r="I3267">
        <v>2011</v>
      </c>
      <c r="J3267" s="93">
        <v>843653.88</v>
      </c>
      <c r="K3267">
        <v>24</v>
      </c>
      <c r="L3267" s="1" t="s">
        <v>448</v>
      </c>
      <c r="M3267">
        <v>0</v>
      </c>
      <c r="N3267">
        <v>7936</v>
      </c>
      <c r="O3267">
        <v>106.305853</v>
      </c>
      <c r="P3267">
        <v>1</v>
      </c>
      <c r="Q3267" s="1" t="s">
        <v>564</v>
      </c>
      <c r="R3267" s="93">
        <v>917487.27</v>
      </c>
      <c r="S3267">
        <v>194031.56</v>
      </c>
      <c r="T3267">
        <v>0</v>
      </c>
      <c r="U3267" s="1" t="s">
        <v>810</v>
      </c>
      <c r="V3267" s="1" t="s">
        <v>1224</v>
      </c>
      <c r="W3267">
        <v>78116.100000000006</v>
      </c>
      <c r="X3267">
        <v>0</v>
      </c>
      <c r="Y3267">
        <v>77843</v>
      </c>
    </row>
    <row r="3268" spans="1:25" ht="15" hidden="1" customHeight="1" x14ac:dyDescent="0.25">
      <c r="A3268" s="1" t="s">
        <v>37</v>
      </c>
      <c r="B3268" s="1"/>
      <c r="C3268" s="1" t="s">
        <v>201</v>
      </c>
      <c r="D3268">
        <v>9223</v>
      </c>
      <c r="E3268" s="1"/>
      <c r="F3268" s="1" t="s">
        <v>336</v>
      </c>
      <c r="G3268" s="1" t="s">
        <v>336</v>
      </c>
      <c r="H3268" s="1" t="s">
        <v>1405</v>
      </c>
      <c r="I3268">
        <v>2010</v>
      </c>
      <c r="J3268" s="93">
        <v>1011639.31</v>
      </c>
      <c r="K3268">
        <v>6</v>
      </c>
      <c r="L3268" s="1" t="s">
        <v>448</v>
      </c>
      <c r="M3268">
        <v>0</v>
      </c>
      <c r="N3268">
        <v>7936</v>
      </c>
      <c r="O3268">
        <v>127.473105</v>
      </c>
      <c r="P3268">
        <v>1</v>
      </c>
      <c r="Q3268" s="1" t="s">
        <v>564</v>
      </c>
      <c r="R3268" s="93">
        <v>1265462.6599999999</v>
      </c>
      <c r="S3268">
        <v>267621.90000000002</v>
      </c>
      <c r="T3268">
        <v>0</v>
      </c>
      <c r="U3268" s="1" t="s">
        <v>810</v>
      </c>
      <c r="V3268" s="1" t="s">
        <v>1224</v>
      </c>
      <c r="W3268">
        <v>93670.304239999998</v>
      </c>
      <c r="X3268">
        <v>0</v>
      </c>
      <c r="Y3268">
        <v>77843</v>
      </c>
    </row>
    <row r="3269" spans="1:25" ht="15" hidden="1" customHeight="1" x14ac:dyDescent="0.25">
      <c r="A3269" s="1" t="s">
        <v>37</v>
      </c>
      <c r="B3269" s="1"/>
      <c r="C3269" s="1" t="s">
        <v>201</v>
      </c>
      <c r="D3269">
        <v>9223</v>
      </c>
      <c r="E3269" s="1"/>
      <c r="F3269" s="1" t="s">
        <v>336</v>
      </c>
      <c r="G3269" s="1" t="s">
        <v>336</v>
      </c>
      <c r="H3269" s="1" t="s">
        <v>1405</v>
      </c>
      <c r="I3269">
        <v>2009</v>
      </c>
      <c r="J3269" s="93">
        <v>968765.23</v>
      </c>
      <c r="K3269">
        <v>5</v>
      </c>
      <c r="L3269" s="1" t="s">
        <v>448</v>
      </c>
      <c r="M3269">
        <v>0</v>
      </c>
      <c r="N3269">
        <v>7936</v>
      </c>
      <c r="O3269">
        <v>122.07069300000001</v>
      </c>
      <c r="P3269">
        <v>1</v>
      </c>
      <c r="Q3269" s="1" t="s">
        <v>564</v>
      </c>
      <c r="R3269" s="93">
        <v>1304232.3899999999</v>
      </c>
      <c r="S3269">
        <v>275821</v>
      </c>
      <c r="T3269">
        <v>0</v>
      </c>
      <c r="U3269" s="1" t="s">
        <v>810</v>
      </c>
      <c r="V3269" s="1" t="s">
        <v>1224</v>
      </c>
      <c r="W3269">
        <v>89700.482740000007</v>
      </c>
      <c r="X3269">
        <v>0</v>
      </c>
      <c r="Y3269">
        <v>77843</v>
      </c>
    </row>
    <row r="3270" spans="1:25" ht="15" hidden="1" customHeight="1" x14ac:dyDescent="0.25">
      <c r="A3270" s="1" t="s">
        <v>37</v>
      </c>
      <c r="B3270" s="1"/>
      <c r="C3270" s="1" t="s">
        <v>201</v>
      </c>
      <c r="D3270">
        <v>9223</v>
      </c>
      <c r="E3270" s="1"/>
      <c r="F3270" s="1" t="s">
        <v>336</v>
      </c>
      <c r="G3270" s="1" t="s">
        <v>336</v>
      </c>
      <c r="H3270" s="1" t="s">
        <v>1405</v>
      </c>
      <c r="I3270">
        <v>2008</v>
      </c>
      <c r="J3270" s="93">
        <v>906743.93</v>
      </c>
      <c r="K3270">
        <v>1</v>
      </c>
      <c r="L3270" s="1" t="s">
        <v>448</v>
      </c>
      <c r="M3270">
        <v>0</v>
      </c>
      <c r="N3270">
        <v>7936</v>
      </c>
      <c r="O3270">
        <v>114.255607</v>
      </c>
      <c r="P3270">
        <v>1</v>
      </c>
      <c r="Q3270" s="1" t="s">
        <v>564</v>
      </c>
      <c r="R3270" s="93">
        <v>1146065.05</v>
      </c>
      <c r="S3270">
        <v>242371.52</v>
      </c>
      <c r="T3270">
        <v>0</v>
      </c>
      <c r="U3270" s="1" t="s">
        <v>810</v>
      </c>
      <c r="V3270" s="1" t="s">
        <v>1224</v>
      </c>
      <c r="W3270">
        <v>83957.773050000003</v>
      </c>
      <c r="X3270">
        <v>0</v>
      </c>
      <c r="Y3270">
        <v>77843</v>
      </c>
    </row>
    <row r="3271" spans="1:25" ht="15" hidden="1" customHeight="1" x14ac:dyDescent="0.25">
      <c r="A3271" s="1" t="s">
        <v>37</v>
      </c>
      <c r="B3271" s="1"/>
      <c r="C3271" s="1" t="s">
        <v>202</v>
      </c>
      <c r="D3271">
        <v>10321</v>
      </c>
      <c r="E3271" s="1"/>
      <c r="F3271" s="1" t="s">
        <v>337</v>
      </c>
      <c r="G3271" s="1" t="s">
        <v>1400</v>
      </c>
      <c r="H3271" s="1" t="s">
        <v>1405</v>
      </c>
      <c r="I3271">
        <v>2015</v>
      </c>
      <c r="J3271" s="93">
        <v>15902</v>
      </c>
      <c r="K3271">
        <v>5</v>
      </c>
      <c r="L3271" s="1" t="s">
        <v>411</v>
      </c>
      <c r="M3271">
        <v>0</v>
      </c>
      <c r="N3271">
        <v>126</v>
      </c>
      <c r="O3271">
        <v>69.865185999999994</v>
      </c>
      <c r="P3271">
        <v>1</v>
      </c>
      <c r="Q3271" s="1" t="s">
        <v>562</v>
      </c>
      <c r="R3271" s="93">
        <v>18233</v>
      </c>
      <c r="S3271">
        <v>634.91999999999996</v>
      </c>
      <c r="T3271">
        <v>0</v>
      </c>
      <c r="U3271" s="1" t="s">
        <v>870</v>
      </c>
      <c r="V3271" s="1"/>
      <c r="W3271">
        <v>8810</v>
      </c>
      <c r="X3271">
        <v>0</v>
      </c>
      <c r="Y3271">
        <v>77810</v>
      </c>
    </row>
    <row r="3272" spans="1:25" ht="15" hidden="1" customHeight="1" x14ac:dyDescent="0.25">
      <c r="A3272" s="1" t="s">
        <v>37</v>
      </c>
      <c r="B3272" s="1"/>
      <c r="C3272" s="1" t="s">
        <v>202</v>
      </c>
      <c r="D3272">
        <v>10321</v>
      </c>
      <c r="E3272" s="1"/>
      <c r="F3272" s="1" t="s">
        <v>337</v>
      </c>
      <c r="G3272" s="1" t="s">
        <v>1400</v>
      </c>
      <c r="H3272" s="1" t="s">
        <v>1405</v>
      </c>
      <c r="I3272">
        <v>2013</v>
      </c>
      <c r="J3272" s="93">
        <v>18108.03</v>
      </c>
      <c r="K3272">
        <v>12</v>
      </c>
      <c r="L3272" s="1" t="s">
        <v>411</v>
      </c>
      <c r="M3272">
        <v>0</v>
      </c>
      <c r="N3272">
        <v>126</v>
      </c>
      <c r="O3272">
        <v>143.60055500000001</v>
      </c>
      <c r="P3272">
        <v>1</v>
      </c>
      <c r="Q3272" s="1" t="s">
        <v>562</v>
      </c>
      <c r="R3272" s="93">
        <v>19005.64</v>
      </c>
      <c r="S3272">
        <v>1216.3699999999999</v>
      </c>
      <c r="T3272">
        <v>0</v>
      </c>
      <c r="U3272" s="1" t="s">
        <v>870</v>
      </c>
      <c r="V3272" s="1"/>
      <c r="W3272">
        <v>18108.028999999999</v>
      </c>
      <c r="X3272">
        <v>0</v>
      </c>
      <c r="Y3272">
        <v>77810</v>
      </c>
    </row>
    <row r="3273" spans="1:25" ht="15" hidden="1" customHeight="1" x14ac:dyDescent="0.25">
      <c r="A3273" s="1" t="s">
        <v>37</v>
      </c>
      <c r="B3273" s="1"/>
      <c r="C3273" s="1" t="s">
        <v>202</v>
      </c>
      <c r="D3273">
        <v>10321</v>
      </c>
      <c r="E3273" s="1"/>
      <c r="F3273" s="1" t="s">
        <v>337</v>
      </c>
      <c r="G3273" s="1" t="s">
        <v>1400</v>
      </c>
      <c r="H3273" s="1" t="s">
        <v>1405</v>
      </c>
      <c r="I3273">
        <v>2012</v>
      </c>
      <c r="J3273" s="93">
        <v>14529.88</v>
      </c>
      <c r="K3273">
        <v>12</v>
      </c>
      <c r="L3273" s="1" t="s">
        <v>411</v>
      </c>
      <c r="M3273">
        <v>0</v>
      </c>
      <c r="N3273">
        <v>126</v>
      </c>
      <c r="O3273">
        <v>115.225059</v>
      </c>
      <c r="P3273">
        <v>1</v>
      </c>
      <c r="Q3273" s="1" t="s">
        <v>562</v>
      </c>
      <c r="R3273" s="93">
        <v>14911.34</v>
      </c>
      <c r="S3273">
        <v>2758.6</v>
      </c>
      <c r="T3273">
        <v>0</v>
      </c>
      <c r="U3273" s="1" t="s">
        <v>870</v>
      </c>
      <c r="V3273" s="1"/>
      <c r="W3273">
        <v>14529.88005</v>
      </c>
      <c r="X3273">
        <v>0</v>
      </c>
      <c r="Y3273">
        <v>77810</v>
      </c>
    </row>
    <row r="3274" spans="1:25" ht="15" hidden="1" customHeight="1" x14ac:dyDescent="0.25">
      <c r="A3274" s="1" t="s">
        <v>37</v>
      </c>
      <c r="B3274" s="1"/>
      <c r="C3274" s="1" t="s">
        <v>202</v>
      </c>
      <c r="D3274">
        <v>10321</v>
      </c>
      <c r="E3274" s="1"/>
      <c r="F3274" s="1" t="s">
        <v>337</v>
      </c>
      <c r="G3274" s="1" t="s">
        <v>1400</v>
      </c>
      <c r="H3274" s="1" t="s">
        <v>1405</v>
      </c>
      <c r="I3274">
        <v>2011</v>
      </c>
      <c r="J3274" s="93">
        <v>7765.09</v>
      </c>
      <c r="K3274">
        <v>3</v>
      </c>
      <c r="L3274" s="1" t="s">
        <v>411</v>
      </c>
      <c r="M3274">
        <v>0</v>
      </c>
      <c r="N3274">
        <v>126</v>
      </c>
      <c r="O3274">
        <v>61.578825999999999</v>
      </c>
      <c r="P3274">
        <v>1</v>
      </c>
      <c r="Q3274" s="1" t="s">
        <v>562</v>
      </c>
      <c r="R3274" s="93">
        <v>9305.18</v>
      </c>
      <c r="S3274">
        <v>1721.46</v>
      </c>
      <c r="T3274">
        <v>0</v>
      </c>
      <c r="U3274" s="1" t="s">
        <v>870</v>
      </c>
      <c r="V3274" s="1"/>
      <c r="W3274">
        <v>7765.0909000000001</v>
      </c>
      <c r="X3274">
        <v>0</v>
      </c>
      <c r="Y3274">
        <v>77810</v>
      </c>
    </row>
    <row r="3275" spans="1:25" ht="15" hidden="1" customHeight="1" x14ac:dyDescent="0.25">
      <c r="A3275" s="1" t="s">
        <v>37</v>
      </c>
      <c r="B3275" s="1"/>
      <c r="C3275" s="1" t="s">
        <v>202</v>
      </c>
      <c r="D3275">
        <v>10321</v>
      </c>
      <c r="E3275" s="1"/>
      <c r="F3275" s="1" t="s">
        <v>337</v>
      </c>
      <c r="G3275" s="1" t="s">
        <v>1400</v>
      </c>
      <c r="H3275" s="1" t="s">
        <v>1405</v>
      </c>
      <c r="I3275">
        <v>2010</v>
      </c>
      <c r="J3275" s="93">
        <v>8812.7800000000007</v>
      </c>
      <c r="K3275">
        <v>3</v>
      </c>
      <c r="L3275" s="1" t="s">
        <v>411</v>
      </c>
      <c r="M3275">
        <v>0</v>
      </c>
      <c r="N3275">
        <v>126</v>
      </c>
      <c r="O3275">
        <v>69.887231999999997</v>
      </c>
      <c r="P3275">
        <v>1</v>
      </c>
      <c r="Q3275" s="1" t="s">
        <v>562</v>
      </c>
      <c r="R3275" s="93">
        <v>9641.08</v>
      </c>
      <c r="S3275">
        <v>1783.6</v>
      </c>
      <c r="T3275">
        <v>0</v>
      </c>
      <c r="U3275" s="1" t="s">
        <v>870</v>
      </c>
      <c r="V3275" s="1"/>
      <c r="W3275">
        <v>8812.7724400000006</v>
      </c>
      <c r="X3275">
        <v>0</v>
      </c>
      <c r="Y3275">
        <v>77810</v>
      </c>
    </row>
    <row r="3276" spans="1:25" ht="15" hidden="1" customHeight="1" x14ac:dyDescent="0.25">
      <c r="A3276" s="1" t="s">
        <v>37</v>
      </c>
      <c r="B3276" s="1"/>
      <c r="C3276" s="1" t="s">
        <v>202</v>
      </c>
      <c r="D3276">
        <v>10321</v>
      </c>
      <c r="E3276" s="1"/>
      <c r="F3276" s="1" t="s">
        <v>337</v>
      </c>
      <c r="G3276" s="1" t="s">
        <v>1400</v>
      </c>
      <c r="H3276" s="1" t="s">
        <v>1405</v>
      </c>
      <c r="I3276">
        <v>2009</v>
      </c>
      <c r="J3276" s="93">
        <v>10869.72</v>
      </c>
      <c r="K3276">
        <v>4</v>
      </c>
      <c r="L3276" s="1" t="s">
        <v>411</v>
      </c>
      <c r="M3276">
        <v>0</v>
      </c>
      <c r="N3276">
        <v>126</v>
      </c>
      <c r="O3276">
        <v>86.199206000000004</v>
      </c>
      <c r="P3276">
        <v>1</v>
      </c>
      <c r="Q3276" s="1" t="s">
        <v>562</v>
      </c>
      <c r="R3276" s="93">
        <v>16171.75</v>
      </c>
      <c r="S3276">
        <v>2991.77</v>
      </c>
      <c r="T3276">
        <v>0</v>
      </c>
      <c r="U3276" s="1" t="s">
        <v>870</v>
      </c>
      <c r="V3276" s="1"/>
      <c r="W3276">
        <v>10869.72753</v>
      </c>
      <c r="X3276">
        <v>0</v>
      </c>
      <c r="Y3276">
        <v>77810</v>
      </c>
    </row>
    <row r="3277" spans="1:25" ht="15" hidden="1" customHeight="1" x14ac:dyDescent="0.25">
      <c r="A3277" s="1" t="s">
        <v>37</v>
      </c>
      <c r="B3277" s="1"/>
      <c r="C3277" s="1" t="s">
        <v>202</v>
      </c>
      <c r="D3277">
        <v>10321</v>
      </c>
      <c r="E3277" s="1"/>
      <c r="F3277" s="1" t="s">
        <v>337</v>
      </c>
      <c r="G3277" s="1" t="s">
        <v>1400</v>
      </c>
      <c r="H3277" s="1" t="s">
        <v>1405</v>
      </c>
      <c r="I3277">
        <v>2008</v>
      </c>
      <c r="J3277" s="93">
        <v>5436.94</v>
      </c>
      <c r="K3277">
        <v>7</v>
      </c>
      <c r="L3277" s="1" t="s">
        <v>411</v>
      </c>
      <c r="M3277">
        <v>0</v>
      </c>
      <c r="N3277">
        <v>126</v>
      </c>
      <c r="O3277">
        <v>43.116098000000001</v>
      </c>
      <c r="P3277">
        <v>1</v>
      </c>
      <c r="Q3277" s="1" t="s">
        <v>562</v>
      </c>
      <c r="R3277" s="93">
        <v>5681.25</v>
      </c>
      <c r="S3277">
        <v>1051.05</v>
      </c>
      <c r="T3277">
        <v>0</v>
      </c>
      <c r="U3277" s="1" t="s">
        <v>870</v>
      </c>
      <c r="V3277" s="1"/>
      <c r="W3277">
        <v>5436.9395699999995</v>
      </c>
      <c r="X3277">
        <v>0</v>
      </c>
      <c r="Y3277">
        <v>77810</v>
      </c>
    </row>
    <row r="3278" spans="1:25" ht="15" hidden="1" customHeight="1" x14ac:dyDescent="0.25">
      <c r="A3278" s="1" t="s">
        <v>37</v>
      </c>
      <c r="B3278" s="1"/>
      <c r="C3278" s="1" t="s">
        <v>203</v>
      </c>
      <c r="D3278">
        <v>9222</v>
      </c>
      <c r="E3278" s="1"/>
      <c r="F3278" s="1" t="s">
        <v>338</v>
      </c>
      <c r="G3278" s="1" t="s">
        <v>338</v>
      </c>
      <c r="H3278" s="1" t="s">
        <v>1396</v>
      </c>
      <c r="I3278">
        <v>2015</v>
      </c>
      <c r="J3278" s="93">
        <v>399525.39</v>
      </c>
      <c r="K3278">
        <v>5</v>
      </c>
      <c r="L3278" s="1"/>
      <c r="M3278">
        <v>0</v>
      </c>
      <c r="N3278">
        <v>11252</v>
      </c>
      <c r="O3278">
        <v>35.506740000000001</v>
      </c>
      <c r="P3278">
        <v>1</v>
      </c>
      <c r="Q3278" s="1" t="s">
        <v>563</v>
      </c>
      <c r="R3278" s="93">
        <v>456078.82</v>
      </c>
      <c r="S3278">
        <v>836.59</v>
      </c>
      <c r="T3278">
        <v>1</v>
      </c>
      <c r="U3278" s="1"/>
      <c r="V3278" s="1"/>
      <c r="W3278">
        <v>11451</v>
      </c>
      <c r="X3278">
        <v>74423</v>
      </c>
      <c r="Y3278">
        <v>74422</v>
      </c>
    </row>
    <row r="3279" spans="1:25" ht="15" hidden="1" customHeight="1" x14ac:dyDescent="0.25">
      <c r="A3279" s="1" t="s">
        <v>37</v>
      </c>
      <c r="B3279" s="1"/>
      <c r="C3279" s="1" t="s">
        <v>203</v>
      </c>
      <c r="D3279">
        <v>9222</v>
      </c>
      <c r="E3279" s="1"/>
      <c r="F3279" s="1" t="s">
        <v>338</v>
      </c>
      <c r="G3279" s="1" t="s">
        <v>338</v>
      </c>
      <c r="H3279" s="1" t="s">
        <v>1405</v>
      </c>
      <c r="I3279">
        <v>2015</v>
      </c>
      <c r="J3279" s="93">
        <v>665200</v>
      </c>
      <c r="K3279">
        <v>5</v>
      </c>
      <c r="L3279" s="1"/>
      <c r="M3279">
        <v>0</v>
      </c>
      <c r="N3279">
        <v>11252</v>
      </c>
      <c r="O3279">
        <v>36.028829999999999</v>
      </c>
      <c r="P3279">
        <v>1</v>
      </c>
      <c r="Q3279" s="1" t="s">
        <v>562</v>
      </c>
      <c r="R3279" s="93">
        <v>778236</v>
      </c>
      <c r="S3279">
        <v>29639.07</v>
      </c>
      <c r="T3279">
        <v>0</v>
      </c>
      <c r="U3279" s="1"/>
      <c r="V3279" s="1"/>
      <c r="W3279">
        <v>405400</v>
      </c>
      <c r="X3279">
        <v>0</v>
      </c>
      <c r="Y3279">
        <v>74423</v>
      </c>
    </row>
    <row r="3280" spans="1:25" ht="15" hidden="1" customHeight="1" x14ac:dyDescent="0.25">
      <c r="A3280" s="1" t="s">
        <v>37</v>
      </c>
      <c r="B3280" s="1"/>
      <c r="C3280" s="1" t="s">
        <v>203</v>
      </c>
      <c r="D3280">
        <v>9222</v>
      </c>
      <c r="E3280" s="1"/>
      <c r="F3280" s="1" t="s">
        <v>338</v>
      </c>
      <c r="G3280" s="1" t="s">
        <v>338</v>
      </c>
      <c r="H3280" s="1" t="s">
        <v>1396</v>
      </c>
      <c r="I3280">
        <v>2013</v>
      </c>
      <c r="J3280" s="93">
        <v>957852.62</v>
      </c>
      <c r="K3280">
        <v>12</v>
      </c>
      <c r="L3280" s="1"/>
      <c r="M3280">
        <v>0</v>
      </c>
      <c r="N3280">
        <v>11252</v>
      </c>
      <c r="O3280">
        <v>85.126564000000002</v>
      </c>
      <c r="P3280">
        <v>1</v>
      </c>
      <c r="Q3280" s="1" t="s">
        <v>563</v>
      </c>
      <c r="R3280" s="93">
        <v>1019473.36</v>
      </c>
      <c r="S3280">
        <v>1870.05</v>
      </c>
      <c r="T3280">
        <v>1</v>
      </c>
      <c r="U3280" s="1"/>
      <c r="V3280" s="1"/>
      <c r="W3280">
        <v>27453.5</v>
      </c>
      <c r="X3280">
        <v>74423</v>
      </c>
      <c r="Y3280">
        <v>74422</v>
      </c>
    </row>
    <row r="3281" spans="1:25" ht="15" hidden="1" customHeight="1" x14ac:dyDescent="0.25">
      <c r="A3281" s="1" t="s">
        <v>37</v>
      </c>
      <c r="B3281" s="1"/>
      <c r="C3281" s="1" t="s">
        <v>203</v>
      </c>
      <c r="D3281">
        <v>9222</v>
      </c>
      <c r="E3281" s="1"/>
      <c r="F3281" s="1" t="s">
        <v>338</v>
      </c>
      <c r="G3281" s="1" t="s">
        <v>338</v>
      </c>
      <c r="H3281" s="1" t="s">
        <v>1405</v>
      </c>
      <c r="I3281">
        <v>2013</v>
      </c>
      <c r="J3281" s="93">
        <v>852250</v>
      </c>
      <c r="K3281">
        <v>12</v>
      </c>
      <c r="L3281" s="1"/>
      <c r="M3281">
        <v>0</v>
      </c>
      <c r="N3281">
        <v>11252</v>
      </c>
      <c r="O3281">
        <v>75.741416999999998</v>
      </c>
      <c r="P3281">
        <v>1</v>
      </c>
      <c r="Q3281" s="1" t="s">
        <v>562</v>
      </c>
      <c r="R3281" s="93">
        <v>897627.06</v>
      </c>
      <c r="S3281">
        <v>57448.14</v>
      </c>
      <c r="T3281">
        <v>0</v>
      </c>
      <c r="U3281" s="1"/>
      <c r="V3281" s="1"/>
      <c r="W3281">
        <v>852250</v>
      </c>
      <c r="X3281">
        <v>0</v>
      </c>
      <c r="Y3281">
        <v>74423</v>
      </c>
    </row>
    <row r="3282" spans="1:25" ht="15" hidden="1" customHeight="1" x14ac:dyDescent="0.25">
      <c r="A3282" s="1" t="s">
        <v>37</v>
      </c>
      <c r="B3282" s="1"/>
      <c r="C3282" s="1" t="s">
        <v>203</v>
      </c>
      <c r="D3282">
        <v>9222</v>
      </c>
      <c r="E3282" s="1"/>
      <c r="F3282" s="1" t="s">
        <v>338</v>
      </c>
      <c r="G3282" s="1" t="s">
        <v>338</v>
      </c>
      <c r="H3282" s="1" t="s">
        <v>1396</v>
      </c>
      <c r="I3282">
        <v>2012</v>
      </c>
      <c r="J3282" s="93">
        <v>1162255.68</v>
      </c>
      <c r="K3282">
        <v>12</v>
      </c>
      <c r="L3282" s="1"/>
      <c r="M3282">
        <v>0</v>
      </c>
      <c r="N3282">
        <v>11252</v>
      </c>
      <c r="O3282">
        <v>103.292334</v>
      </c>
      <c r="P3282">
        <v>1</v>
      </c>
      <c r="Q3282" s="1" t="s">
        <v>563</v>
      </c>
      <c r="R3282" s="93">
        <v>1269699.8400000001</v>
      </c>
      <c r="S3282">
        <v>6732.45</v>
      </c>
      <c r="T3282">
        <v>1</v>
      </c>
      <c r="U3282" s="1"/>
      <c r="V3282" s="1"/>
      <c r="W3282">
        <v>33312</v>
      </c>
      <c r="X3282">
        <v>74423</v>
      </c>
      <c r="Y3282">
        <v>74422</v>
      </c>
    </row>
    <row r="3283" spans="1:25" ht="15" hidden="1" customHeight="1" x14ac:dyDescent="0.25">
      <c r="A3283" s="1" t="s">
        <v>37</v>
      </c>
      <c r="B3283" s="1"/>
      <c r="C3283" s="1" t="s">
        <v>203</v>
      </c>
      <c r="D3283">
        <v>9222</v>
      </c>
      <c r="E3283" s="1"/>
      <c r="F3283" s="1" t="s">
        <v>338</v>
      </c>
      <c r="G3283" s="1" t="s">
        <v>338</v>
      </c>
      <c r="H3283" s="1" t="s">
        <v>1405</v>
      </c>
      <c r="I3283">
        <v>2012</v>
      </c>
      <c r="J3283" s="93">
        <v>861000</v>
      </c>
      <c r="K3283">
        <v>12</v>
      </c>
      <c r="L3283" s="1"/>
      <c r="M3283">
        <v>0</v>
      </c>
      <c r="N3283">
        <v>11252</v>
      </c>
      <c r="O3283">
        <v>76.519048999999995</v>
      </c>
      <c r="P3283">
        <v>1</v>
      </c>
      <c r="Q3283" s="1" t="s">
        <v>562</v>
      </c>
      <c r="R3283" s="93">
        <v>918220.91</v>
      </c>
      <c r="S3283">
        <v>169870.87</v>
      </c>
      <c r="T3283">
        <v>0</v>
      </c>
      <c r="U3283" s="1"/>
      <c r="V3283" s="1"/>
      <c r="W3283">
        <v>861000</v>
      </c>
      <c r="X3283">
        <v>0</v>
      </c>
      <c r="Y3283">
        <v>74423</v>
      </c>
    </row>
    <row r="3284" spans="1:25" ht="15" hidden="1" customHeight="1" x14ac:dyDescent="0.25">
      <c r="A3284" s="1" t="s">
        <v>37</v>
      </c>
      <c r="B3284" s="1"/>
      <c r="C3284" s="1" t="s">
        <v>203</v>
      </c>
      <c r="D3284">
        <v>9222</v>
      </c>
      <c r="E3284" s="1"/>
      <c r="F3284" s="1" t="s">
        <v>338</v>
      </c>
      <c r="G3284" s="1" t="s">
        <v>338</v>
      </c>
      <c r="H3284" s="1" t="s">
        <v>1405</v>
      </c>
      <c r="I3284">
        <v>2011</v>
      </c>
      <c r="J3284" s="93">
        <v>884427</v>
      </c>
      <c r="K3284">
        <v>12</v>
      </c>
      <c r="L3284" s="1"/>
      <c r="M3284">
        <v>0</v>
      </c>
      <c r="N3284">
        <v>11252</v>
      </c>
      <c r="O3284">
        <v>78.601061000000001</v>
      </c>
      <c r="P3284">
        <v>1</v>
      </c>
      <c r="Q3284" s="1" t="s">
        <v>562</v>
      </c>
      <c r="R3284" s="93">
        <v>981624.53</v>
      </c>
      <c r="S3284">
        <v>181600.53</v>
      </c>
      <c r="T3284">
        <v>0</v>
      </c>
      <c r="U3284" s="1"/>
      <c r="V3284" s="1"/>
      <c r="W3284">
        <v>884427</v>
      </c>
      <c r="X3284">
        <v>0</v>
      </c>
      <c r="Y3284">
        <v>74423</v>
      </c>
    </row>
    <row r="3285" spans="1:25" ht="15" hidden="1" customHeight="1" x14ac:dyDescent="0.25">
      <c r="A3285" s="1" t="s">
        <v>37</v>
      </c>
      <c r="B3285" s="1"/>
      <c r="C3285" s="1" t="s">
        <v>203</v>
      </c>
      <c r="D3285">
        <v>9222</v>
      </c>
      <c r="E3285" s="1"/>
      <c r="F3285" s="1" t="s">
        <v>338</v>
      </c>
      <c r="G3285" s="1" t="s">
        <v>338</v>
      </c>
      <c r="H3285" s="1" t="s">
        <v>1396</v>
      </c>
      <c r="I3285">
        <v>2011</v>
      </c>
      <c r="J3285" s="93">
        <v>1184082.8500000001</v>
      </c>
      <c r="K3285">
        <v>12</v>
      </c>
      <c r="L3285" s="1"/>
      <c r="M3285">
        <v>0</v>
      </c>
      <c r="N3285">
        <v>11252</v>
      </c>
      <c r="O3285">
        <v>105.23216499999999</v>
      </c>
      <c r="P3285">
        <v>1</v>
      </c>
      <c r="Q3285" s="1" t="s">
        <v>563</v>
      </c>
      <c r="R3285" s="93">
        <v>1382331.48</v>
      </c>
      <c r="S3285">
        <v>7329.65</v>
      </c>
      <c r="T3285">
        <v>1</v>
      </c>
      <c r="U3285" s="1"/>
      <c r="V3285" s="1"/>
      <c r="W3285">
        <v>33937.599999999999</v>
      </c>
      <c r="X3285">
        <v>74423</v>
      </c>
      <c r="Y3285">
        <v>74422</v>
      </c>
    </row>
    <row r="3286" spans="1:25" ht="15" hidden="1" customHeight="1" x14ac:dyDescent="0.25">
      <c r="A3286" s="1" t="s">
        <v>37</v>
      </c>
      <c r="B3286" s="1"/>
      <c r="C3286" s="1" t="s">
        <v>203</v>
      </c>
      <c r="D3286">
        <v>9222</v>
      </c>
      <c r="E3286" s="1"/>
      <c r="F3286" s="1" t="s">
        <v>338</v>
      </c>
      <c r="G3286" s="1" t="s">
        <v>338</v>
      </c>
      <c r="H3286" s="1" t="s">
        <v>1405</v>
      </c>
      <c r="I3286">
        <v>2010</v>
      </c>
      <c r="J3286" s="93">
        <v>1063897</v>
      </c>
      <c r="K3286">
        <v>12</v>
      </c>
      <c r="L3286" s="1"/>
      <c r="M3286">
        <v>0</v>
      </c>
      <c r="N3286">
        <v>11252</v>
      </c>
      <c r="O3286">
        <v>94.550972000000002</v>
      </c>
      <c r="P3286">
        <v>1</v>
      </c>
      <c r="Q3286" s="1" t="s">
        <v>562</v>
      </c>
      <c r="R3286" s="93">
        <v>959992.23</v>
      </c>
      <c r="S3286">
        <v>177598.55</v>
      </c>
      <c r="T3286">
        <v>0</v>
      </c>
      <c r="U3286" s="1"/>
      <c r="V3286" s="1"/>
      <c r="W3286">
        <v>1063897</v>
      </c>
      <c r="X3286">
        <v>0</v>
      </c>
      <c r="Y3286">
        <v>74423</v>
      </c>
    </row>
    <row r="3287" spans="1:25" ht="15" hidden="1" customHeight="1" x14ac:dyDescent="0.25">
      <c r="A3287" s="1" t="s">
        <v>37</v>
      </c>
      <c r="B3287" s="1"/>
      <c r="C3287" s="1" t="s">
        <v>203</v>
      </c>
      <c r="D3287">
        <v>9222</v>
      </c>
      <c r="E3287" s="1"/>
      <c r="F3287" s="1" t="s">
        <v>338</v>
      </c>
      <c r="G3287" s="1" t="s">
        <v>338</v>
      </c>
      <c r="H3287" s="1" t="s">
        <v>1396</v>
      </c>
      <c r="I3287">
        <v>2010</v>
      </c>
      <c r="J3287" s="93">
        <v>1152828.3799999999</v>
      </c>
      <c r="K3287">
        <v>12</v>
      </c>
      <c r="L3287" s="1"/>
      <c r="M3287">
        <v>0</v>
      </c>
      <c r="N3287">
        <v>11252</v>
      </c>
      <c r="O3287">
        <v>102.454508</v>
      </c>
      <c r="P3287">
        <v>1</v>
      </c>
      <c r="Q3287" s="1" t="s">
        <v>563</v>
      </c>
      <c r="R3287" s="93">
        <v>1115953.51</v>
      </c>
      <c r="S3287">
        <v>5917.2</v>
      </c>
      <c r="T3287">
        <v>1</v>
      </c>
      <c r="U3287" s="1"/>
      <c r="V3287" s="1"/>
      <c r="W3287">
        <v>33041.800000000003</v>
      </c>
      <c r="X3287">
        <v>74423</v>
      </c>
      <c r="Y3287">
        <v>74422</v>
      </c>
    </row>
    <row r="3288" spans="1:25" ht="15" hidden="1" customHeight="1" x14ac:dyDescent="0.25">
      <c r="A3288" s="1" t="s">
        <v>37</v>
      </c>
      <c r="B3288" s="1"/>
      <c r="C3288" s="1" t="s">
        <v>203</v>
      </c>
      <c r="D3288">
        <v>9222</v>
      </c>
      <c r="E3288" s="1"/>
      <c r="F3288" s="1" t="s">
        <v>338</v>
      </c>
      <c r="G3288" s="1" t="s">
        <v>338</v>
      </c>
      <c r="H3288" s="1" t="s">
        <v>1405</v>
      </c>
      <c r="I3288">
        <v>2009</v>
      </c>
      <c r="J3288" s="93">
        <v>956609</v>
      </c>
      <c r="K3288">
        <v>12</v>
      </c>
      <c r="L3288" s="1"/>
      <c r="M3288">
        <v>0</v>
      </c>
      <c r="N3288">
        <v>11252</v>
      </c>
      <c r="O3288">
        <v>85.016041000000001</v>
      </c>
      <c r="P3288">
        <v>1</v>
      </c>
      <c r="Q3288" s="1" t="s">
        <v>562</v>
      </c>
      <c r="R3288" s="93">
        <v>1030945.48</v>
      </c>
      <c r="S3288">
        <v>190724.91</v>
      </c>
      <c r="T3288">
        <v>0</v>
      </c>
      <c r="U3288" s="1"/>
      <c r="V3288" s="1"/>
      <c r="W3288">
        <v>956609</v>
      </c>
      <c r="X3288">
        <v>0</v>
      </c>
      <c r="Y3288">
        <v>74423</v>
      </c>
    </row>
    <row r="3289" spans="1:25" ht="15" hidden="1" customHeight="1" x14ac:dyDescent="0.25">
      <c r="A3289" s="1" t="s">
        <v>37</v>
      </c>
      <c r="B3289" s="1"/>
      <c r="C3289" s="1" t="s">
        <v>203</v>
      </c>
      <c r="D3289">
        <v>9222</v>
      </c>
      <c r="E3289" s="1"/>
      <c r="F3289" s="1" t="s">
        <v>338</v>
      </c>
      <c r="G3289" s="1" t="s">
        <v>338</v>
      </c>
      <c r="H3289" s="1" t="s">
        <v>1396</v>
      </c>
      <c r="I3289">
        <v>2009</v>
      </c>
      <c r="J3289" s="93">
        <v>951980.64</v>
      </c>
      <c r="K3289">
        <v>12</v>
      </c>
      <c r="L3289" s="1"/>
      <c r="M3289">
        <v>0</v>
      </c>
      <c r="N3289">
        <v>11252</v>
      </c>
      <c r="O3289">
        <v>84.604708000000002</v>
      </c>
      <c r="P3289">
        <v>1</v>
      </c>
      <c r="Q3289" s="1" t="s">
        <v>563</v>
      </c>
      <c r="R3289" s="93">
        <v>1207709.7</v>
      </c>
      <c r="S3289">
        <v>6403.74</v>
      </c>
      <c r="T3289">
        <v>1</v>
      </c>
      <c r="U3289" s="1"/>
      <c r="V3289" s="1"/>
      <c r="W3289">
        <v>27285.200000000001</v>
      </c>
      <c r="X3289">
        <v>74423</v>
      </c>
      <c r="Y3289">
        <v>74422</v>
      </c>
    </row>
    <row r="3290" spans="1:25" ht="15" hidden="1" customHeight="1" x14ac:dyDescent="0.25">
      <c r="A3290" s="1" t="s">
        <v>37</v>
      </c>
      <c r="B3290" s="1"/>
      <c r="C3290" s="1" t="s">
        <v>203</v>
      </c>
      <c r="D3290">
        <v>9222</v>
      </c>
      <c r="E3290" s="1"/>
      <c r="F3290" s="1" t="s">
        <v>338</v>
      </c>
      <c r="G3290" s="1" t="s">
        <v>338</v>
      </c>
      <c r="H3290" s="1" t="s">
        <v>1405</v>
      </c>
      <c r="I3290">
        <v>2008</v>
      </c>
      <c r="J3290" s="93">
        <v>780873</v>
      </c>
      <c r="K3290">
        <v>12</v>
      </c>
      <c r="L3290" s="1"/>
      <c r="M3290">
        <v>0</v>
      </c>
      <c r="N3290">
        <v>11252</v>
      </c>
      <c r="O3290">
        <v>69.397979000000007</v>
      </c>
      <c r="P3290">
        <v>1</v>
      </c>
      <c r="Q3290" s="1" t="s">
        <v>562</v>
      </c>
      <c r="R3290" s="93">
        <v>914104.63</v>
      </c>
      <c r="S3290">
        <v>169109.35</v>
      </c>
      <c r="T3290">
        <v>0</v>
      </c>
      <c r="U3290" s="1"/>
      <c r="V3290" s="1"/>
      <c r="W3290">
        <v>780873</v>
      </c>
      <c r="X3290">
        <v>0</v>
      </c>
      <c r="Y3290">
        <v>74423</v>
      </c>
    </row>
    <row r="3291" spans="1:25" ht="15" hidden="1" customHeight="1" x14ac:dyDescent="0.25">
      <c r="A3291" s="1" t="s">
        <v>37</v>
      </c>
      <c r="B3291" s="1"/>
      <c r="C3291" s="1" t="s">
        <v>203</v>
      </c>
      <c r="D3291">
        <v>9222</v>
      </c>
      <c r="E3291" s="1"/>
      <c r="F3291" s="1" t="s">
        <v>338</v>
      </c>
      <c r="G3291" s="1" t="s">
        <v>338</v>
      </c>
      <c r="H3291" s="1" t="s">
        <v>1396</v>
      </c>
      <c r="I3291">
        <v>2008</v>
      </c>
      <c r="J3291" s="93">
        <v>870725.3</v>
      </c>
      <c r="K3291">
        <v>12</v>
      </c>
      <c r="L3291" s="1"/>
      <c r="M3291">
        <v>0</v>
      </c>
      <c r="N3291">
        <v>11252</v>
      </c>
      <c r="O3291">
        <v>77.383358999999999</v>
      </c>
      <c r="P3291">
        <v>1</v>
      </c>
      <c r="Q3291" s="1" t="s">
        <v>563</v>
      </c>
      <c r="R3291" s="93">
        <v>1043625.02</v>
      </c>
      <c r="S3291">
        <v>5533.7</v>
      </c>
      <c r="T3291">
        <v>1</v>
      </c>
      <c r="U3291" s="1"/>
      <c r="V3291" s="1"/>
      <c r="W3291">
        <v>24956.3</v>
      </c>
      <c r="X3291">
        <v>74423</v>
      </c>
      <c r="Y3291">
        <v>74422</v>
      </c>
    </row>
    <row r="3292" spans="1:25" ht="15" hidden="1" customHeight="1" x14ac:dyDescent="0.25">
      <c r="A3292" s="1" t="s">
        <v>37</v>
      </c>
      <c r="B3292" s="1"/>
      <c r="C3292" s="1" t="s">
        <v>194</v>
      </c>
      <c r="D3292">
        <v>14252</v>
      </c>
      <c r="E3292" s="1" t="s">
        <v>243</v>
      </c>
      <c r="F3292" s="1" t="s">
        <v>324</v>
      </c>
      <c r="G3292" s="1" t="s">
        <v>194</v>
      </c>
      <c r="H3292" s="1" t="s">
        <v>1405</v>
      </c>
      <c r="I3292">
        <v>2014</v>
      </c>
      <c r="J3292" s="93">
        <v>244020</v>
      </c>
      <c r="K3292">
        <v>12</v>
      </c>
      <c r="L3292" s="1" t="s">
        <v>448</v>
      </c>
      <c r="M3292">
        <v>0</v>
      </c>
      <c r="N3292">
        <v>3700</v>
      </c>
      <c r="O3292">
        <v>65.949567999999999</v>
      </c>
      <c r="P3292">
        <v>1</v>
      </c>
      <c r="Q3292" s="1" t="s">
        <v>565</v>
      </c>
      <c r="R3292" s="93">
        <v>288921.83</v>
      </c>
      <c r="S3292">
        <v>18491.009999999998</v>
      </c>
      <c r="T3292">
        <v>0</v>
      </c>
      <c r="U3292" s="1" t="s">
        <v>857</v>
      </c>
      <c r="V3292" s="1"/>
      <c r="W3292">
        <v>244.02</v>
      </c>
      <c r="X3292">
        <v>0</v>
      </c>
      <c r="Y3292">
        <v>79444</v>
      </c>
    </row>
    <row r="3293" spans="1:25" ht="15" hidden="1" customHeight="1" x14ac:dyDescent="0.25">
      <c r="A3293" s="1" t="s">
        <v>37</v>
      </c>
      <c r="B3293" s="1"/>
      <c r="C3293" s="1" t="s">
        <v>194</v>
      </c>
      <c r="D3293">
        <v>14253</v>
      </c>
      <c r="E3293" s="1" t="s">
        <v>243</v>
      </c>
      <c r="F3293" s="1" t="s">
        <v>325</v>
      </c>
      <c r="G3293" s="1" t="s">
        <v>194</v>
      </c>
      <c r="H3293" s="1" t="s">
        <v>1405</v>
      </c>
      <c r="I3293">
        <v>2014</v>
      </c>
      <c r="J3293" s="93">
        <v>446500</v>
      </c>
      <c r="K3293">
        <v>12</v>
      </c>
      <c r="L3293" s="1"/>
      <c r="M3293">
        <v>0</v>
      </c>
      <c r="N3293">
        <v>6105</v>
      </c>
      <c r="O3293">
        <v>73.135575000000003</v>
      </c>
      <c r="P3293">
        <v>1</v>
      </c>
      <c r="Q3293" s="1" t="s">
        <v>565</v>
      </c>
      <c r="R3293" s="93">
        <v>533919.86</v>
      </c>
      <c r="S3293">
        <v>34170.85</v>
      </c>
      <c r="T3293">
        <v>0</v>
      </c>
      <c r="U3293" s="1" t="s">
        <v>858</v>
      </c>
      <c r="V3293" s="1"/>
      <c r="W3293">
        <v>446.5</v>
      </c>
      <c r="X3293">
        <v>0</v>
      </c>
      <c r="Y3293">
        <v>77355</v>
      </c>
    </row>
    <row r="3294" spans="1:25" ht="15" hidden="1" customHeight="1" x14ac:dyDescent="0.25">
      <c r="A3294" s="1" t="s">
        <v>37</v>
      </c>
      <c r="B3294" s="1"/>
      <c r="C3294" s="1" t="s">
        <v>194</v>
      </c>
      <c r="D3294">
        <v>14252</v>
      </c>
      <c r="E3294" s="1" t="s">
        <v>243</v>
      </c>
      <c r="F3294" s="1" t="s">
        <v>324</v>
      </c>
      <c r="G3294" s="1" t="s">
        <v>194</v>
      </c>
      <c r="H3294" s="1" t="s">
        <v>1405</v>
      </c>
      <c r="I3294">
        <v>2014</v>
      </c>
      <c r="J3294" s="93">
        <v>750.96</v>
      </c>
      <c r="K3294">
        <v>12</v>
      </c>
      <c r="L3294" s="1"/>
      <c r="M3294">
        <v>0</v>
      </c>
      <c r="N3294">
        <v>3700</v>
      </c>
      <c r="O3294">
        <v>0.202956</v>
      </c>
      <c r="P3294">
        <v>3</v>
      </c>
      <c r="Q3294" s="1" t="s">
        <v>560</v>
      </c>
      <c r="R3294" s="93">
        <v>750.96</v>
      </c>
      <c r="S3294">
        <v>600.79</v>
      </c>
      <c r="T3294">
        <v>0</v>
      </c>
      <c r="U3294" s="1" t="s">
        <v>682</v>
      </c>
      <c r="V3294" s="1"/>
      <c r="W3294">
        <v>750.95699999999999</v>
      </c>
      <c r="X3294">
        <v>0</v>
      </c>
      <c r="Y3294">
        <v>77354</v>
      </c>
    </row>
    <row r="3295" spans="1:25" ht="15" hidden="1" customHeight="1" x14ac:dyDescent="0.25">
      <c r="A3295" s="1" t="s">
        <v>37</v>
      </c>
      <c r="B3295" s="1"/>
      <c r="C3295" s="1" t="s">
        <v>194</v>
      </c>
      <c r="D3295">
        <v>14253</v>
      </c>
      <c r="E3295" s="1" t="s">
        <v>243</v>
      </c>
      <c r="F3295" s="1" t="s">
        <v>325</v>
      </c>
      <c r="G3295" s="1" t="s">
        <v>194</v>
      </c>
      <c r="H3295" s="1" t="s">
        <v>1405</v>
      </c>
      <c r="I3295">
        <v>2014</v>
      </c>
      <c r="J3295" s="93">
        <v>660.6</v>
      </c>
      <c r="K3295">
        <v>12</v>
      </c>
      <c r="L3295" s="1" t="s">
        <v>398</v>
      </c>
      <c r="M3295">
        <v>0</v>
      </c>
      <c r="N3295">
        <v>6105</v>
      </c>
      <c r="O3295">
        <v>0.10820399999999999</v>
      </c>
      <c r="P3295">
        <v>3</v>
      </c>
      <c r="Q3295" s="1" t="s">
        <v>560</v>
      </c>
      <c r="R3295" s="93">
        <v>660.6</v>
      </c>
      <c r="S3295">
        <v>528.48</v>
      </c>
      <c r="T3295">
        <v>0</v>
      </c>
      <c r="U3295" s="1" t="s">
        <v>683</v>
      </c>
      <c r="V3295" s="1"/>
      <c r="W3295">
        <v>660.6</v>
      </c>
      <c r="X3295">
        <v>0</v>
      </c>
      <c r="Y3295">
        <v>78672</v>
      </c>
    </row>
    <row r="3296" spans="1:25" ht="15" hidden="1" customHeight="1" x14ac:dyDescent="0.25">
      <c r="A3296" s="1" t="s">
        <v>37</v>
      </c>
      <c r="B3296" s="1"/>
      <c r="C3296" s="1" t="s">
        <v>194</v>
      </c>
      <c r="D3296">
        <v>14254</v>
      </c>
      <c r="E3296" s="1" t="s">
        <v>243</v>
      </c>
      <c r="F3296" s="1" t="s">
        <v>326</v>
      </c>
      <c r="G3296" s="1" t="s">
        <v>194</v>
      </c>
      <c r="H3296" s="1" t="s">
        <v>1405</v>
      </c>
      <c r="I3296">
        <v>2014</v>
      </c>
      <c r="J3296" s="93">
        <v>337.8</v>
      </c>
      <c r="K3296">
        <v>12</v>
      </c>
      <c r="L3296" s="1" t="s">
        <v>398</v>
      </c>
      <c r="M3296">
        <v>0</v>
      </c>
      <c r="N3296">
        <v>2840</v>
      </c>
      <c r="O3296">
        <v>0.118939</v>
      </c>
      <c r="P3296">
        <v>3</v>
      </c>
      <c r="Q3296" s="1" t="s">
        <v>560</v>
      </c>
      <c r="R3296" s="93">
        <v>337.8</v>
      </c>
      <c r="S3296">
        <v>270.24</v>
      </c>
      <c r="T3296">
        <v>0</v>
      </c>
      <c r="U3296" s="1" t="s">
        <v>684</v>
      </c>
      <c r="V3296" s="1"/>
      <c r="W3296">
        <v>337.8</v>
      </c>
      <c r="X3296">
        <v>0</v>
      </c>
      <c r="Y3296">
        <v>78673</v>
      </c>
    </row>
    <row r="3297" spans="1:25" ht="15" hidden="1" customHeight="1" x14ac:dyDescent="0.25">
      <c r="A3297" s="1" t="s">
        <v>37</v>
      </c>
      <c r="B3297" s="1"/>
      <c r="C3297" s="1" t="s">
        <v>194</v>
      </c>
      <c r="D3297">
        <v>14254</v>
      </c>
      <c r="E3297" s="1" t="s">
        <v>243</v>
      </c>
      <c r="F3297" s="1" t="s">
        <v>326</v>
      </c>
      <c r="G3297" s="1" t="s">
        <v>194</v>
      </c>
      <c r="H3297" s="1" t="s">
        <v>1405</v>
      </c>
      <c r="I3297">
        <v>2014</v>
      </c>
      <c r="J3297" s="93">
        <v>259670</v>
      </c>
      <c r="K3297">
        <v>12</v>
      </c>
      <c r="L3297" s="1"/>
      <c r="M3297">
        <v>0</v>
      </c>
      <c r="N3297">
        <v>2840</v>
      </c>
      <c r="O3297">
        <v>91.429879</v>
      </c>
      <c r="P3297">
        <v>1</v>
      </c>
      <c r="Q3297" s="1" t="s">
        <v>562</v>
      </c>
      <c r="R3297" s="93">
        <v>308731.61</v>
      </c>
      <c r="S3297">
        <v>19758.82</v>
      </c>
      <c r="T3297">
        <v>0</v>
      </c>
      <c r="U3297" s="1" t="s">
        <v>859</v>
      </c>
      <c r="V3297" s="1"/>
      <c r="W3297">
        <v>259670</v>
      </c>
      <c r="X3297">
        <v>0</v>
      </c>
      <c r="Y3297">
        <v>77356</v>
      </c>
    </row>
    <row r="3298" spans="1:25" ht="15" hidden="1" customHeight="1" x14ac:dyDescent="0.25">
      <c r="A3298" s="1" t="s">
        <v>37</v>
      </c>
      <c r="B3298" s="1"/>
      <c r="C3298" s="1" t="s">
        <v>195</v>
      </c>
      <c r="D3298">
        <v>9518</v>
      </c>
      <c r="E3298" s="1"/>
      <c r="F3298" s="1" t="s">
        <v>327</v>
      </c>
      <c r="G3298" s="1" t="s">
        <v>195</v>
      </c>
      <c r="H3298" s="1" t="s">
        <v>1405</v>
      </c>
      <c r="I3298">
        <v>2013</v>
      </c>
      <c r="J3298" s="93">
        <v>58118.17</v>
      </c>
      <c r="K3298">
        <v>12</v>
      </c>
      <c r="L3298" s="1"/>
      <c r="M3298">
        <v>0</v>
      </c>
      <c r="N3298">
        <v>2128</v>
      </c>
      <c r="O3298">
        <v>27.309885999999999</v>
      </c>
      <c r="P3298">
        <v>2</v>
      </c>
      <c r="Q3298" s="1" t="s">
        <v>569</v>
      </c>
      <c r="R3298" s="93">
        <v>58118.17</v>
      </c>
      <c r="S3298">
        <v>17435.45</v>
      </c>
      <c r="T3298">
        <v>0</v>
      </c>
      <c r="U3298" s="1" t="s">
        <v>1077</v>
      </c>
      <c r="V3298" s="1" t="s">
        <v>1332</v>
      </c>
      <c r="W3298">
        <v>58118.171999999999</v>
      </c>
      <c r="X3298">
        <v>0</v>
      </c>
      <c r="Y3298">
        <v>74428</v>
      </c>
    </row>
    <row r="3299" spans="1:25" ht="15" hidden="1" customHeight="1" x14ac:dyDescent="0.25">
      <c r="A3299" s="1" t="s">
        <v>37</v>
      </c>
      <c r="B3299" s="1"/>
      <c r="C3299" s="1" t="s">
        <v>195</v>
      </c>
      <c r="D3299">
        <v>9518</v>
      </c>
      <c r="E3299" s="1"/>
      <c r="F3299" s="1" t="s">
        <v>327</v>
      </c>
      <c r="G3299" s="1" t="s">
        <v>195</v>
      </c>
      <c r="H3299" s="1" t="s">
        <v>1405</v>
      </c>
      <c r="I3299">
        <v>2014</v>
      </c>
      <c r="J3299" s="93">
        <v>185515.49</v>
      </c>
      <c r="K3299">
        <v>12</v>
      </c>
      <c r="L3299" s="1"/>
      <c r="M3299">
        <v>0</v>
      </c>
      <c r="N3299">
        <v>2128</v>
      </c>
      <c r="O3299">
        <v>87.174234999999996</v>
      </c>
      <c r="P3299">
        <v>1</v>
      </c>
      <c r="Q3299" s="1" t="s">
        <v>564</v>
      </c>
      <c r="R3299" s="93">
        <v>220801.42</v>
      </c>
      <c r="S3299">
        <v>46695.41</v>
      </c>
      <c r="T3299">
        <v>0</v>
      </c>
      <c r="U3299" s="1" t="s">
        <v>860</v>
      </c>
      <c r="V3299" s="1" t="s">
        <v>1220</v>
      </c>
      <c r="W3299">
        <v>17177.36</v>
      </c>
      <c r="X3299">
        <v>0</v>
      </c>
      <c r="Y3299">
        <v>74430</v>
      </c>
    </row>
    <row r="3300" spans="1:25" ht="15" hidden="1" customHeight="1" x14ac:dyDescent="0.25">
      <c r="A3300" s="1" t="s">
        <v>32</v>
      </c>
      <c r="B3300" s="1" t="s">
        <v>68</v>
      </c>
      <c r="C3300" s="1" t="s">
        <v>163</v>
      </c>
      <c r="D3300">
        <v>5489</v>
      </c>
      <c r="E3300" s="1"/>
      <c r="F3300" s="1" t="s">
        <v>163</v>
      </c>
      <c r="G3300" s="1" t="s">
        <v>163</v>
      </c>
      <c r="H3300" s="1" t="s">
        <v>1405</v>
      </c>
      <c r="I3300">
        <v>2014</v>
      </c>
      <c r="J3300" s="93">
        <v>201520.44</v>
      </c>
      <c r="K3300">
        <v>12</v>
      </c>
      <c r="L3300" s="1"/>
      <c r="M3300">
        <v>0</v>
      </c>
      <c r="N3300">
        <v>2801</v>
      </c>
      <c r="O3300">
        <v>71.943321999999995</v>
      </c>
      <c r="P3300">
        <v>1</v>
      </c>
      <c r="Q3300" s="1" t="s">
        <v>564</v>
      </c>
      <c r="R3300" s="93">
        <v>237319.17</v>
      </c>
      <c r="S3300">
        <v>50188.61</v>
      </c>
      <c r="T3300">
        <v>0</v>
      </c>
      <c r="U3300" s="1" t="s">
        <v>815</v>
      </c>
      <c r="V3300" s="1" t="s">
        <v>1208</v>
      </c>
      <c r="W3300">
        <v>18659.3</v>
      </c>
      <c r="X3300">
        <v>0</v>
      </c>
      <c r="Y3300">
        <v>58006</v>
      </c>
    </row>
    <row r="3301" spans="1:25" ht="15" hidden="1" customHeight="1" x14ac:dyDescent="0.25">
      <c r="A3301" s="1" t="s">
        <v>37</v>
      </c>
      <c r="B3301" s="1"/>
      <c r="C3301" s="1" t="s">
        <v>195</v>
      </c>
      <c r="D3301">
        <v>9518</v>
      </c>
      <c r="E3301" s="1"/>
      <c r="F3301" s="1" t="s">
        <v>327</v>
      </c>
      <c r="G3301" s="1" t="s">
        <v>195</v>
      </c>
      <c r="H3301" s="1" t="s">
        <v>1405</v>
      </c>
      <c r="I3301">
        <v>2014</v>
      </c>
      <c r="J3301" s="93">
        <v>446.02</v>
      </c>
      <c r="K3301">
        <v>12</v>
      </c>
      <c r="L3301" s="1"/>
      <c r="M3301">
        <v>0</v>
      </c>
      <c r="N3301">
        <v>2128</v>
      </c>
      <c r="O3301">
        <v>0.20958599999999999</v>
      </c>
      <c r="P3301">
        <v>3</v>
      </c>
      <c r="Q3301" s="1" t="s">
        <v>560</v>
      </c>
      <c r="R3301" s="93">
        <v>446.02</v>
      </c>
      <c r="S3301">
        <v>356.82</v>
      </c>
      <c r="T3301">
        <v>0</v>
      </c>
      <c r="U3301" s="1"/>
      <c r="V3301" s="1"/>
      <c r="W3301">
        <v>446.017</v>
      </c>
      <c r="X3301">
        <v>0</v>
      </c>
      <c r="Y3301">
        <v>74429</v>
      </c>
    </row>
    <row r="3302" spans="1:25" ht="15" hidden="1" customHeight="1" x14ac:dyDescent="0.25">
      <c r="A3302" s="1" t="s">
        <v>37</v>
      </c>
      <c r="B3302" s="1"/>
      <c r="C3302" s="1" t="s">
        <v>195</v>
      </c>
      <c r="D3302">
        <v>9519</v>
      </c>
      <c r="E3302" s="1"/>
      <c r="F3302" s="1" t="s">
        <v>328</v>
      </c>
      <c r="G3302" s="1" t="s">
        <v>195</v>
      </c>
      <c r="H3302" s="1" t="s">
        <v>1405</v>
      </c>
      <c r="I3302">
        <v>2014</v>
      </c>
      <c r="J3302" s="93">
        <v>162.49</v>
      </c>
      <c r="K3302">
        <v>12</v>
      </c>
      <c r="L3302" s="1"/>
      <c r="M3302">
        <v>0</v>
      </c>
      <c r="N3302">
        <v>353</v>
      </c>
      <c r="O3302">
        <v>0.46018100000000001</v>
      </c>
      <c r="P3302">
        <v>3</v>
      </c>
      <c r="Q3302" s="1" t="s">
        <v>560</v>
      </c>
      <c r="R3302" s="93">
        <v>162.49</v>
      </c>
      <c r="S3302">
        <v>130.01</v>
      </c>
      <c r="T3302">
        <v>0</v>
      </c>
      <c r="U3302" s="1"/>
      <c r="V3302" s="1"/>
      <c r="W3302">
        <v>162.48599999999999</v>
      </c>
      <c r="X3302">
        <v>0</v>
      </c>
      <c r="Y3302">
        <v>74432</v>
      </c>
    </row>
    <row r="3303" spans="1:25" ht="15" hidden="1" customHeight="1" x14ac:dyDescent="0.25">
      <c r="A3303" s="1" t="s">
        <v>37</v>
      </c>
      <c r="B3303" s="1"/>
      <c r="C3303" s="1" t="s">
        <v>195</v>
      </c>
      <c r="D3303">
        <v>9519</v>
      </c>
      <c r="E3303" s="1"/>
      <c r="F3303" s="1" t="s">
        <v>328</v>
      </c>
      <c r="G3303" s="1" t="s">
        <v>195</v>
      </c>
      <c r="H3303" s="1" t="s">
        <v>1405</v>
      </c>
      <c r="I3303">
        <v>2013</v>
      </c>
      <c r="J3303" s="93">
        <v>9876.92</v>
      </c>
      <c r="K3303">
        <v>12</v>
      </c>
      <c r="L3303" s="1"/>
      <c r="M3303">
        <v>0</v>
      </c>
      <c r="N3303">
        <v>353</v>
      </c>
      <c r="O3303">
        <v>27.972019</v>
      </c>
      <c r="P3303">
        <v>2</v>
      </c>
      <c r="Q3303" s="1" t="s">
        <v>569</v>
      </c>
      <c r="R3303" s="93">
        <v>9876.92</v>
      </c>
      <c r="S3303">
        <v>2963.07</v>
      </c>
      <c r="T3303">
        <v>1</v>
      </c>
      <c r="U3303" s="1"/>
      <c r="V3303" s="1"/>
      <c r="W3303">
        <v>9876.9233000000004</v>
      </c>
      <c r="X3303">
        <v>0</v>
      </c>
      <c r="Y3303">
        <v>74431</v>
      </c>
    </row>
    <row r="3304" spans="1:25" ht="15" hidden="1" customHeight="1" x14ac:dyDescent="0.25">
      <c r="A3304" s="1" t="s">
        <v>37</v>
      </c>
      <c r="B3304" s="1" t="s">
        <v>81</v>
      </c>
      <c r="C3304" s="1" t="s">
        <v>196</v>
      </c>
      <c r="D3304">
        <v>5481</v>
      </c>
      <c r="E3304" s="1"/>
      <c r="F3304" s="1" t="s">
        <v>330</v>
      </c>
      <c r="G3304" s="1" t="s">
        <v>1399</v>
      </c>
      <c r="H3304" s="1" t="s">
        <v>1405</v>
      </c>
      <c r="I3304">
        <v>2013</v>
      </c>
      <c r="J3304" s="93">
        <v>38751.71</v>
      </c>
      <c r="K3304">
        <v>12</v>
      </c>
      <c r="L3304" s="1" t="s">
        <v>402</v>
      </c>
      <c r="M3304">
        <v>0</v>
      </c>
      <c r="N3304">
        <v>1273</v>
      </c>
      <c r="O3304">
        <v>30.438856999999999</v>
      </c>
      <c r="P3304">
        <v>2</v>
      </c>
      <c r="Q3304" s="1" t="s">
        <v>569</v>
      </c>
      <c r="R3304" s="93">
        <v>38751.71</v>
      </c>
      <c r="S3304">
        <v>15500.69</v>
      </c>
      <c r="T3304">
        <v>0</v>
      </c>
      <c r="U3304" s="1" t="s">
        <v>1078</v>
      </c>
      <c r="V3304" s="1" t="s">
        <v>1333</v>
      </c>
      <c r="W3304">
        <v>38751.72</v>
      </c>
      <c r="X3304">
        <v>0</v>
      </c>
      <c r="Y3304">
        <v>57944</v>
      </c>
    </row>
    <row r="3305" spans="1:25" ht="15" hidden="1" customHeight="1" x14ac:dyDescent="0.25">
      <c r="A3305" s="1" t="s">
        <v>37</v>
      </c>
      <c r="B3305" s="1" t="s">
        <v>81</v>
      </c>
      <c r="C3305" s="1" t="s">
        <v>196</v>
      </c>
      <c r="D3305">
        <v>5481</v>
      </c>
      <c r="E3305" s="1"/>
      <c r="F3305" s="1" t="s">
        <v>330</v>
      </c>
      <c r="G3305" s="1" t="s">
        <v>1399</v>
      </c>
      <c r="H3305" s="1" t="s">
        <v>1396</v>
      </c>
      <c r="I3305">
        <v>2014</v>
      </c>
      <c r="J3305" s="93">
        <v>127714.85</v>
      </c>
      <c r="K3305">
        <v>12</v>
      </c>
      <c r="L3305" s="1" t="s">
        <v>496</v>
      </c>
      <c r="M3305">
        <v>0</v>
      </c>
      <c r="N3305">
        <v>1273</v>
      </c>
      <c r="O3305">
        <v>100.318003</v>
      </c>
      <c r="P3305">
        <v>1</v>
      </c>
      <c r="Q3305" s="1" t="s">
        <v>563</v>
      </c>
      <c r="R3305" s="93">
        <v>157779.35999999999</v>
      </c>
      <c r="S3305">
        <v>437250.56</v>
      </c>
      <c r="T3305">
        <v>1</v>
      </c>
      <c r="U3305" s="1" t="s">
        <v>861</v>
      </c>
      <c r="V3305" s="1"/>
      <c r="W3305">
        <v>3660.5001000000002</v>
      </c>
      <c r="X3305">
        <v>0</v>
      </c>
      <c r="Y3305">
        <v>58125</v>
      </c>
    </row>
    <row r="3306" spans="1:25" ht="15" hidden="1" customHeight="1" x14ac:dyDescent="0.25">
      <c r="A3306" s="1" t="s">
        <v>37</v>
      </c>
      <c r="B3306" s="1" t="s">
        <v>81</v>
      </c>
      <c r="C3306" s="1" t="s">
        <v>196</v>
      </c>
      <c r="D3306">
        <v>5479</v>
      </c>
      <c r="E3306" s="1"/>
      <c r="F3306" s="1" t="s">
        <v>331</v>
      </c>
      <c r="G3306" s="1" t="s">
        <v>1399</v>
      </c>
      <c r="H3306" s="1" t="s">
        <v>1396</v>
      </c>
      <c r="I3306">
        <v>2014</v>
      </c>
      <c r="J3306" s="93">
        <v>455740.15999999997</v>
      </c>
      <c r="K3306">
        <v>12</v>
      </c>
      <c r="L3306" s="1" t="s">
        <v>407</v>
      </c>
      <c r="M3306">
        <v>0</v>
      </c>
      <c r="N3306">
        <v>6089</v>
      </c>
      <c r="O3306">
        <v>74.845241000000001</v>
      </c>
      <c r="P3306">
        <v>1</v>
      </c>
      <c r="Q3306" s="1" t="s">
        <v>563</v>
      </c>
      <c r="R3306" s="93">
        <v>552392.28</v>
      </c>
      <c r="S3306">
        <v>1083632.17</v>
      </c>
      <c r="T3306">
        <v>1</v>
      </c>
      <c r="U3306" s="1" t="s">
        <v>862</v>
      </c>
      <c r="V3306" s="1"/>
      <c r="W3306">
        <v>13062.2</v>
      </c>
      <c r="X3306">
        <v>0</v>
      </c>
      <c r="Y3306">
        <v>57937</v>
      </c>
    </row>
    <row r="3307" spans="1:25" ht="15" hidden="1" customHeight="1" x14ac:dyDescent="0.25">
      <c r="A3307" s="1" t="s">
        <v>37</v>
      </c>
      <c r="B3307" s="1" t="s">
        <v>81</v>
      </c>
      <c r="C3307" s="1" t="s">
        <v>196</v>
      </c>
      <c r="D3307">
        <v>5480</v>
      </c>
      <c r="E3307" s="1"/>
      <c r="F3307" s="1" t="s">
        <v>329</v>
      </c>
      <c r="G3307" s="1" t="s">
        <v>1399</v>
      </c>
      <c r="H3307" s="1" t="s">
        <v>1396</v>
      </c>
      <c r="I3307">
        <v>2014</v>
      </c>
      <c r="J3307" s="93">
        <v>120.95</v>
      </c>
      <c r="K3307">
        <v>12</v>
      </c>
      <c r="L3307" s="1" t="s">
        <v>402</v>
      </c>
      <c r="M3307">
        <v>0</v>
      </c>
      <c r="N3307">
        <v>0</v>
      </c>
      <c r="O3307">
        <v>1209.5</v>
      </c>
      <c r="P3307">
        <v>3</v>
      </c>
      <c r="Q3307" s="1" t="s">
        <v>560</v>
      </c>
      <c r="R3307" s="93">
        <v>120.95</v>
      </c>
      <c r="S3307">
        <v>96.75</v>
      </c>
      <c r="T3307">
        <v>1</v>
      </c>
      <c r="U3307" s="1" t="s">
        <v>685</v>
      </c>
      <c r="V3307" s="1"/>
      <c r="W3307">
        <v>120.944</v>
      </c>
      <c r="X3307">
        <v>0</v>
      </c>
      <c r="Y3307">
        <v>57940</v>
      </c>
    </row>
    <row r="3308" spans="1:25" ht="15" hidden="1" customHeight="1" x14ac:dyDescent="0.25">
      <c r="A3308" s="1" t="s">
        <v>37</v>
      </c>
      <c r="B3308" s="1" t="s">
        <v>81</v>
      </c>
      <c r="C3308" s="1" t="s">
        <v>196</v>
      </c>
      <c r="D3308">
        <v>5481</v>
      </c>
      <c r="E3308" s="1"/>
      <c r="F3308" s="1" t="s">
        <v>330</v>
      </c>
      <c r="G3308" s="1" t="s">
        <v>1399</v>
      </c>
      <c r="H3308" s="1" t="s">
        <v>1405</v>
      </c>
      <c r="I3308">
        <v>2014</v>
      </c>
      <c r="J3308" s="93">
        <v>25.9</v>
      </c>
      <c r="K3308">
        <v>12</v>
      </c>
      <c r="L3308" s="1" t="s">
        <v>402</v>
      </c>
      <c r="M3308">
        <v>0</v>
      </c>
      <c r="N3308">
        <v>1273</v>
      </c>
      <c r="O3308">
        <v>2.0344000000000001E-2</v>
      </c>
      <c r="P3308">
        <v>3</v>
      </c>
      <c r="Q3308" s="1" t="s">
        <v>560</v>
      </c>
      <c r="R3308" s="93">
        <v>25.9</v>
      </c>
      <c r="S3308">
        <v>20.71</v>
      </c>
      <c r="T3308">
        <v>1</v>
      </c>
      <c r="U3308" s="1" t="s">
        <v>686</v>
      </c>
      <c r="V3308" s="1"/>
      <c r="W3308">
        <v>25.891999999999999</v>
      </c>
      <c r="X3308">
        <v>0</v>
      </c>
      <c r="Y3308">
        <v>57946</v>
      </c>
    </row>
    <row r="3309" spans="1:25" ht="15" hidden="1" customHeight="1" x14ac:dyDescent="0.25">
      <c r="A3309" s="1" t="s">
        <v>37</v>
      </c>
      <c r="B3309" s="1" t="s">
        <v>81</v>
      </c>
      <c r="C3309" s="1" t="s">
        <v>196</v>
      </c>
      <c r="D3309">
        <v>5479</v>
      </c>
      <c r="E3309" s="1"/>
      <c r="F3309" s="1" t="s">
        <v>331</v>
      </c>
      <c r="G3309" s="1" t="s">
        <v>1399</v>
      </c>
      <c r="H3309" s="1" t="s">
        <v>1405</v>
      </c>
      <c r="I3309">
        <v>2014</v>
      </c>
      <c r="J3309" s="93">
        <v>1381.41</v>
      </c>
      <c r="K3309">
        <v>12</v>
      </c>
      <c r="L3309" s="1" t="s">
        <v>402</v>
      </c>
      <c r="M3309">
        <v>0</v>
      </c>
      <c r="N3309">
        <v>6089</v>
      </c>
      <c r="O3309">
        <v>0.22686600000000001</v>
      </c>
      <c r="P3309">
        <v>3</v>
      </c>
      <c r="Q3309" s="1" t="s">
        <v>560</v>
      </c>
      <c r="R3309" s="93">
        <v>1381.41</v>
      </c>
      <c r="S3309">
        <v>1105.1199999999999</v>
      </c>
      <c r="T3309">
        <v>0</v>
      </c>
      <c r="U3309" s="1" t="s">
        <v>687</v>
      </c>
      <c r="V3309" s="1"/>
      <c r="W3309">
        <v>1381.3979999999999</v>
      </c>
      <c r="X3309">
        <v>0</v>
      </c>
      <c r="Y3309">
        <v>57933</v>
      </c>
    </row>
    <row r="3310" spans="1:25" ht="15" hidden="1" customHeight="1" x14ac:dyDescent="0.25">
      <c r="A3310" s="1" t="s">
        <v>37</v>
      </c>
      <c r="B3310" s="1" t="s">
        <v>81</v>
      </c>
      <c r="C3310" s="1" t="s">
        <v>196</v>
      </c>
      <c r="D3310">
        <v>5481</v>
      </c>
      <c r="E3310" s="1"/>
      <c r="F3310" s="1" t="s">
        <v>330</v>
      </c>
      <c r="G3310" s="1" t="s">
        <v>1399</v>
      </c>
      <c r="H3310" s="1" t="s">
        <v>1405</v>
      </c>
      <c r="I3310">
        <v>2014</v>
      </c>
      <c r="J3310" s="93">
        <v>55250</v>
      </c>
      <c r="K3310">
        <v>12</v>
      </c>
      <c r="L3310" s="1" t="s">
        <v>495</v>
      </c>
      <c r="M3310">
        <v>0</v>
      </c>
      <c r="N3310">
        <v>1273</v>
      </c>
      <c r="O3310">
        <v>43.398004</v>
      </c>
      <c r="P3310">
        <v>1</v>
      </c>
      <c r="Q3310" s="1" t="s">
        <v>562</v>
      </c>
      <c r="R3310" s="93">
        <v>66389.56</v>
      </c>
      <c r="S3310">
        <v>5196340.97</v>
      </c>
      <c r="T3310">
        <v>0</v>
      </c>
      <c r="U3310" s="1" t="s">
        <v>861</v>
      </c>
      <c r="V3310" s="1"/>
      <c r="W3310">
        <v>55250.002</v>
      </c>
      <c r="X3310">
        <v>0</v>
      </c>
      <c r="Y3310">
        <v>57945</v>
      </c>
    </row>
    <row r="3311" spans="1:25" ht="15" hidden="1" customHeight="1" x14ac:dyDescent="0.25">
      <c r="A3311" s="1" t="s">
        <v>37</v>
      </c>
      <c r="B3311" s="1" t="s">
        <v>81</v>
      </c>
      <c r="C3311" s="1" t="s">
        <v>196</v>
      </c>
      <c r="D3311">
        <v>5479</v>
      </c>
      <c r="E3311" s="1"/>
      <c r="F3311" s="1" t="s">
        <v>331</v>
      </c>
      <c r="G3311" s="1" t="s">
        <v>1399</v>
      </c>
      <c r="H3311" s="1" t="s">
        <v>1405</v>
      </c>
      <c r="I3311">
        <v>2014</v>
      </c>
      <c r="J3311" s="93">
        <v>466093.5</v>
      </c>
      <c r="K3311">
        <v>12</v>
      </c>
      <c r="L3311" s="1" t="s">
        <v>407</v>
      </c>
      <c r="M3311">
        <v>0</v>
      </c>
      <c r="N3311">
        <v>6089</v>
      </c>
      <c r="O3311">
        <v>76.545547999999997</v>
      </c>
      <c r="P3311">
        <v>1</v>
      </c>
      <c r="Q3311" s="1" t="s">
        <v>562</v>
      </c>
      <c r="R3311" s="93">
        <v>584293.34</v>
      </c>
      <c r="S3311">
        <v>43319597</v>
      </c>
      <c r="T3311">
        <v>0</v>
      </c>
      <c r="U3311" s="1" t="s">
        <v>862</v>
      </c>
      <c r="V3311" s="1"/>
      <c r="W3311">
        <v>570505.48349999997</v>
      </c>
      <c r="X3311">
        <v>0</v>
      </c>
      <c r="Y3311">
        <v>57932</v>
      </c>
    </row>
    <row r="3312" spans="1:25" ht="15" hidden="1" customHeight="1" x14ac:dyDescent="0.25">
      <c r="A3312" s="1" t="s">
        <v>37</v>
      </c>
      <c r="B3312" s="1" t="s">
        <v>81</v>
      </c>
      <c r="C3312" s="1" t="s">
        <v>196</v>
      </c>
      <c r="D3312">
        <v>5479</v>
      </c>
      <c r="E3312" s="1"/>
      <c r="F3312" s="1" t="s">
        <v>331</v>
      </c>
      <c r="G3312" s="1" t="s">
        <v>1399</v>
      </c>
      <c r="H3312" s="1" t="s">
        <v>1405</v>
      </c>
      <c r="I3312">
        <v>2013</v>
      </c>
      <c r="J3312" s="93">
        <v>92200.11</v>
      </c>
      <c r="K3312">
        <v>12</v>
      </c>
      <c r="L3312" s="1" t="s">
        <v>402</v>
      </c>
      <c r="M3312">
        <v>0</v>
      </c>
      <c r="N3312">
        <v>6089</v>
      </c>
      <c r="O3312">
        <v>15.141828</v>
      </c>
      <c r="P3312">
        <v>2</v>
      </c>
      <c r="Q3312" s="1" t="s">
        <v>569</v>
      </c>
      <c r="R3312" s="93">
        <v>92200.11</v>
      </c>
      <c r="S3312">
        <v>36880.04</v>
      </c>
      <c r="T3312">
        <v>0</v>
      </c>
      <c r="U3312" s="1" t="s">
        <v>1079</v>
      </c>
      <c r="V3312" s="1" t="s">
        <v>1334</v>
      </c>
      <c r="W3312">
        <v>92200.114400000006</v>
      </c>
      <c r="X3312">
        <v>0</v>
      </c>
      <c r="Y3312">
        <v>57931</v>
      </c>
    </row>
    <row r="3313" spans="1:25" ht="15" hidden="1" customHeight="1" x14ac:dyDescent="0.25">
      <c r="A3313" s="1" t="s">
        <v>37</v>
      </c>
      <c r="B3313" s="1" t="s">
        <v>81</v>
      </c>
      <c r="C3313" s="1" t="s">
        <v>196</v>
      </c>
      <c r="D3313">
        <v>13265</v>
      </c>
      <c r="E3313" s="1"/>
      <c r="F3313" s="1" t="s">
        <v>384</v>
      </c>
      <c r="G3313" s="1" t="s">
        <v>1399</v>
      </c>
      <c r="H3313" s="1" t="s">
        <v>1405</v>
      </c>
      <c r="I3313">
        <v>2013</v>
      </c>
      <c r="J3313" s="93">
        <v>159172.20000000001</v>
      </c>
      <c r="K3313">
        <v>12</v>
      </c>
      <c r="L3313" s="1"/>
      <c r="M3313">
        <v>0</v>
      </c>
      <c r="N3313">
        <v>3000</v>
      </c>
      <c r="O3313">
        <v>53.055630999999998</v>
      </c>
      <c r="P3313">
        <v>2</v>
      </c>
      <c r="Q3313" s="1" t="s">
        <v>569</v>
      </c>
      <c r="R3313" s="93">
        <v>159172.20000000001</v>
      </c>
      <c r="S3313">
        <v>47751.66</v>
      </c>
      <c r="T3313">
        <v>0</v>
      </c>
      <c r="U3313" s="1" t="s">
        <v>1080</v>
      </c>
      <c r="V3313" s="1" t="s">
        <v>1335</v>
      </c>
      <c r="W3313">
        <v>159172.20000000001</v>
      </c>
      <c r="X3313">
        <v>0</v>
      </c>
      <c r="Y3313">
        <v>90713</v>
      </c>
    </row>
    <row r="3314" spans="1:25" ht="15" hidden="1" customHeight="1" x14ac:dyDescent="0.25">
      <c r="A3314" s="1" t="s">
        <v>37</v>
      </c>
      <c r="B3314" s="1"/>
      <c r="C3314" s="1" t="s">
        <v>197</v>
      </c>
      <c r="D3314">
        <v>10161</v>
      </c>
      <c r="E3314" s="1"/>
      <c r="F3314" s="1" t="s">
        <v>332</v>
      </c>
      <c r="G3314" s="1" t="s">
        <v>197</v>
      </c>
      <c r="H3314" s="1" t="s">
        <v>1405</v>
      </c>
      <c r="I3314">
        <v>2013</v>
      </c>
      <c r="J3314" s="93">
        <v>6023.46</v>
      </c>
      <c r="K3314">
        <v>12</v>
      </c>
      <c r="L3314" s="1" t="s">
        <v>426</v>
      </c>
      <c r="M3314">
        <v>0</v>
      </c>
      <c r="N3314">
        <v>265</v>
      </c>
      <c r="O3314">
        <v>22.721463</v>
      </c>
      <c r="P3314">
        <v>2</v>
      </c>
      <c r="Q3314" s="1" t="s">
        <v>569</v>
      </c>
      <c r="R3314" s="93">
        <v>6023.46</v>
      </c>
      <c r="S3314">
        <v>1807.03</v>
      </c>
      <c r="T3314">
        <v>0</v>
      </c>
      <c r="U3314" s="1" t="s">
        <v>1082</v>
      </c>
      <c r="V3314" s="1"/>
      <c r="W3314">
        <v>6023.442</v>
      </c>
      <c r="X3314">
        <v>0</v>
      </c>
      <c r="Y3314">
        <v>77142</v>
      </c>
    </row>
    <row r="3315" spans="1:25" ht="15" hidden="1" customHeight="1" x14ac:dyDescent="0.25">
      <c r="A3315" s="1" t="s">
        <v>37</v>
      </c>
      <c r="B3315" s="1"/>
      <c r="C3315" s="1" t="s">
        <v>197</v>
      </c>
      <c r="D3315">
        <v>10161</v>
      </c>
      <c r="E3315" s="1"/>
      <c r="F3315" s="1" t="s">
        <v>332</v>
      </c>
      <c r="G3315" s="1" t="s">
        <v>197</v>
      </c>
      <c r="H3315" s="1" t="s">
        <v>1405</v>
      </c>
      <c r="I3315">
        <v>2014</v>
      </c>
      <c r="J3315" s="93">
        <v>67.39</v>
      </c>
      <c r="K3315">
        <v>12</v>
      </c>
      <c r="L3315" s="1"/>
      <c r="M3315">
        <v>0</v>
      </c>
      <c r="N3315">
        <v>265</v>
      </c>
      <c r="O3315">
        <v>0.25420500000000001</v>
      </c>
      <c r="P3315">
        <v>3</v>
      </c>
      <c r="Q3315" s="1" t="s">
        <v>561</v>
      </c>
      <c r="R3315" s="93">
        <v>67.39</v>
      </c>
      <c r="S3315">
        <v>0</v>
      </c>
      <c r="T3315">
        <v>0</v>
      </c>
      <c r="U3315" s="1" t="s">
        <v>688</v>
      </c>
      <c r="V3315" s="1"/>
      <c r="W3315">
        <v>67389.000230000005</v>
      </c>
      <c r="X3315">
        <v>0</v>
      </c>
      <c r="Y3315">
        <v>92156</v>
      </c>
    </row>
    <row r="3316" spans="1:25" ht="15" hidden="1" customHeight="1" x14ac:dyDescent="0.25">
      <c r="A3316" s="1" t="s">
        <v>37</v>
      </c>
      <c r="B3316" s="1"/>
      <c r="C3316" s="1" t="s">
        <v>197</v>
      </c>
      <c r="D3316">
        <v>10161</v>
      </c>
      <c r="E3316" s="1"/>
      <c r="F3316" s="1" t="s">
        <v>332</v>
      </c>
      <c r="G3316" s="1" t="s">
        <v>197</v>
      </c>
      <c r="H3316" s="1" t="s">
        <v>1405</v>
      </c>
      <c r="I3316">
        <v>2014</v>
      </c>
      <c r="J3316" s="93">
        <v>23963</v>
      </c>
      <c r="K3316">
        <v>12</v>
      </c>
      <c r="L3316" s="1" t="s">
        <v>497</v>
      </c>
      <c r="M3316">
        <v>0</v>
      </c>
      <c r="N3316">
        <v>265</v>
      </c>
      <c r="O3316">
        <v>90.392303999999996</v>
      </c>
      <c r="P3316">
        <v>1</v>
      </c>
      <c r="Q3316" s="1" t="s">
        <v>562</v>
      </c>
      <c r="R3316" s="93">
        <v>28152.75</v>
      </c>
      <c r="S3316">
        <v>1801.77</v>
      </c>
      <c r="T3316">
        <v>0</v>
      </c>
      <c r="U3316" s="1" t="s">
        <v>863</v>
      </c>
      <c r="V3316" s="1"/>
      <c r="W3316">
        <v>23962.999899999999</v>
      </c>
      <c r="X3316">
        <v>0</v>
      </c>
      <c r="Y3316">
        <v>77152</v>
      </c>
    </row>
    <row r="3317" spans="1:25" ht="15" hidden="1" customHeight="1" x14ac:dyDescent="0.25">
      <c r="A3317" s="1" t="s">
        <v>37</v>
      </c>
      <c r="B3317" s="1" t="s">
        <v>82</v>
      </c>
      <c r="C3317" s="1" t="s">
        <v>198</v>
      </c>
      <c r="D3317">
        <v>6369</v>
      </c>
      <c r="E3317" s="1"/>
      <c r="F3317" s="1" t="s">
        <v>333</v>
      </c>
      <c r="G3317" s="1" t="s">
        <v>334</v>
      </c>
      <c r="H3317" s="1" t="s">
        <v>1405</v>
      </c>
      <c r="I3317">
        <v>2013</v>
      </c>
      <c r="J3317" s="93">
        <v>1950.51</v>
      </c>
      <c r="K3317">
        <v>12</v>
      </c>
      <c r="L3317" s="1" t="s">
        <v>411</v>
      </c>
      <c r="M3317">
        <v>0</v>
      </c>
      <c r="N3317">
        <v>110</v>
      </c>
      <c r="O3317">
        <v>17.715803000000001</v>
      </c>
      <c r="P3317">
        <v>2</v>
      </c>
      <c r="Q3317" s="1" t="s">
        <v>569</v>
      </c>
      <c r="R3317" s="93">
        <v>1950.51</v>
      </c>
      <c r="S3317">
        <v>780.2</v>
      </c>
      <c r="T3317">
        <v>0</v>
      </c>
      <c r="U3317" s="1" t="s">
        <v>1083</v>
      </c>
      <c r="V3317" s="1" t="s">
        <v>1336</v>
      </c>
      <c r="W3317">
        <v>1950.501</v>
      </c>
      <c r="X3317">
        <v>0</v>
      </c>
      <c r="Y3317">
        <v>62718</v>
      </c>
    </row>
    <row r="3318" spans="1:25" ht="15" hidden="1" customHeight="1" x14ac:dyDescent="0.25">
      <c r="A3318" s="1" t="s">
        <v>36</v>
      </c>
      <c r="B3318" s="1" t="s">
        <v>78</v>
      </c>
      <c r="C3318" s="1" t="s">
        <v>186</v>
      </c>
      <c r="D3318">
        <v>13266</v>
      </c>
      <c r="E3318" s="1" t="s">
        <v>243</v>
      </c>
      <c r="F3318" s="1" t="s">
        <v>316</v>
      </c>
      <c r="G3318" s="1" t="s">
        <v>186</v>
      </c>
      <c r="H3318" s="1" t="s">
        <v>1405</v>
      </c>
      <c r="I3318">
        <v>2014</v>
      </c>
      <c r="J3318" s="93">
        <v>259967.44</v>
      </c>
      <c r="K3318">
        <v>12</v>
      </c>
      <c r="L3318" s="1" t="s">
        <v>443</v>
      </c>
      <c r="M3318">
        <v>0</v>
      </c>
      <c r="N3318">
        <v>1357</v>
      </c>
      <c r="O3318">
        <v>191.56100499999999</v>
      </c>
      <c r="P3318">
        <v>1</v>
      </c>
      <c r="Q3318" s="1" t="s">
        <v>564</v>
      </c>
      <c r="R3318" s="93">
        <v>312957.95</v>
      </c>
      <c r="S3318">
        <v>66184.820000000007</v>
      </c>
      <c r="T3318">
        <v>0</v>
      </c>
      <c r="U3318" s="1" t="s">
        <v>844</v>
      </c>
      <c r="V3318" s="1"/>
      <c r="W3318">
        <v>24071.06</v>
      </c>
      <c r="X3318">
        <v>0</v>
      </c>
      <c r="Y3318">
        <v>90993</v>
      </c>
    </row>
    <row r="3319" spans="1:25" ht="15" hidden="1" customHeight="1" x14ac:dyDescent="0.25">
      <c r="A3319" s="1" t="s">
        <v>36</v>
      </c>
      <c r="B3319" s="1"/>
      <c r="C3319" s="1" t="s">
        <v>187</v>
      </c>
      <c r="D3319">
        <v>10323</v>
      </c>
      <c r="E3319" s="1"/>
      <c r="F3319" s="1" t="s">
        <v>187</v>
      </c>
      <c r="G3319" s="1" t="s">
        <v>187</v>
      </c>
      <c r="H3319" s="1" t="s">
        <v>1405</v>
      </c>
      <c r="I3319">
        <v>2014</v>
      </c>
      <c r="J3319" s="93">
        <v>278683.52000000002</v>
      </c>
      <c r="K3319">
        <v>12</v>
      </c>
      <c r="L3319" s="1" t="s">
        <v>482</v>
      </c>
      <c r="M3319">
        <v>0</v>
      </c>
      <c r="N3319">
        <v>2114</v>
      </c>
      <c r="O3319">
        <v>131.82135099999999</v>
      </c>
      <c r="P3319">
        <v>1</v>
      </c>
      <c r="Q3319" s="1" t="s">
        <v>564</v>
      </c>
      <c r="R3319" s="93">
        <v>326354.89</v>
      </c>
      <c r="S3319">
        <v>69018.009999999995</v>
      </c>
      <c r="T3319">
        <v>0</v>
      </c>
      <c r="U3319" s="1" t="s">
        <v>845</v>
      </c>
      <c r="V3319" s="1" t="s">
        <v>1218</v>
      </c>
      <c r="W3319">
        <v>25804.03</v>
      </c>
      <c r="X3319">
        <v>0</v>
      </c>
      <c r="Y3319">
        <v>77831</v>
      </c>
    </row>
    <row r="3320" spans="1:25" ht="15" hidden="1" customHeight="1" x14ac:dyDescent="0.25">
      <c r="A3320" s="1" t="s">
        <v>37</v>
      </c>
      <c r="B3320" s="1" t="s">
        <v>82</v>
      </c>
      <c r="C3320" s="1" t="s">
        <v>198</v>
      </c>
      <c r="D3320">
        <v>6369</v>
      </c>
      <c r="E3320" s="1"/>
      <c r="F3320" s="1" t="s">
        <v>333</v>
      </c>
      <c r="G3320" s="1" t="s">
        <v>334</v>
      </c>
      <c r="H3320" s="1" t="s">
        <v>1405</v>
      </c>
      <c r="I3320">
        <v>2014</v>
      </c>
      <c r="J3320" s="93">
        <v>13.38</v>
      </c>
      <c r="K3320">
        <v>12</v>
      </c>
      <c r="L3320" s="1" t="s">
        <v>399</v>
      </c>
      <c r="M3320">
        <v>0</v>
      </c>
      <c r="N3320">
        <v>110</v>
      </c>
      <c r="O3320">
        <v>0.12152499999999999</v>
      </c>
      <c r="P3320">
        <v>3</v>
      </c>
      <c r="Q3320" s="1" t="s">
        <v>560</v>
      </c>
      <c r="R3320" s="93">
        <v>13.38</v>
      </c>
      <c r="S3320">
        <v>10.68</v>
      </c>
      <c r="T3320">
        <v>0</v>
      </c>
      <c r="U3320" s="1" t="s">
        <v>689</v>
      </c>
      <c r="V3320" s="1"/>
      <c r="W3320">
        <v>13.358000000000001</v>
      </c>
      <c r="X3320">
        <v>0</v>
      </c>
      <c r="Y3320">
        <v>62720</v>
      </c>
    </row>
    <row r="3321" spans="1:25" ht="15" hidden="1" customHeight="1" x14ac:dyDescent="0.25">
      <c r="A3321" s="1" t="s">
        <v>37</v>
      </c>
      <c r="B3321" s="1" t="s">
        <v>82</v>
      </c>
      <c r="C3321" s="1" t="s">
        <v>199</v>
      </c>
      <c r="D3321">
        <v>5474</v>
      </c>
      <c r="E3321" s="1"/>
      <c r="F3321" s="1" t="s">
        <v>334</v>
      </c>
      <c r="G3321" s="1" t="s">
        <v>334</v>
      </c>
      <c r="H3321" s="1" t="s">
        <v>1405</v>
      </c>
      <c r="I3321">
        <v>2013</v>
      </c>
      <c r="J3321" s="93">
        <v>190219.44</v>
      </c>
      <c r="K3321">
        <v>12</v>
      </c>
      <c r="L3321" s="1" t="s">
        <v>393</v>
      </c>
      <c r="M3321">
        <v>0</v>
      </c>
      <c r="N3321">
        <v>10600</v>
      </c>
      <c r="O3321">
        <v>17.945060000000002</v>
      </c>
      <c r="P3321">
        <v>2</v>
      </c>
      <c r="Q3321" s="1" t="s">
        <v>569</v>
      </c>
      <c r="R3321" s="93">
        <v>190219.44</v>
      </c>
      <c r="S3321">
        <v>76087.77</v>
      </c>
      <c r="T3321">
        <v>0</v>
      </c>
      <c r="U3321" s="1" t="s">
        <v>1084</v>
      </c>
      <c r="V3321" s="1" t="s">
        <v>1337</v>
      </c>
      <c r="W3321">
        <v>190219.44</v>
      </c>
      <c r="X3321">
        <v>0</v>
      </c>
      <c r="Y3321">
        <v>57910</v>
      </c>
    </row>
    <row r="3322" spans="1:25" ht="15" hidden="1" customHeight="1" x14ac:dyDescent="0.25">
      <c r="A3322" s="1" t="s">
        <v>37</v>
      </c>
      <c r="B3322" s="1" t="s">
        <v>82</v>
      </c>
      <c r="C3322" s="1" t="s">
        <v>199</v>
      </c>
      <c r="D3322">
        <v>5474</v>
      </c>
      <c r="E3322" s="1"/>
      <c r="F3322" s="1" t="s">
        <v>334</v>
      </c>
      <c r="G3322" s="1" t="s">
        <v>334</v>
      </c>
      <c r="H3322" s="1" t="s">
        <v>1405</v>
      </c>
      <c r="I3322">
        <v>2014</v>
      </c>
      <c r="J3322" s="93">
        <v>1743.44</v>
      </c>
      <c r="K3322">
        <v>12</v>
      </c>
      <c r="L3322" s="1" t="s">
        <v>393</v>
      </c>
      <c r="M3322">
        <v>0</v>
      </c>
      <c r="N3322">
        <v>10600</v>
      </c>
      <c r="O3322">
        <v>0.16447300000000001</v>
      </c>
      <c r="P3322">
        <v>3</v>
      </c>
      <c r="Q3322" s="1" t="s">
        <v>560</v>
      </c>
      <c r="R3322" s="93">
        <v>1743.44</v>
      </c>
      <c r="S3322">
        <v>1394.75</v>
      </c>
      <c r="T3322">
        <v>0</v>
      </c>
      <c r="U3322" s="1" t="s">
        <v>690</v>
      </c>
      <c r="V3322" s="1"/>
      <c r="W3322">
        <v>1743.44</v>
      </c>
      <c r="X3322">
        <v>0</v>
      </c>
      <c r="Y3322">
        <v>57911</v>
      </c>
    </row>
    <row r="3323" spans="1:25" ht="15" hidden="1" customHeight="1" x14ac:dyDescent="0.25">
      <c r="A3323" s="1" t="s">
        <v>37</v>
      </c>
      <c r="B3323" s="1" t="s">
        <v>82</v>
      </c>
      <c r="C3323" s="1" t="s">
        <v>199</v>
      </c>
      <c r="D3323">
        <v>5474</v>
      </c>
      <c r="E3323" s="1"/>
      <c r="F3323" s="1" t="s">
        <v>334</v>
      </c>
      <c r="G3323" s="1" t="s">
        <v>334</v>
      </c>
      <c r="H3323" s="1" t="s">
        <v>1405</v>
      </c>
      <c r="I3323">
        <v>2014</v>
      </c>
      <c r="J3323" s="93">
        <v>317.54000000000002</v>
      </c>
      <c r="K3323">
        <v>12</v>
      </c>
      <c r="L3323" s="1" t="s">
        <v>402</v>
      </c>
      <c r="M3323">
        <v>0</v>
      </c>
      <c r="N3323">
        <v>10600</v>
      </c>
      <c r="O3323">
        <v>2.9956E-2</v>
      </c>
      <c r="P3323">
        <v>3</v>
      </c>
      <c r="Q3323" s="1" t="s">
        <v>560</v>
      </c>
      <c r="R3323" s="93">
        <v>317.54000000000002</v>
      </c>
      <c r="S3323">
        <v>0</v>
      </c>
      <c r="T3323">
        <v>1</v>
      </c>
      <c r="U3323" s="1" t="s">
        <v>588</v>
      </c>
      <c r="V3323" s="1"/>
      <c r="W3323">
        <v>317.54000000000002</v>
      </c>
      <c r="X3323">
        <v>0</v>
      </c>
      <c r="Y3323">
        <v>58235</v>
      </c>
    </row>
    <row r="3324" spans="1:25" ht="15" hidden="1" customHeight="1" x14ac:dyDescent="0.25">
      <c r="A3324" s="1" t="s">
        <v>37</v>
      </c>
      <c r="B3324" s="1"/>
      <c r="C3324" s="1" t="s">
        <v>238</v>
      </c>
      <c r="D3324">
        <v>5534</v>
      </c>
      <c r="E3324" s="1"/>
      <c r="F3324" s="1" t="s">
        <v>385</v>
      </c>
      <c r="G3324" s="1" t="s">
        <v>238</v>
      </c>
      <c r="H3324" s="1" t="s">
        <v>1405</v>
      </c>
      <c r="I3324">
        <v>2013</v>
      </c>
      <c r="J3324" s="93">
        <v>16773.95</v>
      </c>
      <c r="K3324">
        <v>12</v>
      </c>
      <c r="L3324" s="1" t="s">
        <v>543</v>
      </c>
      <c r="M3324">
        <v>0</v>
      </c>
      <c r="N3324">
        <v>1021</v>
      </c>
      <c r="O3324">
        <v>16.427333000000001</v>
      </c>
      <c r="P3324">
        <v>2</v>
      </c>
      <c r="Q3324" s="1" t="s">
        <v>569</v>
      </c>
      <c r="R3324" s="93">
        <v>16773.95</v>
      </c>
      <c r="S3324">
        <v>6709.58</v>
      </c>
      <c r="T3324">
        <v>0</v>
      </c>
      <c r="U3324" s="1" t="s">
        <v>1085</v>
      </c>
      <c r="V3324" s="1"/>
      <c r="W3324">
        <v>16773.95</v>
      </c>
      <c r="X3324">
        <v>0</v>
      </c>
      <c r="Y3324">
        <v>58251</v>
      </c>
    </row>
    <row r="3325" spans="1:25" ht="15" hidden="1" customHeight="1" x14ac:dyDescent="0.25">
      <c r="A3325" s="1" t="s">
        <v>37</v>
      </c>
      <c r="B3325" s="1" t="s">
        <v>66</v>
      </c>
      <c r="C3325" s="1" t="s">
        <v>200</v>
      </c>
      <c r="D3325">
        <v>5471</v>
      </c>
      <c r="E3325" s="1"/>
      <c r="F3325" s="1" t="s">
        <v>335</v>
      </c>
      <c r="G3325" s="1" t="s">
        <v>200</v>
      </c>
      <c r="H3325" s="1" t="s">
        <v>1405</v>
      </c>
      <c r="I3325">
        <v>2013</v>
      </c>
      <c r="J3325" s="93">
        <v>227324</v>
      </c>
      <c r="K3325">
        <v>12</v>
      </c>
      <c r="L3325" s="1" t="s">
        <v>402</v>
      </c>
      <c r="M3325">
        <v>0</v>
      </c>
      <c r="N3325">
        <v>8656</v>
      </c>
      <c r="O3325">
        <v>26.261710999999998</v>
      </c>
      <c r="P3325">
        <v>2</v>
      </c>
      <c r="Q3325" s="1" t="s">
        <v>569</v>
      </c>
      <c r="R3325" s="93">
        <v>227324</v>
      </c>
      <c r="S3325">
        <v>90929.59</v>
      </c>
      <c r="T3325">
        <v>0</v>
      </c>
      <c r="U3325" s="1" t="s">
        <v>1086</v>
      </c>
      <c r="V3325" s="1" t="s">
        <v>1338</v>
      </c>
      <c r="W3325">
        <v>227324</v>
      </c>
      <c r="X3325">
        <v>0</v>
      </c>
      <c r="Y3325">
        <v>57890</v>
      </c>
    </row>
    <row r="3326" spans="1:25" ht="15" hidden="1" customHeight="1" x14ac:dyDescent="0.25">
      <c r="A3326" s="1" t="s">
        <v>37</v>
      </c>
      <c r="B3326" s="1" t="s">
        <v>66</v>
      </c>
      <c r="C3326" s="1" t="s">
        <v>200</v>
      </c>
      <c r="D3326">
        <v>5471</v>
      </c>
      <c r="E3326" s="1"/>
      <c r="F3326" s="1" t="s">
        <v>335</v>
      </c>
      <c r="G3326" s="1" t="s">
        <v>200</v>
      </c>
      <c r="H3326" s="1" t="s">
        <v>1396</v>
      </c>
      <c r="I3326">
        <v>2014</v>
      </c>
      <c r="J3326" s="93">
        <v>421097.88</v>
      </c>
      <c r="K3326">
        <v>12</v>
      </c>
      <c r="L3326" s="1" t="s">
        <v>393</v>
      </c>
      <c r="M3326">
        <v>0</v>
      </c>
      <c r="N3326">
        <v>8656</v>
      </c>
      <c r="O3326">
        <v>48.647528999999999</v>
      </c>
      <c r="P3326">
        <v>1</v>
      </c>
      <c r="Q3326" s="1" t="s">
        <v>563</v>
      </c>
      <c r="R3326" s="93">
        <v>504819.51</v>
      </c>
      <c r="S3326">
        <v>1200570.5</v>
      </c>
      <c r="T3326">
        <v>1</v>
      </c>
      <c r="U3326" s="1" t="s">
        <v>866</v>
      </c>
      <c r="V3326" s="1"/>
      <c r="W3326">
        <v>12069.3</v>
      </c>
      <c r="X3326">
        <v>0</v>
      </c>
      <c r="Y3326">
        <v>57897</v>
      </c>
    </row>
    <row r="3327" spans="1:25" ht="15" hidden="1" customHeight="1" x14ac:dyDescent="0.25">
      <c r="A3327" s="1" t="s">
        <v>37</v>
      </c>
      <c r="B3327" s="1" t="s">
        <v>66</v>
      </c>
      <c r="C3327" s="1" t="s">
        <v>200</v>
      </c>
      <c r="D3327">
        <v>5473</v>
      </c>
      <c r="E3327" s="1"/>
      <c r="F3327" s="1" t="s">
        <v>254</v>
      </c>
      <c r="G3327" s="1" t="s">
        <v>200</v>
      </c>
      <c r="H3327" s="1" t="s">
        <v>1396</v>
      </c>
      <c r="I3327">
        <v>2014</v>
      </c>
      <c r="J3327" s="93">
        <v>25.55</v>
      </c>
      <c r="K3327">
        <v>12</v>
      </c>
      <c r="L3327" s="1"/>
      <c r="M3327">
        <v>0</v>
      </c>
      <c r="N3327">
        <v>0</v>
      </c>
      <c r="O3327">
        <v>255.5</v>
      </c>
      <c r="P3327">
        <v>3</v>
      </c>
      <c r="Q3327" s="1" t="s">
        <v>560</v>
      </c>
      <c r="R3327" s="93">
        <v>25.55</v>
      </c>
      <c r="S3327">
        <v>20.43</v>
      </c>
      <c r="T3327">
        <v>1</v>
      </c>
      <c r="U3327" s="1" t="s">
        <v>685</v>
      </c>
      <c r="V3327" s="1"/>
      <c r="W3327">
        <v>25.55</v>
      </c>
      <c r="X3327">
        <v>0</v>
      </c>
      <c r="Y3327">
        <v>57899</v>
      </c>
    </row>
    <row r="3328" spans="1:25" ht="15" hidden="1" customHeight="1" x14ac:dyDescent="0.25">
      <c r="A3328" s="1" t="s">
        <v>37</v>
      </c>
      <c r="B3328" s="1" t="s">
        <v>66</v>
      </c>
      <c r="C3328" s="1" t="s">
        <v>200</v>
      </c>
      <c r="D3328">
        <v>5473</v>
      </c>
      <c r="E3328" s="1"/>
      <c r="F3328" s="1" t="s">
        <v>254</v>
      </c>
      <c r="G3328" s="1" t="s">
        <v>200</v>
      </c>
      <c r="H3328" s="1" t="s">
        <v>1396</v>
      </c>
      <c r="I3328">
        <v>2014</v>
      </c>
      <c r="J3328" s="93">
        <v>88.13</v>
      </c>
      <c r="K3328">
        <v>12</v>
      </c>
      <c r="L3328" s="1"/>
      <c r="M3328">
        <v>0</v>
      </c>
      <c r="N3328">
        <v>0</v>
      </c>
      <c r="O3328">
        <v>881.3</v>
      </c>
      <c r="P3328">
        <v>3</v>
      </c>
      <c r="Q3328" s="1" t="s">
        <v>560</v>
      </c>
      <c r="R3328" s="93">
        <v>88.13</v>
      </c>
      <c r="S3328">
        <v>70.510000000000005</v>
      </c>
      <c r="T3328">
        <v>1</v>
      </c>
      <c r="U3328" s="1" t="s">
        <v>691</v>
      </c>
      <c r="V3328" s="1"/>
      <c r="W3328">
        <v>88.13</v>
      </c>
      <c r="X3328">
        <v>0</v>
      </c>
      <c r="Y3328">
        <v>57900</v>
      </c>
    </row>
    <row r="3329" spans="1:25" ht="15" hidden="1" customHeight="1" x14ac:dyDescent="0.25">
      <c r="A3329" s="1" t="s">
        <v>37</v>
      </c>
      <c r="B3329" s="1" t="s">
        <v>66</v>
      </c>
      <c r="C3329" s="1" t="s">
        <v>200</v>
      </c>
      <c r="D3329">
        <v>5471</v>
      </c>
      <c r="E3329" s="1"/>
      <c r="F3329" s="1" t="s">
        <v>335</v>
      </c>
      <c r="G3329" s="1" t="s">
        <v>200</v>
      </c>
      <c r="H3329" s="1" t="s">
        <v>1405</v>
      </c>
      <c r="I3329">
        <v>2014</v>
      </c>
      <c r="J3329" s="93">
        <v>1530.31</v>
      </c>
      <c r="K3329">
        <v>12</v>
      </c>
      <c r="L3329" s="1" t="s">
        <v>393</v>
      </c>
      <c r="M3329">
        <v>0</v>
      </c>
      <c r="N3329">
        <v>8656</v>
      </c>
      <c r="O3329">
        <v>0.176789</v>
      </c>
      <c r="P3329">
        <v>3</v>
      </c>
      <c r="Q3329" s="1" t="s">
        <v>560</v>
      </c>
      <c r="R3329" s="93">
        <v>1530.31</v>
      </c>
      <c r="S3329">
        <v>1224.25</v>
      </c>
      <c r="T3329">
        <v>0</v>
      </c>
      <c r="U3329" s="1" t="s">
        <v>692</v>
      </c>
      <c r="V3329" s="1"/>
      <c r="W3329">
        <v>1530.31</v>
      </c>
      <c r="X3329">
        <v>0</v>
      </c>
      <c r="Y3329">
        <v>57892</v>
      </c>
    </row>
    <row r="3330" spans="1:25" ht="15" hidden="1" customHeight="1" x14ac:dyDescent="0.25">
      <c r="A3330" s="1" t="s">
        <v>37</v>
      </c>
      <c r="B3330" s="1" t="s">
        <v>66</v>
      </c>
      <c r="C3330" s="1" t="s">
        <v>200</v>
      </c>
      <c r="D3330">
        <v>5471</v>
      </c>
      <c r="E3330" s="1"/>
      <c r="F3330" s="1" t="s">
        <v>335</v>
      </c>
      <c r="G3330" s="1" t="s">
        <v>200</v>
      </c>
      <c r="H3330" s="1" t="s">
        <v>1405</v>
      </c>
      <c r="I3330">
        <v>2014</v>
      </c>
      <c r="J3330" s="93">
        <v>379350</v>
      </c>
      <c r="K3330">
        <v>12</v>
      </c>
      <c r="L3330" s="1" t="s">
        <v>393</v>
      </c>
      <c r="M3330">
        <v>0</v>
      </c>
      <c r="N3330">
        <v>8656</v>
      </c>
      <c r="O3330">
        <v>43.824585999999996</v>
      </c>
      <c r="P3330">
        <v>1</v>
      </c>
      <c r="Q3330" s="1" t="s">
        <v>562</v>
      </c>
      <c r="R3330" s="93">
        <v>461564.92</v>
      </c>
      <c r="S3330">
        <v>33779941.780000001</v>
      </c>
      <c r="T3330">
        <v>0</v>
      </c>
      <c r="U3330" s="1" t="s">
        <v>866</v>
      </c>
      <c r="V3330" s="1"/>
      <c r="W3330">
        <v>379350</v>
      </c>
      <c r="X3330">
        <v>0</v>
      </c>
      <c r="Y3330">
        <v>57891</v>
      </c>
    </row>
    <row r="3331" spans="1:25" ht="15" hidden="1" customHeight="1" x14ac:dyDescent="0.25">
      <c r="A3331" s="1" t="s">
        <v>37</v>
      </c>
      <c r="B3331" s="1" t="s">
        <v>66</v>
      </c>
      <c r="C3331" s="1" t="s">
        <v>200</v>
      </c>
      <c r="D3331">
        <v>5471</v>
      </c>
      <c r="E3331" s="1"/>
      <c r="F3331" s="1" t="s">
        <v>335</v>
      </c>
      <c r="G3331" s="1" t="s">
        <v>200</v>
      </c>
      <c r="H3331" s="1" t="s">
        <v>1405</v>
      </c>
      <c r="I3331">
        <v>2014</v>
      </c>
      <c r="J3331" s="93">
        <v>357730</v>
      </c>
      <c r="K3331">
        <v>12</v>
      </c>
      <c r="L3331" s="1"/>
      <c r="M3331">
        <v>0</v>
      </c>
      <c r="N3331">
        <v>8656</v>
      </c>
      <c r="O3331">
        <v>41.326925000000003</v>
      </c>
      <c r="P3331">
        <v>1</v>
      </c>
      <c r="Q3331" s="1" t="s">
        <v>562</v>
      </c>
      <c r="R3331" s="93">
        <v>431913.15</v>
      </c>
      <c r="S3331">
        <v>33543735</v>
      </c>
      <c r="T3331">
        <v>0</v>
      </c>
      <c r="U3331" s="1" t="s">
        <v>867</v>
      </c>
      <c r="V3331" s="1"/>
      <c r="W3331">
        <v>357730.00300000003</v>
      </c>
      <c r="X3331">
        <v>0</v>
      </c>
      <c r="Y3331">
        <v>90717</v>
      </c>
    </row>
    <row r="3332" spans="1:25" ht="15" hidden="1" customHeight="1" x14ac:dyDescent="0.25">
      <c r="A3332" s="1" t="s">
        <v>37</v>
      </c>
      <c r="B3332" s="1"/>
      <c r="C3332" s="1" t="s">
        <v>201</v>
      </c>
      <c r="D3332">
        <v>9223</v>
      </c>
      <c r="E3332" s="1"/>
      <c r="F3332" s="1" t="s">
        <v>336</v>
      </c>
      <c r="G3332" s="1" t="s">
        <v>336</v>
      </c>
      <c r="H3332" s="1" t="s">
        <v>1405</v>
      </c>
      <c r="I3332">
        <v>2013</v>
      </c>
      <c r="J3332" s="93">
        <v>131570.67000000001</v>
      </c>
      <c r="K3332">
        <v>12</v>
      </c>
      <c r="L3332" s="1"/>
      <c r="M3332">
        <v>0</v>
      </c>
      <c r="N3332">
        <v>7936</v>
      </c>
      <c r="O3332">
        <v>16.578755999999998</v>
      </c>
      <c r="P3332">
        <v>2</v>
      </c>
      <c r="Q3332" s="1" t="s">
        <v>569</v>
      </c>
      <c r="R3332" s="93">
        <v>131570.67000000001</v>
      </c>
      <c r="S3332">
        <v>39471.19</v>
      </c>
      <c r="T3332">
        <v>0</v>
      </c>
      <c r="U3332" s="1"/>
      <c r="V3332" s="1"/>
      <c r="W3332">
        <v>131570.67000000001</v>
      </c>
      <c r="X3332">
        <v>0</v>
      </c>
      <c r="Y3332">
        <v>72738</v>
      </c>
    </row>
    <row r="3333" spans="1:25" ht="15" hidden="1" customHeight="1" x14ac:dyDescent="0.25">
      <c r="A3333" s="1" t="s">
        <v>37</v>
      </c>
      <c r="B3333" s="1"/>
      <c r="C3333" s="1" t="s">
        <v>191</v>
      </c>
      <c r="D3333">
        <v>9224</v>
      </c>
      <c r="E3333" s="1"/>
      <c r="F3333" s="1" t="s">
        <v>319</v>
      </c>
      <c r="G3333" s="1" t="s">
        <v>191</v>
      </c>
      <c r="H3333" s="1" t="s">
        <v>1405</v>
      </c>
      <c r="I3333">
        <v>2014</v>
      </c>
      <c r="J3333" s="93">
        <v>433244.15999999997</v>
      </c>
      <c r="K3333">
        <v>12</v>
      </c>
      <c r="L3333" s="1"/>
      <c r="M3333">
        <v>0</v>
      </c>
      <c r="N3333">
        <v>4404</v>
      </c>
      <c r="O3333">
        <v>98.372916000000004</v>
      </c>
      <c r="P3333">
        <v>1</v>
      </c>
      <c r="Q3333" s="1" t="s">
        <v>564</v>
      </c>
      <c r="R3333" s="93">
        <v>514253.45</v>
      </c>
      <c r="S3333">
        <v>108755.08</v>
      </c>
      <c r="T3333">
        <v>0</v>
      </c>
      <c r="U3333" s="1"/>
      <c r="V3333" s="1" t="s">
        <v>1219</v>
      </c>
      <c r="W3333">
        <v>40115.199999999997</v>
      </c>
      <c r="X3333">
        <v>0</v>
      </c>
      <c r="Y3333">
        <v>77267</v>
      </c>
    </row>
    <row r="3334" spans="1:25" ht="15" hidden="1" customHeight="1" x14ac:dyDescent="0.25">
      <c r="A3334" s="1" t="s">
        <v>37</v>
      </c>
      <c r="B3334" s="1"/>
      <c r="C3334" s="1" t="s">
        <v>201</v>
      </c>
      <c r="D3334">
        <v>9223</v>
      </c>
      <c r="E3334" s="1"/>
      <c r="F3334" s="1" t="s">
        <v>336</v>
      </c>
      <c r="G3334" s="1" t="s">
        <v>336</v>
      </c>
      <c r="H3334" s="1" t="s">
        <v>1405</v>
      </c>
      <c r="I3334">
        <v>2014</v>
      </c>
      <c r="J3334" s="93">
        <v>740390</v>
      </c>
      <c r="K3334">
        <v>24</v>
      </c>
      <c r="L3334" s="1"/>
      <c r="M3334">
        <v>0</v>
      </c>
      <c r="N3334">
        <v>7936</v>
      </c>
      <c r="O3334">
        <v>93.293935000000005</v>
      </c>
      <c r="P3334">
        <v>1</v>
      </c>
      <c r="Q3334" s="1" t="s">
        <v>565</v>
      </c>
      <c r="R3334" s="93">
        <v>894514.33</v>
      </c>
      <c r="S3334">
        <v>57248.93</v>
      </c>
      <c r="T3334">
        <v>0</v>
      </c>
      <c r="U3334" s="1" t="s">
        <v>868</v>
      </c>
      <c r="V3334" s="1"/>
      <c r="W3334">
        <v>740.39</v>
      </c>
      <c r="X3334">
        <v>0</v>
      </c>
      <c r="Y3334">
        <v>92758</v>
      </c>
    </row>
    <row r="3335" spans="1:25" hidden="1" x14ac:dyDescent="0.25">
      <c r="A3335" s="1" t="s">
        <v>37</v>
      </c>
      <c r="B3335" s="1"/>
      <c r="C3335" s="1" t="s">
        <v>201</v>
      </c>
      <c r="D3335">
        <v>9223</v>
      </c>
      <c r="E3335" s="1"/>
      <c r="F3335" s="1" t="s">
        <v>336</v>
      </c>
      <c r="G3335" s="1" t="s">
        <v>336</v>
      </c>
      <c r="H3335" s="1" t="s">
        <v>1405</v>
      </c>
      <c r="I3335">
        <v>2014</v>
      </c>
      <c r="J3335" s="93">
        <v>943.26</v>
      </c>
      <c r="K3335">
        <v>12</v>
      </c>
      <c r="L3335" s="1"/>
      <c r="M3335">
        <v>0</v>
      </c>
      <c r="N3335">
        <v>7936</v>
      </c>
      <c r="O3335">
        <v>0.118856</v>
      </c>
      <c r="P3335">
        <v>3</v>
      </c>
      <c r="Q3335" s="1" t="s">
        <v>560</v>
      </c>
      <c r="R3335" s="93">
        <v>943.26</v>
      </c>
      <c r="S3335">
        <v>754.61</v>
      </c>
      <c r="T3335">
        <v>0</v>
      </c>
      <c r="U3335" s="1"/>
      <c r="V3335" s="1"/>
      <c r="W3335">
        <v>943.27499999999998</v>
      </c>
      <c r="X3335">
        <v>0</v>
      </c>
      <c r="Y3335">
        <v>72739</v>
      </c>
    </row>
    <row r="3336" spans="1:25" hidden="1" x14ac:dyDescent="0.25">
      <c r="A3336" s="1" t="s">
        <v>37</v>
      </c>
      <c r="B3336" s="1"/>
      <c r="C3336" s="1" t="s">
        <v>202</v>
      </c>
      <c r="D3336">
        <v>10321</v>
      </c>
      <c r="E3336" s="1"/>
      <c r="F3336" s="1" t="s">
        <v>337</v>
      </c>
      <c r="G3336" s="1" t="s">
        <v>1400</v>
      </c>
      <c r="H3336" s="1" t="s">
        <v>1405</v>
      </c>
      <c r="I3336">
        <v>2013</v>
      </c>
      <c r="J3336" s="93">
        <v>2966.65</v>
      </c>
      <c r="K3336">
        <v>12</v>
      </c>
      <c r="L3336" s="1" t="s">
        <v>411</v>
      </c>
      <c r="M3336">
        <v>0</v>
      </c>
      <c r="N3336">
        <v>126</v>
      </c>
      <c r="O3336">
        <v>23.526168999999999</v>
      </c>
      <c r="P3336">
        <v>2</v>
      </c>
      <c r="Q3336" s="1" t="s">
        <v>569</v>
      </c>
      <c r="R3336" s="93">
        <v>2966.65</v>
      </c>
      <c r="S3336">
        <v>889.99</v>
      </c>
      <c r="T3336">
        <v>0</v>
      </c>
      <c r="U3336" s="1" t="s">
        <v>1094</v>
      </c>
      <c r="V3336" s="1" t="s">
        <v>1339</v>
      </c>
      <c r="W3336">
        <v>2966.6464999999998</v>
      </c>
      <c r="X3336">
        <v>0</v>
      </c>
      <c r="Y3336">
        <v>77808</v>
      </c>
    </row>
    <row r="3337" spans="1:25" hidden="1" x14ac:dyDescent="0.25">
      <c r="A3337" s="1" t="s">
        <v>37</v>
      </c>
      <c r="B3337" s="1"/>
      <c r="C3337" s="1" t="s">
        <v>201</v>
      </c>
      <c r="D3337">
        <v>9223</v>
      </c>
      <c r="E3337" s="1"/>
      <c r="F3337" s="1" t="s">
        <v>336</v>
      </c>
      <c r="G3337" s="1" t="s">
        <v>336</v>
      </c>
      <c r="H3337" s="1" t="s">
        <v>1396</v>
      </c>
      <c r="I3337">
        <v>2014</v>
      </c>
      <c r="J3337" s="93">
        <v>-1590.64</v>
      </c>
      <c r="K3337">
        <v>12</v>
      </c>
      <c r="L3337" s="1"/>
      <c r="M3337">
        <v>0</v>
      </c>
      <c r="N3337">
        <v>7936</v>
      </c>
      <c r="O3337">
        <v>-0.20043</v>
      </c>
      <c r="P3337">
        <v>2</v>
      </c>
      <c r="Q3337" s="1" t="s">
        <v>570</v>
      </c>
      <c r="R3337" s="93">
        <v>-1590.64</v>
      </c>
      <c r="S3337">
        <v>-746.02</v>
      </c>
      <c r="T3337">
        <v>0</v>
      </c>
      <c r="U3337" s="1" t="s">
        <v>1087</v>
      </c>
      <c r="V3337" s="1"/>
      <c r="W3337">
        <v>1590.64</v>
      </c>
      <c r="X3337">
        <v>0</v>
      </c>
      <c r="Y3337">
        <v>96367</v>
      </c>
    </row>
    <row r="3338" spans="1:25" hidden="1" x14ac:dyDescent="0.25">
      <c r="A3338" s="1" t="s">
        <v>37</v>
      </c>
      <c r="B3338" s="1"/>
      <c r="C3338" s="1" t="s">
        <v>203</v>
      </c>
      <c r="D3338">
        <v>9222</v>
      </c>
      <c r="E3338" s="1"/>
      <c r="F3338" s="1" t="s">
        <v>338</v>
      </c>
      <c r="G3338" s="1" t="s">
        <v>338</v>
      </c>
      <c r="H3338" s="1" t="s">
        <v>1396</v>
      </c>
      <c r="I3338">
        <v>2014</v>
      </c>
      <c r="J3338" s="93">
        <v>763515.31</v>
      </c>
      <c r="K3338">
        <v>12</v>
      </c>
      <c r="L3338" s="1"/>
      <c r="M3338">
        <v>0</v>
      </c>
      <c r="N3338">
        <v>11252</v>
      </c>
      <c r="O3338">
        <v>67.855361000000002</v>
      </c>
      <c r="P3338">
        <v>1</v>
      </c>
      <c r="Q3338" s="1" t="s">
        <v>563</v>
      </c>
      <c r="R3338" s="93">
        <v>917751.24</v>
      </c>
      <c r="S3338">
        <v>1683.47</v>
      </c>
      <c r="T3338">
        <v>1</v>
      </c>
      <c r="U3338" s="1"/>
      <c r="V3338" s="1"/>
      <c r="W3338">
        <v>21883.5</v>
      </c>
      <c r="X3338">
        <v>74423</v>
      </c>
      <c r="Y3338">
        <v>74422</v>
      </c>
    </row>
    <row r="3339" spans="1:25" ht="15" hidden="1" customHeight="1" x14ac:dyDescent="0.25">
      <c r="A3339" s="1" t="s">
        <v>37</v>
      </c>
      <c r="B3339" s="1"/>
      <c r="C3339" s="1" t="s">
        <v>203</v>
      </c>
      <c r="D3339">
        <v>9222</v>
      </c>
      <c r="E3339" s="1"/>
      <c r="F3339" s="1" t="s">
        <v>338</v>
      </c>
      <c r="G3339" s="1" t="s">
        <v>338</v>
      </c>
      <c r="H3339" s="1" t="s">
        <v>1405</v>
      </c>
      <c r="I3339">
        <v>2014</v>
      </c>
      <c r="J3339" s="93">
        <v>1709</v>
      </c>
      <c r="K3339">
        <v>12</v>
      </c>
      <c r="L3339" s="1"/>
      <c r="M3339">
        <v>0</v>
      </c>
      <c r="N3339">
        <v>11252</v>
      </c>
      <c r="O3339">
        <v>0.15188199999999999</v>
      </c>
      <c r="P3339">
        <v>3</v>
      </c>
      <c r="Q3339" s="1" t="s">
        <v>560</v>
      </c>
      <c r="R3339" s="93">
        <v>1709</v>
      </c>
      <c r="S3339">
        <v>1367.21</v>
      </c>
      <c r="T3339">
        <v>0</v>
      </c>
      <c r="U3339" s="1"/>
      <c r="V3339" s="1"/>
      <c r="W3339">
        <v>1709.002</v>
      </c>
      <c r="X3339">
        <v>0</v>
      </c>
      <c r="Y3339">
        <v>72737</v>
      </c>
    </row>
    <row r="3340" spans="1:25" ht="15" hidden="1" customHeight="1" x14ac:dyDescent="0.25">
      <c r="A3340" s="1" t="s">
        <v>37</v>
      </c>
      <c r="B3340" s="1"/>
      <c r="C3340" s="1" t="s">
        <v>203</v>
      </c>
      <c r="D3340">
        <v>9222</v>
      </c>
      <c r="E3340" s="1"/>
      <c r="F3340" s="1" t="s">
        <v>338</v>
      </c>
      <c r="G3340" s="1" t="s">
        <v>338</v>
      </c>
      <c r="H3340" s="1" t="s">
        <v>1405</v>
      </c>
      <c r="I3340">
        <v>2014</v>
      </c>
      <c r="J3340" s="93">
        <v>702150</v>
      </c>
      <c r="K3340">
        <v>12</v>
      </c>
      <c r="L3340" s="1"/>
      <c r="M3340">
        <v>0</v>
      </c>
      <c r="N3340">
        <v>11252</v>
      </c>
      <c r="O3340">
        <v>62.401685000000001</v>
      </c>
      <c r="P3340">
        <v>1</v>
      </c>
      <c r="Q3340" s="1" t="s">
        <v>562</v>
      </c>
      <c r="R3340" s="93">
        <v>846112.91</v>
      </c>
      <c r="S3340">
        <v>54151.23</v>
      </c>
      <c r="T3340">
        <v>0</v>
      </c>
      <c r="U3340" s="1"/>
      <c r="V3340" s="1"/>
      <c r="W3340">
        <v>702150</v>
      </c>
      <c r="X3340">
        <v>0</v>
      </c>
      <c r="Y3340">
        <v>74423</v>
      </c>
    </row>
    <row r="3341" spans="1:25" ht="15" hidden="1" customHeight="1" x14ac:dyDescent="0.25">
      <c r="A3341" s="1" t="s">
        <v>37</v>
      </c>
      <c r="B3341" s="1"/>
      <c r="C3341" s="1" t="s">
        <v>203</v>
      </c>
      <c r="D3341">
        <v>9222</v>
      </c>
      <c r="E3341" s="1"/>
      <c r="F3341" s="1" t="s">
        <v>338</v>
      </c>
      <c r="G3341" s="1" t="s">
        <v>338</v>
      </c>
      <c r="H3341" s="1" t="s">
        <v>1405</v>
      </c>
      <c r="I3341">
        <v>2013</v>
      </c>
      <c r="J3341" s="93">
        <v>236543.33</v>
      </c>
      <c r="K3341">
        <v>12</v>
      </c>
      <c r="L3341" s="1"/>
      <c r="M3341">
        <v>0</v>
      </c>
      <c r="N3341">
        <v>11252</v>
      </c>
      <c r="O3341">
        <v>21.022148999999999</v>
      </c>
      <c r="P3341">
        <v>2</v>
      </c>
      <c r="Q3341" s="1" t="s">
        <v>569</v>
      </c>
      <c r="R3341" s="93">
        <v>236543.33</v>
      </c>
      <c r="S3341">
        <v>70962.990000000005</v>
      </c>
      <c r="T3341">
        <v>0</v>
      </c>
      <c r="U3341" s="1" t="s">
        <v>1095</v>
      </c>
      <c r="V3341" s="1" t="s">
        <v>1340</v>
      </c>
      <c r="W3341">
        <v>236543.33300000001</v>
      </c>
      <c r="X3341">
        <v>0</v>
      </c>
      <c r="Y3341">
        <v>72736</v>
      </c>
    </row>
    <row r="3342" spans="1:25" ht="15" hidden="1" customHeight="1" x14ac:dyDescent="0.25">
      <c r="A3342" s="1" t="s">
        <v>37</v>
      </c>
      <c r="B3342" s="1"/>
      <c r="C3342" s="1" t="s">
        <v>239</v>
      </c>
      <c r="D3342">
        <v>5956</v>
      </c>
      <c r="E3342" s="1"/>
      <c r="F3342" s="1" t="s">
        <v>386</v>
      </c>
      <c r="G3342" s="1" t="s">
        <v>239</v>
      </c>
      <c r="H3342" s="1" t="s">
        <v>1405</v>
      </c>
      <c r="I3342">
        <v>2013</v>
      </c>
      <c r="J3342" s="93">
        <v>14117.16</v>
      </c>
      <c r="K3342">
        <v>12</v>
      </c>
      <c r="L3342" s="1"/>
      <c r="M3342">
        <v>0</v>
      </c>
      <c r="N3342">
        <v>186</v>
      </c>
      <c r="O3342">
        <v>75.857924999999994</v>
      </c>
      <c r="P3342">
        <v>2</v>
      </c>
      <c r="Q3342" s="1" t="s">
        <v>569</v>
      </c>
      <c r="R3342" s="93">
        <v>14117.16</v>
      </c>
      <c r="S3342">
        <v>4235.13</v>
      </c>
      <c r="T3342">
        <v>0</v>
      </c>
      <c r="U3342" s="1" t="s">
        <v>1096</v>
      </c>
      <c r="V3342" s="1" t="s">
        <v>1341</v>
      </c>
      <c r="W3342">
        <v>14117.149600000001</v>
      </c>
      <c r="X3342">
        <v>0</v>
      </c>
      <c r="Y3342">
        <v>91057</v>
      </c>
    </row>
    <row r="3343" spans="1:25" ht="15" hidden="1" customHeight="1" x14ac:dyDescent="0.25">
      <c r="A3343" s="1" t="s">
        <v>37</v>
      </c>
      <c r="B3343" s="1"/>
      <c r="C3343" s="1" t="s">
        <v>239</v>
      </c>
      <c r="D3343">
        <v>5942</v>
      </c>
      <c r="E3343" s="1"/>
      <c r="F3343" s="1" t="s">
        <v>387</v>
      </c>
      <c r="G3343" s="1" t="s">
        <v>239</v>
      </c>
      <c r="H3343" s="1" t="s">
        <v>1405</v>
      </c>
      <c r="I3343">
        <v>2013</v>
      </c>
      <c r="J3343" s="93">
        <v>4957</v>
      </c>
      <c r="K3343">
        <v>12</v>
      </c>
      <c r="L3343" s="1"/>
      <c r="M3343">
        <v>0</v>
      </c>
      <c r="N3343">
        <v>506</v>
      </c>
      <c r="O3343">
        <v>9.7945069999999994</v>
      </c>
      <c r="P3343">
        <v>2</v>
      </c>
      <c r="Q3343" s="1" t="s">
        <v>569</v>
      </c>
      <c r="R3343" s="93">
        <v>4957</v>
      </c>
      <c r="S3343">
        <v>1487.11</v>
      </c>
      <c r="T3343">
        <v>0</v>
      </c>
      <c r="U3343" s="1"/>
      <c r="V3343" s="1" t="s">
        <v>1342</v>
      </c>
      <c r="W3343">
        <v>4956.9885999999997</v>
      </c>
      <c r="X3343">
        <v>0</v>
      </c>
      <c r="Y3343">
        <v>91058</v>
      </c>
    </row>
    <row r="3344" spans="1:25" ht="15" hidden="1" customHeight="1" x14ac:dyDescent="0.25">
      <c r="A3344" s="1" t="s">
        <v>37</v>
      </c>
      <c r="B3344" s="1"/>
      <c r="C3344" s="1" t="s">
        <v>191</v>
      </c>
      <c r="D3344">
        <v>9224</v>
      </c>
      <c r="E3344" s="1"/>
      <c r="F3344" s="1" t="s">
        <v>319</v>
      </c>
      <c r="G3344" s="1" t="s">
        <v>191</v>
      </c>
      <c r="H3344" s="1" t="s">
        <v>1405</v>
      </c>
      <c r="I3344">
        <v>2012</v>
      </c>
      <c r="J3344" s="93">
        <v>90437.48</v>
      </c>
      <c r="K3344">
        <v>12</v>
      </c>
      <c r="L3344" s="1"/>
      <c r="M3344">
        <v>0</v>
      </c>
      <c r="N3344">
        <v>4404</v>
      </c>
      <c r="O3344">
        <v>20.534837</v>
      </c>
      <c r="P3344">
        <v>2</v>
      </c>
      <c r="Q3344" s="1" t="s">
        <v>569</v>
      </c>
      <c r="R3344" s="93">
        <v>90437.48</v>
      </c>
      <c r="S3344">
        <v>36175</v>
      </c>
      <c r="T3344">
        <v>0</v>
      </c>
      <c r="U3344" s="1" t="s">
        <v>1071</v>
      </c>
      <c r="V3344" s="1" t="s">
        <v>1328</v>
      </c>
      <c r="W3344">
        <v>90437.47</v>
      </c>
      <c r="X3344">
        <v>0</v>
      </c>
      <c r="Y3344">
        <v>72740</v>
      </c>
    </row>
    <row r="3345" spans="1:25" ht="15" hidden="1" customHeight="1" x14ac:dyDescent="0.25">
      <c r="A3345" s="1" t="s">
        <v>37</v>
      </c>
      <c r="B3345" s="1"/>
      <c r="C3345" s="1" t="s">
        <v>191</v>
      </c>
      <c r="D3345">
        <v>9224</v>
      </c>
      <c r="E3345" s="1"/>
      <c r="F3345" s="1" t="s">
        <v>319</v>
      </c>
      <c r="G3345" s="1" t="s">
        <v>191</v>
      </c>
      <c r="H3345" s="1" t="s">
        <v>1405</v>
      </c>
      <c r="I3345">
        <v>2011</v>
      </c>
      <c r="J3345" s="93">
        <v>118919.97</v>
      </c>
      <c r="K3345">
        <v>12</v>
      </c>
      <c r="L3345" s="1"/>
      <c r="M3345">
        <v>0</v>
      </c>
      <c r="N3345">
        <v>4404</v>
      </c>
      <c r="O3345">
        <v>27.002103999999999</v>
      </c>
      <c r="P3345">
        <v>2</v>
      </c>
      <c r="Q3345" s="1" t="s">
        <v>569</v>
      </c>
      <c r="R3345" s="93">
        <v>118919.97</v>
      </c>
      <c r="S3345">
        <v>55773.47</v>
      </c>
      <c r="T3345">
        <v>0</v>
      </c>
      <c r="U3345" s="1" t="s">
        <v>1071</v>
      </c>
      <c r="V3345" s="1" t="s">
        <v>1328</v>
      </c>
      <c r="W3345">
        <v>118919.97100000001</v>
      </c>
      <c r="X3345">
        <v>0</v>
      </c>
      <c r="Y3345">
        <v>72740</v>
      </c>
    </row>
    <row r="3346" spans="1:25" ht="15" hidden="1" customHeight="1" x14ac:dyDescent="0.25">
      <c r="A3346" s="1" t="s">
        <v>37</v>
      </c>
      <c r="B3346" s="1"/>
      <c r="C3346" s="1" t="s">
        <v>191</v>
      </c>
      <c r="D3346">
        <v>9224</v>
      </c>
      <c r="E3346" s="1"/>
      <c r="F3346" s="1" t="s">
        <v>319</v>
      </c>
      <c r="G3346" s="1" t="s">
        <v>191</v>
      </c>
      <c r="H3346" s="1" t="s">
        <v>1405</v>
      </c>
      <c r="I3346">
        <v>2010</v>
      </c>
      <c r="J3346" s="93">
        <v>108923.1</v>
      </c>
      <c r="K3346">
        <v>12</v>
      </c>
      <c r="L3346" s="1"/>
      <c r="M3346">
        <v>0</v>
      </c>
      <c r="N3346">
        <v>4404</v>
      </c>
      <c r="O3346">
        <v>24.732203999999999</v>
      </c>
      <c r="P3346">
        <v>2</v>
      </c>
      <c r="Q3346" s="1" t="s">
        <v>569</v>
      </c>
      <c r="R3346" s="93">
        <v>108923.1</v>
      </c>
      <c r="S3346">
        <v>51084.94</v>
      </c>
      <c r="T3346">
        <v>0</v>
      </c>
      <c r="U3346" s="1" t="s">
        <v>1071</v>
      </c>
      <c r="V3346" s="1" t="s">
        <v>1328</v>
      </c>
      <c r="W3346">
        <v>108923.08900000001</v>
      </c>
      <c r="X3346">
        <v>0</v>
      </c>
      <c r="Y3346">
        <v>72740</v>
      </c>
    </row>
    <row r="3347" spans="1:25" ht="15" hidden="1" customHeight="1" x14ac:dyDescent="0.25">
      <c r="A3347" s="1" t="s">
        <v>37</v>
      </c>
      <c r="B3347" s="1"/>
      <c r="C3347" s="1" t="s">
        <v>191</v>
      </c>
      <c r="D3347">
        <v>9224</v>
      </c>
      <c r="E3347" s="1"/>
      <c r="F3347" s="1" t="s">
        <v>319</v>
      </c>
      <c r="G3347" s="1" t="s">
        <v>191</v>
      </c>
      <c r="H3347" s="1" t="s">
        <v>1405</v>
      </c>
      <c r="I3347">
        <v>2009</v>
      </c>
      <c r="J3347" s="93">
        <v>102984.96000000001</v>
      </c>
      <c r="K3347">
        <v>12</v>
      </c>
      <c r="L3347" s="1"/>
      <c r="M3347">
        <v>0</v>
      </c>
      <c r="N3347">
        <v>4404</v>
      </c>
      <c r="O3347">
        <v>23.383883000000001</v>
      </c>
      <c r="P3347">
        <v>2</v>
      </c>
      <c r="Q3347" s="1" t="s">
        <v>569</v>
      </c>
      <c r="R3347" s="93">
        <v>102984.96000000001</v>
      </c>
      <c r="S3347">
        <v>48299.97</v>
      </c>
      <c r="T3347">
        <v>0</v>
      </c>
      <c r="U3347" s="1" t="s">
        <v>1071</v>
      </c>
      <c r="V3347" s="1" t="s">
        <v>1328</v>
      </c>
      <c r="W3347">
        <v>102984.961</v>
      </c>
      <c r="X3347">
        <v>0</v>
      </c>
      <c r="Y3347">
        <v>72740</v>
      </c>
    </row>
    <row r="3348" spans="1:25" ht="15" hidden="1" customHeight="1" x14ac:dyDescent="0.25">
      <c r="A3348" s="1" t="s">
        <v>37</v>
      </c>
      <c r="B3348" s="1"/>
      <c r="C3348" s="1" t="s">
        <v>191</v>
      </c>
      <c r="D3348">
        <v>9224</v>
      </c>
      <c r="E3348" s="1"/>
      <c r="F3348" s="1" t="s">
        <v>319</v>
      </c>
      <c r="G3348" s="1" t="s">
        <v>191</v>
      </c>
      <c r="H3348" s="1" t="s">
        <v>1405</v>
      </c>
      <c r="I3348">
        <v>2008</v>
      </c>
      <c r="J3348" s="93">
        <v>81710.399999999994</v>
      </c>
      <c r="K3348">
        <v>12</v>
      </c>
      <c r="L3348" s="1"/>
      <c r="M3348">
        <v>0</v>
      </c>
      <c r="N3348">
        <v>4404</v>
      </c>
      <c r="O3348">
        <v>18.553256999999999</v>
      </c>
      <c r="P3348">
        <v>2</v>
      </c>
      <c r="Q3348" s="1" t="s">
        <v>569</v>
      </c>
      <c r="R3348" s="93">
        <v>81710.399999999994</v>
      </c>
      <c r="S3348">
        <v>38322.18</v>
      </c>
      <c r="T3348">
        <v>0</v>
      </c>
      <c r="U3348" s="1" t="s">
        <v>1071</v>
      </c>
      <c r="V3348" s="1" t="s">
        <v>1328</v>
      </c>
      <c r="W3348">
        <v>81710.404999999999</v>
      </c>
      <c r="X3348">
        <v>0</v>
      </c>
      <c r="Y3348">
        <v>72740</v>
      </c>
    </row>
    <row r="3349" spans="1:25" ht="15" hidden="1" customHeight="1" x14ac:dyDescent="0.25">
      <c r="A3349" s="1" t="s">
        <v>37</v>
      </c>
      <c r="B3349" s="1"/>
      <c r="C3349" s="1" t="s">
        <v>191</v>
      </c>
      <c r="D3349">
        <v>9224</v>
      </c>
      <c r="E3349" s="1"/>
      <c r="F3349" s="1" t="s">
        <v>319</v>
      </c>
      <c r="G3349" s="1" t="s">
        <v>191</v>
      </c>
      <c r="H3349" s="1" t="s">
        <v>1405</v>
      </c>
      <c r="I3349">
        <v>2008</v>
      </c>
      <c r="J3349" s="93">
        <v>30153.67</v>
      </c>
      <c r="K3349">
        <v>3</v>
      </c>
      <c r="L3349" s="1" t="s">
        <v>491</v>
      </c>
      <c r="M3349">
        <v>0</v>
      </c>
      <c r="N3349">
        <v>4404</v>
      </c>
      <c r="O3349">
        <v>6.8467260000000003</v>
      </c>
      <c r="P3349">
        <v>2</v>
      </c>
      <c r="Q3349" s="1" t="s">
        <v>569</v>
      </c>
      <c r="R3349" s="93">
        <v>30153.67</v>
      </c>
      <c r="S3349">
        <v>14142.08</v>
      </c>
      <c r="T3349">
        <v>0</v>
      </c>
      <c r="U3349" s="1" t="s">
        <v>810</v>
      </c>
      <c r="V3349" s="1"/>
      <c r="W3349">
        <v>30153.67742</v>
      </c>
      <c r="X3349">
        <v>0</v>
      </c>
      <c r="Y3349">
        <v>77971</v>
      </c>
    </row>
    <row r="3350" spans="1:25" ht="15" customHeight="1" x14ac:dyDescent="0.25">
      <c r="A3350" s="1" t="s">
        <v>37</v>
      </c>
      <c r="B3350" s="1"/>
      <c r="C3350" s="1" t="s">
        <v>192</v>
      </c>
      <c r="D3350">
        <v>10230</v>
      </c>
      <c r="E3350" s="1"/>
      <c r="F3350" s="1" t="s">
        <v>320</v>
      </c>
      <c r="G3350" s="1" t="s">
        <v>320</v>
      </c>
      <c r="H3350" s="1" t="s">
        <v>1405</v>
      </c>
      <c r="I3350">
        <v>2014</v>
      </c>
      <c r="J3350" s="93">
        <v>15086.48</v>
      </c>
      <c r="K3350">
        <v>12</v>
      </c>
      <c r="L3350" s="1" t="s">
        <v>399</v>
      </c>
      <c r="M3350">
        <v>0</v>
      </c>
      <c r="N3350">
        <v>711</v>
      </c>
      <c r="O3350">
        <v>21.215693000000002</v>
      </c>
      <c r="P3350">
        <v>2</v>
      </c>
      <c r="Q3350" s="1" t="s">
        <v>569</v>
      </c>
      <c r="R3350" s="93">
        <v>15086.48</v>
      </c>
      <c r="S3350">
        <v>4525.9399999999996</v>
      </c>
      <c r="T3350">
        <v>0</v>
      </c>
      <c r="U3350" s="1" t="s">
        <v>1072</v>
      </c>
      <c r="V3350" s="1" t="s">
        <v>1329</v>
      </c>
      <c r="W3350">
        <v>15086.470600000001</v>
      </c>
      <c r="X3350">
        <v>0</v>
      </c>
      <c r="Y3350">
        <v>77501</v>
      </c>
    </row>
    <row r="3351" spans="1:25" ht="15" hidden="1" customHeight="1" x14ac:dyDescent="0.25">
      <c r="A3351" s="1" t="s">
        <v>37</v>
      </c>
      <c r="B3351" s="1"/>
      <c r="C3351" s="1" t="s">
        <v>191</v>
      </c>
      <c r="D3351">
        <v>9224</v>
      </c>
      <c r="E3351" s="1"/>
      <c r="F3351" s="1" t="s">
        <v>319</v>
      </c>
      <c r="G3351" s="1" t="s">
        <v>191</v>
      </c>
      <c r="H3351" s="1" t="s">
        <v>1405</v>
      </c>
      <c r="I3351">
        <v>2014</v>
      </c>
      <c r="J3351" s="93">
        <v>86243.16</v>
      </c>
      <c r="K3351">
        <v>12</v>
      </c>
      <c r="L3351" s="1"/>
      <c r="M3351">
        <v>0</v>
      </c>
      <c r="N3351">
        <v>4404</v>
      </c>
      <c r="O3351">
        <v>19.582470000000001</v>
      </c>
      <c r="P3351">
        <v>2</v>
      </c>
      <c r="Q3351" s="1" t="s">
        <v>569</v>
      </c>
      <c r="R3351" s="93">
        <v>86243.16</v>
      </c>
      <c r="S3351">
        <v>25872.94</v>
      </c>
      <c r="T3351">
        <v>0</v>
      </c>
      <c r="U3351" s="1" t="s">
        <v>1071</v>
      </c>
      <c r="V3351" s="1" t="s">
        <v>1328</v>
      </c>
      <c r="W3351">
        <v>86243.163</v>
      </c>
      <c r="X3351">
        <v>0</v>
      </c>
      <c r="Y3351">
        <v>72740</v>
      </c>
    </row>
    <row r="3352" spans="1:25" ht="15" hidden="1" customHeight="1" x14ac:dyDescent="0.25">
      <c r="A3352" s="1" t="s">
        <v>37</v>
      </c>
      <c r="B3352" s="1"/>
      <c r="C3352" s="1" t="s">
        <v>192</v>
      </c>
      <c r="D3352">
        <v>10230</v>
      </c>
      <c r="E3352" s="1"/>
      <c r="F3352" s="1" t="s">
        <v>320</v>
      </c>
      <c r="G3352" s="1" t="s">
        <v>320</v>
      </c>
      <c r="H3352" s="1" t="s">
        <v>1405</v>
      </c>
      <c r="I3352">
        <v>2012</v>
      </c>
      <c r="J3352" s="93">
        <v>11867.13</v>
      </c>
      <c r="K3352">
        <v>12</v>
      </c>
      <c r="L3352" s="1" t="s">
        <v>399</v>
      </c>
      <c r="M3352">
        <v>0</v>
      </c>
      <c r="N3352">
        <v>711</v>
      </c>
      <c r="O3352">
        <v>16.688412</v>
      </c>
      <c r="P3352">
        <v>2</v>
      </c>
      <c r="Q3352" s="1" t="s">
        <v>569</v>
      </c>
      <c r="R3352" s="93">
        <v>11867.13</v>
      </c>
      <c r="S3352">
        <v>4746.8500000000004</v>
      </c>
      <c r="T3352">
        <v>0</v>
      </c>
      <c r="U3352" s="1" t="s">
        <v>1072</v>
      </c>
      <c r="V3352" s="1" t="s">
        <v>1329</v>
      </c>
      <c r="W3352">
        <v>11867.135</v>
      </c>
      <c r="X3352">
        <v>0</v>
      </c>
      <c r="Y3352">
        <v>77501</v>
      </c>
    </row>
    <row r="3353" spans="1:25" ht="15" hidden="1" customHeight="1" x14ac:dyDescent="0.25">
      <c r="A3353" s="1" t="s">
        <v>37</v>
      </c>
      <c r="B3353" s="1"/>
      <c r="C3353" s="1" t="s">
        <v>192</v>
      </c>
      <c r="D3353">
        <v>10230</v>
      </c>
      <c r="E3353" s="1"/>
      <c r="F3353" s="1" t="s">
        <v>320</v>
      </c>
      <c r="G3353" s="1" t="s">
        <v>320</v>
      </c>
      <c r="H3353" s="1" t="s">
        <v>1405</v>
      </c>
      <c r="I3353">
        <v>2011</v>
      </c>
      <c r="J3353" s="93">
        <v>12006.28</v>
      </c>
      <c r="K3353">
        <v>10</v>
      </c>
      <c r="L3353" s="1" t="s">
        <v>399</v>
      </c>
      <c r="M3353">
        <v>0</v>
      </c>
      <c r="N3353">
        <v>711</v>
      </c>
      <c r="O3353">
        <v>16.884094999999999</v>
      </c>
      <c r="P3353">
        <v>2</v>
      </c>
      <c r="Q3353" s="1" t="s">
        <v>569</v>
      </c>
      <c r="R3353" s="93">
        <v>12006.28</v>
      </c>
      <c r="S3353">
        <v>5630.94</v>
      </c>
      <c r="T3353">
        <v>0</v>
      </c>
      <c r="U3353" s="1" t="s">
        <v>1072</v>
      </c>
      <c r="V3353" s="1" t="s">
        <v>1329</v>
      </c>
      <c r="W3353">
        <v>12006.27274</v>
      </c>
      <c r="X3353">
        <v>0</v>
      </c>
      <c r="Y3353">
        <v>77501</v>
      </c>
    </row>
    <row r="3354" spans="1:25" ht="15" hidden="1" customHeight="1" x14ac:dyDescent="0.25">
      <c r="A3354" s="1" t="s">
        <v>37</v>
      </c>
      <c r="B3354" s="1"/>
      <c r="C3354" s="1" t="s">
        <v>192</v>
      </c>
      <c r="D3354">
        <v>10230</v>
      </c>
      <c r="E3354" s="1"/>
      <c r="F3354" s="1" t="s">
        <v>320</v>
      </c>
      <c r="G3354" s="1" t="s">
        <v>320</v>
      </c>
      <c r="H3354" s="1" t="s">
        <v>1405</v>
      </c>
      <c r="I3354">
        <v>2010</v>
      </c>
      <c r="J3354" s="93">
        <v>12242.7</v>
      </c>
      <c r="K3354">
        <v>11</v>
      </c>
      <c r="L3354" s="1" t="s">
        <v>399</v>
      </c>
      <c r="M3354">
        <v>0</v>
      </c>
      <c r="N3354">
        <v>711</v>
      </c>
      <c r="O3354">
        <v>17.216564999999999</v>
      </c>
      <c r="P3354">
        <v>2</v>
      </c>
      <c r="Q3354" s="1" t="s">
        <v>569</v>
      </c>
      <c r="R3354" s="93">
        <v>12242.7</v>
      </c>
      <c r="S3354">
        <v>5741.83</v>
      </c>
      <c r="T3354">
        <v>0</v>
      </c>
      <c r="U3354" s="1" t="s">
        <v>1072</v>
      </c>
      <c r="V3354" s="1" t="s">
        <v>1329</v>
      </c>
      <c r="W3354">
        <v>12242.698700000001</v>
      </c>
      <c r="X3354">
        <v>0</v>
      </c>
      <c r="Y3354">
        <v>77501</v>
      </c>
    </row>
    <row r="3355" spans="1:25" ht="15" hidden="1" customHeight="1" x14ac:dyDescent="0.25">
      <c r="A3355" s="1" t="s">
        <v>37</v>
      </c>
      <c r="B3355" s="1"/>
      <c r="C3355" s="1" t="s">
        <v>192</v>
      </c>
      <c r="D3355">
        <v>10230</v>
      </c>
      <c r="E3355" s="1"/>
      <c r="F3355" s="1" t="s">
        <v>320</v>
      </c>
      <c r="G3355" s="1" t="s">
        <v>320</v>
      </c>
      <c r="H3355" s="1" t="s">
        <v>1405</v>
      </c>
      <c r="I3355">
        <v>2009</v>
      </c>
      <c r="J3355" s="93">
        <v>12565.03</v>
      </c>
      <c r="K3355">
        <v>14</v>
      </c>
      <c r="L3355" s="1" t="s">
        <v>399</v>
      </c>
      <c r="M3355">
        <v>0</v>
      </c>
      <c r="N3355">
        <v>711</v>
      </c>
      <c r="O3355">
        <v>17.669848999999999</v>
      </c>
      <c r="P3355">
        <v>2</v>
      </c>
      <c r="Q3355" s="1" t="s">
        <v>569</v>
      </c>
      <c r="R3355" s="93">
        <v>12565.03</v>
      </c>
      <c r="S3355">
        <v>5892.99</v>
      </c>
      <c r="T3355">
        <v>0</v>
      </c>
      <c r="U3355" s="1" t="s">
        <v>1072</v>
      </c>
      <c r="V3355" s="1" t="s">
        <v>1329</v>
      </c>
      <c r="W3355">
        <v>12565.028560000001</v>
      </c>
      <c r="X3355">
        <v>0</v>
      </c>
      <c r="Y3355">
        <v>77501</v>
      </c>
    </row>
    <row r="3356" spans="1:25" ht="15" hidden="1" customHeight="1" x14ac:dyDescent="0.25">
      <c r="A3356" s="1" t="s">
        <v>37</v>
      </c>
      <c r="B3356" s="1"/>
      <c r="C3356" s="1" t="s">
        <v>192</v>
      </c>
      <c r="D3356">
        <v>10230</v>
      </c>
      <c r="E3356" s="1"/>
      <c r="F3356" s="1" t="s">
        <v>320</v>
      </c>
      <c r="G3356" s="1" t="s">
        <v>320</v>
      </c>
      <c r="H3356" s="1" t="s">
        <v>1405</v>
      </c>
      <c r="I3356">
        <v>2008</v>
      </c>
      <c r="J3356" s="93">
        <v>12884.55</v>
      </c>
      <c r="K3356">
        <v>9</v>
      </c>
      <c r="L3356" s="1" t="s">
        <v>399</v>
      </c>
      <c r="M3356">
        <v>0</v>
      </c>
      <c r="N3356">
        <v>711</v>
      </c>
      <c r="O3356">
        <v>18.119181000000001</v>
      </c>
      <c r="P3356">
        <v>2</v>
      </c>
      <c r="Q3356" s="1" t="s">
        <v>569</v>
      </c>
      <c r="R3356" s="93">
        <v>12884.55</v>
      </c>
      <c r="S3356">
        <v>6042.85</v>
      </c>
      <c r="T3356">
        <v>0</v>
      </c>
      <c r="U3356" s="1" t="s">
        <v>1072</v>
      </c>
      <c r="V3356" s="1" t="s">
        <v>1329</v>
      </c>
      <c r="W3356">
        <v>12884.5435</v>
      </c>
      <c r="X3356">
        <v>0</v>
      </c>
      <c r="Y3356">
        <v>77501</v>
      </c>
    </row>
    <row r="3357" spans="1:25" ht="15" hidden="1" customHeight="1" x14ac:dyDescent="0.25">
      <c r="A3357" s="1" t="s">
        <v>37</v>
      </c>
      <c r="B3357" s="1"/>
      <c r="C3357" s="1" t="s">
        <v>202</v>
      </c>
      <c r="D3357">
        <v>10321</v>
      </c>
      <c r="E3357" s="1"/>
      <c r="F3357" s="1" t="s">
        <v>337</v>
      </c>
      <c r="G3357" s="1" t="s">
        <v>1400</v>
      </c>
      <c r="H3357" s="1" t="s">
        <v>1405</v>
      </c>
      <c r="I3357">
        <v>2014</v>
      </c>
      <c r="J3357" s="93">
        <v>5023.71</v>
      </c>
      <c r="K3357">
        <v>12</v>
      </c>
      <c r="L3357" s="1" t="s">
        <v>411</v>
      </c>
      <c r="M3357">
        <v>0</v>
      </c>
      <c r="N3357">
        <v>126</v>
      </c>
      <c r="O3357">
        <v>39.839095</v>
      </c>
      <c r="P3357">
        <v>2</v>
      </c>
      <c r="Q3357" s="1" t="s">
        <v>569</v>
      </c>
      <c r="R3357" s="93">
        <v>5023.71</v>
      </c>
      <c r="S3357">
        <v>1507.11</v>
      </c>
      <c r="T3357">
        <v>0</v>
      </c>
      <c r="U3357" s="1" t="s">
        <v>1094</v>
      </c>
      <c r="V3357" s="1" t="s">
        <v>1339</v>
      </c>
      <c r="W3357">
        <v>5023.7110000000002</v>
      </c>
      <c r="X3357">
        <v>0</v>
      </c>
      <c r="Y3357">
        <v>77808</v>
      </c>
    </row>
    <row r="3358" spans="1:25" ht="15" customHeight="1" x14ac:dyDescent="0.25">
      <c r="A3358" s="1" t="s">
        <v>37</v>
      </c>
      <c r="B3358" s="1"/>
      <c r="C3358" s="1" t="s">
        <v>193</v>
      </c>
      <c r="D3358">
        <v>10991</v>
      </c>
      <c r="E3358" s="1"/>
      <c r="F3358" s="1" t="s">
        <v>321</v>
      </c>
      <c r="G3358" s="1" t="s">
        <v>1398</v>
      </c>
      <c r="H3358" s="1" t="s">
        <v>1405</v>
      </c>
      <c r="I3358">
        <v>2014</v>
      </c>
      <c r="J3358" s="93">
        <v>61236.36</v>
      </c>
      <c r="K3358">
        <v>10</v>
      </c>
      <c r="L3358" s="1" t="s">
        <v>421</v>
      </c>
      <c r="M3358">
        <v>0</v>
      </c>
      <c r="N3358">
        <v>1475</v>
      </c>
      <c r="O3358">
        <v>41.513361000000003</v>
      </c>
      <c r="P3358">
        <v>2</v>
      </c>
      <c r="Q3358" s="1" t="s">
        <v>569</v>
      </c>
      <c r="R3358" s="93">
        <v>61236.36</v>
      </c>
      <c r="S3358">
        <v>18370.900000000001</v>
      </c>
      <c r="T3358">
        <v>0</v>
      </c>
      <c r="U3358" s="1" t="s">
        <v>1073</v>
      </c>
      <c r="V3358" s="1"/>
      <c r="W3358">
        <v>61236.359850000001</v>
      </c>
      <c r="X3358">
        <v>0</v>
      </c>
      <c r="Y3358">
        <v>79756</v>
      </c>
    </row>
    <row r="3359" spans="1:25" ht="15" hidden="1" customHeight="1" x14ac:dyDescent="0.25">
      <c r="A3359" s="1" t="s">
        <v>37</v>
      </c>
      <c r="B3359" s="1"/>
      <c r="C3359" s="1" t="s">
        <v>193</v>
      </c>
      <c r="D3359">
        <v>10991</v>
      </c>
      <c r="E3359" s="1"/>
      <c r="F3359" s="1" t="s">
        <v>321</v>
      </c>
      <c r="G3359" s="1" t="s">
        <v>1398</v>
      </c>
      <c r="H3359" s="1" t="s">
        <v>1405</v>
      </c>
      <c r="I3359">
        <v>2012</v>
      </c>
      <c r="J3359" s="93">
        <v>60121.35</v>
      </c>
      <c r="K3359">
        <v>11</v>
      </c>
      <c r="L3359" s="1" t="s">
        <v>421</v>
      </c>
      <c r="M3359">
        <v>0</v>
      </c>
      <c r="N3359">
        <v>1475</v>
      </c>
      <c r="O3359">
        <v>40.757474000000002</v>
      </c>
      <c r="P3359">
        <v>2</v>
      </c>
      <c r="Q3359" s="1" t="s">
        <v>569</v>
      </c>
      <c r="R3359" s="93">
        <v>60121.35</v>
      </c>
      <c r="S3359">
        <v>24048.53</v>
      </c>
      <c r="T3359">
        <v>0</v>
      </c>
      <c r="U3359" s="1" t="s">
        <v>1073</v>
      </c>
      <c r="V3359" s="1"/>
      <c r="W3359">
        <v>60121.359450000004</v>
      </c>
      <c r="X3359">
        <v>0</v>
      </c>
      <c r="Y3359">
        <v>79756</v>
      </c>
    </row>
    <row r="3360" spans="1:25" ht="15" hidden="1" customHeight="1" x14ac:dyDescent="0.25">
      <c r="A3360" s="1" t="s">
        <v>37</v>
      </c>
      <c r="B3360" s="1"/>
      <c r="C3360" s="1" t="s">
        <v>193</v>
      </c>
      <c r="D3360">
        <v>10991</v>
      </c>
      <c r="E3360" s="1"/>
      <c r="F3360" s="1" t="s">
        <v>321</v>
      </c>
      <c r="G3360" s="1" t="s">
        <v>1398</v>
      </c>
      <c r="H3360" s="1" t="s">
        <v>1405</v>
      </c>
      <c r="I3360">
        <v>2011</v>
      </c>
      <c r="J3360" s="93">
        <v>53848.94</v>
      </c>
      <c r="K3360">
        <v>8</v>
      </c>
      <c r="L3360" s="1" t="s">
        <v>421</v>
      </c>
      <c r="M3360">
        <v>0</v>
      </c>
      <c r="N3360">
        <v>1475</v>
      </c>
      <c r="O3360">
        <v>36.505279999999999</v>
      </c>
      <c r="P3360">
        <v>2</v>
      </c>
      <c r="Q3360" s="1" t="s">
        <v>569</v>
      </c>
      <c r="R3360" s="93">
        <v>53848.94</v>
      </c>
      <c r="S3360">
        <v>25255.15</v>
      </c>
      <c r="T3360">
        <v>0</v>
      </c>
      <c r="U3360" s="1" t="s">
        <v>1073</v>
      </c>
      <c r="V3360" s="1"/>
      <c r="W3360">
        <v>53848.92209</v>
      </c>
      <c r="X3360">
        <v>0</v>
      </c>
      <c r="Y3360">
        <v>79756</v>
      </c>
    </row>
    <row r="3361" spans="1:25" ht="15" hidden="1" customHeight="1" x14ac:dyDescent="0.25">
      <c r="A3361" s="1" t="s">
        <v>37</v>
      </c>
      <c r="B3361" s="1"/>
      <c r="C3361" s="1" t="s">
        <v>193</v>
      </c>
      <c r="D3361">
        <v>10991</v>
      </c>
      <c r="E3361" s="1"/>
      <c r="F3361" s="1" t="s">
        <v>321</v>
      </c>
      <c r="G3361" s="1" t="s">
        <v>1398</v>
      </c>
      <c r="H3361" s="1" t="s">
        <v>1405</v>
      </c>
      <c r="I3361">
        <v>2010</v>
      </c>
      <c r="J3361" s="93">
        <v>72670.460000000006</v>
      </c>
      <c r="K3361">
        <v>12</v>
      </c>
      <c r="L3361" s="1" t="s">
        <v>421</v>
      </c>
      <c r="M3361">
        <v>0</v>
      </c>
      <c r="N3361">
        <v>1475</v>
      </c>
      <c r="O3361">
        <v>49.264767999999997</v>
      </c>
      <c r="P3361">
        <v>2</v>
      </c>
      <c r="Q3361" s="1" t="s">
        <v>569</v>
      </c>
      <c r="R3361" s="93">
        <v>72670.460000000006</v>
      </c>
      <c r="S3361">
        <v>34082.449999999997</v>
      </c>
      <c r="T3361">
        <v>0</v>
      </c>
      <c r="U3361" s="1" t="s">
        <v>1073</v>
      </c>
      <c r="V3361" s="1"/>
      <c r="W3361">
        <v>72670.449349999995</v>
      </c>
      <c r="X3361">
        <v>0</v>
      </c>
      <c r="Y3361">
        <v>79756</v>
      </c>
    </row>
    <row r="3362" spans="1:25" ht="15" hidden="1" customHeight="1" x14ac:dyDescent="0.25">
      <c r="A3362" s="1" t="s">
        <v>37</v>
      </c>
      <c r="B3362" s="1"/>
      <c r="C3362" s="1" t="s">
        <v>193</v>
      </c>
      <c r="D3362">
        <v>10991</v>
      </c>
      <c r="E3362" s="1"/>
      <c r="F3362" s="1" t="s">
        <v>321</v>
      </c>
      <c r="G3362" s="1" t="s">
        <v>1398</v>
      </c>
      <c r="H3362" s="1" t="s">
        <v>1405</v>
      </c>
      <c r="I3362">
        <v>2009</v>
      </c>
      <c r="J3362" s="93">
        <v>74017.78</v>
      </c>
      <c r="K3362">
        <v>11</v>
      </c>
      <c r="L3362" s="1" t="s">
        <v>421</v>
      </c>
      <c r="M3362">
        <v>0</v>
      </c>
      <c r="N3362">
        <v>1475</v>
      </c>
      <c r="O3362">
        <v>50.178142999999999</v>
      </c>
      <c r="P3362">
        <v>2</v>
      </c>
      <c r="Q3362" s="1" t="s">
        <v>569</v>
      </c>
      <c r="R3362" s="93">
        <v>74017.78</v>
      </c>
      <c r="S3362">
        <v>34714.36</v>
      </c>
      <c r="T3362">
        <v>0</v>
      </c>
      <c r="U3362" s="1" t="s">
        <v>1073</v>
      </c>
      <c r="V3362" s="1"/>
      <c r="W3362">
        <v>74017.785260000004</v>
      </c>
      <c r="X3362">
        <v>0</v>
      </c>
      <c r="Y3362">
        <v>79756</v>
      </c>
    </row>
    <row r="3363" spans="1:25" ht="15" hidden="1" customHeight="1" x14ac:dyDescent="0.25">
      <c r="A3363" s="1" t="s">
        <v>37</v>
      </c>
      <c r="B3363" s="1"/>
      <c r="C3363" s="1" t="s">
        <v>193</v>
      </c>
      <c r="D3363">
        <v>10991</v>
      </c>
      <c r="E3363" s="1"/>
      <c r="F3363" s="1" t="s">
        <v>321</v>
      </c>
      <c r="G3363" s="1" t="s">
        <v>1398</v>
      </c>
      <c r="H3363" s="1" t="s">
        <v>1405</v>
      </c>
      <c r="I3363">
        <v>2008</v>
      </c>
      <c r="J3363" s="93">
        <v>62175.19</v>
      </c>
      <c r="K3363">
        <v>13</v>
      </c>
      <c r="L3363" s="1" t="s">
        <v>421</v>
      </c>
      <c r="M3363">
        <v>0</v>
      </c>
      <c r="N3363">
        <v>1475</v>
      </c>
      <c r="O3363">
        <v>42.149813000000002</v>
      </c>
      <c r="P3363">
        <v>2</v>
      </c>
      <c r="Q3363" s="1" t="s">
        <v>569</v>
      </c>
      <c r="R3363" s="93">
        <v>62175.19</v>
      </c>
      <c r="S3363">
        <v>29160.2</v>
      </c>
      <c r="T3363">
        <v>0</v>
      </c>
      <c r="U3363" s="1" t="s">
        <v>1073</v>
      </c>
      <c r="V3363" s="1"/>
      <c r="W3363">
        <v>62175.19354</v>
      </c>
      <c r="X3363">
        <v>0</v>
      </c>
      <c r="Y3363">
        <v>79756</v>
      </c>
    </row>
    <row r="3364" spans="1:25" ht="15" customHeight="1" x14ac:dyDescent="0.25">
      <c r="A3364" s="1" t="s">
        <v>37</v>
      </c>
      <c r="B3364" s="1"/>
      <c r="C3364" s="1" t="s">
        <v>193</v>
      </c>
      <c r="D3364">
        <v>9220</v>
      </c>
      <c r="E3364" s="1"/>
      <c r="F3364" s="1" t="s">
        <v>322</v>
      </c>
      <c r="G3364" s="1" t="s">
        <v>1398</v>
      </c>
      <c r="H3364" s="1" t="s">
        <v>1405</v>
      </c>
      <c r="I3364">
        <v>2014</v>
      </c>
      <c r="J3364" s="93">
        <v>174323.22</v>
      </c>
      <c r="K3364">
        <v>12</v>
      </c>
      <c r="L3364" s="1" t="s">
        <v>448</v>
      </c>
      <c r="M3364">
        <v>0</v>
      </c>
      <c r="N3364">
        <v>7549</v>
      </c>
      <c r="O3364">
        <v>23.091919999999998</v>
      </c>
      <c r="P3364">
        <v>2</v>
      </c>
      <c r="Q3364" s="1" t="s">
        <v>569</v>
      </c>
      <c r="R3364" s="93">
        <v>174323.22</v>
      </c>
      <c r="S3364">
        <v>52296.98</v>
      </c>
      <c r="T3364">
        <v>0</v>
      </c>
      <c r="U3364" s="1" t="s">
        <v>1074</v>
      </c>
      <c r="V3364" s="1"/>
      <c r="W3364">
        <v>174323.22115</v>
      </c>
      <c r="X3364">
        <v>0</v>
      </c>
      <c r="Y3364">
        <v>78606</v>
      </c>
    </row>
    <row r="3365" spans="1:25" ht="15" customHeight="1" x14ac:dyDescent="0.25">
      <c r="A3365" s="1" t="s">
        <v>37</v>
      </c>
      <c r="B3365" s="1"/>
      <c r="C3365" s="1" t="s">
        <v>193</v>
      </c>
      <c r="D3365">
        <v>11000</v>
      </c>
      <c r="E3365" s="1"/>
      <c r="F3365" s="1" t="s">
        <v>323</v>
      </c>
      <c r="G3365" s="1" t="s">
        <v>1398</v>
      </c>
      <c r="H3365" s="1" t="s">
        <v>1405</v>
      </c>
      <c r="I3365">
        <v>2014</v>
      </c>
      <c r="J3365" s="93">
        <v>2141.29</v>
      </c>
      <c r="K3365">
        <v>9</v>
      </c>
      <c r="L3365" s="1" t="s">
        <v>421</v>
      </c>
      <c r="M3365">
        <v>0</v>
      </c>
      <c r="N3365">
        <v>652</v>
      </c>
      <c r="O3365">
        <v>3.2836829999999999</v>
      </c>
      <c r="P3365">
        <v>2</v>
      </c>
      <c r="Q3365" s="1" t="s">
        <v>569</v>
      </c>
      <c r="R3365" s="93">
        <v>2141.29</v>
      </c>
      <c r="S3365">
        <v>642.4</v>
      </c>
      <c r="T3365">
        <v>0</v>
      </c>
      <c r="U3365" s="1" t="s">
        <v>1075</v>
      </c>
      <c r="V3365" s="1" t="s">
        <v>1330</v>
      </c>
      <c r="W3365">
        <v>2141.3000099999999</v>
      </c>
      <c r="X3365">
        <v>0</v>
      </c>
      <c r="Y3365">
        <v>79720</v>
      </c>
    </row>
    <row r="3366" spans="1:25" ht="15" hidden="1" customHeight="1" x14ac:dyDescent="0.25">
      <c r="A3366" s="1" t="s">
        <v>37</v>
      </c>
      <c r="B3366" s="1"/>
      <c r="C3366" s="1" t="s">
        <v>193</v>
      </c>
      <c r="D3366">
        <v>9220</v>
      </c>
      <c r="E3366" s="1"/>
      <c r="F3366" s="1" t="s">
        <v>322</v>
      </c>
      <c r="G3366" s="1" t="s">
        <v>1398</v>
      </c>
      <c r="H3366" s="1" t="s">
        <v>1405</v>
      </c>
      <c r="I3366">
        <v>2012</v>
      </c>
      <c r="J3366" s="93">
        <v>162594.85</v>
      </c>
      <c r="K3366">
        <v>12</v>
      </c>
      <c r="L3366" s="1" t="s">
        <v>448</v>
      </c>
      <c r="M3366">
        <v>0</v>
      </c>
      <c r="N3366">
        <v>7549</v>
      </c>
      <c r="O3366">
        <v>21.538309000000002</v>
      </c>
      <c r="P3366">
        <v>2</v>
      </c>
      <c r="Q3366" s="1" t="s">
        <v>569</v>
      </c>
      <c r="R3366" s="93">
        <v>162594.85</v>
      </c>
      <c r="S3366">
        <v>65037.95</v>
      </c>
      <c r="T3366">
        <v>0</v>
      </c>
      <c r="U3366" s="1" t="s">
        <v>1074</v>
      </c>
      <c r="V3366" s="1"/>
      <c r="W3366">
        <v>162594.83055000001</v>
      </c>
      <c r="X3366">
        <v>0</v>
      </c>
      <c r="Y3366">
        <v>78606</v>
      </c>
    </row>
    <row r="3367" spans="1:25" ht="15" hidden="1" customHeight="1" x14ac:dyDescent="0.25">
      <c r="A3367" s="1" t="s">
        <v>37</v>
      </c>
      <c r="B3367" s="1"/>
      <c r="C3367" s="1" t="s">
        <v>193</v>
      </c>
      <c r="D3367">
        <v>9220</v>
      </c>
      <c r="E3367" s="1"/>
      <c r="F3367" s="1" t="s">
        <v>322</v>
      </c>
      <c r="G3367" s="1" t="s">
        <v>1398</v>
      </c>
      <c r="H3367" s="1" t="s">
        <v>1405</v>
      </c>
      <c r="I3367">
        <v>2011</v>
      </c>
      <c r="J3367" s="93">
        <v>181504.63</v>
      </c>
      <c r="K3367">
        <v>12</v>
      </c>
      <c r="L3367" s="1" t="s">
        <v>448</v>
      </c>
      <c r="M3367">
        <v>0</v>
      </c>
      <c r="N3367">
        <v>7549</v>
      </c>
      <c r="O3367">
        <v>24.043213999999999</v>
      </c>
      <c r="P3367">
        <v>2</v>
      </c>
      <c r="Q3367" s="1" t="s">
        <v>569</v>
      </c>
      <c r="R3367" s="93">
        <v>181504.63</v>
      </c>
      <c r="S3367">
        <v>85125.69</v>
      </c>
      <c r="T3367">
        <v>0</v>
      </c>
      <c r="U3367" s="1" t="s">
        <v>1074</v>
      </c>
      <c r="V3367" s="1"/>
      <c r="W3367">
        <v>181504.65101</v>
      </c>
      <c r="X3367">
        <v>0</v>
      </c>
      <c r="Y3367">
        <v>78606</v>
      </c>
    </row>
    <row r="3368" spans="1:25" ht="15" hidden="1" customHeight="1" x14ac:dyDescent="0.25">
      <c r="A3368" s="1" t="s">
        <v>37</v>
      </c>
      <c r="B3368" s="1"/>
      <c r="C3368" s="1" t="s">
        <v>193</v>
      </c>
      <c r="D3368">
        <v>9220</v>
      </c>
      <c r="E3368" s="1"/>
      <c r="F3368" s="1" t="s">
        <v>322</v>
      </c>
      <c r="G3368" s="1" t="s">
        <v>1398</v>
      </c>
      <c r="H3368" s="1" t="s">
        <v>1405</v>
      </c>
      <c r="I3368">
        <v>2010</v>
      </c>
      <c r="J3368" s="93">
        <v>218232.36</v>
      </c>
      <c r="K3368">
        <v>2</v>
      </c>
      <c r="L3368" s="1" t="s">
        <v>448</v>
      </c>
      <c r="M3368">
        <v>0</v>
      </c>
      <c r="N3368">
        <v>7549</v>
      </c>
      <c r="O3368">
        <v>28.908394000000001</v>
      </c>
      <c r="P3368">
        <v>2</v>
      </c>
      <c r="Q3368" s="1" t="s">
        <v>569</v>
      </c>
      <c r="R3368" s="93">
        <v>218232.36</v>
      </c>
      <c r="S3368">
        <v>102350.95</v>
      </c>
      <c r="T3368">
        <v>0</v>
      </c>
      <c r="U3368" s="1" t="s">
        <v>1074</v>
      </c>
      <c r="V3368" s="1"/>
      <c r="W3368">
        <v>218232.36191000001</v>
      </c>
      <c r="X3368">
        <v>0</v>
      </c>
      <c r="Y3368">
        <v>78606</v>
      </c>
    </row>
    <row r="3369" spans="1:25" ht="15" hidden="1" customHeight="1" x14ac:dyDescent="0.25">
      <c r="A3369" s="1" t="s">
        <v>37</v>
      </c>
      <c r="B3369" s="1"/>
      <c r="C3369" s="1" t="s">
        <v>193</v>
      </c>
      <c r="D3369">
        <v>9220</v>
      </c>
      <c r="E3369" s="1"/>
      <c r="F3369" s="1" t="s">
        <v>322</v>
      </c>
      <c r="G3369" s="1" t="s">
        <v>1398</v>
      </c>
      <c r="H3369" s="1" t="s">
        <v>1405</v>
      </c>
      <c r="I3369">
        <v>2009</v>
      </c>
      <c r="J3369" s="93">
        <v>229054.33</v>
      </c>
      <c r="K3369">
        <v>1</v>
      </c>
      <c r="L3369" s="1" t="s">
        <v>448</v>
      </c>
      <c r="M3369">
        <v>0</v>
      </c>
      <c r="N3369">
        <v>7549</v>
      </c>
      <c r="O3369">
        <v>30.341937999999999</v>
      </c>
      <c r="P3369">
        <v>2</v>
      </c>
      <c r="Q3369" s="1" t="s">
        <v>569</v>
      </c>
      <c r="R3369" s="93">
        <v>229054.33</v>
      </c>
      <c r="S3369">
        <v>107426.42</v>
      </c>
      <c r="T3369">
        <v>0</v>
      </c>
      <c r="U3369" s="1" t="s">
        <v>1074</v>
      </c>
      <c r="V3369" s="1"/>
      <c r="W3369">
        <v>229054.32806</v>
      </c>
      <c r="X3369">
        <v>0</v>
      </c>
      <c r="Y3369">
        <v>78606</v>
      </c>
    </row>
    <row r="3370" spans="1:25" ht="15" hidden="1" customHeight="1" x14ac:dyDescent="0.25">
      <c r="A3370" s="1" t="s">
        <v>37</v>
      </c>
      <c r="B3370" s="1"/>
      <c r="C3370" s="1" t="s">
        <v>193</v>
      </c>
      <c r="D3370">
        <v>9220</v>
      </c>
      <c r="E3370" s="1"/>
      <c r="F3370" s="1" t="s">
        <v>322</v>
      </c>
      <c r="G3370" s="1" t="s">
        <v>1398</v>
      </c>
      <c r="H3370" s="1" t="s">
        <v>1405</v>
      </c>
      <c r="I3370">
        <v>2008</v>
      </c>
      <c r="J3370" s="93">
        <v>248925.81</v>
      </c>
      <c r="K3370">
        <v>9</v>
      </c>
      <c r="L3370" s="1" t="s">
        <v>448</v>
      </c>
      <c r="M3370">
        <v>0</v>
      </c>
      <c r="N3370">
        <v>7549</v>
      </c>
      <c r="O3370">
        <v>32.974235999999998</v>
      </c>
      <c r="P3370">
        <v>2</v>
      </c>
      <c r="Q3370" s="1" t="s">
        <v>569</v>
      </c>
      <c r="R3370" s="93">
        <v>248925.81</v>
      </c>
      <c r="S3370">
        <v>116746.16</v>
      </c>
      <c r="T3370">
        <v>0</v>
      </c>
      <c r="U3370" s="1" t="s">
        <v>1074</v>
      </c>
      <c r="V3370" s="1"/>
      <c r="W3370">
        <v>248925.78236000001</v>
      </c>
      <c r="X3370">
        <v>0</v>
      </c>
      <c r="Y3370">
        <v>78606</v>
      </c>
    </row>
    <row r="3371" spans="1:25" ht="15" hidden="1" customHeight="1" x14ac:dyDescent="0.25">
      <c r="A3371" s="1" t="s">
        <v>37</v>
      </c>
      <c r="B3371" s="1"/>
      <c r="C3371" s="1" t="s">
        <v>194</v>
      </c>
      <c r="D3371">
        <v>14253</v>
      </c>
      <c r="E3371" s="1" t="s">
        <v>243</v>
      </c>
      <c r="F3371" s="1" t="s">
        <v>325</v>
      </c>
      <c r="G3371" s="1" t="s">
        <v>194</v>
      </c>
      <c r="H3371" s="1" t="s">
        <v>1405</v>
      </c>
      <c r="I3371">
        <v>2014</v>
      </c>
      <c r="J3371" s="93">
        <v>256603.32</v>
      </c>
      <c r="K3371">
        <v>12</v>
      </c>
      <c r="L3371" s="1" t="s">
        <v>478</v>
      </c>
      <c r="M3371">
        <v>0</v>
      </c>
      <c r="N3371">
        <v>6105</v>
      </c>
      <c r="O3371">
        <v>42.030977</v>
      </c>
      <c r="P3371">
        <v>2</v>
      </c>
      <c r="Q3371" s="1" t="s">
        <v>569</v>
      </c>
      <c r="R3371" s="93">
        <v>256603.32</v>
      </c>
      <c r="S3371">
        <v>76981.009999999995</v>
      </c>
      <c r="T3371">
        <v>0</v>
      </c>
      <c r="U3371" s="1" t="s">
        <v>1076</v>
      </c>
      <c r="V3371" s="1" t="s">
        <v>1331</v>
      </c>
      <c r="W3371">
        <v>256603.32</v>
      </c>
      <c r="X3371">
        <v>0</v>
      </c>
      <c r="Y3371">
        <v>72734</v>
      </c>
    </row>
    <row r="3372" spans="1:25" ht="15" hidden="1" customHeight="1" x14ac:dyDescent="0.25">
      <c r="A3372" s="1" t="s">
        <v>37</v>
      </c>
      <c r="B3372" s="1"/>
      <c r="C3372" s="1" t="s">
        <v>195</v>
      </c>
      <c r="D3372">
        <v>9518</v>
      </c>
      <c r="E3372" s="1"/>
      <c r="F3372" s="1" t="s">
        <v>327</v>
      </c>
      <c r="G3372" s="1" t="s">
        <v>195</v>
      </c>
      <c r="H3372" s="1" t="s">
        <v>1405</v>
      </c>
      <c r="I3372">
        <v>2014</v>
      </c>
      <c r="J3372" s="93">
        <v>59331.39</v>
      </c>
      <c r="K3372">
        <v>12</v>
      </c>
      <c r="L3372" s="1"/>
      <c r="M3372">
        <v>0</v>
      </c>
      <c r="N3372">
        <v>2128</v>
      </c>
      <c r="O3372">
        <v>27.879981999999998</v>
      </c>
      <c r="P3372">
        <v>2</v>
      </c>
      <c r="Q3372" s="1" t="s">
        <v>569</v>
      </c>
      <c r="R3372" s="93">
        <v>59331.39</v>
      </c>
      <c r="S3372">
        <v>17799.400000000001</v>
      </c>
      <c r="T3372">
        <v>0</v>
      </c>
      <c r="U3372" s="1" t="s">
        <v>1077</v>
      </c>
      <c r="V3372" s="1" t="s">
        <v>1332</v>
      </c>
      <c r="W3372">
        <v>59331.396000000001</v>
      </c>
      <c r="X3372">
        <v>0</v>
      </c>
      <c r="Y3372">
        <v>74428</v>
      </c>
    </row>
    <row r="3373" spans="1:25" ht="15" hidden="1" customHeight="1" x14ac:dyDescent="0.25">
      <c r="A3373" s="1" t="s">
        <v>37</v>
      </c>
      <c r="B3373" s="1"/>
      <c r="C3373" s="1" t="s">
        <v>193</v>
      </c>
      <c r="D3373">
        <v>11000</v>
      </c>
      <c r="E3373" s="1"/>
      <c r="F3373" s="1" t="s">
        <v>323</v>
      </c>
      <c r="G3373" s="1" t="s">
        <v>1398</v>
      </c>
      <c r="H3373" s="1" t="s">
        <v>1405</v>
      </c>
      <c r="I3373">
        <v>2012</v>
      </c>
      <c r="J3373" s="93">
        <v>1952.57</v>
      </c>
      <c r="K3373">
        <v>11</v>
      </c>
      <c r="L3373" s="1" t="s">
        <v>421</v>
      </c>
      <c r="M3373">
        <v>0</v>
      </c>
      <c r="N3373">
        <v>652</v>
      </c>
      <c r="O3373">
        <v>2.9942799999999998</v>
      </c>
      <c r="P3373">
        <v>2</v>
      </c>
      <c r="Q3373" s="1" t="s">
        <v>569</v>
      </c>
      <c r="R3373" s="93">
        <v>1952.57</v>
      </c>
      <c r="S3373">
        <v>781.04</v>
      </c>
      <c r="T3373">
        <v>0</v>
      </c>
      <c r="U3373" s="1" t="s">
        <v>1075</v>
      </c>
      <c r="V3373" s="1" t="s">
        <v>1330</v>
      </c>
      <c r="W3373">
        <v>1952.57374</v>
      </c>
      <c r="X3373">
        <v>0</v>
      </c>
      <c r="Y3373">
        <v>79720</v>
      </c>
    </row>
    <row r="3374" spans="1:25" ht="15" hidden="1" customHeight="1" x14ac:dyDescent="0.25">
      <c r="A3374" s="1" t="s">
        <v>37</v>
      </c>
      <c r="B3374" s="1"/>
      <c r="C3374" s="1" t="s">
        <v>193</v>
      </c>
      <c r="D3374">
        <v>11000</v>
      </c>
      <c r="E3374" s="1"/>
      <c r="F3374" s="1" t="s">
        <v>323</v>
      </c>
      <c r="G3374" s="1" t="s">
        <v>1398</v>
      </c>
      <c r="H3374" s="1" t="s">
        <v>1405</v>
      </c>
      <c r="I3374">
        <v>2011</v>
      </c>
      <c r="J3374" s="93">
        <v>2098.98</v>
      </c>
      <c r="K3374">
        <v>8</v>
      </c>
      <c r="L3374" s="1" t="s">
        <v>421</v>
      </c>
      <c r="M3374">
        <v>0</v>
      </c>
      <c r="N3374">
        <v>652</v>
      </c>
      <c r="O3374">
        <v>3.2187999999999999</v>
      </c>
      <c r="P3374">
        <v>2</v>
      </c>
      <c r="Q3374" s="1" t="s">
        <v>569</v>
      </c>
      <c r="R3374" s="93">
        <v>2098.98</v>
      </c>
      <c r="S3374">
        <v>984.43</v>
      </c>
      <c r="T3374">
        <v>0</v>
      </c>
      <c r="U3374" s="1" t="s">
        <v>1075</v>
      </c>
      <c r="V3374" s="1" t="s">
        <v>1330</v>
      </c>
      <c r="W3374">
        <v>2098.9805200000001</v>
      </c>
      <c r="X3374">
        <v>0</v>
      </c>
      <c r="Y3374">
        <v>79720</v>
      </c>
    </row>
    <row r="3375" spans="1:25" ht="15" hidden="1" customHeight="1" x14ac:dyDescent="0.25">
      <c r="A3375" s="1" t="s">
        <v>37</v>
      </c>
      <c r="B3375" s="1"/>
      <c r="C3375" s="1" t="s">
        <v>193</v>
      </c>
      <c r="D3375">
        <v>11000</v>
      </c>
      <c r="E3375" s="1"/>
      <c r="F3375" s="1" t="s">
        <v>323</v>
      </c>
      <c r="G3375" s="1" t="s">
        <v>1398</v>
      </c>
      <c r="H3375" s="1" t="s">
        <v>1405</v>
      </c>
      <c r="I3375">
        <v>2010</v>
      </c>
      <c r="J3375" s="93">
        <v>4681.32</v>
      </c>
      <c r="K3375">
        <v>12</v>
      </c>
      <c r="L3375" s="1" t="s">
        <v>421</v>
      </c>
      <c r="M3375">
        <v>0</v>
      </c>
      <c r="N3375">
        <v>652</v>
      </c>
      <c r="O3375">
        <v>7.1788369999999997</v>
      </c>
      <c r="P3375">
        <v>2</v>
      </c>
      <c r="Q3375" s="1" t="s">
        <v>569</v>
      </c>
      <c r="R3375" s="93">
        <v>4681.32</v>
      </c>
      <c r="S3375">
        <v>2195.54</v>
      </c>
      <c r="T3375">
        <v>0</v>
      </c>
      <c r="U3375" s="1" t="s">
        <v>1075</v>
      </c>
      <c r="V3375" s="1" t="s">
        <v>1330</v>
      </c>
      <c r="W3375">
        <v>4681.3194800000001</v>
      </c>
      <c r="X3375">
        <v>0</v>
      </c>
      <c r="Y3375">
        <v>79720</v>
      </c>
    </row>
    <row r="3376" spans="1:25" ht="15" hidden="1" customHeight="1" x14ac:dyDescent="0.25">
      <c r="A3376" s="1" t="s">
        <v>37</v>
      </c>
      <c r="B3376" s="1"/>
      <c r="C3376" s="1" t="s">
        <v>193</v>
      </c>
      <c r="D3376">
        <v>11000</v>
      </c>
      <c r="E3376" s="1"/>
      <c r="F3376" s="1" t="s">
        <v>323</v>
      </c>
      <c r="G3376" s="1" t="s">
        <v>1398</v>
      </c>
      <c r="H3376" s="1" t="s">
        <v>1405</v>
      </c>
      <c r="I3376">
        <v>2009</v>
      </c>
      <c r="J3376" s="93">
        <v>5361.31</v>
      </c>
      <c r="K3376">
        <v>11</v>
      </c>
      <c r="L3376" s="1" t="s">
        <v>421</v>
      </c>
      <c r="M3376">
        <v>0</v>
      </c>
      <c r="N3376">
        <v>652</v>
      </c>
      <c r="O3376">
        <v>8.2216070000000006</v>
      </c>
      <c r="P3376">
        <v>2</v>
      </c>
      <c r="Q3376" s="1" t="s">
        <v>569</v>
      </c>
      <c r="R3376" s="93">
        <v>5361.31</v>
      </c>
      <c r="S3376">
        <v>2514.46</v>
      </c>
      <c r="T3376">
        <v>0</v>
      </c>
      <c r="U3376" s="1" t="s">
        <v>1075</v>
      </c>
      <c r="V3376" s="1" t="s">
        <v>1330</v>
      </c>
      <c r="W3376">
        <v>5361.3198199999997</v>
      </c>
      <c r="X3376">
        <v>0</v>
      </c>
      <c r="Y3376">
        <v>79720</v>
      </c>
    </row>
    <row r="3377" spans="1:25" ht="15" hidden="1" customHeight="1" x14ac:dyDescent="0.25">
      <c r="A3377" s="1" t="s">
        <v>37</v>
      </c>
      <c r="B3377" s="1"/>
      <c r="C3377" s="1" t="s">
        <v>193</v>
      </c>
      <c r="D3377">
        <v>11000</v>
      </c>
      <c r="E3377" s="1"/>
      <c r="F3377" s="1" t="s">
        <v>323</v>
      </c>
      <c r="G3377" s="1" t="s">
        <v>1398</v>
      </c>
      <c r="H3377" s="1" t="s">
        <v>1405</v>
      </c>
      <c r="I3377">
        <v>2008</v>
      </c>
      <c r="J3377" s="93">
        <v>5222.07</v>
      </c>
      <c r="K3377">
        <v>12</v>
      </c>
      <c r="L3377" s="1" t="s">
        <v>421</v>
      </c>
      <c r="M3377">
        <v>0</v>
      </c>
      <c r="N3377">
        <v>652</v>
      </c>
      <c r="O3377">
        <v>8.0080810000000007</v>
      </c>
      <c r="P3377">
        <v>2</v>
      </c>
      <c r="Q3377" s="1" t="s">
        <v>569</v>
      </c>
      <c r="R3377" s="93">
        <v>5222.07</v>
      </c>
      <c r="S3377">
        <v>2449.15</v>
      </c>
      <c r="T3377">
        <v>0</v>
      </c>
      <c r="U3377" s="1" t="s">
        <v>1075</v>
      </c>
      <c r="V3377" s="1" t="s">
        <v>1330</v>
      </c>
      <c r="W3377">
        <v>5222.0645100000002</v>
      </c>
      <c r="X3377">
        <v>0</v>
      </c>
      <c r="Y3377">
        <v>79720</v>
      </c>
    </row>
    <row r="3378" spans="1:25" ht="15" hidden="1" customHeight="1" x14ac:dyDescent="0.25">
      <c r="A3378" s="1" t="s">
        <v>37</v>
      </c>
      <c r="B3378" s="1"/>
      <c r="C3378" s="1" t="s">
        <v>195</v>
      </c>
      <c r="D3378">
        <v>9519</v>
      </c>
      <c r="E3378" s="1"/>
      <c r="F3378" s="1" t="s">
        <v>328</v>
      </c>
      <c r="G3378" s="1" t="s">
        <v>195</v>
      </c>
      <c r="H3378" s="1" t="s">
        <v>1405</v>
      </c>
      <c r="I3378">
        <v>2014</v>
      </c>
      <c r="J3378" s="93">
        <v>9780.8700000000008</v>
      </c>
      <c r="K3378">
        <v>12</v>
      </c>
      <c r="L3378" s="1"/>
      <c r="M3378">
        <v>0</v>
      </c>
      <c r="N3378">
        <v>353</v>
      </c>
      <c r="O3378">
        <v>27.7</v>
      </c>
      <c r="P3378">
        <v>2</v>
      </c>
      <c r="Q3378" s="1" t="s">
        <v>569</v>
      </c>
      <c r="R3378" s="93">
        <v>9780.8700000000008</v>
      </c>
      <c r="S3378">
        <v>2934.26</v>
      </c>
      <c r="T3378">
        <v>1</v>
      </c>
      <c r="U3378" s="1"/>
      <c r="V3378" s="1"/>
      <c r="W3378">
        <v>9780.8588999999993</v>
      </c>
      <c r="X3378">
        <v>0</v>
      </c>
      <c r="Y3378">
        <v>74431</v>
      </c>
    </row>
    <row r="3379" spans="1:25" ht="15" hidden="1" customHeight="1" x14ac:dyDescent="0.25">
      <c r="A3379" s="1" t="s">
        <v>37</v>
      </c>
      <c r="B3379" s="1" t="s">
        <v>81</v>
      </c>
      <c r="C3379" s="1" t="s">
        <v>196</v>
      </c>
      <c r="D3379">
        <v>5481</v>
      </c>
      <c r="E3379" s="1"/>
      <c r="F3379" s="1" t="s">
        <v>330</v>
      </c>
      <c r="G3379" s="1" t="s">
        <v>1399</v>
      </c>
      <c r="H3379" s="1" t="s">
        <v>1405</v>
      </c>
      <c r="I3379">
        <v>2014</v>
      </c>
      <c r="J3379" s="93">
        <v>38841.730000000003</v>
      </c>
      <c r="K3379">
        <v>12</v>
      </c>
      <c r="L3379" s="1" t="s">
        <v>402</v>
      </c>
      <c r="M3379">
        <v>0</v>
      </c>
      <c r="N3379">
        <v>1273</v>
      </c>
      <c r="O3379">
        <v>30.509567000000001</v>
      </c>
      <c r="P3379">
        <v>2</v>
      </c>
      <c r="Q3379" s="1" t="s">
        <v>569</v>
      </c>
      <c r="R3379" s="93">
        <v>38841.730000000003</v>
      </c>
      <c r="S3379">
        <v>15536.69</v>
      </c>
      <c r="T3379">
        <v>0</v>
      </c>
      <c r="U3379" s="1" t="s">
        <v>1078</v>
      </c>
      <c r="V3379" s="1" t="s">
        <v>1333</v>
      </c>
      <c r="W3379">
        <v>38841.72</v>
      </c>
      <c r="X3379">
        <v>0</v>
      </c>
      <c r="Y3379">
        <v>57944</v>
      </c>
    </row>
    <row r="3380" spans="1:25" ht="15" hidden="1" customHeight="1" x14ac:dyDescent="0.25">
      <c r="A3380" s="1" t="s">
        <v>37</v>
      </c>
      <c r="B3380" s="1"/>
      <c r="C3380" s="1" t="s">
        <v>194</v>
      </c>
      <c r="D3380">
        <v>14253</v>
      </c>
      <c r="E3380" s="1" t="s">
        <v>243</v>
      </c>
      <c r="F3380" s="1" t="s">
        <v>325</v>
      </c>
      <c r="G3380" s="1" t="s">
        <v>194</v>
      </c>
      <c r="H3380" s="1" t="s">
        <v>1405</v>
      </c>
      <c r="I3380">
        <v>2012</v>
      </c>
      <c r="J3380" s="93">
        <v>319573.8</v>
      </c>
      <c r="K3380">
        <v>12</v>
      </c>
      <c r="L3380" s="1" t="s">
        <v>478</v>
      </c>
      <c r="M3380">
        <v>0</v>
      </c>
      <c r="N3380">
        <v>6105</v>
      </c>
      <c r="O3380">
        <v>52.345382999999998</v>
      </c>
      <c r="P3380">
        <v>2</v>
      </c>
      <c r="Q3380" s="1" t="s">
        <v>569</v>
      </c>
      <c r="R3380" s="93">
        <v>319573.8</v>
      </c>
      <c r="S3380">
        <v>127829.52</v>
      </c>
      <c r="T3380">
        <v>0</v>
      </c>
      <c r="U3380" s="1" t="s">
        <v>1076</v>
      </c>
      <c r="V3380" s="1" t="s">
        <v>1331</v>
      </c>
      <c r="W3380">
        <v>319573.8</v>
      </c>
      <c r="X3380">
        <v>0</v>
      </c>
      <c r="Y3380">
        <v>72734</v>
      </c>
    </row>
    <row r="3381" spans="1:25" ht="15" hidden="1" customHeight="1" x14ac:dyDescent="0.25">
      <c r="A3381" s="1" t="s">
        <v>37</v>
      </c>
      <c r="B3381" s="1"/>
      <c r="C3381" s="1" t="s">
        <v>194</v>
      </c>
      <c r="D3381">
        <v>14253</v>
      </c>
      <c r="E3381" s="1" t="s">
        <v>243</v>
      </c>
      <c r="F3381" s="1" t="s">
        <v>325</v>
      </c>
      <c r="G3381" s="1" t="s">
        <v>194</v>
      </c>
      <c r="H3381" s="1" t="s">
        <v>1405</v>
      </c>
      <c r="I3381">
        <v>2011</v>
      </c>
      <c r="J3381" s="93">
        <v>366245.88</v>
      </c>
      <c r="K3381">
        <v>12</v>
      </c>
      <c r="L3381" s="1" t="s">
        <v>478</v>
      </c>
      <c r="M3381">
        <v>0</v>
      </c>
      <c r="N3381">
        <v>6105</v>
      </c>
      <c r="O3381">
        <v>59.990152000000002</v>
      </c>
      <c r="P3381">
        <v>2</v>
      </c>
      <c r="Q3381" s="1" t="s">
        <v>569</v>
      </c>
      <c r="R3381" s="93">
        <v>366245.88</v>
      </c>
      <c r="S3381">
        <v>171769.32</v>
      </c>
      <c r="T3381">
        <v>0</v>
      </c>
      <c r="U3381" s="1" t="s">
        <v>1076</v>
      </c>
      <c r="V3381" s="1" t="s">
        <v>1331</v>
      </c>
      <c r="W3381">
        <v>366245.87647000002</v>
      </c>
      <c r="X3381">
        <v>0</v>
      </c>
      <c r="Y3381">
        <v>72734</v>
      </c>
    </row>
    <row r="3382" spans="1:25" ht="15" hidden="1" customHeight="1" x14ac:dyDescent="0.25">
      <c r="A3382" s="1" t="s">
        <v>37</v>
      </c>
      <c r="B3382" s="1"/>
      <c r="C3382" s="1" t="s">
        <v>194</v>
      </c>
      <c r="D3382">
        <v>14253</v>
      </c>
      <c r="E3382" s="1" t="s">
        <v>243</v>
      </c>
      <c r="F3382" s="1" t="s">
        <v>325</v>
      </c>
      <c r="G3382" s="1" t="s">
        <v>194</v>
      </c>
      <c r="H3382" s="1" t="s">
        <v>1405</v>
      </c>
      <c r="I3382">
        <v>2010</v>
      </c>
      <c r="J3382" s="93">
        <v>358148.07</v>
      </c>
      <c r="K3382">
        <v>5</v>
      </c>
      <c r="L3382" s="1" t="s">
        <v>478</v>
      </c>
      <c r="M3382">
        <v>0</v>
      </c>
      <c r="N3382">
        <v>6105</v>
      </c>
      <c r="O3382">
        <v>58.663750999999998</v>
      </c>
      <c r="P3382">
        <v>2</v>
      </c>
      <c r="Q3382" s="1" t="s">
        <v>569</v>
      </c>
      <c r="R3382" s="93">
        <v>358148.07</v>
      </c>
      <c r="S3382">
        <v>167971.44</v>
      </c>
      <c r="T3382">
        <v>0</v>
      </c>
      <c r="U3382" s="1" t="s">
        <v>1076</v>
      </c>
      <c r="V3382" s="1" t="s">
        <v>1331</v>
      </c>
      <c r="W3382">
        <v>358148.07971999998</v>
      </c>
      <c r="X3382">
        <v>0</v>
      </c>
      <c r="Y3382">
        <v>72734</v>
      </c>
    </row>
    <row r="3383" spans="1:25" ht="15" hidden="1" customHeight="1" x14ac:dyDescent="0.25">
      <c r="A3383" s="1" t="s">
        <v>37</v>
      </c>
      <c r="B3383" s="1"/>
      <c r="C3383" s="1" t="s">
        <v>194</v>
      </c>
      <c r="D3383">
        <v>14253</v>
      </c>
      <c r="E3383" s="1" t="s">
        <v>243</v>
      </c>
      <c r="F3383" s="1" t="s">
        <v>325</v>
      </c>
      <c r="G3383" s="1" t="s">
        <v>194</v>
      </c>
      <c r="H3383" s="1" t="s">
        <v>1405</v>
      </c>
      <c r="I3383">
        <v>2009</v>
      </c>
      <c r="J3383" s="93">
        <v>372662.37</v>
      </c>
      <c r="K3383">
        <v>4</v>
      </c>
      <c r="L3383" s="1" t="s">
        <v>478</v>
      </c>
      <c r="M3383">
        <v>0</v>
      </c>
      <c r="N3383">
        <v>6105</v>
      </c>
      <c r="O3383">
        <v>61.041156999999998</v>
      </c>
      <c r="P3383">
        <v>2</v>
      </c>
      <c r="Q3383" s="1" t="s">
        <v>569</v>
      </c>
      <c r="R3383" s="93">
        <v>372662.37</v>
      </c>
      <c r="S3383">
        <v>174778.66</v>
      </c>
      <c r="T3383">
        <v>0</v>
      </c>
      <c r="U3383" s="1" t="s">
        <v>1076</v>
      </c>
      <c r="V3383" s="1" t="s">
        <v>1331</v>
      </c>
      <c r="W3383">
        <v>372662.3567</v>
      </c>
      <c r="X3383">
        <v>0</v>
      </c>
      <c r="Y3383">
        <v>72734</v>
      </c>
    </row>
    <row r="3384" spans="1:25" ht="15" hidden="1" customHeight="1" x14ac:dyDescent="0.25">
      <c r="A3384" s="1" t="s">
        <v>37</v>
      </c>
      <c r="B3384" s="1"/>
      <c r="C3384" s="1" t="s">
        <v>194</v>
      </c>
      <c r="D3384">
        <v>14253</v>
      </c>
      <c r="E3384" s="1" t="s">
        <v>243</v>
      </c>
      <c r="F3384" s="1" t="s">
        <v>325</v>
      </c>
      <c r="G3384" s="1" t="s">
        <v>194</v>
      </c>
      <c r="H3384" s="1" t="s">
        <v>1405</v>
      </c>
      <c r="I3384">
        <v>2008</v>
      </c>
      <c r="J3384" s="93">
        <v>329525.78999999998</v>
      </c>
      <c r="K3384">
        <v>11</v>
      </c>
      <c r="L3384" s="1" t="s">
        <v>478</v>
      </c>
      <c r="M3384">
        <v>0</v>
      </c>
      <c r="N3384">
        <v>6105</v>
      </c>
      <c r="O3384">
        <v>53.975493999999998</v>
      </c>
      <c r="P3384">
        <v>2</v>
      </c>
      <c r="Q3384" s="1" t="s">
        <v>569</v>
      </c>
      <c r="R3384" s="93">
        <v>329525.78999999998</v>
      </c>
      <c r="S3384">
        <v>154547.60999999999</v>
      </c>
      <c r="T3384">
        <v>0</v>
      </c>
      <c r="U3384" s="1" t="s">
        <v>1076</v>
      </c>
      <c r="V3384" s="1" t="s">
        <v>1331</v>
      </c>
      <c r="W3384">
        <v>329525.80645999999</v>
      </c>
      <c r="X3384">
        <v>0</v>
      </c>
      <c r="Y3384">
        <v>72734</v>
      </c>
    </row>
    <row r="3385" spans="1:25" ht="15" hidden="1" customHeight="1" x14ac:dyDescent="0.25">
      <c r="A3385" s="1" t="s">
        <v>37</v>
      </c>
      <c r="B3385" s="1" t="s">
        <v>81</v>
      </c>
      <c r="C3385" s="1" t="s">
        <v>196</v>
      </c>
      <c r="D3385">
        <v>5479</v>
      </c>
      <c r="E3385" s="1"/>
      <c r="F3385" s="1" t="s">
        <v>331</v>
      </c>
      <c r="G3385" s="1" t="s">
        <v>1399</v>
      </c>
      <c r="H3385" s="1" t="s">
        <v>1405</v>
      </c>
      <c r="I3385">
        <v>2014</v>
      </c>
      <c r="J3385" s="93">
        <v>87631.7</v>
      </c>
      <c r="K3385">
        <v>12</v>
      </c>
      <c r="L3385" s="1" t="s">
        <v>402</v>
      </c>
      <c r="M3385">
        <v>0</v>
      </c>
      <c r="N3385">
        <v>6089</v>
      </c>
      <c r="O3385">
        <v>14.391567999999999</v>
      </c>
      <c r="P3385">
        <v>2</v>
      </c>
      <c r="Q3385" s="1" t="s">
        <v>569</v>
      </c>
      <c r="R3385" s="93">
        <v>87631.7</v>
      </c>
      <c r="S3385">
        <v>35052.68</v>
      </c>
      <c r="T3385">
        <v>0</v>
      </c>
      <c r="U3385" s="1" t="s">
        <v>1079</v>
      </c>
      <c r="V3385" s="1" t="s">
        <v>1334</v>
      </c>
      <c r="W3385">
        <v>87631.712499999994</v>
      </c>
      <c r="X3385">
        <v>0</v>
      </c>
      <c r="Y3385">
        <v>57931</v>
      </c>
    </row>
    <row r="3386" spans="1:25" ht="15" hidden="1" customHeight="1" x14ac:dyDescent="0.25">
      <c r="A3386" s="1" t="s">
        <v>37</v>
      </c>
      <c r="B3386" s="1" t="s">
        <v>81</v>
      </c>
      <c r="C3386" s="1" t="s">
        <v>196</v>
      </c>
      <c r="D3386">
        <v>13265</v>
      </c>
      <c r="E3386" s="1"/>
      <c r="F3386" s="1" t="s">
        <v>384</v>
      </c>
      <c r="G3386" s="1" t="s">
        <v>1399</v>
      </c>
      <c r="H3386" s="1" t="s">
        <v>1405</v>
      </c>
      <c r="I3386">
        <v>2014</v>
      </c>
      <c r="J3386" s="93">
        <v>151054.75</v>
      </c>
      <c r="K3386">
        <v>12</v>
      </c>
      <c r="L3386" s="1"/>
      <c r="M3386">
        <v>0</v>
      </c>
      <c r="N3386">
        <v>3000</v>
      </c>
      <c r="O3386">
        <v>50.349905</v>
      </c>
      <c r="P3386">
        <v>2</v>
      </c>
      <c r="Q3386" s="1" t="s">
        <v>569</v>
      </c>
      <c r="R3386" s="93">
        <v>151054.75</v>
      </c>
      <c r="S3386">
        <v>45316.43</v>
      </c>
      <c r="T3386">
        <v>0</v>
      </c>
      <c r="U3386" s="1" t="s">
        <v>1080</v>
      </c>
      <c r="V3386" s="1" t="s">
        <v>1335</v>
      </c>
      <c r="W3386">
        <v>151054.75099999999</v>
      </c>
      <c r="X3386">
        <v>0</v>
      </c>
      <c r="Y3386">
        <v>90713</v>
      </c>
    </row>
    <row r="3387" spans="1:25" ht="15" hidden="1" customHeight="1" x14ac:dyDescent="0.25">
      <c r="A3387" s="1" t="s">
        <v>37</v>
      </c>
      <c r="B3387" s="1"/>
      <c r="C3387" s="1" t="s">
        <v>195</v>
      </c>
      <c r="D3387">
        <v>9518</v>
      </c>
      <c r="E3387" s="1"/>
      <c r="F3387" s="1" t="s">
        <v>327</v>
      </c>
      <c r="G3387" s="1" t="s">
        <v>195</v>
      </c>
      <c r="H3387" s="1" t="s">
        <v>1405</v>
      </c>
      <c r="I3387">
        <v>2012</v>
      </c>
      <c r="J3387" s="93">
        <v>59815.97</v>
      </c>
      <c r="K3387">
        <v>12</v>
      </c>
      <c r="L3387" s="1"/>
      <c r="M3387">
        <v>0</v>
      </c>
      <c r="N3387">
        <v>2128</v>
      </c>
      <c r="O3387">
        <v>28.107686999999999</v>
      </c>
      <c r="P3387">
        <v>2</v>
      </c>
      <c r="Q3387" s="1" t="s">
        <v>569</v>
      </c>
      <c r="R3387" s="93">
        <v>59815.97</v>
      </c>
      <c r="S3387">
        <v>23926.41</v>
      </c>
      <c r="T3387">
        <v>0</v>
      </c>
      <c r="U3387" s="1" t="s">
        <v>1077</v>
      </c>
      <c r="V3387" s="1" t="s">
        <v>1332</v>
      </c>
      <c r="W3387">
        <v>59815.98</v>
      </c>
      <c r="X3387">
        <v>0</v>
      </c>
      <c r="Y3387">
        <v>74428</v>
      </c>
    </row>
    <row r="3388" spans="1:25" ht="15" hidden="1" customHeight="1" x14ac:dyDescent="0.25">
      <c r="A3388" s="1" t="s">
        <v>37</v>
      </c>
      <c r="B3388" s="1"/>
      <c r="C3388" s="1" t="s">
        <v>195</v>
      </c>
      <c r="D3388">
        <v>9518</v>
      </c>
      <c r="E3388" s="1"/>
      <c r="F3388" s="1" t="s">
        <v>327</v>
      </c>
      <c r="G3388" s="1" t="s">
        <v>195</v>
      </c>
      <c r="H3388" s="1" t="s">
        <v>1405</v>
      </c>
      <c r="I3388">
        <v>2011</v>
      </c>
      <c r="J3388" s="93">
        <v>59206.21</v>
      </c>
      <c r="K3388">
        <v>12</v>
      </c>
      <c r="L3388" s="1"/>
      <c r="M3388">
        <v>0</v>
      </c>
      <c r="N3388">
        <v>2128</v>
      </c>
      <c r="O3388">
        <v>27.821159000000002</v>
      </c>
      <c r="P3388">
        <v>2</v>
      </c>
      <c r="Q3388" s="1" t="s">
        <v>569</v>
      </c>
      <c r="R3388" s="93">
        <v>59206.21</v>
      </c>
      <c r="S3388">
        <v>27767.72</v>
      </c>
      <c r="T3388">
        <v>0</v>
      </c>
      <c r="U3388" s="1" t="s">
        <v>1077</v>
      </c>
      <c r="V3388" s="1" t="s">
        <v>1332</v>
      </c>
      <c r="W3388">
        <v>59206.211499999998</v>
      </c>
      <c r="X3388">
        <v>0</v>
      </c>
      <c r="Y3388">
        <v>74428</v>
      </c>
    </row>
    <row r="3389" spans="1:25" ht="15" hidden="1" customHeight="1" x14ac:dyDescent="0.25">
      <c r="A3389" s="1" t="s">
        <v>37</v>
      </c>
      <c r="B3389" s="1"/>
      <c r="C3389" s="1" t="s">
        <v>195</v>
      </c>
      <c r="D3389">
        <v>9518</v>
      </c>
      <c r="E3389" s="1"/>
      <c r="F3389" s="1" t="s">
        <v>327</v>
      </c>
      <c r="G3389" s="1" t="s">
        <v>195</v>
      </c>
      <c r="H3389" s="1" t="s">
        <v>1405</v>
      </c>
      <c r="I3389">
        <v>2010</v>
      </c>
      <c r="J3389" s="93">
        <v>56026.2</v>
      </c>
      <c r="K3389">
        <v>12</v>
      </c>
      <c r="L3389" s="1"/>
      <c r="M3389">
        <v>0</v>
      </c>
      <c r="N3389">
        <v>2128</v>
      </c>
      <c r="O3389">
        <v>26.326864</v>
      </c>
      <c r="P3389">
        <v>2</v>
      </c>
      <c r="Q3389" s="1" t="s">
        <v>569</v>
      </c>
      <c r="R3389" s="93">
        <v>56026.2</v>
      </c>
      <c r="S3389">
        <v>26276.29</v>
      </c>
      <c r="T3389">
        <v>0</v>
      </c>
      <c r="U3389" s="1" t="s">
        <v>1077</v>
      </c>
      <c r="V3389" s="1" t="s">
        <v>1332</v>
      </c>
      <c r="W3389">
        <v>56026.2</v>
      </c>
      <c r="X3389">
        <v>0</v>
      </c>
      <c r="Y3389">
        <v>74428</v>
      </c>
    </row>
    <row r="3390" spans="1:25" ht="15" hidden="1" customHeight="1" x14ac:dyDescent="0.25">
      <c r="A3390" s="1" t="s">
        <v>37</v>
      </c>
      <c r="B3390" s="1"/>
      <c r="C3390" s="1" t="s">
        <v>195</v>
      </c>
      <c r="D3390">
        <v>9518</v>
      </c>
      <c r="E3390" s="1"/>
      <c r="F3390" s="1" t="s">
        <v>327</v>
      </c>
      <c r="G3390" s="1" t="s">
        <v>195</v>
      </c>
      <c r="H3390" s="1" t="s">
        <v>1405</v>
      </c>
      <c r="I3390">
        <v>2009</v>
      </c>
      <c r="J3390" s="93">
        <v>54486.32</v>
      </c>
      <c r="K3390">
        <v>12</v>
      </c>
      <c r="L3390" s="1"/>
      <c r="M3390">
        <v>0</v>
      </c>
      <c r="N3390">
        <v>2128</v>
      </c>
      <c r="O3390">
        <v>25.603269999999998</v>
      </c>
      <c r="P3390">
        <v>2</v>
      </c>
      <c r="Q3390" s="1" t="s">
        <v>569</v>
      </c>
      <c r="R3390" s="93">
        <v>54486.32</v>
      </c>
      <c r="S3390">
        <v>25554.09</v>
      </c>
      <c r="T3390">
        <v>0</v>
      </c>
      <c r="U3390" s="1" t="s">
        <v>1077</v>
      </c>
      <c r="V3390" s="1" t="s">
        <v>1332</v>
      </c>
      <c r="W3390">
        <v>54486.32</v>
      </c>
      <c r="X3390">
        <v>0</v>
      </c>
      <c r="Y3390">
        <v>74428</v>
      </c>
    </row>
    <row r="3391" spans="1:25" ht="15" hidden="1" customHeight="1" x14ac:dyDescent="0.25">
      <c r="A3391" s="1" t="s">
        <v>37</v>
      </c>
      <c r="B3391" s="1"/>
      <c r="C3391" s="1" t="s">
        <v>195</v>
      </c>
      <c r="D3391">
        <v>9518</v>
      </c>
      <c r="E3391" s="1"/>
      <c r="F3391" s="1" t="s">
        <v>327</v>
      </c>
      <c r="G3391" s="1" t="s">
        <v>195</v>
      </c>
      <c r="H3391" s="1" t="s">
        <v>1405</v>
      </c>
      <c r="I3391">
        <v>2008</v>
      </c>
      <c r="J3391" s="93">
        <v>54788.88</v>
      </c>
      <c r="K3391">
        <v>12</v>
      </c>
      <c r="L3391" s="1"/>
      <c r="M3391">
        <v>0</v>
      </c>
      <c r="N3391">
        <v>2128</v>
      </c>
      <c r="O3391">
        <v>25.745443999999999</v>
      </c>
      <c r="P3391">
        <v>2</v>
      </c>
      <c r="Q3391" s="1" t="s">
        <v>569</v>
      </c>
      <c r="R3391" s="93">
        <v>54788.88</v>
      </c>
      <c r="S3391">
        <v>25696.01</v>
      </c>
      <c r="T3391">
        <v>0</v>
      </c>
      <c r="U3391" s="1" t="s">
        <v>1077</v>
      </c>
      <c r="V3391" s="1" t="s">
        <v>1332</v>
      </c>
      <c r="W3391">
        <v>54788.88</v>
      </c>
      <c r="X3391">
        <v>0</v>
      </c>
      <c r="Y3391">
        <v>74428</v>
      </c>
    </row>
    <row r="3392" spans="1:25" ht="15" hidden="1" customHeight="1" x14ac:dyDescent="0.25">
      <c r="A3392" s="1" t="s">
        <v>37</v>
      </c>
      <c r="B3392" s="1"/>
      <c r="C3392" s="1" t="s">
        <v>197</v>
      </c>
      <c r="D3392">
        <v>10161</v>
      </c>
      <c r="E3392" s="1"/>
      <c r="F3392" s="1" t="s">
        <v>332</v>
      </c>
      <c r="G3392" s="1" t="s">
        <v>197</v>
      </c>
      <c r="H3392" s="1" t="s">
        <v>1405</v>
      </c>
      <c r="I3392">
        <v>2014</v>
      </c>
      <c r="J3392" s="93">
        <v>6127.19</v>
      </c>
      <c r="K3392">
        <v>12</v>
      </c>
      <c r="L3392" s="1" t="s">
        <v>426</v>
      </c>
      <c r="M3392">
        <v>0</v>
      </c>
      <c r="N3392">
        <v>265</v>
      </c>
      <c r="O3392">
        <v>23.112749000000001</v>
      </c>
      <c r="P3392">
        <v>2</v>
      </c>
      <c r="Q3392" s="1" t="s">
        <v>569</v>
      </c>
      <c r="R3392" s="93">
        <v>6127.19</v>
      </c>
      <c r="S3392">
        <v>1838.15</v>
      </c>
      <c r="T3392">
        <v>0</v>
      </c>
      <c r="U3392" s="1" t="s">
        <v>1082</v>
      </c>
      <c r="V3392" s="1"/>
      <c r="W3392">
        <v>6127.1890000000003</v>
      </c>
      <c r="X3392">
        <v>0</v>
      </c>
      <c r="Y3392">
        <v>77142</v>
      </c>
    </row>
    <row r="3393" spans="1:25" ht="15" hidden="1" customHeight="1" x14ac:dyDescent="0.25">
      <c r="A3393" s="1" t="s">
        <v>37</v>
      </c>
      <c r="B3393" s="1" t="s">
        <v>82</v>
      </c>
      <c r="C3393" s="1" t="s">
        <v>198</v>
      </c>
      <c r="D3393">
        <v>6369</v>
      </c>
      <c r="E3393" s="1"/>
      <c r="F3393" s="1" t="s">
        <v>333</v>
      </c>
      <c r="G3393" s="1" t="s">
        <v>334</v>
      </c>
      <c r="H3393" s="1" t="s">
        <v>1405</v>
      </c>
      <c r="I3393">
        <v>2014</v>
      </c>
      <c r="J3393" s="93">
        <v>2568.38</v>
      </c>
      <c r="K3393">
        <v>12</v>
      </c>
      <c r="L3393" s="1" t="s">
        <v>411</v>
      </c>
      <c r="M3393">
        <v>0</v>
      </c>
      <c r="N3393">
        <v>110</v>
      </c>
      <c r="O3393">
        <v>23.327701999999999</v>
      </c>
      <c r="P3393">
        <v>2</v>
      </c>
      <c r="Q3393" s="1" t="s">
        <v>569</v>
      </c>
      <c r="R3393" s="93">
        <v>2568.38</v>
      </c>
      <c r="S3393">
        <v>1027.3499999999999</v>
      </c>
      <c r="T3393">
        <v>0</v>
      </c>
      <c r="U3393" s="1" t="s">
        <v>1083</v>
      </c>
      <c r="V3393" s="1" t="s">
        <v>1336</v>
      </c>
      <c r="W3393">
        <v>2568.39</v>
      </c>
      <c r="X3393">
        <v>0</v>
      </c>
      <c r="Y3393">
        <v>62718</v>
      </c>
    </row>
    <row r="3394" spans="1:25" ht="15" hidden="1" customHeight="1" x14ac:dyDescent="0.25">
      <c r="A3394" s="1" t="s">
        <v>37</v>
      </c>
      <c r="B3394" s="1"/>
      <c r="C3394" s="1" t="s">
        <v>195</v>
      </c>
      <c r="D3394">
        <v>9519</v>
      </c>
      <c r="E3394" s="1"/>
      <c r="F3394" s="1" t="s">
        <v>328</v>
      </c>
      <c r="G3394" s="1" t="s">
        <v>195</v>
      </c>
      <c r="H3394" s="1" t="s">
        <v>1405</v>
      </c>
      <c r="I3394">
        <v>2012</v>
      </c>
      <c r="J3394" s="93">
        <v>10974.2</v>
      </c>
      <c r="K3394">
        <v>12</v>
      </c>
      <c r="L3394" s="1"/>
      <c r="M3394">
        <v>0</v>
      </c>
      <c r="N3394">
        <v>353</v>
      </c>
      <c r="O3394">
        <v>31.07958</v>
      </c>
      <c r="P3394">
        <v>2</v>
      </c>
      <c r="Q3394" s="1" t="s">
        <v>569</v>
      </c>
      <c r="R3394" s="93">
        <v>10974.2</v>
      </c>
      <c r="S3394">
        <v>4389.68</v>
      </c>
      <c r="T3394">
        <v>1</v>
      </c>
      <c r="U3394" s="1"/>
      <c r="V3394" s="1"/>
      <c r="W3394">
        <v>10974.2017</v>
      </c>
      <c r="X3394">
        <v>0</v>
      </c>
      <c r="Y3394">
        <v>74431</v>
      </c>
    </row>
    <row r="3395" spans="1:25" ht="15" hidden="1" customHeight="1" x14ac:dyDescent="0.25">
      <c r="A3395" s="1" t="s">
        <v>37</v>
      </c>
      <c r="B3395" s="1"/>
      <c r="C3395" s="1" t="s">
        <v>195</v>
      </c>
      <c r="D3395">
        <v>9519</v>
      </c>
      <c r="E3395" s="1"/>
      <c r="F3395" s="1" t="s">
        <v>328</v>
      </c>
      <c r="G3395" s="1" t="s">
        <v>195</v>
      </c>
      <c r="H3395" s="1" t="s">
        <v>1405</v>
      </c>
      <c r="I3395">
        <v>2011</v>
      </c>
      <c r="J3395" s="93">
        <v>9567.1200000000008</v>
      </c>
      <c r="K3395">
        <v>12</v>
      </c>
      <c r="L3395" s="1"/>
      <c r="M3395">
        <v>0</v>
      </c>
      <c r="N3395">
        <v>353</v>
      </c>
      <c r="O3395">
        <v>27.094646999999998</v>
      </c>
      <c r="P3395">
        <v>2</v>
      </c>
      <c r="Q3395" s="1" t="s">
        <v>569</v>
      </c>
      <c r="R3395" s="93">
        <v>9567.1200000000008</v>
      </c>
      <c r="S3395">
        <v>4486.9799999999996</v>
      </c>
      <c r="T3395">
        <v>1</v>
      </c>
      <c r="U3395" s="1"/>
      <c r="V3395" s="1"/>
      <c r="W3395">
        <v>9567.1404000000002</v>
      </c>
      <c r="X3395">
        <v>0</v>
      </c>
      <c r="Y3395">
        <v>74431</v>
      </c>
    </row>
    <row r="3396" spans="1:25" ht="15" hidden="1" customHeight="1" x14ac:dyDescent="0.25">
      <c r="A3396" s="1" t="s">
        <v>37</v>
      </c>
      <c r="B3396" s="1"/>
      <c r="C3396" s="1" t="s">
        <v>195</v>
      </c>
      <c r="D3396">
        <v>9519</v>
      </c>
      <c r="E3396" s="1"/>
      <c r="F3396" s="1" t="s">
        <v>328</v>
      </c>
      <c r="G3396" s="1" t="s">
        <v>195</v>
      </c>
      <c r="H3396" s="1" t="s">
        <v>1405</v>
      </c>
      <c r="I3396">
        <v>2010</v>
      </c>
      <c r="J3396" s="93">
        <v>9022.5499999999993</v>
      </c>
      <c r="K3396">
        <v>12</v>
      </c>
      <c r="L3396" s="1"/>
      <c r="M3396">
        <v>0</v>
      </c>
      <c r="N3396">
        <v>353</v>
      </c>
      <c r="O3396">
        <v>25.552392999999999</v>
      </c>
      <c r="P3396">
        <v>2</v>
      </c>
      <c r="Q3396" s="1" t="s">
        <v>569</v>
      </c>
      <c r="R3396" s="93">
        <v>9022.5499999999993</v>
      </c>
      <c r="S3396">
        <v>4231.58</v>
      </c>
      <c r="T3396">
        <v>1</v>
      </c>
      <c r="U3396" s="1"/>
      <c r="V3396" s="1"/>
      <c r="W3396">
        <v>9022.5499999999993</v>
      </c>
      <c r="X3396">
        <v>0</v>
      </c>
      <c r="Y3396">
        <v>74431</v>
      </c>
    </row>
    <row r="3397" spans="1:25" ht="15" hidden="1" customHeight="1" x14ac:dyDescent="0.25">
      <c r="A3397" s="1" t="s">
        <v>37</v>
      </c>
      <c r="B3397" s="1"/>
      <c r="C3397" s="1" t="s">
        <v>195</v>
      </c>
      <c r="D3397">
        <v>9519</v>
      </c>
      <c r="E3397" s="1"/>
      <c r="F3397" s="1" t="s">
        <v>328</v>
      </c>
      <c r="G3397" s="1" t="s">
        <v>195</v>
      </c>
      <c r="H3397" s="1" t="s">
        <v>1405</v>
      </c>
      <c r="I3397">
        <v>2009</v>
      </c>
      <c r="J3397" s="93">
        <v>7359.31</v>
      </c>
      <c r="K3397">
        <v>12</v>
      </c>
      <c r="L3397" s="1"/>
      <c r="M3397">
        <v>0</v>
      </c>
      <c r="N3397">
        <v>353</v>
      </c>
      <c r="O3397">
        <v>20.841999000000001</v>
      </c>
      <c r="P3397">
        <v>2</v>
      </c>
      <c r="Q3397" s="1" t="s">
        <v>569</v>
      </c>
      <c r="R3397" s="93">
        <v>7359.31</v>
      </c>
      <c r="S3397">
        <v>3451.51</v>
      </c>
      <c r="T3397">
        <v>1</v>
      </c>
      <c r="U3397" s="1"/>
      <c r="V3397" s="1"/>
      <c r="W3397">
        <v>7359.3046000000004</v>
      </c>
      <c r="X3397">
        <v>0</v>
      </c>
      <c r="Y3397">
        <v>74431</v>
      </c>
    </row>
    <row r="3398" spans="1:25" ht="15" hidden="1" customHeight="1" x14ac:dyDescent="0.25">
      <c r="A3398" s="1" t="s">
        <v>37</v>
      </c>
      <c r="B3398" s="1"/>
      <c r="C3398" s="1" t="s">
        <v>195</v>
      </c>
      <c r="D3398">
        <v>9519</v>
      </c>
      <c r="E3398" s="1"/>
      <c r="F3398" s="1" t="s">
        <v>328</v>
      </c>
      <c r="G3398" s="1" t="s">
        <v>195</v>
      </c>
      <c r="H3398" s="1" t="s">
        <v>1405</v>
      </c>
      <c r="I3398">
        <v>2008</v>
      </c>
      <c r="J3398" s="93">
        <v>6825.05</v>
      </c>
      <c r="K3398">
        <v>12</v>
      </c>
      <c r="L3398" s="1"/>
      <c r="M3398">
        <v>0</v>
      </c>
      <c r="N3398">
        <v>353</v>
      </c>
      <c r="O3398">
        <v>19.328942999999999</v>
      </c>
      <c r="P3398">
        <v>2</v>
      </c>
      <c r="Q3398" s="1" t="s">
        <v>569</v>
      </c>
      <c r="R3398" s="93">
        <v>6825.05</v>
      </c>
      <c r="S3398">
        <v>3200.95</v>
      </c>
      <c r="T3398">
        <v>1</v>
      </c>
      <c r="U3398" s="1"/>
      <c r="V3398" s="1"/>
      <c r="W3398">
        <v>6825.0438000000004</v>
      </c>
      <c r="X3398">
        <v>0</v>
      </c>
      <c r="Y3398">
        <v>74431</v>
      </c>
    </row>
    <row r="3399" spans="1:25" ht="15" hidden="1" customHeight="1" x14ac:dyDescent="0.25">
      <c r="A3399" s="1" t="s">
        <v>37</v>
      </c>
      <c r="B3399" s="1" t="s">
        <v>82</v>
      </c>
      <c r="C3399" s="1" t="s">
        <v>199</v>
      </c>
      <c r="D3399">
        <v>5474</v>
      </c>
      <c r="E3399" s="1"/>
      <c r="F3399" s="1" t="s">
        <v>334</v>
      </c>
      <c r="G3399" s="1" t="s">
        <v>334</v>
      </c>
      <c r="H3399" s="1" t="s">
        <v>1405</v>
      </c>
      <c r="I3399">
        <v>2014</v>
      </c>
      <c r="J3399" s="93">
        <v>185903.96</v>
      </c>
      <c r="K3399">
        <v>12</v>
      </c>
      <c r="L3399" s="1" t="s">
        <v>393</v>
      </c>
      <c r="M3399">
        <v>0</v>
      </c>
      <c r="N3399">
        <v>10600</v>
      </c>
      <c r="O3399">
        <v>17.537942999999999</v>
      </c>
      <c r="P3399">
        <v>2</v>
      </c>
      <c r="Q3399" s="1" t="s">
        <v>569</v>
      </c>
      <c r="R3399" s="93">
        <v>185903.96</v>
      </c>
      <c r="S3399">
        <v>74361.570000000007</v>
      </c>
      <c r="T3399">
        <v>0</v>
      </c>
      <c r="U3399" s="1" t="s">
        <v>1084</v>
      </c>
      <c r="V3399" s="1" t="s">
        <v>1337</v>
      </c>
      <c r="W3399">
        <v>185903.96</v>
      </c>
      <c r="X3399">
        <v>0</v>
      </c>
      <c r="Y3399">
        <v>57910</v>
      </c>
    </row>
    <row r="3400" spans="1:25" ht="15" hidden="1" customHeight="1" x14ac:dyDescent="0.25">
      <c r="A3400" s="1" t="s">
        <v>37</v>
      </c>
      <c r="B3400" s="1"/>
      <c r="C3400" s="1" t="s">
        <v>238</v>
      </c>
      <c r="D3400">
        <v>5534</v>
      </c>
      <c r="E3400" s="1"/>
      <c r="F3400" s="1" t="s">
        <v>385</v>
      </c>
      <c r="G3400" s="1" t="s">
        <v>238</v>
      </c>
      <c r="H3400" s="1" t="s">
        <v>1405</v>
      </c>
      <c r="I3400">
        <v>2014</v>
      </c>
      <c r="J3400" s="93">
        <v>20858.16</v>
      </c>
      <c r="K3400">
        <v>12</v>
      </c>
      <c r="L3400" s="1" t="s">
        <v>543</v>
      </c>
      <c r="M3400">
        <v>0</v>
      </c>
      <c r="N3400">
        <v>1021</v>
      </c>
      <c r="O3400">
        <v>20.427147000000001</v>
      </c>
      <c r="P3400">
        <v>2</v>
      </c>
      <c r="Q3400" s="1" t="s">
        <v>569</v>
      </c>
      <c r="R3400" s="93">
        <v>20858.16</v>
      </c>
      <c r="S3400">
        <v>8343.25</v>
      </c>
      <c r="T3400">
        <v>0</v>
      </c>
      <c r="U3400" s="1" t="s">
        <v>1085</v>
      </c>
      <c r="V3400" s="1"/>
      <c r="W3400">
        <v>20858.16</v>
      </c>
      <c r="X3400">
        <v>0</v>
      </c>
      <c r="Y3400">
        <v>58251</v>
      </c>
    </row>
    <row r="3401" spans="1:25" ht="15" hidden="1" customHeight="1" x14ac:dyDescent="0.25">
      <c r="A3401" s="1" t="s">
        <v>37</v>
      </c>
      <c r="B3401" s="1" t="s">
        <v>81</v>
      </c>
      <c r="C3401" s="1" t="s">
        <v>196</v>
      </c>
      <c r="D3401">
        <v>5481</v>
      </c>
      <c r="E3401" s="1"/>
      <c r="F3401" s="1" t="s">
        <v>330</v>
      </c>
      <c r="G3401" s="1" t="s">
        <v>1399</v>
      </c>
      <c r="H3401" s="1" t="s">
        <v>1405</v>
      </c>
      <c r="I3401">
        <v>2012</v>
      </c>
      <c r="J3401" s="93">
        <v>46931.62</v>
      </c>
      <c r="K3401">
        <v>12</v>
      </c>
      <c r="L3401" s="1" t="s">
        <v>402</v>
      </c>
      <c r="M3401">
        <v>0</v>
      </c>
      <c r="N3401">
        <v>1273</v>
      </c>
      <c r="O3401">
        <v>36.864047999999997</v>
      </c>
      <c r="P3401">
        <v>2</v>
      </c>
      <c r="Q3401" s="1" t="s">
        <v>569</v>
      </c>
      <c r="R3401" s="93">
        <v>46931.62</v>
      </c>
      <c r="S3401">
        <v>18772.63</v>
      </c>
      <c r="T3401">
        <v>0</v>
      </c>
      <c r="U3401" s="1" t="s">
        <v>1078</v>
      </c>
      <c r="V3401" s="1" t="s">
        <v>1333</v>
      </c>
      <c r="W3401">
        <v>46931.61</v>
      </c>
      <c r="X3401">
        <v>0</v>
      </c>
      <c r="Y3401">
        <v>57944</v>
      </c>
    </row>
    <row r="3402" spans="1:25" ht="15" hidden="1" customHeight="1" x14ac:dyDescent="0.25">
      <c r="A3402" s="1" t="s">
        <v>37</v>
      </c>
      <c r="B3402" s="1" t="s">
        <v>81</v>
      </c>
      <c r="C3402" s="1" t="s">
        <v>196</v>
      </c>
      <c r="D3402">
        <v>5481</v>
      </c>
      <c r="E3402" s="1"/>
      <c r="F3402" s="1" t="s">
        <v>330</v>
      </c>
      <c r="G3402" s="1" t="s">
        <v>1399</v>
      </c>
      <c r="H3402" s="1" t="s">
        <v>1405</v>
      </c>
      <c r="I3402">
        <v>2011</v>
      </c>
      <c r="J3402" s="93">
        <v>51089.79</v>
      </c>
      <c r="K3402">
        <v>12</v>
      </c>
      <c r="L3402" s="1" t="s">
        <v>402</v>
      </c>
      <c r="M3402">
        <v>0</v>
      </c>
      <c r="N3402">
        <v>1273</v>
      </c>
      <c r="O3402">
        <v>40.130225000000003</v>
      </c>
      <c r="P3402">
        <v>2</v>
      </c>
      <c r="Q3402" s="1" t="s">
        <v>569</v>
      </c>
      <c r="R3402" s="93">
        <v>51089.79</v>
      </c>
      <c r="S3402">
        <v>23961.1</v>
      </c>
      <c r="T3402">
        <v>0</v>
      </c>
      <c r="U3402" s="1" t="s">
        <v>1078</v>
      </c>
      <c r="V3402" s="1" t="s">
        <v>1333</v>
      </c>
      <c r="W3402">
        <v>51089.775000000001</v>
      </c>
      <c r="X3402">
        <v>0</v>
      </c>
      <c r="Y3402">
        <v>57944</v>
      </c>
    </row>
    <row r="3403" spans="1:25" ht="15" hidden="1" customHeight="1" x14ac:dyDescent="0.25">
      <c r="A3403" s="1" t="s">
        <v>37</v>
      </c>
      <c r="B3403" s="1" t="s">
        <v>81</v>
      </c>
      <c r="C3403" s="1" t="s">
        <v>196</v>
      </c>
      <c r="D3403">
        <v>5481</v>
      </c>
      <c r="E3403" s="1"/>
      <c r="F3403" s="1" t="s">
        <v>330</v>
      </c>
      <c r="G3403" s="1" t="s">
        <v>1399</v>
      </c>
      <c r="H3403" s="1" t="s">
        <v>1405</v>
      </c>
      <c r="I3403">
        <v>2010</v>
      </c>
      <c r="J3403" s="93">
        <v>60836.28</v>
      </c>
      <c r="K3403">
        <v>12</v>
      </c>
      <c r="L3403" s="1" t="s">
        <v>402</v>
      </c>
      <c r="M3403">
        <v>0</v>
      </c>
      <c r="N3403">
        <v>1273</v>
      </c>
      <c r="O3403">
        <v>47.785938999999999</v>
      </c>
      <c r="P3403">
        <v>2</v>
      </c>
      <c r="Q3403" s="1" t="s">
        <v>569</v>
      </c>
      <c r="R3403" s="93">
        <v>60836.28</v>
      </c>
      <c r="S3403">
        <v>28532.21</v>
      </c>
      <c r="T3403">
        <v>0</v>
      </c>
      <c r="U3403" s="1" t="s">
        <v>1078</v>
      </c>
      <c r="V3403" s="1" t="s">
        <v>1333</v>
      </c>
      <c r="W3403">
        <v>60836.28</v>
      </c>
      <c r="X3403">
        <v>0</v>
      </c>
      <c r="Y3403">
        <v>57944</v>
      </c>
    </row>
    <row r="3404" spans="1:25" ht="15" hidden="1" customHeight="1" x14ac:dyDescent="0.25">
      <c r="A3404" s="1" t="s">
        <v>37</v>
      </c>
      <c r="B3404" s="1" t="s">
        <v>81</v>
      </c>
      <c r="C3404" s="1" t="s">
        <v>196</v>
      </c>
      <c r="D3404">
        <v>5481</v>
      </c>
      <c r="E3404" s="1"/>
      <c r="F3404" s="1" t="s">
        <v>330</v>
      </c>
      <c r="G3404" s="1" t="s">
        <v>1399</v>
      </c>
      <c r="H3404" s="1" t="s">
        <v>1405</v>
      </c>
      <c r="I3404">
        <v>2009</v>
      </c>
      <c r="J3404" s="93">
        <v>55630.99</v>
      </c>
      <c r="K3404">
        <v>12</v>
      </c>
      <c r="L3404" s="1" t="s">
        <v>402</v>
      </c>
      <c r="M3404">
        <v>0</v>
      </c>
      <c r="N3404">
        <v>1273</v>
      </c>
      <c r="O3404">
        <v>43.697265999999999</v>
      </c>
      <c r="P3404">
        <v>2</v>
      </c>
      <c r="Q3404" s="1" t="s">
        <v>569</v>
      </c>
      <c r="R3404" s="93">
        <v>55630.99</v>
      </c>
      <c r="S3404">
        <v>26090.95</v>
      </c>
      <c r="T3404">
        <v>0</v>
      </c>
      <c r="U3404" s="1" t="s">
        <v>1078</v>
      </c>
      <c r="V3404" s="1" t="s">
        <v>1333</v>
      </c>
      <c r="W3404">
        <v>55630.995000000003</v>
      </c>
      <c r="X3404">
        <v>0</v>
      </c>
      <c r="Y3404">
        <v>57944</v>
      </c>
    </row>
    <row r="3405" spans="1:25" ht="15" hidden="1" customHeight="1" x14ac:dyDescent="0.25">
      <c r="A3405" s="1" t="s">
        <v>37</v>
      </c>
      <c r="B3405" s="1" t="s">
        <v>81</v>
      </c>
      <c r="C3405" s="1" t="s">
        <v>196</v>
      </c>
      <c r="D3405">
        <v>5481</v>
      </c>
      <c r="E3405" s="1"/>
      <c r="F3405" s="1" t="s">
        <v>330</v>
      </c>
      <c r="G3405" s="1" t="s">
        <v>1399</v>
      </c>
      <c r="H3405" s="1" t="s">
        <v>1405</v>
      </c>
      <c r="I3405">
        <v>2008</v>
      </c>
      <c r="J3405" s="93">
        <v>52911.32</v>
      </c>
      <c r="K3405">
        <v>12</v>
      </c>
      <c r="L3405" s="1" t="s">
        <v>402</v>
      </c>
      <c r="M3405">
        <v>0</v>
      </c>
      <c r="N3405">
        <v>1273</v>
      </c>
      <c r="O3405">
        <v>41.561008000000001</v>
      </c>
      <c r="P3405">
        <v>2</v>
      </c>
      <c r="Q3405" s="1" t="s">
        <v>569</v>
      </c>
      <c r="R3405" s="93">
        <v>52911.32</v>
      </c>
      <c r="S3405">
        <v>24815.4</v>
      </c>
      <c r="T3405">
        <v>0</v>
      </c>
      <c r="U3405" s="1" t="s">
        <v>1078</v>
      </c>
      <c r="V3405" s="1" t="s">
        <v>1333</v>
      </c>
      <c r="W3405">
        <v>52911.315000000002</v>
      </c>
      <c r="X3405">
        <v>0</v>
      </c>
      <c r="Y3405">
        <v>57944</v>
      </c>
    </row>
    <row r="3406" spans="1:25" ht="15" hidden="1" customHeight="1" x14ac:dyDescent="0.25">
      <c r="A3406" s="1" t="s">
        <v>37</v>
      </c>
      <c r="B3406" s="1" t="s">
        <v>66</v>
      </c>
      <c r="C3406" s="1" t="s">
        <v>200</v>
      </c>
      <c r="D3406">
        <v>5471</v>
      </c>
      <c r="E3406" s="1"/>
      <c r="F3406" s="1" t="s">
        <v>335</v>
      </c>
      <c r="G3406" s="1" t="s">
        <v>200</v>
      </c>
      <c r="H3406" s="1" t="s">
        <v>1405</v>
      </c>
      <c r="I3406">
        <v>2014</v>
      </c>
      <c r="J3406" s="93">
        <v>239212.4</v>
      </c>
      <c r="K3406">
        <v>12</v>
      </c>
      <c r="L3406" s="1" t="s">
        <v>402</v>
      </c>
      <c r="M3406">
        <v>0</v>
      </c>
      <c r="N3406">
        <v>8656</v>
      </c>
      <c r="O3406">
        <v>27.635124000000001</v>
      </c>
      <c r="P3406">
        <v>2</v>
      </c>
      <c r="Q3406" s="1" t="s">
        <v>569</v>
      </c>
      <c r="R3406" s="93">
        <v>239212.4</v>
      </c>
      <c r="S3406">
        <v>95684.96</v>
      </c>
      <c r="T3406">
        <v>0</v>
      </c>
      <c r="U3406" s="1" t="s">
        <v>1086</v>
      </c>
      <c r="V3406" s="1" t="s">
        <v>1338</v>
      </c>
      <c r="W3406">
        <v>239212.4</v>
      </c>
      <c r="X3406">
        <v>0</v>
      </c>
      <c r="Y3406">
        <v>57890</v>
      </c>
    </row>
    <row r="3407" spans="1:25" ht="15" hidden="1" customHeight="1" x14ac:dyDescent="0.25">
      <c r="A3407" s="1" t="s">
        <v>37</v>
      </c>
      <c r="B3407" s="1"/>
      <c r="C3407" s="1" t="s">
        <v>201</v>
      </c>
      <c r="D3407">
        <v>9223</v>
      </c>
      <c r="E3407" s="1"/>
      <c r="F3407" s="1" t="s">
        <v>336</v>
      </c>
      <c r="G3407" s="1" t="s">
        <v>336</v>
      </c>
      <c r="H3407" s="1" t="s">
        <v>1405</v>
      </c>
      <c r="I3407">
        <v>2014</v>
      </c>
      <c r="J3407" s="93">
        <v>139222.93</v>
      </c>
      <c r="K3407">
        <v>12</v>
      </c>
      <c r="L3407" s="1"/>
      <c r="M3407">
        <v>0</v>
      </c>
      <c r="N3407">
        <v>7936</v>
      </c>
      <c r="O3407">
        <v>17.54299</v>
      </c>
      <c r="P3407">
        <v>2</v>
      </c>
      <c r="Q3407" s="1" t="s">
        <v>569</v>
      </c>
      <c r="R3407" s="93">
        <v>139222.93</v>
      </c>
      <c r="S3407">
        <v>41766.870000000003</v>
      </c>
      <c r="T3407">
        <v>0</v>
      </c>
      <c r="U3407" s="1"/>
      <c r="V3407" s="1"/>
      <c r="W3407">
        <v>139222.93</v>
      </c>
      <c r="X3407">
        <v>0</v>
      </c>
      <c r="Y3407">
        <v>72738</v>
      </c>
    </row>
    <row r="3408" spans="1:25" ht="15" hidden="1" customHeight="1" x14ac:dyDescent="0.25">
      <c r="A3408" s="1" t="s">
        <v>37</v>
      </c>
      <c r="B3408" s="1" t="s">
        <v>81</v>
      </c>
      <c r="C3408" s="1" t="s">
        <v>196</v>
      </c>
      <c r="D3408">
        <v>5479</v>
      </c>
      <c r="E3408" s="1"/>
      <c r="F3408" s="1" t="s">
        <v>331</v>
      </c>
      <c r="G3408" s="1" t="s">
        <v>1399</v>
      </c>
      <c r="H3408" s="1" t="s">
        <v>1405</v>
      </c>
      <c r="I3408">
        <v>2012</v>
      </c>
      <c r="J3408" s="93">
        <v>92315.3</v>
      </c>
      <c r="K3408">
        <v>12</v>
      </c>
      <c r="L3408" s="1" t="s">
        <v>402</v>
      </c>
      <c r="M3408">
        <v>0</v>
      </c>
      <c r="N3408">
        <v>6089</v>
      </c>
      <c r="O3408">
        <v>15.160746</v>
      </c>
      <c r="P3408">
        <v>2</v>
      </c>
      <c r="Q3408" s="1" t="s">
        <v>569</v>
      </c>
      <c r="R3408" s="93">
        <v>92315.3</v>
      </c>
      <c r="S3408">
        <v>36926.11</v>
      </c>
      <c r="T3408">
        <v>0</v>
      </c>
      <c r="U3408" s="1" t="s">
        <v>1079</v>
      </c>
      <c r="V3408" s="1" t="s">
        <v>1334</v>
      </c>
      <c r="W3408">
        <v>92315.296090000003</v>
      </c>
      <c r="X3408">
        <v>0</v>
      </c>
      <c r="Y3408">
        <v>57931</v>
      </c>
    </row>
    <row r="3409" spans="1:25" ht="15" hidden="1" customHeight="1" x14ac:dyDescent="0.25">
      <c r="A3409" s="1" t="s">
        <v>37</v>
      </c>
      <c r="B3409" s="1" t="s">
        <v>81</v>
      </c>
      <c r="C3409" s="1" t="s">
        <v>196</v>
      </c>
      <c r="D3409">
        <v>5479</v>
      </c>
      <c r="E3409" s="1"/>
      <c r="F3409" s="1" t="s">
        <v>331</v>
      </c>
      <c r="G3409" s="1" t="s">
        <v>1399</v>
      </c>
      <c r="H3409" s="1" t="s">
        <v>1405</v>
      </c>
      <c r="I3409">
        <v>2011</v>
      </c>
      <c r="J3409" s="93">
        <v>105786.63</v>
      </c>
      <c r="K3409">
        <v>12</v>
      </c>
      <c r="L3409" s="1" t="s">
        <v>402</v>
      </c>
      <c r="M3409">
        <v>0</v>
      </c>
      <c r="N3409">
        <v>6089</v>
      </c>
      <c r="O3409">
        <v>17.373114000000001</v>
      </c>
      <c r="P3409">
        <v>2</v>
      </c>
      <c r="Q3409" s="1" t="s">
        <v>569</v>
      </c>
      <c r="R3409" s="93">
        <v>105786.63</v>
      </c>
      <c r="S3409">
        <v>49613.94</v>
      </c>
      <c r="T3409">
        <v>0</v>
      </c>
      <c r="U3409" s="1" t="s">
        <v>1079</v>
      </c>
      <c r="V3409" s="1" t="s">
        <v>1334</v>
      </c>
      <c r="W3409">
        <v>105786.61788999999</v>
      </c>
      <c r="X3409">
        <v>0</v>
      </c>
      <c r="Y3409">
        <v>57931</v>
      </c>
    </row>
    <row r="3410" spans="1:25" ht="15" hidden="1" customHeight="1" x14ac:dyDescent="0.25">
      <c r="A3410" s="1" t="s">
        <v>37</v>
      </c>
      <c r="B3410" s="1" t="s">
        <v>81</v>
      </c>
      <c r="C3410" s="1" t="s">
        <v>196</v>
      </c>
      <c r="D3410">
        <v>5479</v>
      </c>
      <c r="E3410" s="1"/>
      <c r="F3410" s="1" t="s">
        <v>331</v>
      </c>
      <c r="G3410" s="1" t="s">
        <v>1399</v>
      </c>
      <c r="H3410" s="1" t="s">
        <v>1405</v>
      </c>
      <c r="I3410">
        <v>2010</v>
      </c>
      <c r="J3410" s="93">
        <v>118134.21</v>
      </c>
      <c r="K3410">
        <v>12</v>
      </c>
      <c r="L3410" s="1" t="s">
        <v>402</v>
      </c>
      <c r="M3410">
        <v>0</v>
      </c>
      <c r="N3410">
        <v>6089</v>
      </c>
      <c r="O3410">
        <v>19.400931</v>
      </c>
      <c r="P3410">
        <v>2</v>
      </c>
      <c r="Q3410" s="1" t="s">
        <v>569</v>
      </c>
      <c r="R3410" s="93">
        <v>118134.21</v>
      </c>
      <c r="S3410">
        <v>55404.94</v>
      </c>
      <c r="T3410">
        <v>0</v>
      </c>
      <c r="U3410" s="1" t="s">
        <v>1079</v>
      </c>
      <c r="V3410" s="1" t="s">
        <v>1334</v>
      </c>
      <c r="W3410">
        <v>118134.18795000001</v>
      </c>
      <c r="X3410">
        <v>0</v>
      </c>
      <c r="Y3410">
        <v>57931</v>
      </c>
    </row>
    <row r="3411" spans="1:25" ht="15" hidden="1" customHeight="1" x14ac:dyDescent="0.25">
      <c r="A3411" s="1" t="s">
        <v>37</v>
      </c>
      <c r="B3411" s="1" t="s">
        <v>81</v>
      </c>
      <c r="C3411" s="1" t="s">
        <v>196</v>
      </c>
      <c r="D3411">
        <v>5479</v>
      </c>
      <c r="E3411" s="1"/>
      <c r="F3411" s="1" t="s">
        <v>331</v>
      </c>
      <c r="G3411" s="1" t="s">
        <v>1399</v>
      </c>
      <c r="H3411" s="1" t="s">
        <v>1405</v>
      </c>
      <c r="I3411">
        <v>2009</v>
      </c>
      <c r="J3411" s="93">
        <v>142863.92000000001</v>
      </c>
      <c r="K3411">
        <v>12</v>
      </c>
      <c r="L3411" s="1" t="s">
        <v>402</v>
      </c>
      <c r="M3411">
        <v>0</v>
      </c>
      <c r="N3411">
        <v>6089</v>
      </c>
      <c r="O3411">
        <v>23.462239</v>
      </c>
      <c r="P3411">
        <v>2</v>
      </c>
      <c r="Q3411" s="1" t="s">
        <v>569</v>
      </c>
      <c r="R3411" s="93">
        <v>142863.92000000001</v>
      </c>
      <c r="S3411">
        <v>67003.149999999994</v>
      </c>
      <c r="T3411">
        <v>0</v>
      </c>
      <c r="U3411" s="1" t="s">
        <v>1079</v>
      </c>
      <c r="V3411" s="1" t="s">
        <v>1334</v>
      </c>
      <c r="W3411">
        <v>142863.90932999999</v>
      </c>
      <c r="X3411">
        <v>0</v>
      </c>
      <c r="Y3411">
        <v>57931</v>
      </c>
    </row>
    <row r="3412" spans="1:25" ht="15" hidden="1" customHeight="1" x14ac:dyDescent="0.25">
      <c r="A3412" s="1" t="s">
        <v>37</v>
      </c>
      <c r="B3412" s="1" t="s">
        <v>81</v>
      </c>
      <c r="C3412" s="1" t="s">
        <v>196</v>
      </c>
      <c r="D3412">
        <v>5479</v>
      </c>
      <c r="E3412" s="1"/>
      <c r="F3412" s="1" t="s">
        <v>331</v>
      </c>
      <c r="G3412" s="1" t="s">
        <v>1399</v>
      </c>
      <c r="H3412" s="1" t="s">
        <v>1405</v>
      </c>
      <c r="I3412">
        <v>2008</v>
      </c>
      <c r="J3412" s="93">
        <v>167829.08</v>
      </c>
      <c r="K3412">
        <v>12</v>
      </c>
      <c r="L3412" s="1" t="s">
        <v>402</v>
      </c>
      <c r="M3412">
        <v>0</v>
      </c>
      <c r="N3412">
        <v>6089</v>
      </c>
      <c r="O3412">
        <v>27.562214000000001</v>
      </c>
      <c r="P3412">
        <v>2</v>
      </c>
      <c r="Q3412" s="1" t="s">
        <v>569</v>
      </c>
      <c r="R3412" s="93">
        <v>167829.08</v>
      </c>
      <c r="S3412">
        <v>78711.839999999997</v>
      </c>
      <c r="T3412">
        <v>0</v>
      </c>
      <c r="U3412" s="1" t="s">
        <v>1079</v>
      </c>
      <c r="V3412" s="1" t="s">
        <v>1334</v>
      </c>
      <c r="W3412">
        <v>167829.08</v>
      </c>
      <c r="X3412">
        <v>0</v>
      </c>
      <c r="Y3412">
        <v>57931</v>
      </c>
    </row>
    <row r="3413" spans="1:25" ht="15" hidden="1" customHeight="1" x14ac:dyDescent="0.25">
      <c r="A3413" s="1" t="s">
        <v>37</v>
      </c>
      <c r="B3413" s="1"/>
      <c r="C3413" s="1" t="s">
        <v>203</v>
      </c>
      <c r="D3413">
        <v>9222</v>
      </c>
      <c r="E3413" s="1"/>
      <c r="F3413" s="1" t="s">
        <v>338</v>
      </c>
      <c r="G3413" s="1" t="s">
        <v>338</v>
      </c>
      <c r="H3413" s="1" t="s">
        <v>1405</v>
      </c>
      <c r="I3413">
        <v>2014</v>
      </c>
      <c r="J3413" s="93">
        <v>247210.38</v>
      </c>
      <c r="K3413">
        <v>12</v>
      </c>
      <c r="L3413" s="1"/>
      <c r="M3413">
        <v>0</v>
      </c>
      <c r="N3413">
        <v>11252</v>
      </c>
      <c r="O3413">
        <v>21.970154000000001</v>
      </c>
      <c r="P3413">
        <v>2</v>
      </c>
      <c r="Q3413" s="1" t="s">
        <v>569</v>
      </c>
      <c r="R3413" s="93">
        <v>247210.38</v>
      </c>
      <c r="S3413">
        <v>74163.14</v>
      </c>
      <c r="T3413">
        <v>0</v>
      </c>
      <c r="U3413" s="1" t="s">
        <v>1095</v>
      </c>
      <c r="V3413" s="1" t="s">
        <v>1340</v>
      </c>
      <c r="W3413">
        <v>247210.35800000001</v>
      </c>
      <c r="X3413">
        <v>0</v>
      </c>
      <c r="Y3413">
        <v>72736</v>
      </c>
    </row>
    <row r="3414" spans="1:25" ht="15" hidden="1" customHeight="1" x14ac:dyDescent="0.25">
      <c r="A3414" s="1" t="s">
        <v>37</v>
      </c>
      <c r="B3414" s="1"/>
      <c r="C3414" s="1" t="s">
        <v>239</v>
      </c>
      <c r="D3414">
        <v>5956</v>
      </c>
      <c r="E3414" s="1"/>
      <c r="F3414" s="1" t="s">
        <v>386</v>
      </c>
      <c r="G3414" s="1" t="s">
        <v>239</v>
      </c>
      <c r="H3414" s="1" t="s">
        <v>1405</v>
      </c>
      <c r="I3414">
        <v>2014</v>
      </c>
      <c r="J3414" s="93">
        <v>9754.02</v>
      </c>
      <c r="K3414">
        <v>12</v>
      </c>
      <c r="L3414" s="1"/>
      <c r="M3414">
        <v>0</v>
      </c>
      <c r="N3414">
        <v>186</v>
      </c>
      <c r="O3414">
        <v>52.412787999999999</v>
      </c>
      <c r="P3414">
        <v>2</v>
      </c>
      <c r="Q3414" s="1" t="s">
        <v>569</v>
      </c>
      <c r="R3414" s="93">
        <v>9754.02</v>
      </c>
      <c r="S3414">
        <v>2926.22</v>
      </c>
      <c r="T3414">
        <v>0</v>
      </c>
      <c r="U3414" s="1" t="s">
        <v>1096</v>
      </c>
      <c r="V3414" s="1" t="s">
        <v>1341</v>
      </c>
      <c r="W3414">
        <v>9754.0329000000002</v>
      </c>
      <c r="X3414">
        <v>0</v>
      </c>
      <c r="Y3414">
        <v>91057</v>
      </c>
    </row>
    <row r="3415" spans="1:25" ht="15" hidden="1" customHeight="1" x14ac:dyDescent="0.25">
      <c r="A3415" s="1" t="s">
        <v>37</v>
      </c>
      <c r="B3415" s="1" t="s">
        <v>81</v>
      </c>
      <c r="C3415" s="1" t="s">
        <v>196</v>
      </c>
      <c r="D3415">
        <v>13265</v>
      </c>
      <c r="E3415" s="1"/>
      <c r="F3415" s="1" t="s">
        <v>384</v>
      </c>
      <c r="G3415" s="1" t="s">
        <v>1399</v>
      </c>
      <c r="H3415" s="1" t="s">
        <v>1405</v>
      </c>
      <c r="I3415">
        <v>2012</v>
      </c>
      <c r="J3415" s="93">
        <v>152591.16</v>
      </c>
      <c r="K3415">
        <v>12</v>
      </c>
      <c r="L3415" s="1"/>
      <c r="M3415">
        <v>0</v>
      </c>
      <c r="N3415">
        <v>3000</v>
      </c>
      <c r="O3415">
        <v>50.862023999999998</v>
      </c>
      <c r="P3415">
        <v>2</v>
      </c>
      <c r="Q3415" s="1" t="s">
        <v>569</v>
      </c>
      <c r="R3415" s="93">
        <v>152591.16</v>
      </c>
      <c r="S3415">
        <v>61036.44</v>
      </c>
      <c r="T3415">
        <v>0</v>
      </c>
      <c r="U3415" s="1" t="s">
        <v>1080</v>
      </c>
      <c r="V3415" s="1" t="s">
        <v>1335</v>
      </c>
      <c r="W3415">
        <v>152591.16</v>
      </c>
      <c r="X3415">
        <v>0</v>
      </c>
      <c r="Y3415">
        <v>90713</v>
      </c>
    </row>
    <row r="3416" spans="1:25" ht="15" hidden="1" customHeight="1" x14ac:dyDescent="0.25">
      <c r="A3416" s="1" t="s">
        <v>37</v>
      </c>
      <c r="B3416" s="1" t="s">
        <v>81</v>
      </c>
      <c r="C3416" s="1" t="s">
        <v>196</v>
      </c>
      <c r="D3416">
        <v>13265</v>
      </c>
      <c r="E3416" s="1"/>
      <c r="F3416" s="1" t="s">
        <v>384</v>
      </c>
      <c r="G3416" s="1" t="s">
        <v>1399</v>
      </c>
      <c r="H3416" s="1" t="s">
        <v>1405</v>
      </c>
      <c r="I3416">
        <v>2011</v>
      </c>
      <c r="J3416" s="93">
        <v>132369.60000000001</v>
      </c>
      <c r="K3416">
        <v>5</v>
      </c>
      <c r="L3416" s="1" t="s">
        <v>426</v>
      </c>
      <c r="M3416">
        <v>0</v>
      </c>
      <c r="N3416">
        <v>3000</v>
      </c>
      <c r="O3416">
        <v>44.121729000000002</v>
      </c>
      <c r="P3416">
        <v>2</v>
      </c>
      <c r="Q3416" s="1" t="s">
        <v>569</v>
      </c>
      <c r="R3416" s="93">
        <v>132369.60000000001</v>
      </c>
      <c r="S3416">
        <v>62081.34</v>
      </c>
      <c r="T3416">
        <v>0</v>
      </c>
      <c r="U3416" s="1" t="s">
        <v>1081</v>
      </c>
      <c r="V3416" s="1" t="s">
        <v>1335</v>
      </c>
      <c r="W3416">
        <v>132369.61326000001</v>
      </c>
      <c r="X3416">
        <v>0</v>
      </c>
      <c r="Y3416">
        <v>89185</v>
      </c>
    </row>
    <row r="3417" spans="1:25" ht="15" hidden="1" customHeight="1" x14ac:dyDescent="0.25">
      <c r="A3417" s="1" t="s">
        <v>37</v>
      </c>
      <c r="B3417" s="1" t="s">
        <v>81</v>
      </c>
      <c r="C3417" s="1" t="s">
        <v>196</v>
      </c>
      <c r="D3417">
        <v>13265</v>
      </c>
      <c r="E3417" s="1"/>
      <c r="F3417" s="1" t="s">
        <v>384</v>
      </c>
      <c r="G3417" s="1" t="s">
        <v>1399</v>
      </c>
      <c r="H3417" s="1" t="s">
        <v>1405</v>
      </c>
      <c r="I3417">
        <v>2011</v>
      </c>
      <c r="J3417" s="93">
        <v>14665.02</v>
      </c>
      <c r="K3417">
        <v>1</v>
      </c>
      <c r="L3417" s="1"/>
      <c r="M3417">
        <v>0</v>
      </c>
      <c r="N3417">
        <v>3000</v>
      </c>
      <c r="O3417">
        <v>4.8881769999999998</v>
      </c>
      <c r="P3417">
        <v>2</v>
      </c>
      <c r="Q3417" s="1" t="s">
        <v>569</v>
      </c>
      <c r="R3417" s="93">
        <v>14665.02</v>
      </c>
      <c r="S3417">
        <v>6877.89</v>
      </c>
      <c r="T3417">
        <v>0</v>
      </c>
      <c r="U3417" s="1" t="s">
        <v>1080</v>
      </c>
      <c r="V3417" s="1" t="s">
        <v>1335</v>
      </c>
      <c r="W3417">
        <v>14665.02</v>
      </c>
      <c r="X3417">
        <v>0</v>
      </c>
      <c r="Y3417">
        <v>90713</v>
      </c>
    </row>
    <row r="3418" spans="1:25" ht="15" hidden="1" customHeight="1" x14ac:dyDescent="0.25">
      <c r="A3418" s="1" t="s">
        <v>37</v>
      </c>
      <c r="B3418" s="1" t="s">
        <v>81</v>
      </c>
      <c r="C3418" s="1" t="s">
        <v>196</v>
      </c>
      <c r="D3418">
        <v>13265</v>
      </c>
      <c r="E3418" s="1"/>
      <c r="F3418" s="1" t="s">
        <v>384</v>
      </c>
      <c r="G3418" s="1" t="s">
        <v>1399</v>
      </c>
      <c r="H3418" s="1" t="s">
        <v>1405</v>
      </c>
      <c r="I3418">
        <v>2010</v>
      </c>
      <c r="J3418" s="93">
        <v>68413.19</v>
      </c>
      <c r="K3418">
        <v>4</v>
      </c>
      <c r="L3418" s="1" t="s">
        <v>426</v>
      </c>
      <c r="M3418">
        <v>0</v>
      </c>
      <c r="N3418">
        <v>3000</v>
      </c>
      <c r="O3418">
        <v>22.803636000000001</v>
      </c>
      <c r="P3418">
        <v>2</v>
      </c>
      <c r="Q3418" s="1" t="s">
        <v>569</v>
      </c>
      <c r="R3418" s="93">
        <v>68413.19</v>
      </c>
      <c r="S3418">
        <v>32085.77</v>
      </c>
      <c r="T3418">
        <v>0</v>
      </c>
      <c r="U3418" s="1" t="s">
        <v>1081</v>
      </c>
      <c r="V3418" s="1" t="s">
        <v>1335</v>
      </c>
      <c r="W3418">
        <v>68413.158150000003</v>
      </c>
      <c r="X3418">
        <v>0</v>
      </c>
      <c r="Y3418">
        <v>89185</v>
      </c>
    </row>
    <row r="3419" spans="1:25" ht="15" hidden="1" customHeight="1" x14ac:dyDescent="0.25">
      <c r="A3419" s="1" t="s">
        <v>37</v>
      </c>
      <c r="B3419" s="1" t="s">
        <v>81</v>
      </c>
      <c r="C3419" s="1" t="s">
        <v>196</v>
      </c>
      <c r="D3419">
        <v>13265</v>
      </c>
      <c r="E3419" s="1"/>
      <c r="F3419" s="1" t="s">
        <v>384</v>
      </c>
      <c r="G3419" s="1" t="s">
        <v>1399</v>
      </c>
      <c r="H3419" s="1" t="s">
        <v>1405</v>
      </c>
      <c r="I3419">
        <v>2009</v>
      </c>
      <c r="J3419" s="93">
        <v>1228.25</v>
      </c>
      <c r="K3419">
        <v>1</v>
      </c>
      <c r="L3419" s="1" t="s">
        <v>426</v>
      </c>
      <c r="M3419">
        <v>0</v>
      </c>
      <c r="N3419">
        <v>3000</v>
      </c>
      <c r="O3419">
        <v>0.40940300000000002</v>
      </c>
      <c r="P3419">
        <v>2</v>
      </c>
      <c r="Q3419" s="1" t="s">
        <v>569</v>
      </c>
      <c r="R3419" s="93">
        <v>1228.25</v>
      </c>
      <c r="S3419">
        <v>576.04</v>
      </c>
      <c r="T3419">
        <v>0</v>
      </c>
      <c r="U3419" s="1" t="s">
        <v>1081</v>
      </c>
      <c r="V3419" s="1" t="s">
        <v>1335</v>
      </c>
      <c r="W3419">
        <v>1228.22855</v>
      </c>
      <c r="X3419">
        <v>0</v>
      </c>
      <c r="Y3419">
        <v>89185</v>
      </c>
    </row>
    <row r="3420" spans="1:25" ht="15" hidden="1" customHeight="1" x14ac:dyDescent="0.25">
      <c r="A3420" s="1" t="s">
        <v>37</v>
      </c>
      <c r="B3420" s="1"/>
      <c r="C3420" s="1" t="s">
        <v>239</v>
      </c>
      <c r="D3420">
        <v>5942</v>
      </c>
      <c r="E3420" s="1"/>
      <c r="F3420" s="1" t="s">
        <v>387</v>
      </c>
      <c r="G3420" s="1" t="s">
        <v>239</v>
      </c>
      <c r="H3420" s="1" t="s">
        <v>1405</v>
      </c>
      <c r="I3420">
        <v>2014</v>
      </c>
      <c r="J3420" s="93">
        <v>6942.41</v>
      </c>
      <c r="K3420">
        <v>12</v>
      </c>
      <c r="L3420" s="1"/>
      <c r="M3420">
        <v>0</v>
      </c>
      <c r="N3420">
        <v>506</v>
      </c>
      <c r="O3420">
        <v>13.717466</v>
      </c>
      <c r="P3420">
        <v>2</v>
      </c>
      <c r="Q3420" s="1" t="s">
        <v>569</v>
      </c>
      <c r="R3420" s="93">
        <v>6942.41</v>
      </c>
      <c r="S3420">
        <v>2082.71</v>
      </c>
      <c r="T3420">
        <v>0</v>
      </c>
      <c r="U3420" s="1"/>
      <c r="V3420" s="1" t="s">
        <v>1342</v>
      </c>
      <c r="W3420">
        <v>6942.3977999999997</v>
      </c>
      <c r="X3420">
        <v>0</v>
      </c>
      <c r="Y3420">
        <v>91058</v>
      </c>
    </row>
    <row r="3421" spans="1:25" ht="15" hidden="1" customHeight="1" x14ac:dyDescent="0.25">
      <c r="A3421" s="1" t="s">
        <v>37</v>
      </c>
      <c r="B3421" s="1"/>
      <c r="C3421" s="1" t="s">
        <v>191</v>
      </c>
      <c r="D3421">
        <v>9224</v>
      </c>
      <c r="E3421" s="1"/>
      <c r="F3421" s="1" t="s">
        <v>319</v>
      </c>
      <c r="G3421" s="1" t="s">
        <v>191</v>
      </c>
      <c r="H3421" s="1" t="s">
        <v>1405</v>
      </c>
      <c r="I3421">
        <v>2015</v>
      </c>
      <c r="J3421" s="93">
        <v>71615</v>
      </c>
      <c r="K3421">
        <v>5</v>
      </c>
      <c r="L3421" s="1"/>
      <c r="M3421">
        <v>0</v>
      </c>
      <c r="N3421">
        <v>4404</v>
      </c>
      <c r="O3421">
        <v>1.7333000000000001</v>
      </c>
      <c r="P3421">
        <v>2</v>
      </c>
      <c r="Q3421" s="1" t="s">
        <v>569</v>
      </c>
      <c r="R3421" s="93">
        <v>7633.63</v>
      </c>
      <c r="S3421">
        <v>2290.09</v>
      </c>
      <c r="T3421">
        <v>0</v>
      </c>
      <c r="U3421" s="1" t="s">
        <v>1071</v>
      </c>
      <c r="V3421" s="1" t="s">
        <v>1328</v>
      </c>
      <c r="W3421">
        <v>7633.625</v>
      </c>
      <c r="X3421">
        <v>0</v>
      </c>
      <c r="Y3421">
        <v>72740</v>
      </c>
    </row>
    <row r="3422" spans="1:25" ht="15" hidden="1" customHeight="1" x14ac:dyDescent="0.25">
      <c r="A3422" s="1" t="s">
        <v>37</v>
      </c>
      <c r="B3422" s="1"/>
      <c r="C3422" s="1" t="s">
        <v>197</v>
      </c>
      <c r="D3422">
        <v>10161</v>
      </c>
      <c r="E3422" s="1"/>
      <c r="F3422" s="1" t="s">
        <v>332</v>
      </c>
      <c r="G3422" s="1" t="s">
        <v>197</v>
      </c>
      <c r="H3422" s="1" t="s">
        <v>1405</v>
      </c>
      <c r="I3422">
        <v>2012</v>
      </c>
      <c r="J3422" s="93">
        <v>4963.0200000000004</v>
      </c>
      <c r="K3422">
        <v>12</v>
      </c>
      <c r="L3422" s="1" t="s">
        <v>426</v>
      </c>
      <c r="M3422">
        <v>0</v>
      </c>
      <c r="N3422">
        <v>265</v>
      </c>
      <c r="O3422">
        <v>18.721312000000001</v>
      </c>
      <c r="P3422">
        <v>2</v>
      </c>
      <c r="Q3422" s="1" t="s">
        <v>569</v>
      </c>
      <c r="R3422" s="93">
        <v>4963.0200000000004</v>
      </c>
      <c r="S3422">
        <v>1985.21</v>
      </c>
      <c r="T3422">
        <v>0</v>
      </c>
      <c r="U3422" s="1" t="s">
        <v>1082</v>
      </c>
      <c r="V3422" s="1"/>
      <c r="W3422">
        <v>4963.0129999999999</v>
      </c>
      <c r="X3422">
        <v>0</v>
      </c>
      <c r="Y3422">
        <v>77142</v>
      </c>
    </row>
    <row r="3423" spans="1:25" ht="15" hidden="1" customHeight="1" x14ac:dyDescent="0.25">
      <c r="A3423" s="1" t="s">
        <v>37</v>
      </c>
      <c r="B3423" s="1"/>
      <c r="C3423" s="1" t="s">
        <v>197</v>
      </c>
      <c r="D3423">
        <v>10161</v>
      </c>
      <c r="E3423" s="1"/>
      <c r="F3423" s="1" t="s">
        <v>332</v>
      </c>
      <c r="G3423" s="1" t="s">
        <v>197</v>
      </c>
      <c r="H3423" s="1" t="s">
        <v>1405</v>
      </c>
      <c r="I3423">
        <v>2011</v>
      </c>
      <c r="J3423" s="93">
        <v>5121.58</v>
      </c>
      <c r="K3423">
        <v>7</v>
      </c>
      <c r="L3423" s="1" t="s">
        <v>426</v>
      </c>
      <c r="M3423">
        <v>0</v>
      </c>
      <c r="N3423">
        <v>265</v>
      </c>
      <c r="O3423">
        <v>19.319426</v>
      </c>
      <c r="P3423">
        <v>2</v>
      </c>
      <c r="Q3423" s="1" t="s">
        <v>569</v>
      </c>
      <c r="R3423" s="93">
        <v>5121.58</v>
      </c>
      <c r="S3423">
        <v>2402.0100000000002</v>
      </c>
      <c r="T3423">
        <v>0</v>
      </c>
      <c r="U3423" s="1" t="s">
        <v>1082</v>
      </c>
      <c r="V3423" s="1"/>
      <c r="W3423">
        <v>5121.5789999999997</v>
      </c>
      <c r="X3423">
        <v>0</v>
      </c>
      <c r="Y3423">
        <v>77142</v>
      </c>
    </row>
    <row r="3424" spans="1:25" ht="15" hidden="1" customHeight="1" x14ac:dyDescent="0.25">
      <c r="A3424" s="1" t="s">
        <v>37</v>
      </c>
      <c r="B3424" s="1"/>
      <c r="C3424" s="1" t="s">
        <v>197</v>
      </c>
      <c r="D3424">
        <v>10161</v>
      </c>
      <c r="E3424" s="1"/>
      <c r="F3424" s="1" t="s">
        <v>332</v>
      </c>
      <c r="G3424" s="1" t="s">
        <v>197</v>
      </c>
      <c r="H3424" s="1" t="s">
        <v>1405</v>
      </c>
      <c r="I3424">
        <v>2010</v>
      </c>
      <c r="J3424" s="93">
        <v>5789.27</v>
      </c>
      <c r="K3424">
        <v>7</v>
      </c>
      <c r="L3424" s="1" t="s">
        <v>426</v>
      </c>
      <c r="M3424">
        <v>0</v>
      </c>
      <c r="N3424">
        <v>265</v>
      </c>
      <c r="O3424">
        <v>21.838061</v>
      </c>
      <c r="P3424">
        <v>2</v>
      </c>
      <c r="Q3424" s="1" t="s">
        <v>569</v>
      </c>
      <c r="R3424" s="93">
        <v>5789.27</v>
      </c>
      <c r="S3424">
        <v>2715.17</v>
      </c>
      <c r="T3424">
        <v>0</v>
      </c>
      <c r="U3424" s="1" t="s">
        <v>1082</v>
      </c>
      <c r="V3424" s="1"/>
      <c r="W3424">
        <v>5789.27556</v>
      </c>
      <c r="X3424">
        <v>0</v>
      </c>
      <c r="Y3424">
        <v>77142</v>
      </c>
    </row>
    <row r="3425" spans="1:25" ht="15" hidden="1" customHeight="1" x14ac:dyDescent="0.25">
      <c r="A3425" s="1" t="s">
        <v>37</v>
      </c>
      <c r="B3425" s="1"/>
      <c r="C3425" s="1" t="s">
        <v>197</v>
      </c>
      <c r="D3425">
        <v>10161</v>
      </c>
      <c r="E3425" s="1"/>
      <c r="F3425" s="1" t="s">
        <v>332</v>
      </c>
      <c r="G3425" s="1" t="s">
        <v>197</v>
      </c>
      <c r="H3425" s="1" t="s">
        <v>1405</v>
      </c>
      <c r="I3425">
        <v>2009</v>
      </c>
      <c r="J3425" s="93">
        <v>5002.12</v>
      </c>
      <c r="K3425">
        <v>4</v>
      </c>
      <c r="L3425" s="1" t="s">
        <v>426</v>
      </c>
      <c r="M3425">
        <v>0</v>
      </c>
      <c r="N3425">
        <v>265</v>
      </c>
      <c r="O3425">
        <v>18.868804000000001</v>
      </c>
      <c r="P3425">
        <v>2</v>
      </c>
      <c r="Q3425" s="1" t="s">
        <v>569</v>
      </c>
      <c r="R3425" s="93">
        <v>5002.12</v>
      </c>
      <c r="S3425">
        <v>2346</v>
      </c>
      <c r="T3425">
        <v>0</v>
      </c>
      <c r="U3425" s="1" t="s">
        <v>1082</v>
      </c>
      <c r="V3425" s="1"/>
      <c r="W3425">
        <v>5002.1351500000001</v>
      </c>
      <c r="X3425">
        <v>0</v>
      </c>
      <c r="Y3425">
        <v>77142</v>
      </c>
    </row>
    <row r="3426" spans="1:25" ht="15" hidden="1" customHeight="1" x14ac:dyDescent="0.25">
      <c r="A3426" s="1" t="s">
        <v>37</v>
      </c>
      <c r="B3426" s="1"/>
      <c r="C3426" s="1" t="s">
        <v>197</v>
      </c>
      <c r="D3426">
        <v>10161</v>
      </c>
      <c r="E3426" s="1"/>
      <c r="F3426" s="1" t="s">
        <v>332</v>
      </c>
      <c r="G3426" s="1" t="s">
        <v>197</v>
      </c>
      <c r="H3426" s="1" t="s">
        <v>1405</v>
      </c>
      <c r="I3426">
        <v>2008</v>
      </c>
      <c r="J3426" s="93">
        <v>7047.75</v>
      </c>
      <c r="K3426">
        <v>6</v>
      </c>
      <c r="L3426" s="1" t="s">
        <v>426</v>
      </c>
      <c r="M3426">
        <v>0</v>
      </c>
      <c r="N3426">
        <v>265</v>
      </c>
      <c r="O3426">
        <v>26.585249999999998</v>
      </c>
      <c r="P3426">
        <v>2</v>
      </c>
      <c r="Q3426" s="1" t="s">
        <v>569</v>
      </c>
      <c r="R3426" s="93">
        <v>7047.75</v>
      </c>
      <c r="S3426">
        <v>3305.4</v>
      </c>
      <c r="T3426">
        <v>0</v>
      </c>
      <c r="U3426" s="1" t="s">
        <v>1082</v>
      </c>
      <c r="V3426" s="1"/>
      <c r="W3426">
        <v>7047.7538500000001</v>
      </c>
      <c r="X3426">
        <v>0</v>
      </c>
      <c r="Y3426">
        <v>77142</v>
      </c>
    </row>
    <row r="3427" spans="1:25" ht="15" customHeight="1" x14ac:dyDescent="0.25">
      <c r="A3427" s="1" t="s">
        <v>37</v>
      </c>
      <c r="B3427" s="1"/>
      <c r="C3427" s="1" t="s">
        <v>192</v>
      </c>
      <c r="D3427">
        <v>10230</v>
      </c>
      <c r="E3427" s="1"/>
      <c r="F3427" s="1" t="s">
        <v>320</v>
      </c>
      <c r="G3427" s="1" t="s">
        <v>320</v>
      </c>
      <c r="H3427" s="1" t="s">
        <v>1405</v>
      </c>
      <c r="I3427">
        <v>2015</v>
      </c>
      <c r="J3427" s="93">
        <v>11367</v>
      </c>
      <c r="K3427">
        <v>5</v>
      </c>
      <c r="L3427" s="1" t="s">
        <v>399</v>
      </c>
      <c r="M3427">
        <v>0</v>
      </c>
      <c r="N3427">
        <v>711</v>
      </c>
      <c r="O3427">
        <v>6.5549280000000003</v>
      </c>
      <c r="P3427">
        <v>2</v>
      </c>
      <c r="Q3427" s="1" t="s">
        <v>569</v>
      </c>
      <c r="R3427" s="93">
        <v>4661.21</v>
      </c>
      <c r="S3427">
        <v>1398.37</v>
      </c>
      <c r="T3427">
        <v>0</v>
      </c>
      <c r="U3427" s="1" t="s">
        <v>1072</v>
      </c>
      <c r="V3427" s="1" t="s">
        <v>1329</v>
      </c>
      <c r="W3427">
        <v>4661.223</v>
      </c>
      <c r="X3427">
        <v>0</v>
      </c>
      <c r="Y3427">
        <v>77501</v>
      </c>
    </row>
    <row r="3428" spans="1:25" ht="15" customHeight="1" x14ac:dyDescent="0.25">
      <c r="A3428" s="1" t="s">
        <v>37</v>
      </c>
      <c r="B3428" s="1"/>
      <c r="C3428" s="1" t="s">
        <v>193</v>
      </c>
      <c r="D3428">
        <v>10991</v>
      </c>
      <c r="E3428" s="1"/>
      <c r="F3428" s="1" t="s">
        <v>321</v>
      </c>
      <c r="G3428" s="1" t="s">
        <v>1398</v>
      </c>
      <c r="H3428" s="1" t="s">
        <v>1405</v>
      </c>
      <c r="I3428">
        <v>2015</v>
      </c>
      <c r="J3428" s="93">
        <v>60751</v>
      </c>
      <c r="K3428">
        <v>3</v>
      </c>
      <c r="L3428" s="1" t="s">
        <v>421</v>
      </c>
      <c r="M3428">
        <v>0</v>
      </c>
      <c r="N3428">
        <v>1475</v>
      </c>
      <c r="O3428">
        <v>14.309911</v>
      </c>
      <c r="P3428">
        <v>2</v>
      </c>
      <c r="Q3428" s="1" t="s">
        <v>569</v>
      </c>
      <c r="R3428" s="93">
        <v>21108.55</v>
      </c>
      <c r="S3428">
        <v>6332.57</v>
      </c>
      <c r="T3428">
        <v>0</v>
      </c>
      <c r="U3428" s="1" t="s">
        <v>1073</v>
      </c>
      <c r="V3428" s="1"/>
      <c r="W3428">
        <v>21108.553189999999</v>
      </c>
      <c r="X3428">
        <v>0</v>
      </c>
      <c r="Y3428">
        <v>79756</v>
      </c>
    </row>
    <row r="3429" spans="1:25" ht="15" hidden="1" customHeight="1" x14ac:dyDescent="0.25">
      <c r="A3429" s="1" t="s">
        <v>37</v>
      </c>
      <c r="B3429" s="1" t="s">
        <v>82</v>
      </c>
      <c r="C3429" s="1" t="s">
        <v>198</v>
      </c>
      <c r="D3429">
        <v>6369</v>
      </c>
      <c r="E3429" s="1"/>
      <c r="F3429" s="1" t="s">
        <v>333</v>
      </c>
      <c r="G3429" s="1" t="s">
        <v>334</v>
      </c>
      <c r="H3429" s="1" t="s">
        <v>1405</v>
      </c>
      <c r="I3429">
        <v>2012</v>
      </c>
      <c r="J3429" s="93">
        <v>1550.01</v>
      </c>
      <c r="K3429">
        <v>16</v>
      </c>
      <c r="L3429" s="1" t="s">
        <v>411</v>
      </c>
      <c r="M3429">
        <v>0</v>
      </c>
      <c r="N3429">
        <v>110</v>
      </c>
      <c r="O3429">
        <v>14.078201</v>
      </c>
      <c r="P3429">
        <v>2</v>
      </c>
      <c r="Q3429" s="1" t="s">
        <v>569</v>
      </c>
      <c r="R3429" s="93">
        <v>1550.01</v>
      </c>
      <c r="S3429">
        <v>620.01</v>
      </c>
      <c r="T3429">
        <v>0</v>
      </c>
      <c r="U3429" s="1" t="s">
        <v>1083</v>
      </c>
      <c r="V3429" s="1" t="s">
        <v>1336</v>
      </c>
      <c r="W3429">
        <v>1550.0344399999999</v>
      </c>
      <c r="X3429">
        <v>0</v>
      </c>
      <c r="Y3429">
        <v>62718</v>
      </c>
    </row>
    <row r="3430" spans="1:25" ht="15" hidden="1" customHeight="1" x14ac:dyDescent="0.25">
      <c r="A3430" s="1" t="s">
        <v>37</v>
      </c>
      <c r="B3430" s="1" t="s">
        <v>82</v>
      </c>
      <c r="C3430" s="1" t="s">
        <v>198</v>
      </c>
      <c r="D3430">
        <v>6369</v>
      </c>
      <c r="E3430" s="1"/>
      <c r="F3430" s="1" t="s">
        <v>333</v>
      </c>
      <c r="G3430" s="1" t="s">
        <v>334</v>
      </c>
      <c r="H3430" s="1" t="s">
        <v>1405</v>
      </c>
      <c r="I3430">
        <v>2011</v>
      </c>
      <c r="J3430" s="93">
        <v>2311.7800000000002</v>
      </c>
      <c r="K3430">
        <v>5</v>
      </c>
      <c r="L3430" s="1" t="s">
        <v>411</v>
      </c>
      <c r="M3430">
        <v>0</v>
      </c>
      <c r="N3430">
        <v>110</v>
      </c>
      <c r="O3430">
        <v>20.997093</v>
      </c>
      <c r="P3430">
        <v>2</v>
      </c>
      <c r="Q3430" s="1" t="s">
        <v>569</v>
      </c>
      <c r="R3430" s="93">
        <v>2311.7800000000002</v>
      </c>
      <c r="S3430">
        <v>1084.22</v>
      </c>
      <c r="T3430">
        <v>0</v>
      </c>
      <c r="U3430" s="1" t="s">
        <v>1083</v>
      </c>
      <c r="V3430" s="1" t="s">
        <v>1336</v>
      </c>
      <c r="W3430">
        <v>2311.7734999999998</v>
      </c>
      <c r="X3430">
        <v>0</v>
      </c>
      <c r="Y3430">
        <v>62718</v>
      </c>
    </row>
    <row r="3431" spans="1:25" ht="15" hidden="1" customHeight="1" x14ac:dyDescent="0.25">
      <c r="A3431" s="1" t="s">
        <v>37</v>
      </c>
      <c r="B3431" s="1" t="s">
        <v>82</v>
      </c>
      <c r="C3431" s="1" t="s">
        <v>198</v>
      </c>
      <c r="D3431">
        <v>6369</v>
      </c>
      <c r="E3431" s="1"/>
      <c r="F3431" s="1" t="s">
        <v>333</v>
      </c>
      <c r="G3431" s="1" t="s">
        <v>334</v>
      </c>
      <c r="H3431" s="1" t="s">
        <v>1405</v>
      </c>
      <c r="I3431">
        <v>2010</v>
      </c>
      <c r="J3431" s="93">
        <v>2856.28</v>
      </c>
      <c r="K3431">
        <v>3</v>
      </c>
      <c r="L3431" s="1" t="s">
        <v>411</v>
      </c>
      <c r="M3431">
        <v>0</v>
      </c>
      <c r="N3431">
        <v>110</v>
      </c>
      <c r="O3431">
        <v>25.942596999999999</v>
      </c>
      <c r="P3431">
        <v>2</v>
      </c>
      <c r="Q3431" s="1" t="s">
        <v>569</v>
      </c>
      <c r="R3431" s="93">
        <v>2856.28</v>
      </c>
      <c r="S3431">
        <v>1339.62</v>
      </c>
      <c r="T3431">
        <v>0</v>
      </c>
      <c r="U3431" s="1" t="s">
        <v>1083</v>
      </c>
      <c r="V3431" s="1" t="s">
        <v>1336</v>
      </c>
      <c r="W3431">
        <v>2856.28206</v>
      </c>
      <c r="X3431">
        <v>0</v>
      </c>
      <c r="Y3431">
        <v>62718</v>
      </c>
    </row>
    <row r="3432" spans="1:25" ht="15" hidden="1" customHeight="1" x14ac:dyDescent="0.25">
      <c r="A3432" s="1" t="s">
        <v>37</v>
      </c>
      <c r="B3432" s="1" t="s">
        <v>82</v>
      </c>
      <c r="C3432" s="1" t="s">
        <v>198</v>
      </c>
      <c r="D3432">
        <v>6369</v>
      </c>
      <c r="E3432" s="1"/>
      <c r="F3432" s="1" t="s">
        <v>333</v>
      </c>
      <c r="G3432" s="1" t="s">
        <v>334</v>
      </c>
      <c r="H3432" s="1" t="s">
        <v>1405</v>
      </c>
      <c r="I3432">
        <v>2009</v>
      </c>
      <c r="J3432" s="93">
        <v>3474.76</v>
      </c>
      <c r="K3432">
        <v>4</v>
      </c>
      <c r="L3432" s="1" t="s">
        <v>411</v>
      </c>
      <c r="M3432">
        <v>0</v>
      </c>
      <c r="N3432">
        <v>110</v>
      </c>
      <c r="O3432">
        <v>31.560036</v>
      </c>
      <c r="P3432">
        <v>2</v>
      </c>
      <c r="Q3432" s="1" t="s">
        <v>569</v>
      </c>
      <c r="R3432" s="93">
        <v>3474.76</v>
      </c>
      <c r="S3432">
        <v>1629.69</v>
      </c>
      <c r="T3432">
        <v>0</v>
      </c>
      <c r="U3432" s="1" t="s">
        <v>1083</v>
      </c>
      <c r="V3432" s="1" t="s">
        <v>1336</v>
      </c>
      <c r="W3432">
        <v>3474.7777700000001</v>
      </c>
      <c r="X3432">
        <v>0</v>
      </c>
      <c r="Y3432">
        <v>62718</v>
      </c>
    </row>
    <row r="3433" spans="1:25" ht="15" hidden="1" customHeight="1" x14ac:dyDescent="0.25">
      <c r="A3433" s="1" t="s">
        <v>37</v>
      </c>
      <c r="B3433" s="1" t="s">
        <v>82</v>
      </c>
      <c r="C3433" s="1" t="s">
        <v>198</v>
      </c>
      <c r="D3433">
        <v>6369</v>
      </c>
      <c r="E3433" s="1"/>
      <c r="F3433" s="1" t="s">
        <v>333</v>
      </c>
      <c r="G3433" s="1" t="s">
        <v>334</v>
      </c>
      <c r="H3433" s="1" t="s">
        <v>1405</v>
      </c>
      <c r="I3433">
        <v>2008</v>
      </c>
      <c r="J3433" s="93">
        <v>3231.22</v>
      </c>
      <c r="K3433">
        <v>10</v>
      </c>
      <c r="L3433" s="1" t="s">
        <v>411</v>
      </c>
      <c r="M3433">
        <v>0</v>
      </c>
      <c r="N3433">
        <v>110</v>
      </c>
      <c r="O3433">
        <v>29.348047000000001</v>
      </c>
      <c r="P3433">
        <v>2</v>
      </c>
      <c r="Q3433" s="1" t="s">
        <v>569</v>
      </c>
      <c r="R3433" s="93">
        <v>3231.22</v>
      </c>
      <c r="S3433">
        <v>1515.44</v>
      </c>
      <c r="T3433">
        <v>0</v>
      </c>
      <c r="U3433" s="1" t="s">
        <v>1083</v>
      </c>
      <c r="V3433" s="1" t="s">
        <v>1336</v>
      </c>
      <c r="W3433">
        <v>3231.2222200000001</v>
      </c>
      <c r="X3433">
        <v>0</v>
      </c>
      <c r="Y3433">
        <v>62718</v>
      </c>
    </row>
    <row r="3434" spans="1:25" ht="15" customHeight="1" x14ac:dyDescent="0.25">
      <c r="A3434" s="1" t="s">
        <v>37</v>
      </c>
      <c r="B3434" s="1"/>
      <c r="C3434" s="1" t="s">
        <v>193</v>
      </c>
      <c r="D3434">
        <v>9220</v>
      </c>
      <c r="E3434" s="1"/>
      <c r="F3434" s="1" t="s">
        <v>322</v>
      </c>
      <c r="G3434" s="1" t="s">
        <v>1398</v>
      </c>
      <c r="H3434" s="1" t="s">
        <v>1405</v>
      </c>
      <c r="I3434">
        <v>2015</v>
      </c>
      <c r="J3434" s="93">
        <v>172284</v>
      </c>
      <c r="K3434">
        <v>5</v>
      </c>
      <c r="L3434" s="1" t="s">
        <v>448</v>
      </c>
      <c r="M3434">
        <v>0</v>
      </c>
      <c r="N3434">
        <v>7549</v>
      </c>
      <c r="O3434">
        <v>11.215332</v>
      </c>
      <c r="P3434">
        <v>2</v>
      </c>
      <c r="Q3434" s="1" t="s">
        <v>569</v>
      </c>
      <c r="R3434" s="93">
        <v>84665.67</v>
      </c>
      <c r="S3434">
        <v>25399.7</v>
      </c>
      <c r="T3434">
        <v>0</v>
      </c>
      <c r="U3434" s="1" t="s">
        <v>1074</v>
      </c>
      <c r="V3434" s="1"/>
      <c r="W3434">
        <v>84665.666509999995</v>
      </c>
      <c r="X3434">
        <v>0</v>
      </c>
      <c r="Y3434">
        <v>78606</v>
      </c>
    </row>
    <row r="3435" spans="1:25" ht="15" customHeight="1" x14ac:dyDescent="0.25">
      <c r="A3435" s="1" t="s">
        <v>37</v>
      </c>
      <c r="B3435" s="1"/>
      <c r="C3435" s="1" t="s">
        <v>193</v>
      </c>
      <c r="D3435">
        <v>11000</v>
      </c>
      <c r="E3435" s="1"/>
      <c r="F3435" s="1" t="s">
        <v>323</v>
      </c>
      <c r="G3435" s="1" t="s">
        <v>1398</v>
      </c>
      <c r="H3435" s="1" t="s">
        <v>1405</v>
      </c>
      <c r="I3435">
        <v>2015</v>
      </c>
      <c r="J3435" s="93">
        <v>2145</v>
      </c>
      <c r="K3435">
        <v>3</v>
      </c>
      <c r="L3435" s="1" t="s">
        <v>421</v>
      </c>
      <c r="M3435">
        <v>0</v>
      </c>
      <c r="N3435">
        <v>652</v>
      </c>
      <c r="O3435">
        <v>1.318816</v>
      </c>
      <c r="P3435">
        <v>2</v>
      </c>
      <c r="Q3435" s="1" t="s">
        <v>569</v>
      </c>
      <c r="R3435" s="93">
        <v>860</v>
      </c>
      <c r="S3435">
        <v>258</v>
      </c>
      <c r="T3435">
        <v>0</v>
      </c>
      <c r="U3435" s="1" t="s">
        <v>1075</v>
      </c>
      <c r="V3435" s="1" t="s">
        <v>1330</v>
      </c>
      <c r="W3435">
        <v>860</v>
      </c>
      <c r="X3435">
        <v>0</v>
      </c>
      <c r="Y3435">
        <v>79720</v>
      </c>
    </row>
    <row r="3436" spans="1:25" ht="15" hidden="1" customHeight="1" x14ac:dyDescent="0.25">
      <c r="A3436" s="1" t="s">
        <v>37</v>
      </c>
      <c r="B3436" s="1" t="s">
        <v>82</v>
      </c>
      <c r="C3436" s="1" t="s">
        <v>199</v>
      </c>
      <c r="D3436">
        <v>5474</v>
      </c>
      <c r="E3436" s="1"/>
      <c r="F3436" s="1" t="s">
        <v>334</v>
      </c>
      <c r="G3436" s="1" t="s">
        <v>334</v>
      </c>
      <c r="H3436" s="1" t="s">
        <v>1405</v>
      </c>
      <c r="I3436">
        <v>2012</v>
      </c>
      <c r="J3436" s="93">
        <v>179286.64</v>
      </c>
      <c r="K3436">
        <v>12</v>
      </c>
      <c r="L3436" s="1" t="s">
        <v>393</v>
      </c>
      <c r="M3436">
        <v>0</v>
      </c>
      <c r="N3436">
        <v>10600</v>
      </c>
      <c r="O3436">
        <v>16.913674</v>
      </c>
      <c r="P3436">
        <v>2</v>
      </c>
      <c r="Q3436" s="1" t="s">
        <v>569</v>
      </c>
      <c r="R3436" s="93">
        <v>179286.64</v>
      </c>
      <c r="S3436">
        <v>71714.649999999994</v>
      </c>
      <c r="T3436">
        <v>0</v>
      </c>
      <c r="U3436" s="1" t="s">
        <v>1084</v>
      </c>
      <c r="V3436" s="1" t="s">
        <v>1337</v>
      </c>
      <c r="W3436">
        <v>179286.639</v>
      </c>
      <c r="X3436">
        <v>0</v>
      </c>
      <c r="Y3436">
        <v>57910</v>
      </c>
    </row>
    <row r="3437" spans="1:25" ht="15" hidden="1" customHeight="1" x14ac:dyDescent="0.25">
      <c r="A3437" s="1" t="s">
        <v>37</v>
      </c>
      <c r="B3437" s="1" t="s">
        <v>82</v>
      </c>
      <c r="C3437" s="1" t="s">
        <v>199</v>
      </c>
      <c r="D3437">
        <v>5474</v>
      </c>
      <c r="E3437" s="1"/>
      <c r="F3437" s="1" t="s">
        <v>334</v>
      </c>
      <c r="G3437" s="1" t="s">
        <v>334</v>
      </c>
      <c r="H3437" s="1" t="s">
        <v>1405</v>
      </c>
      <c r="I3437">
        <v>2011</v>
      </c>
      <c r="J3437" s="93">
        <v>213137.63</v>
      </c>
      <c r="K3437">
        <v>12</v>
      </c>
      <c r="L3437" s="1" t="s">
        <v>393</v>
      </c>
      <c r="M3437">
        <v>0</v>
      </c>
      <c r="N3437">
        <v>10600</v>
      </c>
      <c r="O3437">
        <v>20.107133000000001</v>
      </c>
      <c r="P3437">
        <v>2</v>
      </c>
      <c r="Q3437" s="1" t="s">
        <v>569</v>
      </c>
      <c r="R3437" s="93">
        <v>213137.63</v>
      </c>
      <c r="S3437">
        <v>99961.54</v>
      </c>
      <c r="T3437">
        <v>0</v>
      </c>
      <c r="U3437" s="1" t="s">
        <v>1084</v>
      </c>
      <c r="V3437" s="1" t="s">
        <v>1337</v>
      </c>
      <c r="W3437">
        <v>213137.63</v>
      </c>
      <c r="X3437">
        <v>0</v>
      </c>
      <c r="Y3437">
        <v>57910</v>
      </c>
    </row>
    <row r="3438" spans="1:25" ht="15" hidden="1" customHeight="1" x14ac:dyDescent="0.25">
      <c r="A3438" s="1" t="s">
        <v>37</v>
      </c>
      <c r="B3438" s="1" t="s">
        <v>82</v>
      </c>
      <c r="C3438" s="1" t="s">
        <v>199</v>
      </c>
      <c r="D3438">
        <v>5474</v>
      </c>
      <c r="E3438" s="1"/>
      <c r="F3438" s="1" t="s">
        <v>334</v>
      </c>
      <c r="G3438" s="1" t="s">
        <v>334</v>
      </c>
      <c r="H3438" s="1" t="s">
        <v>1405</v>
      </c>
      <c r="I3438">
        <v>2010</v>
      </c>
      <c r="J3438" s="93">
        <v>233814.17</v>
      </c>
      <c r="K3438">
        <v>12</v>
      </c>
      <c r="L3438" s="1" t="s">
        <v>393</v>
      </c>
      <c r="M3438">
        <v>0</v>
      </c>
      <c r="N3438">
        <v>10600</v>
      </c>
      <c r="O3438">
        <v>22.057732000000001</v>
      </c>
      <c r="P3438">
        <v>2</v>
      </c>
      <c r="Q3438" s="1" t="s">
        <v>569</v>
      </c>
      <c r="R3438" s="93">
        <v>233814.17</v>
      </c>
      <c r="S3438">
        <v>109658.85</v>
      </c>
      <c r="T3438">
        <v>0</v>
      </c>
      <c r="U3438" s="1" t="s">
        <v>1084</v>
      </c>
      <c r="V3438" s="1" t="s">
        <v>1337</v>
      </c>
      <c r="W3438">
        <v>233814.17</v>
      </c>
      <c r="X3438">
        <v>0</v>
      </c>
      <c r="Y3438">
        <v>57910</v>
      </c>
    </row>
    <row r="3439" spans="1:25" ht="15" hidden="1" customHeight="1" x14ac:dyDescent="0.25">
      <c r="A3439" s="1" t="s">
        <v>37</v>
      </c>
      <c r="B3439" s="1" t="s">
        <v>82</v>
      </c>
      <c r="C3439" s="1" t="s">
        <v>199</v>
      </c>
      <c r="D3439">
        <v>5474</v>
      </c>
      <c r="E3439" s="1"/>
      <c r="F3439" s="1" t="s">
        <v>334</v>
      </c>
      <c r="G3439" s="1" t="s">
        <v>334</v>
      </c>
      <c r="H3439" s="1" t="s">
        <v>1405</v>
      </c>
      <c r="I3439">
        <v>2009</v>
      </c>
      <c r="J3439" s="93">
        <v>249709.16</v>
      </c>
      <c r="K3439">
        <v>12</v>
      </c>
      <c r="L3439" s="1" t="s">
        <v>393</v>
      </c>
      <c r="M3439">
        <v>0</v>
      </c>
      <c r="N3439">
        <v>10600</v>
      </c>
      <c r="O3439">
        <v>23.557245000000002</v>
      </c>
      <c r="P3439">
        <v>2</v>
      </c>
      <c r="Q3439" s="1" t="s">
        <v>569</v>
      </c>
      <c r="R3439" s="93">
        <v>249709.16</v>
      </c>
      <c r="S3439">
        <v>117113.59</v>
      </c>
      <c r="T3439">
        <v>0</v>
      </c>
      <c r="U3439" s="1" t="s">
        <v>1084</v>
      </c>
      <c r="V3439" s="1" t="s">
        <v>1337</v>
      </c>
      <c r="W3439">
        <v>249709.155</v>
      </c>
      <c r="X3439">
        <v>0</v>
      </c>
      <c r="Y3439">
        <v>57910</v>
      </c>
    </row>
    <row r="3440" spans="1:25" ht="15" hidden="1" customHeight="1" x14ac:dyDescent="0.25">
      <c r="A3440" s="1" t="s">
        <v>37</v>
      </c>
      <c r="B3440" s="1" t="s">
        <v>82</v>
      </c>
      <c r="C3440" s="1" t="s">
        <v>199</v>
      </c>
      <c r="D3440">
        <v>5474</v>
      </c>
      <c r="E3440" s="1"/>
      <c r="F3440" s="1" t="s">
        <v>334</v>
      </c>
      <c r="G3440" s="1" t="s">
        <v>334</v>
      </c>
      <c r="H3440" s="1" t="s">
        <v>1405</v>
      </c>
      <c r="I3440">
        <v>2008</v>
      </c>
      <c r="J3440" s="93">
        <v>253384.8</v>
      </c>
      <c r="K3440">
        <v>12</v>
      </c>
      <c r="L3440" s="1" t="s">
        <v>393</v>
      </c>
      <c r="M3440">
        <v>0</v>
      </c>
      <c r="N3440">
        <v>10600</v>
      </c>
      <c r="O3440">
        <v>23.904</v>
      </c>
      <c r="P3440">
        <v>2</v>
      </c>
      <c r="Q3440" s="1" t="s">
        <v>569</v>
      </c>
      <c r="R3440" s="93">
        <v>253384.8</v>
      </c>
      <c r="S3440">
        <v>118837.47</v>
      </c>
      <c r="T3440">
        <v>0</v>
      </c>
      <c r="U3440" s="1" t="s">
        <v>1084</v>
      </c>
      <c r="V3440" s="1" t="s">
        <v>1337</v>
      </c>
      <c r="W3440">
        <v>253384.8</v>
      </c>
      <c r="X3440">
        <v>0</v>
      </c>
      <c r="Y3440">
        <v>57910</v>
      </c>
    </row>
    <row r="3441" spans="1:25" ht="15" hidden="1" customHeight="1" x14ac:dyDescent="0.25">
      <c r="A3441" s="1" t="s">
        <v>37</v>
      </c>
      <c r="B3441" s="1"/>
      <c r="C3441" s="1" t="s">
        <v>194</v>
      </c>
      <c r="D3441">
        <v>14253</v>
      </c>
      <c r="E3441" s="1" t="s">
        <v>243</v>
      </c>
      <c r="F3441" s="1" t="s">
        <v>325</v>
      </c>
      <c r="G3441" s="1" t="s">
        <v>194</v>
      </c>
      <c r="H3441" s="1" t="s">
        <v>1405</v>
      </c>
      <c r="I3441">
        <v>2015</v>
      </c>
      <c r="J3441" s="93">
        <v>239967</v>
      </c>
      <c r="K3441">
        <v>5</v>
      </c>
      <c r="L3441" s="1" t="s">
        <v>478</v>
      </c>
      <c r="M3441">
        <v>0</v>
      </c>
      <c r="N3441">
        <v>6105</v>
      </c>
      <c r="O3441">
        <v>16.757477999999999</v>
      </c>
      <c r="P3441">
        <v>2</v>
      </c>
      <c r="Q3441" s="1" t="s">
        <v>569</v>
      </c>
      <c r="R3441" s="93">
        <v>102306.08</v>
      </c>
      <c r="S3441">
        <v>30691.83</v>
      </c>
      <c r="T3441">
        <v>0</v>
      </c>
      <c r="U3441" s="1" t="s">
        <v>1076</v>
      </c>
      <c r="V3441" s="1" t="s">
        <v>1331</v>
      </c>
      <c r="W3441">
        <v>102306.08</v>
      </c>
      <c r="X3441">
        <v>0</v>
      </c>
      <c r="Y3441">
        <v>72734</v>
      </c>
    </row>
    <row r="3442" spans="1:25" ht="15" hidden="1" customHeight="1" x14ac:dyDescent="0.25">
      <c r="A3442" s="1" t="s">
        <v>37</v>
      </c>
      <c r="B3442" s="1"/>
      <c r="C3442" s="1" t="s">
        <v>195</v>
      </c>
      <c r="D3442">
        <v>9518</v>
      </c>
      <c r="E3442" s="1"/>
      <c r="F3442" s="1" t="s">
        <v>327</v>
      </c>
      <c r="G3442" s="1" t="s">
        <v>195</v>
      </c>
      <c r="H3442" s="1" t="s">
        <v>1405</v>
      </c>
      <c r="I3442">
        <v>2015</v>
      </c>
      <c r="J3442" s="93">
        <v>53986</v>
      </c>
      <c r="K3442">
        <v>5</v>
      </c>
      <c r="L3442" s="1"/>
      <c r="M3442">
        <v>0</v>
      </c>
      <c r="N3442">
        <v>2128</v>
      </c>
      <c r="O3442">
        <v>11.04433</v>
      </c>
      <c r="P3442">
        <v>2</v>
      </c>
      <c r="Q3442" s="1" t="s">
        <v>569</v>
      </c>
      <c r="R3442" s="93">
        <v>23503.439999999999</v>
      </c>
      <c r="S3442">
        <v>7051.04</v>
      </c>
      <c r="T3442">
        <v>0</v>
      </c>
      <c r="U3442" s="1" t="s">
        <v>1077</v>
      </c>
      <c r="V3442" s="1" t="s">
        <v>1332</v>
      </c>
      <c r="W3442">
        <v>23503.439999999999</v>
      </c>
      <c r="X3442">
        <v>0</v>
      </c>
      <c r="Y3442">
        <v>74428</v>
      </c>
    </row>
    <row r="3443" spans="1:25" ht="15" hidden="1" customHeight="1" x14ac:dyDescent="0.25">
      <c r="A3443" s="1" t="s">
        <v>37</v>
      </c>
      <c r="B3443" s="1"/>
      <c r="C3443" s="1" t="s">
        <v>238</v>
      </c>
      <c r="D3443">
        <v>5534</v>
      </c>
      <c r="E3443" s="1"/>
      <c r="F3443" s="1" t="s">
        <v>385</v>
      </c>
      <c r="G3443" s="1" t="s">
        <v>238</v>
      </c>
      <c r="H3443" s="1" t="s">
        <v>1405</v>
      </c>
      <c r="I3443">
        <v>2012</v>
      </c>
      <c r="J3443" s="93">
        <v>16000.57</v>
      </c>
      <c r="K3443">
        <v>12</v>
      </c>
      <c r="L3443" s="1" t="s">
        <v>543</v>
      </c>
      <c r="M3443">
        <v>0</v>
      </c>
      <c r="N3443">
        <v>1021</v>
      </c>
      <c r="O3443">
        <v>15.669934</v>
      </c>
      <c r="P3443">
        <v>2</v>
      </c>
      <c r="Q3443" s="1" t="s">
        <v>569</v>
      </c>
      <c r="R3443" s="93">
        <v>16000.57</v>
      </c>
      <c r="S3443">
        <v>6400.24</v>
      </c>
      <c r="T3443">
        <v>0</v>
      </c>
      <c r="U3443" s="1" t="s">
        <v>1085</v>
      </c>
      <c r="V3443" s="1"/>
      <c r="W3443">
        <v>16000.57</v>
      </c>
      <c r="X3443">
        <v>0</v>
      </c>
      <c r="Y3443">
        <v>58251</v>
      </c>
    </row>
    <row r="3444" spans="1:25" ht="15" hidden="1" customHeight="1" x14ac:dyDescent="0.25">
      <c r="A3444" s="1" t="s">
        <v>37</v>
      </c>
      <c r="B3444" s="1"/>
      <c r="C3444" s="1" t="s">
        <v>238</v>
      </c>
      <c r="D3444">
        <v>5534</v>
      </c>
      <c r="E3444" s="1"/>
      <c r="F3444" s="1" t="s">
        <v>385</v>
      </c>
      <c r="G3444" s="1" t="s">
        <v>238</v>
      </c>
      <c r="H3444" s="1" t="s">
        <v>1405</v>
      </c>
      <c r="I3444">
        <v>2011</v>
      </c>
      <c r="J3444" s="93">
        <v>17378.689999999999</v>
      </c>
      <c r="K3444">
        <v>12</v>
      </c>
      <c r="L3444" s="1" t="s">
        <v>543</v>
      </c>
      <c r="M3444">
        <v>0</v>
      </c>
      <c r="N3444">
        <v>1021</v>
      </c>
      <c r="O3444">
        <v>17.019576000000001</v>
      </c>
      <c r="P3444">
        <v>2</v>
      </c>
      <c r="Q3444" s="1" t="s">
        <v>569</v>
      </c>
      <c r="R3444" s="93">
        <v>17378.689999999999</v>
      </c>
      <c r="S3444">
        <v>8150.59</v>
      </c>
      <c r="T3444">
        <v>0</v>
      </c>
      <c r="U3444" s="1" t="s">
        <v>1085</v>
      </c>
      <c r="V3444" s="1"/>
      <c r="W3444">
        <v>17378.689999999999</v>
      </c>
      <c r="X3444">
        <v>0</v>
      </c>
      <c r="Y3444">
        <v>58251</v>
      </c>
    </row>
    <row r="3445" spans="1:25" ht="15" hidden="1" customHeight="1" x14ac:dyDescent="0.25">
      <c r="A3445" s="1" t="s">
        <v>37</v>
      </c>
      <c r="B3445" s="1"/>
      <c r="C3445" s="1" t="s">
        <v>238</v>
      </c>
      <c r="D3445">
        <v>5534</v>
      </c>
      <c r="E3445" s="1"/>
      <c r="F3445" s="1" t="s">
        <v>385</v>
      </c>
      <c r="G3445" s="1" t="s">
        <v>238</v>
      </c>
      <c r="H3445" s="1" t="s">
        <v>1405</v>
      </c>
      <c r="I3445">
        <v>2010</v>
      </c>
      <c r="J3445" s="93">
        <v>20724.22</v>
      </c>
      <c r="K3445">
        <v>12</v>
      </c>
      <c r="L3445" s="1" t="s">
        <v>543</v>
      </c>
      <c r="M3445">
        <v>0</v>
      </c>
      <c r="N3445">
        <v>1021</v>
      </c>
      <c r="O3445">
        <v>20.295974000000001</v>
      </c>
      <c r="P3445">
        <v>2</v>
      </c>
      <c r="Q3445" s="1" t="s">
        <v>569</v>
      </c>
      <c r="R3445" s="93">
        <v>20724.22</v>
      </c>
      <c r="S3445">
        <v>9719.66</v>
      </c>
      <c r="T3445">
        <v>0</v>
      </c>
      <c r="U3445" s="1" t="s">
        <v>1085</v>
      </c>
      <c r="V3445" s="1"/>
      <c r="W3445">
        <v>20724.22</v>
      </c>
      <c r="X3445">
        <v>0</v>
      </c>
      <c r="Y3445">
        <v>58251</v>
      </c>
    </row>
    <row r="3446" spans="1:25" ht="15" hidden="1" customHeight="1" x14ac:dyDescent="0.25">
      <c r="A3446" s="1" t="s">
        <v>37</v>
      </c>
      <c r="B3446" s="1"/>
      <c r="C3446" s="1" t="s">
        <v>238</v>
      </c>
      <c r="D3446">
        <v>5534</v>
      </c>
      <c r="E3446" s="1"/>
      <c r="F3446" s="1" t="s">
        <v>385</v>
      </c>
      <c r="G3446" s="1" t="s">
        <v>238</v>
      </c>
      <c r="H3446" s="1" t="s">
        <v>1405</v>
      </c>
      <c r="I3446">
        <v>2009</v>
      </c>
      <c r="J3446" s="93">
        <v>22612.33</v>
      </c>
      <c r="K3446">
        <v>12</v>
      </c>
      <c r="L3446" s="1" t="s">
        <v>543</v>
      </c>
      <c r="M3446">
        <v>0</v>
      </c>
      <c r="N3446">
        <v>1021</v>
      </c>
      <c r="O3446">
        <v>22.145068999999999</v>
      </c>
      <c r="P3446">
        <v>2</v>
      </c>
      <c r="Q3446" s="1" t="s">
        <v>569</v>
      </c>
      <c r="R3446" s="93">
        <v>22612.33</v>
      </c>
      <c r="S3446">
        <v>10605.17</v>
      </c>
      <c r="T3446">
        <v>0</v>
      </c>
      <c r="U3446" s="1" t="s">
        <v>1085</v>
      </c>
      <c r="V3446" s="1"/>
      <c r="W3446">
        <v>22612.33</v>
      </c>
      <c r="X3446">
        <v>0</v>
      </c>
      <c r="Y3446">
        <v>58251</v>
      </c>
    </row>
    <row r="3447" spans="1:25" ht="15" hidden="1" customHeight="1" x14ac:dyDescent="0.25">
      <c r="A3447" s="1" t="s">
        <v>37</v>
      </c>
      <c r="B3447" s="1"/>
      <c r="C3447" s="1" t="s">
        <v>238</v>
      </c>
      <c r="D3447">
        <v>5534</v>
      </c>
      <c r="E3447" s="1"/>
      <c r="F3447" s="1" t="s">
        <v>385</v>
      </c>
      <c r="G3447" s="1" t="s">
        <v>238</v>
      </c>
      <c r="H3447" s="1" t="s">
        <v>1405</v>
      </c>
      <c r="I3447">
        <v>2008</v>
      </c>
      <c r="J3447" s="93">
        <v>21267.87</v>
      </c>
      <c r="K3447">
        <v>12</v>
      </c>
      <c r="L3447" s="1" t="s">
        <v>543</v>
      </c>
      <c r="M3447">
        <v>0</v>
      </c>
      <c r="N3447">
        <v>1021</v>
      </c>
      <c r="O3447">
        <v>20.828389999999999</v>
      </c>
      <c r="P3447">
        <v>2</v>
      </c>
      <c r="Q3447" s="1" t="s">
        <v>569</v>
      </c>
      <c r="R3447" s="93">
        <v>21267.87</v>
      </c>
      <c r="S3447">
        <v>9974.64</v>
      </c>
      <c r="T3447">
        <v>0</v>
      </c>
      <c r="U3447" s="1" t="s">
        <v>1085</v>
      </c>
      <c r="V3447" s="1"/>
      <c r="W3447">
        <v>21267.87</v>
      </c>
      <c r="X3447">
        <v>0</v>
      </c>
      <c r="Y3447">
        <v>58251</v>
      </c>
    </row>
    <row r="3448" spans="1:25" ht="15" hidden="1" customHeight="1" x14ac:dyDescent="0.25">
      <c r="A3448" s="1" t="s">
        <v>37</v>
      </c>
      <c r="B3448" s="1"/>
      <c r="C3448" s="1" t="s">
        <v>195</v>
      </c>
      <c r="D3448">
        <v>9519</v>
      </c>
      <c r="E3448" s="1"/>
      <c r="F3448" s="1" t="s">
        <v>328</v>
      </c>
      <c r="G3448" s="1" t="s">
        <v>195</v>
      </c>
      <c r="H3448" s="1" t="s">
        <v>1405</v>
      </c>
      <c r="I3448">
        <v>2015</v>
      </c>
      <c r="J3448" s="93"/>
      <c r="K3448">
        <v>5</v>
      </c>
      <c r="L3448" s="1"/>
      <c r="M3448">
        <v>0</v>
      </c>
      <c r="N3448">
        <v>353</v>
      </c>
      <c r="O3448">
        <v>11.273434999999999</v>
      </c>
      <c r="P3448">
        <v>2</v>
      </c>
      <c r="Q3448" s="1" t="s">
        <v>569</v>
      </c>
      <c r="R3448" s="93">
        <v>3980.65</v>
      </c>
      <c r="S3448">
        <v>1194.2</v>
      </c>
      <c r="T3448">
        <v>1</v>
      </c>
      <c r="U3448" s="1"/>
      <c r="V3448" s="1"/>
      <c r="W3448">
        <v>3980.6500999999998</v>
      </c>
      <c r="X3448">
        <v>0</v>
      </c>
      <c r="Y3448">
        <v>74431</v>
      </c>
    </row>
    <row r="3449" spans="1:25" ht="15" hidden="1" customHeight="1" x14ac:dyDescent="0.25">
      <c r="A3449" s="1" t="s">
        <v>37</v>
      </c>
      <c r="B3449" s="1" t="s">
        <v>81</v>
      </c>
      <c r="C3449" s="1" t="s">
        <v>196</v>
      </c>
      <c r="D3449">
        <v>5481</v>
      </c>
      <c r="E3449" s="1"/>
      <c r="F3449" s="1" t="s">
        <v>330</v>
      </c>
      <c r="G3449" s="1" t="s">
        <v>1399</v>
      </c>
      <c r="H3449" s="1" t="s">
        <v>1405</v>
      </c>
      <c r="I3449">
        <v>2015</v>
      </c>
      <c r="J3449" s="93">
        <v>42622</v>
      </c>
      <c r="K3449">
        <v>5</v>
      </c>
      <c r="L3449" s="1" t="s">
        <v>402</v>
      </c>
      <c r="M3449">
        <v>0</v>
      </c>
      <c r="N3449">
        <v>1273</v>
      </c>
      <c r="O3449">
        <v>6.5381429999999998</v>
      </c>
      <c r="P3449">
        <v>2</v>
      </c>
      <c r="Q3449" s="1" t="s">
        <v>569</v>
      </c>
      <c r="R3449" s="93">
        <v>8323.7099999999991</v>
      </c>
      <c r="S3449">
        <v>3329.49</v>
      </c>
      <c r="T3449">
        <v>0</v>
      </c>
      <c r="U3449" s="1" t="s">
        <v>1078</v>
      </c>
      <c r="V3449" s="1" t="s">
        <v>1333</v>
      </c>
      <c r="W3449">
        <v>8323.7099999999991</v>
      </c>
      <c r="X3449">
        <v>0</v>
      </c>
      <c r="Y3449">
        <v>57944</v>
      </c>
    </row>
    <row r="3450" spans="1:25" ht="15" hidden="1" customHeight="1" x14ac:dyDescent="0.25">
      <c r="A3450" s="1" t="s">
        <v>37</v>
      </c>
      <c r="B3450" s="1" t="s">
        <v>66</v>
      </c>
      <c r="C3450" s="1" t="s">
        <v>200</v>
      </c>
      <c r="D3450">
        <v>5471</v>
      </c>
      <c r="E3450" s="1"/>
      <c r="F3450" s="1" t="s">
        <v>335</v>
      </c>
      <c r="G3450" s="1" t="s">
        <v>200</v>
      </c>
      <c r="H3450" s="1" t="s">
        <v>1405</v>
      </c>
      <c r="I3450">
        <v>2012</v>
      </c>
      <c r="J3450" s="93">
        <v>296276.99</v>
      </c>
      <c r="K3450">
        <v>12</v>
      </c>
      <c r="L3450" s="1" t="s">
        <v>402</v>
      </c>
      <c r="M3450">
        <v>0</v>
      </c>
      <c r="N3450">
        <v>8656</v>
      </c>
      <c r="O3450">
        <v>34.227536999999998</v>
      </c>
      <c r="P3450">
        <v>2</v>
      </c>
      <c r="Q3450" s="1" t="s">
        <v>569</v>
      </c>
      <c r="R3450" s="93">
        <v>296276.99</v>
      </c>
      <c r="S3450">
        <v>118510.78</v>
      </c>
      <c r="T3450">
        <v>0</v>
      </c>
      <c r="U3450" s="1" t="s">
        <v>1086</v>
      </c>
      <c r="V3450" s="1" t="s">
        <v>1338</v>
      </c>
      <c r="W3450">
        <v>296276.99</v>
      </c>
      <c r="X3450">
        <v>0</v>
      </c>
      <c r="Y3450">
        <v>57890</v>
      </c>
    </row>
    <row r="3451" spans="1:25" ht="15" hidden="1" customHeight="1" x14ac:dyDescent="0.25">
      <c r="A3451" s="1" t="s">
        <v>37</v>
      </c>
      <c r="B3451" s="1" t="s">
        <v>66</v>
      </c>
      <c r="C3451" s="1" t="s">
        <v>200</v>
      </c>
      <c r="D3451">
        <v>5471</v>
      </c>
      <c r="E3451" s="1"/>
      <c r="F3451" s="1" t="s">
        <v>335</v>
      </c>
      <c r="G3451" s="1" t="s">
        <v>200</v>
      </c>
      <c r="H3451" s="1" t="s">
        <v>1405</v>
      </c>
      <c r="I3451">
        <v>2011</v>
      </c>
      <c r="J3451" s="93">
        <v>423317.69</v>
      </c>
      <c r="K3451">
        <v>12</v>
      </c>
      <c r="L3451" s="1" t="s">
        <v>402</v>
      </c>
      <c r="M3451">
        <v>0</v>
      </c>
      <c r="N3451">
        <v>8656</v>
      </c>
      <c r="O3451">
        <v>48.903973999999998</v>
      </c>
      <c r="P3451">
        <v>2</v>
      </c>
      <c r="Q3451" s="1" t="s">
        <v>569</v>
      </c>
      <c r="R3451" s="93">
        <v>423317.69</v>
      </c>
      <c r="S3451">
        <v>198536</v>
      </c>
      <c r="T3451">
        <v>0</v>
      </c>
      <c r="U3451" s="1" t="s">
        <v>1086</v>
      </c>
      <c r="V3451" s="1" t="s">
        <v>1338</v>
      </c>
      <c r="W3451">
        <v>423317.69099999999</v>
      </c>
      <c r="X3451">
        <v>0</v>
      </c>
      <c r="Y3451">
        <v>57890</v>
      </c>
    </row>
    <row r="3452" spans="1:25" ht="15" hidden="1" customHeight="1" x14ac:dyDescent="0.25">
      <c r="A3452" s="1" t="s">
        <v>37</v>
      </c>
      <c r="B3452" s="1" t="s">
        <v>66</v>
      </c>
      <c r="C3452" s="1" t="s">
        <v>200</v>
      </c>
      <c r="D3452">
        <v>5471</v>
      </c>
      <c r="E3452" s="1"/>
      <c r="F3452" s="1" t="s">
        <v>335</v>
      </c>
      <c r="G3452" s="1" t="s">
        <v>200</v>
      </c>
      <c r="H3452" s="1" t="s">
        <v>1405</v>
      </c>
      <c r="I3452">
        <v>2010</v>
      </c>
      <c r="J3452" s="93">
        <v>587872.5</v>
      </c>
      <c r="K3452">
        <v>12</v>
      </c>
      <c r="L3452" s="1" t="s">
        <v>402</v>
      </c>
      <c r="M3452">
        <v>0</v>
      </c>
      <c r="N3452">
        <v>8656</v>
      </c>
      <c r="O3452">
        <v>67.914244999999994</v>
      </c>
      <c r="P3452">
        <v>2</v>
      </c>
      <c r="Q3452" s="1" t="s">
        <v>569</v>
      </c>
      <c r="R3452" s="93">
        <v>587872.5</v>
      </c>
      <c r="S3452">
        <v>275712.21000000002</v>
      </c>
      <c r="T3452">
        <v>0</v>
      </c>
      <c r="U3452" s="1" t="s">
        <v>1086</v>
      </c>
      <c r="V3452" s="1" t="s">
        <v>1338</v>
      </c>
      <c r="W3452">
        <v>587872.5</v>
      </c>
      <c r="X3452">
        <v>0</v>
      </c>
      <c r="Y3452">
        <v>57890</v>
      </c>
    </row>
    <row r="3453" spans="1:25" ht="15" hidden="1" customHeight="1" x14ac:dyDescent="0.25">
      <c r="A3453" s="1" t="s">
        <v>37</v>
      </c>
      <c r="B3453" s="1" t="s">
        <v>66</v>
      </c>
      <c r="C3453" s="1" t="s">
        <v>200</v>
      </c>
      <c r="D3453">
        <v>5471</v>
      </c>
      <c r="E3453" s="1"/>
      <c r="F3453" s="1" t="s">
        <v>335</v>
      </c>
      <c r="G3453" s="1" t="s">
        <v>200</v>
      </c>
      <c r="H3453" s="1" t="s">
        <v>1405</v>
      </c>
      <c r="I3453">
        <v>2009</v>
      </c>
      <c r="J3453" s="93">
        <v>584792.52</v>
      </c>
      <c r="K3453">
        <v>12</v>
      </c>
      <c r="L3453" s="1" t="s">
        <v>402</v>
      </c>
      <c r="M3453">
        <v>0</v>
      </c>
      <c r="N3453">
        <v>8656</v>
      </c>
      <c r="O3453">
        <v>67.558429000000004</v>
      </c>
      <c r="P3453">
        <v>2</v>
      </c>
      <c r="Q3453" s="1" t="s">
        <v>569</v>
      </c>
      <c r="R3453" s="93">
        <v>584792.52</v>
      </c>
      <c r="S3453">
        <v>274267.69</v>
      </c>
      <c r="T3453">
        <v>0</v>
      </c>
      <c r="U3453" s="1" t="s">
        <v>1086</v>
      </c>
      <c r="V3453" s="1" t="s">
        <v>1338</v>
      </c>
      <c r="W3453">
        <v>584792.52</v>
      </c>
      <c r="X3453">
        <v>0</v>
      </c>
      <c r="Y3453">
        <v>57890</v>
      </c>
    </row>
    <row r="3454" spans="1:25" ht="15" hidden="1" customHeight="1" x14ac:dyDescent="0.25">
      <c r="A3454" s="1" t="s">
        <v>37</v>
      </c>
      <c r="B3454" s="1" t="s">
        <v>66</v>
      </c>
      <c r="C3454" s="1" t="s">
        <v>200</v>
      </c>
      <c r="D3454">
        <v>5471</v>
      </c>
      <c r="E3454" s="1"/>
      <c r="F3454" s="1" t="s">
        <v>335</v>
      </c>
      <c r="G3454" s="1" t="s">
        <v>200</v>
      </c>
      <c r="H3454" s="1" t="s">
        <v>1405</v>
      </c>
      <c r="I3454">
        <v>2008</v>
      </c>
      <c r="J3454" s="93">
        <v>598843.44999999995</v>
      </c>
      <c r="K3454">
        <v>12</v>
      </c>
      <c r="L3454" s="1" t="s">
        <v>402</v>
      </c>
      <c r="M3454">
        <v>0</v>
      </c>
      <c r="N3454">
        <v>8656</v>
      </c>
      <c r="O3454">
        <v>69.181668999999999</v>
      </c>
      <c r="P3454">
        <v>2</v>
      </c>
      <c r="Q3454" s="1" t="s">
        <v>569</v>
      </c>
      <c r="R3454" s="93">
        <v>598843.44999999995</v>
      </c>
      <c r="S3454">
        <v>280857.58</v>
      </c>
      <c r="T3454">
        <v>0</v>
      </c>
      <c r="U3454" s="1" t="s">
        <v>1086</v>
      </c>
      <c r="V3454" s="1" t="s">
        <v>1338</v>
      </c>
      <c r="W3454">
        <v>598843.44999999995</v>
      </c>
      <c r="X3454">
        <v>0</v>
      </c>
      <c r="Y3454">
        <v>57890</v>
      </c>
    </row>
    <row r="3455" spans="1:25" ht="15" hidden="1" customHeight="1" x14ac:dyDescent="0.25">
      <c r="A3455" s="1" t="s">
        <v>37</v>
      </c>
      <c r="B3455" s="1"/>
      <c r="C3455" s="1" t="s">
        <v>201</v>
      </c>
      <c r="D3455">
        <v>9223</v>
      </c>
      <c r="E3455" s="1"/>
      <c r="F3455" s="1" t="s">
        <v>336</v>
      </c>
      <c r="G3455" s="1" t="s">
        <v>336</v>
      </c>
      <c r="H3455" s="1" t="s">
        <v>1396</v>
      </c>
      <c r="I3455">
        <v>2015</v>
      </c>
      <c r="J3455" s="93">
        <v>-602.84</v>
      </c>
      <c r="K3455">
        <v>5</v>
      </c>
      <c r="L3455" s="1"/>
      <c r="M3455">
        <v>0</v>
      </c>
      <c r="N3455">
        <v>7936</v>
      </c>
      <c r="O3455">
        <v>-7.5961000000000001E-2</v>
      </c>
      <c r="P3455">
        <v>2</v>
      </c>
      <c r="Q3455" s="1" t="s">
        <v>570</v>
      </c>
      <c r="R3455" s="93">
        <v>-602.84</v>
      </c>
      <c r="S3455">
        <v>-282.73</v>
      </c>
      <c r="T3455">
        <v>0</v>
      </c>
      <c r="U3455" s="1" t="s">
        <v>1087</v>
      </c>
      <c r="V3455" s="1"/>
      <c r="W3455">
        <v>602.84</v>
      </c>
      <c r="X3455">
        <v>0</v>
      </c>
      <c r="Y3455">
        <v>96367</v>
      </c>
    </row>
    <row r="3456" spans="1:25" ht="15" hidden="1" customHeight="1" x14ac:dyDescent="0.25">
      <c r="A3456" s="1" t="s">
        <v>37</v>
      </c>
      <c r="B3456" s="1" t="s">
        <v>81</v>
      </c>
      <c r="C3456" s="1" t="s">
        <v>196</v>
      </c>
      <c r="D3456">
        <v>5479</v>
      </c>
      <c r="E3456" s="1"/>
      <c r="F3456" s="1" t="s">
        <v>331</v>
      </c>
      <c r="G3456" s="1" t="s">
        <v>1399</v>
      </c>
      <c r="H3456" s="1" t="s">
        <v>1405</v>
      </c>
      <c r="I3456">
        <v>2015</v>
      </c>
      <c r="J3456" s="93">
        <v>79169</v>
      </c>
      <c r="K3456">
        <v>5</v>
      </c>
      <c r="L3456" s="1" t="s">
        <v>402</v>
      </c>
      <c r="M3456">
        <v>0</v>
      </c>
      <c r="N3456">
        <v>6089</v>
      </c>
      <c r="O3456">
        <v>6.3139560000000001</v>
      </c>
      <c r="P3456">
        <v>2</v>
      </c>
      <c r="Q3456" s="1" t="s">
        <v>569</v>
      </c>
      <c r="R3456" s="93">
        <v>38446.31</v>
      </c>
      <c r="S3456">
        <v>15378.53</v>
      </c>
      <c r="T3456">
        <v>0</v>
      </c>
      <c r="U3456" s="1" t="s">
        <v>1079</v>
      </c>
      <c r="V3456" s="1" t="s">
        <v>1334</v>
      </c>
      <c r="W3456">
        <v>38446.310859999998</v>
      </c>
      <c r="X3456">
        <v>0</v>
      </c>
      <c r="Y3456">
        <v>57931</v>
      </c>
    </row>
    <row r="3457" spans="1:25" ht="15" hidden="1" customHeight="1" x14ac:dyDescent="0.25">
      <c r="A3457" s="1" t="s">
        <v>37</v>
      </c>
      <c r="B3457" s="1" t="s">
        <v>81</v>
      </c>
      <c r="C3457" s="1" t="s">
        <v>196</v>
      </c>
      <c r="D3457">
        <v>13265</v>
      </c>
      <c r="E3457" s="1"/>
      <c r="F3457" s="1" t="s">
        <v>384</v>
      </c>
      <c r="G3457" s="1" t="s">
        <v>1399</v>
      </c>
      <c r="H3457" s="1" t="s">
        <v>1405</v>
      </c>
      <c r="I3457">
        <v>2015</v>
      </c>
      <c r="J3457" s="93">
        <v>135363</v>
      </c>
      <c r="K3457">
        <v>5</v>
      </c>
      <c r="L3457" s="1"/>
      <c r="M3457">
        <v>0</v>
      </c>
      <c r="N3457">
        <v>3000</v>
      </c>
      <c r="O3457">
        <v>18.651033999999999</v>
      </c>
      <c r="P3457">
        <v>2</v>
      </c>
      <c r="Q3457" s="1" t="s">
        <v>569</v>
      </c>
      <c r="R3457" s="93">
        <v>55954.97</v>
      </c>
      <c r="S3457">
        <v>16786.5</v>
      </c>
      <c r="T3457">
        <v>0</v>
      </c>
      <c r="U3457" s="1" t="s">
        <v>1080</v>
      </c>
      <c r="V3457" s="1" t="s">
        <v>1335</v>
      </c>
      <c r="W3457">
        <v>55954.968000000001</v>
      </c>
      <c r="X3457">
        <v>0</v>
      </c>
      <c r="Y3457">
        <v>90713</v>
      </c>
    </row>
    <row r="3458" spans="1:25" ht="15" hidden="1" customHeight="1" x14ac:dyDescent="0.25">
      <c r="A3458" s="1" t="s">
        <v>37</v>
      </c>
      <c r="B3458" s="1"/>
      <c r="C3458" s="1" t="s">
        <v>201</v>
      </c>
      <c r="D3458">
        <v>9223</v>
      </c>
      <c r="E3458" s="1"/>
      <c r="F3458" s="1" t="s">
        <v>336</v>
      </c>
      <c r="G3458" s="1" t="s">
        <v>336</v>
      </c>
      <c r="H3458" s="1" t="s">
        <v>1396</v>
      </c>
      <c r="I3458">
        <v>2013</v>
      </c>
      <c r="J3458" s="93">
        <v>-427.87</v>
      </c>
      <c r="K3458">
        <v>12</v>
      </c>
      <c r="L3458" s="1"/>
      <c r="M3458">
        <v>0</v>
      </c>
      <c r="N3458">
        <v>7936</v>
      </c>
      <c r="O3458">
        <v>-5.3913999999999997E-2</v>
      </c>
      <c r="P3458">
        <v>2</v>
      </c>
      <c r="Q3458" s="1" t="s">
        <v>570</v>
      </c>
      <c r="R3458" s="93">
        <v>-427.87</v>
      </c>
      <c r="S3458">
        <v>-200.68</v>
      </c>
      <c r="T3458">
        <v>0</v>
      </c>
      <c r="U3458" s="1" t="s">
        <v>1087</v>
      </c>
      <c r="V3458" s="1"/>
      <c r="W3458">
        <v>427.87</v>
      </c>
      <c r="X3458">
        <v>0</v>
      </c>
      <c r="Y3458">
        <v>96367</v>
      </c>
    </row>
    <row r="3459" spans="1:25" ht="15" hidden="1" customHeight="1" x14ac:dyDescent="0.25">
      <c r="A3459" s="1" t="s">
        <v>37</v>
      </c>
      <c r="B3459" s="1"/>
      <c r="C3459" s="1" t="s">
        <v>201</v>
      </c>
      <c r="D3459">
        <v>9223</v>
      </c>
      <c r="E3459" s="1"/>
      <c r="F3459" s="1" t="s">
        <v>336</v>
      </c>
      <c r="G3459" s="1" t="s">
        <v>336</v>
      </c>
      <c r="H3459" s="1" t="s">
        <v>1405</v>
      </c>
      <c r="I3459">
        <v>2012</v>
      </c>
      <c r="J3459" s="93">
        <v>19556</v>
      </c>
      <c r="K3459">
        <v>3</v>
      </c>
      <c r="L3459" s="1" t="s">
        <v>527</v>
      </c>
      <c r="M3459">
        <v>0</v>
      </c>
      <c r="N3459">
        <v>7936</v>
      </c>
      <c r="O3459">
        <v>2.4641820000000001</v>
      </c>
      <c r="P3459">
        <v>2</v>
      </c>
      <c r="Q3459" s="1" t="s">
        <v>569</v>
      </c>
      <c r="R3459" s="93">
        <v>19556</v>
      </c>
      <c r="S3459">
        <v>7822.4</v>
      </c>
      <c r="T3459">
        <v>1</v>
      </c>
      <c r="U3459" s="1" t="s">
        <v>1088</v>
      </c>
      <c r="V3459" s="1"/>
      <c r="W3459">
        <v>19556</v>
      </c>
      <c r="X3459">
        <v>0</v>
      </c>
      <c r="Y3459">
        <v>88836</v>
      </c>
    </row>
    <row r="3460" spans="1:25" ht="15" hidden="1" customHeight="1" x14ac:dyDescent="0.25">
      <c r="A3460" s="1" t="s">
        <v>37</v>
      </c>
      <c r="B3460" s="1"/>
      <c r="C3460" s="1" t="s">
        <v>201</v>
      </c>
      <c r="D3460">
        <v>9223</v>
      </c>
      <c r="E3460" s="1"/>
      <c r="F3460" s="1" t="s">
        <v>336</v>
      </c>
      <c r="G3460" s="1" t="s">
        <v>336</v>
      </c>
      <c r="H3460" s="1" t="s">
        <v>1405</v>
      </c>
      <c r="I3460">
        <v>2012</v>
      </c>
      <c r="J3460" s="93">
        <v>29.21</v>
      </c>
      <c r="K3460">
        <v>2</v>
      </c>
      <c r="L3460" s="1" t="s">
        <v>544</v>
      </c>
      <c r="M3460">
        <v>0</v>
      </c>
      <c r="N3460">
        <v>7936</v>
      </c>
      <c r="O3460">
        <v>3.6800000000000001E-3</v>
      </c>
      <c r="P3460">
        <v>2</v>
      </c>
      <c r="Q3460" s="1" t="s">
        <v>569</v>
      </c>
      <c r="R3460" s="93">
        <v>29.21</v>
      </c>
      <c r="S3460">
        <v>13.7</v>
      </c>
      <c r="T3460">
        <v>1</v>
      </c>
      <c r="U3460" s="1" t="s">
        <v>1089</v>
      </c>
      <c r="V3460" s="1"/>
      <c r="W3460">
        <v>29.214289999999998</v>
      </c>
      <c r="X3460">
        <v>0</v>
      </c>
      <c r="Y3460">
        <v>89644</v>
      </c>
    </row>
    <row r="3461" spans="1:25" ht="15" hidden="1" customHeight="1" x14ac:dyDescent="0.25">
      <c r="A3461" s="1" t="s">
        <v>37</v>
      </c>
      <c r="B3461" s="1"/>
      <c r="C3461" s="1" t="s">
        <v>201</v>
      </c>
      <c r="D3461">
        <v>9223</v>
      </c>
      <c r="E3461" s="1"/>
      <c r="F3461" s="1" t="s">
        <v>336</v>
      </c>
      <c r="G3461" s="1" t="s">
        <v>336</v>
      </c>
      <c r="H3461" s="1" t="s">
        <v>1405</v>
      </c>
      <c r="I3461">
        <v>2012</v>
      </c>
      <c r="J3461" s="93">
        <v>1081</v>
      </c>
      <c r="K3461">
        <v>2</v>
      </c>
      <c r="L3461" s="1" t="s">
        <v>544</v>
      </c>
      <c r="M3461">
        <v>0</v>
      </c>
      <c r="N3461">
        <v>7936</v>
      </c>
      <c r="O3461">
        <v>0.136213</v>
      </c>
      <c r="P3461">
        <v>2</v>
      </c>
      <c r="Q3461" s="1" t="s">
        <v>569</v>
      </c>
      <c r="R3461" s="93">
        <v>1081</v>
      </c>
      <c r="S3461">
        <v>432.4</v>
      </c>
      <c r="T3461">
        <v>1</v>
      </c>
      <c r="U3461" s="1" t="s">
        <v>1090</v>
      </c>
      <c r="V3461" s="1"/>
      <c r="W3461">
        <v>1081</v>
      </c>
      <c r="X3461">
        <v>0</v>
      </c>
      <c r="Y3461">
        <v>90859</v>
      </c>
    </row>
    <row r="3462" spans="1:25" ht="15" hidden="1" customHeight="1" x14ac:dyDescent="0.25">
      <c r="A3462" s="1" t="s">
        <v>37</v>
      </c>
      <c r="B3462" s="1"/>
      <c r="C3462" s="1" t="s">
        <v>201</v>
      </c>
      <c r="D3462">
        <v>9223</v>
      </c>
      <c r="E3462" s="1"/>
      <c r="F3462" s="1" t="s">
        <v>336</v>
      </c>
      <c r="G3462" s="1" t="s">
        <v>336</v>
      </c>
      <c r="H3462" s="1" t="s">
        <v>1405</v>
      </c>
      <c r="I3462">
        <v>2012</v>
      </c>
      <c r="J3462" s="93">
        <v>950.27</v>
      </c>
      <c r="K3462">
        <v>2</v>
      </c>
      <c r="L3462" s="1" t="s">
        <v>544</v>
      </c>
      <c r="M3462">
        <v>0</v>
      </c>
      <c r="N3462">
        <v>7936</v>
      </c>
      <c r="O3462">
        <v>0.11974</v>
      </c>
      <c r="P3462">
        <v>2</v>
      </c>
      <c r="Q3462" s="1" t="s">
        <v>569</v>
      </c>
      <c r="R3462" s="93">
        <v>950.27</v>
      </c>
      <c r="S3462">
        <v>380.11</v>
      </c>
      <c r="T3462">
        <v>1</v>
      </c>
      <c r="U3462" s="1" t="s">
        <v>1091</v>
      </c>
      <c r="V3462" s="1"/>
      <c r="W3462">
        <v>950.27026999999998</v>
      </c>
      <c r="X3462">
        <v>0</v>
      </c>
      <c r="Y3462">
        <v>90860</v>
      </c>
    </row>
    <row r="3463" spans="1:25" ht="15" hidden="1" customHeight="1" x14ac:dyDescent="0.25">
      <c r="A3463" s="1" t="s">
        <v>37</v>
      </c>
      <c r="B3463" s="1"/>
      <c r="C3463" s="1" t="s">
        <v>201</v>
      </c>
      <c r="D3463">
        <v>9223</v>
      </c>
      <c r="E3463" s="1"/>
      <c r="F3463" s="1" t="s">
        <v>336</v>
      </c>
      <c r="G3463" s="1" t="s">
        <v>336</v>
      </c>
      <c r="H3463" s="1" t="s">
        <v>1405</v>
      </c>
      <c r="I3463">
        <v>2012</v>
      </c>
      <c r="J3463" s="93">
        <v>144451.42000000001</v>
      </c>
      <c r="K3463">
        <v>11</v>
      </c>
      <c r="L3463" s="1"/>
      <c r="M3463">
        <v>0</v>
      </c>
      <c r="N3463">
        <v>7936</v>
      </c>
      <c r="O3463">
        <v>18.201813999999999</v>
      </c>
      <c r="P3463">
        <v>2</v>
      </c>
      <c r="Q3463" s="1" t="s">
        <v>569</v>
      </c>
      <c r="R3463" s="93">
        <v>144451.42000000001</v>
      </c>
      <c r="S3463">
        <v>57780.56</v>
      </c>
      <c r="T3463">
        <v>0</v>
      </c>
      <c r="U3463" s="1"/>
      <c r="V3463" s="1"/>
      <c r="W3463">
        <v>144451.41803</v>
      </c>
      <c r="X3463">
        <v>0</v>
      </c>
      <c r="Y3463">
        <v>72738</v>
      </c>
    </row>
    <row r="3464" spans="1:25" ht="15" hidden="1" customHeight="1" x14ac:dyDescent="0.25">
      <c r="A3464" s="1" t="s">
        <v>37</v>
      </c>
      <c r="B3464" s="1"/>
      <c r="C3464" s="1" t="s">
        <v>201</v>
      </c>
      <c r="D3464">
        <v>9223</v>
      </c>
      <c r="E3464" s="1"/>
      <c r="F3464" s="1" t="s">
        <v>336</v>
      </c>
      <c r="G3464" s="1" t="s">
        <v>336</v>
      </c>
      <c r="H3464" s="1" t="s">
        <v>1405</v>
      </c>
      <c r="I3464">
        <v>2012</v>
      </c>
      <c r="J3464" s="93">
        <v>46.2</v>
      </c>
      <c r="K3464">
        <v>1</v>
      </c>
      <c r="L3464" s="1" t="s">
        <v>545</v>
      </c>
      <c r="M3464">
        <v>0</v>
      </c>
      <c r="N3464">
        <v>7936</v>
      </c>
      <c r="O3464">
        <v>5.8209999999999998E-3</v>
      </c>
      <c r="P3464">
        <v>2</v>
      </c>
      <c r="Q3464" s="1" t="s">
        <v>569</v>
      </c>
      <c r="R3464" s="93">
        <v>46.2</v>
      </c>
      <c r="S3464">
        <v>21.67</v>
      </c>
      <c r="T3464">
        <v>1</v>
      </c>
      <c r="U3464" s="1" t="s">
        <v>1092</v>
      </c>
      <c r="V3464" s="1"/>
      <c r="W3464">
        <v>46.2</v>
      </c>
      <c r="X3464">
        <v>0</v>
      </c>
      <c r="Y3464">
        <v>89645</v>
      </c>
    </row>
    <row r="3465" spans="1:25" ht="15" hidden="1" customHeight="1" x14ac:dyDescent="0.25">
      <c r="A3465" s="1" t="s">
        <v>37</v>
      </c>
      <c r="B3465" s="1"/>
      <c r="C3465" s="1" t="s">
        <v>201</v>
      </c>
      <c r="D3465">
        <v>9223</v>
      </c>
      <c r="E3465" s="1"/>
      <c r="F3465" s="1" t="s">
        <v>336</v>
      </c>
      <c r="G3465" s="1" t="s">
        <v>336</v>
      </c>
      <c r="H3465" s="1" t="s">
        <v>1405</v>
      </c>
      <c r="I3465">
        <v>2012</v>
      </c>
      <c r="J3465" s="93">
        <v>741.41</v>
      </c>
      <c r="K3465">
        <v>2</v>
      </c>
      <c r="L3465" s="1" t="s">
        <v>544</v>
      </c>
      <c r="M3465">
        <v>0</v>
      </c>
      <c r="N3465">
        <v>7936</v>
      </c>
      <c r="O3465">
        <v>9.3422000000000005E-2</v>
      </c>
      <c r="P3465">
        <v>2</v>
      </c>
      <c r="Q3465" s="1" t="s">
        <v>569</v>
      </c>
      <c r="R3465" s="93">
        <v>741.41</v>
      </c>
      <c r="S3465">
        <v>296.56</v>
      </c>
      <c r="T3465">
        <v>1</v>
      </c>
      <c r="U3465" s="1" t="s">
        <v>1093</v>
      </c>
      <c r="V3465" s="1"/>
      <c r="W3465">
        <v>741.40540999999996</v>
      </c>
      <c r="X3465">
        <v>0</v>
      </c>
      <c r="Y3465">
        <v>90861</v>
      </c>
    </row>
    <row r="3466" spans="1:25" ht="15" hidden="1" customHeight="1" x14ac:dyDescent="0.25">
      <c r="A3466" s="1" t="s">
        <v>37</v>
      </c>
      <c r="B3466" s="1"/>
      <c r="C3466" s="1" t="s">
        <v>201</v>
      </c>
      <c r="D3466">
        <v>9223</v>
      </c>
      <c r="E3466" s="1"/>
      <c r="F3466" s="1" t="s">
        <v>336</v>
      </c>
      <c r="G3466" s="1" t="s">
        <v>336</v>
      </c>
      <c r="H3466" s="1" t="s">
        <v>1396</v>
      </c>
      <c r="I3466">
        <v>2012</v>
      </c>
      <c r="J3466" s="93">
        <v>0</v>
      </c>
      <c r="K3466">
        <v>12</v>
      </c>
      <c r="L3466" s="1"/>
      <c r="M3466">
        <v>0</v>
      </c>
      <c r="N3466">
        <v>7936</v>
      </c>
      <c r="O3466">
        <v>0</v>
      </c>
      <c r="P3466">
        <v>2</v>
      </c>
      <c r="Q3466" s="1" t="s">
        <v>570</v>
      </c>
      <c r="R3466" s="93">
        <v>0</v>
      </c>
      <c r="S3466">
        <v>0</v>
      </c>
      <c r="T3466">
        <v>0</v>
      </c>
      <c r="U3466" s="1" t="s">
        <v>1087</v>
      </c>
      <c r="V3466" s="1"/>
      <c r="W3466">
        <v>0</v>
      </c>
      <c r="X3466">
        <v>0</v>
      </c>
      <c r="Y3466">
        <v>96367</v>
      </c>
    </row>
    <row r="3467" spans="1:25" ht="15" hidden="1" customHeight="1" x14ac:dyDescent="0.25">
      <c r="A3467" s="1" t="s">
        <v>37</v>
      </c>
      <c r="B3467" s="1"/>
      <c r="C3467" s="1" t="s">
        <v>201</v>
      </c>
      <c r="D3467">
        <v>9223</v>
      </c>
      <c r="E3467" s="1"/>
      <c r="F3467" s="1" t="s">
        <v>336</v>
      </c>
      <c r="G3467" s="1" t="s">
        <v>336</v>
      </c>
      <c r="H3467" s="1" t="s">
        <v>1405</v>
      </c>
      <c r="I3467">
        <v>2011</v>
      </c>
      <c r="J3467" s="93">
        <v>52492.71</v>
      </c>
      <c r="K3467">
        <v>4</v>
      </c>
      <c r="L3467" s="1" t="s">
        <v>527</v>
      </c>
      <c r="M3467">
        <v>0</v>
      </c>
      <c r="N3467">
        <v>7936</v>
      </c>
      <c r="O3467">
        <v>6.6144210000000001</v>
      </c>
      <c r="P3467">
        <v>2</v>
      </c>
      <c r="Q3467" s="1" t="s">
        <v>569</v>
      </c>
      <c r="R3467" s="93">
        <v>52492.71</v>
      </c>
      <c r="S3467">
        <v>24619.09</v>
      </c>
      <c r="T3467">
        <v>1</v>
      </c>
      <c r="U3467" s="1" t="s">
        <v>1088</v>
      </c>
      <c r="V3467" s="1"/>
      <c r="W3467">
        <v>52492.726410000003</v>
      </c>
      <c r="X3467">
        <v>0</v>
      </c>
      <c r="Y3467">
        <v>88836</v>
      </c>
    </row>
    <row r="3468" spans="1:25" ht="15" hidden="1" customHeight="1" x14ac:dyDescent="0.25">
      <c r="A3468" s="1" t="s">
        <v>37</v>
      </c>
      <c r="B3468" s="1"/>
      <c r="C3468" s="1" t="s">
        <v>201</v>
      </c>
      <c r="D3468">
        <v>9223</v>
      </c>
      <c r="E3468" s="1"/>
      <c r="F3468" s="1" t="s">
        <v>336</v>
      </c>
      <c r="G3468" s="1" t="s">
        <v>336</v>
      </c>
      <c r="H3468" s="1" t="s">
        <v>1405</v>
      </c>
      <c r="I3468">
        <v>2011</v>
      </c>
      <c r="J3468" s="93">
        <v>8333.1299999999992</v>
      </c>
      <c r="K3468">
        <v>3</v>
      </c>
      <c r="L3468" s="1" t="s">
        <v>544</v>
      </c>
      <c r="M3468">
        <v>0</v>
      </c>
      <c r="N3468">
        <v>7936</v>
      </c>
      <c r="O3468">
        <v>1.050028</v>
      </c>
      <c r="P3468">
        <v>2</v>
      </c>
      <c r="Q3468" s="1" t="s">
        <v>569</v>
      </c>
      <c r="R3468" s="93">
        <v>8333.1299999999992</v>
      </c>
      <c r="S3468">
        <v>3908.24</v>
      </c>
      <c r="T3468">
        <v>1</v>
      </c>
      <c r="U3468" s="1" t="s">
        <v>1089</v>
      </c>
      <c r="V3468" s="1"/>
      <c r="W3468">
        <v>8333.1345299999994</v>
      </c>
      <c r="X3468">
        <v>0</v>
      </c>
      <c r="Y3468">
        <v>89644</v>
      </c>
    </row>
    <row r="3469" spans="1:25" ht="15" hidden="1" customHeight="1" x14ac:dyDescent="0.25">
      <c r="A3469" s="1" t="s">
        <v>37</v>
      </c>
      <c r="B3469" s="1"/>
      <c r="C3469" s="1" t="s">
        <v>201</v>
      </c>
      <c r="D3469">
        <v>9223</v>
      </c>
      <c r="E3469" s="1"/>
      <c r="F3469" s="1" t="s">
        <v>336</v>
      </c>
      <c r="G3469" s="1" t="s">
        <v>336</v>
      </c>
      <c r="H3469" s="1" t="s">
        <v>1396</v>
      </c>
      <c r="I3469">
        <v>2011</v>
      </c>
      <c r="J3469" s="93">
        <v>0</v>
      </c>
      <c r="K3469">
        <v>12</v>
      </c>
      <c r="L3469" s="1"/>
      <c r="M3469">
        <v>0</v>
      </c>
      <c r="N3469">
        <v>7936</v>
      </c>
      <c r="O3469">
        <v>0</v>
      </c>
      <c r="P3469">
        <v>2</v>
      </c>
      <c r="Q3469" s="1" t="s">
        <v>570</v>
      </c>
      <c r="R3469" s="93">
        <v>0</v>
      </c>
      <c r="S3469">
        <v>0</v>
      </c>
      <c r="T3469">
        <v>0</v>
      </c>
      <c r="U3469" s="1" t="s">
        <v>1087</v>
      </c>
      <c r="V3469" s="1"/>
      <c r="W3469">
        <v>0</v>
      </c>
      <c r="X3469">
        <v>0</v>
      </c>
      <c r="Y3469">
        <v>96367</v>
      </c>
    </row>
    <row r="3470" spans="1:25" ht="15" hidden="1" customHeight="1" x14ac:dyDescent="0.25">
      <c r="A3470" s="1" t="s">
        <v>37</v>
      </c>
      <c r="B3470" s="1"/>
      <c r="C3470" s="1" t="s">
        <v>201</v>
      </c>
      <c r="D3470">
        <v>9223</v>
      </c>
      <c r="E3470" s="1"/>
      <c r="F3470" s="1" t="s">
        <v>336</v>
      </c>
      <c r="G3470" s="1" t="s">
        <v>336</v>
      </c>
      <c r="H3470" s="1" t="s">
        <v>1405</v>
      </c>
      <c r="I3470">
        <v>2011</v>
      </c>
      <c r="J3470" s="93">
        <v>173155.25</v>
      </c>
      <c r="K3470">
        <v>12</v>
      </c>
      <c r="L3470" s="1"/>
      <c r="M3470">
        <v>0</v>
      </c>
      <c r="N3470">
        <v>7936</v>
      </c>
      <c r="O3470">
        <v>21.818681999999999</v>
      </c>
      <c r="P3470">
        <v>2</v>
      </c>
      <c r="Q3470" s="1" t="s">
        <v>569</v>
      </c>
      <c r="R3470" s="93">
        <v>173155.25</v>
      </c>
      <c r="S3470">
        <v>81209.8</v>
      </c>
      <c r="T3470">
        <v>0</v>
      </c>
      <c r="U3470" s="1"/>
      <c r="V3470" s="1"/>
      <c r="W3470">
        <v>173155.25552000001</v>
      </c>
      <c r="X3470">
        <v>0</v>
      </c>
      <c r="Y3470">
        <v>72738</v>
      </c>
    </row>
    <row r="3471" spans="1:25" ht="15" hidden="1" customHeight="1" x14ac:dyDescent="0.25">
      <c r="A3471" s="1" t="s">
        <v>37</v>
      </c>
      <c r="B3471" s="1"/>
      <c r="C3471" s="1" t="s">
        <v>201</v>
      </c>
      <c r="D3471">
        <v>9223</v>
      </c>
      <c r="E3471" s="1"/>
      <c r="F3471" s="1" t="s">
        <v>336</v>
      </c>
      <c r="G3471" s="1" t="s">
        <v>336</v>
      </c>
      <c r="H3471" s="1" t="s">
        <v>1405</v>
      </c>
      <c r="I3471">
        <v>2011</v>
      </c>
      <c r="J3471" s="93">
        <v>32954.54</v>
      </c>
      <c r="K3471">
        <v>3</v>
      </c>
      <c r="L3471" s="1" t="s">
        <v>545</v>
      </c>
      <c r="M3471">
        <v>0</v>
      </c>
      <c r="N3471">
        <v>7936</v>
      </c>
      <c r="O3471">
        <v>4.1524850000000004</v>
      </c>
      <c r="P3471">
        <v>2</v>
      </c>
      <c r="Q3471" s="1" t="s">
        <v>569</v>
      </c>
      <c r="R3471" s="93">
        <v>32954.54</v>
      </c>
      <c r="S3471">
        <v>15455.67</v>
      </c>
      <c r="T3471">
        <v>1</v>
      </c>
      <c r="U3471" s="1" t="s">
        <v>1092</v>
      </c>
      <c r="V3471" s="1"/>
      <c r="W3471">
        <v>32954.519209999999</v>
      </c>
      <c r="X3471">
        <v>0</v>
      </c>
      <c r="Y3471">
        <v>89645</v>
      </c>
    </row>
    <row r="3472" spans="1:25" ht="15" hidden="1" customHeight="1" x14ac:dyDescent="0.25">
      <c r="A3472" s="1" t="s">
        <v>37</v>
      </c>
      <c r="B3472" s="1"/>
      <c r="C3472" s="1" t="s">
        <v>201</v>
      </c>
      <c r="D3472">
        <v>9223</v>
      </c>
      <c r="E3472" s="1"/>
      <c r="F3472" s="1" t="s">
        <v>336</v>
      </c>
      <c r="G3472" s="1" t="s">
        <v>336</v>
      </c>
      <c r="H3472" s="1" t="s">
        <v>1405</v>
      </c>
      <c r="I3472">
        <v>2011</v>
      </c>
      <c r="J3472" s="93">
        <v>10769.73</v>
      </c>
      <c r="K3472">
        <v>1</v>
      </c>
      <c r="L3472" s="1" t="s">
        <v>544</v>
      </c>
      <c r="M3472">
        <v>0</v>
      </c>
      <c r="N3472">
        <v>7936</v>
      </c>
      <c r="O3472">
        <v>1.3570549999999999</v>
      </c>
      <c r="P3472">
        <v>2</v>
      </c>
      <c r="Q3472" s="1" t="s">
        <v>569</v>
      </c>
      <c r="R3472" s="93">
        <v>10769.73</v>
      </c>
      <c r="S3472">
        <v>5051.01</v>
      </c>
      <c r="T3472">
        <v>1</v>
      </c>
      <c r="U3472" s="1" t="s">
        <v>1091</v>
      </c>
      <c r="V3472" s="1"/>
      <c r="W3472">
        <v>10769.729729999999</v>
      </c>
      <c r="X3472">
        <v>0</v>
      </c>
      <c r="Y3472">
        <v>90860</v>
      </c>
    </row>
    <row r="3473" spans="1:25" ht="15" hidden="1" customHeight="1" x14ac:dyDescent="0.25">
      <c r="A3473" s="1" t="s">
        <v>37</v>
      </c>
      <c r="B3473" s="1"/>
      <c r="C3473" s="1" t="s">
        <v>201</v>
      </c>
      <c r="D3473">
        <v>9223</v>
      </c>
      <c r="E3473" s="1"/>
      <c r="F3473" s="1" t="s">
        <v>336</v>
      </c>
      <c r="G3473" s="1" t="s">
        <v>336</v>
      </c>
      <c r="H3473" s="1" t="s">
        <v>1405</v>
      </c>
      <c r="I3473">
        <v>2011</v>
      </c>
      <c r="J3473" s="93">
        <v>8402.6</v>
      </c>
      <c r="K3473">
        <v>1</v>
      </c>
      <c r="L3473" s="1" t="s">
        <v>544</v>
      </c>
      <c r="M3473">
        <v>0</v>
      </c>
      <c r="N3473">
        <v>7936</v>
      </c>
      <c r="O3473">
        <v>1.0587819999999999</v>
      </c>
      <c r="P3473">
        <v>2</v>
      </c>
      <c r="Q3473" s="1" t="s">
        <v>569</v>
      </c>
      <c r="R3473" s="93">
        <v>8402.6</v>
      </c>
      <c r="S3473">
        <v>3940.82</v>
      </c>
      <c r="T3473">
        <v>1</v>
      </c>
      <c r="U3473" s="1" t="s">
        <v>1093</v>
      </c>
      <c r="V3473" s="1"/>
      <c r="W3473">
        <v>8402.5946000000004</v>
      </c>
      <c r="X3473">
        <v>0</v>
      </c>
      <c r="Y3473">
        <v>90861</v>
      </c>
    </row>
    <row r="3474" spans="1:25" ht="15" hidden="1" customHeight="1" x14ac:dyDescent="0.25">
      <c r="A3474" s="1" t="s">
        <v>37</v>
      </c>
      <c r="B3474" s="1"/>
      <c r="C3474" s="1" t="s">
        <v>201</v>
      </c>
      <c r="D3474">
        <v>9223</v>
      </c>
      <c r="E3474" s="1"/>
      <c r="F3474" s="1" t="s">
        <v>336</v>
      </c>
      <c r="G3474" s="1" t="s">
        <v>336</v>
      </c>
      <c r="H3474" s="1" t="s">
        <v>1396</v>
      </c>
      <c r="I3474">
        <v>2010</v>
      </c>
      <c r="J3474" s="93">
        <v>0</v>
      </c>
      <c r="K3474">
        <v>12</v>
      </c>
      <c r="L3474" s="1"/>
      <c r="M3474">
        <v>0</v>
      </c>
      <c r="N3474">
        <v>7936</v>
      </c>
      <c r="O3474">
        <v>0</v>
      </c>
      <c r="P3474">
        <v>2</v>
      </c>
      <c r="Q3474" s="1" t="s">
        <v>570</v>
      </c>
      <c r="R3474" s="93">
        <v>0</v>
      </c>
      <c r="S3474">
        <v>0</v>
      </c>
      <c r="T3474">
        <v>0</v>
      </c>
      <c r="U3474" s="1" t="s">
        <v>1087</v>
      </c>
      <c r="V3474" s="1"/>
      <c r="W3474">
        <v>0</v>
      </c>
      <c r="X3474">
        <v>0</v>
      </c>
      <c r="Y3474">
        <v>96367</v>
      </c>
    </row>
    <row r="3475" spans="1:25" ht="15" hidden="1" customHeight="1" x14ac:dyDescent="0.25">
      <c r="A3475" s="1" t="s">
        <v>37</v>
      </c>
      <c r="B3475" s="1"/>
      <c r="C3475" s="1" t="s">
        <v>201</v>
      </c>
      <c r="D3475">
        <v>9223</v>
      </c>
      <c r="E3475" s="1"/>
      <c r="F3475" s="1" t="s">
        <v>336</v>
      </c>
      <c r="G3475" s="1" t="s">
        <v>336</v>
      </c>
      <c r="H3475" s="1" t="s">
        <v>1405</v>
      </c>
      <c r="I3475">
        <v>2010</v>
      </c>
      <c r="J3475" s="93">
        <v>197978.77</v>
      </c>
      <c r="K3475">
        <v>12</v>
      </c>
      <c r="L3475" s="1"/>
      <c r="M3475">
        <v>0</v>
      </c>
      <c r="N3475">
        <v>7936</v>
      </c>
      <c r="O3475">
        <v>24.946607</v>
      </c>
      <c r="P3475">
        <v>2</v>
      </c>
      <c r="Q3475" s="1" t="s">
        <v>569</v>
      </c>
      <c r="R3475" s="93">
        <v>197978.77</v>
      </c>
      <c r="S3475">
        <v>92852.04</v>
      </c>
      <c r="T3475">
        <v>0</v>
      </c>
      <c r="U3475" s="1"/>
      <c r="V3475" s="1"/>
      <c r="W3475">
        <v>197978.76449</v>
      </c>
      <c r="X3475">
        <v>0</v>
      </c>
      <c r="Y3475">
        <v>72738</v>
      </c>
    </row>
    <row r="3476" spans="1:25" ht="15" hidden="1" customHeight="1" x14ac:dyDescent="0.25">
      <c r="A3476" s="1" t="s">
        <v>37</v>
      </c>
      <c r="B3476" s="1"/>
      <c r="C3476" s="1" t="s">
        <v>201</v>
      </c>
      <c r="D3476">
        <v>9223</v>
      </c>
      <c r="E3476" s="1"/>
      <c r="F3476" s="1" t="s">
        <v>336</v>
      </c>
      <c r="G3476" s="1" t="s">
        <v>336</v>
      </c>
      <c r="H3476" s="1" t="s">
        <v>1405</v>
      </c>
      <c r="I3476">
        <v>2010</v>
      </c>
      <c r="J3476" s="93">
        <v>5077.2700000000004</v>
      </c>
      <c r="K3476">
        <v>1</v>
      </c>
      <c r="L3476" s="1" t="s">
        <v>527</v>
      </c>
      <c r="M3476">
        <v>0</v>
      </c>
      <c r="N3476">
        <v>7936</v>
      </c>
      <c r="O3476">
        <v>0.639768</v>
      </c>
      <c r="P3476">
        <v>2</v>
      </c>
      <c r="Q3476" s="1" t="s">
        <v>569</v>
      </c>
      <c r="R3476" s="93">
        <v>5077.2700000000004</v>
      </c>
      <c r="S3476">
        <v>2381.2399999999998</v>
      </c>
      <c r="T3476">
        <v>1</v>
      </c>
      <c r="U3476" s="1" t="s">
        <v>1088</v>
      </c>
      <c r="V3476" s="1"/>
      <c r="W3476">
        <v>5077.27358</v>
      </c>
      <c r="X3476">
        <v>0</v>
      </c>
      <c r="Y3476">
        <v>88836</v>
      </c>
    </row>
    <row r="3477" spans="1:25" ht="15" hidden="1" customHeight="1" x14ac:dyDescent="0.25">
      <c r="A3477" s="1" t="s">
        <v>37</v>
      </c>
      <c r="B3477" s="1"/>
      <c r="C3477" s="1" t="s">
        <v>201</v>
      </c>
      <c r="D3477">
        <v>9223</v>
      </c>
      <c r="E3477" s="1"/>
      <c r="F3477" s="1" t="s">
        <v>336</v>
      </c>
      <c r="G3477" s="1" t="s">
        <v>336</v>
      </c>
      <c r="H3477" s="1" t="s">
        <v>1405</v>
      </c>
      <c r="I3477">
        <v>2010</v>
      </c>
      <c r="J3477" s="93">
        <v>721.65</v>
      </c>
      <c r="K3477">
        <v>1</v>
      </c>
      <c r="L3477" s="1" t="s">
        <v>544</v>
      </c>
      <c r="M3477">
        <v>0</v>
      </c>
      <c r="N3477">
        <v>7936</v>
      </c>
      <c r="O3477">
        <v>9.0931999999999999E-2</v>
      </c>
      <c r="P3477">
        <v>2</v>
      </c>
      <c r="Q3477" s="1" t="s">
        <v>569</v>
      </c>
      <c r="R3477" s="93">
        <v>721.65</v>
      </c>
      <c r="S3477">
        <v>338.45</v>
      </c>
      <c r="T3477">
        <v>1</v>
      </c>
      <c r="U3477" s="1" t="s">
        <v>1089</v>
      </c>
      <c r="V3477" s="1"/>
      <c r="W3477">
        <v>721.65116</v>
      </c>
      <c r="X3477">
        <v>0</v>
      </c>
      <c r="Y3477">
        <v>89644</v>
      </c>
    </row>
    <row r="3478" spans="1:25" ht="15" hidden="1" customHeight="1" x14ac:dyDescent="0.25">
      <c r="A3478" s="1" t="s">
        <v>37</v>
      </c>
      <c r="B3478" s="1"/>
      <c r="C3478" s="1" t="s">
        <v>201</v>
      </c>
      <c r="D3478">
        <v>9223</v>
      </c>
      <c r="E3478" s="1"/>
      <c r="F3478" s="1" t="s">
        <v>336</v>
      </c>
      <c r="G3478" s="1" t="s">
        <v>336</v>
      </c>
      <c r="H3478" s="1" t="s">
        <v>1405</v>
      </c>
      <c r="I3478">
        <v>2010</v>
      </c>
      <c r="J3478" s="93">
        <v>4036.28</v>
      </c>
      <c r="K3478">
        <v>1</v>
      </c>
      <c r="L3478" s="1" t="s">
        <v>545</v>
      </c>
      <c r="M3478">
        <v>0</v>
      </c>
      <c r="N3478">
        <v>7936</v>
      </c>
      <c r="O3478">
        <v>0.50859699999999997</v>
      </c>
      <c r="P3478">
        <v>2</v>
      </c>
      <c r="Q3478" s="1" t="s">
        <v>569</v>
      </c>
      <c r="R3478" s="93">
        <v>4036.28</v>
      </c>
      <c r="S3478">
        <v>1893.02</v>
      </c>
      <c r="T3478">
        <v>1</v>
      </c>
      <c r="U3478" s="1" t="s">
        <v>1092</v>
      </c>
      <c r="V3478" s="1"/>
      <c r="W3478">
        <v>4036.2807699999998</v>
      </c>
      <c r="X3478">
        <v>0</v>
      </c>
      <c r="Y3478">
        <v>89645</v>
      </c>
    </row>
    <row r="3479" spans="1:25" ht="15" hidden="1" customHeight="1" x14ac:dyDescent="0.25">
      <c r="A3479" s="1" t="s">
        <v>37</v>
      </c>
      <c r="B3479" s="1"/>
      <c r="C3479" s="1" t="s">
        <v>201</v>
      </c>
      <c r="D3479">
        <v>9223</v>
      </c>
      <c r="E3479" s="1"/>
      <c r="F3479" s="1" t="s">
        <v>336</v>
      </c>
      <c r="G3479" s="1" t="s">
        <v>336</v>
      </c>
      <c r="H3479" s="1" t="s">
        <v>1405</v>
      </c>
      <c r="I3479">
        <v>2009</v>
      </c>
      <c r="J3479" s="93">
        <v>208336.01</v>
      </c>
      <c r="K3479">
        <v>12</v>
      </c>
      <c r="L3479" s="1"/>
      <c r="M3479">
        <v>0</v>
      </c>
      <c r="N3479">
        <v>7936</v>
      </c>
      <c r="O3479">
        <v>26.251685999999999</v>
      </c>
      <c r="P3479">
        <v>2</v>
      </c>
      <c r="Q3479" s="1" t="s">
        <v>569</v>
      </c>
      <c r="R3479" s="93">
        <v>208336.01</v>
      </c>
      <c r="S3479">
        <v>97709.59</v>
      </c>
      <c r="T3479">
        <v>0</v>
      </c>
      <c r="U3479" s="1"/>
      <c r="V3479" s="1"/>
      <c r="W3479">
        <v>208336.01</v>
      </c>
      <c r="X3479">
        <v>0</v>
      </c>
      <c r="Y3479">
        <v>72738</v>
      </c>
    </row>
    <row r="3480" spans="1:25" ht="15" hidden="1" customHeight="1" x14ac:dyDescent="0.25">
      <c r="A3480" s="1" t="s">
        <v>37</v>
      </c>
      <c r="B3480" s="1"/>
      <c r="C3480" s="1" t="s">
        <v>201</v>
      </c>
      <c r="D3480">
        <v>9223</v>
      </c>
      <c r="E3480" s="1"/>
      <c r="F3480" s="1" t="s">
        <v>336</v>
      </c>
      <c r="G3480" s="1" t="s">
        <v>336</v>
      </c>
      <c r="H3480" s="1" t="s">
        <v>1396</v>
      </c>
      <c r="I3480">
        <v>2009</v>
      </c>
      <c r="J3480" s="93">
        <v>0</v>
      </c>
      <c r="K3480">
        <v>12</v>
      </c>
      <c r="L3480" s="1"/>
      <c r="M3480">
        <v>0</v>
      </c>
      <c r="N3480">
        <v>7936</v>
      </c>
      <c r="O3480">
        <v>0</v>
      </c>
      <c r="P3480">
        <v>2</v>
      </c>
      <c r="Q3480" s="1" t="s">
        <v>570</v>
      </c>
      <c r="R3480" s="93">
        <v>0</v>
      </c>
      <c r="S3480">
        <v>0</v>
      </c>
      <c r="T3480">
        <v>0</v>
      </c>
      <c r="U3480" s="1" t="s">
        <v>1087</v>
      </c>
      <c r="V3480" s="1"/>
      <c r="W3480">
        <v>0</v>
      </c>
      <c r="X3480">
        <v>0</v>
      </c>
      <c r="Y3480">
        <v>96367</v>
      </c>
    </row>
    <row r="3481" spans="1:25" ht="15" hidden="1" customHeight="1" x14ac:dyDescent="0.25">
      <c r="A3481" s="1" t="s">
        <v>37</v>
      </c>
      <c r="B3481" s="1"/>
      <c r="C3481" s="1" t="s">
        <v>201</v>
      </c>
      <c r="D3481">
        <v>9223</v>
      </c>
      <c r="E3481" s="1"/>
      <c r="F3481" s="1" t="s">
        <v>336</v>
      </c>
      <c r="G3481" s="1" t="s">
        <v>336</v>
      </c>
      <c r="H3481" s="1" t="s">
        <v>1405</v>
      </c>
      <c r="I3481">
        <v>2008</v>
      </c>
      <c r="J3481" s="93">
        <v>206271.23</v>
      </c>
      <c r="K3481">
        <v>12</v>
      </c>
      <c r="L3481" s="1"/>
      <c r="M3481">
        <v>0</v>
      </c>
      <c r="N3481">
        <v>7936</v>
      </c>
      <c r="O3481">
        <v>25.991510000000002</v>
      </c>
      <c r="P3481">
        <v>2</v>
      </c>
      <c r="Q3481" s="1" t="s">
        <v>569</v>
      </c>
      <c r="R3481" s="93">
        <v>206271.23</v>
      </c>
      <c r="S3481">
        <v>96741.2</v>
      </c>
      <c r="T3481">
        <v>0</v>
      </c>
      <c r="U3481" s="1"/>
      <c r="V3481" s="1"/>
      <c r="W3481">
        <v>206271.22500000001</v>
      </c>
      <c r="X3481">
        <v>0</v>
      </c>
      <c r="Y3481">
        <v>72738</v>
      </c>
    </row>
    <row r="3482" spans="1:25" ht="15" hidden="1" customHeight="1" x14ac:dyDescent="0.25">
      <c r="A3482" s="1" t="s">
        <v>37</v>
      </c>
      <c r="B3482" s="1"/>
      <c r="C3482" s="1" t="s">
        <v>201</v>
      </c>
      <c r="D3482">
        <v>9223</v>
      </c>
      <c r="E3482" s="1"/>
      <c r="F3482" s="1" t="s">
        <v>336</v>
      </c>
      <c r="G3482" s="1" t="s">
        <v>336</v>
      </c>
      <c r="H3482" s="1" t="s">
        <v>1396</v>
      </c>
      <c r="I3482">
        <v>2008</v>
      </c>
      <c r="J3482" s="93">
        <v>0</v>
      </c>
      <c r="K3482">
        <v>12</v>
      </c>
      <c r="L3482" s="1"/>
      <c r="M3482">
        <v>0</v>
      </c>
      <c r="N3482">
        <v>7936</v>
      </c>
      <c r="O3482">
        <v>0</v>
      </c>
      <c r="P3482">
        <v>2</v>
      </c>
      <c r="Q3482" s="1" t="s">
        <v>570</v>
      </c>
      <c r="R3482" s="93">
        <v>0</v>
      </c>
      <c r="S3482">
        <v>0</v>
      </c>
      <c r="T3482">
        <v>0</v>
      </c>
      <c r="U3482" s="1" t="s">
        <v>1087</v>
      </c>
      <c r="V3482" s="1"/>
      <c r="W3482">
        <v>0</v>
      </c>
      <c r="X3482">
        <v>0</v>
      </c>
      <c r="Y3482">
        <v>96367</v>
      </c>
    </row>
    <row r="3483" spans="1:25" ht="15" hidden="1" customHeight="1" x14ac:dyDescent="0.25">
      <c r="A3483" s="1" t="s">
        <v>37</v>
      </c>
      <c r="B3483" s="1"/>
      <c r="C3483" s="1" t="s">
        <v>197</v>
      </c>
      <c r="D3483">
        <v>10161</v>
      </c>
      <c r="E3483" s="1"/>
      <c r="F3483" s="1" t="s">
        <v>332</v>
      </c>
      <c r="G3483" s="1" t="s">
        <v>197</v>
      </c>
      <c r="H3483" s="1" t="s">
        <v>1405</v>
      </c>
      <c r="I3483">
        <v>2015</v>
      </c>
      <c r="J3483" s="93">
        <v>5404</v>
      </c>
      <c r="K3483">
        <v>5</v>
      </c>
      <c r="L3483" s="1" t="s">
        <v>426</v>
      </c>
      <c r="M3483">
        <v>0</v>
      </c>
      <c r="N3483">
        <v>265</v>
      </c>
      <c r="O3483">
        <v>9.2687659999999994</v>
      </c>
      <c r="P3483">
        <v>2</v>
      </c>
      <c r="Q3483" s="1" t="s">
        <v>569</v>
      </c>
      <c r="R3483" s="93">
        <v>2457.15</v>
      </c>
      <c r="S3483">
        <v>737.14</v>
      </c>
      <c r="T3483">
        <v>0</v>
      </c>
      <c r="U3483" s="1" t="s">
        <v>1082</v>
      </c>
      <c r="V3483" s="1"/>
      <c r="W3483">
        <v>2457.1419999999998</v>
      </c>
      <c r="X3483">
        <v>0</v>
      </c>
      <c r="Y3483">
        <v>77142</v>
      </c>
    </row>
    <row r="3484" spans="1:25" ht="15" hidden="1" customHeight="1" x14ac:dyDescent="0.25">
      <c r="A3484" s="1" t="s">
        <v>37</v>
      </c>
      <c r="B3484" s="1" t="s">
        <v>82</v>
      </c>
      <c r="C3484" s="1" t="s">
        <v>198</v>
      </c>
      <c r="D3484">
        <v>6369</v>
      </c>
      <c r="E3484" s="1"/>
      <c r="F3484" s="1" t="s">
        <v>333</v>
      </c>
      <c r="G3484" s="1" t="s">
        <v>334</v>
      </c>
      <c r="H3484" s="1" t="s">
        <v>1405</v>
      </c>
      <c r="I3484">
        <v>2015</v>
      </c>
      <c r="J3484" s="93">
        <v>2832</v>
      </c>
      <c r="K3484">
        <v>5</v>
      </c>
      <c r="L3484" s="1" t="s">
        <v>411</v>
      </c>
      <c r="M3484">
        <v>0</v>
      </c>
      <c r="N3484">
        <v>110</v>
      </c>
      <c r="O3484">
        <v>15.515077</v>
      </c>
      <c r="P3484">
        <v>2</v>
      </c>
      <c r="Q3484" s="1" t="s">
        <v>569</v>
      </c>
      <c r="R3484" s="93">
        <v>1708.21</v>
      </c>
      <c r="S3484">
        <v>683.28</v>
      </c>
      <c r="T3484">
        <v>0</v>
      </c>
      <c r="U3484" s="1" t="s">
        <v>1083</v>
      </c>
      <c r="V3484" s="1" t="s">
        <v>1336</v>
      </c>
      <c r="W3484">
        <v>1708.1980000000001</v>
      </c>
      <c r="X3484">
        <v>0</v>
      </c>
      <c r="Y3484">
        <v>62718</v>
      </c>
    </row>
    <row r="3485" spans="1:25" ht="15" hidden="1" customHeight="1" x14ac:dyDescent="0.25">
      <c r="A3485" s="1" t="s">
        <v>37</v>
      </c>
      <c r="B3485" s="1"/>
      <c r="C3485" s="1" t="s">
        <v>202</v>
      </c>
      <c r="D3485">
        <v>10321</v>
      </c>
      <c r="E3485" s="1"/>
      <c r="F3485" s="1" t="s">
        <v>337</v>
      </c>
      <c r="G3485" s="1" t="s">
        <v>1400</v>
      </c>
      <c r="H3485" s="1" t="s">
        <v>1405</v>
      </c>
      <c r="I3485">
        <v>2012</v>
      </c>
      <c r="J3485" s="93">
        <v>3340.51</v>
      </c>
      <c r="K3485">
        <v>15</v>
      </c>
      <c r="L3485" s="1" t="s">
        <v>411</v>
      </c>
      <c r="M3485">
        <v>0</v>
      </c>
      <c r="N3485">
        <v>126</v>
      </c>
      <c r="O3485">
        <v>26.490959</v>
      </c>
      <c r="P3485">
        <v>2</v>
      </c>
      <c r="Q3485" s="1" t="s">
        <v>569</v>
      </c>
      <c r="R3485" s="93">
        <v>3340.51</v>
      </c>
      <c r="S3485">
        <v>1336.2</v>
      </c>
      <c r="T3485">
        <v>0</v>
      </c>
      <c r="U3485" s="1" t="s">
        <v>1094</v>
      </c>
      <c r="V3485" s="1" t="s">
        <v>1339</v>
      </c>
      <c r="W3485">
        <v>3340.5163899999998</v>
      </c>
      <c r="X3485">
        <v>0</v>
      </c>
      <c r="Y3485">
        <v>77808</v>
      </c>
    </row>
    <row r="3486" spans="1:25" ht="15" hidden="1" customHeight="1" x14ac:dyDescent="0.25">
      <c r="A3486" s="1" t="s">
        <v>37</v>
      </c>
      <c r="B3486" s="1"/>
      <c r="C3486" s="1" t="s">
        <v>202</v>
      </c>
      <c r="D3486">
        <v>10321</v>
      </c>
      <c r="E3486" s="1"/>
      <c r="F3486" s="1" t="s">
        <v>337</v>
      </c>
      <c r="G3486" s="1" t="s">
        <v>1400</v>
      </c>
      <c r="H3486" s="1" t="s">
        <v>1405</v>
      </c>
      <c r="I3486">
        <v>2011</v>
      </c>
      <c r="J3486" s="93">
        <v>1450.17</v>
      </c>
      <c r="K3486">
        <v>5</v>
      </c>
      <c r="L3486" s="1" t="s">
        <v>411</v>
      </c>
      <c r="M3486">
        <v>0</v>
      </c>
      <c r="N3486">
        <v>126</v>
      </c>
      <c r="O3486">
        <v>11.500158000000001</v>
      </c>
      <c r="P3486">
        <v>2</v>
      </c>
      <c r="Q3486" s="1" t="s">
        <v>569</v>
      </c>
      <c r="R3486" s="93">
        <v>1450.17</v>
      </c>
      <c r="S3486">
        <v>680.14</v>
      </c>
      <c r="T3486">
        <v>0</v>
      </c>
      <c r="U3486" s="1" t="s">
        <v>1094</v>
      </c>
      <c r="V3486" s="1" t="s">
        <v>1339</v>
      </c>
      <c r="W3486">
        <v>1450.1742899999999</v>
      </c>
      <c r="X3486">
        <v>0</v>
      </c>
      <c r="Y3486">
        <v>77808</v>
      </c>
    </row>
    <row r="3487" spans="1:25" ht="15" hidden="1" customHeight="1" x14ac:dyDescent="0.25">
      <c r="A3487" s="1" t="s">
        <v>37</v>
      </c>
      <c r="B3487" s="1"/>
      <c r="C3487" s="1" t="s">
        <v>202</v>
      </c>
      <c r="D3487">
        <v>10321</v>
      </c>
      <c r="E3487" s="1"/>
      <c r="F3487" s="1" t="s">
        <v>337</v>
      </c>
      <c r="G3487" s="1" t="s">
        <v>1400</v>
      </c>
      <c r="H3487" s="1" t="s">
        <v>1405</v>
      </c>
      <c r="I3487">
        <v>2010</v>
      </c>
      <c r="J3487" s="93">
        <v>281.89</v>
      </c>
      <c r="K3487">
        <v>3</v>
      </c>
      <c r="L3487" s="1" t="s">
        <v>411</v>
      </c>
      <c r="M3487">
        <v>0</v>
      </c>
      <c r="N3487">
        <v>126</v>
      </c>
      <c r="O3487">
        <v>2.2354479999999999</v>
      </c>
      <c r="P3487">
        <v>2</v>
      </c>
      <c r="Q3487" s="1" t="s">
        <v>569</v>
      </c>
      <c r="R3487" s="93">
        <v>281.89</v>
      </c>
      <c r="S3487">
        <v>132.22999999999999</v>
      </c>
      <c r="T3487">
        <v>0</v>
      </c>
      <c r="U3487" s="1" t="s">
        <v>1094</v>
      </c>
      <c r="V3487" s="1" t="s">
        <v>1339</v>
      </c>
      <c r="W3487">
        <v>281.89819999999997</v>
      </c>
      <c r="X3487">
        <v>0</v>
      </c>
      <c r="Y3487">
        <v>77808</v>
      </c>
    </row>
    <row r="3488" spans="1:25" ht="15" hidden="1" customHeight="1" x14ac:dyDescent="0.25">
      <c r="A3488" s="1" t="s">
        <v>37</v>
      </c>
      <c r="B3488" s="1"/>
      <c r="C3488" s="1" t="s">
        <v>202</v>
      </c>
      <c r="D3488">
        <v>10321</v>
      </c>
      <c r="E3488" s="1"/>
      <c r="F3488" s="1" t="s">
        <v>337</v>
      </c>
      <c r="G3488" s="1" t="s">
        <v>1400</v>
      </c>
      <c r="H3488" s="1" t="s">
        <v>1405</v>
      </c>
      <c r="I3488">
        <v>2009</v>
      </c>
      <c r="J3488" s="93">
        <v>483.58</v>
      </c>
      <c r="K3488">
        <v>4</v>
      </c>
      <c r="L3488" s="1" t="s">
        <v>411</v>
      </c>
      <c r="M3488">
        <v>0</v>
      </c>
      <c r="N3488">
        <v>126</v>
      </c>
      <c r="O3488">
        <v>3.834892</v>
      </c>
      <c r="P3488">
        <v>2</v>
      </c>
      <c r="Q3488" s="1" t="s">
        <v>569</v>
      </c>
      <c r="R3488" s="93">
        <v>483.58</v>
      </c>
      <c r="S3488">
        <v>226.81</v>
      </c>
      <c r="T3488">
        <v>0</v>
      </c>
      <c r="U3488" s="1" t="s">
        <v>1094</v>
      </c>
      <c r="V3488" s="1" t="s">
        <v>1339</v>
      </c>
      <c r="W3488">
        <v>483.60178000000002</v>
      </c>
      <c r="X3488">
        <v>0</v>
      </c>
      <c r="Y3488">
        <v>77808</v>
      </c>
    </row>
    <row r="3489" spans="1:25" ht="15" hidden="1" customHeight="1" x14ac:dyDescent="0.25">
      <c r="A3489" s="1" t="s">
        <v>37</v>
      </c>
      <c r="B3489" s="1"/>
      <c r="C3489" s="1" t="s">
        <v>202</v>
      </c>
      <c r="D3489">
        <v>10321</v>
      </c>
      <c r="E3489" s="1"/>
      <c r="F3489" s="1" t="s">
        <v>337</v>
      </c>
      <c r="G3489" s="1" t="s">
        <v>1400</v>
      </c>
      <c r="H3489" s="1" t="s">
        <v>1405</v>
      </c>
      <c r="I3489">
        <v>2008</v>
      </c>
      <c r="J3489" s="93">
        <v>3704.38</v>
      </c>
      <c r="K3489">
        <v>7</v>
      </c>
      <c r="L3489" s="1" t="s">
        <v>411</v>
      </c>
      <c r="M3489">
        <v>0</v>
      </c>
      <c r="N3489">
        <v>126</v>
      </c>
      <c r="O3489">
        <v>29.376525999999998</v>
      </c>
      <c r="P3489">
        <v>2</v>
      </c>
      <c r="Q3489" s="1" t="s">
        <v>569</v>
      </c>
      <c r="R3489" s="93">
        <v>3704.38</v>
      </c>
      <c r="S3489">
        <v>1737.34</v>
      </c>
      <c r="T3489">
        <v>0</v>
      </c>
      <c r="U3489" s="1" t="s">
        <v>1094</v>
      </c>
      <c r="V3489" s="1" t="s">
        <v>1339</v>
      </c>
      <c r="W3489">
        <v>3704.3791299999998</v>
      </c>
      <c r="X3489">
        <v>0</v>
      </c>
      <c r="Y3489">
        <v>77808</v>
      </c>
    </row>
    <row r="3490" spans="1:25" ht="15" hidden="1" customHeight="1" x14ac:dyDescent="0.25">
      <c r="A3490" s="1" t="s">
        <v>37</v>
      </c>
      <c r="B3490" s="1" t="s">
        <v>82</v>
      </c>
      <c r="C3490" s="1" t="s">
        <v>199</v>
      </c>
      <c r="D3490">
        <v>5474</v>
      </c>
      <c r="E3490" s="1"/>
      <c r="F3490" s="1" t="s">
        <v>334</v>
      </c>
      <c r="G3490" s="1" t="s">
        <v>334</v>
      </c>
      <c r="H3490" s="1" t="s">
        <v>1405</v>
      </c>
      <c r="I3490">
        <v>2015</v>
      </c>
      <c r="J3490" s="93">
        <v>200534</v>
      </c>
      <c r="K3490">
        <v>5</v>
      </c>
      <c r="L3490" s="1" t="s">
        <v>393</v>
      </c>
      <c r="M3490">
        <v>0</v>
      </c>
      <c r="N3490">
        <v>10600</v>
      </c>
      <c r="O3490">
        <v>7.9411009999999997</v>
      </c>
      <c r="P3490">
        <v>2</v>
      </c>
      <c r="Q3490" s="1" t="s">
        <v>569</v>
      </c>
      <c r="R3490" s="93">
        <v>84176.47</v>
      </c>
      <c r="S3490">
        <v>33670.589999999997</v>
      </c>
      <c r="T3490">
        <v>0</v>
      </c>
      <c r="U3490" s="1" t="s">
        <v>1084</v>
      </c>
      <c r="V3490" s="1" t="s">
        <v>1337</v>
      </c>
      <c r="W3490">
        <v>84176.47</v>
      </c>
      <c r="X3490">
        <v>0</v>
      </c>
      <c r="Y3490">
        <v>57910</v>
      </c>
    </row>
    <row r="3491" spans="1:25" ht="15" hidden="1" customHeight="1" x14ac:dyDescent="0.25">
      <c r="A3491" s="1" t="s">
        <v>37</v>
      </c>
      <c r="B3491" s="1"/>
      <c r="C3491" s="1" t="s">
        <v>238</v>
      </c>
      <c r="D3491">
        <v>5534</v>
      </c>
      <c r="E3491" s="1"/>
      <c r="F3491" s="1" t="s">
        <v>385</v>
      </c>
      <c r="G3491" s="1" t="s">
        <v>238</v>
      </c>
      <c r="H3491" s="1" t="s">
        <v>1405</v>
      </c>
      <c r="I3491">
        <v>2015</v>
      </c>
      <c r="J3491" s="93">
        <v>23285</v>
      </c>
      <c r="K3491">
        <v>5</v>
      </c>
      <c r="L3491" s="1" t="s">
        <v>543</v>
      </c>
      <c r="M3491">
        <v>0</v>
      </c>
      <c r="N3491">
        <v>1021</v>
      </c>
      <c r="O3491">
        <v>9.3309949999999997</v>
      </c>
      <c r="P3491">
        <v>2</v>
      </c>
      <c r="Q3491" s="1" t="s">
        <v>569</v>
      </c>
      <c r="R3491" s="93">
        <v>9527.8799999999992</v>
      </c>
      <c r="S3491">
        <v>3811.15</v>
      </c>
      <c r="T3491">
        <v>0</v>
      </c>
      <c r="U3491" s="1" t="s">
        <v>1085</v>
      </c>
      <c r="V3491" s="1"/>
      <c r="W3491">
        <v>9527.8799999999992</v>
      </c>
      <c r="X3491">
        <v>0</v>
      </c>
      <c r="Y3491">
        <v>58251</v>
      </c>
    </row>
    <row r="3492" spans="1:25" ht="15" hidden="1" customHeight="1" x14ac:dyDescent="0.25">
      <c r="A3492" s="1" t="s">
        <v>37</v>
      </c>
      <c r="B3492" s="1"/>
      <c r="C3492" s="1" t="s">
        <v>203</v>
      </c>
      <c r="D3492">
        <v>9222</v>
      </c>
      <c r="E3492" s="1"/>
      <c r="F3492" s="1" t="s">
        <v>338</v>
      </c>
      <c r="G3492" s="1" t="s">
        <v>338</v>
      </c>
      <c r="H3492" s="1" t="s">
        <v>1405</v>
      </c>
      <c r="I3492">
        <v>2012</v>
      </c>
      <c r="J3492" s="93">
        <v>267396.07</v>
      </c>
      <c r="K3492">
        <v>12</v>
      </c>
      <c r="L3492" s="1"/>
      <c r="M3492">
        <v>0</v>
      </c>
      <c r="N3492">
        <v>11252</v>
      </c>
      <c r="O3492">
        <v>23.764102999999999</v>
      </c>
      <c r="P3492">
        <v>2</v>
      </c>
      <c r="Q3492" s="1" t="s">
        <v>569</v>
      </c>
      <c r="R3492" s="93">
        <v>267396.07</v>
      </c>
      <c r="S3492">
        <v>106958.42</v>
      </c>
      <c r="T3492">
        <v>0</v>
      </c>
      <c r="U3492" s="1" t="s">
        <v>1095</v>
      </c>
      <c r="V3492" s="1" t="s">
        <v>1340</v>
      </c>
      <c r="W3492">
        <v>267396.08500000002</v>
      </c>
      <c r="X3492">
        <v>0</v>
      </c>
      <c r="Y3492">
        <v>72736</v>
      </c>
    </row>
    <row r="3493" spans="1:25" ht="15" hidden="1" customHeight="1" x14ac:dyDescent="0.25">
      <c r="A3493" s="1" t="s">
        <v>37</v>
      </c>
      <c r="B3493" s="1"/>
      <c r="C3493" s="1" t="s">
        <v>203</v>
      </c>
      <c r="D3493">
        <v>9222</v>
      </c>
      <c r="E3493" s="1"/>
      <c r="F3493" s="1" t="s">
        <v>338</v>
      </c>
      <c r="G3493" s="1" t="s">
        <v>338</v>
      </c>
      <c r="H3493" s="1" t="s">
        <v>1405</v>
      </c>
      <c r="I3493">
        <v>2011</v>
      </c>
      <c r="J3493" s="93">
        <v>319369.57</v>
      </c>
      <c r="K3493">
        <v>12</v>
      </c>
      <c r="L3493" s="1"/>
      <c r="M3493">
        <v>0</v>
      </c>
      <c r="N3493">
        <v>11252</v>
      </c>
      <c r="O3493">
        <v>28.383108</v>
      </c>
      <c r="P3493">
        <v>2</v>
      </c>
      <c r="Q3493" s="1" t="s">
        <v>569</v>
      </c>
      <c r="R3493" s="93">
        <v>319369.57</v>
      </c>
      <c r="S3493">
        <v>149784.32000000001</v>
      </c>
      <c r="T3493">
        <v>0</v>
      </c>
      <c r="U3493" s="1" t="s">
        <v>1095</v>
      </c>
      <c r="V3493" s="1" t="s">
        <v>1340</v>
      </c>
      <c r="W3493">
        <v>319369.56400000001</v>
      </c>
      <c r="X3493">
        <v>0</v>
      </c>
      <c r="Y3493">
        <v>72736</v>
      </c>
    </row>
    <row r="3494" spans="1:25" ht="15" hidden="1" customHeight="1" x14ac:dyDescent="0.25">
      <c r="A3494" s="1" t="s">
        <v>37</v>
      </c>
      <c r="B3494" s="1"/>
      <c r="C3494" s="1" t="s">
        <v>203</v>
      </c>
      <c r="D3494">
        <v>9222</v>
      </c>
      <c r="E3494" s="1"/>
      <c r="F3494" s="1" t="s">
        <v>338</v>
      </c>
      <c r="G3494" s="1" t="s">
        <v>338</v>
      </c>
      <c r="H3494" s="1" t="s">
        <v>1405</v>
      </c>
      <c r="I3494">
        <v>2010</v>
      </c>
      <c r="J3494" s="93">
        <v>387591.37</v>
      </c>
      <c r="K3494">
        <v>12</v>
      </c>
      <c r="L3494" s="1"/>
      <c r="M3494">
        <v>0</v>
      </c>
      <c r="N3494">
        <v>11252</v>
      </c>
      <c r="O3494">
        <v>34.446136000000003</v>
      </c>
      <c r="P3494">
        <v>2</v>
      </c>
      <c r="Q3494" s="1" t="s">
        <v>569</v>
      </c>
      <c r="R3494" s="93">
        <v>387591.37</v>
      </c>
      <c r="S3494">
        <v>181780.36</v>
      </c>
      <c r="T3494">
        <v>0</v>
      </c>
      <c r="U3494" s="1" t="s">
        <v>1095</v>
      </c>
      <c r="V3494" s="1" t="s">
        <v>1340</v>
      </c>
      <c r="W3494">
        <v>387591.35544000001</v>
      </c>
      <c r="X3494">
        <v>0</v>
      </c>
      <c r="Y3494">
        <v>72736</v>
      </c>
    </row>
    <row r="3495" spans="1:25" ht="15" hidden="1" customHeight="1" x14ac:dyDescent="0.25">
      <c r="A3495" s="1" t="s">
        <v>37</v>
      </c>
      <c r="B3495" s="1"/>
      <c r="C3495" s="1" t="s">
        <v>203</v>
      </c>
      <c r="D3495">
        <v>9222</v>
      </c>
      <c r="E3495" s="1"/>
      <c r="F3495" s="1" t="s">
        <v>338</v>
      </c>
      <c r="G3495" s="1" t="s">
        <v>338</v>
      </c>
      <c r="H3495" s="1" t="s">
        <v>1405</v>
      </c>
      <c r="I3495">
        <v>2009</v>
      </c>
      <c r="J3495" s="93">
        <v>568204.76</v>
      </c>
      <c r="K3495">
        <v>12</v>
      </c>
      <c r="L3495" s="1"/>
      <c r="M3495">
        <v>0</v>
      </c>
      <c r="N3495">
        <v>11252</v>
      </c>
      <c r="O3495">
        <v>50.497663000000003</v>
      </c>
      <c r="P3495">
        <v>2</v>
      </c>
      <c r="Q3495" s="1" t="s">
        <v>569</v>
      </c>
      <c r="R3495" s="93">
        <v>568204.76</v>
      </c>
      <c r="S3495">
        <v>266488.03999999998</v>
      </c>
      <c r="T3495">
        <v>0</v>
      </c>
      <c r="U3495" s="1" t="s">
        <v>1095</v>
      </c>
      <c r="V3495" s="1" t="s">
        <v>1340</v>
      </c>
      <c r="W3495">
        <v>568204.73684999999</v>
      </c>
      <c r="X3495">
        <v>0</v>
      </c>
      <c r="Y3495">
        <v>72736</v>
      </c>
    </row>
    <row r="3496" spans="1:25" ht="15" hidden="1" customHeight="1" x14ac:dyDescent="0.25">
      <c r="A3496" s="1" t="s">
        <v>37</v>
      </c>
      <c r="B3496" s="1"/>
      <c r="C3496" s="1" t="s">
        <v>203</v>
      </c>
      <c r="D3496">
        <v>9222</v>
      </c>
      <c r="E3496" s="1"/>
      <c r="F3496" s="1" t="s">
        <v>338</v>
      </c>
      <c r="G3496" s="1" t="s">
        <v>338</v>
      </c>
      <c r="H3496" s="1" t="s">
        <v>1405</v>
      </c>
      <c r="I3496">
        <v>2008</v>
      </c>
      <c r="J3496" s="93">
        <v>466601.06</v>
      </c>
      <c r="K3496">
        <v>12</v>
      </c>
      <c r="L3496" s="1"/>
      <c r="M3496">
        <v>0</v>
      </c>
      <c r="N3496">
        <v>11252</v>
      </c>
      <c r="O3496">
        <v>41.467908999999999</v>
      </c>
      <c r="P3496">
        <v>2</v>
      </c>
      <c r="Q3496" s="1" t="s">
        <v>569</v>
      </c>
      <c r="R3496" s="93">
        <v>466601.06</v>
      </c>
      <c r="S3496">
        <v>218835.92</v>
      </c>
      <c r="T3496">
        <v>0</v>
      </c>
      <c r="U3496" s="1" t="s">
        <v>1095</v>
      </c>
      <c r="V3496" s="1" t="s">
        <v>1340</v>
      </c>
      <c r="W3496">
        <v>466601.08214999997</v>
      </c>
      <c r="X3496">
        <v>0</v>
      </c>
      <c r="Y3496">
        <v>72736</v>
      </c>
    </row>
    <row r="3497" spans="1:25" ht="15" hidden="1" customHeight="1" x14ac:dyDescent="0.25">
      <c r="A3497" s="1" t="s">
        <v>37</v>
      </c>
      <c r="B3497" s="1"/>
      <c r="C3497" s="1" t="s">
        <v>203</v>
      </c>
      <c r="D3497">
        <v>9222</v>
      </c>
      <c r="E3497" s="1"/>
      <c r="F3497" s="1" t="s">
        <v>338</v>
      </c>
      <c r="G3497" s="1" t="s">
        <v>338</v>
      </c>
      <c r="H3497" s="1" t="s">
        <v>1405</v>
      </c>
      <c r="I3497">
        <v>2008</v>
      </c>
      <c r="J3497" s="93">
        <v>68741.039999999994</v>
      </c>
      <c r="K3497">
        <v>1</v>
      </c>
      <c r="L3497" s="1" t="s">
        <v>546</v>
      </c>
      <c r="M3497">
        <v>0</v>
      </c>
      <c r="N3497">
        <v>11252</v>
      </c>
      <c r="O3497">
        <v>6.1091740000000003</v>
      </c>
      <c r="P3497">
        <v>2</v>
      </c>
      <c r="Q3497" s="1" t="s">
        <v>569</v>
      </c>
      <c r="R3497" s="93">
        <v>68741.039999999994</v>
      </c>
      <c r="S3497">
        <v>32239.55</v>
      </c>
      <c r="T3497">
        <v>0</v>
      </c>
      <c r="U3497" s="1"/>
      <c r="V3497" s="1"/>
      <c r="W3497">
        <v>68741.035709999996</v>
      </c>
      <c r="X3497">
        <v>0</v>
      </c>
      <c r="Y3497">
        <v>77715</v>
      </c>
    </row>
    <row r="3498" spans="1:25" ht="15" hidden="1" customHeight="1" x14ac:dyDescent="0.25">
      <c r="A3498" s="1" t="s">
        <v>37</v>
      </c>
      <c r="B3498" s="1" t="s">
        <v>66</v>
      </c>
      <c r="C3498" s="1" t="s">
        <v>200</v>
      </c>
      <c r="D3498">
        <v>5471</v>
      </c>
      <c r="E3498" s="1"/>
      <c r="F3498" s="1" t="s">
        <v>335</v>
      </c>
      <c r="G3498" s="1" t="s">
        <v>200</v>
      </c>
      <c r="H3498" s="1" t="s">
        <v>1405</v>
      </c>
      <c r="I3498">
        <v>2015</v>
      </c>
      <c r="J3498" s="93">
        <v>222433</v>
      </c>
      <c r="K3498">
        <v>5</v>
      </c>
      <c r="L3498" s="1" t="s">
        <v>402</v>
      </c>
      <c r="M3498">
        <v>0</v>
      </c>
      <c r="N3498">
        <v>8656</v>
      </c>
      <c r="O3498">
        <v>11.475472</v>
      </c>
      <c r="P3498">
        <v>2</v>
      </c>
      <c r="Q3498" s="1" t="s">
        <v>569</v>
      </c>
      <c r="R3498" s="93">
        <v>99332.84</v>
      </c>
      <c r="S3498">
        <v>39733.129999999997</v>
      </c>
      <c r="T3498">
        <v>0</v>
      </c>
      <c r="U3498" s="1" t="s">
        <v>1086</v>
      </c>
      <c r="V3498" s="1" t="s">
        <v>1338</v>
      </c>
      <c r="W3498">
        <v>99332.84</v>
      </c>
      <c r="X3498">
        <v>0</v>
      </c>
      <c r="Y3498">
        <v>57890</v>
      </c>
    </row>
    <row r="3499" spans="1:25" ht="15" hidden="1" customHeight="1" x14ac:dyDescent="0.25">
      <c r="A3499" s="1" t="s">
        <v>37</v>
      </c>
      <c r="B3499" s="1"/>
      <c r="C3499" s="1" t="s">
        <v>201</v>
      </c>
      <c r="D3499">
        <v>9223</v>
      </c>
      <c r="E3499" s="1"/>
      <c r="F3499" s="1" t="s">
        <v>336</v>
      </c>
      <c r="G3499" s="1" t="s">
        <v>336</v>
      </c>
      <c r="H3499" s="1" t="s">
        <v>1405</v>
      </c>
      <c r="I3499">
        <v>2015</v>
      </c>
      <c r="J3499" s="93">
        <v>134622</v>
      </c>
      <c r="K3499">
        <v>5</v>
      </c>
      <c r="L3499" s="1"/>
      <c r="M3499">
        <v>0</v>
      </c>
      <c r="N3499">
        <v>7936</v>
      </c>
      <c r="O3499">
        <v>7.2980549999999997</v>
      </c>
      <c r="P3499">
        <v>2</v>
      </c>
      <c r="Q3499" s="1" t="s">
        <v>569</v>
      </c>
      <c r="R3499" s="93">
        <v>57918.1</v>
      </c>
      <c r="S3499">
        <v>17375.43</v>
      </c>
      <c r="T3499">
        <v>0</v>
      </c>
      <c r="U3499" s="1"/>
      <c r="V3499" s="1"/>
      <c r="W3499">
        <v>57918.1</v>
      </c>
      <c r="X3499">
        <v>0</v>
      </c>
      <c r="Y3499">
        <v>72738</v>
      </c>
    </row>
    <row r="3500" spans="1:25" ht="15" hidden="1" customHeight="1" x14ac:dyDescent="0.25">
      <c r="A3500" s="1" t="s">
        <v>37</v>
      </c>
      <c r="B3500" s="1"/>
      <c r="C3500" s="1" t="s">
        <v>239</v>
      </c>
      <c r="D3500">
        <v>5956</v>
      </c>
      <c r="E3500" s="1"/>
      <c r="F3500" s="1" t="s">
        <v>386</v>
      </c>
      <c r="G3500" s="1" t="s">
        <v>239</v>
      </c>
      <c r="H3500" s="1" t="s">
        <v>1405</v>
      </c>
      <c r="I3500">
        <v>2012</v>
      </c>
      <c r="J3500" s="93">
        <v>1061.05</v>
      </c>
      <c r="K3500">
        <v>1</v>
      </c>
      <c r="L3500" s="1" t="s">
        <v>411</v>
      </c>
      <c r="M3500">
        <v>0</v>
      </c>
      <c r="N3500">
        <v>186</v>
      </c>
      <c r="O3500">
        <v>5.7015039999999999</v>
      </c>
      <c r="P3500">
        <v>2</v>
      </c>
      <c r="Q3500" s="1" t="s">
        <v>569</v>
      </c>
      <c r="R3500" s="93">
        <v>1061.05</v>
      </c>
      <c r="S3500">
        <v>424.42</v>
      </c>
      <c r="T3500">
        <v>0</v>
      </c>
      <c r="U3500" s="1" t="s">
        <v>1097</v>
      </c>
      <c r="V3500" s="1"/>
      <c r="W3500">
        <v>1061.0526299999999</v>
      </c>
      <c r="X3500">
        <v>0</v>
      </c>
      <c r="Y3500">
        <v>60013</v>
      </c>
    </row>
    <row r="3501" spans="1:25" ht="15" hidden="1" customHeight="1" x14ac:dyDescent="0.25">
      <c r="A3501" s="1" t="s">
        <v>37</v>
      </c>
      <c r="B3501" s="1"/>
      <c r="C3501" s="1" t="s">
        <v>239</v>
      </c>
      <c r="D3501">
        <v>5956</v>
      </c>
      <c r="E3501" s="1"/>
      <c r="F3501" s="1" t="s">
        <v>386</v>
      </c>
      <c r="G3501" s="1" t="s">
        <v>239</v>
      </c>
      <c r="H3501" s="1" t="s">
        <v>1405</v>
      </c>
      <c r="I3501">
        <v>2012</v>
      </c>
      <c r="J3501" s="93">
        <v>14954.97</v>
      </c>
      <c r="K3501">
        <v>11</v>
      </c>
      <c r="L3501" s="1"/>
      <c r="M3501">
        <v>0</v>
      </c>
      <c r="N3501">
        <v>186</v>
      </c>
      <c r="O3501">
        <v>80.359859999999998</v>
      </c>
      <c r="P3501">
        <v>2</v>
      </c>
      <c r="Q3501" s="1" t="s">
        <v>569</v>
      </c>
      <c r="R3501" s="93">
        <v>14954.97</v>
      </c>
      <c r="S3501">
        <v>5981.99</v>
      </c>
      <c r="T3501">
        <v>0</v>
      </c>
      <c r="U3501" s="1" t="s">
        <v>1096</v>
      </c>
      <c r="V3501" s="1" t="s">
        <v>1341</v>
      </c>
      <c r="W3501">
        <v>14954.9766</v>
      </c>
      <c r="X3501">
        <v>0</v>
      </c>
      <c r="Y3501">
        <v>91057</v>
      </c>
    </row>
    <row r="3502" spans="1:25" ht="15" hidden="1" customHeight="1" x14ac:dyDescent="0.25">
      <c r="A3502" s="1" t="s">
        <v>37</v>
      </c>
      <c r="B3502" s="1"/>
      <c r="C3502" s="1" t="s">
        <v>239</v>
      </c>
      <c r="D3502">
        <v>5956</v>
      </c>
      <c r="E3502" s="1"/>
      <c r="F3502" s="1" t="s">
        <v>386</v>
      </c>
      <c r="G3502" s="1" t="s">
        <v>239</v>
      </c>
      <c r="H3502" s="1" t="s">
        <v>1405</v>
      </c>
      <c r="I3502">
        <v>2011</v>
      </c>
      <c r="J3502" s="93">
        <v>19450.830000000002</v>
      </c>
      <c r="K3502">
        <v>3</v>
      </c>
      <c r="L3502" s="1" t="s">
        <v>411</v>
      </c>
      <c r="M3502">
        <v>0</v>
      </c>
      <c r="N3502">
        <v>186</v>
      </c>
      <c r="O3502">
        <v>104.518162</v>
      </c>
      <c r="P3502">
        <v>2</v>
      </c>
      <c r="Q3502" s="1" t="s">
        <v>569</v>
      </c>
      <c r="R3502" s="93">
        <v>19450.830000000002</v>
      </c>
      <c r="S3502">
        <v>9122.42</v>
      </c>
      <c r="T3502">
        <v>0</v>
      </c>
      <c r="U3502" s="1" t="s">
        <v>1097</v>
      </c>
      <c r="V3502" s="1"/>
      <c r="W3502">
        <v>19450.804499999998</v>
      </c>
      <c r="X3502">
        <v>0</v>
      </c>
      <c r="Y3502">
        <v>60013</v>
      </c>
    </row>
    <row r="3503" spans="1:25" ht="15" hidden="1" customHeight="1" x14ac:dyDescent="0.25">
      <c r="A3503" s="1" t="s">
        <v>37</v>
      </c>
      <c r="B3503" s="1"/>
      <c r="C3503" s="1" t="s">
        <v>239</v>
      </c>
      <c r="D3503">
        <v>5956</v>
      </c>
      <c r="E3503" s="1"/>
      <c r="F3503" s="1" t="s">
        <v>386</v>
      </c>
      <c r="G3503" s="1" t="s">
        <v>239</v>
      </c>
      <c r="H3503" s="1" t="s">
        <v>1405</v>
      </c>
      <c r="I3503">
        <v>2010</v>
      </c>
      <c r="J3503" s="93">
        <v>22283.279999999999</v>
      </c>
      <c r="K3503">
        <v>4</v>
      </c>
      <c r="L3503" s="1" t="s">
        <v>411</v>
      </c>
      <c r="M3503">
        <v>0</v>
      </c>
      <c r="N3503">
        <v>186</v>
      </c>
      <c r="O3503">
        <v>119.73820499999999</v>
      </c>
      <c r="P3503">
        <v>2</v>
      </c>
      <c r="Q3503" s="1" t="s">
        <v>569</v>
      </c>
      <c r="R3503" s="93">
        <v>22283.279999999999</v>
      </c>
      <c r="S3503">
        <v>10450.870000000001</v>
      </c>
      <c r="T3503">
        <v>0</v>
      </c>
      <c r="U3503" s="1" t="s">
        <v>1097</v>
      </c>
      <c r="V3503" s="1"/>
      <c r="W3503">
        <v>22283.30503</v>
      </c>
      <c r="X3503">
        <v>0</v>
      </c>
      <c r="Y3503">
        <v>60013</v>
      </c>
    </row>
    <row r="3504" spans="1:25" ht="15" hidden="1" customHeight="1" x14ac:dyDescent="0.25">
      <c r="A3504" s="1" t="s">
        <v>37</v>
      </c>
      <c r="B3504" s="1"/>
      <c r="C3504" s="1" t="s">
        <v>239</v>
      </c>
      <c r="D3504">
        <v>5956</v>
      </c>
      <c r="E3504" s="1"/>
      <c r="F3504" s="1" t="s">
        <v>386</v>
      </c>
      <c r="G3504" s="1" t="s">
        <v>239</v>
      </c>
      <c r="H3504" s="1" t="s">
        <v>1405</v>
      </c>
      <c r="I3504">
        <v>2009</v>
      </c>
      <c r="J3504" s="93">
        <v>20185.009999999998</v>
      </c>
      <c r="K3504">
        <v>3</v>
      </c>
      <c r="L3504" s="1" t="s">
        <v>411</v>
      </c>
      <c r="M3504">
        <v>0</v>
      </c>
      <c r="N3504">
        <v>186</v>
      </c>
      <c r="O3504">
        <v>108.463245</v>
      </c>
      <c r="P3504">
        <v>2</v>
      </c>
      <c r="Q3504" s="1" t="s">
        <v>569</v>
      </c>
      <c r="R3504" s="93">
        <v>20185.009999999998</v>
      </c>
      <c r="S3504">
        <v>9466.7900000000009</v>
      </c>
      <c r="T3504">
        <v>0</v>
      </c>
      <c r="U3504" s="1" t="s">
        <v>1097</v>
      </c>
      <c r="V3504" s="1"/>
      <c r="W3504">
        <v>20185.024389999999</v>
      </c>
      <c r="X3504">
        <v>0</v>
      </c>
      <c r="Y3504">
        <v>60013</v>
      </c>
    </row>
    <row r="3505" spans="1:25" ht="15" hidden="1" customHeight="1" x14ac:dyDescent="0.25">
      <c r="A3505" s="1" t="s">
        <v>37</v>
      </c>
      <c r="B3505" s="1"/>
      <c r="C3505" s="1" t="s">
        <v>239</v>
      </c>
      <c r="D3505">
        <v>5956</v>
      </c>
      <c r="E3505" s="1"/>
      <c r="F3505" s="1" t="s">
        <v>386</v>
      </c>
      <c r="G3505" s="1" t="s">
        <v>239</v>
      </c>
      <c r="H3505" s="1" t="s">
        <v>1405</v>
      </c>
      <c r="I3505">
        <v>2008</v>
      </c>
      <c r="J3505" s="93">
        <v>16721.919999999998</v>
      </c>
      <c r="K3505">
        <v>6</v>
      </c>
      <c r="L3505" s="1" t="s">
        <v>411</v>
      </c>
      <c r="M3505">
        <v>0</v>
      </c>
      <c r="N3505">
        <v>186</v>
      </c>
      <c r="O3505">
        <v>89.854485999999994</v>
      </c>
      <c r="P3505">
        <v>2</v>
      </c>
      <c r="Q3505" s="1" t="s">
        <v>569</v>
      </c>
      <c r="R3505" s="93">
        <v>16721.919999999998</v>
      </c>
      <c r="S3505">
        <v>7842.59</v>
      </c>
      <c r="T3505">
        <v>0</v>
      </c>
      <c r="U3505" s="1" t="s">
        <v>1097</v>
      </c>
      <c r="V3505" s="1"/>
      <c r="W3505">
        <v>16721.92772</v>
      </c>
      <c r="X3505">
        <v>0</v>
      </c>
      <c r="Y3505">
        <v>60013</v>
      </c>
    </row>
    <row r="3506" spans="1:25" ht="15" hidden="1" customHeight="1" x14ac:dyDescent="0.25">
      <c r="A3506" s="1" t="s">
        <v>37</v>
      </c>
      <c r="B3506" s="1"/>
      <c r="C3506" s="1" t="s">
        <v>202</v>
      </c>
      <c r="D3506">
        <v>10321</v>
      </c>
      <c r="E3506" s="1"/>
      <c r="F3506" s="1" t="s">
        <v>337</v>
      </c>
      <c r="G3506" s="1" t="s">
        <v>1400</v>
      </c>
      <c r="H3506" s="1" t="s">
        <v>1405</v>
      </c>
      <c r="I3506">
        <v>2015</v>
      </c>
      <c r="J3506" s="93">
        <v>7452</v>
      </c>
      <c r="K3506">
        <v>5</v>
      </c>
      <c r="L3506" s="1" t="s">
        <v>411</v>
      </c>
      <c r="M3506">
        <v>0</v>
      </c>
      <c r="N3506">
        <v>126</v>
      </c>
      <c r="O3506">
        <v>31.518239000000001</v>
      </c>
      <c r="P3506">
        <v>2</v>
      </c>
      <c r="Q3506" s="1" t="s">
        <v>569</v>
      </c>
      <c r="R3506" s="93">
        <v>3974.45</v>
      </c>
      <c r="S3506">
        <v>1192.32</v>
      </c>
      <c r="T3506">
        <v>0</v>
      </c>
      <c r="U3506" s="1" t="s">
        <v>1094</v>
      </c>
      <c r="V3506" s="1" t="s">
        <v>1339</v>
      </c>
      <c r="W3506">
        <v>3974.4358000000002</v>
      </c>
      <c r="X3506">
        <v>0</v>
      </c>
      <c r="Y3506">
        <v>77808</v>
      </c>
    </row>
    <row r="3507" spans="1:25" ht="15" hidden="1" customHeight="1" x14ac:dyDescent="0.25">
      <c r="A3507" s="1" t="s">
        <v>37</v>
      </c>
      <c r="B3507" s="1"/>
      <c r="C3507" s="1" t="s">
        <v>203</v>
      </c>
      <c r="D3507">
        <v>9222</v>
      </c>
      <c r="E3507" s="1"/>
      <c r="F3507" s="1" t="s">
        <v>338</v>
      </c>
      <c r="G3507" s="1" t="s">
        <v>338</v>
      </c>
      <c r="H3507" s="1" t="s">
        <v>1405</v>
      </c>
      <c r="I3507">
        <v>2015</v>
      </c>
      <c r="J3507" s="93">
        <v>255333</v>
      </c>
      <c r="K3507">
        <v>5</v>
      </c>
      <c r="L3507" s="1"/>
      <c r="M3507">
        <v>0</v>
      </c>
      <c r="N3507">
        <v>11252</v>
      </c>
      <c r="O3507">
        <v>10.139962000000001</v>
      </c>
      <c r="P3507">
        <v>2</v>
      </c>
      <c r="Q3507" s="1" t="s">
        <v>569</v>
      </c>
      <c r="R3507" s="93">
        <v>114095.87</v>
      </c>
      <c r="S3507">
        <v>34228.76</v>
      </c>
      <c r="T3507">
        <v>0</v>
      </c>
      <c r="U3507" s="1" t="s">
        <v>1095</v>
      </c>
      <c r="V3507" s="1" t="s">
        <v>1340</v>
      </c>
      <c r="W3507">
        <v>114095.878</v>
      </c>
      <c r="X3507">
        <v>0</v>
      </c>
      <c r="Y3507">
        <v>72736</v>
      </c>
    </row>
    <row r="3508" spans="1:25" ht="15" hidden="1" customHeight="1" x14ac:dyDescent="0.25">
      <c r="A3508" s="1" t="s">
        <v>37</v>
      </c>
      <c r="B3508" s="1"/>
      <c r="C3508" s="1" t="s">
        <v>239</v>
      </c>
      <c r="D3508">
        <v>5942</v>
      </c>
      <c r="E3508" s="1"/>
      <c r="F3508" s="1" t="s">
        <v>387</v>
      </c>
      <c r="G3508" s="1" t="s">
        <v>239</v>
      </c>
      <c r="H3508" s="1" t="s">
        <v>1405</v>
      </c>
      <c r="I3508">
        <v>2012</v>
      </c>
      <c r="J3508" s="93">
        <v>429</v>
      </c>
      <c r="K3508">
        <v>2</v>
      </c>
      <c r="L3508" s="1" t="s">
        <v>547</v>
      </c>
      <c r="M3508">
        <v>0</v>
      </c>
      <c r="N3508">
        <v>506</v>
      </c>
      <c r="O3508">
        <v>0.84765800000000002</v>
      </c>
      <c r="P3508">
        <v>2</v>
      </c>
      <c r="Q3508" s="1" t="s">
        <v>569</v>
      </c>
      <c r="R3508" s="93">
        <v>429</v>
      </c>
      <c r="S3508">
        <v>171.6</v>
      </c>
      <c r="T3508">
        <v>0</v>
      </c>
      <c r="U3508" s="1" t="s">
        <v>1098</v>
      </c>
      <c r="V3508" s="1"/>
      <c r="W3508">
        <v>429</v>
      </c>
      <c r="X3508">
        <v>0</v>
      </c>
      <c r="Y3508">
        <v>59942</v>
      </c>
    </row>
    <row r="3509" spans="1:25" ht="15" hidden="1" customHeight="1" x14ac:dyDescent="0.25">
      <c r="A3509" s="1" t="s">
        <v>37</v>
      </c>
      <c r="B3509" s="1"/>
      <c r="C3509" s="1" t="s">
        <v>239</v>
      </c>
      <c r="D3509">
        <v>5942</v>
      </c>
      <c r="E3509" s="1"/>
      <c r="F3509" s="1" t="s">
        <v>387</v>
      </c>
      <c r="G3509" s="1" t="s">
        <v>239</v>
      </c>
      <c r="H3509" s="1" t="s">
        <v>1405</v>
      </c>
      <c r="I3509">
        <v>2012</v>
      </c>
      <c r="J3509" s="93">
        <v>5386.1</v>
      </c>
      <c r="K3509">
        <v>11</v>
      </c>
      <c r="L3509" s="1"/>
      <c r="M3509">
        <v>0</v>
      </c>
      <c r="N3509">
        <v>506</v>
      </c>
      <c r="O3509">
        <v>10.642363</v>
      </c>
      <c r="P3509">
        <v>2</v>
      </c>
      <c r="Q3509" s="1" t="s">
        <v>569</v>
      </c>
      <c r="R3509" s="93">
        <v>5386.1</v>
      </c>
      <c r="S3509">
        <v>2154.44</v>
      </c>
      <c r="T3509">
        <v>0</v>
      </c>
      <c r="U3509" s="1"/>
      <c r="V3509" s="1" t="s">
        <v>1342</v>
      </c>
      <c r="W3509">
        <v>5386.0956999999999</v>
      </c>
      <c r="X3509">
        <v>0</v>
      </c>
      <c r="Y3509">
        <v>91058</v>
      </c>
    </row>
    <row r="3510" spans="1:25" ht="15" hidden="1" customHeight="1" x14ac:dyDescent="0.25">
      <c r="A3510" s="1" t="s">
        <v>37</v>
      </c>
      <c r="B3510" s="1"/>
      <c r="C3510" s="1" t="s">
        <v>239</v>
      </c>
      <c r="D3510">
        <v>5942</v>
      </c>
      <c r="E3510" s="1"/>
      <c r="F3510" s="1" t="s">
        <v>387</v>
      </c>
      <c r="G3510" s="1" t="s">
        <v>239</v>
      </c>
      <c r="H3510" s="1" t="s">
        <v>1405</v>
      </c>
      <c r="I3510">
        <v>2011</v>
      </c>
      <c r="J3510" s="93">
        <v>2823.85</v>
      </c>
      <c r="K3510">
        <v>4</v>
      </c>
      <c r="L3510" s="1" t="s">
        <v>547</v>
      </c>
      <c r="M3510">
        <v>0</v>
      </c>
      <c r="N3510">
        <v>506</v>
      </c>
      <c r="O3510">
        <v>5.5796279999999996</v>
      </c>
      <c r="P3510">
        <v>2</v>
      </c>
      <c r="Q3510" s="1" t="s">
        <v>569</v>
      </c>
      <c r="R3510" s="93">
        <v>2823.85</v>
      </c>
      <c r="S3510">
        <v>1324.38</v>
      </c>
      <c r="T3510">
        <v>0</v>
      </c>
      <c r="U3510" s="1" t="s">
        <v>1098</v>
      </c>
      <c r="V3510" s="1"/>
      <c r="W3510">
        <v>2823.8571499999998</v>
      </c>
      <c r="X3510">
        <v>0</v>
      </c>
      <c r="Y3510">
        <v>59942</v>
      </c>
    </row>
    <row r="3511" spans="1:25" ht="15" hidden="1" customHeight="1" x14ac:dyDescent="0.25">
      <c r="A3511" s="1" t="s">
        <v>37</v>
      </c>
      <c r="B3511" s="1"/>
      <c r="C3511" s="1" t="s">
        <v>239</v>
      </c>
      <c r="D3511">
        <v>5942</v>
      </c>
      <c r="E3511" s="1"/>
      <c r="F3511" s="1" t="s">
        <v>387</v>
      </c>
      <c r="G3511" s="1" t="s">
        <v>239</v>
      </c>
      <c r="H3511" s="1" t="s">
        <v>1405</v>
      </c>
      <c r="I3511">
        <v>2010</v>
      </c>
      <c r="J3511" s="93">
        <v>3011.94</v>
      </c>
      <c r="K3511">
        <v>5</v>
      </c>
      <c r="L3511" s="1" t="s">
        <v>547</v>
      </c>
      <c r="M3511">
        <v>0</v>
      </c>
      <c r="N3511">
        <v>506</v>
      </c>
      <c r="O3511">
        <v>5.9512739999999997</v>
      </c>
      <c r="P3511">
        <v>2</v>
      </c>
      <c r="Q3511" s="1" t="s">
        <v>569</v>
      </c>
      <c r="R3511" s="93">
        <v>3011.94</v>
      </c>
      <c r="S3511">
        <v>1412.59</v>
      </c>
      <c r="T3511">
        <v>0</v>
      </c>
      <c r="U3511" s="1" t="s">
        <v>1098</v>
      </c>
      <c r="V3511" s="1"/>
      <c r="W3511">
        <v>3011.9397199999999</v>
      </c>
      <c r="X3511">
        <v>0</v>
      </c>
      <c r="Y3511">
        <v>59942</v>
      </c>
    </row>
    <row r="3512" spans="1:25" ht="15" hidden="1" customHeight="1" x14ac:dyDescent="0.25">
      <c r="A3512" s="1" t="s">
        <v>37</v>
      </c>
      <c r="B3512" s="1"/>
      <c r="C3512" s="1" t="s">
        <v>239</v>
      </c>
      <c r="D3512">
        <v>5942</v>
      </c>
      <c r="E3512" s="1"/>
      <c r="F3512" s="1" t="s">
        <v>387</v>
      </c>
      <c r="G3512" s="1" t="s">
        <v>239</v>
      </c>
      <c r="H3512" s="1" t="s">
        <v>1405</v>
      </c>
      <c r="I3512">
        <v>2009</v>
      </c>
      <c r="J3512" s="93">
        <v>2173.35</v>
      </c>
      <c r="K3512">
        <v>4</v>
      </c>
      <c r="L3512" s="1" t="s">
        <v>547</v>
      </c>
      <c r="M3512">
        <v>0</v>
      </c>
      <c r="N3512">
        <v>506</v>
      </c>
      <c r="O3512">
        <v>4.2943090000000002</v>
      </c>
      <c r="P3512">
        <v>2</v>
      </c>
      <c r="Q3512" s="1" t="s">
        <v>569</v>
      </c>
      <c r="R3512" s="93">
        <v>2173.35</v>
      </c>
      <c r="S3512">
        <v>1019.3</v>
      </c>
      <c r="T3512">
        <v>0</v>
      </c>
      <c r="U3512" s="1" t="s">
        <v>1098</v>
      </c>
      <c r="V3512" s="1"/>
      <c r="W3512">
        <v>2173.3523799999998</v>
      </c>
      <c r="X3512">
        <v>0</v>
      </c>
      <c r="Y3512">
        <v>59942</v>
      </c>
    </row>
    <row r="3513" spans="1:25" ht="15" hidden="1" customHeight="1" x14ac:dyDescent="0.25">
      <c r="A3513" s="1" t="s">
        <v>37</v>
      </c>
      <c r="B3513" s="1"/>
      <c r="C3513" s="1" t="s">
        <v>239</v>
      </c>
      <c r="D3513">
        <v>5942</v>
      </c>
      <c r="E3513" s="1"/>
      <c r="F3513" s="1" t="s">
        <v>387</v>
      </c>
      <c r="G3513" s="1" t="s">
        <v>239</v>
      </c>
      <c r="H3513" s="1" t="s">
        <v>1405</v>
      </c>
      <c r="I3513">
        <v>2008</v>
      </c>
      <c r="J3513" s="93">
        <v>2267.73</v>
      </c>
      <c r="K3513">
        <v>6</v>
      </c>
      <c r="L3513" s="1" t="s">
        <v>547</v>
      </c>
      <c r="M3513">
        <v>0</v>
      </c>
      <c r="N3513">
        <v>506</v>
      </c>
      <c r="O3513">
        <v>4.4807940000000004</v>
      </c>
      <c r="P3513">
        <v>2</v>
      </c>
      <c r="Q3513" s="1" t="s">
        <v>569</v>
      </c>
      <c r="R3513" s="93">
        <v>2267.73</v>
      </c>
      <c r="S3513">
        <v>1063.57</v>
      </c>
      <c r="T3513">
        <v>0</v>
      </c>
      <c r="U3513" s="1" t="s">
        <v>1098</v>
      </c>
      <c r="V3513" s="1"/>
      <c r="W3513">
        <v>2267.7364699999998</v>
      </c>
      <c r="X3513">
        <v>0</v>
      </c>
      <c r="Y3513">
        <v>59942</v>
      </c>
    </row>
    <row r="3514" spans="1:25" ht="15" hidden="1" customHeight="1" x14ac:dyDescent="0.25">
      <c r="A3514" s="1" t="s">
        <v>37</v>
      </c>
      <c r="B3514" s="1"/>
      <c r="C3514" s="1" t="s">
        <v>239</v>
      </c>
      <c r="D3514">
        <v>5956</v>
      </c>
      <c r="E3514" s="1"/>
      <c r="F3514" s="1" t="s">
        <v>386</v>
      </c>
      <c r="G3514" s="1" t="s">
        <v>239</v>
      </c>
      <c r="H3514" s="1" t="s">
        <v>1405</v>
      </c>
      <c r="I3514">
        <v>2015</v>
      </c>
      <c r="J3514" s="93">
        <v>15026</v>
      </c>
      <c r="K3514">
        <v>5</v>
      </c>
      <c r="L3514" s="1"/>
      <c r="M3514">
        <v>0</v>
      </c>
      <c r="N3514">
        <v>186</v>
      </c>
      <c r="O3514">
        <v>37.382320999999997</v>
      </c>
      <c r="P3514">
        <v>2</v>
      </c>
      <c r="Q3514" s="1" t="s">
        <v>569</v>
      </c>
      <c r="R3514" s="93">
        <v>6956.85</v>
      </c>
      <c r="S3514">
        <v>2087.0500000000002</v>
      </c>
      <c r="T3514">
        <v>0</v>
      </c>
      <c r="U3514" s="1" t="s">
        <v>1096</v>
      </c>
      <c r="V3514" s="1" t="s">
        <v>1341</v>
      </c>
      <c r="W3514">
        <v>6956.8440000000001</v>
      </c>
      <c r="X3514">
        <v>0</v>
      </c>
      <c r="Y3514">
        <v>91057</v>
      </c>
    </row>
    <row r="3515" spans="1:25" ht="15" hidden="1" customHeight="1" x14ac:dyDescent="0.25">
      <c r="A3515" s="1" t="s">
        <v>37</v>
      </c>
      <c r="B3515" s="1"/>
      <c r="C3515" s="1" t="s">
        <v>239</v>
      </c>
      <c r="D3515">
        <v>5942</v>
      </c>
      <c r="E3515" s="1"/>
      <c r="F3515" s="1" t="s">
        <v>387</v>
      </c>
      <c r="G3515" s="1" t="s">
        <v>239</v>
      </c>
      <c r="H3515" s="1" t="s">
        <v>1405</v>
      </c>
      <c r="I3515">
        <v>2015</v>
      </c>
      <c r="J3515" s="93">
        <v>7111</v>
      </c>
      <c r="K3515">
        <v>5</v>
      </c>
      <c r="L3515" s="1"/>
      <c r="M3515">
        <v>0</v>
      </c>
      <c r="N3515">
        <v>506</v>
      </c>
      <c r="O3515">
        <v>5.7576960000000001</v>
      </c>
      <c r="P3515">
        <v>2</v>
      </c>
      <c r="Q3515" s="1" t="s">
        <v>569</v>
      </c>
      <c r="R3515" s="93">
        <v>2913.97</v>
      </c>
      <c r="S3515">
        <v>874.18</v>
      </c>
      <c r="T3515">
        <v>0</v>
      </c>
      <c r="U3515" s="1"/>
      <c r="V3515" s="1" t="s">
        <v>1342</v>
      </c>
      <c r="W3515">
        <v>2913.9720000000002</v>
      </c>
      <c r="X3515">
        <v>0</v>
      </c>
      <c r="Y3515">
        <v>91058</v>
      </c>
    </row>
    <row r="3516" spans="1:25" ht="15" hidden="1" customHeight="1" x14ac:dyDescent="0.25">
      <c r="A3516" s="1" t="s">
        <v>38</v>
      </c>
      <c r="B3516" s="1"/>
      <c r="C3516" s="1" t="s">
        <v>204</v>
      </c>
      <c r="D3516">
        <v>10165</v>
      </c>
      <c r="E3516" s="1"/>
      <c r="F3516" s="1" t="s">
        <v>339</v>
      </c>
      <c r="G3516" s="1" t="s">
        <v>1401</v>
      </c>
      <c r="H3516" s="1" t="s">
        <v>1405</v>
      </c>
      <c r="I3516">
        <v>2015</v>
      </c>
      <c r="J3516" s="93">
        <v>25</v>
      </c>
      <c r="K3516">
        <v>5</v>
      </c>
      <c r="L3516" s="1" t="s">
        <v>449</v>
      </c>
      <c r="M3516">
        <v>0</v>
      </c>
      <c r="N3516">
        <v>168</v>
      </c>
      <c r="O3516">
        <v>8.0071000000000003E-2</v>
      </c>
      <c r="P3516">
        <v>3</v>
      </c>
      <c r="Q3516" s="1" t="s">
        <v>560</v>
      </c>
      <c r="R3516" s="93">
        <v>13.46</v>
      </c>
      <c r="S3516">
        <v>10.76</v>
      </c>
      <c r="T3516">
        <v>0</v>
      </c>
      <c r="U3516" s="1" t="s">
        <v>694</v>
      </c>
      <c r="V3516" s="1"/>
      <c r="W3516">
        <v>13.454000000000001</v>
      </c>
      <c r="X3516">
        <v>0</v>
      </c>
      <c r="Y3516">
        <v>77158</v>
      </c>
    </row>
    <row r="3517" spans="1:25" ht="15" hidden="1" customHeight="1" x14ac:dyDescent="0.25">
      <c r="A3517" s="1" t="s">
        <v>38</v>
      </c>
      <c r="B3517" s="1"/>
      <c r="C3517" s="1" t="s">
        <v>204</v>
      </c>
      <c r="D3517">
        <v>10165</v>
      </c>
      <c r="E3517" s="1"/>
      <c r="F3517" s="1" t="s">
        <v>339</v>
      </c>
      <c r="G3517" s="1" t="s">
        <v>1401</v>
      </c>
      <c r="H3517" s="1" t="s">
        <v>1405</v>
      </c>
      <c r="I3517">
        <v>2013</v>
      </c>
      <c r="J3517" s="93">
        <v>209.76</v>
      </c>
      <c r="K3517">
        <v>12</v>
      </c>
      <c r="L3517" s="1" t="s">
        <v>449</v>
      </c>
      <c r="M3517">
        <v>0</v>
      </c>
      <c r="N3517">
        <v>168</v>
      </c>
      <c r="O3517">
        <v>1.2478279999999999</v>
      </c>
      <c r="P3517">
        <v>3</v>
      </c>
      <c r="Q3517" s="1" t="s">
        <v>560</v>
      </c>
      <c r="R3517" s="93">
        <v>209.76</v>
      </c>
      <c r="S3517">
        <v>167.81</v>
      </c>
      <c r="T3517">
        <v>0</v>
      </c>
      <c r="U3517" s="1" t="s">
        <v>694</v>
      </c>
      <c r="V3517" s="1"/>
      <c r="W3517">
        <v>209.75800000000001</v>
      </c>
      <c r="X3517">
        <v>0</v>
      </c>
      <c r="Y3517">
        <v>77158</v>
      </c>
    </row>
    <row r="3518" spans="1:25" ht="15" hidden="1" customHeight="1" x14ac:dyDescent="0.25">
      <c r="A3518" s="1" t="s">
        <v>38</v>
      </c>
      <c r="B3518" s="1"/>
      <c r="C3518" s="1" t="s">
        <v>204</v>
      </c>
      <c r="D3518">
        <v>10165</v>
      </c>
      <c r="E3518" s="1"/>
      <c r="F3518" s="1" t="s">
        <v>339</v>
      </c>
      <c r="G3518" s="1" t="s">
        <v>1401</v>
      </c>
      <c r="H3518" s="1" t="s">
        <v>1405</v>
      </c>
      <c r="I3518">
        <v>2012</v>
      </c>
      <c r="J3518" s="93">
        <v>164.39</v>
      </c>
      <c r="K3518">
        <v>12</v>
      </c>
      <c r="L3518" s="1" t="s">
        <v>449</v>
      </c>
      <c r="M3518">
        <v>0</v>
      </c>
      <c r="N3518">
        <v>168</v>
      </c>
      <c r="O3518">
        <v>0.97792900000000005</v>
      </c>
      <c r="P3518">
        <v>3</v>
      </c>
      <c r="Q3518" s="1" t="s">
        <v>560</v>
      </c>
      <c r="R3518" s="93">
        <v>164.39</v>
      </c>
      <c r="S3518">
        <v>131.5</v>
      </c>
      <c r="T3518">
        <v>0</v>
      </c>
      <c r="U3518" s="1" t="s">
        <v>694</v>
      </c>
      <c r="V3518" s="1"/>
      <c r="W3518">
        <v>164.37854999999999</v>
      </c>
      <c r="X3518">
        <v>0</v>
      </c>
      <c r="Y3518">
        <v>77158</v>
      </c>
    </row>
    <row r="3519" spans="1:25" ht="15" hidden="1" customHeight="1" x14ac:dyDescent="0.25">
      <c r="A3519" s="1" t="s">
        <v>38</v>
      </c>
      <c r="B3519" s="1"/>
      <c r="C3519" s="1" t="s">
        <v>204</v>
      </c>
      <c r="D3519">
        <v>10165</v>
      </c>
      <c r="E3519" s="1"/>
      <c r="F3519" s="1" t="s">
        <v>339</v>
      </c>
      <c r="G3519" s="1" t="s">
        <v>1401</v>
      </c>
      <c r="H3519" s="1" t="s">
        <v>1405</v>
      </c>
      <c r="I3519">
        <v>2011</v>
      </c>
      <c r="J3519" s="93">
        <v>48.06</v>
      </c>
      <c r="K3519">
        <v>10</v>
      </c>
      <c r="L3519" s="1" t="s">
        <v>449</v>
      </c>
      <c r="M3519">
        <v>0</v>
      </c>
      <c r="N3519">
        <v>168</v>
      </c>
      <c r="O3519">
        <v>0.28590100000000002</v>
      </c>
      <c r="P3519">
        <v>3</v>
      </c>
      <c r="Q3519" s="1" t="s">
        <v>560</v>
      </c>
      <c r="R3519" s="93">
        <v>48.06</v>
      </c>
      <c r="S3519">
        <v>38.44</v>
      </c>
      <c r="T3519">
        <v>0</v>
      </c>
      <c r="U3519" s="1" t="s">
        <v>694</v>
      </c>
      <c r="V3519" s="1"/>
      <c r="W3519">
        <v>48.045450000000002</v>
      </c>
      <c r="X3519">
        <v>0</v>
      </c>
      <c r="Y3519">
        <v>77158</v>
      </c>
    </row>
    <row r="3520" spans="1:25" ht="15" hidden="1" customHeight="1" x14ac:dyDescent="0.25">
      <c r="A3520" s="1" t="s">
        <v>38</v>
      </c>
      <c r="B3520" s="1"/>
      <c r="C3520" s="1" t="s">
        <v>204</v>
      </c>
      <c r="D3520">
        <v>10165</v>
      </c>
      <c r="E3520" s="1"/>
      <c r="F3520" s="1" t="s">
        <v>339</v>
      </c>
      <c r="G3520" s="1" t="s">
        <v>1401</v>
      </c>
      <c r="H3520" s="1" t="s">
        <v>1405</v>
      </c>
      <c r="I3520">
        <v>2010</v>
      </c>
      <c r="J3520" s="93">
        <v>1.19</v>
      </c>
      <c r="K3520">
        <v>3</v>
      </c>
      <c r="L3520" s="1" t="s">
        <v>449</v>
      </c>
      <c r="M3520">
        <v>0</v>
      </c>
      <c r="N3520">
        <v>168</v>
      </c>
      <c r="O3520">
        <v>7.0790000000000002E-3</v>
      </c>
      <c r="P3520">
        <v>3</v>
      </c>
      <c r="Q3520" s="1" t="s">
        <v>560</v>
      </c>
      <c r="R3520" s="93">
        <v>1.19</v>
      </c>
      <c r="S3520">
        <v>0.96</v>
      </c>
      <c r="T3520">
        <v>0</v>
      </c>
      <c r="U3520" s="1" t="s">
        <v>694</v>
      </c>
      <c r="V3520" s="1"/>
      <c r="W3520">
        <v>1.1927700000000001</v>
      </c>
      <c r="X3520">
        <v>0</v>
      </c>
      <c r="Y3520">
        <v>77158</v>
      </c>
    </row>
    <row r="3521" spans="1:25" ht="15" hidden="1" customHeight="1" x14ac:dyDescent="0.25">
      <c r="A3521" s="1" t="s">
        <v>38</v>
      </c>
      <c r="B3521" s="1"/>
      <c r="C3521" s="1" t="s">
        <v>204</v>
      </c>
      <c r="D3521">
        <v>10165</v>
      </c>
      <c r="E3521" s="1"/>
      <c r="F3521" s="1" t="s">
        <v>339</v>
      </c>
      <c r="G3521" s="1" t="s">
        <v>1401</v>
      </c>
      <c r="H3521" s="1" t="s">
        <v>1405</v>
      </c>
      <c r="I3521">
        <v>2009</v>
      </c>
      <c r="J3521" s="93">
        <v>103.5</v>
      </c>
      <c r="K3521">
        <v>6</v>
      </c>
      <c r="L3521" s="1" t="s">
        <v>449</v>
      </c>
      <c r="M3521">
        <v>0</v>
      </c>
      <c r="N3521">
        <v>168</v>
      </c>
      <c r="O3521">
        <v>0.61570400000000003</v>
      </c>
      <c r="P3521">
        <v>3</v>
      </c>
      <c r="Q3521" s="1" t="s">
        <v>560</v>
      </c>
      <c r="R3521" s="93">
        <v>103.5</v>
      </c>
      <c r="S3521">
        <v>82.81</v>
      </c>
      <c r="T3521">
        <v>0</v>
      </c>
      <c r="U3521" s="1" t="s">
        <v>694</v>
      </c>
      <c r="V3521" s="1"/>
      <c r="W3521">
        <v>103.50167</v>
      </c>
      <c r="X3521">
        <v>0</v>
      </c>
      <c r="Y3521">
        <v>77158</v>
      </c>
    </row>
    <row r="3522" spans="1:25" ht="15" hidden="1" customHeight="1" x14ac:dyDescent="0.25">
      <c r="A3522" s="1" t="s">
        <v>38</v>
      </c>
      <c r="B3522" s="1"/>
      <c r="C3522" s="1" t="s">
        <v>204</v>
      </c>
      <c r="D3522">
        <v>10165</v>
      </c>
      <c r="E3522" s="1"/>
      <c r="F3522" s="1" t="s">
        <v>339</v>
      </c>
      <c r="G3522" s="1" t="s">
        <v>1401</v>
      </c>
      <c r="H3522" s="1" t="s">
        <v>1405</v>
      </c>
      <c r="I3522">
        <v>2008</v>
      </c>
      <c r="J3522" s="93">
        <v>167.78</v>
      </c>
      <c r="K3522">
        <v>6</v>
      </c>
      <c r="L3522" s="1" t="s">
        <v>449</v>
      </c>
      <c r="M3522">
        <v>0</v>
      </c>
      <c r="N3522">
        <v>168</v>
      </c>
      <c r="O3522">
        <v>0.99809599999999998</v>
      </c>
      <c r="P3522">
        <v>3</v>
      </c>
      <c r="Q3522" s="1" t="s">
        <v>560</v>
      </c>
      <c r="R3522" s="93">
        <v>167.78</v>
      </c>
      <c r="S3522">
        <v>134.22</v>
      </c>
      <c r="T3522">
        <v>0</v>
      </c>
      <c r="U3522" s="1" t="s">
        <v>694</v>
      </c>
      <c r="V3522" s="1"/>
      <c r="W3522">
        <v>167.77807000000001</v>
      </c>
      <c r="X3522">
        <v>0</v>
      </c>
      <c r="Y3522">
        <v>77158</v>
      </c>
    </row>
    <row r="3523" spans="1:25" ht="15" hidden="1" customHeight="1" x14ac:dyDescent="0.25">
      <c r="A3523" s="1" t="s">
        <v>38</v>
      </c>
      <c r="B3523" s="1"/>
      <c r="C3523" s="1" t="s">
        <v>205</v>
      </c>
      <c r="D3523">
        <v>10166</v>
      </c>
      <c r="E3523" s="1"/>
      <c r="F3523" s="1" t="s">
        <v>340</v>
      </c>
      <c r="G3523" s="1" t="s">
        <v>1401</v>
      </c>
      <c r="H3523" s="1" t="s">
        <v>1405</v>
      </c>
      <c r="I3523">
        <v>2015</v>
      </c>
      <c r="J3523" s="93">
        <v>10</v>
      </c>
      <c r="K3523">
        <v>5</v>
      </c>
      <c r="L3523" s="1" t="s">
        <v>432</v>
      </c>
      <c r="M3523">
        <v>0</v>
      </c>
      <c r="N3523">
        <v>228</v>
      </c>
      <c r="O3523">
        <v>3.0688E-2</v>
      </c>
      <c r="P3523">
        <v>3</v>
      </c>
      <c r="Q3523" s="1" t="s">
        <v>560</v>
      </c>
      <c r="R3523" s="93">
        <v>7</v>
      </c>
      <c r="S3523">
        <v>5.6</v>
      </c>
      <c r="T3523">
        <v>0</v>
      </c>
      <c r="U3523" s="1" t="s">
        <v>695</v>
      </c>
      <c r="V3523" s="1"/>
      <c r="W3523">
        <v>7</v>
      </c>
      <c r="X3523">
        <v>0</v>
      </c>
      <c r="Y3523">
        <v>77161</v>
      </c>
    </row>
    <row r="3524" spans="1:25" ht="15" hidden="1" customHeight="1" x14ac:dyDescent="0.25">
      <c r="A3524" s="1" t="s">
        <v>38</v>
      </c>
      <c r="B3524" s="1"/>
      <c r="C3524" s="1" t="s">
        <v>205</v>
      </c>
      <c r="D3524">
        <v>10166</v>
      </c>
      <c r="E3524" s="1"/>
      <c r="F3524" s="1" t="s">
        <v>340</v>
      </c>
      <c r="G3524" s="1" t="s">
        <v>1401</v>
      </c>
      <c r="H3524" s="1" t="s">
        <v>1405</v>
      </c>
      <c r="I3524">
        <v>2013</v>
      </c>
      <c r="J3524" s="93">
        <v>80.900000000000006</v>
      </c>
      <c r="K3524">
        <v>12</v>
      </c>
      <c r="L3524" s="1" t="s">
        <v>432</v>
      </c>
      <c r="M3524">
        <v>0</v>
      </c>
      <c r="N3524">
        <v>228</v>
      </c>
      <c r="O3524">
        <v>0.35466900000000001</v>
      </c>
      <c r="P3524">
        <v>3</v>
      </c>
      <c r="Q3524" s="1" t="s">
        <v>560</v>
      </c>
      <c r="R3524" s="93">
        <v>80.900000000000006</v>
      </c>
      <c r="S3524">
        <v>64.72</v>
      </c>
      <c r="T3524">
        <v>0</v>
      </c>
      <c r="U3524" s="1" t="s">
        <v>695</v>
      </c>
      <c r="V3524" s="1"/>
      <c r="W3524">
        <v>80.900000000000006</v>
      </c>
      <c r="X3524">
        <v>0</v>
      </c>
      <c r="Y3524">
        <v>77161</v>
      </c>
    </row>
    <row r="3525" spans="1:25" ht="15" hidden="1" customHeight="1" x14ac:dyDescent="0.25">
      <c r="A3525" s="1" t="s">
        <v>38</v>
      </c>
      <c r="B3525" s="1"/>
      <c r="C3525" s="1" t="s">
        <v>205</v>
      </c>
      <c r="D3525">
        <v>10166</v>
      </c>
      <c r="E3525" s="1"/>
      <c r="F3525" s="1" t="s">
        <v>340</v>
      </c>
      <c r="G3525" s="1" t="s">
        <v>1401</v>
      </c>
      <c r="H3525" s="1" t="s">
        <v>1405</v>
      </c>
      <c r="I3525">
        <v>2012</v>
      </c>
      <c r="J3525" s="93">
        <v>52.7</v>
      </c>
      <c r="K3525">
        <v>12</v>
      </c>
      <c r="L3525" s="1" t="s">
        <v>432</v>
      </c>
      <c r="M3525">
        <v>0</v>
      </c>
      <c r="N3525">
        <v>228</v>
      </c>
      <c r="O3525">
        <v>0.23103899999999999</v>
      </c>
      <c r="P3525">
        <v>3</v>
      </c>
      <c r="Q3525" s="1" t="s">
        <v>560</v>
      </c>
      <c r="R3525" s="93">
        <v>52.7</v>
      </c>
      <c r="S3525">
        <v>42.16</v>
      </c>
      <c r="T3525">
        <v>0</v>
      </c>
      <c r="U3525" s="1" t="s">
        <v>695</v>
      </c>
      <c r="V3525" s="1"/>
      <c r="W3525">
        <v>52.7</v>
      </c>
      <c r="X3525">
        <v>0</v>
      </c>
      <c r="Y3525">
        <v>77161</v>
      </c>
    </row>
    <row r="3526" spans="1:25" ht="15" hidden="1" customHeight="1" x14ac:dyDescent="0.25">
      <c r="A3526" s="1" t="s">
        <v>38</v>
      </c>
      <c r="B3526" s="1"/>
      <c r="C3526" s="1" t="s">
        <v>205</v>
      </c>
      <c r="D3526">
        <v>10166</v>
      </c>
      <c r="E3526" s="1"/>
      <c r="F3526" s="1" t="s">
        <v>340</v>
      </c>
      <c r="G3526" s="1" t="s">
        <v>1401</v>
      </c>
      <c r="H3526" s="1" t="s">
        <v>1405</v>
      </c>
      <c r="I3526">
        <v>2011</v>
      </c>
      <c r="J3526" s="93">
        <v>11.99</v>
      </c>
      <c r="K3526">
        <v>8</v>
      </c>
      <c r="L3526" s="1" t="s">
        <v>432</v>
      </c>
      <c r="M3526">
        <v>0</v>
      </c>
      <c r="N3526">
        <v>228</v>
      </c>
      <c r="O3526">
        <v>5.2564E-2</v>
      </c>
      <c r="P3526">
        <v>3</v>
      </c>
      <c r="Q3526" s="1" t="s">
        <v>560</v>
      </c>
      <c r="R3526" s="93">
        <v>11.99</v>
      </c>
      <c r="S3526">
        <v>9.61</v>
      </c>
      <c r="T3526">
        <v>0</v>
      </c>
      <c r="U3526" s="1" t="s">
        <v>695</v>
      </c>
      <c r="V3526" s="1"/>
      <c r="W3526">
        <v>12.000019999999999</v>
      </c>
      <c r="X3526">
        <v>0</v>
      </c>
      <c r="Y3526">
        <v>77161</v>
      </c>
    </row>
    <row r="3527" spans="1:25" ht="15" hidden="1" customHeight="1" x14ac:dyDescent="0.25">
      <c r="A3527" s="1" t="s">
        <v>38</v>
      </c>
      <c r="B3527" s="1"/>
      <c r="C3527" s="1" t="s">
        <v>205</v>
      </c>
      <c r="D3527">
        <v>10166</v>
      </c>
      <c r="E3527" s="1"/>
      <c r="F3527" s="1" t="s">
        <v>340</v>
      </c>
      <c r="G3527" s="1" t="s">
        <v>1401</v>
      </c>
      <c r="H3527" s="1" t="s">
        <v>1405</v>
      </c>
      <c r="I3527">
        <v>2010</v>
      </c>
      <c r="J3527" s="93">
        <v>1.59</v>
      </c>
      <c r="K3527">
        <v>3</v>
      </c>
      <c r="L3527" s="1" t="s">
        <v>432</v>
      </c>
      <c r="M3527">
        <v>0</v>
      </c>
      <c r="N3527">
        <v>228</v>
      </c>
      <c r="O3527">
        <v>6.9699999999999996E-3</v>
      </c>
      <c r="P3527">
        <v>3</v>
      </c>
      <c r="Q3527" s="1" t="s">
        <v>560</v>
      </c>
      <c r="R3527" s="93">
        <v>1.59</v>
      </c>
      <c r="S3527">
        <v>1.28</v>
      </c>
      <c r="T3527">
        <v>0</v>
      </c>
      <c r="U3527" s="1" t="s">
        <v>695</v>
      </c>
      <c r="V3527" s="1"/>
      <c r="W3527">
        <v>1.5963700000000001</v>
      </c>
      <c r="X3527">
        <v>0</v>
      </c>
      <c r="Y3527">
        <v>77161</v>
      </c>
    </row>
    <row r="3528" spans="1:25" ht="15" hidden="1" customHeight="1" x14ac:dyDescent="0.25">
      <c r="A3528" s="1" t="s">
        <v>38</v>
      </c>
      <c r="B3528" s="1"/>
      <c r="C3528" s="1" t="s">
        <v>205</v>
      </c>
      <c r="D3528">
        <v>10166</v>
      </c>
      <c r="E3528" s="1"/>
      <c r="F3528" s="1" t="s">
        <v>340</v>
      </c>
      <c r="G3528" s="1" t="s">
        <v>1401</v>
      </c>
      <c r="H3528" s="1" t="s">
        <v>1405</v>
      </c>
      <c r="I3528">
        <v>2009</v>
      </c>
      <c r="J3528" s="93">
        <v>44.59</v>
      </c>
      <c r="K3528">
        <v>6</v>
      </c>
      <c r="L3528" s="1" t="s">
        <v>432</v>
      </c>
      <c r="M3528">
        <v>0</v>
      </c>
      <c r="N3528">
        <v>228</v>
      </c>
      <c r="O3528">
        <v>0.19548399999999999</v>
      </c>
      <c r="P3528">
        <v>3</v>
      </c>
      <c r="Q3528" s="1" t="s">
        <v>560</v>
      </c>
      <c r="R3528" s="93">
        <v>44.59</v>
      </c>
      <c r="S3528">
        <v>35.68</v>
      </c>
      <c r="T3528">
        <v>0</v>
      </c>
      <c r="U3528" s="1" t="s">
        <v>695</v>
      </c>
      <c r="V3528" s="1"/>
      <c r="W3528">
        <v>44.59807</v>
      </c>
      <c r="X3528">
        <v>0</v>
      </c>
      <c r="Y3528">
        <v>77161</v>
      </c>
    </row>
    <row r="3529" spans="1:25" ht="15" hidden="1" customHeight="1" x14ac:dyDescent="0.25">
      <c r="A3529" s="1" t="s">
        <v>38</v>
      </c>
      <c r="B3529" s="1"/>
      <c r="C3529" s="1" t="s">
        <v>205</v>
      </c>
      <c r="D3529">
        <v>10166</v>
      </c>
      <c r="E3529" s="1"/>
      <c r="F3529" s="1" t="s">
        <v>340</v>
      </c>
      <c r="G3529" s="1" t="s">
        <v>1401</v>
      </c>
      <c r="H3529" s="1" t="s">
        <v>1405</v>
      </c>
      <c r="I3529">
        <v>2008</v>
      </c>
      <c r="J3529" s="93">
        <v>76.569999999999993</v>
      </c>
      <c r="K3529">
        <v>6</v>
      </c>
      <c r="L3529" s="1" t="s">
        <v>432</v>
      </c>
      <c r="M3529">
        <v>0</v>
      </c>
      <c r="N3529">
        <v>228</v>
      </c>
      <c r="O3529">
        <v>0.33568599999999998</v>
      </c>
      <c r="P3529">
        <v>3</v>
      </c>
      <c r="Q3529" s="1" t="s">
        <v>560</v>
      </c>
      <c r="R3529" s="93">
        <v>76.569999999999993</v>
      </c>
      <c r="S3529">
        <v>61.23</v>
      </c>
      <c r="T3529">
        <v>0</v>
      </c>
      <c r="U3529" s="1" t="s">
        <v>695</v>
      </c>
      <c r="V3529" s="1"/>
      <c r="W3529">
        <v>76.574820000000003</v>
      </c>
      <c r="X3529">
        <v>0</v>
      </c>
      <c r="Y3529">
        <v>77161</v>
      </c>
    </row>
    <row r="3530" spans="1:25" ht="15" hidden="1" customHeight="1" x14ac:dyDescent="0.25">
      <c r="A3530" s="1" t="s">
        <v>38</v>
      </c>
      <c r="B3530" s="1"/>
      <c r="C3530" s="1" t="s">
        <v>206</v>
      </c>
      <c r="D3530">
        <v>10170</v>
      </c>
      <c r="E3530" s="1"/>
      <c r="F3530" s="1" t="s">
        <v>206</v>
      </c>
      <c r="G3530" s="1" t="s">
        <v>206</v>
      </c>
      <c r="H3530" s="1" t="s">
        <v>1405</v>
      </c>
      <c r="I3530">
        <v>2015</v>
      </c>
      <c r="J3530" s="93">
        <v>20</v>
      </c>
      <c r="K3530">
        <v>5</v>
      </c>
      <c r="L3530" s="1" t="s">
        <v>451</v>
      </c>
      <c r="M3530">
        <v>0</v>
      </c>
      <c r="N3530">
        <v>247</v>
      </c>
      <c r="O3530">
        <v>2.9947000000000001E-2</v>
      </c>
      <c r="P3530">
        <v>3</v>
      </c>
      <c r="Q3530" s="1" t="s">
        <v>560</v>
      </c>
      <c r="R3530" s="93">
        <v>7.4</v>
      </c>
      <c r="S3530">
        <v>5.92</v>
      </c>
      <c r="T3530">
        <v>0</v>
      </c>
      <c r="U3530" s="1" t="s">
        <v>696</v>
      </c>
      <c r="V3530" s="1"/>
      <c r="W3530">
        <v>7.4</v>
      </c>
      <c r="X3530">
        <v>0</v>
      </c>
      <c r="Y3530">
        <v>77184</v>
      </c>
    </row>
    <row r="3531" spans="1:25" ht="15" hidden="1" customHeight="1" x14ac:dyDescent="0.25">
      <c r="A3531" s="1" t="s">
        <v>38</v>
      </c>
      <c r="B3531" s="1"/>
      <c r="C3531" s="1" t="s">
        <v>206</v>
      </c>
      <c r="D3531">
        <v>10170</v>
      </c>
      <c r="E3531" s="1"/>
      <c r="F3531" s="1" t="s">
        <v>206</v>
      </c>
      <c r="G3531" s="1" t="s">
        <v>206</v>
      </c>
      <c r="H3531" s="1" t="s">
        <v>1405</v>
      </c>
      <c r="I3531">
        <v>2013</v>
      </c>
      <c r="J3531" s="93">
        <v>25.8</v>
      </c>
      <c r="K3531">
        <v>12</v>
      </c>
      <c r="L3531" s="1" t="s">
        <v>451</v>
      </c>
      <c r="M3531">
        <v>0</v>
      </c>
      <c r="N3531">
        <v>247</v>
      </c>
      <c r="O3531">
        <v>0.104411</v>
      </c>
      <c r="P3531">
        <v>3</v>
      </c>
      <c r="Q3531" s="1" t="s">
        <v>560</v>
      </c>
      <c r="R3531" s="93">
        <v>25.8</v>
      </c>
      <c r="S3531">
        <v>20.64</v>
      </c>
      <c r="T3531">
        <v>0</v>
      </c>
      <c r="U3531" s="1" t="s">
        <v>696</v>
      </c>
      <c r="V3531" s="1"/>
      <c r="W3531">
        <v>25.8</v>
      </c>
      <c r="X3531">
        <v>0</v>
      </c>
      <c r="Y3531">
        <v>77184</v>
      </c>
    </row>
    <row r="3532" spans="1:25" ht="15" hidden="1" customHeight="1" x14ac:dyDescent="0.25">
      <c r="A3532" s="1" t="s">
        <v>38</v>
      </c>
      <c r="B3532" s="1"/>
      <c r="C3532" s="1" t="s">
        <v>206</v>
      </c>
      <c r="D3532">
        <v>10170</v>
      </c>
      <c r="E3532" s="1"/>
      <c r="F3532" s="1" t="s">
        <v>206</v>
      </c>
      <c r="G3532" s="1" t="s">
        <v>206</v>
      </c>
      <c r="H3532" s="1" t="s">
        <v>1405</v>
      </c>
      <c r="I3532">
        <v>2012</v>
      </c>
      <c r="J3532" s="93">
        <v>22.8</v>
      </c>
      <c r="K3532">
        <v>12</v>
      </c>
      <c r="L3532" s="1" t="s">
        <v>451</v>
      </c>
      <c r="M3532">
        <v>0</v>
      </c>
      <c r="N3532">
        <v>247</v>
      </c>
      <c r="O3532">
        <v>9.2270000000000005E-2</v>
      </c>
      <c r="P3532">
        <v>3</v>
      </c>
      <c r="Q3532" s="1" t="s">
        <v>560</v>
      </c>
      <c r="R3532" s="93">
        <v>22.8</v>
      </c>
      <c r="S3532">
        <v>18.239999999999998</v>
      </c>
      <c r="T3532">
        <v>0</v>
      </c>
      <c r="U3532" s="1" t="s">
        <v>696</v>
      </c>
      <c r="V3532" s="1"/>
      <c r="W3532">
        <v>22.8</v>
      </c>
      <c r="X3532">
        <v>0</v>
      </c>
      <c r="Y3532">
        <v>77184</v>
      </c>
    </row>
    <row r="3533" spans="1:25" ht="15" hidden="1" customHeight="1" x14ac:dyDescent="0.25">
      <c r="A3533" s="1" t="s">
        <v>38</v>
      </c>
      <c r="B3533" s="1"/>
      <c r="C3533" s="1" t="s">
        <v>206</v>
      </c>
      <c r="D3533">
        <v>10170</v>
      </c>
      <c r="E3533" s="1"/>
      <c r="F3533" s="1" t="s">
        <v>206</v>
      </c>
      <c r="G3533" s="1" t="s">
        <v>206</v>
      </c>
      <c r="H3533" s="1" t="s">
        <v>1405</v>
      </c>
      <c r="I3533">
        <v>2011</v>
      </c>
      <c r="J3533" s="93">
        <v>22.36</v>
      </c>
      <c r="K3533">
        <v>7</v>
      </c>
      <c r="L3533" s="1" t="s">
        <v>451</v>
      </c>
      <c r="M3533">
        <v>0</v>
      </c>
      <c r="N3533">
        <v>247</v>
      </c>
      <c r="O3533">
        <v>9.0489E-2</v>
      </c>
      <c r="P3533">
        <v>3</v>
      </c>
      <c r="Q3533" s="1" t="s">
        <v>560</v>
      </c>
      <c r="R3533" s="93">
        <v>22.36</v>
      </c>
      <c r="S3533">
        <v>17.87</v>
      </c>
      <c r="T3533">
        <v>0</v>
      </c>
      <c r="U3533" s="1" t="s">
        <v>696</v>
      </c>
      <c r="V3533" s="1"/>
      <c r="W3533">
        <v>22.340589999999999</v>
      </c>
      <c r="X3533">
        <v>0</v>
      </c>
      <c r="Y3533">
        <v>77184</v>
      </c>
    </row>
    <row r="3534" spans="1:25" ht="15" hidden="1" customHeight="1" x14ac:dyDescent="0.25">
      <c r="A3534" s="1" t="s">
        <v>38</v>
      </c>
      <c r="B3534" s="1"/>
      <c r="C3534" s="1" t="s">
        <v>206</v>
      </c>
      <c r="D3534">
        <v>10170</v>
      </c>
      <c r="E3534" s="1"/>
      <c r="F3534" s="1" t="s">
        <v>206</v>
      </c>
      <c r="G3534" s="1" t="s">
        <v>206</v>
      </c>
      <c r="H3534" s="1" t="s">
        <v>1405</v>
      </c>
      <c r="I3534">
        <v>2010</v>
      </c>
      <c r="J3534" s="93">
        <v>20.77</v>
      </c>
      <c r="K3534">
        <v>2</v>
      </c>
      <c r="L3534" s="1" t="s">
        <v>451</v>
      </c>
      <c r="M3534">
        <v>0</v>
      </c>
      <c r="N3534">
        <v>247</v>
      </c>
      <c r="O3534">
        <v>8.4055000000000005E-2</v>
      </c>
      <c r="P3534">
        <v>3</v>
      </c>
      <c r="Q3534" s="1" t="s">
        <v>560</v>
      </c>
      <c r="R3534" s="93">
        <v>20.77</v>
      </c>
      <c r="S3534">
        <v>16.649999999999999</v>
      </c>
      <c r="T3534">
        <v>0</v>
      </c>
      <c r="U3534" s="1" t="s">
        <v>696</v>
      </c>
      <c r="V3534" s="1"/>
      <c r="W3534">
        <v>20.776289999999999</v>
      </c>
      <c r="X3534">
        <v>0</v>
      </c>
      <c r="Y3534">
        <v>77184</v>
      </c>
    </row>
    <row r="3535" spans="1:25" ht="15" hidden="1" customHeight="1" x14ac:dyDescent="0.25">
      <c r="A3535" s="1" t="s">
        <v>38</v>
      </c>
      <c r="B3535" s="1"/>
      <c r="C3535" s="1" t="s">
        <v>206</v>
      </c>
      <c r="D3535">
        <v>10170</v>
      </c>
      <c r="E3535" s="1"/>
      <c r="F3535" s="1" t="s">
        <v>206</v>
      </c>
      <c r="G3535" s="1" t="s">
        <v>206</v>
      </c>
      <c r="H3535" s="1" t="s">
        <v>1405</v>
      </c>
      <c r="I3535">
        <v>2009</v>
      </c>
      <c r="J3535" s="93">
        <v>166.94</v>
      </c>
      <c r="K3535">
        <v>4</v>
      </c>
      <c r="L3535" s="1" t="s">
        <v>451</v>
      </c>
      <c r="M3535">
        <v>0</v>
      </c>
      <c r="N3535">
        <v>247</v>
      </c>
      <c r="O3535">
        <v>0.67559599999999997</v>
      </c>
      <c r="P3535">
        <v>3</v>
      </c>
      <c r="Q3535" s="1" t="s">
        <v>560</v>
      </c>
      <c r="R3535" s="93">
        <v>166.94</v>
      </c>
      <c r="S3535">
        <v>133.58000000000001</v>
      </c>
      <c r="T3535">
        <v>0</v>
      </c>
      <c r="U3535" s="1" t="s">
        <v>696</v>
      </c>
      <c r="V3535" s="1"/>
      <c r="W3535">
        <v>166.94978</v>
      </c>
      <c r="X3535">
        <v>0</v>
      </c>
      <c r="Y3535">
        <v>77184</v>
      </c>
    </row>
    <row r="3536" spans="1:25" ht="15" hidden="1" customHeight="1" x14ac:dyDescent="0.25">
      <c r="A3536" s="1" t="s">
        <v>38</v>
      </c>
      <c r="B3536" s="1"/>
      <c r="C3536" s="1" t="s">
        <v>206</v>
      </c>
      <c r="D3536">
        <v>10170</v>
      </c>
      <c r="E3536" s="1"/>
      <c r="F3536" s="1" t="s">
        <v>206</v>
      </c>
      <c r="G3536" s="1" t="s">
        <v>206</v>
      </c>
      <c r="H3536" s="1" t="s">
        <v>1405</v>
      </c>
      <c r="I3536">
        <v>2008</v>
      </c>
      <c r="J3536" s="93">
        <v>56.25</v>
      </c>
      <c r="K3536">
        <v>4</v>
      </c>
      <c r="L3536" s="1" t="s">
        <v>451</v>
      </c>
      <c r="M3536">
        <v>0</v>
      </c>
      <c r="N3536">
        <v>247</v>
      </c>
      <c r="O3536">
        <v>0.22764000000000001</v>
      </c>
      <c r="P3536">
        <v>3</v>
      </c>
      <c r="Q3536" s="1" t="s">
        <v>560</v>
      </c>
      <c r="R3536" s="93">
        <v>56.25</v>
      </c>
      <c r="S3536">
        <v>45</v>
      </c>
      <c r="T3536">
        <v>0</v>
      </c>
      <c r="U3536" s="1" t="s">
        <v>696</v>
      </c>
      <c r="V3536" s="1"/>
      <c r="W3536">
        <v>56.257849999999998</v>
      </c>
      <c r="X3536">
        <v>0</v>
      </c>
      <c r="Y3536">
        <v>77184</v>
      </c>
    </row>
    <row r="3537" spans="1:25" ht="15" hidden="1" customHeight="1" x14ac:dyDescent="0.25">
      <c r="A3537" s="1" t="s">
        <v>38</v>
      </c>
      <c r="B3537" s="1"/>
      <c r="C3537" s="1" t="s">
        <v>207</v>
      </c>
      <c r="D3537">
        <v>10202</v>
      </c>
      <c r="E3537" s="1"/>
      <c r="F3537" s="1" t="s">
        <v>207</v>
      </c>
      <c r="G3537" s="1" t="s">
        <v>207</v>
      </c>
      <c r="H3537" s="1" t="s">
        <v>1405</v>
      </c>
      <c r="I3537">
        <v>2015</v>
      </c>
      <c r="J3537" s="93">
        <v>6</v>
      </c>
      <c r="K3537">
        <v>5</v>
      </c>
      <c r="L3537" s="1" t="s">
        <v>399</v>
      </c>
      <c r="M3537">
        <v>0</v>
      </c>
      <c r="N3537">
        <v>123</v>
      </c>
      <c r="O3537">
        <v>1.056E-2</v>
      </c>
      <c r="P3537">
        <v>3</v>
      </c>
      <c r="Q3537" s="1" t="s">
        <v>560</v>
      </c>
      <c r="R3537" s="93">
        <v>1.3</v>
      </c>
      <c r="S3537">
        <v>1.05</v>
      </c>
      <c r="T3537">
        <v>0</v>
      </c>
      <c r="U3537" s="1" t="s">
        <v>697</v>
      </c>
      <c r="V3537" s="1"/>
      <c r="W3537">
        <v>1.2989999999999999</v>
      </c>
      <c r="X3537">
        <v>0</v>
      </c>
      <c r="Y3537">
        <v>77351</v>
      </c>
    </row>
    <row r="3538" spans="1:25" ht="15" hidden="1" customHeight="1" x14ac:dyDescent="0.25">
      <c r="A3538" s="1" t="s">
        <v>38</v>
      </c>
      <c r="B3538" s="1"/>
      <c r="C3538" s="1" t="s">
        <v>207</v>
      </c>
      <c r="D3538">
        <v>10202</v>
      </c>
      <c r="E3538" s="1"/>
      <c r="F3538" s="1" t="s">
        <v>207</v>
      </c>
      <c r="G3538" s="1" t="s">
        <v>207</v>
      </c>
      <c r="H3538" s="1" t="s">
        <v>1405</v>
      </c>
      <c r="I3538">
        <v>2013</v>
      </c>
      <c r="J3538" s="93">
        <v>9.26</v>
      </c>
      <c r="K3538">
        <v>12</v>
      </c>
      <c r="L3538" s="1" t="s">
        <v>399</v>
      </c>
      <c r="M3538">
        <v>0</v>
      </c>
      <c r="N3538">
        <v>123</v>
      </c>
      <c r="O3538">
        <v>7.5222999999999998E-2</v>
      </c>
      <c r="P3538">
        <v>3</v>
      </c>
      <c r="Q3538" s="1" t="s">
        <v>560</v>
      </c>
      <c r="R3538" s="93">
        <v>9.26</v>
      </c>
      <c r="S3538">
        <v>7.41</v>
      </c>
      <c r="T3538">
        <v>0</v>
      </c>
      <c r="U3538" s="1" t="s">
        <v>697</v>
      </c>
      <c r="V3538" s="1"/>
      <c r="W3538">
        <v>9.2569999999999997</v>
      </c>
      <c r="X3538">
        <v>0</v>
      </c>
      <c r="Y3538">
        <v>77351</v>
      </c>
    </row>
    <row r="3539" spans="1:25" ht="15" hidden="1" customHeight="1" x14ac:dyDescent="0.25">
      <c r="A3539" s="1" t="s">
        <v>38</v>
      </c>
      <c r="B3539" s="1"/>
      <c r="C3539" s="1" t="s">
        <v>207</v>
      </c>
      <c r="D3539">
        <v>10202</v>
      </c>
      <c r="E3539" s="1"/>
      <c r="F3539" s="1" t="s">
        <v>207</v>
      </c>
      <c r="G3539" s="1" t="s">
        <v>207</v>
      </c>
      <c r="H3539" s="1" t="s">
        <v>1405</v>
      </c>
      <c r="I3539">
        <v>2012</v>
      </c>
      <c r="J3539" s="93">
        <v>24.04</v>
      </c>
      <c r="K3539">
        <v>12</v>
      </c>
      <c r="L3539" s="1" t="s">
        <v>399</v>
      </c>
      <c r="M3539">
        <v>0</v>
      </c>
      <c r="N3539">
        <v>123</v>
      </c>
      <c r="O3539">
        <v>0.19528799999999999</v>
      </c>
      <c r="P3539">
        <v>3</v>
      </c>
      <c r="Q3539" s="1" t="s">
        <v>560</v>
      </c>
      <c r="R3539" s="93">
        <v>24.04</v>
      </c>
      <c r="S3539">
        <v>19.23</v>
      </c>
      <c r="T3539">
        <v>0</v>
      </c>
      <c r="U3539" s="1" t="s">
        <v>697</v>
      </c>
      <c r="V3539" s="1"/>
      <c r="W3539">
        <v>24.038</v>
      </c>
      <c r="X3539">
        <v>0</v>
      </c>
      <c r="Y3539">
        <v>77351</v>
      </c>
    </row>
    <row r="3540" spans="1:25" ht="15" hidden="1" customHeight="1" x14ac:dyDescent="0.25">
      <c r="A3540" s="1" t="s">
        <v>38</v>
      </c>
      <c r="B3540" s="1"/>
      <c r="C3540" s="1" t="s">
        <v>207</v>
      </c>
      <c r="D3540">
        <v>10202</v>
      </c>
      <c r="E3540" s="1"/>
      <c r="F3540" s="1" t="s">
        <v>207</v>
      </c>
      <c r="G3540" s="1" t="s">
        <v>207</v>
      </c>
      <c r="H3540" s="1" t="s">
        <v>1405</v>
      </c>
      <c r="I3540">
        <v>2011</v>
      </c>
      <c r="J3540" s="93">
        <v>53.27</v>
      </c>
      <c r="K3540">
        <v>5</v>
      </c>
      <c r="L3540" s="1" t="s">
        <v>399</v>
      </c>
      <c r="M3540">
        <v>0</v>
      </c>
      <c r="N3540">
        <v>123</v>
      </c>
      <c r="O3540">
        <v>0.43273699999999998</v>
      </c>
      <c r="P3540">
        <v>3</v>
      </c>
      <c r="Q3540" s="1" t="s">
        <v>560</v>
      </c>
      <c r="R3540" s="93">
        <v>53.27</v>
      </c>
      <c r="S3540">
        <v>42.64</v>
      </c>
      <c r="T3540">
        <v>0</v>
      </c>
      <c r="U3540" s="1" t="s">
        <v>697</v>
      </c>
      <c r="V3540" s="1"/>
      <c r="W3540">
        <v>53.28078</v>
      </c>
      <c r="X3540">
        <v>0</v>
      </c>
      <c r="Y3540">
        <v>77351</v>
      </c>
    </row>
    <row r="3541" spans="1:25" ht="15" hidden="1" customHeight="1" x14ac:dyDescent="0.25">
      <c r="A3541" s="1" t="s">
        <v>38</v>
      </c>
      <c r="B3541" s="1"/>
      <c r="C3541" s="1" t="s">
        <v>207</v>
      </c>
      <c r="D3541">
        <v>10202</v>
      </c>
      <c r="E3541" s="1"/>
      <c r="F3541" s="1" t="s">
        <v>207</v>
      </c>
      <c r="G3541" s="1" t="s">
        <v>207</v>
      </c>
      <c r="H3541" s="1" t="s">
        <v>1405</v>
      </c>
      <c r="I3541">
        <v>2010</v>
      </c>
      <c r="J3541" s="93">
        <v>6.98</v>
      </c>
      <c r="K3541">
        <v>2</v>
      </c>
      <c r="L3541" s="1" t="s">
        <v>399</v>
      </c>
      <c r="M3541">
        <v>0</v>
      </c>
      <c r="N3541">
        <v>123</v>
      </c>
      <c r="O3541">
        <v>5.6701000000000001E-2</v>
      </c>
      <c r="P3541">
        <v>3</v>
      </c>
      <c r="Q3541" s="1" t="s">
        <v>560</v>
      </c>
      <c r="R3541" s="93">
        <v>6.98</v>
      </c>
      <c r="S3541">
        <v>5.59</v>
      </c>
      <c r="T3541">
        <v>0</v>
      </c>
      <c r="U3541" s="1" t="s">
        <v>697</v>
      </c>
      <c r="V3541" s="1"/>
      <c r="W3541">
        <v>6.9807699999999997</v>
      </c>
      <c r="X3541">
        <v>0</v>
      </c>
      <c r="Y3541">
        <v>77351</v>
      </c>
    </row>
    <row r="3542" spans="1:25" ht="15" hidden="1" customHeight="1" x14ac:dyDescent="0.25">
      <c r="A3542" s="1" t="s">
        <v>38</v>
      </c>
      <c r="B3542" s="1"/>
      <c r="C3542" s="1" t="s">
        <v>207</v>
      </c>
      <c r="D3542">
        <v>10202</v>
      </c>
      <c r="E3542" s="1"/>
      <c r="F3542" s="1" t="s">
        <v>207</v>
      </c>
      <c r="G3542" s="1" t="s">
        <v>207</v>
      </c>
      <c r="H3542" s="1" t="s">
        <v>1405</v>
      </c>
      <c r="I3542">
        <v>2009</v>
      </c>
      <c r="J3542" s="93">
        <v>5.82</v>
      </c>
      <c r="K3542">
        <v>2</v>
      </c>
      <c r="L3542" s="1" t="s">
        <v>399</v>
      </c>
      <c r="M3542">
        <v>0</v>
      </c>
      <c r="N3542">
        <v>123</v>
      </c>
      <c r="O3542">
        <v>4.7278000000000001E-2</v>
      </c>
      <c r="P3542">
        <v>3</v>
      </c>
      <c r="Q3542" s="1" t="s">
        <v>560</v>
      </c>
      <c r="R3542" s="93">
        <v>5.82</v>
      </c>
      <c r="S3542">
        <v>4.6500000000000004</v>
      </c>
      <c r="T3542">
        <v>0</v>
      </c>
      <c r="U3542" s="1" t="s">
        <v>697</v>
      </c>
      <c r="V3542" s="1"/>
      <c r="W3542">
        <v>5.8125299999999998</v>
      </c>
      <c r="X3542">
        <v>0</v>
      </c>
      <c r="Y3542">
        <v>77351</v>
      </c>
    </row>
    <row r="3543" spans="1:25" ht="15" hidden="1" customHeight="1" x14ac:dyDescent="0.25">
      <c r="A3543" s="1" t="s">
        <v>38</v>
      </c>
      <c r="B3543" s="1"/>
      <c r="C3543" s="1" t="s">
        <v>207</v>
      </c>
      <c r="D3543">
        <v>10202</v>
      </c>
      <c r="E3543" s="1"/>
      <c r="F3543" s="1" t="s">
        <v>207</v>
      </c>
      <c r="G3543" s="1" t="s">
        <v>207</v>
      </c>
      <c r="H3543" s="1" t="s">
        <v>1405</v>
      </c>
      <c r="I3543">
        <v>2008</v>
      </c>
      <c r="J3543" s="93">
        <v>7.88</v>
      </c>
      <c r="K3543">
        <v>5</v>
      </c>
      <c r="L3543" s="1" t="s">
        <v>399</v>
      </c>
      <c r="M3543">
        <v>0</v>
      </c>
      <c r="N3543">
        <v>123</v>
      </c>
      <c r="O3543">
        <v>6.4011999999999999E-2</v>
      </c>
      <c r="P3543">
        <v>3</v>
      </c>
      <c r="Q3543" s="1" t="s">
        <v>560</v>
      </c>
      <c r="R3543" s="93">
        <v>7.88</v>
      </c>
      <c r="S3543">
        <v>6.32</v>
      </c>
      <c r="T3543">
        <v>0</v>
      </c>
      <c r="U3543" s="1" t="s">
        <v>697</v>
      </c>
      <c r="V3543" s="1"/>
      <c r="W3543">
        <v>7.8929400000000003</v>
      </c>
      <c r="X3543">
        <v>0</v>
      </c>
      <c r="Y3543">
        <v>77351</v>
      </c>
    </row>
    <row r="3544" spans="1:25" ht="15" hidden="1" customHeight="1" x14ac:dyDescent="0.25">
      <c r="A3544" s="1" t="s">
        <v>38</v>
      </c>
      <c r="B3544" s="1"/>
      <c r="C3544" s="1" t="s">
        <v>204</v>
      </c>
      <c r="D3544">
        <v>10165</v>
      </c>
      <c r="E3544" s="1"/>
      <c r="F3544" s="1" t="s">
        <v>339</v>
      </c>
      <c r="G3544" s="1" t="s">
        <v>1401</v>
      </c>
      <c r="H3544" s="1" t="s">
        <v>1405</v>
      </c>
      <c r="I3544">
        <v>2015</v>
      </c>
      <c r="J3544" s="93">
        <v>18531</v>
      </c>
      <c r="K3544">
        <v>5</v>
      </c>
      <c r="L3544" s="1" t="s">
        <v>432</v>
      </c>
      <c r="M3544">
        <v>0</v>
      </c>
      <c r="N3544">
        <v>168</v>
      </c>
      <c r="O3544">
        <v>65.455085999999994</v>
      </c>
      <c r="P3544">
        <v>1</v>
      </c>
      <c r="Q3544" s="1" t="s">
        <v>562</v>
      </c>
      <c r="R3544" s="93">
        <v>18531</v>
      </c>
      <c r="S3544">
        <v>704.19</v>
      </c>
      <c r="T3544">
        <v>0</v>
      </c>
      <c r="U3544" s="1" t="s">
        <v>871</v>
      </c>
      <c r="V3544" s="1"/>
      <c r="W3544">
        <v>11003</v>
      </c>
      <c r="X3544">
        <v>0</v>
      </c>
      <c r="Y3544">
        <v>77179</v>
      </c>
    </row>
    <row r="3545" spans="1:25" ht="15" hidden="1" customHeight="1" x14ac:dyDescent="0.25">
      <c r="A3545" s="1" t="s">
        <v>38</v>
      </c>
      <c r="B3545" s="1"/>
      <c r="C3545" s="1" t="s">
        <v>204</v>
      </c>
      <c r="D3545">
        <v>10165</v>
      </c>
      <c r="E3545" s="1"/>
      <c r="F3545" s="1" t="s">
        <v>339</v>
      </c>
      <c r="G3545" s="1" t="s">
        <v>1401</v>
      </c>
      <c r="H3545" s="1" t="s">
        <v>1405</v>
      </c>
      <c r="I3545">
        <v>2013</v>
      </c>
      <c r="J3545" s="93">
        <v>17799</v>
      </c>
      <c r="K3545">
        <v>12</v>
      </c>
      <c r="L3545" s="1" t="s">
        <v>432</v>
      </c>
      <c r="M3545">
        <v>0</v>
      </c>
      <c r="N3545">
        <v>168</v>
      </c>
      <c r="O3545">
        <v>105.883402</v>
      </c>
      <c r="P3545">
        <v>1</v>
      </c>
      <c r="Q3545" s="1" t="s">
        <v>562</v>
      </c>
      <c r="R3545" s="93">
        <v>17799</v>
      </c>
      <c r="S3545">
        <v>1139.1300000000001</v>
      </c>
      <c r="T3545">
        <v>0</v>
      </c>
      <c r="U3545" s="1" t="s">
        <v>871</v>
      </c>
      <c r="V3545" s="1"/>
      <c r="W3545">
        <v>17799</v>
      </c>
      <c r="X3545">
        <v>0</v>
      </c>
      <c r="Y3545">
        <v>77179</v>
      </c>
    </row>
    <row r="3546" spans="1:25" ht="15" hidden="1" customHeight="1" x14ac:dyDescent="0.25">
      <c r="A3546" s="1" t="s">
        <v>38</v>
      </c>
      <c r="B3546" s="1"/>
      <c r="C3546" s="1" t="s">
        <v>204</v>
      </c>
      <c r="D3546">
        <v>10165</v>
      </c>
      <c r="E3546" s="1"/>
      <c r="F3546" s="1" t="s">
        <v>339</v>
      </c>
      <c r="G3546" s="1" t="s">
        <v>1401</v>
      </c>
      <c r="H3546" s="1" t="s">
        <v>1405</v>
      </c>
      <c r="I3546">
        <v>2012</v>
      </c>
      <c r="J3546" s="93">
        <v>22487</v>
      </c>
      <c r="K3546">
        <v>12</v>
      </c>
      <c r="L3546" s="1" t="s">
        <v>432</v>
      </c>
      <c r="M3546">
        <v>0</v>
      </c>
      <c r="N3546">
        <v>168</v>
      </c>
      <c r="O3546">
        <v>133.77156400000001</v>
      </c>
      <c r="P3546">
        <v>1</v>
      </c>
      <c r="Q3546" s="1" t="s">
        <v>562</v>
      </c>
      <c r="R3546" s="93">
        <v>22487</v>
      </c>
      <c r="S3546">
        <v>4160.09</v>
      </c>
      <c r="T3546">
        <v>0</v>
      </c>
      <c r="U3546" s="1" t="s">
        <v>871</v>
      </c>
      <c r="V3546" s="1"/>
      <c r="W3546">
        <v>22487</v>
      </c>
      <c r="X3546">
        <v>0</v>
      </c>
      <c r="Y3546">
        <v>77179</v>
      </c>
    </row>
    <row r="3547" spans="1:25" ht="15" hidden="1" customHeight="1" x14ac:dyDescent="0.25">
      <c r="A3547" s="1" t="s">
        <v>38</v>
      </c>
      <c r="B3547" s="1"/>
      <c r="C3547" s="1" t="s">
        <v>204</v>
      </c>
      <c r="D3547">
        <v>10165</v>
      </c>
      <c r="E3547" s="1"/>
      <c r="F3547" s="1" t="s">
        <v>339</v>
      </c>
      <c r="G3547" s="1" t="s">
        <v>1401</v>
      </c>
      <c r="H3547" s="1" t="s">
        <v>1405</v>
      </c>
      <c r="I3547">
        <v>2011</v>
      </c>
      <c r="J3547" s="93">
        <v>17844.009999999998</v>
      </c>
      <c r="K3547">
        <v>8</v>
      </c>
      <c r="L3547" s="1" t="s">
        <v>432</v>
      </c>
      <c r="M3547">
        <v>0</v>
      </c>
      <c r="N3547">
        <v>168</v>
      </c>
      <c r="O3547">
        <v>106.15116</v>
      </c>
      <c r="P3547">
        <v>1</v>
      </c>
      <c r="Q3547" s="1" t="s">
        <v>562</v>
      </c>
      <c r="R3547" s="93">
        <v>17844.009999999998</v>
      </c>
      <c r="S3547">
        <v>3301.12</v>
      </c>
      <c r="T3547">
        <v>0</v>
      </c>
      <c r="U3547" s="1" t="s">
        <v>871</v>
      </c>
      <c r="V3547" s="1"/>
      <c r="W3547">
        <v>17844.018189999999</v>
      </c>
      <c r="X3547">
        <v>0</v>
      </c>
      <c r="Y3547">
        <v>77179</v>
      </c>
    </row>
    <row r="3548" spans="1:25" ht="15" hidden="1" customHeight="1" x14ac:dyDescent="0.25">
      <c r="A3548" s="1" t="s">
        <v>38</v>
      </c>
      <c r="B3548" s="1"/>
      <c r="C3548" s="1" t="s">
        <v>204</v>
      </c>
      <c r="D3548">
        <v>10165</v>
      </c>
      <c r="E3548" s="1"/>
      <c r="F3548" s="1" t="s">
        <v>339</v>
      </c>
      <c r="G3548" s="1" t="s">
        <v>1401</v>
      </c>
      <c r="H3548" s="1" t="s">
        <v>1405</v>
      </c>
      <c r="I3548">
        <v>2010</v>
      </c>
      <c r="J3548" s="93">
        <v>2323.0700000000002</v>
      </c>
      <c r="K3548">
        <v>3</v>
      </c>
      <c r="L3548" s="1" t="s">
        <v>432</v>
      </c>
      <c r="M3548">
        <v>0</v>
      </c>
      <c r="N3548">
        <v>168</v>
      </c>
      <c r="O3548">
        <v>13.819571</v>
      </c>
      <c r="P3548">
        <v>1</v>
      </c>
      <c r="Q3548" s="1" t="s">
        <v>562</v>
      </c>
      <c r="R3548" s="93">
        <v>2323.0700000000002</v>
      </c>
      <c r="S3548">
        <v>429.75</v>
      </c>
      <c r="T3548">
        <v>0</v>
      </c>
      <c r="U3548" s="1" t="s">
        <v>871</v>
      </c>
      <c r="V3548" s="1"/>
      <c r="W3548">
        <v>2323.0721800000001</v>
      </c>
      <c r="X3548">
        <v>0</v>
      </c>
      <c r="Y3548">
        <v>77179</v>
      </c>
    </row>
    <row r="3549" spans="1:25" ht="15" hidden="1" customHeight="1" x14ac:dyDescent="0.25">
      <c r="A3549" s="1" t="s">
        <v>38</v>
      </c>
      <c r="B3549" s="1"/>
      <c r="C3549" s="1" t="s">
        <v>204</v>
      </c>
      <c r="D3549">
        <v>10165</v>
      </c>
      <c r="E3549" s="1"/>
      <c r="F3549" s="1" t="s">
        <v>339</v>
      </c>
      <c r="G3549" s="1" t="s">
        <v>1401</v>
      </c>
      <c r="H3549" s="1" t="s">
        <v>1405</v>
      </c>
      <c r="I3549">
        <v>2009</v>
      </c>
      <c r="J3549" s="93">
        <v>13800.9</v>
      </c>
      <c r="K3549">
        <v>6</v>
      </c>
      <c r="L3549" s="1" t="s">
        <v>432</v>
      </c>
      <c r="M3549">
        <v>0</v>
      </c>
      <c r="N3549">
        <v>168</v>
      </c>
      <c r="O3549">
        <v>82.099345</v>
      </c>
      <c r="P3549">
        <v>1</v>
      </c>
      <c r="Q3549" s="1" t="s">
        <v>562</v>
      </c>
      <c r="R3549" s="93">
        <v>13800.9</v>
      </c>
      <c r="S3549">
        <v>2553.15</v>
      </c>
      <c r="T3549">
        <v>0</v>
      </c>
      <c r="U3549" s="1" t="s">
        <v>871</v>
      </c>
      <c r="V3549" s="1"/>
      <c r="W3549">
        <v>13800.90964</v>
      </c>
      <c r="X3549">
        <v>0</v>
      </c>
      <c r="Y3549">
        <v>77179</v>
      </c>
    </row>
    <row r="3550" spans="1:25" ht="15" hidden="1" customHeight="1" x14ac:dyDescent="0.25">
      <c r="A3550" s="1" t="s">
        <v>38</v>
      </c>
      <c r="B3550" s="1"/>
      <c r="C3550" s="1" t="s">
        <v>204</v>
      </c>
      <c r="D3550">
        <v>10165</v>
      </c>
      <c r="E3550" s="1"/>
      <c r="F3550" s="1" t="s">
        <v>339</v>
      </c>
      <c r="G3550" s="1" t="s">
        <v>1401</v>
      </c>
      <c r="H3550" s="1" t="s">
        <v>1405</v>
      </c>
      <c r="I3550">
        <v>2008</v>
      </c>
      <c r="J3550" s="93">
        <v>18175.11</v>
      </c>
      <c r="K3550">
        <v>5</v>
      </c>
      <c r="L3550" s="1" t="s">
        <v>432</v>
      </c>
      <c r="M3550">
        <v>0</v>
      </c>
      <c r="N3550">
        <v>168</v>
      </c>
      <c r="O3550">
        <v>108.12081999999999</v>
      </c>
      <c r="P3550">
        <v>1</v>
      </c>
      <c r="Q3550" s="1" t="s">
        <v>562</v>
      </c>
      <c r="R3550" s="93">
        <v>18175.11</v>
      </c>
      <c r="S3550">
        <v>3362.4</v>
      </c>
      <c r="T3550">
        <v>0</v>
      </c>
      <c r="U3550" s="1" t="s">
        <v>871</v>
      </c>
      <c r="V3550" s="1"/>
      <c r="W3550">
        <v>18175.10989</v>
      </c>
      <c r="X3550">
        <v>0</v>
      </c>
      <c r="Y3550">
        <v>77179</v>
      </c>
    </row>
    <row r="3551" spans="1:25" ht="15" hidden="1" customHeight="1" x14ac:dyDescent="0.25">
      <c r="A3551" s="1" t="s">
        <v>38</v>
      </c>
      <c r="B3551" s="1"/>
      <c r="C3551" s="1" t="s">
        <v>205</v>
      </c>
      <c r="D3551">
        <v>10166</v>
      </c>
      <c r="E3551" s="1"/>
      <c r="F3551" s="1" t="s">
        <v>340</v>
      </c>
      <c r="G3551" s="1" t="s">
        <v>1401</v>
      </c>
      <c r="H3551" s="1" t="s">
        <v>1405</v>
      </c>
      <c r="I3551">
        <v>2015</v>
      </c>
      <c r="J3551" s="93">
        <v>13479</v>
      </c>
      <c r="K3551">
        <v>5</v>
      </c>
      <c r="L3551" s="1" t="s">
        <v>432</v>
      </c>
      <c r="M3551">
        <v>0</v>
      </c>
      <c r="N3551">
        <v>228</v>
      </c>
      <c r="O3551">
        <v>26.391933000000002</v>
      </c>
      <c r="P3551">
        <v>1</v>
      </c>
      <c r="Q3551" s="1" t="s">
        <v>562</v>
      </c>
      <c r="R3551" s="93">
        <v>16155</v>
      </c>
      <c r="S3551">
        <v>419.22</v>
      </c>
      <c r="T3551">
        <v>0</v>
      </c>
      <c r="U3551" s="1" t="s">
        <v>872</v>
      </c>
      <c r="V3551" s="1"/>
      <c r="W3551">
        <v>6020</v>
      </c>
      <c r="X3551">
        <v>0</v>
      </c>
      <c r="Y3551">
        <v>77196</v>
      </c>
    </row>
    <row r="3552" spans="1:25" ht="15" hidden="1" customHeight="1" x14ac:dyDescent="0.25">
      <c r="A3552" s="1" t="s">
        <v>38</v>
      </c>
      <c r="B3552" s="1"/>
      <c r="C3552" s="1" t="s">
        <v>205</v>
      </c>
      <c r="D3552">
        <v>10166</v>
      </c>
      <c r="E3552" s="1"/>
      <c r="F3552" s="1" t="s">
        <v>340</v>
      </c>
      <c r="G3552" s="1" t="s">
        <v>1401</v>
      </c>
      <c r="H3552" s="1" t="s">
        <v>1405</v>
      </c>
      <c r="I3552">
        <v>2013</v>
      </c>
      <c r="J3552" s="93">
        <v>31007</v>
      </c>
      <c r="K3552">
        <v>12</v>
      </c>
      <c r="L3552" s="1" t="s">
        <v>432</v>
      </c>
      <c r="M3552">
        <v>0</v>
      </c>
      <c r="N3552">
        <v>228</v>
      </c>
      <c r="O3552">
        <v>135.935992</v>
      </c>
      <c r="P3552">
        <v>1</v>
      </c>
      <c r="Q3552" s="1" t="s">
        <v>562</v>
      </c>
      <c r="R3552" s="93">
        <v>32122.16</v>
      </c>
      <c r="S3552">
        <v>2055.81</v>
      </c>
      <c r="T3552">
        <v>0</v>
      </c>
      <c r="U3552" s="1" t="s">
        <v>872</v>
      </c>
      <c r="V3552" s="1"/>
      <c r="W3552">
        <v>31007</v>
      </c>
      <c r="X3552">
        <v>0</v>
      </c>
      <c r="Y3552">
        <v>77196</v>
      </c>
    </row>
    <row r="3553" spans="1:25" ht="15" hidden="1" customHeight="1" x14ac:dyDescent="0.25">
      <c r="A3553" s="1" t="s">
        <v>38</v>
      </c>
      <c r="B3553" s="1"/>
      <c r="C3553" s="1" t="s">
        <v>205</v>
      </c>
      <c r="D3553">
        <v>10166</v>
      </c>
      <c r="E3553" s="1"/>
      <c r="F3553" s="1" t="s">
        <v>340</v>
      </c>
      <c r="G3553" s="1" t="s">
        <v>1401</v>
      </c>
      <c r="H3553" s="1" t="s">
        <v>1405</v>
      </c>
      <c r="I3553">
        <v>2012</v>
      </c>
      <c r="J3553" s="93">
        <v>33141</v>
      </c>
      <c r="K3553">
        <v>12</v>
      </c>
      <c r="L3553" s="1" t="s">
        <v>432</v>
      </c>
      <c r="M3553">
        <v>0</v>
      </c>
      <c r="N3553">
        <v>228</v>
      </c>
      <c r="O3553">
        <v>145.291538</v>
      </c>
      <c r="P3553">
        <v>1</v>
      </c>
      <c r="Q3553" s="1" t="s">
        <v>562</v>
      </c>
      <c r="R3553" s="93">
        <v>34740.18</v>
      </c>
      <c r="S3553">
        <v>6426.93</v>
      </c>
      <c r="T3553">
        <v>0</v>
      </c>
      <c r="U3553" s="1" t="s">
        <v>872</v>
      </c>
      <c r="V3553" s="1"/>
      <c r="W3553">
        <v>33141</v>
      </c>
      <c r="X3553">
        <v>0</v>
      </c>
      <c r="Y3553">
        <v>77196</v>
      </c>
    </row>
    <row r="3554" spans="1:25" ht="15" hidden="1" customHeight="1" x14ac:dyDescent="0.25">
      <c r="A3554" s="1" t="s">
        <v>38</v>
      </c>
      <c r="B3554" s="1"/>
      <c r="C3554" s="1" t="s">
        <v>205</v>
      </c>
      <c r="D3554">
        <v>10166</v>
      </c>
      <c r="E3554" s="1"/>
      <c r="F3554" s="1" t="s">
        <v>340</v>
      </c>
      <c r="G3554" s="1" t="s">
        <v>1401</v>
      </c>
      <c r="H3554" s="1" t="s">
        <v>1405</v>
      </c>
      <c r="I3554">
        <v>2011</v>
      </c>
      <c r="J3554" s="93">
        <v>20681</v>
      </c>
      <c r="K3554">
        <v>9</v>
      </c>
      <c r="L3554" s="1" t="s">
        <v>432</v>
      </c>
      <c r="M3554">
        <v>0</v>
      </c>
      <c r="N3554">
        <v>228</v>
      </c>
      <c r="O3554">
        <v>90.666374000000005</v>
      </c>
      <c r="P3554">
        <v>1</v>
      </c>
      <c r="Q3554" s="1" t="s">
        <v>562</v>
      </c>
      <c r="R3554" s="93">
        <v>24409.75</v>
      </c>
      <c r="S3554">
        <v>4515.8100000000004</v>
      </c>
      <c r="T3554">
        <v>0</v>
      </c>
      <c r="U3554" s="1" t="s">
        <v>872</v>
      </c>
      <c r="V3554" s="1"/>
      <c r="W3554">
        <v>20680.99999</v>
      </c>
      <c r="X3554">
        <v>0</v>
      </c>
      <c r="Y3554">
        <v>77196</v>
      </c>
    </row>
    <row r="3555" spans="1:25" ht="15" hidden="1" customHeight="1" x14ac:dyDescent="0.25">
      <c r="A3555" s="1" t="s">
        <v>38</v>
      </c>
      <c r="B3555" s="1"/>
      <c r="C3555" s="1" t="s">
        <v>205</v>
      </c>
      <c r="D3555">
        <v>10166</v>
      </c>
      <c r="E3555" s="1"/>
      <c r="F3555" s="1" t="s">
        <v>340</v>
      </c>
      <c r="G3555" s="1" t="s">
        <v>1401</v>
      </c>
      <c r="H3555" s="1" t="s">
        <v>1405</v>
      </c>
      <c r="I3555">
        <v>2010</v>
      </c>
      <c r="J3555" s="93">
        <v>19397.63</v>
      </c>
      <c r="K3555">
        <v>3</v>
      </c>
      <c r="L3555" s="1" t="s">
        <v>432</v>
      </c>
      <c r="M3555">
        <v>0</v>
      </c>
      <c r="N3555">
        <v>228</v>
      </c>
      <c r="O3555">
        <v>85.040025999999997</v>
      </c>
      <c r="P3555">
        <v>1</v>
      </c>
      <c r="Q3555" s="1" t="s">
        <v>562</v>
      </c>
      <c r="R3555" s="93">
        <v>25188.04</v>
      </c>
      <c r="S3555">
        <v>4659.78</v>
      </c>
      <c r="T3555">
        <v>0</v>
      </c>
      <c r="U3555" s="1" t="s">
        <v>872</v>
      </c>
      <c r="V3555" s="1"/>
      <c r="W3555">
        <v>19397.626509999998</v>
      </c>
      <c r="X3555">
        <v>0</v>
      </c>
      <c r="Y3555">
        <v>77196</v>
      </c>
    </row>
    <row r="3556" spans="1:25" ht="15" hidden="1" customHeight="1" x14ac:dyDescent="0.25">
      <c r="A3556" s="1" t="s">
        <v>38</v>
      </c>
      <c r="B3556" s="1"/>
      <c r="C3556" s="1" t="s">
        <v>205</v>
      </c>
      <c r="D3556">
        <v>10166</v>
      </c>
      <c r="E3556" s="1"/>
      <c r="F3556" s="1" t="s">
        <v>340</v>
      </c>
      <c r="G3556" s="1" t="s">
        <v>1401</v>
      </c>
      <c r="H3556" s="1" t="s">
        <v>1405</v>
      </c>
      <c r="I3556">
        <v>2009</v>
      </c>
      <c r="J3556" s="93">
        <v>23293.16</v>
      </c>
      <c r="K3556">
        <v>6</v>
      </c>
      <c r="L3556" s="1" t="s">
        <v>432</v>
      </c>
      <c r="M3556">
        <v>0</v>
      </c>
      <c r="N3556">
        <v>228</v>
      </c>
      <c r="O3556">
        <v>102.11819300000001</v>
      </c>
      <c r="P3556">
        <v>1</v>
      </c>
      <c r="Q3556" s="1" t="s">
        <v>562</v>
      </c>
      <c r="R3556" s="93">
        <v>26103.87</v>
      </c>
      <c r="S3556">
        <v>4829.2</v>
      </c>
      <c r="T3556">
        <v>0</v>
      </c>
      <c r="U3556" s="1" t="s">
        <v>872</v>
      </c>
      <c r="V3556" s="1"/>
      <c r="W3556">
        <v>23293.179069999998</v>
      </c>
      <c r="X3556">
        <v>0</v>
      </c>
      <c r="Y3556">
        <v>77196</v>
      </c>
    </row>
    <row r="3557" spans="1:25" ht="15" hidden="1" customHeight="1" x14ac:dyDescent="0.25">
      <c r="A3557" s="1" t="s">
        <v>38</v>
      </c>
      <c r="B3557" s="1"/>
      <c r="C3557" s="1" t="s">
        <v>205</v>
      </c>
      <c r="D3557">
        <v>10166</v>
      </c>
      <c r="E3557" s="1"/>
      <c r="F3557" s="1" t="s">
        <v>340</v>
      </c>
      <c r="G3557" s="1" t="s">
        <v>1401</v>
      </c>
      <c r="H3557" s="1" t="s">
        <v>1405</v>
      </c>
      <c r="I3557">
        <v>2008</v>
      </c>
      <c r="J3557" s="93">
        <v>21858.07</v>
      </c>
      <c r="K3557">
        <v>6</v>
      </c>
      <c r="L3557" s="1" t="s">
        <v>432</v>
      </c>
      <c r="M3557">
        <v>0</v>
      </c>
      <c r="N3557">
        <v>228</v>
      </c>
      <c r="O3557">
        <v>95.826697999999993</v>
      </c>
      <c r="P3557">
        <v>1</v>
      </c>
      <c r="Q3557" s="1" t="s">
        <v>562</v>
      </c>
      <c r="R3557" s="93">
        <v>24835.61</v>
      </c>
      <c r="S3557">
        <v>4594.59</v>
      </c>
      <c r="T3557">
        <v>0</v>
      </c>
      <c r="U3557" s="1" t="s">
        <v>872</v>
      </c>
      <c r="V3557" s="1"/>
      <c r="W3557">
        <v>21858.062569999998</v>
      </c>
      <c r="X3557">
        <v>0</v>
      </c>
      <c r="Y3557">
        <v>77196</v>
      </c>
    </row>
    <row r="3558" spans="1:25" ht="15" hidden="1" customHeight="1" x14ac:dyDescent="0.25">
      <c r="A3558" s="1" t="s">
        <v>38</v>
      </c>
      <c r="B3558" s="1"/>
      <c r="C3558" s="1" t="s">
        <v>207</v>
      </c>
      <c r="D3558">
        <v>10202</v>
      </c>
      <c r="E3558" s="1"/>
      <c r="F3558" s="1" t="s">
        <v>207</v>
      </c>
      <c r="G3558" s="1" t="s">
        <v>207</v>
      </c>
      <c r="H3558" s="1" t="s">
        <v>1405</v>
      </c>
      <c r="I3558">
        <v>2015</v>
      </c>
      <c r="J3558" s="93">
        <v>9312</v>
      </c>
      <c r="K3558">
        <v>5</v>
      </c>
      <c r="L3558" s="1" t="s">
        <v>410</v>
      </c>
      <c r="M3558">
        <v>0</v>
      </c>
      <c r="N3558">
        <v>123</v>
      </c>
      <c r="O3558">
        <v>46.302273999999997</v>
      </c>
      <c r="P3558">
        <v>1</v>
      </c>
      <c r="Q3558" s="1" t="s">
        <v>564</v>
      </c>
      <c r="R3558" s="93">
        <v>10841</v>
      </c>
      <c r="S3558">
        <v>1371.99</v>
      </c>
      <c r="T3558">
        <v>0</v>
      </c>
      <c r="U3558" s="1" t="s">
        <v>873</v>
      </c>
      <c r="V3558" s="1" t="s">
        <v>1225</v>
      </c>
      <c r="W3558">
        <v>527.76</v>
      </c>
      <c r="X3558">
        <v>0</v>
      </c>
      <c r="Y3558">
        <v>77352</v>
      </c>
    </row>
    <row r="3559" spans="1:25" ht="15" hidden="1" customHeight="1" x14ac:dyDescent="0.25">
      <c r="A3559" s="1" t="s">
        <v>38</v>
      </c>
      <c r="B3559" s="1"/>
      <c r="C3559" s="1" t="s">
        <v>207</v>
      </c>
      <c r="D3559">
        <v>10202</v>
      </c>
      <c r="E3559" s="1"/>
      <c r="F3559" s="1" t="s">
        <v>207</v>
      </c>
      <c r="G3559" s="1" t="s">
        <v>207</v>
      </c>
      <c r="H3559" s="1" t="s">
        <v>1405</v>
      </c>
      <c r="I3559">
        <v>2013</v>
      </c>
      <c r="J3559" s="93">
        <v>22827.66</v>
      </c>
      <c r="K3559">
        <v>13</v>
      </c>
      <c r="L3559" s="1" t="s">
        <v>410</v>
      </c>
      <c r="M3559">
        <v>0</v>
      </c>
      <c r="N3559">
        <v>123</v>
      </c>
      <c r="O3559">
        <v>185.439967</v>
      </c>
      <c r="P3559">
        <v>1</v>
      </c>
      <c r="Q3559" s="1" t="s">
        <v>564</v>
      </c>
      <c r="R3559" s="93">
        <v>23840.52</v>
      </c>
      <c r="S3559">
        <v>5041.82</v>
      </c>
      <c r="T3559">
        <v>0</v>
      </c>
      <c r="U3559" s="1" t="s">
        <v>873</v>
      </c>
      <c r="V3559" s="1" t="s">
        <v>1225</v>
      </c>
      <c r="W3559">
        <v>2113.6725200000001</v>
      </c>
      <c r="X3559">
        <v>0</v>
      </c>
      <c r="Y3559">
        <v>77352</v>
      </c>
    </row>
    <row r="3560" spans="1:25" ht="15" hidden="1" customHeight="1" x14ac:dyDescent="0.25">
      <c r="A3560" s="1" t="s">
        <v>38</v>
      </c>
      <c r="B3560" s="1"/>
      <c r="C3560" s="1" t="s">
        <v>207</v>
      </c>
      <c r="D3560">
        <v>10202</v>
      </c>
      <c r="E3560" s="1"/>
      <c r="F3560" s="1" t="s">
        <v>207</v>
      </c>
      <c r="G3560" s="1" t="s">
        <v>207</v>
      </c>
      <c r="H3560" s="1" t="s">
        <v>1405</v>
      </c>
      <c r="I3560">
        <v>2012</v>
      </c>
      <c r="J3560" s="93">
        <v>35299.360000000001</v>
      </c>
      <c r="K3560">
        <v>12</v>
      </c>
      <c r="L3560" s="1" t="s">
        <v>410</v>
      </c>
      <c r="M3560">
        <v>0</v>
      </c>
      <c r="N3560">
        <v>123</v>
      </c>
      <c r="O3560">
        <v>286.753533</v>
      </c>
      <c r="P3560">
        <v>1</v>
      </c>
      <c r="Q3560" s="1" t="s">
        <v>564</v>
      </c>
      <c r="R3560" s="93">
        <v>38336.29</v>
      </c>
      <c r="S3560">
        <v>8107.42</v>
      </c>
      <c r="T3560">
        <v>0</v>
      </c>
      <c r="U3560" s="1" t="s">
        <v>873</v>
      </c>
      <c r="V3560" s="1" t="s">
        <v>1225</v>
      </c>
      <c r="W3560">
        <v>3268.4582999999998</v>
      </c>
      <c r="X3560">
        <v>0</v>
      </c>
      <c r="Y3560">
        <v>77352</v>
      </c>
    </row>
    <row r="3561" spans="1:25" ht="15" hidden="1" customHeight="1" x14ac:dyDescent="0.25">
      <c r="A3561" s="1" t="s">
        <v>38</v>
      </c>
      <c r="B3561" s="1"/>
      <c r="C3561" s="1" t="s">
        <v>207</v>
      </c>
      <c r="D3561">
        <v>10202</v>
      </c>
      <c r="E3561" s="1"/>
      <c r="F3561" s="1" t="s">
        <v>207</v>
      </c>
      <c r="G3561" s="1" t="s">
        <v>207</v>
      </c>
      <c r="H3561" s="1" t="s">
        <v>1405</v>
      </c>
      <c r="I3561">
        <v>2011</v>
      </c>
      <c r="J3561" s="93">
        <v>40495.67</v>
      </c>
      <c r="K3561">
        <v>12</v>
      </c>
      <c r="L3561" s="1" t="s">
        <v>410</v>
      </c>
      <c r="M3561">
        <v>0</v>
      </c>
      <c r="N3561">
        <v>123</v>
      </c>
      <c r="O3561">
        <v>328.96563700000002</v>
      </c>
      <c r="P3561">
        <v>1</v>
      </c>
      <c r="Q3561" s="1" t="s">
        <v>564</v>
      </c>
      <c r="R3561" s="93">
        <v>47304.92</v>
      </c>
      <c r="S3561">
        <v>10004.120000000001</v>
      </c>
      <c r="T3561">
        <v>0</v>
      </c>
      <c r="U3561" s="1" t="s">
        <v>873</v>
      </c>
      <c r="V3561" s="1" t="s">
        <v>1225</v>
      </c>
      <c r="W3561">
        <v>3749.5999900000002</v>
      </c>
      <c r="X3561">
        <v>0</v>
      </c>
      <c r="Y3561">
        <v>77352</v>
      </c>
    </row>
    <row r="3562" spans="1:25" ht="15" hidden="1" customHeight="1" x14ac:dyDescent="0.25">
      <c r="A3562" s="1" t="s">
        <v>38</v>
      </c>
      <c r="B3562" s="1"/>
      <c r="C3562" s="1" t="s">
        <v>207</v>
      </c>
      <c r="D3562">
        <v>10202</v>
      </c>
      <c r="E3562" s="1"/>
      <c r="F3562" s="1" t="s">
        <v>207</v>
      </c>
      <c r="G3562" s="1" t="s">
        <v>207</v>
      </c>
      <c r="H3562" s="1" t="s">
        <v>1405</v>
      </c>
      <c r="I3562">
        <v>2010</v>
      </c>
      <c r="J3562" s="93">
        <v>28178.29</v>
      </c>
      <c r="K3562">
        <v>8</v>
      </c>
      <c r="L3562" s="1" t="s">
        <v>410</v>
      </c>
      <c r="M3562">
        <v>0</v>
      </c>
      <c r="N3562">
        <v>123</v>
      </c>
      <c r="O3562">
        <v>228.905686</v>
      </c>
      <c r="P3562">
        <v>1</v>
      </c>
      <c r="Q3562" s="1" t="s">
        <v>564</v>
      </c>
      <c r="R3562" s="93">
        <v>25711.16</v>
      </c>
      <c r="S3562">
        <v>5437.42</v>
      </c>
      <c r="T3562">
        <v>0</v>
      </c>
      <c r="U3562" s="1" t="s">
        <v>873</v>
      </c>
      <c r="V3562" s="1" t="s">
        <v>1225</v>
      </c>
      <c r="W3562">
        <v>2609.10068</v>
      </c>
      <c r="X3562">
        <v>0</v>
      </c>
      <c r="Y3562">
        <v>77352</v>
      </c>
    </row>
    <row r="3563" spans="1:25" ht="15" hidden="1" customHeight="1" x14ac:dyDescent="0.25">
      <c r="A3563" s="1" t="s">
        <v>38</v>
      </c>
      <c r="B3563" s="1"/>
      <c r="C3563" s="1" t="s">
        <v>207</v>
      </c>
      <c r="D3563">
        <v>10202</v>
      </c>
      <c r="E3563" s="1"/>
      <c r="F3563" s="1" t="s">
        <v>207</v>
      </c>
      <c r="G3563" s="1" t="s">
        <v>207</v>
      </c>
      <c r="H3563" s="1" t="s">
        <v>1405</v>
      </c>
      <c r="I3563">
        <v>2009</v>
      </c>
      <c r="J3563" s="93">
        <v>20966.11</v>
      </c>
      <c r="K3563">
        <v>2</v>
      </c>
      <c r="L3563" s="1" t="s">
        <v>410</v>
      </c>
      <c r="M3563">
        <v>0</v>
      </c>
      <c r="N3563">
        <v>123</v>
      </c>
      <c r="O3563">
        <v>170.31770900000001</v>
      </c>
      <c r="P3563">
        <v>1</v>
      </c>
      <c r="Q3563" s="1" t="s">
        <v>564</v>
      </c>
      <c r="R3563" s="93">
        <v>28238.59</v>
      </c>
      <c r="S3563">
        <v>5971.92</v>
      </c>
      <c r="T3563">
        <v>0</v>
      </c>
      <c r="U3563" s="1" t="s">
        <v>873</v>
      </c>
      <c r="V3563" s="1" t="s">
        <v>1225</v>
      </c>
      <c r="W3563">
        <v>1941.30882</v>
      </c>
      <c r="X3563">
        <v>0</v>
      </c>
      <c r="Y3563">
        <v>77352</v>
      </c>
    </row>
    <row r="3564" spans="1:25" ht="15" hidden="1" customHeight="1" x14ac:dyDescent="0.25">
      <c r="A3564" s="1" t="s">
        <v>38</v>
      </c>
      <c r="B3564" s="1"/>
      <c r="C3564" s="1" t="s">
        <v>207</v>
      </c>
      <c r="D3564">
        <v>10202</v>
      </c>
      <c r="E3564" s="1"/>
      <c r="F3564" s="1" t="s">
        <v>207</v>
      </c>
      <c r="G3564" s="1" t="s">
        <v>207</v>
      </c>
      <c r="H3564" s="1" t="s">
        <v>1405</v>
      </c>
      <c r="I3564">
        <v>2008</v>
      </c>
      <c r="J3564" s="93">
        <v>17385.55</v>
      </c>
      <c r="K3564">
        <v>5</v>
      </c>
      <c r="L3564" s="1" t="s">
        <v>410</v>
      </c>
      <c r="M3564">
        <v>0</v>
      </c>
      <c r="N3564">
        <v>123</v>
      </c>
      <c r="O3564">
        <v>141.231112</v>
      </c>
      <c r="P3564">
        <v>1</v>
      </c>
      <c r="Q3564" s="1" t="s">
        <v>564</v>
      </c>
      <c r="R3564" s="93">
        <v>19971.91</v>
      </c>
      <c r="S3564">
        <v>4223.68</v>
      </c>
      <c r="T3564">
        <v>0</v>
      </c>
      <c r="U3564" s="1" t="s">
        <v>873</v>
      </c>
      <c r="V3564" s="1" t="s">
        <v>1225</v>
      </c>
      <c r="W3564">
        <v>1609.7724900000001</v>
      </c>
      <c r="X3564">
        <v>0</v>
      </c>
      <c r="Y3564">
        <v>77352</v>
      </c>
    </row>
    <row r="3565" spans="1:25" ht="15" hidden="1" customHeight="1" x14ac:dyDescent="0.25">
      <c r="A3565" s="1" t="s">
        <v>38</v>
      </c>
      <c r="B3565" s="1"/>
      <c r="C3565" s="1" t="s">
        <v>204</v>
      </c>
      <c r="D3565">
        <v>10165</v>
      </c>
      <c r="E3565" s="1"/>
      <c r="F3565" s="1" t="s">
        <v>339</v>
      </c>
      <c r="G3565" s="1" t="s">
        <v>1401</v>
      </c>
      <c r="H3565" s="1" t="s">
        <v>1405</v>
      </c>
      <c r="I3565">
        <v>2014</v>
      </c>
      <c r="J3565" s="93">
        <v>117.61</v>
      </c>
      <c r="K3565">
        <v>12</v>
      </c>
      <c r="L3565" s="1" t="s">
        <v>449</v>
      </c>
      <c r="M3565">
        <v>0</v>
      </c>
      <c r="N3565">
        <v>168</v>
      </c>
      <c r="O3565">
        <v>0.69964300000000001</v>
      </c>
      <c r="P3565">
        <v>3</v>
      </c>
      <c r="Q3565" s="1" t="s">
        <v>560</v>
      </c>
      <c r="R3565" s="93">
        <v>117.61</v>
      </c>
      <c r="S3565">
        <v>94.06</v>
      </c>
      <c r="T3565">
        <v>0</v>
      </c>
      <c r="U3565" s="1" t="s">
        <v>694</v>
      </c>
      <c r="V3565" s="1"/>
      <c r="W3565">
        <v>117.583</v>
      </c>
      <c r="X3565">
        <v>0</v>
      </c>
      <c r="Y3565">
        <v>77158</v>
      </c>
    </row>
    <row r="3566" spans="1:25" ht="15" hidden="1" customHeight="1" x14ac:dyDescent="0.25">
      <c r="A3566" s="1" t="s">
        <v>38</v>
      </c>
      <c r="B3566" s="1"/>
      <c r="C3566" s="1" t="s">
        <v>204</v>
      </c>
      <c r="D3566">
        <v>10165</v>
      </c>
      <c r="E3566" s="1"/>
      <c r="F3566" s="1" t="s">
        <v>339</v>
      </c>
      <c r="G3566" s="1" t="s">
        <v>1401</v>
      </c>
      <c r="H3566" s="1" t="s">
        <v>1405</v>
      </c>
      <c r="I3566">
        <v>2014</v>
      </c>
      <c r="J3566" s="93">
        <v>12914</v>
      </c>
      <c r="K3566">
        <v>12</v>
      </c>
      <c r="L3566" s="1" t="s">
        <v>432</v>
      </c>
      <c r="M3566">
        <v>0</v>
      </c>
      <c r="N3566">
        <v>168</v>
      </c>
      <c r="O3566">
        <v>76.823318999999998</v>
      </c>
      <c r="P3566">
        <v>1</v>
      </c>
      <c r="Q3566" s="1" t="s">
        <v>562</v>
      </c>
      <c r="R3566" s="93">
        <v>12914</v>
      </c>
      <c r="S3566">
        <v>826.51</v>
      </c>
      <c r="T3566">
        <v>0</v>
      </c>
      <c r="U3566" s="1" t="s">
        <v>871</v>
      </c>
      <c r="V3566" s="1"/>
      <c r="W3566">
        <v>12914</v>
      </c>
      <c r="X3566">
        <v>0</v>
      </c>
      <c r="Y3566">
        <v>77179</v>
      </c>
    </row>
    <row r="3567" spans="1:25" ht="15" hidden="1" customHeight="1" x14ac:dyDescent="0.25">
      <c r="A3567" s="1" t="s">
        <v>38</v>
      </c>
      <c r="B3567" s="1"/>
      <c r="C3567" s="1" t="s">
        <v>204</v>
      </c>
      <c r="D3567">
        <v>10165</v>
      </c>
      <c r="E3567" s="1"/>
      <c r="F3567" s="1" t="s">
        <v>339</v>
      </c>
      <c r="G3567" s="1" t="s">
        <v>1401</v>
      </c>
      <c r="H3567" s="1" t="s">
        <v>1405</v>
      </c>
      <c r="I3567">
        <v>2014</v>
      </c>
      <c r="J3567" s="93">
        <v>8003.22</v>
      </c>
      <c r="K3567">
        <v>12</v>
      </c>
      <c r="L3567" s="1" t="s">
        <v>416</v>
      </c>
      <c r="M3567">
        <v>0</v>
      </c>
      <c r="N3567">
        <v>168</v>
      </c>
      <c r="O3567">
        <v>47.609875000000002</v>
      </c>
      <c r="P3567">
        <v>2</v>
      </c>
      <c r="Q3567" s="1" t="s">
        <v>569</v>
      </c>
      <c r="R3567" s="93">
        <v>8003.22</v>
      </c>
      <c r="S3567">
        <v>2400.9699999999998</v>
      </c>
      <c r="T3567">
        <v>0</v>
      </c>
      <c r="U3567" s="1" t="s">
        <v>1099</v>
      </c>
      <c r="V3567" s="1"/>
      <c r="W3567">
        <v>8003.2303599999996</v>
      </c>
      <c r="X3567">
        <v>0</v>
      </c>
      <c r="Y3567">
        <v>77157</v>
      </c>
    </row>
    <row r="3568" spans="1:25" ht="15" hidden="1" customHeight="1" x14ac:dyDescent="0.25">
      <c r="A3568" s="1" t="s">
        <v>38</v>
      </c>
      <c r="B3568" s="1"/>
      <c r="C3568" s="1" t="s">
        <v>205</v>
      </c>
      <c r="D3568">
        <v>10166</v>
      </c>
      <c r="E3568" s="1"/>
      <c r="F3568" s="1" t="s">
        <v>340</v>
      </c>
      <c r="G3568" s="1" t="s">
        <v>1401</v>
      </c>
      <c r="H3568" s="1" t="s">
        <v>1405</v>
      </c>
      <c r="I3568">
        <v>2014</v>
      </c>
      <c r="J3568" s="93">
        <v>28.3</v>
      </c>
      <c r="K3568">
        <v>12</v>
      </c>
      <c r="L3568" s="1" t="s">
        <v>432</v>
      </c>
      <c r="M3568">
        <v>0</v>
      </c>
      <c r="N3568">
        <v>228</v>
      </c>
      <c r="O3568">
        <v>0.124068</v>
      </c>
      <c r="P3568">
        <v>3</v>
      </c>
      <c r="Q3568" s="1" t="s">
        <v>560</v>
      </c>
      <c r="R3568" s="93">
        <v>28.3</v>
      </c>
      <c r="S3568">
        <v>22.64</v>
      </c>
      <c r="T3568">
        <v>0</v>
      </c>
      <c r="U3568" s="1" t="s">
        <v>695</v>
      </c>
      <c r="V3568" s="1"/>
      <c r="W3568">
        <v>28.3</v>
      </c>
      <c r="X3568">
        <v>0</v>
      </c>
      <c r="Y3568">
        <v>77161</v>
      </c>
    </row>
    <row r="3569" spans="1:25" ht="15" hidden="1" customHeight="1" x14ac:dyDescent="0.25">
      <c r="A3569" s="1" t="s">
        <v>38</v>
      </c>
      <c r="B3569" s="1"/>
      <c r="C3569" s="1" t="s">
        <v>205</v>
      </c>
      <c r="D3569">
        <v>10166</v>
      </c>
      <c r="E3569" s="1"/>
      <c r="F3569" s="1" t="s">
        <v>340</v>
      </c>
      <c r="G3569" s="1" t="s">
        <v>1401</v>
      </c>
      <c r="H3569" s="1" t="s">
        <v>1405</v>
      </c>
      <c r="I3569">
        <v>2014</v>
      </c>
      <c r="J3569" s="93">
        <v>17102</v>
      </c>
      <c r="K3569">
        <v>12</v>
      </c>
      <c r="L3569" s="1" t="s">
        <v>432</v>
      </c>
      <c r="M3569">
        <v>0</v>
      </c>
      <c r="N3569">
        <v>228</v>
      </c>
      <c r="O3569">
        <v>74.975887</v>
      </c>
      <c r="P3569">
        <v>1</v>
      </c>
      <c r="Q3569" s="1" t="s">
        <v>562</v>
      </c>
      <c r="R3569" s="93">
        <v>21158.99</v>
      </c>
      <c r="S3569">
        <v>1354.16</v>
      </c>
      <c r="T3569">
        <v>0</v>
      </c>
      <c r="U3569" s="1" t="s">
        <v>872</v>
      </c>
      <c r="V3569" s="1"/>
      <c r="W3569">
        <v>17102</v>
      </c>
      <c r="X3569">
        <v>0</v>
      </c>
      <c r="Y3569">
        <v>77196</v>
      </c>
    </row>
    <row r="3570" spans="1:25" ht="15" hidden="1" customHeight="1" x14ac:dyDescent="0.25">
      <c r="A3570" s="1" t="s">
        <v>38</v>
      </c>
      <c r="B3570" s="1"/>
      <c r="C3570" s="1" t="s">
        <v>205</v>
      </c>
      <c r="D3570">
        <v>10166</v>
      </c>
      <c r="E3570" s="1"/>
      <c r="F3570" s="1" t="s">
        <v>340</v>
      </c>
      <c r="G3570" s="1" t="s">
        <v>1401</v>
      </c>
      <c r="H3570" s="1" t="s">
        <v>1405</v>
      </c>
      <c r="I3570">
        <v>2014</v>
      </c>
      <c r="J3570" s="93">
        <v>7935.25</v>
      </c>
      <c r="K3570">
        <v>11</v>
      </c>
      <c r="L3570" s="1" t="s">
        <v>416</v>
      </c>
      <c r="M3570">
        <v>0</v>
      </c>
      <c r="N3570">
        <v>228</v>
      </c>
      <c r="O3570">
        <v>34.788468999999999</v>
      </c>
      <c r="P3570">
        <v>2</v>
      </c>
      <c r="Q3570" s="1" t="s">
        <v>569</v>
      </c>
      <c r="R3570" s="93">
        <v>7935.25</v>
      </c>
      <c r="S3570">
        <v>2380.56</v>
      </c>
      <c r="T3570">
        <v>0</v>
      </c>
      <c r="U3570" s="1" t="s">
        <v>1100</v>
      </c>
      <c r="V3570" s="1"/>
      <c r="W3570">
        <v>7935.26</v>
      </c>
      <c r="X3570">
        <v>0</v>
      </c>
      <c r="Y3570">
        <v>77160</v>
      </c>
    </row>
    <row r="3571" spans="1:25" ht="15" hidden="1" customHeight="1" x14ac:dyDescent="0.25">
      <c r="A3571" s="1" t="s">
        <v>38</v>
      </c>
      <c r="B3571" s="1"/>
      <c r="C3571" s="1" t="s">
        <v>206</v>
      </c>
      <c r="D3571">
        <v>10170</v>
      </c>
      <c r="E3571" s="1"/>
      <c r="F3571" s="1" t="s">
        <v>206</v>
      </c>
      <c r="G3571" s="1" t="s">
        <v>206</v>
      </c>
      <c r="H3571" s="1" t="s">
        <v>1405</v>
      </c>
      <c r="I3571">
        <v>2014</v>
      </c>
      <c r="J3571" s="93">
        <v>16.899999999999999</v>
      </c>
      <c r="K3571">
        <v>12</v>
      </c>
      <c r="L3571" s="1" t="s">
        <v>451</v>
      </c>
      <c r="M3571">
        <v>0</v>
      </c>
      <c r="N3571">
        <v>247</v>
      </c>
      <c r="O3571">
        <v>6.8392999999999995E-2</v>
      </c>
      <c r="P3571">
        <v>3</v>
      </c>
      <c r="Q3571" s="1" t="s">
        <v>560</v>
      </c>
      <c r="R3571" s="93">
        <v>16.899999999999999</v>
      </c>
      <c r="S3571">
        <v>13.52</v>
      </c>
      <c r="T3571">
        <v>0</v>
      </c>
      <c r="U3571" s="1" t="s">
        <v>696</v>
      </c>
      <c r="V3571" s="1"/>
      <c r="W3571">
        <v>16.899999999999999</v>
      </c>
      <c r="X3571">
        <v>0</v>
      </c>
      <c r="Y3571">
        <v>77184</v>
      </c>
    </row>
    <row r="3572" spans="1:25" ht="15" hidden="1" customHeight="1" x14ac:dyDescent="0.25">
      <c r="A3572" s="1" t="s">
        <v>38</v>
      </c>
      <c r="B3572" s="1"/>
      <c r="C3572" s="1" t="s">
        <v>206</v>
      </c>
      <c r="D3572">
        <v>10170</v>
      </c>
      <c r="E3572" s="1"/>
      <c r="F3572" s="1" t="s">
        <v>206</v>
      </c>
      <c r="G3572" s="1" t="s">
        <v>206</v>
      </c>
      <c r="H3572" s="1" t="s">
        <v>1405</v>
      </c>
      <c r="I3572">
        <v>2014</v>
      </c>
      <c r="J3572" s="93">
        <v>14525.01</v>
      </c>
      <c r="K3572">
        <v>12</v>
      </c>
      <c r="L3572" s="1" t="s">
        <v>416</v>
      </c>
      <c r="M3572">
        <v>0</v>
      </c>
      <c r="N3572">
        <v>247</v>
      </c>
      <c r="O3572">
        <v>58.781910000000003</v>
      </c>
      <c r="P3572">
        <v>2</v>
      </c>
      <c r="Q3572" s="1" t="s">
        <v>569</v>
      </c>
      <c r="R3572" s="93">
        <v>14525.01</v>
      </c>
      <c r="S3572">
        <v>4357.51</v>
      </c>
      <c r="T3572">
        <v>0</v>
      </c>
      <c r="U3572" s="1" t="s">
        <v>1101</v>
      </c>
      <c r="V3572" s="1" t="s">
        <v>1343</v>
      </c>
      <c r="W3572">
        <v>14525.009</v>
      </c>
      <c r="X3572">
        <v>0</v>
      </c>
      <c r="Y3572">
        <v>77183</v>
      </c>
    </row>
    <row r="3573" spans="1:25" ht="15" hidden="1" customHeight="1" x14ac:dyDescent="0.25">
      <c r="A3573" s="1" t="s">
        <v>37</v>
      </c>
      <c r="B3573" s="1" t="s">
        <v>82</v>
      </c>
      <c r="C3573" s="1" t="s">
        <v>199</v>
      </c>
      <c r="D3573">
        <v>5474</v>
      </c>
      <c r="E3573" s="1"/>
      <c r="F3573" s="1" t="s">
        <v>334</v>
      </c>
      <c r="G3573" s="1" t="s">
        <v>334</v>
      </c>
      <c r="H3573" s="1" t="s">
        <v>1405</v>
      </c>
      <c r="I3573">
        <v>2014</v>
      </c>
      <c r="J3573" s="93">
        <v>1265122.8</v>
      </c>
      <c r="K3573">
        <v>12</v>
      </c>
      <c r="L3573" s="1"/>
      <c r="M3573">
        <v>0</v>
      </c>
      <c r="N3573">
        <v>10600</v>
      </c>
      <c r="O3573">
        <v>119.350081</v>
      </c>
      <c r="P3573">
        <v>1</v>
      </c>
      <c r="Q3573" s="1" t="s">
        <v>564</v>
      </c>
      <c r="R3573" s="93">
        <v>1542223.23</v>
      </c>
      <c r="S3573">
        <v>326151.65000000002</v>
      </c>
      <c r="T3573">
        <v>0</v>
      </c>
      <c r="U3573" s="1" t="s">
        <v>865</v>
      </c>
      <c r="V3573" s="1" t="s">
        <v>1223</v>
      </c>
      <c r="W3573">
        <v>117141</v>
      </c>
      <c r="X3573">
        <v>0</v>
      </c>
      <c r="Y3573">
        <v>57912</v>
      </c>
    </row>
    <row r="3574" spans="1:25" ht="15" hidden="1" customHeight="1" x14ac:dyDescent="0.25">
      <c r="A3574" s="1" t="s">
        <v>38</v>
      </c>
      <c r="B3574" s="1"/>
      <c r="C3574" s="1" t="s">
        <v>207</v>
      </c>
      <c r="D3574">
        <v>10202</v>
      </c>
      <c r="E3574" s="1"/>
      <c r="F3574" s="1" t="s">
        <v>207</v>
      </c>
      <c r="G3574" s="1" t="s">
        <v>207</v>
      </c>
      <c r="H3574" s="1" t="s">
        <v>1405</v>
      </c>
      <c r="I3574">
        <v>2014</v>
      </c>
      <c r="J3574" s="93">
        <v>6.94</v>
      </c>
      <c r="K3574">
        <v>12</v>
      </c>
      <c r="L3574" s="1" t="s">
        <v>399</v>
      </c>
      <c r="M3574">
        <v>0</v>
      </c>
      <c r="N3574">
        <v>123</v>
      </c>
      <c r="O3574">
        <v>5.6376000000000002E-2</v>
      </c>
      <c r="P3574">
        <v>3</v>
      </c>
      <c r="Q3574" s="1" t="s">
        <v>560</v>
      </c>
      <c r="R3574" s="93">
        <v>6.94</v>
      </c>
      <c r="S3574">
        <v>5.55</v>
      </c>
      <c r="T3574">
        <v>0</v>
      </c>
      <c r="U3574" s="1" t="s">
        <v>697</v>
      </c>
      <c r="V3574" s="1"/>
      <c r="W3574">
        <v>6.9450000000000003</v>
      </c>
      <c r="X3574">
        <v>0</v>
      </c>
      <c r="Y3574">
        <v>77351</v>
      </c>
    </row>
    <row r="3575" spans="1:25" ht="15" hidden="1" customHeight="1" x14ac:dyDescent="0.25">
      <c r="A3575" s="1" t="s">
        <v>38</v>
      </c>
      <c r="B3575" s="1"/>
      <c r="C3575" s="1" t="s">
        <v>207</v>
      </c>
      <c r="D3575">
        <v>10202</v>
      </c>
      <c r="E3575" s="1"/>
      <c r="F3575" s="1" t="s">
        <v>207</v>
      </c>
      <c r="G3575" s="1" t="s">
        <v>207</v>
      </c>
      <c r="H3575" s="1" t="s">
        <v>1405</v>
      </c>
      <c r="I3575">
        <v>2014</v>
      </c>
      <c r="J3575" s="93">
        <v>1665.01</v>
      </c>
      <c r="K3575">
        <v>12</v>
      </c>
      <c r="L3575" s="1" t="s">
        <v>416</v>
      </c>
      <c r="M3575">
        <v>0</v>
      </c>
      <c r="N3575">
        <v>123</v>
      </c>
      <c r="O3575">
        <v>13.52567</v>
      </c>
      <c r="P3575">
        <v>2</v>
      </c>
      <c r="Q3575" s="1" t="s">
        <v>569</v>
      </c>
      <c r="R3575" s="93">
        <v>1665.01</v>
      </c>
      <c r="S3575">
        <v>499.5</v>
      </c>
      <c r="T3575">
        <v>0</v>
      </c>
      <c r="U3575" s="1" t="s">
        <v>1102</v>
      </c>
      <c r="V3575" s="1" t="s">
        <v>1344</v>
      </c>
      <c r="W3575">
        <v>1664.9929999999999</v>
      </c>
      <c r="X3575">
        <v>0</v>
      </c>
      <c r="Y3575">
        <v>77350</v>
      </c>
    </row>
    <row r="3576" spans="1:25" ht="15" hidden="1" customHeight="1" x14ac:dyDescent="0.25">
      <c r="A3576" s="1" t="s">
        <v>38</v>
      </c>
      <c r="B3576" s="1" t="s">
        <v>96</v>
      </c>
      <c r="C3576" s="1" t="s">
        <v>240</v>
      </c>
      <c r="D3576">
        <v>13663</v>
      </c>
      <c r="E3576" s="1" t="s">
        <v>243</v>
      </c>
      <c r="F3576" s="1" t="s">
        <v>388</v>
      </c>
      <c r="G3576" s="1" t="s">
        <v>388</v>
      </c>
      <c r="H3576" s="1" t="s">
        <v>1405</v>
      </c>
      <c r="I3576">
        <v>2015</v>
      </c>
      <c r="J3576" s="93">
        <v>4413</v>
      </c>
      <c r="K3576">
        <v>4</v>
      </c>
      <c r="L3576" s="1"/>
      <c r="M3576">
        <v>0</v>
      </c>
      <c r="N3576">
        <v>74</v>
      </c>
      <c r="O3576">
        <v>0</v>
      </c>
      <c r="P3576">
        <v>2</v>
      </c>
      <c r="Q3576" s="1" t="s">
        <v>569</v>
      </c>
      <c r="R3576" s="93">
        <v>0</v>
      </c>
      <c r="S3576">
        <v>0</v>
      </c>
      <c r="T3576">
        <v>0</v>
      </c>
      <c r="U3576" s="1" t="s">
        <v>1103</v>
      </c>
      <c r="V3576" s="1" t="s">
        <v>1345</v>
      </c>
      <c r="W3576">
        <v>0</v>
      </c>
      <c r="X3576">
        <v>0</v>
      </c>
      <c r="Y3576">
        <v>91253</v>
      </c>
    </row>
    <row r="3577" spans="1:25" ht="15" hidden="1" customHeight="1" x14ac:dyDescent="0.25">
      <c r="A3577" s="1" t="s">
        <v>38</v>
      </c>
      <c r="B3577" s="1" t="s">
        <v>96</v>
      </c>
      <c r="C3577" s="1" t="s">
        <v>240</v>
      </c>
      <c r="D3577">
        <v>13663</v>
      </c>
      <c r="E3577" s="1" t="s">
        <v>243</v>
      </c>
      <c r="F3577" s="1" t="s">
        <v>388</v>
      </c>
      <c r="G3577" s="1" t="s">
        <v>388</v>
      </c>
      <c r="H3577" s="1" t="s">
        <v>1405</v>
      </c>
      <c r="I3577">
        <v>2014</v>
      </c>
      <c r="J3577" s="93">
        <v>948.03</v>
      </c>
      <c r="K3577">
        <v>4</v>
      </c>
      <c r="L3577" s="1" t="s">
        <v>431</v>
      </c>
      <c r="M3577">
        <v>0</v>
      </c>
      <c r="N3577">
        <v>74</v>
      </c>
      <c r="O3577">
        <v>12.793927</v>
      </c>
      <c r="P3577">
        <v>2</v>
      </c>
      <c r="Q3577" s="1" t="s">
        <v>569</v>
      </c>
      <c r="R3577" s="93">
        <v>948.03</v>
      </c>
      <c r="S3577">
        <v>284.39999999999998</v>
      </c>
      <c r="T3577">
        <v>0</v>
      </c>
      <c r="U3577" s="1" t="s">
        <v>1103</v>
      </c>
      <c r="V3577" s="1" t="s">
        <v>1345</v>
      </c>
      <c r="W3577">
        <v>948.03615000000002</v>
      </c>
      <c r="X3577">
        <v>0</v>
      </c>
      <c r="Y3577">
        <v>91253</v>
      </c>
    </row>
    <row r="3578" spans="1:25" ht="15" hidden="1" customHeight="1" x14ac:dyDescent="0.25">
      <c r="A3578" s="1" t="s">
        <v>38</v>
      </c>
      <c r="B3578" s="1"/>
      <c r="C3578" s="1" t="s">
        <v>204</v>
      </c>
      <c r="D3578">
        <v>10165</v>
      </c>
      <c r="E3578" s="1"/>
      <c r="F3578" s="1" t="s">
        <v>339</v>
      </c>
      <c r="G3578" s="1" t="s">
        <v>1401</v>
      </c>
      <c r="H3578" s="1" t="s">
        <v>1405</v>
      </c>
      <c r="I3578">
        <v>2015</v>
      </c>
      <c r="J3578" s="93">
        <v>1748</v>
      </c>
      <c r="K3578">
        <v>5</v>
      </c>
      <c r="L3578" s="1" t="s">
        <v>416</v>
      </c>
      <c r="M3578">
        <v>0</v>
      </c>
      <c r="N3578">
        <v>168</v>
      </c>
      <c r="O3578">
        <v>3.7161209999999998</v>
      </c>
      <c r="P3578">
        <v>2</v>
      </c>
      <c r="Q3578" s="1" t="s">
        <v>569</v>
      </c>
      <c r="R3578" s="93">
        <v>624.67999999999995</v>
      </c>
      <c r="S3578">
        <v>187.4</v>
      </c>
      <c r="T3578">
        <v>0</v>
      </c>
      <c r="U3578" s="1" t="s">
        <v>1099</v>
      </c>
      <c r="V3578" s="1"/>
      <c r="W3578">
        <v>624.68002999999999</v>
      </c>
      <c r="X3578">
        <v>0</v>
      </c>
      <c r="Y3578">
        <v>77157</v>
      </c>
    </row>
    <row r="3579" spans="1:25" ht="15" hidden="1" customHeight="1" x14ac:dyDescent="0.25">
      <c r="A3579" s="1" t="s">
        <v>38</v>
      </c>
      <c r="B3579" s="1"/>
      <c r="C3579" s="1" t="s">
        <v>204</v>
      </c>
      <c r="D3579">
        <v>10165</v>
      </c>
      <c r="E3579" s="1"/>
      <c r="F3579" s="1" t="s">
        <v>339</v>
      </c>
      <c r="G3579" s="1" t="s">
        <v>1401</v>
      </c>
      <c r="H3579" s="1" t="s">
        <v>1405</v>
      </c>
      <c r="I3579">
        <v>2013</v>
      </c>
      <c r="J3579" s="93">
        <v>10504.58</v>
      </c>
      <c r="K3579">
        <v>12</v>
      </c>
      <c r="L3579" s="1" t="s">
        <v>416</v>
      </c>
      <c r="M3579">
        <v>0</v>
      </c>
      <c r="N3579">
        <v>168</v>
      </c>
      <c r="O3579">
        <v>62.490065000000001</v>
      </c>
      <c r="P3579">
        <v>2</v>
      </c>
      <c r="Q3579" s="1" t="s">
        <v>569</v>
      </c>
      <c r="R3579" s="93">
        <v>10504.58</v>
      </c>
      <c r="S3579">
        <v>3151.37</v>
      </c>
      <c r="T3579">
        <v>0</v>
      </c>
      <c r="U3579" s="1" t="s">
        <v>1099</v>
      </c>
      <c r="V3579" s="1"/>
      <c r="W3579">
        <v>10504.586799999999</v>
      </c>
      <c r="X3579">
        <v>0</v>
      </c>
      <c r="Y3579">
        <v>77157</v>
      </c>
    </row>
    <row r="3580" spans="1:25" ht="15" hidden="1" customHeight="1" x14ac:dyDescent="0.25">
      <c r="A3580" s="1" t="s">
        <v>38</v>
      </c>
      <c r="B3580" s="1"/>
      <c r="C3580" s="1" t="s">
        <v>204</v>
      </c>
      <c r="D3580">
        <v>10165</v>
      </c>
      <c r="E3580" s="1"/>
      <c r="F3580" s="1" t="s">
        <v>339</v>
      </c>
      <c r="G3580" s="1" t="s">
        <v>1401</v>
      </c>
      <c r="H3580" s="1" t="s">
        <v>1405</v>
      </c>
      <c r="I3580">
        <v>2012</v>
      </c>
      <c r="J3580" s="93">
        <v>13356.28</v>
      </c>
      <c r="K3580">
        <v>12</v>
      </c>
      <c r="L3580" s="1" t="s">
        <v>416</v>
      </c>
      <c r="M3580">
        <v>0</v>
      </c>
      <c r="N3580">
        <v>168</v>
      </c>
      <c r="O3580">
        <v>79.454372000000006</v>
      </c>
      <c r="P3580">
        <v>2</v>
      </c>
      <c r="Q3580" s="1" t="s">
        <v>569</v>
      </c>
      <c r="R3580" s="93">
        <v>13356.28</v>
      </c>
      <c r="S3580">
        <v>5342.5</v>
      </c>
      <c r="T3580">
        <v>0</v>
      </c>
      <c r="U3580" s="1" t="s">
        <v>1099</v>
      </c>
      <c r="V3580" s="1"/>
      <c r="W3580">
        <v>13356.270500000001</v>
      </c>
      <c r="X3580">
        <v>0</v>
      </c>
      <c r="Y3580">
        <v>77157</v>
      </c>
    </row>
    <row r="3581" spans="1:25" ht="15" hidden="1" customHeight="1" x14ac:dyDescent="0.25">
      <c r="A3581" s="1" t="s">
        <v>38</v>
      </c>
      <c r="B3581" s="1"/>
      <c r="C3581" s="1" t="s">
        <v>204</v>
      </c>
      <c r="D3581">
        <v>10165</v>
      </c>
      <c r="E3581" s="1"/>
      <c r="F3581" s="1" t="s">
        <v>339</v>
      </c>
      <c r="G3581" s="1" t="s">
        <v>1401</v>
      </c>
      <c r="H3581" s="1" t="s">
        <v>1405</v>
      </c>
      <c r="I3581">
        <v>2011</v>
      </c>
      <c r="J3581" s="93">
        <v>4128</v>
      </c>
      <c r="K3581">
        <v>12</v>
      </c>
      <c r="L3581" s="1" t="s">
        <v>416</v>
      </c>
      <c r="M3581">
        <v>0</v>
      </c>
      <c r="N3581">
        <v>168</v>
      </c>
      <c r="O3581">
        <v>24.556811</v>
      </c>
      <c r="P3581">
        <v>2</v>
      </c>
      <c r="Q3581" s="1" t="s">
        <v>569</v>
      </c>
      <c r="R3581" s="93">
        <v>4128</v>
      </c>
      <c r="S3581">
        <v>1936.04</v>
      </c>
      <c r="T3581">
        <v>0</v>
      </c>
      <c r="U3581" s="1" t="s">
        <v>1099</v>
      </c>
      <c r="V3581" s="1"/>
      <c r="W3581">
        <v>4128.0065599999998</v>
      </c>
      <c r="X3581">
        <v>0</v>
      </c>
      <c r="Y3581">
        <v>77157</v>
      </c>
    </row>
    <row r="3582" spans="1:25" ht="15" hidden="1" customHeight="1" x14ac:dyDescent="0.25">
      <c r="A3582" s="1" t="s">
        <v>38</v>
      </c>
      <c r="B3582" s="1"/>
      <c r="C3582" s="1" t="s">
        <v>204</v>
      </c>
      <c r="D3582">
        <v>10165</v>
      </c>
      <c r="E3582" s="1"/>
      <c r="F3582" s="1" t="s">
        <v>339</v>
      </c>
      <c r="G3582" s="1" t="s">
        <v>1401</v>
      </c>
      <c r="H3582" s="1" t="s">
        <v>1405</v>
      </c>
      <c r="I3582">
        <v>2010</v>
      </c>
      <c r="J3582" s="93">
        <v>1026.9000000000001</v>
      </c>
      <c r="K3582">
        <v>8</v>
      </c>
      <c r="L3582" s="1" t="s">
        <v>416</v>
      </c>
      <c r="M3582">
        <v>0</v>
      </c>
      <c r="N3582">
        <v>168</v>
      </c>
      <c r="O3582">
        <v>6.1088630000000004</v>
      </c>
      <c r="P3582">
        <v>2</v>
      </c>
      <c r="Q3582" s="1" t="s">
        <v>569</v>
      </c>
      <c r="R3582" s="93">
        <v>1026.9000000000001</v>
      </c>
      <c r="S3582">
        <v>481.62</v>
      </c>
      <c r="T3582">
        <v>0</v>
      </c>
      <c r="U3582" s="1" t="s">
        <v>1099</v>
      </c>
      <c r="V3582" s="1"/>
      <c r="W3582">
        <v>1026.9001900000001</v>
      </c>
      <c r="X3582">
        <v>0</v>
      </c>
      <c r="Y3582">
        <v>77157</v>
      </c>
    </row>
    <row r="3583" spans="1:25" ht="15" hidden="1" customHeight="1" x14ac:dyDescent="0.25">
      <c r="A3583" s="1" t="s">
        <v>38</v>
      </c>
      <c r="B3583" s="1"/>
      <c r="C3583" s="1" t="s">
        <v>204</v>
      </c>
      <c r="D3583">
        <v>10165</v>
      </c>
      <c r="E3583" s="1"/>
      <c r="F3583" s="1" t="s">
        <v>339</v>
      </c>
      <c r="G3583" s="1" t="s">
        <v>1401</v>
      </c>
      <c r="H3583" s="1" t="s">
        <v>1405</v>
      </c>
      <c r="I3583">
        <v>2009</v>
      </c>
      <c r="J3583" s="93">
        <v>5745.49</v>
      </c>
      <c r="K3583">
        <v>6</v>
      </c>
      <c r="L3583" s="1" t="s">
        <v>416</v>
      </c>
      <c r="M3583">
        <v>0</v>
      </c>
      <c r="N3583">
        <v>168</v>
      </c>
      <c r="O3583">
        <v>34.179000000000002</v>
      </c>
      <c r="P3583">
        <v>2</v>
      </c>
      <c r="Q3583" s="1" t="s">
        <v>569</v>
      </c>
      <c r="R3583" s="93">
        <v>5745.49</v>
      </c>
      <c r="S3583">
        <v>2694.63</v>
      </c>
      <c r="T3583">
        <v>0</v>
      </c>
      <c r="U3583" s="1" t="s">
        <v>1099</v>
      </c>
      <c r="V3583" s="1"/>
      <c r="W3583">
        <v>5745.4775799999998</v>
      </c>
      <c r="X3583">
        <v>0</v>
      </c>
      <c r="Y3583">
        <v>77157</v>
      </c>
    </row>
    <row r="3584" spans="1:25" ht="15" hidden="1" customHeight="1" x14ac:dyDescent="0.25">
      <c r="A3584" s="1" t="s">
        <v>38</v>
      </c>
      <c r="B3584" s="1"/>
      <c r="C3584" s="1" t="s">
        <v>204</v>
      </c>
      <c r="D3584">
        <v>10165</v>
      </c>
      <c r="E3584" s="1"/>
      <c r="F3584" s="1" t="s">
        <v>339</v>
      </c>
      <c r="G3584" s="1" t="s">
        <v>1401</v>
      </c>
      <c r="H3584" s="1" t="s">
        <v>1405</v>
      </c>
      <c r="I3584">
        <v>2008</v>
      </c>
      <c r="J3584" s="93">
        <v>9190.75</v>
      </c>
      <c r="K3584">
        <v>6</v>
      </c>
      <c r="L3584" s="1" t="s">
        <v>416</v>
      </c>
      <c r="M3584">
        <v>0</v>
      </c>
      <c r="N3584">
        <v>168</v>
      </c>
      <c r="O3584">
        <v>54.674301</v>
      </c>
      <c r="P3584">
        <v>2</v>
      </c>
      <c r="Q3584" s="1" t="s">
        <v>569</v>
      </c>
      <c r="R3584" s="93">
        <v>9190.75</v>
      </c>
      <c r="S3584">
        <v>4310.47</v>
      </c>
      <c r="T3584">
        <v>0</v>
      </c>
      <c r="U3584" s="1" t="s">
        <v>1099</v>
      </c>
      <c r="V3584" s="1"/>
      <c r="W3584">
        <v>9190.75612</v>
      </c>
      <c r="X3584">
        <v>0</v>
      </c>
      <c r="Y3584">
        <v>77157</v>
      </c>
    </row>
    <row r="3585" spans="1:25" ht="15" hidden="1" customHeight="1" x14ac:dyDescent="0.25">
      <c r="A3585" s="1" t="s">
        <v>38</v>
      </c>
      <c r="B3585" s="1"/>
      <c r="C3585" s="1" t="s">
        <v>205</v>
      </c>
      <c r="D3585">
        <v>10166</v>
      </c>
      <c r="E3585" s="1"/>
      <c r="F3585" s="1" t="s">
        <v>340</v>
      </c>
      <c r="G3585" s="1" t="s">
        <v>1401</v>
      </c>
      <c r="H3585" s="1" t="s">
        <v>1405</v>
      </c>
      <c r="I3585">
        <v>2015</v>
      </c>
      <c r="J3585" s="93">
        <v>6402</v>
      </c>
      <c r="K3585">
        <v>4</v>
      </c>
      <c r="L3585" s="1" t="s">
        <v>416</v>
      </c>
      <c r="M3585">
        <v>0</v>
      </c>
      <c r="N3585">
        <v>228</v>
      </c>
      <c r="O3585">
        <v>25.487461</v>
      </c>
      <c r="P3585">
        <v>2</v>
      </c>
      <c r="Q3585" s="1" t="s">
        <v>569</v>
      </c>
      <c r="R3585" s="93">
        <v>5813.69</v>
      </c>
      <c r="S3585">
        <v>1744.12</v>
      </c>
      <c r="T3585">
        <v>0</v>
      </c>
      <c r="U3585" s="1" t="s">
        <v>1100</v>
      </c>
      <c r="V3585" s="1"/>
      <c r="W3585">
        <v>5813.6949999999997</v>
      </c>
      <c r="X3585">
        <v>0</v>
      </c>
      <c r="Y3585">
        <v>77160</v>
      </c>
    </row>
    <row r="3586" spans="1:25" ht="15" hidden="1" customHeight="1" x14ac:dyDescent="0.25">
      <c r="A3586" s="1" t="s">
        <v>38</v>
      </c>
      <c r="B3586" s="1"/>
      <c r="C3586" s="1" t="s">
        <v>205</v>
      </c>
      <c r="D3586">
        <v>10166</v>
      </c>
      <c r="E3586" s="1"/>
      <c r="F3586" s="1" t="s">
        <v>340</v>
      </c>
      <c r="G3586" s="1" t="s">
        <v>1401</v>
      </c>
      <c r="H3586" s="1" t="s">
        <v>1405</v>
      </c>
      <c r="I3586">
        <v>2013</v>
      </c>
      <c r="J3586" s="93">
        <v>4160.1899999999996</v>
      </c>
      <c r="K3586">
        <v>12</v>
      </c>
      <c r="L3586" s="1" t="s">
        <v>416</v>
      </c>
      <c r="M3586">
        <v>0</v>
      </c>
      <c r="N3586">
        <v>228</v>
      </c>
      <c r="O3586">
        <v>18.238448000000002</v>
      </c>
      <c r="P3586">
        <v>2</v>
      </c>
      <c r="Q3586" s="1" t="s">
        <v>569</v>
      </c>
      <c r="R3586" s="93">
        <v>4160.1899999999996</v>
      </c>
      <c r="S3586">
        <v>1248.07</v>
      </c>
      <c r="T3586">
        <v>0</v>
      </c>
      <c r="U3586" s="1" t="s">
        <v>1100</v>
      </c>
      <c r="V3586" s="1"/>
      <c r="W3586">
        <v>4160.1949999999997</v>
      </c>
      <c r="X3586">
        <v>0</v>
      </c>
      <c r="Y3586">
        <v>77160</v>
      </c>
    </row>
    <row r="3587" spans="1:25" ht="15" hidden="1" customHeight="1" x14ac:dyDescent="0.25">
      <c r="A3587" s="1" t="s">
        <v>38</v>
      </c>
      <c r="B3587" s="1"/>
      <c r="C3587" s="1" t="s">
        <v>205</v>
      </c>
      <c r="D3587">
        <v>10166</v>
      </c>
      <c r="E3587" s="1"/>
      <c r="F3587" s="1" t="s">
        <v>340</v>
      </c>
      <c r="G3587" s="1" t="s">
        <v>1401</v>
      </c>
      <c r="H3587" s="1" t="s">
        <v>1405</v>
      </c>
      <c r="I3587">
        <v>2012</v>
      </c>
      <c r="J3587" s="93">
        <v>3164.27</v>
      </c>
      <c r="K3587">
        <v>12</v>
      </c>
      <c r="L3587" s="1" t="s">
        <v>416</v>
      </c>
      <c r="M3587">
        <v>0</v>
      </c>
      <c r="N3587">
        <v>228</v>
      </c>
      <c r="O3587">
        <v>13.872292</v>
      </c>
      <c r="P3587">
        <v>2</v>
      </c>
      <c r="Q3587" s="1" t="s">
        <v>569</v>
      </c>
      <c r="R3587" s="93">
        <v>3164.27</v>
      </c>
      <c r="S3587">
        <v>1265.7</v>
      </c>
      <c r="T3587">
        <v>0</v>
      </c>
      <c r="U3587" s="1" t="s">
        <v>1100</v>
      </c>
      <c r="V3587" s="1"/>
      <c r="W3587">
        <v>3164.2739999999999</v>
      </c>
      <c r="X3587">
        <v>0</v>
      </c>
      <c r="Y3587">
        <v>77160</v>
      </c>
    </row>
    <row r="3588" spans="1:25" ht="15" hidden="1" customHeight="1" x14ac:dyDescent="0.25">
      <c r="A3588" s="1" t="s">
        <v>38</v>
      </c>
      <c r="B3588" s="1"/>
      <c r="C3588" s="1" t="s">
        <v>205</v>
      </c>
      <c r="D3588">
        <v>10166</v>
      </c>
      <c r="E3588" s="1"/>
      <c r="F3588" s="1" t="s">
        <v>340</v>
      </c>
      <c r="G3588" s="1" t="s">
        <v>1401</v>
      </c>
      <c r="H3588" s="1" t="s">
        <v>1405</v>
      </c>
      <c r="I3588">
        <v>2011</v>
      </c>
      <c r="J3588" s="93">
        <v>2034.61</v>
      </c>
      <c r="K3588">
        <v>12</v>
      </c>
      <c r="L3588" s="1" t="s">
        <v>416</v>
      </c>
      <c r="M3588">
        <v>0</v>
      </c>
      <c r="N3588">
        <v>228</v>
      </c>
      <c r="O3588">
        <v>8.9198149999999998</v>
      </c>
      <c r="P3588">
        <v>2</v>
      </c>
      <c r="Q3588" s="1" t="s">
        <v>569</v>
      </c>
      <c r="R3588" s="93">
        <v>2034.61</v>
      </c>
      <c r="S3588">
        <v>954.23</v>
      </c>
      <c r="T3588">
        <v>0</v>
      </c>
      <c r="U3588" s="1" t="s">
        <v>1100</v>
      </c>
      <c r="V3588" s="1"/>
      <c r="W3588">
        <v>2034.604</v>
      </c>
      <c r="X3588">
        <v>0</v>
      </c>
      <c r="Y3588">
        <v>77160</v>
      </c>
    </row>
    <row r="3589" spans="1:25" ht="15" hidden="1" customHeight="1" x14ac:dyDescent="0.25">
      <c r="A3589" s="1" t="s">
        <v>38</v>
      </c>
      <c r="B3589" s="1"/>
      <c r="C3589" s="1" t="s">
        <v>205</v>
      </c>
      <c r="D3589">
        <v>10166</v>
      </c>
      <c r="E3589" s="1"/>
      <c r="F3589" s="1" t="s">
        <v>340</v>
      </c>
      <c r="G3589" s="1" t="s">
        <v>1401</v>
      </c>
      <c r="H3589" s="1" t="s">
        <v>1405</v>
      </c>
      <c r="I3589">
        <v>2010</v>
      </c>
      <c r="J3589" s="93">
        <v>1200.08</v>
      </c>
      <c r="K3589">
        <v>7</v>
      </c>
      <c r="L3589" s="1" t="s">
        <v>416</v>
      </c>
      <c r="M3589">
        <v>0</v>
      </c>
      <c r="N3589">
        <v>228</v>
      </c>
      <c r="O3589">
        <v>5.2612009999999998</v>
      </c>
      <c r="P3589">
        <v>2</v>
      </c>
      <c r="Q3589" s="1" t="s">
        <v>569</v>
      </c>
      <c r="R3589" s="93">
        <v>1200.08</v>
      </c>
      <c r="S3589">
        <v>562.83000000000004</v>
      </c>
      <c r="T3589">
        <v>0</v>
      </c>
      <c r="U3589" s="1" t="s">
        <v>1100</v>
      </c>
      <c r="V3589" s="1"/>
      <c r="W3589">
        <v>1200.0851299999999</v>
      </c>
      <c r="X3589">
        <v>0</v>
      </c>
      <c r="Y3589">
        <v>77160</v>
      </c>
    </row>
    <row r="3590" spans="1:25" ht="15" hidden="1" customHeight="1" x14ac:dyDescent="0.25">
      <c r="A3590" s="1" t="s">
        <v>38</v>
      </c>
      <c r="B3590" s="1"/>
      <c r="C3590" s="1" t="s">
        <v>205</v>
      </c>
      <c r="D3590">
        <v>10166</v>
      </c>
      <c r="E3590" s="1"/>
      <c r="F3590" s="1" t="s">
        <v>340</v>
      </c>
      <c r="G3590" s="1" t="s">
        <v>1401</v>
      </c>
      <c r="H3590" s="1" t="s">
        <v>1405</v>
      </c>
      <c r="I3590">
        <v>2009</v>
      </c>
      <c r="J3590" s="93">
        <v>2390.1799999999998</v>
      </c>
      <c r="K3590">
        <v>5</v>
      </c>
      <c r="L3590" s="1" t="s">
        <v>416</v>
      </c>
      <c r="M3590">
        <v>0</v>
      </c>
      <c r="N3590">
        <v>228</v>
      </c>
      <c r="O3590">
        <v>10.478649000000001</v>
      </c>
      <c r="P3590">
        <v>2</v>
      </c>
      <c r="Q3590" s="1" t="s">
        <v>569</v>
      </c>
      <c r="R3590" s="93">
        <v>2390.1799999999998</v>
      </c>
      <c r="S3590">
        <v>1120.98</v>
      </c>
      <c r="T3590">
        <v>0</v>
      </c>
      <c r="U3590" s="1" t="s">
        <v>1100</v>
      </c>
      <c r="V3590" s="1"/>
      <c r="W3590">
        <v>2390.1671099999999</v>
      </c>
      <c r="X3590">
        <v>0</v>
      </c>
      <c r="Y3590">
        <v>77160</v>
      </c>
    </row>
    <row r="3591" spans="1:25" ht="15" hidden="1" customHeight="1" x14ac:dyDescent="0.25">
      <c r="A3591" s="1" t="s">
        <v>38</v>
      </c>
      <c r="B3591" s="1"/>
      <c r="C3591" s="1" t="s">
        <v>205</v>
      </c>
      <c r="D3591">
        <v>10166</v>
      </c>
      <c r="E3591" s="1"/>
      <c r="F3591" s="1" t="s">
        <v>340</v>
      </c>
      <c r="G3591" s="1" t="s">
        <v>1401</v>
      </c>
      <c r="H3591" s="1" t="s">
        <v>1405</v>
      </c>
      <c r="I3591">
        <v>2008</v>
      </c>
      <c r="J3591" s="93">
        <v>3617.26</v>
      </c>
      <c r="K3591">
        <v>6</v>
      </c>
      <c r="L3591" s="1" t="s">
        <v>416</v>
      </c>
      <c r="M3591">
        <v>0</v>
      </c>
      <c r="N3591">
        <v>228</v>
      </c>
      <c r="O3591">
        <v>15.858219999999999</v>
      </c>
      <c r="P3591">
        <v>2</v>
      </c>
      <c r="Q3591" s="1" t="s">
        <v>569</v>
      </c>
      <c r="R3591" s="93">
        <v>3617.26</v>
      </c>
      <c r="S3591">
        <v>1696.51</v>
      </c>
      <c r="T3591">
        <v>0</v>
      </c>
      <c r="U3591" s="1" t="s">
        <v>1100</v>
      </c>
      <c r="V3591" s="1"/>
      <c r="W3591">
        <v>3617.2612800000002</v>
      </c>
      <c r="X3591">
        <v>0</v>
      </c>
      <c r="Y3591">
        <v>77160</v>
      </c>
    </row>
    <row r="3592" spans="1:25" ht="15" hidden="1" customHeight="1" x14ac:dyDescent="0.25">
      <c r="A3592" s="1" t="s">
        <v>38</v>
      </c>
      <c r="B3592" s="1"/>
      <c r="C3592" s="1" t="s">
        <v>206</v>
      </c>
      <c r="D3592">
        <v>10170</v>
      </c>
      <c r="E3592" s="1"/>
      <c r="F3592" s="1" t="s">
        <v>206</v>
      </c>
      <c r="G3592" s="1" t="s">
        <v>206</v>
      </c>
      <c r="H3592" s="1" t="s">
        <v>1405</v>
      </c>
      <c r="I3592">
        <v>2015</v>
      </c>
      <c r="J3592" s="93">
        <v>15705</v>
      </c>
      <c r="K3592">
        <v>5</v>
      </c>
      <c r="L3592" s="1" t="s">
        <v>416</v>
      </c>
      <c r="M3592">
        <v>0</v>
      </c>
      <c r="N3592">
        <v>247</v>
      </c>
      <c r="O3592">
        <v>41.794212000000002</v>
      </c>
      <c r="P3592">
        <v>2</v>
      </c>
      <c r="Q3592" s="1" t="s">
        <v>569</v>
      </c>
      <c r="R3592" s="93">
        <v>10327.35</v>
      </c>
      <c r="S3592">
        <v>3098.21</v>
      </c>
      <c r="T3592">
        <v>0</v>
      </c>
      <c r="U3592" s="1" t="s">
        <v>1101</v>
      </c>
      <c r="V3592" s="1" t="s">
        <v>1343</v>
      </c>
      <c r="W3592">
        <v>10327.356</v>
      </c>
      <c r="X3592">
        <v>0</v>
      </c>
      <c r="Y3592">
        <v>77183</v>
      </c>
    </row>
    <row r="3593" spans="1:25" ht="15" hidden="1" customHeight="1" x14ac:dyDescent="0.25">
      <c r="A3593" s="1" t="s">
        <v>38</v>
      </c>
      <c r="B3593" s="1"/>
      <c r="C3593" s="1" t="s">
        <v>206</v>
      </c>
      <c r="D3593">
        <v>10170</v>
      </c>
      <c r="E3593" s="1"/>
      <c r="F3593" s="1" t="s">
        <v>206</v>
      </c>
      <c r="G3593" s="1" t="s">
        <v>206</v>
      </c>
      <c r="H3593" s="1" t="s">
        <v>1405</v>
      </c>
      <c r="I3593">
        <v>2013</v>
      </c>
      <c r="J3593" s="93">
        <v>15998.19</v>
      </c>
      <c r="K3593">
        <v>12</v>
      </c>
      <c r="L3593" s="1" t="s">
        <v>416</v>
      </c>
      <c r="M3593">
        <v>0</v>
      </c>
      <c r="N3593">
        <v>247</v>
      </c>
      <c r="O3593">
        <v>64.743786999999998</v>
      </c>
      <c r="P3593">
        <v>2</v>
      </c>
      <c r="Q3593" s="1" t="s">
        <v>569</v>
      </c>
      <c r="R3593" s="93">
        <v>15998.19</v>
      </c>
      <c r="S3593">
        <v>4799.45</v>
      </c>
      <c r="T3593">
        <v>0</v>
      </c>
      <c r="U3593" s="1" t="s">
        <v>1101</v>
      </c>
      <c r="V3593" s="1" t="s">
        <v>1343</v>
      </c>
      <c r="W3593">
        <v>15998.174000000001</v>
      </c>
      <c r="X3593">
        <v>0</v>
      </c>
      <c r="Y3593">
        <v>77183</v>
      </c>
    </row>
    <row r="3594" spans="1:25" ht="15" hidden="1" customHeight="1" x14ac:dyDescent="0.25">
      <c r="A3594" s="1" t="s">
        <v>38</v>
      </c>
      <c r="B3594" s="1"/>
      <c r="C3594" s="1" t="s">
        <v>206</v>
      </c>
      <c r="D3594">
        <v>10170</v>
      </c>
      <c r="E3594" s="1"/>
      <c r="F3594" s="1" t="s">
        <v>206</v>
      </c>
      <c r="G3594" s="1" t="s">
        <v>206</v>
      </c>
      <c r="H3594" s="1" t="s">
        <v>1405</v>
      </c>
      <c r="I3594">
        <v>2012</v>
      </c>
      <c r="J3594" s="93">
        <v>13306.81</v>
      </c>
      <c r="K3594">
        <v>12</v>
      </c>
      <c r="L3594" s="1" t="s">
        <v>416</v>
      </c>
      <c r="M3594">
        <v>0</v>
      </c>
      <c r="N3594">
        <v>247</v>
      </c>
      <c r="O3594">
        <v>53.851922000000002</v>
      </c>
      <c r="P3594">
        <v>2</v>
      </c>
      <c r="Q3594" s="1" t="s">
        <v>569</v>
      </c>
      <c r="R3594" s="93">
        <v>13306.81</v>
      </c>
      <c r="S3594">
        <v>5322.72</v>
      </c>
      <c r="T3594">
        <v>0</v>
      </c>
      <c r="U3594" s="1" t="s">
        <v>1101</v>
      </c>
      <c r="V3594" s="1" t="s">
        <v>1343</v>
      </c>
      <c r="W3594">
        <v>13306.8051</v>
      </c>
      <c r="X3594">
        <v>0</v>
      </c>
      <c r="Y3594">
        <v>77183</v>
      </c>
    </row>
    <row r="3595" spans="1:25" ht="15" hidden="1" customHeight="1" x14ac:dyDescent="0.25">
      <c r="A3595" s="1" t="s">
        <v>38</v>
      </c>
      <c r="B3595" s="1"/>
      <c r="C3595" s="1" t="s">
        <v>206</v>
      </c>
      <c r="D3595">
        <v>10170</v>
      </c>
      <c r="E3595" s="1"/>
      <c r="F3595" s="1" t="s">
        <v>206</v>
      </c>
      <c r="G3595" s="1" t="s">
        <v>206</v>
      </c>
      <c r="H3595" s="1" t="s">
        <v>1405</v>
      </c>
      <c r="I3595">
        <v>2011</v>
      </c>
      <c r="J3595" s="93">
        <v>16760.68</v>
      </c>
      <c r="K3595">
        <v>12</v>
      </c>
      <c r="L3595" s="1" t="s">
        <v>416</v>
      </c>
      <c r="M3595">
        <v>0</v>
      </c>
      <c r="N3595">
        <v>247</v>
      </c>
      <c r="O3595">
        <v>67.829542000000004</v>
      </c>
      <c r="P3595">
        <v>2</v>
      </c>
      <c r="Q3595" s="1" t="s">
        <v>569</v>
      </c>
      <c r="R3595" s="93">
        <v>16760.68</v>
      </c>
      <c r="S3595">
        <v>7860.75</v>
      </c>
      <c r="T3595">
        <v>0</v>
      </c>
      <c r="U3595" s="1" t="s">
        <v>1101</v>
      </c>
      <c r="V3595" s="1" t="s">
        <v>1343</v>
      </c>
      <c r="W3595">
        <v>16760.691999999999</v>
      </c>
      <c r="X3595">
        <v>0</v>
      </c>
      <c r="Y3595">
        <v>77183</v>
      </c>
    </row>
    <row r="3596" spans="1:25" ht="15" hidden="1" customHeight="1" x14ac:dyDescent="0.25">
      <c r="A3596" s="1" t="s">
        <v>38</v>
      </c>
      <c r="B3596" s="1"/>
      <c r="C3596" s="1" t="s">
        <v>206</v>
      </c>
      <c r="D3596">
        <v>10170</v>
      </c>
      <c r="E3596" s="1"/>
      <c r="F3596" s="1" t="s">
        <v>206</v>
      </c>
      <c r="G3596" s="1" t="s">
        <v>206</v>
      </c>
      <c r="H3596" s="1" t="s">
        <v>1405</v>
      </c>
      <c r="I3596">
        <v>2010</v>
      </c>
      <c r="J3596" s="93">
        <v>21589.57</v>
      </c>
      <c r="K3596">
        <v>8</v>
      </c>
      <c r="L3596" s="1" t="s">
        <v>416</v>
      </c>
      <c r="M3596">
        <v>0</v>
      </c>
      <c r="N3596">
        <v>247</v>
      </c>
      <c r="O3596">
        <v>87.371791999999999</v>
      </c>
      <c r="P3596">
        <v>2</v>
      </c>
      <c r="Q3596" s="1" t="s">
        <v>569</v>
      </c>
      <c r="R3596" s="93">
        <v>21589.57</v>
      </c>
      <c r="S3596">
        <v>10125.5</v>
      </c>
      <c r="T3596">
        <v>0</v>
      </c>
      <c r="U3596" s="1" t="s">
        <v>1101</v>
      </c>
      <c r="V3596" s="1" t="s">
        <v>1343</v>
      </c>
      <c r="W3596">
        <v>21589.57115</v>
      </c>
      <c r="X3596">
        <v>0</v>
      </c>
      <c r="Y3596">
        <v>77183</v>
      </c>
    </row>
    <row r="3597" spans="1:25" ht="15" hidden="1" customHeight="1" x14ac:dyDescent="0.25">
      <c r="A3597" s="1" t="s">
        <v>38</v>
      </c>
      <c r="B3597" s="1"/>
      <c r="C3597" s="1" t="s">
        <v>206</v>
      </c>
      <c r="D3597">
        <v>10170</v>
      </c>
      <c r="E3597" s="1"/>
      <c r="F3597" s="1" t="s">
        <v>206</v>
      </c>
      <c r="G3597" s="1" t="s">
        <v>206</v>
      </c>
      <c r="H3597" s="1" t="s">
        <v>1405</v>
      </c>
      <c r="I3597">
        <v>2009</v>
      </c>
      <c r="J3597" s="93">
        <v>24180.55</v>
      </c>
      <c r="K3597">
        <v>3</v>
      </c>
      <c r="L3597" s="1" t="s">
        <v>416</v>
      </c>
      <c r="M3597">
        <v>0</v>
      </c>
      <c r="N3597">
        <v>247</v>
      </c>
      <c r="O3597">
        <v>97.857344999999995</v>
      </c>
      <c r="P3597">
        <v>2</v>
      </c>
      <c r="Q3597" s="1" t="s">
        <v>569</v>
      </c>
      <c r="R3597" s="93">
        <v>24180.55</v>
      </c>
      <c r="S3597">
        <v>11340.66</v>
      </c>
      <c r="T3597">
        <v>0</v>
      </c>
      <c r="U3597" s="1" t="s">
        <v>1101</v>
      </c>
      <c r="V3597" s="1" t="s">
        <v>1343</v>
      </c>
      <c r="W3597">
        <v>24180.542880000001</v>
      </c>
      <c r="X3597">
        <v>0</v>
      </c>
      <c r="Y3597">
        <v>77183</v>
      </c>
    </row>
    <row r="3598" spans="1:25" ht="15" hidden="1" customHeight="1" x14ac:dyDescent="0.25">
      <c r="A3598" s="1" t="s">
        <v>38</v>
      </c>
      <c r="B3598" s="1"/>
      <c r="C3598" s="1" t="s">
        <v>206</v>
      </c>
      <c r="D3598">
        <v>10170</v>
      </c>
      <c r="E3598" s="1"/>
      <c r="F3598" s="1" t="s">
        <v>206</v>
      </c>
      <c r="G3598" s="1" t="s">
        <v>206</v>
      </c>
      <c r="H3598" s="1" t="s">
        <v>1405</v>
      </c>
      <c r="I3598">
        <v>2008</v>
      </c>
      <c r="J3598" s="93">
        <v>21214.46</v>
      </c>
      <c r="K3598">
        <v>6</v>
      </c>
      <c r="L3598" s="1" t="s">
        <v>416</v>
      </c>
      <c r="M3598">
        <v>0</v>
      </c>
      <c r="N3598">
        <v>247</v>
      </c>
      <c r="O3598">
        <v>85.853742999999994</v>
      </c>
      <c r="P3598">
        <v>2</v>
      </c>
      <c r="Q3598" s="1" t="s">
        <v>569</v>
      </c>
      <c r="R3598" s="93">
        <v>21214.46</v>
      </c>
      <c r="S3598">
        <v>9949.6</v>
      </c>
      <c r="T3598">
        <v>0</v>
      </c>
      <c r="U3598" s="1" t="s">
        <v>1101</v>
      </c>
      <c r="V3598" s="1" t="s">
        <v>1343</v>
      </c>
      <c r="W3598">
        <v>21214.466039999999</v>
      </c>
      <c r="X3598">
        <v>0</v>
      </c>
      <c r="Y3598">
        <v>77183</v>
      </c>
    </row>
    <row r="3599" spans="1:25" ht="15" hidden="1" customHeight="1" x14ac:dyDescent="0.25">
      <c r="A3599" s="1" t="s">
        <v>38</v>
      </c>
      <c r="B3599" s="1"/>
      <c r="C3599" s="1" t="s">
        <v>207</v>
      </c>
      <c r="D3599">
        <v>10202</v>
      </c>
      <c r="E3599" s="1"/>
      <c r="F3599" s="1" t="s">
        <v>207</v>
      </c>
      <c r="G3599" s="1" t="s">
        <v>207</v>
      </c>
      <c r="H3599" s="1" t="s">
        <v>1405</v>
      </c>
      <c r="I3599">
        <v>2015</v>
      </c>
      <c r="J3599" s="93">
        <v>1805</v>
      </c>
      <c r="K3599">
        <v>5</v>
      </c>
      <c r="L3599" s="1" t="s">
        <v>416</v>
      </c>
      <c r="M3599">
        <v>0</v>
      </c>
      <c r="N3599">
        <v>123</v>
      </c>
      <c r="O3599">
        <v>9.1223390000000002</v>
      </c>
      <c r="P3599">
        <v>2</v>
      </c>
      <c r="Q3599" s="1" t="s">
        <v>569</v>
      </c>
      <c r="R3599" s="93">
        <v>1122.96</v>
      </c>
      <c r="S3599">
        <v>336.9</v>
      </c>
      <c r="T3599">
        <v>0</v>
      </c>
      <c r="U3599" s="1" t="s">
        <v>1102</v>
      </c>
      <c r="V3599" s="1" t="s">
        <v>1344</v>
      </c>
      <c r="W3599">
        <v>1122.9670000000001</v>
      </c>
      <c r="X3599">
        <v>0</v>
      </c>
      <c r="Y3599">
        <v>77350</v>
      </c>
    </row>
    <row r="3600" spans="1:25" ht="15" hidden="1" customHeight="1" x14ac:dyDescent="0.25">
      <c r="A3600" s="1" t="s">
        <v>38</v>
      </c>
      <c r="B3600" s="1"/>
      <c r="C3600" s="1" t="s">
        <v>207</v>
      </c>
      <c r="D3600">
        <v>10202</v>
      </c>
      <c r="E3600" s="1"/>
      <c r="F3600" s="1" t="s">
        <v>207</v>
      </c>
      <c r="G3600" s="1" t="s">
        <v>207</v>
      </c>
      <c r="H3600" s="1" t="s">
        <v>1405</v>
      </c>
      <c r="I3600">
        <v>2013</v>
      </c>
      <c r="J3600" s="93">
        <v>2835.17</v>
      </c>
      <c r="K3600">
        <v>12</v>
      </c>
      <c r="L3600" s="1" t="s">
        <v>416</v>
      </c>
      <c r="M3600">
        <v>0</v>
      </c>
      <c r="N3600">
        <v>123</v>
      </c>
      <c r="O3600">
        <v>23.031437</v>
      </c>
      <c r="P3600">
        <v>2</v>
      </c>
      <c r="Q3600" s="1" t="s">
        <v>569</v>
      </c>
      <c r="R3600" s="93">
        <v>2835.17</v>
      </c>
      <c r="S3600">
        <v>850.56</v>
      </c>
      <c r="T3600">
        <v>0</v>
      </c>
      <c r="U3600" s="1" t="s">
        <v>1102</v>
      </c>
      <c r="V3600" s="1" t="s">
        <v>1344</v>
      </c>
      <c r="W3600">
        <v>2835.1729999999998</v>
      </c>
      <c r="X3600">
        <v>0</v>
      </c>
      <c r="Y3600">
        <v>77350</v>
      </c>
    </row>
    <row r="3601" spans="1:25" ht="15" hidden="1" customHeight="1" x14ac:dyDescent="0.25">
      <c r="A3601" s="1" t="s">
        <v>38</v>
      </c>
      <c r="B3601" s="1"/>
      <c r="C3601" s="1" t="s">
        <v>207</v>
      </c>
      <c r="D3601">
        <v>10202</v>
      </c>
      <c r="E3601" s="1"/>
      <c r="F3601" s="1" t="s">
        <v>207</v>
      </c>
      <c r="G3601" s="1" t="s">
        <v>207</v>
      </c>
      <c r="H3601" s="1" t="s">
        <v>1405</v>
      </c>
      <c r="I3601">
        <v>2012</v>
      </c>
      <c r="J3601" s="93">
        <v>2082.44</v>
      </c>
      <c r="K3601">
        <v>12</v>
      </c>
      <c r="L3601" s="1" t="s">
        <v>416</v>
      </c>
      <c r="M3601">
        <v>0</v>
      </c>
      <c r="N3601">
        <v>123</v>
      </c>
      <c r="O3601">
        <v>16.916653</v>
      </c>
      <c r="P3601">
        <v>2</v>
      </c>
      <c r="Q3601" s="1" t="s">
        <v>569</v>
      </c>
      <c r="R3601" s="93">
        <v>2082.44</v>
      </c>
      <c r="S3601">
        <v>832.97</v>
      </c>
      <c r="T3601">
        <v>0</v>
      </c>
      <c r="U3601" s="1" t="s">
        <v>1102</v>
      </c>
      <c r="V3601" s="1" t="s">
        <v>1344</v>
      </c>
      <c r="W3601">
        <v>2082.4279999999999</v>
      </c>
      <c r="X3601">
        <v>0</v>
      </c>
      <c r="Y3601">
        <v>77350</v>
      </c>
    </row>
    <row r="3602" spans="1:25" ht="15" hidden="1" customHeight="1" x14ac:dyDescent="0.25">
      <c r="A3602" s="1" t="s">
        <v>38</v>
      </c>
      <c r="B3602" s="1"/>
      <c r="C3602" s="1" t="s">
        <v>207</v>
      </c>
      <c r="D3602">
        <v>10202</v>
      </c>
      <c r="E3602" s="1"/>
      <c r="F3602" s="1" t="s">
        <v>207</v>
      </c>
      <c r="G3602" s="1" t="s">
        <v>207</v>
      </c>
      <c r="H3602" s="1" t="s">
        <v>1405</v>
      </c>
      <c r="I3602">
        <v>2011</v>
      </c>
      <c r="J3602" s="93">
        <v>1890.7</v>
      </c>
      <c r="K3602">
        <v>12</v>
      </c>
      <c r="L3602" s="1" t="s">
        <v>416</v>
      </c>
      <c r="M3602">
        <v>0</v>
      </c>
      <c r="N3602">
        <v>123</v>
      </c>
      <c r="O3602">
        <v>15.359057</v>
      </c>
      <c r="P3602">
        <v>2</v>
      </c>
      <c r="Q3602" s="1" t="s">
        <v>569</v>
      </c>
      <c r="R3602" s="93">
        <v>1890.7</v>
      </c>
      <c r="S3602">
        <v>886.75</v>
      </c>
      <c r="T3602">
        <v>0</v>
      </c>
      <c r="U3602" s="1" t="s">
        <v>1102</v>
      </c>
      <c r="V3602" s="1" t="s">
        <v>1344</v>
      </c>
      <c r="W3602">
        <v>1890.7149999999999</v>
      </c>
      <c r="X3602">
        <v>0</v>
      </c>
      <c r="Y3602">
        <v>77350</v>
      </c>
    </row>
    <row r="3603" spans="1:25" ht="15" hidden="1" customHeight="1" x14ac:dyDescent="0.25">
      <c r="A3603" s="1" t="s">
        <v>38</v>
      </c>
      <c r="B3603" s="1"/>
      <c r="C3603" s="1" t="s">
        <v>207</v>
      </c>
      <c r="D3603">
        <v>10202</v>
      </c>
      <c r="E3603" s="1"/>
      <c r="F3603" s="1" t="s">
        <v>207</v>
      </c>
      <c r="G3603" s="1" t="s">
        <v>207</v>
      </c>
      <c r="H3603" s="1" t="s">
        <v>1405</v>
      </c>
      <c r="I3603">
        <v>2010</v>
      </c>
      <c r="J3603" s="93">
        <v>2110.15</v>
      </c>
      <c r="K3603">
        <v>8</v>
      </c>
      <c r="L3603" s="1" t="s">
        <v>416</v>
      </c>
      <c r="M3603">
        <v>0</v>
      </c>
      <c r="N3603">
        <v>123</v>
      </c>
      <c r="O3603">
        <v>17.141753999999999</v>
      </c>
      <c r="P3603">
        <v>2</v>
      </c>
      <c r="Q3603" s="1" t="s">
        <v>569</v>
      </c>
      <c r="R3603" s="93">
        <v>2110.15</v>
      </c>
      <c r="S3603">
        <v>989.66</v>
      </c>
      <c r="T3603">
        <v>0</v>
      </c>
      <c r="U3603" s="1" t="s">
        <v>1102</v>
      </c>
      <c r="V3603" s="1" t="s">
        <v>1344</v>
      </c>
      <c r="W3603">
        <v>2110.1451499999998</v>
      </c>
      <c r="X3603">
        <v>0</v>
      </c>
      <c r="Y3603">
        <v>77350</v>
      </c>
    </row>
    <row r="3604" spans="1:25" ht="15" hidden="1" customHeight="1" x14ac:dyDescent="0.25">
      <c r="A3604" s="1" t="s">
        <v>38</v>
      </c>
      <c r="B3604" s="1"/>
      <c r="C3604" s="1" t="s">
        <v>207</v>
      </c>
      <c r="D3604">
        <v>10202</v>
      </c>
      <c r="E3604" s="1"/>
      <c r="F3604" s="1" t="s">
        <v>207</v>
      </c>
      <c r="G3604" s="1" t="s">
        <v>207</v>
      </c>
      <c r="H3604" s="1" t="s">
        <v>1405</v>
      </c>
      <c r="I3604">
        <v>2009</v>
      </c>
      <c r="J3604" s="93">
        <v>2154.9</v>
      </c>
      <c r="K3604">
        <v>2</v>
      </c>
      <c r="L3604" s="1" t="s">
        <v>416</v>
      </c>
      <c r="M3604">
        <v>0</v>
      </c>
      <c r="N3604">
        <v>123</v>
      </c>
      <c r="O3604">
        <v>17.505279999999999</v>
      </c>
      <c r="P3604">
        <v>2</v>
      </c>
      <c r="Q3604" s="1" t="s">
        <v>569</v>
      </c>
      <c r="R3604" s="93">
        <v>2154.9</v>
      </c>
      <c r="S3604">
        <v>1010.66</v>
      </c>
      <c r="T3604">
        <v>0</v>
      </c>
      <c r="U3604" s="1" t="s">
        <v>1102</v>
      </c>
      <c r="V3604" s="1" t="s">
        <v>1344</v>
      </c>
      <c r="W3604">
        <v>2154.8693699999999</v>
      </c>
      <c r="X3604">
        <v>0</v>
      </c>
      <c r="Y3604">
        <v>77350</v>
      </c>
    </row>
    <row r="3605" spans="1:25" ht="15" hidden="1" customHeight="1" x14ac:dyDescent="0.25">
      <c r="A3605" s="1" t="s">
        <v>38</v>
      </c>
      <c r="B3605" s="1"/>
      <c r="C3605" s="1" t="s">
        <v>207</v>
      </c>
      <c r="D3605">
        <v>10202</v>
      </c>
      <c r="E3605" s="1"/>
      <c r="F3605" s="1" t="s">
        <v>207</v>
      </c>
      <c r="G3605" s="1" t="s">
        <v>207</v>
      </c>
      <c r="H3605" s="1" t="s">
        <v>1405</v>
      </c>
      <c r="I3605">
        <v>2008</v>
      </c>
      <c r="J3605" s="93">
        <v>1482</v>
      </c>
      <c r="K3605">
        <v>7</v>
      </c>
      <c r="L3605" s="1" t="s">
        <v>416</v>
      </c>
      <c r="M3605">
        <v>0</v>
      </c>
      <c r="N3605">
        <v>123</v>
      </c>
      <c r="O3605">
        <v>12.038992</v>
      </c>
      <c r="P3605">
        <v>2</v>
      </c>
      <c r="Q3605" s="1" t="s">
        <v>569</v>
      </c>
      <c r="R3605" s="93">
        <v>1482</v>
      </c>
      <c r="S3605">
        <v>695.04</v>
      </c>
      <c r="T3605">
        <v>0</v>
      </c>
      <c r="U3605" s="1" t="s">
        <v>1102</v>
      </c>
      <c r="V3605" s="1" t="s">
        <v>1344</v>
      </c>
      <c r="W3605">
        <v>1481.9829</v>
      </c>
      <c r="X3605">
        <v>0</v>
      </c>
      <c r="Y3605">
        <v>77350</v>
      </c>
    </row>
    <row r="3606" spans="1:25" ht="15" hidden="1" customHeight="1" x14ac:dyDescent="0.25">
      <c r="A3606" s="1" t="s">
        <v>38</v>
      </c>
      <c r="B3606" s="1" t="s">
        <v>96</v>
      </c>
      <c r="C3606" s="1" t="s">
        <v>240</v>
      </c>
      <c r="D3606">
        <v>13663</v>
      </c>
      <c r="E3606" s="1" t="s">
        <v>243</v>
      </c>
      <c r="F3606" s="1" t="s">
        <v>388</v>
      </c>
      <c r="G3606" s="1" t="s">
        <v>388</v>
      </c>
      <c r="H3606" s="1" t="s">
        <v>1405</v>
      </c>
      <c r="I3606">
        <v>2013</v>
      </c>
      <c r="J3606" s="93">
        <v>825.97</v>
      </c>
      <c r="K3606">
        <v>4</v>
      </c>
      <c r="L3606" s="1" t="s">
        <v>431</v>
      </c>
      <c r="M3606">
        <v>0</v>
      </c>
      <c r="N3606">
        <v>74</v>
      </c>
      <c r="O3606">
        <v>11.146693000000001</v>
      </c>
      <c r="P3606">
        <v>2</v>
      </c>
      <c r="Q3606" s="1" t="s">
        <v>569</v>
      </c>
      <c r="R3606" s="93">
        <v>825.97</v>
      </c>
      <c r="S3606">
        <v>247.78</v>
      </c>
      <c r="T3606">
        <v>0</v>
      </c>
      <c r="U3606" s="1" t="s">
        <v>1103</v>
      </c>
      <c r="V3606" s="1" t="s">
        <v>1345</v>
      </c>
      <c r="W3606">
        <v>825.96384999999998</v>
      </c>
      <c r="X3606">
        <v>0</v>
      </c>
      <c r="Y3606">
        <v>91253</v>
      </c>
    </row>
    <row r="3607" spans="1:25" ht="15" hidden="1" customHeight="1" x14ac:dyDescent="0.25">
      <c r="A3607" s="1" t="s">
        <v>39</v>
      </c>
      <c r="B3607" s="1" t="s">
        <v>83</v>
      </c>
      <c r="C3607" s="1" t="s">
        <v>208</v>
      </c>
      <c r="D3607">
        <v>6339</v>
      </c>
      <c r="E3607" s="1"/>
      <c r="F3607" s="1" t="s">
        <v>341</v>
      </c>
      <c r="G3607" s="1" t="s">
        <v>1402</v>
      </c>
      <c r="H3607" s="1" t="s">
        <v>1396</v>
      </c>
      <c r="I3607">
        <v>2015</v>
      </c>
      <c r="J3607" s="93">
        <v>0</v>
      </c>
      <c r="K3607">
        <v>5</v>
      </c>
      <c r="L3607" s="1" t="s">
        <v>421</v>
      </c>
      <c r="M3607">
        <v>0</v>
      </c>
      <c r="N3607">
        <v>0</v>
      </c>
      <c r="O3607">
        <v>0</v>
      </c>
      <c r="P3607">
        <v>3</v>
      </c>
      <c r="Q3607" s="1" t="s">
        <v>560</v>
      </c>
      <c r="R3607" s="93">
        <v>0</v>
      </c>
      <c r="S3607">
        <v>0</v>
      </c>
      <c r="T3607">
        <v>1</v>
      </c>
      <c r="U3607" s="1" t="s">
        <v>698</v>
      </c>
      <c r="V3607" s="1"/>
      <c r="W3607">
        <v>0</v>
      </c>
      <c r="X3607">
        <v>0</v>
      </c>
      <c r="Y3607">
        <v>57739</v>
      </c>
    </row>
    <row r="3608" spans="1:25" ht="15" hidden="1" customHeight="1" x14ac:dyDescent="0.25">
      <c r="A3608" s="1" t="s">
        <v>39</v>
      </c>
      <c r="B3608" s="1" t="s">
        <v>83</v>
      </c>
      <c r="C3608" s="1" t="s">
        <v>208</v>
      </c>
      <c r="D3608">
        <v>6339</v>
      </c>
      <c r="E3608" s="1"/>
      <c r="F3608" s="1" t="s">
        <v>341</v>
      </c>
      <c r="G3608" s="1" t="s">
        <v>1402</v>
      </c>
      <c r="H3608" s="1" t="s">
        <v>1396</v>
      </c>
      <c r="I3608">
        <v>2013</v>
      </c>
      <c r="J3608" s="93">
        <v>5</v>
      </c>
      <c r="K3608">
        <v>11</v>
      </c>
      <c r="L3608" s="1" t="s">
        <v>421</v>
      </c>
      <c r="M3608">
        <v>0</v>
      </c>
      <c r="N3608">
        <v>0</v>
      </c>
      <c r="O3608">
        <v>50</v>
      </c>
      <c r="P3608">
        <v>3</v>
      </c>
      <c r="Q3608" s="1" t="s">
        <v>560</v>
      </c>
      <c r="R3608" s="93">
        <v>5</v>
      </c>
      <c r="S3608">
        <v>4.01</v>
      </c>
      <c r="T3608">
        <v>1</v>
      </c>
      <c r="U3608" s="1" t="s">
        <v>698</v>
      </c>
      <c r="V3608" s="1"/>
      <c r="W3608">
        <v>5</v>
      </c>
      <c r="X3608">
        <v>0</v>
      </c>
      <c r="Y3608">
        <v>57739</v>
      </c>
    </row>
    <row r="3609" spans="1:25" ht="15" hidden="1" customHeight="1" x14ac:dyDescent="0.25">
      <c r="A3609" s="1" t="s">
        <v>39</v>
      </c>
      <c r="B3609" s="1" t="s">
        <v>83</v>
      </c>
      <c r="C3609" s="1" t="s">
        <v>208</v>
      </c>
      <c r="D3609">
        <v>6339</v>
      </c>
      <c r="E3609" s="1"/>
      <c r="F3609" s="1" t="s">
        <v>341</v>
      </c>
      <c r="G3609" s="1" t="s">
        <v>1402</v>
      </c>
      <c r="H3609" s="1" t="s">
        <v>1396</v>
      </c>
      <c r="I3609">
        <v>2012</v>
      </c>
      <c r="J3609" s="93">
        <v>31.01</v>
      </c>
      <c r="K3609">
        <v>13</v>
      </c>
      <c r="L3609" s="1" t="s">
        <v>421</v>
      </c>
      <c r="M3609">
        <v>0</v>
      </c>
      <c r="N3609">
        <v>0</v>
      </c>
      <c r="O3609">
        <v>310.10000000000002</v>
      </c>
      <c r="P3609">
        <v>3</v>
      </c>
      <c r="Q3609" s="1" t="s">
        <v>560</v>
      </c>
      <c r="R3609" s="93">
        <v>31.01</v>
      </c>
      <c r="S3609">
        <v>24.79</v>
      </c>
      <c r="T3609">
        <v>1</v>
      </c>
      <c r="U3609" s="1" t="s">
        <v>698</v>
      </c>
      <c r="V3609" s="1"/>
      <c r="W3609">
        <v>31</v>
      </c>
      <c r="X3609">
        <v>0</v>
      </c>
      <c r="Y3609">
        <v>57739</v>
      </c>
    </row>
    <row r="3610" spans="1:25" ht="15" hidden="1" customHeight="1" x14ac:dyDescent="0.25">
      <c r="A3610" s="1" t="s">
        <v>39</v>
      </c>
      <c r="B3610" s="1" t="s">
        <v>83</v>
      </c>
      <c r="C3610" s="1" t="s">
        <v>208</v>
      </c>
      <c r="D3610">
        <v>6339</v>
      </c>
      <c r="E3610" s="1"/>
      <c r="F3610" s="1" t="s">
        <v>341</v>
      </c>
      <c r="G3610" s="1" t="s">
        <v>1402</v>
      </c>
      <c r="H3610" s="1" t="s">
        <v>1396</v>
      </c>
      <c r="I3610">
        <v>2011</v>
      </c>
      <c r="J3610" s="93">
        <v>8</v>
      </c>
      <c r="K3610">
        <v>12</v>
      </c>
      <c r="L3610" s="1" t="s">
        <v>421</v>
      </c>
      <c r="M3610">
        <v>0</v>
      </c>
      <c r="N3610">
        <v>0</v>
      </c>
      <c r="O3610">
        <v>80</v>
      </c>
      <c r="P3610">
        <v>3</v>
      </c>
      <c r="Q3610" s="1" t="s">
        <v>560</v>
      </c>
      <c r="R3610" s="93">
        <v>8</v>
      </c>
      <c r="S3610">
        <v>6.41</v>
      </c>
      <c r="T3610">
        <v>1</v>
      </c>
      <c r="U3610" s="1" t="s">
        <v>698</v>
      </c>
      <c r="V3610" s="1"/>
      <c r="W3610">
        <v>8</v>
      </c>
      <c r="X3610">
        <v>0</v>
      </c>
      <c r="Y3610">
        <v>57739</v>
      </c>
    </row>
    <row r="3611" spans="1:25" ht="15" hidden="1" customHeight="1" x14ac:dyDescent="0.25">
      <c r="A3611" s="1" t="s">
        <v>39</v>
      </c>
      <c r="B3611" s="1" t="s">
        <v>83</v>
      </c>
      <c r="C3611" s="1" t="s">
        <v>208</v>
      </c>
      <c r="D3611">
        <v>6339</v>
      </c>
      <c r="E3611" s="1"/>
      <c r="F3611" s="1" t="s">
        <v>341</v>
      </c>
      <c r="G3611" s="1" t="s">
        <v>1402</v>
      </c>
      <c r="H3611" s="1" t="s">
        <v>1396</v>
      </c>
      <c r="I3611">
        <v>2010</v>
      </c>
      <c r="J3611" s="93">
        <v>5</v>
      </c>
      <c r="K3611">
        <v>12</v>
      </c>
      <c r="L3611" s="1" t="s">
        <v>421</v>
      </c>
      <c r="M3611">
        <v>0</v>
      </c>
      <c r="N3611">
        <v>0</v>
      </c>
      <c r="O3611">
        <v>50</v>
      </c>
      <c r="P3611">
        <v>3</v>
      </c>
      <c r="Q3611" s="1" t="s">
        <v>560</v>
      </c>
      <c r="R3611" s="93">
        <v>5</v>
      </c>
      <c r="S3611">
        <v>4</v>
      </c>
      <c r="T3611">
        <v>1</v>
      </c>
      <c r="U3611" s="1" t="s">
        <v>698</v>
      </c>
      <c r="V3611" s="1"/>
      <c r="W3611">
        <v>5</v>
      </c>
      <c r="X3611">
        <v>0</v>
      </c>
      <c r="Y3611">
        <v>57739</v>
      </c>
    </row>
    <row r="3612" spans="1:25" ht="15" hidden="1" customHeight="1" x14ac:dyDescent="0.25">
      <c r="A3612" s="1" t="s">
        <v>39</v>
      </c>
      <c r="B3612" s="1" t="s">
        <v>83</v>
      </c>
      <c r="C3612" s="1" t="s">
        <v>208</v>
      </c>
      <c r="D3612">
        <v>6339</v>
      </c>
      <c r="E3612" s="1"/>
      <c r="F3612" s="1" t="s">
        <v>341</v>
      </c>
      <c r="G3612" s="1" t="s">
        <v>1402</v>
      </c>
      <c r="H3612" s="1" t="s">
        <v>1396</v>
      </c>
      <c r="I3612">
        <v>2009</v>
      </c>
      <c r="J3612" s="93">
        <v>10</v>
      </c>
      <c r="K3612">
        <v>12</v>
      </c>
      <c r="L3612" s="1" t="s">
        <v>421</v>
      </c>
      <c r="M3612">
        <v>0</v>
      </c>
      <c r="N3612">
        <v>0</v>
      </c>
      <c r="O3612">
        <v>100</v>
      </c>
      <c r="P3612">
        <v>3</v>
      </c>
      <c r="Q3612" s="1" t="s">
        <v>560</v>
      </c>
      <c r="R3612" s="93">
        <v>10</v>
      </c>
      <c r="S3612">
        <v>8</v>
      </c>
      <c r="T3612">
        <v>1</v>
      </c>
      <c r="U3612" s="1" t="s">
        <v>698</v>
      </c>
      <c r="V3612" s="1"/>
      <c r="W3612">
        <v>10</v>
      </c>
      <c r="X3612">
        <v>0</v>
      </c>
      <c r="Y3612">
        <v>57739</v>
      </c>
    </row>
    <row r="3613" spans="1:25" ht="15" hidden="1" customHeight="1" x14ac:dyDescent="0.25">
      <c r="A3613" s="1" t="s">
        <v>39</v>
      </c>
      <c r="B3613" s="1" t="s">
        <v>83</v>
      </c>
      <c r="C3613" s="1" t="s">
        <v>208</v>
      </c>
      <c r="D3613">
        <v>6339</v>
      </c>
      <c r="E3613" s="1"/>
      <c r="F3613" s="1" t="s">
        <v>341</v>
      </c>
      <c r="G3613" s="1" t="s">
        <v>1402</v>
      </c>
      <c r="H3613" s="1" t="s">
        <v>1396</v>
      </c>
      <c r="I3613">
        <v>2008</v>
      </c>
      <c r="J3613" s="93">
        <v>17</v>
      </c>
      <c r="K3613">
        <v>12</v>
      </c>
      <c r="L3613" s="1" t="s">
        <v>421</v>
      </c>
      <c r="M3613">
        <v>0</v>
      </c>
      <c r="N3613">
        <v>0</v>
      </c>
      <c r="O3613">
        <v>170</v>
      </c>
      <c r="P3613">
        <v>3</v>
      </c>
      <c r="Q3613" s="1" t="s">
        <v>560</v>
      </c>
      <c r="R3613" s="93">
        <v>17</v>
      </c>
      <c r="S3613">
        <v>13.61</v>
      </c>
      <c r="T3613">
        <v>1</v>
      </c>
      <c r="U3613" s="1" t="s">
        <v>698</v>
      </c>
      <c r="V3613" s="1"/>
      <c r="W3613">
        <v>17</v>
      </c>
      <c r="X3613">
        <v>0</v>
      </c>
      <c r="Y3613">
        <v>57739</v>
      </c>
    </row>
    <row r="3614" spans="1:25" ht="15" hidden="1" customHeight="1" x14ac:dyDescent="0.25">
      <c r="A3614" s="1" t="s">
        <v>39</v>
      </c>
      <c r="B3614" s="1" t="s">
        <v>83</v>
      </c>
      <c r="C3614" s="1" t="s">
        <v>208</v>
      </c>
      <c r="D3614">
        <v>5452</v>
      </c>
      <c r="E3614" s="1"/>
      <c r="F3614" s="1" t="s">
        <v>342</v>
      </c>
      <c r="G3614" s="1" t="s">
        <v>1402</v>
      </c>
      <c r="H3614" s="1" t="s">
        <v>1404</v>
      </c>
      <c r="I3614">
        <v>2015</v>
      </c>
      <c r="J3614" s="93">
        <v>1809.34</v>
      </c>
      <c r="K3614">
        <v>5</v>
      </c>
      <c r="L3614" s="1" t="s">
        <v>402</v>
      </c>
      <c r="M3614">
        <v>0</v>
      </c>
      <c r="N3614">
        <v>0</v>
      </c>
      <c r="O3614">
        <v>18093.400000000001</v>
      </c>
      <c r="P3614">
        <v>3</v>
      </c>
      <c r="Q3614" s="1" t="s">
        <v>560</v>
      </c>
      <c r="R3614" s="93">
        <v>1809.34</v>
      </c>
      <c r="S3614">
        <v>0</v>
      </c>
      <c r="T3614">
        <v>1</v>
      </c>
      <c r="U3614" s="1" t="s">
        <v>699</v>
      </c>
      <c r="V3614" s="1"/>
      <c r="W3614">
        <v>1809.34</v>
      </c>
      <c r="X3614">
        <v>0</v>
      </c>
      <c r="Y3614">
        <v>57547</v>
      </c>
    </row>
    <row r="3615" spans="1:25" ht="15" hidden="1" customHeight="1" x14ac:dyDescent="0.25">
      <c r="A3615" s="1" t="s">
        <v>39</v>
      </c>
      <c r="B3615" s="1" t="s">
        <v>83</v>
      </c>
      <c r="C3615" s="1" t="s">
        <v>208</v>
      </c>
      <c r="D3615">
        <v>5452</v>
      </c>
      <c r="E3615" s="1"/>
      <c r="F3615" s="1" t="s">
        <v>342</v>
      </c>
      <c r="G3615" s="1" t="s">
        <v>1402</v>
      </c>
      <c r="H3615" s="1" t="s">
        <v>1404</v>
      </c>
      <c r="I3615">
        <v>2015</v>
      </c>
      <c r="J3615" s="93">
        <v>72.25</v>
      </c>
      <c r="K3615">
        <v>5</v>
      </c>
      <c r="L3615" s="1" t="s">
        <v>421</v>
      </c>
      <c r="M3615">
        <v>0</v>
      </c>
      <c r="N3615">
        <v>0</v>
      </c>
      <c r="O3615">
        <v>722.5</v>
      </c>
      <c r="P3615">
        <v>3</v>
      </c>
      <c r="Q3615" s="1" t="s">
        <v>560</v>
      </c>
      <c r="R3615" s="93">
        <v>72.25</v>
      </c>
      <c r="S3615">
        <v>57.8</v>
      </c>
      <c r="T3615">
        <v>1</v>
      </c>
      <c r="U3615" s="1" t="s">
        <v>700</v>
      </c>
      <c r="V3615" s="1"/>
      <c r="W3615">
        <v>72.250010000000003</v>
      </c>
      <c r="X3615">
        <v>0</v>
      </c>
      <c r="Y3615">
        <v>57740</v>
      </c>
    </row>
    <row r="3616" spans="1:25" ht="15" hidden="1" customHeight="1" x14ac:dyDescent="0.25">
      <c r="A3616" s="1" t="s">
        <v>39</v>
      </c>
      <c r="B3616" s="1" t="s">
        <v>83</v>
      </c>
      <c r="C3616" s="1" t="s">
        <v>208</v>
      </c>
      <c r="D3616">
        <v>5452</v>
      </c>
      <c r="E3616" s="1"/>
      <c r="F3616" s="1" t="s">
        <v>342</v>
      </c>
      <c r="G3616" s="1" t="s">
        <v>1402</v>
      </c>
      <c r="H3616" s="1" t="s">
        <v>1404</v>
      </c>
      <c r="I3616">
        <v>2015</v>
      </c>
      <c r="J3616" s="93">
        <v>163.44</v>
      </c>
      <c r="K3616">
        <v>5</v>
      </c>
      <c r="L3616" s="1" t="s">
        <v>421</v>
      </c>
      <c r="M3616">
        <v>0</v>
      </c>
      <c r="N3616">
        <v>0</v>
      </c>
      <c r="O3616">
        <v>1634.4</v>
      </c>
      <c r="P3616">
        <v>3</v>
      </c>
      <c r="Q3616" s="1" t="s">
        <v>560</v>
      </c>
      <c r="R3616" s="93">
        <v>163.44</v>
      </c>
      <c r="S3616">
        <v>130.75</v>
      </c>
      <c r="T3616">
        <v>1</v>
      </c>
      <c r="U3616" s="1" t="s">
        <v>701</v>
      </c>
      <c r="V3616" s="1"/>
      <c r="W3616">
        <v>163.43751</v>
      </c>
      <c r="X3616">
        <v>0</v>
      </c>
      <c r="Y3616">
        <v>57741</v>
      </c>
    </row>
    <row r="3617" spans="1:25" ht="15" hidden="1" customHeight="1" x14ac:dyDescent="0.25">
      <c r="A3617" s="1" t="s">
        <v>39</v>
      </c>
      <c r="B3617" s="1" t="s">
        <v>83</v>
      </c>
      <c r="C3617" s="1" t="s">
        <v>208</v>
      </c>
      <c r="D3617">
        <v>5452</v>
      </c>
      <c r="E3617" s="1"/>
      <c r="F3617" s="1" t="s">
        <v>342</v>
      </c>
      <c r="G3617" s="1" t="s">
        <v>1402</v>
      </c>
      <c r="H3617" s="1" t="s">
        <v>1404</v>
      </c>
      <c r="I3617">
        <v>2015</v>
      </c>
      <c r="J3617" s="93">
        <v>208.72</v>
      </c>
      <c r="K3617">
        <v>5</v>
      </c>
      <c r="L3617" s="1" t="s">
        <v>421</v>
      </c>
      <c r="M3617">
        <v>0</v>
      </c>
      <c r="N3617">
        <v>0</v>
      </c>
      <c r="O3617">
        <v>2087.1999999999998</v>
      </c>
      <c r="P3617">
        <v>3</v>
      </c>
      <c r="Q3617" s="1" t="s">
        <v>560</v>
      </c>
      <c r="R3617" s="93">
        <v>208.72</v>
      </c>
      <c r="S3617">
        <v>166.97</v>
      </c>
      <c r="T3617">
        <v>1</v>
      </c>
      <c r="U3617" s="1" t="s">
        <v>702</v>
      </c>
      <c r="V3617" s="1"/>
      <c r="W3617">
        <v>208.71875</v>
      </c>
      <c r="X3617">
        <v>0</v>
      </c>
      <c r="Y3617">
        <v>57742</v>
      </c>
    </row>
    <row r="3618" spans="1:25" ht="15" hidden="1" customHeight="1" x14ac:dyDescent="0.25">
      <c r="A3618" s="1" t="s">
        <v>39</v>
      </c>
      <c r="B3618" s="1" t="s">
        <v>83</v>
      </c>
      <c r="C3618" s="1" t="s">
        <v>208</v>
      </c>
      <c r="D3618">
        <v>5452</v>
      </c>
      <c r="E3618" s="1"/>
      <c r="F3618" s="1" t="s">
        <v>342</v>
      </c>
      <c r="G3618" s="1" t="s">
        <v>1402</v>
      </c>
      <c r="H3618" s="1" t="s">
        <v>1404</v>
      </c>
      <c r="I3618">
        <v>2015</v>
      </c>
      <c r="J3618" s="93">
        <v>285.22000000000003</v>
      </c>
      <c r="K3618">
        <v>5</v>
      </c>
      <c r="L3618" s="1" t="s">
        <v>421</v>
      </c>
      <c r="M3618">
        <v>0</v>
      </c>
      <c r="N3618">
        <v>0</v>
      </c>
      <c r="O3618">
        <v>2852.2</v>
      </c>
      <c r="P3618">
        <v>3</v>
      </c>
      <c r="Q3618" s="1" t="s">
        <v>560</v>
      </c>
      <c r="R3618" s="93">
        <v>285.22000000000003</v>
      </c>
      <c r="S3618">
        <v>228.18</v>
      </c>
      <c r="T3618">
        <v>1</v>
      </c>
      <c r="U3618" s="1" t="s">
        <v>703</v>
      </c>
      <c r="V3618" s="1"/>
      <c r="W3618">
        <v>285.21875</v>
      </c>
      <c r="X3618">
        <v>0</v>
      </c>
      <c r="Y3618">
        <v>57745</v>
      </c>
    </row>
    <row r="3619" spans="1:25" ht="15" hidden="1" customHeight="1" x14ac:dyDescent="0.25">
      <c r="A3619" s="1" t="s">
        <v>39</v>
      </c>
      <c r="B3619" s="1" t="s">
        <v>83</v>
      </c>
      <c r="C3619" s="1" t="s">
        <v>208</v>
      </c>
      <c r="D3619">
        <v>5452</v>
      </c>
      <c r="E3619" s="1"/>
      <c r="F3619" s="1" t="s">
        <v>342</v>
      </c>
      <c r="G3619" s="1" t="s">
        <v>1402</v>
      </c>
      <c r="H3619" s="1" t="s">
        <v>1404</v>
      </c>
      <c r="I3619">
        <v>2013</v>
      </c>
      <c r="J3619" s="93">
        <v>4163.13</v>
      </c>
      <c r="K3619">
        <v>12</v>
      </c>
      <c r="L3619" s="1" t="s">
        <v>402</v>
      </c>
      <c r="M3619">
        <v>0</v>
      </c>
      <c r="N3619">
        <v>0</v>
      </c>
      <c r="O3619">
        <v>41631.300000000003</v>
      </c>
      <c r="P3619">
        <v>3</v>
      </c>
      <c r="Q3619" s="1" t="s">
        <v>560</v>
      </c>
      <c r="R3619" s="93">
        <v>4163.13</v>
      </c>
      <c r="S3619">
        <v>0</v>
      </c>
      <c r="T3619">
        <v>1</v>
      </c>
      <c r="U3619" s="1" t="s">
        <v>699</v>
      </c>
      <c r="V3619" s="1"/>
      <c r="W3619">
        <v>4163.13</v>
      </c>
      <c r="X3619">
        <v>0</v>
      </c>
      <c r="Y3619">
        <v>57547</v>
      </c>
    </row>
    <row r="3620" spans="1:25" ht="15" hidden="1" customHeight="1" x14ac:dyDescent="0.25">
      <c r="A3620" s="1" t="s">
        <v>39</v>
      </c>
      <c r="B3620" s="1" t="s">
        <v>83</v>
      </c>
      <c r="C3620" s="1" t="s">
        <v>208</v>
      </c>
      <c r="D3620">
        <v>5452</v>
      </c>
      <c r="E3620" s="1"/>
      <c r="F3620" s="1" t="s">
        <v>342</v>
      </c>
      <c r="G3620" s="1" t="s">
        <v>1402</v>
      </c>
      <c r="H3620" s="1" t="s">
        <v>1404</v>
      </c>
      <c r="I3620">
        <v>2013</v>
      </c>
      <c r="J3620" s="93">
        <v>0</v>
      </c>
      <c r="K3620">
        <v>11</v>
      </c>
      <c r="L3620" s="1" t="s">
        <v>452</v>
      </c>
      <c r="M3620">
        <v>0</v>
      </c>
      <c r="N3620">
        <v>0</v>
      </c>
      <c r="O3620">
        <v>0</v>
      </c>
      <c r="P3620">
        <v>3</v>
      </c>
      <c r="Q3620" s="1" t="s">
        <v>560</v>
      </c>
      <c r="R3620" s="93">
        <v>0</v>
      </c>
      <c r="S3620">
        <v>0</v>
      </c>
      <c r="T3620">
        <v>1</v>
      </c>
      <c r="U3620" s="1" t="s">
        <v>704</v>
      </c>
      <c r="V3620" s="1"/>
      <c r="W3620">
        <v>0</v>
      </c>
      <c r="X3620">
        <v>0</v>
      </c>
      <c r="Y3620">
        <v>57738</v>
      </c>
    </row>
    <row r="3621" spans="1:25" ht="15" hidden="1" customHeight="1" x14ac:dyDescent="0.25">
      <c r="A3621" s="1" t="s">
        <v>39</v>
      </c>
      <c r="B3621" s="1" t="s">
        <v>83</v>
      </c>
      <c r="C3621" s="1" t="s">
        <v>208</v>
      </c>
      <c r="D3621">
        <v>5452</v>
      </c>
      <c r="E3621" s="1"/>
      <c r="F3621" s="1" t="s">
        <v>342</v>
      </c>
      <c r="G3621" s="1" t="s">
        <v>1402</v>
      </c>
      <c r="H3621" s="1" t="s">
        <v>1404</v>
      </c>
      <c r="I3621">
        <v>2013</v>
      </c>
      <c r="J3621" s="93">
        <v>371.14</v>
      </c>
      <c r="K3621">
        <v>11</v>
      </c>
      <c r="L3621" s="1" t="s">
        <v>421</v>
      </c>
      <c r="M3621">
        <v>0</v>
      </c>
      <c r="N3621">
        <v>0</v>
      </c>
      <c r="O3621">
        <v>3711.4</v>
      </c>
      <c r="P3621">
        <v>3</v>
      </c>
      <c r="Q3621" s="1" t="s">
        <v>560</v>
      </c>
      <c r="R3621" s="93">
        <v>371.14</v>
      </c>
      <c r="S3621">
        <v>296.91000000000003</v>
      </c>
      <c r="T3621">
        <v>1</v>
      </c>
      <c r="U3621" s="1" t="s">
        <v>700</v>
      </c>
      <c r="V3621" s="1"/>
      <c r="W3621">
        <v>371.13686000000001</v>
      </c>
      <c r="X3621">
        <v>0</v>
      </c>
      <c r="Y3621">
        <v>57740</v>
      </c>
    </row>
    <row r="3622" spans="1:25" ht="15" hidden="1" customHeight="1" x14ac:dyDescent="0.25">
      <c r="A3622" s="1" t="s">
        <v>39</v>
      </c>
      <c r="B3622" s="1" t="s">
        <v>83</v>
      </c>
      <c r="C3622" s="1" t="s">
        <v>208</v>
      </c>
      <c r="D3622">
        <v>5452</v>
      </c>
      <c r="E3622" s="1"/>
      <c r="F3622" s="1" t="s">
        <v>342</v>
      </c>
      <c r="G3622" s="1" t="s">
        <v>1402</v>
      </c>
      <c r="H3622" s="1" t="s">
        <v>1404</v>
      </c>
      <c r="I3622">
        <v>2013</v>
      </c>
      <c r="J3622" s="93">
        <v>515.73</v>
      </c>
      <c r="K3622">
        <v>11</v>
      </c>
      <c r="L3622" s="1" t="s">
        <v>421</v>
      </c>
      <c r="M3622">
        <v>0</v>
      </c>
      <c r="N3622">
        <v>0</v>
      </c>
      <c r="O3622">
        <v>5157.3</v>
      </c>
      <c r="P3622">
        <v>3</v>
      </c>
      <c r="Q3622" s="1" t="s">
        <v>560</v>
      </c>
      <c r="R3622" s="93">
        <v>515.73</v>
      </c>
      <c r="S3622">
        <v>412.59</v>
      </c>
      <c r="T3622">
        <v>1</v>
      </c>
      <c r="U3622" s="1" t="s">
        <v>701</v>
      </c>
      <c r="V3622" s="1"/>
      <c r="W3622">
        <v>515.73022000000003</v>
      </c>
      <c r="X3622">
        <v>0</v>
      </c>
      <c r="Y3622">
        <v>57741</v>
      </c>
    </row>
    <row r="3623" spans="1:25" ht="15" hidden="1" customHeight="1" x14ac:dyDescent="0.25">
      <c r="A3623" s="1" t="s">
        <v>39</v>
      </c>
      <c r="B3623" s="1" t="s">
        <v>83</v>
      </c>
      <c r="C3623" s="1" t="s">
        <v>208</v>
      </c>
      <c r="D3623">
        <v>5452</v>
      </c>
      <c r="E3623" s="1"/>
      <c r="F3623" s="1" t="s">
        <v>342</v>
      </c>
      <c r="G3623" s="1" t="s">
        <v>1402</v>
      </c>
      <c r="H3623" s="1" t="s">
        <v>1404</v>
      </c>
      <c r="I3623">
        <v>2013</v>
      </c>
      <c r="J3623" s="93">
        <v>700.48</v>
      </c>
      <c r="K3623">
        <v>11</v>
      </c>
      <c r="L3623" s="1" t="s">
        <v>421</v>
      </c>
      <c r="M3623">
        <v>0</v>
      </c>
      <c r="N3623">
        <v>0</v>
      </c>
      <c r="O3623">
        <v>7004.8</v>
      </c>
      <c r="P3623">
        <v>3</v>
      </c>
      <c r="Q3623" s="1" t="s">
        <v>560</v>
      </c>
      <c r="R3623" s="93">
        <v>700.48</v>
      </c>
      <c r="S3623">
        <v>560.4</v>
      </c>
      <c r="T3623">
        <v>1</v>
      </c>
      <c r="U3623" s="1" t="s">
        <v>702</v>
      </c>
      <c r="V3623" s="1"/>
      <c r="W3623">
        <v>700.47995000000003</v>
      </c>
      <c r="X3623">
        <v>0</v>
      </c>
      <c r="Y3623">
        <v>57742</v>
      </c>
    </row>
    <row r="3624" spans="1:25" ht="15" hidden="1" customHeight="1" x14ac:dyDescent="0.25">
      <c r="A3624" s="1" t="s">
        <v>39</v>
      </c>
      <c r="B3624" s="1" t="s">
        <v>83</v>
      </c>
      <c r="C3624" s="1" t="s">
        <v>208</v>
      </c>
      <c r="D3624">
        <v>5452</v>
      </c>
      <c r="E3624" s="1"/>
      <c r="F3624" s="1" t="s">
        <v>342</v>
      </c>
      <c r="G3624" s="1" t="s">
        <v>1402</v>
      </c>
      <c r="H3624" s="1" t="s">
        <v>1404</v>
      </c>
      <c r="I3624">
        <v>2013</v>
      </c>
      <c r="J3624" s="93">
        <v>708.84</v>
      </c>
      <c r="K3624">
        <v>11</v>
      </c>
      <c r="L3624" s="1" t="s">
        <v>421</v>
      </c>
      <c r="M3624">
        <v>0</v>
      </c>
      <c r="N3624">
        <v>0</v>
      </c>
      <c r="O3624">
        <v>7088.4</v>
      </c>
      <c r="P3624">
        <v>3</v>
      </c>
      <c r="Q3624" s="1" t="s">
        <v>560</v>
      </c>
      <c r="R3624" s="93">
        <v>708.84</v>
      </c>
      <c r="S3624">
        <v>567.08000000000004</v>
      </c>
      <c r="T3624">
        <v>1</v>
      </c>
      <c r="U3624" s="1" t="s">
        <v>703</v>
      </c>
      <c r="V3624" s="1"/>
      <c r="W3624">
        <v>708.83772999999997</v>
      </c>
      <c r="X3624">
        <v>0</v>
      </c>
      <c r="Y3624">
        <v>57745</v>
      </c>
    </row>
    <row r="3625" spans="1:25" ht="15" hidden="1" customHeight="1" x14ac:dyDescent="0.25">
      <c r="A3625" s="1" t="s">
        <v>39</v>
      </c>
      <c r="B3625" s="1" t="s">
        <v>83</v>
      </c>
      <c r="C3625" s="1" t="s">
        <v>208</v>
      </c>
      <c r="D3625">
        <v>5452</v>
      </c>
      <c r="E3625" s="1"/>
      <c r="F3625" s="1" t="s">
        <v>342</v>
      </c>
      <c r="G3625" s="1" t="s">
        <v>1402</v>
      </c>
      <c r="H3625" s="1" t="s">
        <v>1404</v>
      </c>
      <c r="I3625">
        <v>2012</v>
      </c>
      <c r="J3625" s="93">
        <v>4099.18</v>
      </c>
      <c r="K3625">
        <v>12</v>
      </c>
      <c r="L3625" s="1" t="s">
        <v>402</v>
      </c>
      <c r="M3625">
        <v>0</v>
      </c>
      <c r="N3625">
        <v>0</v>
      </c>
      <c r="O3625">
        <v>40991.800000000003</v>
      </c>
      <c r="P3625">
        <v>3</v>
      </c>
      <c r="Q3625" s="1" t="s">
        <v>560</v>
      </c>
      <c r="R3625" s="93">
        <v>4099.18</v>
      </c>
      <c r="S3625">
        <v>0</v>
      </c>
      <c r="T3625">
        <v>1</v>
      </c>
      <c r="U3625" s="1" t="s">
        <v>699</v>
      </c>
      <c r="V3625" s="1"/>
      <c r="W3625">
        <v>4099.18</v>
      </c>
      <c r="X3625">
        <v>0</v>
      </c>
      <c r="Y3625">
        <v>57547</v>
      </c>
    </row>
    <row r="3626" spans="1:25" ht="15" hidden="1" customHeight="1" x14ac:dyDescent="0.25">
      <c r="A3626" s="1" t="s">
        <v>39</v>
      </c>
      <c r="B3626" s="1" t="s">
        <v>83</v>
      </c>
      <c r="C3626" s="1" t="s">
        <v>208</v>
      </c>
      <c r="D3626">
        <v>5452</v>
      </c>
      <c r="E3626" s="1"/>
      <c r="F3626" s="1" t="s">
        <v>342</v>
      </c>
      <c r="G3626" s="1" t="s">
        <v>1402</v>
      </c>
      <c r="H3626" s="1" t="s">
        <v>1404</v>
      </c>
      <c r="I3626">
        <v>2012</v>
      </c>
      <c r="J3626" s="93">
        <v>0</v>
      </c>
      <c r="K3626">
        <v>13</v>
      </c>
      <c r="L3626" s="1" t="s">
        <v>452</v>
      </c>
      <c r="M3626">
        <v>0</v>
      </c>
      <c r="N3626">
        <v>0</v>
      </c>
      <c r="O3626">
        <v>0</v>
      </c>
      <c r="P3626">
        <v>3</v>
      </c>
      <c r="Q3626" s="1" t="s">
        <v>560</v>
      </c>
      <c r="R3626" s="93">
        <v>0</v>
      </c>
      <c r="S3626">
        <v>0</v>
      </c>
      <c r="T3626">
        <v>1</v>
      </c>
      <c r="U3626" s="1" t="s">
        <v>704</v>
      </c>
      <c r="V3626" s="1"/>
      <c r="W3626">
        <v>0</v>
      </c>
      <c r="X3626">
        <v>0</v>
      </c>
      <c r="Y3626">
        <v>57738</v>
      </c>
    </row>
    <row r="3627" spans="1:25" ht="15" hidden="1" customHeight="1" x14ac:dyDescent="0.25">
      <c r="A3627" s="1" t="s">
        <v>39</v>
      </c>
      <c r="B3627" s="1" t="s">
        <v>83</v>
      </c>
      <c r="C3627" s="1" t="s">
        <v>208</v>
      </c>
      <c r="D3627">
        <v>5452</v>
      </c>
      <c r="E3627" s="1"/>
      <c r="F3627" s="1" t="s">
        <v>342</v>
      </c>
      <c r="G3627" s="1" t="s">
        <v>1402</v>
      </c>
      <c r="H3627" s="1" t="s">
        <v>1404</v>
      </c>
      <c r="I3627">
        <v>2012</v>
      </c>
      <c r="J3627" s="93">
        <v>259.42</v>
      </c>
      <c r="K3627">
        <v>13</v>
      </c>
      <c r="L3627" s="1" t="s">
        <v>421</v>
      </c>
      <c r="M3627">
        <v>0</v>
      </c>
      <c r="N3627">
        <v>0</v>
      </c>
      <c r="O3627">
        <v>2594.1999999999998</v>
      </c>
      <c r="P3627">
        <v>3</v>
      </c>
      <c r="Q3627" s="1" t="s">
        <v>560</v>
      </c>
      <c r="R3627" s="93">
        <v>259.42</v>
      </c>
      <c r="S3627">
        <v>207.54</v>
      </c>
      <c r="T3627">
        <v>1</v>
      </c>
      <c r="U3627" s="1" t="s">
        <v>700</v>
      </c>
      <c r="V3627" s="1"/>
      <c r="W3627">
        <v>259.42424</v>
      </c>
      <c r="X3627">
        <v>0</v>
      </c>
      <c r="Y3627">
        <v>57740</v>
      </c>
    </row>
    <row r="3628" spans="1:25" ht="15" hidden="1" customHeight="1" x14ac:dyDescent="0.25">
      <c r="A3628" s="1" t="s">
        <v>39</v>
      </c>
      <c r="B3628" s="1" t="s">
        <v>83</v>
      </c>
      <c r="C3628" s="1" t="s">
        <v>208</v>
      </c>
      <c r="D3628">
        <v>5452</v>
      </c>
      <c r="E3628" s="1"/>
      <c r="F3628" s="1" t="s">
        <v>342</v>
      </c>
      <c r="G3628" s="1" t="s">
        <v>1402</v>
      </c>
      <c r="H3628" s="1" t="s">
        <v>1404</v>
      </c>
      <c r="I3628">
        <v>2012</v>
      </c>
      <c r="J3628" s="93">
        <v>516.17999999999995</v>
      </c>
      <c r="K3628">
        <v>13</v>
      </c>
      <c r="L3628" s="1" t="s">
        <v>421</v>
      </c>
      <c r="M3628">
        <v>0</v>
      </c>
      <c r="N3628">
        <v>0</v>
      </c>
      <c r="O3628">
        <v>5161.8</v>
      </c>
      <c r="P3628">
        <v>3</v>
      </c>
      <c r="Q3628" s="1" t="s">
        <v>560</v>
      </c>
      <c r="R3628" s="93">
        <v>516.17999999999995</v>
      </c>
      <c r="S3628">
        <v>412.95</v>
      </c>
      <c r="T3628">
        <v>1</v>
      </c>
      <c r="U3628" s="1" t="s">
        <v>701</v>
      </c>
      <c r="V3628" s="1"/>
      <c r="W3628">
        <v>516.18182000000002</v>
      </c>
      <c r="X3628">
        <v>0</v>
      </c>
      <c r="Y3628">
        <v>57741</v>
      </c>
    </row>
    <row r="3629" spans="1:25" ht="15" hidden="1" customHeight="1" x14ac:dyDescent="0.25">
      <c r="A3629" s="1" t="s">
        <v>39</v>
      </c>
      <c r="B3629" s="1" t="s">
        <v>83</v>
      </c>
      <c r="C3629" s="1" t="s">
        <v>208</v>
      </c>
      <c r="D3629">
        <v>5452</v>
      </c>
      <c r="E3629" s="1"/>
      <c r="F3629" s="1" t="s">
        <v>342</v>
      </c>
      <c r="G3629" s="1" t="s">
        <v>1402</v>
      </c>
      <c r="H3629" s="1" t="s">
        <v>1404</v>
      </c>
      <c r="I3629">
        <v>2012</v>
      </c>
      <c r="J3629" s="93">
        <v>754.58</v>
      </c>
      <c r="K3629">
        <v>13</v>
      </c>
      <c r="L3629" s="1" t="s">
        <v>421</v>
      </c>
      <c r="M3629">
        <v>0</v>
      </c>
      <c r="N3629">
        <v>0</v>
      </c>
      <c r="O3629">
        <v>7545.8</v>
      </c>
      <c r="P3629">
        <v>3</v>
      </c>
      <c r="Q3629" s="1" t="s">
        <v>560</v>
      </c>
      <c r="R3629" s="93">
        <v>754.58</v>
      </c>
      <c r="S3629">
        <v>603.66</v>
      </c>
      <c r="T3629">
        <v>1</v>
      </c>
      <c r="U3629" s="1" t="s">
        <v>702</v>
      </c>
      <c r="V3629" s="1"/>
      <c r="W3629">
        <v>754.57574999999997</v>
      </c>
      <c r="X3629">
        <v>0</v>
      </c>
      <c r="Y3629">
        <v>57742</v>
      </c>
    </row>
    <row r="3630" spans="1:25" ht="15" hidden="1" customHeight="1" x14ac:dyDescent="0.25">
      <c r="A3630" s="1" t="s">
        <v>39</v>
      </c>
      <c r="B3630" s="1" t="s">
        <v>83</v>
      </c>
      <c r="C3630" s="1" t="s">
        <v>208</v>
      </c>
      <c r="D3630">
        <v>5452</v>
      </c>
      <c r="E3630" s="1"/>
      <c r="F3630" s="1" t="s">
        <v>342</v>
      </c>
      <c r="G3630" s="1" t="s">
        <v>1402</v>
      </c>
      <c r="H3630" s="1" t="s">
        <v>1404</v>
      </c>
      <c r="I3630">
        <v>2012</v>
      </c>
      <c r="J3630" s="93">
        <v>706.62</v>
      </c>
      <c r="K3630">
        <v>13</v>
      </c>
      <c r="L3630" s="1" t="s">
        <v>421</v>
      </c>
      <c r="M3630">
        <v>0</v>
      </c>
      <c r="N3630">
        <v>0</v>
      </c>
      <c r="O3630">
        <v>7066.2</v>
      </c>
      <c r="P3630">
        <v>3</v>
      </c>
      <c r="Q3630" s="1" t="s">
        <v>560</v>
      </c>
      <c r="R3630" s="93">
        <v>706.62</v>
      </c>
      <c r="S3630">
        <v>565.28</v>
      </c>
      <c r="T3630">
        <v>1</v>
      </c>
      <c r="U3630" s="1" t="s">
        <v>703</v>
      </c>
      <c r="V3630" s="1"/>
      <c r="W3630">
        <v>706.60607000000005</v>
      </c>
      <c r="X3630">
        <v>0</v>
      </c>
      <c r="Y3630">
        <v>57745</v>
      </c>
    </row>
    <row r="3631" spans="1:25" ht="15" hidden="1" customHeight="1" x14ac:dyDescent="0.25">
      <c r="A3631" s="1" t="s">
        <v>39</v>
      </c>
      <c r="B3631" s="1" t="s">
        <v>83</v>
      </c>
      <c r="C3631" s="1" t="s">
        <v>208</v>
      </c>
      <c r="D3631">
        <v>5452</v>
      </c>
      <c r="E3631" s="1"/>
      <c r="F3631" s="1" t="s">
        <v>342</v>
      </c>
      <c r="G3631" s="1" t="s">
        <v>1402</v>
      </c>
      <c r="H3631" s="1" t="s">
        <v>1404</v>
      </c>
      <c r="I3631">
        <v>2011</v>
      </c>
      <c r="J3631" s="93">
        <v>5630.71</v>
      </c>
      <c r="K3631">
        <v>12</v>
      </c>
      <c r="L3631" s="1" t="s">
        <v>402</v>
      </c>
      <c r="M3631">
        <v>0</v>
      </c>
      <c r="N3631">
        <v>0</v>
      </c>
      <c r="O3631">
        <v>56307.1</v>
      </c>
      <c r="P3631">
        <v>3</v>
      </c>
      <c r="Q3631" s="1" t="s">
        <v>560</v>
      </c>
      <c r="R3631" s="93">
        <v>5630.71</v>
      </c>
      <c r="S3631">
        <v>0</v>
      </c>
      <c r="T3631">
        <v>1</v>
      </c>
      <c r="U3631" s="1" t="s">
        <v>699</v>
      </c>
      <c r="V3631" s="1"/>
      <c r="W3631">
        <v>5630.71</v>
      </c>
      <c r="X3631">
        <v>0</v>
      </c>
      <c r="Y3631">
        <v>57547</v>
      </c>
    </row>
    <row r="3632" spans="1:25" ht="15" hidden="1" customHeight="1" x14ac:dyDescent="0.25">
      <c r="A3632" s="1" t="s">
        <v>39</v>
      </c>
      <c r="B3632" s="1" t="s">
        <v>83</v>
      </c>
      <c r="C3632" s="1" t="s">
        <v>208</v>
      </c>
      <c r="D3632">
        <v>5452</v>
      </c>
      <c r="E3632" s="1"/>
      <c r="F3632" s="1" t="s">
        <v>342</v>
      </c>
      <c r="G3632" s="1" t="s">
        <v>1402</v>
      </c>
      <c r="H3632" s="1" t="s">
        <v>1404</v>
      </c>
      <c r="I3632">
        <v>2011</v>
      </c>
      <c r="J3632" s="93">
        <v>0</v>
      </c>
      <c r="K3632">
        <v>12</v>
      </c>
      <c r="L3632" s="1" t="s">
        <v>452</v>
      </c>
      <c r="M3632">
        <v>0</v>
      </c>
      <c r="N3632">
        <v>0</v>
      </c>
      <c r="O3632">
        <v>0</v>
      </c>
      <c r="P3632">
        <v>3</v>
      </c>
      <c r="Q3632" s="1" t="s">
        <v>560</v>
      </c>
      <c r="R3632" s="93">
        <v>0</v>
      </c>
      <c r="S3632">
        <v>0</v>
      </c>
      <c r="T3632">
        <v>1</v>
      </c>
      <c r="U3632" s="1" t="s">
        <v>704</v>
      </c>
      <c r="V3632" s="1"/>
      <c r="W3632">
        <v>0</v>
      </c>
      <c r="X3632">
        <v>0</v>
      </c>
      <c r="Y3632">
        <v>57738</v>
      </c>
    </row>
    <row r="3633" spans="1:25" ht="15" hidden="1" customHeight="1" x14ac:dyDescent="0.25">
      <c r="A3633" s="1" t="s">
        <v>39</v>
      </c>
      <c r="B3633" s="1" t="s">
        <v>83</v>
      </c>
      <c r="C3633" s="1" t="s">
        <v>208</v>
      </c>
      <c r="D3633">
        <v>5452</v>
      </c>
      <c r="E3633" s="1"/>
      <c r="F3633" s="1" t="s">
        <v>342</v>
      </c>
      <c r="G3633" s="1" t="s">
        <v>1402</v>
      </c>
      <c r="H3633" s="1" t="s">
        <v>1404</v>
      </c>
      <c r="I3633">
        <v>2011</v>
      </c>
      <c r="J3633" s="93">
        <v>216.72</v>
      </c>
      <c r="K3633">
        <v>13</v>
      </c>
      <c r="L3633" s="1" t="s">
        <v>421</v>
      </c>
      <c r="M3633">
        <v>0</v>
      </c>
      <c r="N3633">
        <v>0</v>
      </c>
      <c r="O3633">
        <v>2167.1999999999998</v>
      </c>
      <c r="P3633">
        <v>3</v>
      </c>
      <c r="Q3633" s="1" t="s">
        <v>560</v>
      </c>
      <c r="R3633" s="93">
        <v>216.72</v>
      </c>
      <c r="S3633">
        <v>173.38</v>
      </c>
      <c r="T3633">
        <v>1</v>
      </c>
      <c r="U3633" s="1" t="s">
        <v>700</v>
      </c>
      <c r="V3633" s="1"/>
      <c r="W3633">
        <v>216.72727</v>
      </c>
      <c r="X3633">
        <v>0</v>
      </c>
      <c r="Y3633">
        <v>57740</v>
      </c>
    </row>
    <row r="3634" spans="1:25" ht="15" hidden="1" customHeight="1" x14ac:dyDescent="0.25">
      <c r="A3634" s="1" t="s">
        <v>39</v>
      </c>
      <c r="B3634" s="1" t="s">
        <v>83</v>
      </c>
      <c r="C3634" s="1" t="s">
        <v>208</v>
      </c>
      <c r="D3634">
        <v>5452</v>
      </c>
      <c r="E3634" s="1"/>
      <c r="F3634" s="1" t="s">
        <v>342</v>
      </c>
      <c r="G3634" s="1" t="s">
        <v>1402</v>
      </c>
      <c r="H3634" s="1" t="s">
        <v>1404</v>
      </c>
      <c r="I3634">
        <v>2011</v>
      </c>
      <c r="J3634" s="93">
        <v>499.13</v>
      </c>
      <c r="K3634">
        <v>12</v>
      </c>
      <c r="L3634" s="1" t="s">
        <v>421</v>
      </c>
      <c r="M3634">
        <v>0</v>
      </c>
      <c r="N3634">
        <v>0</v>
      </c>
      <c r="O3634">
        <v>4991.3</v>
      </c>
      <c r="P3634">
        <v>3</v>
      </c>
      <c r="Q3634" s="1" t="s">
        <v>560</v>
      </c>
      <c r="R3634" s="93">
        <v>499.13</v>
      </c>
      <c r="S3634">
        <v>399.31</v>
      </c>
      <c r="T3634">
        <v>1</v>
      </c>
      <c r="U3634" s="1" t="s">
        <v>701</v>
      </c>
      <c r="V3634" s="1"/>
      <c r="W3634">
        <v>499.12121999999999</v>
      </c>
      <c r="X3634">
        <v>0</v>
      </c>
      <c r="Y3634">
        <v>57741</v>
      </c>
    </row>
    <row r="3635" spans="1:25" ht="15" hidden="1" customHeight="1" x14ac:dyDescent="0.25">
      <c r="A3635" s="1" t="s">
        <v>39</v>
      </c>
      <c r="B3635" s="1" t="s">
        <v>83</v>
      </c>
      <c r="C3635" s="1" t="s">
        <v>208</v>
      </c>
      <c r="D3635">
        <v>5452</v>
      </c>
      <c r="E3635" s="1"/>
      <c r="F3635" s="1" t="s">
        <v>342</v>
      </c>
      <c r="G3635" s="1" t="s">
        <v>1402</v>
      </c>
      <c r="H3635" s="1" t="s">
        <v>1404</v>
      </c>
      <c r="I3635">
        <v>2011</v>
      </c>
      <c r="J3635" s="93">
        <v>707.88</v>
      </c>
      <c r="K3635">
        <v>12</v>
      </c>
      <c r="L3635" s="1" t="s">
        <v>421</v>
      </c>
      <c r="M3635">
        <v>0</v>
      </c>
      <c r="N3635">
        <v>0</v>
      </c>
      <c r="O3635">
        <v>7078.8</v>
      </c>
      <c r="P3635">
        <v>3</v>
      </c>
      <c r="Q3635" s="1" t="s">
        <v>560</v>
      </c>
      <c r="R3635" s="93">
        <v>707.88</v>
      </c>
      <c r="S3635">
        <v>566.29999999999995</v>
      </c>
      <c r="T3635">
        <v>1</v>
      </c>
      <c r="U3635" s="1" t="s">
        <v>702</v>
      </c>
      <c r="V3635" s="1"/>
      <c r="W3635">
        <v>707.87879999999996</v>
      </c>
      <c r="X3635">
        <v>0</v>
      </c>
      <c r="Y3635">
        <v>57742</v>
      </c>
    </row>
    <row r="3636" spans="1:25" ht="15" hidden="1" customHeight="1" x14ac:dyDescent="0.25">
      <c r="A3636" s="1" t="s">
        <v>39</v>
      </c>
      <c r="B3636" s="1" t="s">
        <v>83</v>
      </c>
      <c r="C3636" s="1" t="s">
        <v>208</v>
      </c>
      <c r="D3636">
        <v>5452</v>
      </c>
      <c r="E3636" s="1"/>
      <c r="F3636" s="1" t="s">
        <v>342</v>
      </c>
      <c r="G3636" s="1" t="s">
        <v>1402</v>
      </c>
      <c r="H3636" s="1" t="s">
        <v>1404</v>
      </c>
      <c r="I3636">
        <v>2011</v>
      </c>
      <c r="J3636" s="93">
        <v>638.89</v>
      </c>
      <c r="K3636">
        <v>12</v>
      </c>
      <c r="L3636" s="1" t="s">
        <v>421</v>
      </c>
      <c r="M3636">
        <v>0</v>
      </c>
      <c r="N3636">
        <v>0</v>
      </c>
      <c r="O3636">
        <v>6388.9</v>
      </c>
      <c r="P3636">
        <v>3</v>
      </c>
      <c r="Q3636" s="1" t="s">
        <v>560</v>
      </c>
      <c r="R3636" s="93">
        <v>638.89</v>
      </c>
      <c r="S3636">
        <v>511.11</v>
      </c>
      <c r="T3636">
        <v>1</v>
      </c>
      <c r="U3636" s="1" t="s">
        <v>703</v>
      </c>
      <c r="V3636" s="1"/>
      <c r="W3636">
        <v>638.87878999999998</v>
      </c>
      <c r="X3636">
        <v>0</v>
      </c>
      <c r="Y3636">
        <v>57745</v>
      </c>
    </row>
    <row r="3637" spans="1:25" ht="15" hidden="1" customHeight="1" x14ac:dyDescent="0.25">
      <c r="A3637" s="1" t="s">
        <v>39</v>
      </c>
      <c r="B3637" s="1" t="s">
        <v>83</v>
      </c>
      <c r="C3637" s="1" t="s">
        <v>208</v>
      </c>
      <c r="D3637">
        <v>5452</v>
      </c>
      <c r="E3637" s="1"/>
      <c r="F3637" s="1" t="s">
        <v>342</v>
      </c>
      <c r="G3637" s="1" t="s">
        <v>1402</v>
      </c>
      <c r="H3637" s="1" t="s">
        <v>1404</v>
      </c>
      <c r="I3637">
        <v>2010</v>
      </c>
      <c r="J3637" s="93">
        <v>7005.5</v>
      </c>
      <c r="K3637">
        <v>12</v>
      </c>
      <c r="L3637" s="1" t="s">
        <v>402</v>
      </c>
      <c r="M3637">
        <v>0</v>
      </c>
      <c r="N3637">
        <v>0</v>
      </c>
      <c r="O3637">
        <v>70055</v>
      </c>
      <c r="P3637">
        <v>3</v>
      </c>
      <c r="Q3637" s="1" t="s">
        <v>560</v>
      </c>
      <c r="R3637" s="93">
        <v>7005.5</v>
      </c>
      <c r="S3637">
        <v>0</v>
      </c>
      <c r="T3637">
        <v>1</v>
      </c>
      <c r="U3637" s="1" t="s">
        <v>699</v>
      </c>
      <c r="V3637" s="1"/>
      <c r="W3637">
        <v>7005.5001000000002</v>
      </c>
      <c r="X3637">
        <v>0</v>
      </c>
      <c r="Y3637">
        <v>57547</v>
      </c>
    </row>
    <row r="3638" spans="1:25" ht="15" hidden="1" customHeight="1" x14ac:dyDescent="0.25">
      <c r="A3638" s="1" t="s">
        <v>39</v>
      </c>
      <c r="B3638" s="1" t="s">
        <v>83</v>
      </c>
      <c r="C3638" s="1" t="s">
        <v>208</v>
      </c>
      <c r="D3638">
        <v>5452</v>
      </c>
      <c r="E3638" s="1"/>
      <c r="F3638" s="1" t="s">
        <v>342</v>
      </c>
      <c r="G3638" s="1" t="s">
        <v>1402</v>
      </c>
      <c r="H3638" s="1" t="s">
        <v>1404</v>
      </c>
      <c r="I3638">
        <v>2010</v>
      </c>
      <c r="J3638" s="93">
        <v>0</v>
      </c>
      <c r="K3638">
        <v>12</v>
      </c>
      <c r="L3638" s="1" t="s">
        <v>452</v>
      </c>
      <c r="M3638">
        <v>0</v>
      </c>
      <c r="N3638">
        <v>0</v>
      </c>
      <c r="O3638">
        <v>0</v>
      </c>
      <c r="P3638">
        <v>3</v>
      </c>
      <c r="Q3638" s="1" t="s">
        <v>560</v>
      </c>
      <c r="R3638" s="93">
        <v>0</v>
      </c>
      <c r="S3638">
        <v>0</v>
      </c>
      <c r="T3638">
        <v>1</v>
      </c>
      <c r="U3638" s="1" t="s">
        <v>704</v>
      </c>
      <c r="V3638" s="1"/>
      <c r="W3638">
        <v>0</v>
      </c>
      <c r="X3638">
        <v>0</v>
      </c>
      <c r="Y3638">
        <v>57738</v>
      </c>
    </row>
    <row r="3639" spans="1:25" ht="15" hidden="1" customHeight="1" x14ac:dyDescent="0.25">
      <c r="A3639" s="1" t="s">
        <v>39</v>
      </c>
      <c r="B3639" s="1" t="s">
        <v>83</v>
      </c>
      <c r="C3639" s="1" t="s">
        <v>208</v>
      </c>
      <c r="D3639">
        <v>5452</v>
      </c>
      <c r="E3639" s="1"/>
      <c r="F3639" s="1" t="s">
        <v>342</v>
      </c>
      <c r="G3639" s="1" t="s">
        <v>1402</v>
      </c>
      <c r="H3639" s="1" t="s">
        <v>1404</v>
      </c>
      <c r="I3639">
        <v>2010</v>
      </c>
      <c r="J3639" s="93">
        <v>183.75</v>
      </c>
      <c r="K3639">
        <v>12</v>
      </c>
      <c r="L3639" s="1" t="s">
        <v>421</v>
      </c>
      <c r="M3639">
        <v>0</v>
      </c>
      <c r="N3639">
        <v>0</v>
      </c>
      <c r="O3639">
        <v>1837.5</v>
      </c>
      <c r="P3639">
        <v>3</v>
      </c>
      <c r="Q3639" s="1" t="s">
        <v>560</v>
      </c>
      <c r="R3639" s="93">
        <v>183.75</v>
      </c>
      <c r="S3639">
        <v>147.01</v>
      </c>
      <c r="T3639">
        <v>1</v>
      </c>
      <c r="U3639" s="1" t="s">
        <v>700</v>
      </c>
      <c r="V3639" s="1"/>
      <c r="W3639">
        <v>183.76383000000001</v>
      </c>
      <c r="X3639">
        <v>0</v>
      </c>
      <c r="Y3639">
        <v>57740</v>
      </c>
    </row>
    <row r="3640" spans="1:25" ht="15" hidden="1" customHeight="1" x14ac:dyDescent="0.25">
      <c r="A3640" s="1" t="s">
        <v>39</v>
      </c>
      <c r="B3640" s="1" t="s">
        <v>83</v>
      </c>
      <c r="C3640" s="1" t="s">
        <v>208</v>
      </c>
      <c r="D3640">
        <v>5452</v>
      </c>
      <c r="E3640" s="1"/>
      <c r="F3640" s="1" t="s">
        <v>342</v>
      </c>
      <c r="G3640" s="1" t="s">
        <v>1402</v>
      </c>
      <c r="H3640" s="1" t="s">
        <v>1404</v>
      </c>
      <c r="I3640">
        <v>2010</v>
      </c>
      <c r="J3640" s="93">
        <v>713.76</v>
      </c>
      <c r="K3640">
        <v>12</v>
      </c>
      <c r="L3640" s="1" t="s">
        <v>421</v>
      </c>
      <c r="M3640">
        <v>0</v>
      </c>
      <c r="N3640">
        <v>0</v>
      </c>
      <c r="O3640">
        <v>7137.6</v>
      </c>
      <c r="P3640">
        <v>3</v>
      </c>
      <c r="Q3640" s="1" t="s">
        <v>560</v>
      </c>
      <c r="R3640" s="93">
        <v>713.76</v>
      </c>
      <c r="S3640">
        <v>570.99</v>
      </c>
      <c r="T3640">
        <v>1</v>
      </c>
      <c r="U3640" s="1" t="s">
        <v>701</v>
      </c>
      <c r="V3640" s="1"/>
      <c r="W3640">
        <v>713.75043000000005</v>
      </c>
      <c r="X3640">
        <v>0</v>
      </c>
      <c r="Y3640">
        <v>57741</v>
      </c>
    </row>
    <row r="3641" spans="1:25" ht="15" hidden="1" customHeight="1" x14ac:dyDescent="0.25">
      <c r="A3641" s="1" t="s">
        <v>39</v>
      </c>
      <c r="B3641" s="1" t="s">
        <v>83</v>
      </c>
      <c r="C3641" s="1" t="s">
        <v>208</v>
      </c>
      <c r="D3641">
        <v>5452</v>
      </c>
      <c r="E3641" s="1"/>
      <c r="F3641" s="1" t="s">
        <v>342</v>
      </c>
      <c r="G3641" s="1" t="s">
        <v>1402</v>
      </c>
      <c r="H3641" s="1" t="s">
        <v>1404</v>
      </c>
      <c r="I3641">
        <v>2010</v>
      </c>
      <c r="J3641" s="93">
        <v>879.88</v>
      </c>
      <c r="K3641">
        <v>12</v>
      </c>
      <c r="L3641" s="1" t="s">
        <v>421</v>
      </c>
      <c r="M3641">
        <v>0</v>
      </c>
      <c r="N3641">
        <v>0</v>
      </c>
      <c r="O3641">
        <v>8798.7999999999993</v>
      </c>
      <c r="P3641">
        <v>3</v>
      </c>
      <c r="Q3641" s="1" t="s">
        <v>560</v>
      </c>
      <c r="R3641" s="93">
        <v>879.88</v>
      </c>
      <c r="S3641">
        <v>703.92</v>
      </c>
      <c r="T3641">
        <v>1</v>
      </c>
      <c r="U3641" s="1" t="s">
        <v>702</v>
      </c>
      <c r="V3641" s="1"/>
      <c r="W3641">
        <v>879.89661000000001</v>
      </c>
      <c r="X3641">
        <v>0</v>
      </c>
      <c r="Y3641">
        <v>57742</v>
      </c>
    </row>
    <row r="3642" spans="1:25" ht="15" hidden="1" customHeight="1" x14ac:dyDescent="0.25">
      <c r="A3642" s="1" t="s">
        <v>39</v>
      </c>
      <c r="B3642" s="1" t="s">
        <v>83</v>
      </c>
      <c r="C3642" s="1" t="s">
        <v>208</v>
      </c>
      <c r="D3642">
        <v>5452</v>
      </c>
      <c r="E3642" s="1"/>
      <c r="F3642" s="1" t="s">
        <v>342</v>
      </c>
      <c r="G3642" s="1" t="s">
        <v>1402</v>
      </c>
      <c r="H3642" s="1" t="s">
        <v>1404</v>
      </c>
      <c r="I3642">
        <v>2010</v>
      </c>
      <c r="J3642" s="93">
        <v>651.9</v>
      </c>
      <c r="K3642">
        <v>12</v>
      </c>
      <c r="L3642" s="1" t="s">
        <v>421</v>
      </c>
      <c r="M3642">
        <v>0</v>
      </c>
      <c r="N3642">
        <v>0</v>
      </c>
      <c r="O3642">
        <v>6519</v>
      </c>
      <c r="P3642">
        <v>3</v>
      </c>
      <c r="Q3642" s="1" t="s">
        <v>560</v>
      </c>
      <c r="R3642" s="93">
        <v>651.9</v>
      </c>
      <c r="S3642">
        <v>521.52</v>
      </c>
      <c r="T3642">
        <v>1</v>
      </c>
      <c r="U3642" s="1" t="s">
        <v>703</v>
      </c>
      <c r="V3642" s="1"/>
      <c r="W3642">
        <v>651.91175999999996</v>
      </c>
      <c r="X3642">
        <v>0</v>
      </c>
      <c r="Y3642">
        <v>57745</v>
      </c>
    </row>
    <row r="3643" spans="1:25" ht="15" hidden="1" customHeight="1" x14ac:dyDescent="0.25">
      <c r="A3643" s="1" t="s">
        <v>39</v>
      </c>
      <c r="B3643" s="1" t="s">
        <v>83</v>
      </c>
      <c r="C3643" s="1" t="s">
        <v>208</v>
      </c>
      <c r="D3643">
        <v>5452</v>
      </c>
      <c r="E3643" s="1"/>
      <c r="F3643" s="1" t="s">
        <v>342</v>
      </c>
      <c r="G3643" s="1" t="s">
        <v>1402</v>
      </c>
      <c r="H3643" s="1" t="s">
        <v>1404</v>
      </c>
      <c r="I3643">
        <v>2009</v>
      </c>
      <c r="J3643" s="93">
        <v>3525.4</v>
      </c>
      <c r="K3643">
        <v>12</v>
      </c>
      <c r="L3643" s="1" t="s">
        <v>402</v>
      </c>
      <c r="M3643">
        <v>0</v>
      </c>
      <c r="N3643">
        <v>0</v>
      </c>
      <c r="O3643">
        <v>35254</v>
      </c>
      <c r="P3643">
        <v>3</v>
      </c>
      <c r="Q3643" s="1" t="s">
        <v>560</v>
      </c>
      <c r="R3643" s="93">
        <v>3525.4</v>
      </c>
      <c r="S3643">
        <v>0</v>
      </c>
      <c r="T3643">
        <v>1</v>
      </c>
      <c r="U3643" s="1" t="s">
        <v>699</v>
      </c>
      <c r="V3643" s="1"/>
      <c r="W3643">
        <v>3525.4</v>
      </c>
      <c r="X3643">
        <v>0</v>
      </c>
      <c r="Y3643">
        <v>57547</v>
      </c>
    </row>
    <row r="3644" spans="1:25" ht="15" hidden="1" customHeight="1" x14ac:dyDescent="0.25">
      <c r="A3644" s="1" t="s">
        <v>39</v>
      </c>
      <c r="B3644" s="1" t="s">
        <v>83</v>
      </c>
      <c r="C3644" s="1" t="s">
        <v>208</v>
      </c>
      <c r="D3644">
        <v>5452</v>
      </c>
      <c r="E3644" s="1"/>
      <c r="F3644" s="1" t="s">
        <v>342</v>
      </c>
      <c r="G3644" s="1" t="s">
        <v>1402</v>
      </c>
      <c r="H3644" s="1" t="s">
        <v>1404</v>
      </c>
      <c r="I3644">
        <v>2009</v>
      </c>
      <c r="J3644" s="93">
        <v>0</v>
      </c>
      <c r="K3644">
        <v>12</v>
      </c>
      <c r="L3644" s="1" t="s">
        <v>452</v>
      </c>
      <c r="M3644">
        <v>0</v>
      </c>
      <c r="N3644">
        <v>0</v>
      </c>
      <c r="O3644">
        <v>0</v>
      </c>
      <c r="P3644">
        <v>3</v>
      </c>
      <c r="Q3644" s="1" t="s">
        <v>560</v>
      </c>
      <c r="R3644" s="93">
        <v>0</v>
      </c>
      <c r="S3644">
        <v>0</v>
      </c>
      <c r="T3644">
        <v>1</v>
      </c>
      <c r="U3644" s="1" t="s">
        <v>704</v>
      </c>
      <c r="V3644" s="1"/>
      <c r="W3644">
        <v>0</v>
      </c>
      <c r="X3644">
        <v>0</v>
      </c>
      <c r="Y3644">
        <v>57738</v>
      </c>
    </row>
    <row r="3645" spans="1:25" ht="15" hidden="1" customHeight="1" x14ac:dyDescent="0.25">
      <c r="A3645" s="1" t="s">
        <v>39</v>
      </c>
      <c r="B3645" s="1" t="s">
        <v>83</v>
      </c>
      <c r="C3645" s="1" t="s">
        <v>208</v>
      </c>
      <c r="D3645">
        <v>5452</v>
      </c>
      <c r="E3645" s="1"/>
      <c r="F3645" s="1" t="s">
        <v>342</v>
      </c>
      <c r="G3645" s="1" t="s">
        <v>1402</v>
      </c>
      <c r="H3645" s="1" t="s">
        <v>1404</v>
      </c>
      <c r="I3645">
        <v>2009</v>
      </c>
      <c r="J3645" s="93">
        <v>159.78</v>
      </c>
      <c r="K3645">
        <v>12</v>
      </c>
      <c r="L3645" s="1" t="s">
        <v>421</v>
      </c>
      <c r="M3645">
        <v>0</v>
      </c>
      <c r="N3645">
        <v>0</v>
      </c>
      <c r="O3645">
        <v>1597.8</v>
      </c>
      <c r="P3645">
        <v>3</v>
      </c>
      <c r="Q3645" s="1" t="s">
        <v>560</v>
      </c>
      <c r="R3645" s="93">
        <v>159.78</v>
      </c>
      <c r="S3645">
        <v>127.82</v>
      </c>
      <c r="T3645">
        <v>1</v>
      </c>
      <c r="U3645" s="1" t="s">
        <v>700</v>
      </c>
      <c r="V3645" s="1"/>
      <c r="W3645">
        <v>159.76837</v>
      </c>
      <c r="X3645">
        <v>0</v>
      </c>
      <c r="Y3645">
        <v>57740</v>
      </c>
    </row>
    <row r="3646" spans="1:25" ht="15" hidden="1" customHeight="1" x14ac:dyDescent="0.25">
      <c r="A3646" s="1" t="s">
        <v>39</v>
      </c>
      <c r="B3646" s="1" t="s">
        <v>83</v>
      </c>
      <c r="C3646" s="1" t="s">
        <v>208</v>
      </c>
      <c r="D3646">
        <v>5452</v>
      </c>
      <c r="E3646" s="1"/>
      <c r="F3646" s="1" t="s">
        <v>342</v>
      </c>
      <c r="G3646" s="1" t="s">
        <v>1402</v>
      </c>
      <c r="H3646" s="1" t="s">
        <v>1404</v>
      </c>
      <c r="I3646">
        <v>2009</v>
      </c>
      <c r="J3646" s="93">
        <v>598.1</v>
      </c>
      <c r="K3646">
        <v>12</v>
      </c>
      <c r="L3646" s="1" t="s">
        <v>421</v>
      </c>
      <c r="M3646">
        <v>0</v>
      </c>
      <c r="N3646">
        <v>0</v>
      </c>
      <c r="O3646">
        <v>5981</v>
      </c>
      <c r="P3646">
        <v>3</v>
      </c>
      <c r="Q3646" s="1" t="s">
        <v>560</v>
      </c>
      <c r="R3646" s="93">
        <v>598.1</v>
      </c>
      <c r="S3646">
        <v>478.49</v>
      </c>
      <c r="T3646">
        <v>1</v>
      </c>
      <c r="U3646" s="1" t="s">
        <v>701</v>
      </c>
      <c r="V3646" s="1"/>
      <c r="W3646">
        <v>598.10846000000004</v>
      </c>
      <c r="X3646">
        <v>0</v>
      </c>
      <c r="Y3646">
        <v>57741</v>
      </c>
    </row>
    <row r="3647" spans="1:25" ht="15" hidden="1" customHeight="1" x14ac:dyDescent="0.25">
      <c r="A3647" s="1" t="s">
        <v>39</v>
      </c>
      <c r="B3647" s="1" t="s">
        <v>83</v>
      </c>
      <c r="C3647" s="1" t="s">
        <v>208</v>
      </c>
      <c r="D3647">
        <v>5452</v>
      </c>
      <c r="E3647" s="1"/>
      <c r="F3647" s="1" t="s">
        <v>342</v>
      </c>
      <c r="G3647" s="1" t="s">
        <v>1402</v>
      </c>
      <c r="H3647" s="1" t="s">
        <v>1404</v>
      </c>
      <c r="I3647">
        <v>2009</v>
      </c>
      <c r="J3647" s="93">
        <v>804.5</v>
      </c>
      <c r="K3647">
        <v>12</v>
      </c>
      <c r="L3647" s="1" t="s">
        <v>421</v>
      </c>
      <c r="M3647">
        <v>0</v>
      </c>
      <c r="N3647">
        <v>0</v>
      </c>
      <c r="O3647">
        <v>8045</v>
      </c>
      <c r="P3647">
        <v>3</v>
      </c>
      <c r="Q3647" s="1" t="s">
        <v>560</v>
      </c>
      <c r="R3647" s="93">
        <v>804.5</v>
      </c>
      <c r="S3647">
        <v>643.6</v>
      </c>
      <c r="T3647">
        <v>1</v>
      </c>
      <c r="U3647" s="1" t="s">
        <v>702</v>
      </c>
      <c r="V3647" s="1"/>
      <c r="W3647">
        <v>804.49449000000004</v>
      </c>
      <c r="X3647">
        <v>0</v>
      </c>
      <c r="Y3647">
        <v>57742</v>
      </c>
    </row>
    <row r="3648" spans="1:25" ht="15" hidden="1" customHeight="1" x14ac:dyDescent="0.25">
      <c r="A3648" s="1" t="s">
        <v>39</v>
      </c>
      <c r="B3648" s="1" t="s">
        <v>83</v>
      </c>
      <c r="C3648" s="1" t="s">
        <v>208</v>
      </c>
      <c r="D3648">
        <v>5452</v>
      </c>
      <c r="E3648" s="1"/>
      <c r="F3648" s="1" t="s">
        <v>342</v>
      </c>
      <c r="G3648" s="1" t="s">
        <v>1402</v>
      </c>
      <c r="H3648" s="1" t="s">
        <v>1404</v>
      </c>
      <c r="I3648">
        <v>2009</v>
      </c>
      <c r="J3648" s="93">
        <v>797.47</v>
      </c>
      <c r="K3648">
        <v>12</v>
      </c>
      <c r="L3648" s="1" t="s">
        <v>421</v>
      </c>
      <c r="M3648">
        <v>0</v>
      </c>
      <c r="N3648">
        <v>0</v>
      </c>
      <c r="O3648">
        <v>7974.7</v>
      </c>
      <c r="P3648">
        <v>3</v>
      </c>
      <c r="Q3648" s="1" t="s">
        <v>560</v>
      </c>
      <c r="R3648" s="93">
        <v>797.47</v>
      </c>
      <c r="S3648">
        <v>637.96</v>
      </c>
      <c r="T3648">
        <v>1</v>
      </c>
      <c r="U3648" s="1" t="s">
        <v>703</v>
      </c>
      <c r="V3648" s="1"/>
      <c r="W3648">
        <v>797.46324000000004</v>
      </c>
      <c r="X3648">
        <v>0</v>
      </c>
      <c r="Y3648">
        <v>57745</v>
      </c>
    </row>
    <row r="3649" spans="1:25" ht="15" hidden="1" customHeight="1" x14ac:dyDescent="0.25">
      <c r="A3649" s="1" t="s">
        <v>39</v>
      </c>
      <c r="B3649" s="1" t="s">
        <v>83</v>
      </c>
      <c r="C3649" s="1" t="s">
        <v>208</v>
      </c>
      <c r="D3649">
        <v>5452</v>
      </c>
      <c r="E3649" s="1"/>
      <c r="F3649" s="1" t="s">
        <v>342</v>
      </c>
      <c r="G3649" s="1" t="s">
        <v>1402</v>
      </c>
      <c r="H3649" s="1" t="s">
        <v>1404</v>
      </c>
      <c r="I3649">
        <v>2008</v>
      </c>
      <c r="J3649" s="93">
        <v>4024</v>
      </c>
      <c r="K3649">
        <v>12</v>
      </c>
      <c r="L3649" s="1" t="s">
        <v>402</v>
      </c>
      <c r="M3649">
        <v>0</v>
      </c>
      <c r="N3649">
        <v>0</v>
      </c>
      <c r="O3649">
        <v>40240</v>
      </c>
      <c r="P3649">
        <v>3</v>
      </c>
      <c r="Q3649" s="1" t="s">
        <v>560</v>
      </c>
      <c r="R3649" s="93">
        <v>4024</v>
      </c>
      <c r="S3649">
        <v>0</v>
      </c>
      <c r="T3649">
        <v>1</v>
      </c>
      <c r="U3649" s="1" t="s">
        <v>699</v>
      </c>
      <c r="V3649" s="1"/>
      <c r="W3649">
        <v>4024</v>
      </c>
      <c r="X3649">
        <v>0</v>
      </c>
      <c r="Y3649">
        <v>57547</v>
      </c>
    </row>
    <row r="3650" spans="1:25" ht="15" hidden="1" customHeight="1" x14ac:dyDescent="0.25">
      <c r="A3650" s="1" t="s">
        <v>39</v>
      </c>
      <c r="B3650" s="1" t="s">
        <v>83</v>
      </c>
      <c r="C3650" s="1" t="s">
        <v>208</v>
      </c>
      <c r="D3650">
        <v>5452</v>
      </c>
      <c r="E3650" s="1"/>
      <c r="F3650" s="1" t="s">
        <v>342</v>
      </c>
      <c r="G3650" s="1" t="s">
        <v>1402</v>
      </c>
      <c r="H3650" s="1" t="s">
        <v>1404</v>
      </c>
      <c r="I3650">
        <v>2008</v>
      </c>
      <c r="J3650" s="93">
        <v>60.02</v>
      </c>
      <c r="K3650">
        <v>12</v>
      </c>
      <c r="L3650" s="1" t="s">
        <v>452</v>
      </c>
      <c r="M3650">
        <v>0</v>
      </c>
      <c r="N3650">
        <v>0</v>
      </c>
      <c r="O3650">
        <v>600.20000000000005</v>
      </c>
      <c r="P3650">
        <v>3</v>
      </c>
      <c r="Q3650" s="1" t="s">
        <v>560</v>
      </c>
      <c r="R3650" s="93">
        <v>60.02</v>
      </c>
      <c r="S3650">
        <v>48</v>
      </c>
      <c r="T3650">
        <v>1</v>
      </c>
      <c r="U3650" s="1" t="s">
        <v>704</v>
      </c>
      <c r="V3650" s="1"/>
      <c r="W3650">
        <v>60</v>
      </c>
      <c r="X3650">
        <v>0</v>
      </c>
      <c r="Y3650">
        <v>57738</v>
      </c>
    </row>
    <row r="3651" spans="1:25" ht="15" hidden="1" customHeight="1" x14ac:dyDescent="0.25">
      <c r="A3651" s="1" t="s">
        <v>39</v>
      </c>
      <c r="B3651" s="1" t="s">
        <v>83</v>
      </c>
      <c r="C3651" s="1" t="s">
        <v>208</v>
      </c>
      <c r="D3651">
        <v>5452</v>
      </c>
      <c r="E3651" s="1"/>
      <c r="F3651" s="1" t="s">
        <v>342</v>
      </c>
      <c r="G3651" s="1" t="s">
        <v>1402</v>
      </c>
      <c r="H3651" s="1" t="s">
        <v>1404</v>
      </c>
      <c r="I3651">
        <v>2008</v>
      </c>
      <c r="J3651" s="93">
        <v>134.94999999999999</v>
      </c>
      <c r="K3651">
        <v>12</v>
      </c>
      <c r="L3651" s="1" t="s">
        <v>421</v>
      </c>
      <c r="M3651">
        <v>0</v>
      </c>
      <c r="N3651">
        <v>0</v>
      </c>
      <c r="O3651">
        <v>1349.5</v>
      </c>
      <c r="P3651">
        <v>3</v>
      </c>
      <c r="Q3651" s="1" t="s">
        <v>560</v>
      </c>
      <c r="R3651" s="93">
        <v>134.94999999999999</v>
      </c>
      <c r="S3651">
        <v>107.96</v>
      </c>
      <c r="T3651">
        <v>1</v>
      </c>
      <c r="U3651" s="1" t="s">
        <v>700</v>
      </c>
      <c r="V3651" s="1"/>
      <c r="W3651">
        <v>134.95265000000001</v>
      </c>
      <c r="X3651">
        <v>0</v>
      </c>
      <c r="Y3651">
        <v>57740</v>
      </c>
    </row>
    <row r="3652" spans="1:25" ht="15" hidden="1" customHeight="1" x14ac:dyDescent="0.25">
      <c r="A3652" s="1" t="s">
        <v>39</v>
      </c>
      <c r="B3652" s="1" t="s">
        <v>83</v>
      </c>
      <c r="C3652" s="1" t="s">
        <v>208</v>
      </c>
      <c r="D3652">
        <v>5452</v>
      </c>
      <c r="E3652" s="1"/>
      <c r="F3652" s="1" t="s">
        <v>342</v>
      </c>
      <c r="G3652" s="1" t="s">
        <v>1402</v>
      </c>
      <c r="H3652" s="1" t="s">
        <v>1404</v>
      </c>
      <c r="I3652">
        <v>2008</v>
      </c>
      <c r="J3652" s="93">
        <v>523.11</v>
      </c>
      <c r="K3652">
        <v>12</v>
      </c>
      <c r="L3652" s="1" t="s">
        <v>421</v>
      </c>
      <c r="M3652">
        <v>0</v>
      </c>
      <c r="N3652">
        <v>0</v>
      </c>
      <c r="O3652">
        <v>5231.1000000000004</v>
      </c>
      <c r="P3652">
        <v>3</v>
      </c>
      <c r="Q3652" s="1" t="s">
        <v>560</v>
      </c>
      <c r="R3652" s="93">
        <v>523.11</v>
      </c>
      <c r="S3652">
        <v>418.51</v>
      </c>
      <c r="T3652">
        <v>1</v>
      </c>
      <c r="U3652" s="1" t="s">
        <v>701</v>
      </c>
      <c r="V3652" s="1"/>
      <c r="W3652">
        <v>523.11081000000001</v>
      </c>
      <c r="X3652">
        <v>0</v>
      </c>
      <c r="Y3652">
        <v>57741</v>
      </c>
    </row>
    <row r="3653" spans="1:25" ht="15" hidden="1" customHeight="1" x14ac:dyDescent="0.25">
      <c r="A3653" s="1" t="s">
        <v>39</v>
      </c>
      <c r="B3653" s="1" t="s">
        <v>83</v>
      </c>
      <c r="C3653" s="1" t="s">
        <v>208</v>
      </c>
      <c r="D3653">
        <v>5452</v>
      </c>
      <c r="E3653" s="1"/>
      <c r="F3653" s="1" t="s">
        <v>342</v>
      </c>
      <c r="G3653" s="1" t="s">
        <v>1402</v>
      </c>
      <c r="H3653" s="1" t="s">
        <v>1404</v>
      </c>
      <c r="I3653">
        <v>2008</v>
      </c>
      <c r="J3653" s="93">
        <v>802.46</v>
      </c>
      <c r="K3653">
        <v>12</v>
      </c>
      <c r="L3653" s="1" t="s">
        <v>421</v>
      </c>
      <c r="M3653">
        <v>0</v>
      </c>
      <c r="N3653">
        <v>0</v>
      </c>
      <c r="O3653">
        <v>8024.6</v>
      </c>
      <c r="P3653">
        <v>3</v>
      </c>
      <c r="Q3653" s="1" t="s">
        <v>560</v>
      </c>
      <c r="R3653" s="93">
        <v>802.46</v>
      </c>
      <c r="S3653">
        <v>641.98</v>
      </c>
      <c r="T3653">
        <v>1</v>
      </c>
      <c r="U3653" s="1" t="s">
        <v>702</v>
      </c>
      <c r="V3653" s="1"/>
      <c r="W3653">
        <v>802.45737999999994</v>
      </c>
      <c r="X3653">
        <v>0</v>
      </c>
      <c r="Y3653">
        <v>57742</v>
      </c>
    </row>
    <row r="3654" spans="1:25" ht="15" hidden="1" customHeight="1" x14ac:dyDescent="0.25">
      <c r="A3654" s="1" t="s">
        <v>39</v>
      </c>
      <c r="B3654" s="1" t="s">
        <v>83</v>
      </c>
      <c r="C3654" s="1" t="s">
        <v>208</v>
      </c>
      <c r="D3654">
        <v>5452</v>
      </c>
      <c r="E3654" s="1"/>
      <c r="F3654" s="1" t="s">
        <v>342</v>
      </c>
      <c r="G3654" s="1" t="s">
        <v>1402</v>
      </c>
      <c r="H3654" s="1" t="s">
        <v>1404</v>
      </c>
      <c r="I3654">
        <v>2008</v>
      </c>
      <c r="J3654" s="93">
        <v>1330.17</v>
      </c>
      <c r="K3654">
        <v>12</v>
      </c>
      <c r="L3654" s="1" t="s">
        <v>421</v>
      </c>
      <c r="M3654">
        <v>0</v>
      </c>
      <c r="N3654">
        <v>0</v>
      </c>
      <c r="O3654">
        <v>13301.7</v>
      </c>
      <c r="P3654">
        <v>3</v>
      </c>
      <c r="Q3654" s="1" t="s">
        <v>560</v>
      </c>
      <c r="R3654" s="93">
        <v>1330.17</v>
      </c>
      <c r="S3654">
        <v>1064.1300000000001</v>
      </c>
      <c r="T3654">
        <v>1</v>
      </c>
      <c r="U3654" s="1" t="s">
        <v>703</v>
      </c>
      <c r="V3654" s="1"/>
      <c r="W3654">
        <v>1330.17047</v>
      </c>
      <c r="X3654">
        <v>0</v>
      </c>
      <c r="Y3654">
        <v>57745</v>
      </c>
    </row>
    <row r="3655" spans="1:25" ht="15" hidden="1" customHeight="1" x14ac:dyDescent="0.25">
      <c r="A3655" s="1" t="s">
        <v>39</v>
      </c>
      <c r="B3655" s="1" t="s">
        <v>83</v>
      </c>
      <c r="C3655" s="1" t="s">
        <v>208</v>
      </c>
      <c r="D3655">
        <v>5454</v>
      </c>
      <c r="E3655" s="1"/>
      <c r="F3655" s="1" t="s">
        <v>343</v>
      </c>
      <c r="G3655" s="1" t="s">
        <v>1402</v>
      </c>
      <c r="H3655" s="1" t="s">
        <v>1396</v>
      </c>
      <c r="I3655">
        <v>2011</v>
      </c>
      <c r="J3655" s="93">
        <v>66.19</v>
      </c>
      <c r="K3655">
        <v>7</v>
      </c>
      <c r="L3655" s="1" t="s">
        <v>453</v>
      </c>
      <c r="M3655">
        <v>0</v>
      </c>
      <c r="N3655">
        <v>50</v>
      </c>
      <c r="O3655">
        <v>1.3211569999999999</v>
      </c>
      <c r="P3655">
        <v>3</v>
      </c>
      <c r="Q3655" s="1" t="s">
        <v>560</v>
      </c>
      <c r="R3655" s="93">
        <v>66.19</v>
      </c>
      <c r="S3655">
        <v>0</v>
      </c>
      <c r="T3655">
        <v>1</v>
      </c>
      <c r="U3655" s="1" t="s">
        <v>705</v>
      </c>
      <c r="V3655" s="1"/>
      <c r="W3655">
        <v>66.181820000000002</v>
      </c>
      <c r="X3655">
        <v>0</v>
      </c>
      <c r="Y3655">
        <v>84285</v>
      </c>
    </row>
    <row r="3656" spans="1:25" ht="15" hidden="1" customHeight="1" x14ac:dyDescent="0.25">
      <c r="A3656" s="1" t="s">
        <v>39</v>
      </c>
      <c r="B3656" s="1" t="s">
        <v>83</v>
      </c>
      <c r="C3656" s="1" t="s">
        <v>208</v>
      </c>
      <c r="D3656">
        <v>5454</v>
      </c>
      <c r="E3656" s="1"/>
      <c r="F3656" s="1" t="s">
        <v>343</v>
      </c>
      <c r="G3656" s="1" t="s">
        <v>1402</v>
      </c>
      <c r="H3656" s="1" t="s">
        <v>1396</v>
      </c>
      <c r="I3656">
        <v>2010</v>
      </c>
      <c r="J3656" s="93">
        <v>66.819999999999993</v>
      </c>
      <c r="K3656">
        <v>10</v>
      </c>
      <c r="L3656" s="1" t="s">
        <v>453</v>
      </c>
      <c r="M3656">
        <v>0</v>
      </c>
      <c r="N3656">
        <v>50</v>
      </c>
      <c r="O3656">
        <v>1.3337319999999999</v>
      </c>
      <c r="P3656">
        <v>3</v>
      </c>
      <c r="Q3656" s="1" t="s">
        <v>560</v>
      </c>
      <c r="R3656" s="93">
        <v>66.819999999999993</v>
      </c>
      <c r="S3656">
        <v>0</v>
      </c>
      <c r="T3656">
        <v>1</v>
      </c>
      <c r="U3656" s="1" t="s">
        <v>705</v>
      </c>
      <c r="V3656" s="1"/>
      <c r="W3656">
        <v>66.818179999999998</v>
      </c>
      <c r="X3656">
        <v>0</v>
      </c>
      <c r="Y3656">
        <v>84285</v>
      </c>
    </row>
    <row r="3657" spans="1:25" ht="15" hidden="1" customHeight="1" x14ac:dyDescent="0.25">
      <c r="A3657" s="1" t="s">
        <v>39</v>
      </c>
      <c r="B3657" s="1" t="s">
        <v>83</v>
      </c>
      <c r="C3657" s="1" t="s">
        <v>208</v>
      </c>
      <c r="D3657">
        <v>5449</v>
      </c>
      <c r="E3657" s="1"/>
      <c r="F3657" s="1" t="s">
        <v>344</v>
      </c>
      <c r="G3657" s="1" t="s">
        <v>1402</v>
      </c>
      <c r="H3657" s="1" t="s">
        <v>1405</v>
      </c>
      <c r="I3657">
        <v>2015</v>
      </c>
      <c r="J3657" s="93">
        <v>11664</v>
      </c>
      <c r="K3657">
        <v>5</v>
      </c>
      <c r="L3657" s="1" t="s">
        <v>402</v>
      </c>
      <c r="M3657">
        <v>0</v>
      </c>
      <c r="N3657">
        <v>7709</v>
      </c>
      <c r="O3657">
        <v>0.67926200000000003</v>
      </c>
      <c r="P3657">
        <v>3</v>
      </c>
      <c r="Q3657" s="1" t="s">
        <v>560</v>
      </c>
      <c r="R3657" s="93">
        <v>5236.5</v>
      </c>
      <c r="S3657">
        <v>4189.2</v>
      </c>
      <c r="T3657">
        <v>0</v>
      </c>
      <c r="U3657" s="1" t="s">
        <v>706</v>
      </c>
      <c r="V3657" s="1"/>
      <c r="W3657">
        <v>5236.5</v>
      </c>
      <c r="X3657">
        <v>0</v>
      </c>
      <c r="Y3657">
        <v>57535</v>
      </c>
    </row>
    <row r="3658" spans="1:25" ht="15" hidden="1" customHeight="1" x14ac:dyDescent="0.25">
      <c r="A3658" s="1" t="s">
        <v>39</v>
      </c>
      <c r="B3658" s="1" t="s">
        <v>83</v>
      </c>
      <c r="C3658" s="1" t="s">
        <v>208</v>
      </c>
      <c r="D3658">
        <v>5449</v>
      </c>
      <c r="E3658" s="1"/>
      <c r="F3658" s="1" t="s">
        <v>344</v>
      </c>
      <c r="G3658" s="1" t="s">
        <v>1402</v>
      </c>
      <c r="H3658" s="1" t="s">
        <v>1405</v>
      </c>
      <c r="I3658">
        <v>2013</v>
      </c>
      <c r="J3658" s="93">
        <v>12138.7</v>
      </c>
      <c r="K3658">
        <v>12</v>
      </c>
      <c r="L3658" s="1" t="s">
        <v>402</v>
      </c>
      <c r="M3658">
        <v>0</v>
      </c>
      <c r="N3658">
        <v>7709</v>
      </c>
      <c r="O3658">
        <v>1.5745929999999999</v>
      </c>
      <c r="P3658">
        <v>3</v>
      </c>
      <c r="Q3658" s="1" t="s">
        <v>560</v>
      </c>
      <c r="R3658" s="93">
        <v>12138.7</v>
      </c>
      <c r="S3658">
        <v>9710.9599999999991</v>
      </c>
      <c r="T3658">
        <v>0</v>
      </c>
      <c r="U3658" s="1" t="s">
        <v>706</v>
      </c>
      <c r="V3658" s="1"/>
      <c r="W3658">
        <v>12138.7</v>
      </c>
      <c r="X3658">
        <v>0</v>
      </c>
      <c r="Y3658">
        <v>57535</v>
      </c>
    </row>
    <row r="3659" spans="1:25" ht="15" hidden="1" customHeight="1" x14ac:dyDescent="0.25">
      <c r="A3659" s="1" t="s">
        <v>39</v>
      </c>
      <c r="B3659" s="1" t="s">
        <v>83</v>
      </c>
      <c r="C3659" s="1" t="s">
        <v>208</v>
      </c>
      <c r="D3659">
        <v>5449</v>
      </c>
      <c r="E3659" s="1"/>
      <c r="F3659" s="1" t="s">
        <v>344</v>
      </c>
      <c r="G3659" s="1" t="s">
        <v>1402</v>
      </c>
      <c r="H3659" s="1" t="s">
        <v>1405</v>
      </c>
      <c r="I3659">
        <v>2012</v>
      </c>
      <c r="J3659" s="93">
        <v>11731.6</v>
      </c>
      <c r="K3659">
        <v>12</v>
      </c>
      <c r="L3659" s="1" t="s">
        <v>402</v>
      </c>
      <c r="M3659">
        <v>0</v>
      </c>
      <c r="N3659">
        <v>7709</v>
      </c>
      <c r="O3659">
        <v>1.5217849999999999</v>
      </c>
      <c r="P3659">
        <v>3</v>
      </c>
      <c r="Q3659" s="1" t="s">
        <v>560</v>
      </c>
      <c r="R3659" s="93">
        <v>11731.6</v>
      </c>
      <c r="S3659">
        <v>9385.2800000000007</v>
      </c>
      <c r="T3659">
        <v>0</v>
      </c>
      <c r="U3659" s="1" t="s">
        <v>706</v>
      </c>
      <c r="V3659" s="1"/>
      <c r="W3659">
        <v>11731.6</v>
      </c>
      <c r="X3659">
        <v>0</v>
      </c>
      <c r="Y3659">
        <v>57535</v>
      </c>
    </row>
    <row r="3660" spans="1:25" ht="15" hidden="1" customHeight="1" x14ac:dyDescent="0.25">
      <c r="A3660" s="1" t="s">
        <v>39</v>
      </c>
      <c r="B3660" s="1" t="s">
        <v>83</v>
      </c>
      <c r="C3660" s="1" t="s">
        <v>208</v>
      </c>
      <c r="D3660">
        <v>5449</v>
      </c>
      <c r="E3660" s="1"/>
      <c r="F3660" s="1" t="s">
        <v>344</v>
      </c>
      <c r="G3660" s="1" t="s">
        <v>1402</v>
      </c>
      <c r="H3660" s="1" t="s">
        <v>1405</v>
      </c>
      <c r="I3660">
        <v>2011</v>
      </c>
      <c r="J3660" s="93">
        <v>10732</v>
      </c>
      <c r="K3660">
        <v>12</v>
      </c>
      <c r="L3660" s="1" t="s">
        <v>402</v>
      </c>
      <c r="M3660">
        <v>0</v>
      </c>
      <c r="N3660">
        <v>7709</v>
      </c>
      <c r="O3660">
        <v>1.39212</v>
      </c>
      <c r="P3660">
        <v>3</v>
      </c>
      <c r="Q3660" s="1" t="s">
        <v>560</v>
      </c>
      <c r="R3660" s="93">
        <v>10732</v>
      </c>
      <c r="S3660">
        <v>8585.6</v>
      </c>
      <c r="T3660">
        <v>0</v>
      </c>
      <c r="U3660" s="1" t="s">
        <v>706</v>
      </c>
      <c r="V3660" s="1"/>
      <c r="W3660">
        <v>10732</v>
      </c>
      <c r="X3660">
        <v>0</v>
      </c>
      <c r="Y3660">
        <v>57535</v>
      </c>
    </row>
    <row r="3661" spans="1:25" ht="15" hidden="1" customHeight="1" x14ac:dyDescent="0.25">
      <c r="A3661" s="1" t="s">
        <v>39</v>
      </c>
      <c r="B3661" s="1" t="s">
        <v>83</v>
      </c>
      <c r="C3661" s="1" t="s">
        <v>208</v>
      </c>
      <c r="D3661">
        <v>5449</v>
      </c>
      <c r="E3661" s="1"/>
      <c r="F3661" s="1" t="s">
        <v>344</v>
      </c>
      <c r="G3661" s="1" t="s">
        <v>1402</v>
      </c>
      <c r="H3661" s="1" t="s">
        <v>1405</v>
      </c>
      <c r="I3661">
        <v>2010</v>
      </c>
      <c r="J3661" s="93">
        <v>11137</v>
      </c>
      <c r="K3661">
        <v>12</v>
      </c>
      <c r="L3661" s="1" t="s">
        <v>402</v>
      </c>
      <c r="M3661">
        <v>0</v>
      </c>
      <c r="N3661">
        <v>7709</v>
      </c>
      <c r="O3661">
        <v>1.4446559999999999</v>
      </c>
      <c r="P3661">
        <v>3</v>
      </c>
      <c r="Q3661" s="1" t="s">
        <v>560</v>
      </c>
      <c r="R3661" s="93">
        <v>11137</v>
      </c>
      <c r="S3661">
        <v>8909.6</v>
      </c>
      <c r="T3661">
        <v>0</v>
      </c>
      <c r="U3661" s="1" t="s">
        <v>706</v>
      </c>
      <c r="V3661" s="1"/>
      <c r="W3661">
        <v>11136.9998</v>
      </c>
      <c r="X3661">
        <v>0</v>
      </c>
      <c r="Y3661">
        <v>57535</v>
      </c>
    </row>
    <row r="3662" spans="1:25" ht="15" hidden="1" customHeight="1" x14ac:dyDescent="0.25">
      <c r="A3662" s="1" t="s">
        <v>39</v>
      </c>
      <c r="B3662" s="1" t="s">
        <v>83</v>
      </c>
      <c r="C3662" s="1" t="s">
        <v>208</v>
      </c>
      <c r="D3662">
        <v>5449</v>
      </c>
      <c r="E3662" s="1"/>
      <c r="F3662" s="1" t="s">
        <v>344</v>
      </c>
      <c r="G3662" s="1" t="s">
        <v>1402</v>
      </c>
      <c r="H3662" s="1" t="s">
        <v>1405</v>
      </c>
      <c r="I3662">
        <v>2009</v>
      </c>
      <c r="J3662" s="93">
        <v>9340.4</v>
      </c>
      <c r="K3662">
        <v>12</v>
      </c>
      <c r="L3662" s="1" t="s">
        <v>402</v>
      </c>
      <c r="M3662">
        <v>0</v>
      </c>
      <c r="N3662">
        <v>7709</v>
      </c>
      <c r="O3662">
        <v>1.2116070000000001</v>
      </c>
      <c r="P3662">
        <v>3</v>
      </c>
      <c r="Q3662" s="1" t="s">
        <v>560</v>
      </c>
      <c r="R3662" s="93">
        <v>9340.4</v>
      </c>
      <c r="S3662">
        <v>7472.32</v>
      </c>
      <c r="T3662">
        <v>0</v>
      </c>
      <c r="U3662" s="1" t="s">
        <v>706</v>
      </c>
      <c r="V3662" s="1"/>
      <c r="W3662">
        <v>9340.4</v>
      </c>
      <c r="X3662">
        <v>0</v>
      </c>
      <c r="Y3662">
        <v>57535</v>
      </c>
    </row>
    <row r="3663" spans="1:25" ht="15" hidden="1" customHeight="1" x14ac:dyDescent="0.25">
      <c r="A3663" s="1" t="s">
        <v>39</v>
      </c>
      <c r="B3663" s="1" t="s">
        <v>83</v>
      </c>
      <c r="C3663" s="1" t="s">
        <v>208</v>
      </c>
      <c r="D3663">
        <v>5449</v>
      </c>
      <c r="E3663" s="1"/>
      <c r="F3663" s="1" t="s">
        <v>344</v>
      </c>
      <c r="G3663" s="1" t="s">
        <v>1402</v>
      </c>
      <c r="H3663" s="1" t="s">
        <v>1405</v>
      </c>
      <c r="I3663">
        <v>2008</v>
      </c>
      <c r="J3663" s="93">
        <v>10220.200000000001</v>
      </c>
      <c r="K3663">
        <v>12</v>
      </c>
      <c r="L3663" s="1" t="s">
        <v>402</v>
      </c>
      <c r="M3663">
        <v>0</v>
      </c>
      <c r="N3663">
        <v>7709</v>
      </c>
      <c r="O3663">
        <v>1.325731</v>
      </c>
      <c r="P3663">
        <v>3</v>
      </c>
      <c r="Q3663" s="1" t="s">
        <v>560</v>
      </c>
      <c r="R3663" s="93">
        <v>10220.200000000001</v>
      </c>
      <c r="S3663">
        <v>8176.16</v>
      </c>
      <c r="T3663">
        <v>0</v>
      </c>
      <c r="U3663" s="1" t="s">
        <v>706</v>
      </c>
      <c r="V3663" s="1"/>
      <c r="W3663">
        <v>10220.200000000001</v>
      </c>
      <c r="X3663">
        <v>0</v>
      </c>
      <c r="Y3663">
        <v>57535</v>
      </c>
    </row>
    <row r="3664" spans="1:25" ht="15" hidden="1" customHeight="1" x14ac:dyDescent="0.25">
      <c r="A3664" s="1" t="s">
        <v>39</v>
      </c>
      <c r="B3664" s="1" t="s">
        <v>83</v>
      </c>
      <c r="C3664" s="1" t="s">
        <v>208</v>
      </c>
      <c r="D3664">
        <v>5453</v>
      </c>
      <c r="E3664" s="1"/>
      <c r="F3664" s="1" t="s">
        <v>345</v>
      </c>
      <c r="G3664" s="1" t="s">
        <v>1402</v>
      </c>
      <c r="H3664" s="1" t="s">
        <v>1404</v>
      </c>
      <c r="I3664">
        <v>2015</v>
      </c>
      <c r="J3664" s="93">
        <v>211.21</v>
      </c>
      <c r="K3664">
        <v>5</v>
      </c>
      <c r="L3664" s="1" t="s">
        <v>421</v>
      </c>
      <c r="M3664">
        <v>0</v>
      </c>
      <c r="N3664">
        <v>610</v>
      </c>
      <c r="O3664">
        <v>0.34618900000000002</v>
      </c>
      <c r="P3664">
        <v>3</v>
      </c>
      <c r="Q3664" s="1" t="s">
        <v>560</v>
      </c>
      <c r="R3664" s="93">
        <v>211.21</v>
      </c>
      <c r="S3664">
        <v>0</v>
      </c>
      <c r="T3664">
        <v>1</v>
      </c>
      <c r="U3664" s="1" t="s">
        <v>707</v>
      </c>
      <c r="V3664" s="1"/>
      <c r="W3664">
        <v>211.21876</v>
      </c>
      <c r="X3664">
        <v>0</v>
      </c>
      <c r="Y3664">
        <v>84286</v>
      </c>
    </row>
    <row r="3665" spans="1:25" ht="15" hidden="1" customHeight="1" x14ac:dyDescent="0.25">
      <c r="A3665" s="1" t="s">
        <v>39</v>
      </c>
      <c r="B3665" s="1" t="s">
        <v>83</v>
      </c>
      <c r="C3665" s="1" t="s">
        <v>208</v>
      </c>
      <c r="D3665">
        <v>5453</v>
      </c>
      <c r="E3665" s="1"/>
      <c r="F3665" s="1" t="s">
        <v>345</v>
      </c>
      <c r="G3665" s="1" t="s">
        <v>1402</v>
      </c>
      <c r="H3665" s="1" t="s">
        <v>1404</v>
      </c>
      <c r="I3665">
        <v>2013</v>
      </c>
      <c r="J3665" s="93">
        <v>452.05</v>
      </c>
      <c r="K3665">
        <v>11</v>
      </c>
      <c r="L3665" s="1" t="s">
        <v>421</v>
      </c>
      <c r="M3665">
        <v>0</v>
      </c>
      <c r="N3665">
        <v>610</v>
      </c>
      <c r="O3665">
        <v>0.74094400000000005</v>
      </c>
      <c r="P3665">
        <v>3</v>
      </c>
      <c r="Q3665" s="1" t="s">
        <v>560</v>
      </c>
      <c r="R3665" s="93">
        <v>452.05</v>
      </c>
      <c r="S3665">
        <v>0</v>
      </c>
      <c r="T3665">
        <v>1</v>
      </c>
      <c r="U3665" s="1" t="s">
        <v>707</v>
      </c>
      <c r="V3665" s="1"/>
      <c r="W3665">
        <v>452.04692999999997</v>
      </c>
      <c r="X3665">
        <v>0</v>
      </c>
      <c r="Y3665">
        <v>84286</v>
      </c>
    </row>
    <row r="3666" spans="1:25" ht="15" hidden="1" customHeight="1" x14ac:dyDescent="0.25">
      <c r="A3666" s="1" t="s">
        <v>39</v>
      </c>
      <c r="B3666" s="1" t="s">
        <v>83</v>
      </c>
      <c r="C3666" s="1" t="s">
        <v>208</v>
      </c>
      <c r="D3666">
        <v>5453</v>
      </c>
      <c r="E3666" s="1"/>
      <c r="F3666" s="1" t="s">
        <v>345</v>
      </c>
      <c r="G3666" s="1" t="s">
        <v>1402</v>
      </c>
      <c r="H3666" s="1" t="s">
        <v>1404</v>
      </c>
      <c r="I3666">
        <v>2012</v>
      </c>
      <c r="J3666" s="93">
        <v>447.57</v>
      </c>
      <c r="K3666">
        <v>13</v>
      </c>
      <c r="L3666" s="1" t="s">
        <v>421</v>
      </c>
      <c r="M3666">
        <v>0</v>
      </c>
      <c r="N3666">
        <v>610</v>
      </c>
      <c r="O3666">
        <v>0.73360099999999995</v>
      </c>
      <c r="P3666">
        <v>3</v>
      </c>
      <c r="Q3666" s="1" t="s">
        <v>560</v>
      </c>
      <c r="R3666" s="93">
        <v>447.57</v>
      </c>
      <c r="S3666">
        <v>0</v>
      </c>
      <c r="T3666">
        <v>1</v>
      </c>
      <c r="U3666" s="1" t="s">
        <v>707</v>
      </c>
      <c r="V3666" s="1"/>
      <c r="W3666">
        <v>447.57576</v>
      </c>
      <c r="X3666">
        <v>0</v>
      </c>
      <c r="Y3666">
        <v>84286</v>
      </c>
    </row>
    <row r="3667" spans="1:25" ht="15" hidden="1" customHeight="1" x14ac:dyDescent="0.25">
      <c r="A3667" s="1" t="s">
        <v>39</v>
      </c>
      <c r="B3667" s="1" t="s">
        <v>83</v>
      </c>
      <c r="C3667" s="1" t="s">
        <v>208</v>
      </c>
      <c r="D3667">
        <v>5453</v>
      </c>
      <c r="E3667" s="1"/>
      <c r="F3667" s="1" t="s">
        <v>345</v>
      </c>
      <c r="G3667" s="1" t="s">
        <v>1402</v>
      </c>
      <c r="H3667" s="1" t="s">
        <v>1404</v>
      </c>
      <c r="I3667">
        <v>2011</v>
      </c>
      <c r="J3667" s="93">
        <v>433.85</v>
      </c>
      <c r="K3667">
        <v>12</v>
      </c>
      <c r="L3667" s="1" t="s">
        <v>421</v>
      </c>
      <c r="M3667">
        <v>0</v>
      </c>
      <c r="N3667">
        <v>610</v>
      </c>
      <c r="O3667">
        <v>0.71111199999999997</v>
      </c>
      <c r="P3667">
        <v>3</v>
      </c>
      <c r="Q3667" s="1" t="s">
        <v>560</v>
      </c>
      <c r="R3667" s="93">
        <v>433.85</v>
      </c>
      <c r="S3667">
        <v>0</v>
      </c>
      <c r="T3667">
        <v>1</v>
      </c>
      <c r="U3667" s="1" t="s">
        <v>707</v>
      </c>
      <c r="V3667" s="1"/>
      <c r="W3667">
        <v>433.84848</v>
      </c>
      <c r="X3667">
        <v>0</v>
      </c>
      <c r="Y3667">
        <v>84286</v>
      </c>
    </row>
    <row r="3668" spans="1:25" ht="15" hidden="1" customHeight="1" x14ac:dyDescent="0.25">
      <c r="A3668" s="1" t="s">
        <v>39</v>
      </c>
      <c r="B3668" s="1" t="s">
        <v>83</v>
      </c>
      <c r="C3668" s="1" t="s">
        <v>208</v>
      </c>
      <c r="D3668">
        <v>5453</v>
      </c>
      <c r="E3668" s="1"/>
      <c r="F3668" s="1" t="s">
        <v>345</v>
      </c>
      <c r="G3668" s="1" t="s">
        <v>1402</v>
      </c>
      <c r="H3668" s="1" t="s">
        <v>1404</v>
      </c>
      <c r="I3668">
        <v>2010</v>
      </c>
      <c r="J3668" s="93">
        <v>452.31</v>
      </c>
      <c r="K3668">
        <v>12</v>
      </c>
      <c r="L3668" s="1" t="s">
        <v>421</v>
      </c>
      <c r="M3668">
        <v>0</v>
      </c>
      <c r="N3668">
        <v>610</v>
      </c>
      <c r="O3668">
        <v>0.74136999999999997</v>
      </c>
      <c r="P3668">
        <v>3</v>
      </c>
      <c r="Q3668" s="1" t="s">
        <v>560</v>
      </c>
      <c r="R3668" s="93">
        <v>452.31</v>
      </c>
      <c r="S3668">
        <v>0</v>
      </c>
      <c r="T3668">
        <v>1</v>
      </c>
      <c r="U3668" s="1" t="s">
        <v>707</v>
      </c>
      <c r="V3668" s="1"/>
      <c r="W3668">
        <v>452.30302999999998</v>
      </c>
      <c r="X3668">
        <v>0</v>
      </c>
      <c r="Y3668">
        <v>84286</v>
      </c>
    </row>
    <row r="3669" spans="1:25" ht="15" hidden="1" customHeight="1" x14ac:dyDescent="0.25">
      <c r="A3669" s="1" t="s">
        <v>39</v>
      </c>
      <c r="B3669" s="1" t="s">
        <v>84</v>
      </c>
      <c r="C3669" s="1" t="s">
        <v>209</v>
      </c>
      <c r="D3669">
        <v>8932</v>
      </c>
      <c r="E3669" s="1" t="s">
        <v>243</v>
      </c>
      <c r="F3669" s="1" t="s">
        <v>346</v>
      </c>
      <c r="G3669" s="1" t="s">
        <v>209</v>
      </c>
      <c r="H3669" s="1" t="s">
        <v>1404</v>
      </c>
      <c r="I3669">
        <v>2015</v>
      </c>
      <c r="J3669" s="93">
        <v>0</v>
      </c>
      <c r="K3669">
        <v>5</v>
      </c>
      <c r="L3669" s="1" t="s">
        <v>433</v>
      </c>
      <c r="M3669">
        <v>0</v>
      </c>
      <c r="N3669">
        <v>0</v>
      </c>
      <c r="O3669">
        <v>0</v>
      </c>
      <c r="P3669">
        <v>3</v>
      </c>
      <c r="Q3669" s="1" t="s">
        <v>560</v>
      </c>
      <c r="R3669" s="93">
        <v>0</v>
      </c>
      <c r="S3669">
        <v>0</v>
      </c>
      <c r="T3669">
        <v>1</v>
      </c>
      <c r="U3669" s="1" t="s">
        <v>708</v>
      </c>
      <c r="V3669" s="1"/>
      <c r="W3669">
        <v>0</v>
      </c>
      <c r="X3669">
        <v>0</v>
      </c>
      <c r="Y3669">
        <v>70970</v>
      </c>
    </row>
    <row r="3670" spans="1:25" ht="15" hidden="1" customHeight="1" x14ac:dyDescent="0.25">
      <c r="A3670" s="1" t="s">
        <v>39</v>
      </c>
      <c r="B3670" s="1" t="s">
        <v>84</v>
      </c>
      <c r="C3670" s="1" t="s">
        <v>209</v>
      </c>
      <c r="D3670">
        <v>8932</v>
      </c>
      <c r="E3670" s="1" t="s">
        <v>243</v>
      </c>
      <c r="F3670" s="1" t="s">
        <v>346</v>
      </c>
      <c r="G3670" s="1" t="s">
        <v>209</v>
      </c>
      <c r="H3670" s="1" t="s">
        <v>1404</v>
      </c>
      <c r="I3670">
        <v>2015</v>
      </c>
      <c r="J3670" s="93">
        <v>114.83</v>
      </c>
      <c r="K3670">
        <v>5</v>
      </c>
      <c r="L3670" s="1" t="s">
        <v>433</v>
      </c>
      <c r="M3670">
        <v>0</v>
      </c>
      <c r="N3670">
        <v>0</v>
      </c>
      <c r="O3670">
        <v>1148.3</v>
      </c>
      <c r="P3670">
        <v>3</v>
      </c>
      <c r="Q3670" s="1" t="s">
        <v>560</v>
      </c>
      <c r="R3670" s="93">
        <v>114.83</v>
      </c>
      <c r="S3670">
        <v>91.85</v>
      </c>
      <c r="T3670">
        <v>1</v>
      </c>
      <c r="U3670" s="1" t="s">
        <v>709</v>
      </c>
      <c r="V3670" s="1"/>
      <c r="W3670">
        <v>114.82353000000001</v>
      </c>
      <c r="X3670">
        <v>0</v>
      </c>
      <c r="Y3670">
        <v>70972</v>
      </c>
    </row>
    <row r="3671" spans="1:25" ht="15" hidden="1" customHeight="1" x14ac:dyDescent="0.25">
      <c r="A3671" s="1" t="s">
        <v>39</v>
      </c>
      <c r="B3671" s="1" t="s">
        <v>84</v>
      </c>
      <c r="C3671" s="1" t="s">
        <v>209</v>
      </c>
      <c r="D3671">
        <v>8932</v>
      </c>
      <c r="E3671" s="1" t="s">
        <v>243</v>
      </c>
      <c r="F3671" s="1" t="s">
        <v>346</v>
      </c>
      <c r="G3671" s="1" t="s">
        <v>209</v>
      </c>
      <c r="H3671" s="1" t="s">
        <v>1404</v>
      </c>
      <c r="I3671">
        <v>2015</v>
      </c>
      <c r="J3671" s="93">
        <v>677.94</v>
      </c>
      <c r="K3671">
        <v>5</v>
      </c>
      <c r="L3671" s="1" t="s">
        <v>433</v>
      </c>
      <c r="M3671">
        <v>0</v>
      </c>
      <c r="N3671">
        <v>0</v>
      </c>
      <c r="O3671">
        <v>6779.4</v>
      </c>
      <c r="P3671">
        <v>3</v>
      </c>
      <c r="Q3671" s="1" t="s">
        <v>560</v>
      </c>
      <c r="R3671" s="93">
        <v>677.94</v>
      </c>
      <c r="S3671">
        <v>542.35</v>
      </c>
      <c r="T3671">
        <v>1</v>
      </c>
      <c r="U3671" s="1" t="s">
        <v>710</v>
      </c>
      <c r="V3671" s="1"/>
      <c r="W3671">
        <v>677.94118000000003</v>
      </c>
      <c r="X3671">
        <v>0</v>
      </c>
      <c r="Y3671">
        <v>70973</v>
      </c>
    </row>
    <row r="3672" spans="1:25" ht="15" hidden="1" customHeight="1" x14ac:dyDescent="0.25">
      <c r="A3672" s="1" t="s">
        <v>39</v>
      </c>
      <c r="B3672" s="1" t="s">
        <v>84</v>
      </c>
      <c r="C3672" s="1" t="s">
        <v>209</v>
      </c>
      <c r="D3672">
        <v>8932</v>
      </c>
      <c r="E3672" s="1" t="s">
        <v>243</v>
      </c>
      <c r="F3672" s="1" t="s">
        <v>346</v>
      </c>
      <c r="G3672" s="1" t="s">
        <v>209</v>
      </c>
      <c r="H3672" s="1" t="s">
        <v>1404</v>
      </c>
      <c r="I3672">
        <v>2015</v>
      </c>
      <c r="J3672" s="93">
        <v>324.70999999999998</v>
      </c>
      <c r="K3672">
        <v>5</v>
      </c>
      <c r="L3672" s="1" t="s">
        <v>433</v>
      </c>
      <c r="M3672">
        <v>0</v>
      </c>
      <c r="N3672">
        <v>0</v>
      </c>
      <c r="O3672">
        <v>3247.1</v>
      </c>
      <c r="P3672">
        <v>3</v>
      </c>
      <c r="Q3672" s="1" t="s">
        <v>560</v>
      </c>
      <c r="R3672" s="93">
        <v>324.70999999999998</v>
      </c>
      <c r="S3672">
        <v>0</v>
      </c>
      <c r="T3672">
        <v>1</v>
      </c>
      <c r="U3672" s="1" t="s">
        <v>711</v>
      </c>
      <c r="V3672" s="1"/>
      <c r="W3672">
        <v>324.70587999999998</v>
      </c>
      <c r="X3672">
        <v>0</v>
      </c>
      <c r="Y3672">
        <v>70974</v>
      </c>
    </row>
    <row r="3673" spans="1:25" ht="15" hidden="1" customHeight="1" x14ac:dyDescent="0.25">
      <c r="A3673" s="1" t="s">
        <v>39</v>
      </c>
      <c r="B3673" s="1" t="s">
        <v>84</v>
      </c>
      <c r="C3673" s="1" t="s">
        <v>209</v>
      </c>
      <c r="D3673">
        <v>8932</v>
      </c>
      <c r="E3673" s="1" t="s">
        <v>243</v>
      </c>
      <c r="F3673" s="1" t="s">
        <v>346</v>
      </c>
      <c r="G3673" s="1" t="s">
        <v>209</v>
      </c>
      <c r="H3673" s="1" t="s">
        <v>1404</v>
      </c>
      <c r="I3673">
        <v>2015</v>
      </c>
      <c r="J3673" s="93">
        <v>0</v>
      </c>
      <c r="K3673">
        <v>5</v>
      </c>
      <c r="L3673" s="1" t="s">
        <v>433</v>
      </c>
      <c r="M3673">
        <v>0</v>
      </c>
      <c r="N3673">
        <v>0</v>
      </c>
      <c r="O3673">
        <v>0</v>
      </c>
      <c r="P3673">
        <v>3</v>
      </c>
      <c r="Q3673" s="1" t="s">
        <v>560</v>
      </c>
      <c r="R3673" s="93">
        <v>0</v>
      </c>
      <c r="S3673">
        <v>0</v>
      </c>
      <c r="T3673">
        <v>1</v>
      </c>
      <c r="U3673" s="1" t="s">
        <v>712</v>
      </c>
      <c r="V3673" s="1"/>
      <c r="W3673">
        <v>0</v>
      </c>
      <c r="X3673">
        <v>0</v>
      </c>
      <c r="Y3673">
        <v>70975</v>
      </c>
    </row>
    <row r="3674" spans="1:25" ht="15" hidden="1" customHeight="1" x14ac:dyDescent="0.25">
      <c r="A3674" s="1" t="s">
        <v>39</v>
      </c>
      <c r="B3674" s="1" t="s">
        <v>84</v>
      </c>
      <c r="C3674" s="1" t="s">
        <v>209</v>
      </c>
      <c r="D3674">
        <v>8932</v>
      </c>
      <c r="E3674" s="1" t="s">
        <v>243</v>
      </c>
      <c r="F3674" s="1" t="s">
        <v>346</v>
      </c>
      <c r="G3674" s="1" t="s">
        <v>209</v>
      </c>
      <c r="H3674" s="1" t="s">
        <v>1404</v>
      </c>
      <c r="I3674">
        <v>2015</v>
      </c>
      <c r="J3674" s="93">
        <v>165.76</v>
      </c>
      <c r="K3674">
        <v>5</v>
      </c>
      <c r="L3674" s="1" t="s">
        <v>433</v>
      </c>
      <c r="M3674">
        <v>0</v>
      </c>
      <c r="N3674">
        <v>0</v>
      </c>
      <c r="O3674">
        <v>1657.6</v>
      </c>
      <c r="P3674">
        <v>3</v>
      </c>
      <c r="Q3674" s="1" t="s">
        <v>560</v>
      </c>
      <c r="R3674" s="93">
        <v>165.76</v>
      </c>
      <c r="S3674">
        <v>0</v>
      </c>
      <c r="T3674">
        <v>1</v>
      </c>
      <c r="U3674" s="1" t="s">
        <v>713</v>
      </c>
      <c r="V3674" s="1"/>
      <c r="W3674">
        <v>165.7647</v>
      </c>
      <c r="X3674">
        <v>0</v>
      </c>
      <c r="Y3674">
        <v>70976</v>
      </c>
    </row>
    <row r="3675" spans="1:25" ht="15" hidden="1" customHeight="1" x14ac:dyDescent="0.25">
      <c r="A3675" s="1" t="s">
        <v>39</v>
      </c>
      <c r="B3675" s="1" t="s">
        <v>84</v>
      </c>
      <c r="C3675" s="1" t="s">
        <v>209</v>
      </c>
      <c r="D3675">
        <v>8932</v>
      </c>
      <c r="E3675" s="1" t="s">
        <v>243</v>
      </c>
      <c r="F3675" s="1" t="s">
        <v>346</v>
      </c>
      <c r="G3675" s="1" t="s">
        <v>209</v>
      </c>
      <c r="H3675" s="1" t="s">
        <v>1404</v>
      </c>
      <c r="I3675">
        <v>2015</v>
      </c>
      <c r="J3675" s="93">
        <v>0</v>
      </c>
      <c r="K3675">
        <v>5</v>
      </c>
      <c r="L3675" s="1" t="s">
        <v>433</v>
      </c>
      <c r="M3675">
        <v>0</v>
      </c>
      <c r="N3675">
        <v>0</v>
      </c>
      <c r="O3675">
        <v>0</v>
      </c>
      <c r="P3675">
        <v>3</v>
      </c>
      <c r="Q3675" s="1" t="s">
        <v>560</v>
      </c>
      <c r="R3675" s="93">
        <v>0</v>
      </c>
      <c r="S3675">
        <v>0</v>
      </c>
      <c r="T3675">
        <v>1</v>
      </c>
      <c r="U3675" s="1" t="s">
        <v>714</v>
      </c>
      <c r="V3675" s="1"/>
      <c r="W3675">
        <v>0</v>
      </c>
      <c r="X3675">
        <v>0</v>
      </c>
      <c r="Y3675">
        <v>70977</v>
      </c>
    </row>
    <row r="3676" spans="1:25" ht="15" hidden="1" customHeight="1" x14ac:dyDescent="0.25">
      <c r="A3676" s="1" t="s">
        <v>39</v>
      </c>
      <c r="B3676" s="1" t="s">
        <v>84</v>
      </c>
      <c r="C3676" s="1" t="s">
        <v>209</v>
      </c>
      <c r="D3676">
        <v>8932</v>
      </c>
      <c r="E3676" s="1" t="s">
        <v>243</v>
      </c>
      <c r="F3676" s="1" t="s">
        <v>346</v>
      </c>
      <c r="G3676" s="1" t="s">
        <v>209</v>
      </c>
      <c r="H3676" s="1" t="s">
        <v>1404</v>
      </c>
      <c r="I3676">
        <v>2013</v>
      </c>
      <c r="J3676" s="93">
        <v>0</v>
      </c>
      <c r="K3676">
        <v>11</v>
      </c>
      <c r="L3676" s="1" t="s">
        <v>433</v>
      </c>
      <c r="M3676">
        <v>0</v>
      </c>
      <c r="N3676">
        <v>0</v>
      </c>
      <c r="O3676">
        <v>0</v>
      </c>
      <c r="P3676">
        <v>3</v>
      </c>
      <c r="Q3676" s="1" t="s">
        <v>560</v>
      </c>
      <c r="R3676" s="93">
        <v>0</v>
      </c>
      <c r="S3676">
        <v>0</v>
      </c>
      <c r="T3676">
        <v>1</v>
      </c>
      <c r="U3676" s="1" t="s">
        <v>708</v>
      </c>
      <c r="V3676" s="1"/>
      <c r="W3676">
        <v>0</v>
      </c>
      <c r="X3676">
        <v>0</v>
      </c>
      <c r="Y3676">
        <v>70970</v>
      </c>
    </row>
    <row r="3677" spans="1:25" ht="15" hidden="1" customHeight="1" x14ac:dyDescent="0.25">
      <c r="A3677" s="1" t="s">
        <v>39</v>
      </c>
      <c r="B3677" s="1" t="s">
        <v>84</v>
      </c>
      <c r="C3677" s="1" t="s">
        <v>209</v>
      </c>
      <c r="D3677">
        <v>8932</v>
      </c>
      <c r="E3677" s="1" t="s">
        <v>243</v>
      </c>
      <c r="F3677" s="1" t="s">
        <v>346</v>
      </c>
      <c r="G3677" s="1" t="s">
        <v>209</v>
      </c>
      <c r="H3677" s="1" t="s">
        <v>1404</v>
      </c>
      <c r="I3677">
        <v>2013</v>
      </c>
      <c r="J3677" s="93">
        <v>346.26</v>
      </c>
      <c r="K3677">
        <v>11</v>
      </c>
      <c r="L3677" s="1" t="s">
        <v>433</v>
      </c>
      <c r="M3677">
        <v>0</v>
      </c>
      <c r="N3677">
        <v>0</v>
      </c>
      <c r="O3677">
        <v>3462.6</v>
      </c>
      <c r="P3677">
        <v>3</v>
      </c>
      <c r="Q3677" s="1" t="s">
        <v>560</v>
      </c>
      <c r="R3677" s="93">
        <v>346.26</v>
      </c>
      <c r="S3677">
        <v>277</v>
      </c>
      <c r="T3677">
        <v>1</v>
      </c>
      <c r="U3677" s="1" t="s">
        <v>709</v>
      </c>
      <c r="V3677" s="1"/>
      <c r="W3677">
        <v>346.25000999999997</v>
      </c>
      <c r="X3677">
        <v>0</v>
      </c>
      <c r="Y3677">
        <v>70972</v>
      </c>
    </row>
    <row r="3678" spans="1:25" ht="15" hidden="1" customHeight="1" x14ac:dyDescent="0.25">
      <c r="A3678" s="1" t="s">
        <v>39</v>
      </c>
      <c r="B3678" s="1" t="s">
        <v>84</v>
      </c>
      <c r="C3678" s="1" t="s">
        <v>209</v>
      </c>
      <c r="D3678">
        <v>8932</v>
      </c>
      <c r="E3678" s="1" t="s">
        <v>243</v>
      </c>
      <c r="F3678" s="1" t="s">
        <v>346</v>
      </c>
      <c r="G3678" s="1" t="s">
        <v>209</v>
      </c>
      <c r="H3678" s="1" t="s">
        <v>1404</v>
      </c>
      <c r="I3678">
        <v>2013</v>
      </c>
      <c r="J3678" s="93">
        <v>1758.36</v>
      </c>
      <c r="K3678">
        <v>11</v>
      </c>
      <c r="L3678" s="1" t="s">
        <v>433</v>
      </c>
      <c r="M3678">
        <v>0</v>
      </c>
      <c r="N3678">
        <v>0</v>
      </c>
      <c r="O3678">
        <v>17583.599999999999</v>
      </c>
      <c r="P3678">
        <v>3</v>
      </c>
      <c r="Q3678" s="1" t="s">
        <v>560</v>
      </c>
      <c r="R3678" s="93">
        <v>1758.36</v>
      </c>
      <c r="S3678">
        <v>1406.69</v>
      </c>
      <c r="T3678">
        <v>1</v>
      </c>
      <c r="U3678" s="1" t="s">
        <v>710</v>
      </c>
      <c r="V3678" s="1"/>
      <c r="W3678">
        <v>1758.3588999999999</v>
      </c>
      <c r="X3678">
        <v>0</v>
      </c>
      <c r="Y3678">
        <v>70973</v>
      </c>
    </row>
    <row r="3679" spans="1:25" ht="15" hidden="1" customHeight="1" x14ac:dyDescent="0.25">
      <c r="A3679" s="1" t="s">
        <v>39</v>
      </c>
      <c r="B3679" s="1" t="s">
        <v>84</v>
      </c>
      <c r="C3679" s="1" t="s">
        <v>209</v>
      </c>
      <c r="D3679">
        <v>8932</v>
      </c>
      <c r="E3679" s="1" t="s">
        <v>243</v>
      </c>
      <c r="F3679" s="1" t="s">
        <v>346</v>
      </c>
      <c r="G3679" s="1" t="s">
        <v>209</v>
      </c>
      <c r="H3679" s="1" t="s">
        <v>1404</v>
      </c>
      <c r="I3679">
        <v>2013</v>
      </c>
      <c r="J3679" s="93">
        <v>1036.52</v>
      </c>
      <c r="K3679">
        <v>11</v>
      </c>
      <c r="L3679" s="1" t="s">
        <v>433</v>
      </c>
      <c r="M3679">
        <v>0</v>
      </c>
      <c r="N3679">
        <v>0</v>
      </c>
      <c r="O3679">
        <v>10365.200000000001</v>
      </c>
      <c r="P3679">
        <v>3</v>
      </c>
      <c r="Q3679" s="1" t="s">
        <v>560</v>
      </c>
      <c r="R3679" s="93">
        <v>1036.52</v>
      </c>
      <c r="S3679">
        <v>0</v>
      </c>
      <c r="T3679">
        <v>1</v>
      </c>
      <c r="U3679" s="1" t="s">
        <v>711</v>
      </c>
      <c r="V3679" s="1"/>
      <c r="W3679">
        <v>1036.5104100000001</v>
      </c>
      <c r="X3679">
        <v>0</v>
      </c>
      <c r="Y3679">
        <v>70974</v>
      </c>
    </row>
    <row r="3680" spans="1:25" ht="15" hidden="1" customHeight="1" x14ac:dyDescent="0.25">
      <c r="A3680" s="1" t="s">
        <v>39</v>
      </c>
      <c r="B3680" s="1" t="s">
        <v>84</v>
      </c>
      <c r="C3680" s="1" t="s">
        <v>209</v>
      </c>
      <c r="D3680">
        <v>8932</v>
      </c>
      <c r="E3680" s="1" t="s">
        <v>243</v>
      </c>
      <c r="F3680" s="1" t="s">
        <v>346</v>
      </c>
      <c r="G3680" s="1" t="s">
        <v>209</v>
      </c>
      <c r="H3680" s="1" t="s">
        <v>1404</v>
      </c>
      <c r="I3680">
        <v>2013</v>
      </c>
      <c r="J3680" s="93">
        <v>0</v>
      </c>
      <c r="K3680">
        <v>11</v>
      </c>
      <c r="L3680" s="1" t="s">
        <v>433</v>
      </c>
      <c r="M3680">
        <v>0</v>
      </c>
      <c r="N3680">
        <v>0</v>
      </c>
      <c r="O3680">
        <v>0</v>
      </c>
      <c r="P3680">
        <v>3</v>
      </c>
      <c r="Q3680" s="1" t="s">
        <v>560</v>
      </c>
      <c r="R3680" s="93">
        <v>0</v>
      </c>
      <c r="S3680">
        <v>0</v>
      </c>
      <c r="T3680">
        <v>1</v>
      </c>
      <c r="U3680" s="1" t="s">
        <v>712</v>
      </c>
      <c r="V3680" s="1"/>
      <c r="W3680">
        <v>0</v>
      </c>
      <c r="X3680">
        <v>0</v>
      </c>
      <c r="Y3680">
        <v>70975</v>
      </c>
    </row>
    <row r="3681" spans="1:25" ht="15" hidden="1" customHeight="1" x14ac:dyDescent="0.25">
      <c r="A3681" s="1" t="s">
        <v>39</v>
      </c>
      <c r="B3681" s="1" t="s">
        <v>84</v>
      </c>
      <c r="C3681" s="1" t="s">
        <v>209</v>
      </c>
      <c r="D3681">
        <v>8932</v>
      </c>
      <c r="E3681" s="1" t="s">
        <v>243</v>
      </c>
      <c r="F3681" s="1" t="s">
        <v>346</v>
      </c>
      <c r="G3681" s="1" t="s">
        <v>209</v>
      </c>
      <c r="H3681" s="1" t="s">
        <v>1404</v>
      </c>
      <c r="I3681">
        <v>2013</v>
      </c>
      <c r="J3681" s="93">
        <v>569.53</v>
      </c>
      <c r="K3681">
        <v>11</v>
      </c>
      <c r="L3681" s="1" t="s">
        <v>433</v>
      </c>
      <c r="M3681">
        <v>0</v>
      </c>
      <c r="N3681">
        <v>0</v>
      </c>
      <c r="O3681">
        <v>5695.3</v>
      </c>
      <c r="P3681">
        <v>3</v>
      </c>
      <c r="Q3681" s="1" t="s">
        <v>560</v>
      </c>
      <c r="R3681" s="93">
        <v>569.53</v>
      </c>
      <c r="S3681">
        <v>0</v>
      </c>
      <c r="T3681">
        <v>1</v>
      </c>
      <c r="U3681" s="1" t="s">
        <v>713</v>
      </c>
      <c r="V3681" s="1"/>
      <c r="W3681">
        <v>569.53884000000005</v>
      </c>
      <c r="X3681">
        <v>0</v>
      </c>
      <c r="Y3681">
        <v>70976</v>
      </c>
    </row>
    <row r="3682" spans="1:25" ht="15" hidden="1" customHeight="1" x14ac:dyDescent="0.25">
      <c r="A3682" s="1" t="s">
        <v>39</v>
      </c>
      <c r="B3682" s="1" t="s">
        <v>84</v>
      </c>
      <c r="C3682" s="1" t="s">
        <v>209</v>
      </c>
      <c r="D3682">
        <v>8932</v>
      </c>
      <c r="E3682" s="1" t="s">
        <v>243</v>
      </c>
      <c r="F3682" s="1" t="s">
        <v>346</v>
      </c>
      <c r="G3682" s="1" t="s">
        <v>209</v>
      </c>
      <c r="H3682" s="1" t="s">
        <v>1404</v>
      </c>
      <c r="I3682">
        <v>2013</v>
      </c>
      <c r="J3682" s="93">
        <v>0</v>
      </c>
      <c r="K3682">
        <v>11</v>
      </c>
      <c r="L3682" s="1" t="s">
        <v>433</v>
      </c>
      <c r="M3682">
        <v>0</v>
      </c>
      <c r="N3682">
        <v>0</v>
      </c>
      <c r="O3682">
        <v>0</v>
      </c>
      <c r="P3682">
        <v>3</v>
      </c>
      <c r="Q3682" s="1" t="s">
        <v>560</v>
      </c>
      <c r="R3682" s="93">
        <v>0</v>
      </c>
      <c r="S3682">
        <v>0</v>
      </c>
      <c r="T3682">
        <v>1</v>
      </c>
      <c r="U3682" s="1" t="s">
        <v>714</v>
      </c>
      <c r="V3682" s="1"/>
      <c r="W3682">
        <v>0</v>
      </c>
      <c r="X3682">
        <v>0</v>
      </c>
      <c r="Y3682">
        <v>70977</v>
      </c>
    </row>
    <row r="3683" spans="1:25" ht="15" hidden="1" customHeight="1" x14ac:dyDescent="0.25">
      <c r="A3683" s="1" t="s">
        <v>39</v>
      </c>
      <c r="B3683" s="1" t="s">
        <v>84</v>
      </c>
      <c r="C3683" s="1" t="s">
        <v>209</v>
      </c>
      <c r="D3683">
        <v>8932</v>
      </c>
      <c r="E3683" s="1" t="s">
        <v>243</v>
      </c>
      <c r="F3683" s="1" t="s">
        <v>346</v>
      </c>
      <c r="G3683" s="1" t="s">
        <v>209</v>
      </c>
      <c r="H3683" s="1" t="s">
        <v>1404</v>
      </c>
      <c r="I3683">
        <v>2012</v>
      </c>
      <c r="J3683" s="93">
        <v>0</v>
      </c>
      <c r="K3683">
        <v>12</v>
      </c>
      <c r="L3683" s="1" t="s">
        <v>433</v>
      </c>
      <c r="M3683">
        <v>0</v>
      </c>
      <c r="N3683">
        <v>0</v>
      </c>
      <c r="O3683">
        <v>0</v>
      </c>
      <c r="P3683">
        <v>3</v>
      </c>
      <c r="Q3683" s="1" t="s">
        <v>560</v>
      </c>
      <c r="R3683" s="93">
        <v>0</v>
      </c>
      <c r="S3683">
        <v>0</v>
      </c>
      <c r="T3683">
        <v>1</v>
      </c>
      <c r="U3683" s="1" t="s">
        <v>708</v>
      </c>
      <c r="V3683" s="1"/>
      <c r="W3683">
        <v>0</v>
      </c>
      <c r="X3683">
        <v>0</v>
      </c>
      <c r="Y3683">
        <v>70970</v>
      </c>
    </row>
    <row r="3684" spans="1:25" ht="15" hidden="1" customHeight="1" x14ac:dyDescent="0.25">
      <c r="A3684" s="1" t="s">
        <v>39</v>
      </c>
      <c r="B3684" s="1" t="s">
        <v>84</v>
      </c>
      <c r="C3684" s="1" t="s">
        <v>209</v>
      </c>
      <c r="D3684">
        <v>8932</v>
      </c>
      <c r="E3684" s="1" t="s">
        <v>243</v>
      </c>
      <c r="F3684" s="1" t="s">
        <v>346</v>
      </c>
      <c r="G3684" s="1" t="s">
        <v>209</v>
      </c>
      <c r="H3684" s="1" t="s">
        <v>1404</v>
      </c>
      <c r="I3684">
        <v>2012</v>
      </c>
      <c r="J3684" s="93">
        <v>91.92</v>
      </c>
      <c r="K3684">
        <v>7</v>
      </c>
      <c r="L3684" s="1" t="s">
        <v>454</v>
      </c>
      <c r="M3684">
        <v>0</v>
      </c>
      <c r="N3684">
        <v>0</v>
      </c>
      <c r="O3684">
        <v>919.2</v>
      </c>
      <c r="P3684">
        <v>3</v>
      </c>
      <c r="Q3684" s="1" t="s">
        <v>560</v>
      </c>
      <c r="R3684" s="93">
        <v>91.92</v>
      </c>
      <c r="S3684">
        <v>73.52</v>
      </c>
      <c r="T3684">
        <v>1</v>
      </c>
      <c r="U3684" s="1" t="s">
        <v>715</v>
      </c>
      <c r="V3684" s="1"/>
      <c r="W3684">
        <v>91.916669999999996</v>
      </c>
      <c r="X3684">
        <v>0</v>
      </c>
      <c r="Y3684">
        <v>70971</v>
      </c>
    </row>
    <row r="3685" spans="1:25" ht="15" hidden="1" customHeight="1" x14ac:dyDescent="0.25">
      <c r="A3685" s="1" t="s">
        <v>39</v>
      </c>
      <c r="B3685" s="1" t="s">
        <v>84</v>
      </c>
      <c r="C3685" s="1" t="s">
        <v>209</v>
      </c>
      <c r="D3685">
        <v>8932</v>
      </c>
      <c r="E3685" s="1" t="s">
        <v>243</v>
      </c>
      <c r="F3685" s="1" t="s">
        <v>346</v>
      </c>
      <c r="G3685" s="1" t="s">
        <v>209</v>
      </c>
      <c r="H3685" s="1" t="s">
        <v>1404</v>
      </c>
      <c r="I3685">
        <v>2012</v>
      </c>
      <c r="J3685" s="93">
        <v>366.41</v>
      </c>
      <c r="K3685">
        <v>12</v>
      </c>
      <c r="L3685" s="1" t="s">
        <v>433</v>
      </c>
      <c r="M3685">
        <v>0</v>
      </c>
      <c r="N3685">
        <v>0</v>
      </c>
      <c r="O3685">
        <v>3664.1</v>
      </c>
      <c r="P3685">
        <v>3</v>
      </c>
      <c r="Q3685" s="1" t="s">
        <v>560</v>
      </c>
      <c r="R3685" s="93">
        <v>366.41</v>
      </c>
      <c r="S3685">
        <v>293.14</v>
      </c>
      <c r="T3685">
        <v>1</v>
      </c>
      <c r="U3685" s="1" t="s">
        <v>709</v>
      </c>
      <c r="V3685" s="1"/>
      <c r="W3685">
        <v>366.41667000000001</v>
      </c>
      <c r="X3685">
        <v>0</v>
      </c>
      <c r="Y3685">
        <v>70972</v>
      </c>
    </row>
    <row r="3686" spans="1:25" ht="15" hidden="1" customHeight="1" x14ac:dyDescent="0.25">
      <c r="A3686" s="1" t="s">
        <v>39</v>
      </c>
      <c r="B3686" s="1" t="s">
        <v>84</v>
      </c>
      <c r="C3686" s="1" t="s">
        <v>209</v>
      </c>
      <c r="D3686">
        <v>8932</v>
      </c>
      <c r="E3686" s="1" t="s">
        <v>243</v>
      </c>
      <c r="F3686" s="1" t="s">
        <v>346</v>
      </c>
      <c r="G3686" s="1" t="s">
        <v>209</v>
      </c>
      <c r="H3686" s="1" t="s">
        <v>1404</v>
      </c>
      <c r="I3686">
        <v>2012</v>
      </c>
      <c r="J3686" s="93">
        <v>1610.16</v>
      </c>
      <c r="K3686">
        <v>12</v>
      </c>
      <c r="L3686" s="1" t="s">
        <v>433</v>
      </c>
      <c r="M3686">
        <v>0</v>
      </c>
      <c r="N3686">
        <v>0</v>
      </c>
      <c r="O3686">
        <v>16101.6</v>
      </c>
      <c r="P3686">
        <v>3</v>
      </c>
      <c r="Q3686" s="1" t="s">
        <v>560</v>
      </c>
      <c r="R3686" s="93">
        <v>1610.16</v>
      </c>
      <c r="S3686">
        <v>1288.1300000000001</v>
      </c>
      <c r="T3686">
        <v>1</v>
      </c>
      <c r="U3686" s="1" t="s">
        <v>710</v>
      </c>
      <c r="V3686" s="1"/>
      <c r="W3686">
        <v>1610.1515199999999</v>
      </c>
      <c r="X3686">
        <v>0</v>
      </c>
      <c r="Y3686">
        <v>70973</v>
      </c>
    </row>
    <row r="3687" spans="1:25" ht="15" hidden="1" customHeight="1" x14ac:dyDescent="0.25">
      <c r="A3687" s="1" t="s">
        <v>39</v>
      </c>
      <c r="B3687" s="1" t="s">
        <v>84</v>
      </c>
      <c r="C3687" s="1" t="s">
        <v>209</v>
      </c>
      <c r="D3687">
        <v>8932</v>
      </c>
      <c r="E3687" s="1" t="s">
        <v>243</v>
      </c>
      <c r="F3687" s="1" t="s">
        <v>346</v>
      </c>
      <c r="G3687" s="1" t="s">
        <v>209</v>
      </c>
      <c r="H3687" s="1" t="s">
        <v>1404</v>
      </c>
      <c r="I3687">
        <v>2012</v>
      </c>
      <c r="J3687" s="93">
        <v>996.17</v>
      </c>
      <c r="K3687">
        <v>12</v>
      </c>
      <c r="L3687" s="1" t="s">
        <v>433</v>
      </c>
      <c r="M3687">
        <v>0</v>
      </c>
      <c r="N3687">
        <v>0</v>
      </c>
      <c r="O3687">
        <v>9961.7000000000007</v>
      </c>
      <c r="P3687">
        <v>3</v>
      </c>
      <c r="Q3687" s="1" t="s">
        <v>560</v>
      </c>
      <c r="R3687" s="93">
        <v>996.17</v>
      </c>
      <c r="S3687">
        <v>0</v>
      </c>
      <c r="T3687">
        <v>1</v>
      </c>
      <c r="U3687" s="1" t="s">
        <v>711</v>
      </c>
      <c r="V3687" s="1"/>
      <c r="W3687">
        <v>996.16666999999995</v>
      </c>
      <c r="X3687">
        <v>0</v>
      </c>
      <c r="Y3687">
        <v>70974</v>
      </c>
    </row>
    <row r="3688" spans="1:25" ht="15" hidden="1" customHeight="1" x14ac:dyDescent="0.25">
      <c r="A3688" s="1" t="s">
        <v>39</v>
      </c>
      <c r="B3688" s="1" t="s">
        <v>84</v>
      </c>
      <c r="C3688" s="1" t="s">
        <v>209</v>
      </c>
      <c r="D3688">
        <v>8932</v>
      </c>
      <c r="E3688" s="1" t="s">
        <v>243</v>
      </c>
      <c r="F3688" s="1" t="s">
        <v>346</v>
      </c>
      <c r="G3688" s="1" t="s">
        <v>209</v>
      </c>
      <c r="H3688" s="1" t="s">
        <v>1404</v>
      </c>
      <c r="I3688">
        <v>2012</v>
      </c>
      <c r="J3688" s="93">
        <v>15.99</v>
      </c>
      <c r="K3688">
        <v>12</v>
      </c>
      <c r="L3688" s="1" t="s">
        <v>433</v>
      </c>
      <c r="M3688">
        <v>0</v>
      </c>
      <c r="N3688">
        <v>0</v>
      </c>
      <c r="O3688">
        <v>159.9</v>
      </c>
      <c r="P3688">
        <v>3</v>
      </c>
      <c r="Q3688" s="1" t="s">
        <v>560</v>
      </c>
      <c r="R3688" s="93">
        <v>15.99</v>
      </c>
      <c r="S3688">
        <v>0</v>
      </c>
      <c r="T3688">
        <v>1</v>
      </c>
      <c r="U3688" s="1" t="s">
        <v>712</v>
      </c>
      <c r="V3688" s="1"/>
      <c r="W3688">
        <v>16.00001</v>
      </c>
      <c r="X3688">
        <v>0</v>
      </c>
      <c r="Y3688">
        <v>70975</v>
      </c>
    </row>
    <row r="3689" spans="1:25" ht="15" hidden="1" customHeight="1" x14ac:dyDescent="0.25">
      <c r="A3689" s="1" t="s">
        <v>39</v>
      </c>
      <c r="B3689" s="1" t="s">
        <v>84</v>
      </c>
      <c r="C3689" s="1" t="s">
        <v>209</v>
      </c>
      <c r="D3689">
        <v>8932</v>
      </c>
      <c r="E3689" s="1" t="s">
        <v>243</v>
      </c>
      <c r="F3689" s="1" t="s">
        <v>346</v>
      </c>
      <c r="G3689" s="1" t="s">
        <v>209</v>
      </c>
      <c r="H3689" s="1" t="s">
        <v>1404</v>
      </c>
      <c r="I3689">
        <v>2012</v>
      </c>
      <c r="J3689" s="93">
        <v>513.66999999999996</v>
      </c>
      <c r="K3689">
        <v>12</v>
      </c>
      <c r="L3689" s="1" t="s">
        <v>433</v>
      </c>
      <c r="M3689">
        <v>0</v>
      </c>
      <c r="N3689">
        <v>0</v>
      </c>
      <c r="O3689">
        <v>5136.7</v>
      </c>
      <c r="P3689">
        <v>3</v>
      </c>
      <c r="Q3689" s="1" t="s">
        <v>560</v>
      </c>
      <c r="R3689" s="93">
        <v>513.66999999999996</v>
      </c>
      <c r="S3689">
        <v>0</v>
      </c>
      <c r="T3689">
        <v>1</v>
      </c>
      <c r="U3689" s="1" t="s">
        <v>713</v>
      </c>
      <c r="V3689" s="1"/>
      <c r="W3689">
        <v>513.65908000000002</v>
      </c>
      <c r="X3689">
        <v>0</v>
      </c>
      <c r="Y3689">
        <v>70976</v>
      </c>
    </row>
    <row r="3690" spans="1:25" ht="15" hidden="1" customHeight="1" x14ac:dyDescent="0.25">
      <c r="A3690" s="1" t="s">
        <v>39</v>
      </c>
      <c r="B3690" s="1" t="s">
        <v>84</v>
      </c>
      <c r="C3690" s="1" t="s">
        <v>209</v>
      </c>
      <c r="D3690">
        <v>8932</v>
      </c>
      <c r="E3690" s="1" t="s">
        <v>243</v>
      </c>
      <c r="F3690" s="1" t="s">
        <v>346</v>
      </c>
      <c r="G3690" s="1" t="s">
        <v>209</v>
      </c>
      <c r="H3690" s="1" t="s">
        <v>1404</v>
      </c>
      <c r="I3690">
        <v>2012</v>
      </c>
      <c r="J3690" s="93">
        <v>0</v>
      </c>
      <c r="K3690">
        <v>12</v>
      </c>
      <c r="L3690" s="1" t="s">
        <v>433</v>
      </c>
      <c r="M3690">
        <v>0</v>
      </c>
      <c r="N3690">
        <v>0</v>
      </c>
      <c r="O3690">
        <v>0</v>
      </c>
      <c r="P3690">
        <v>3</v>
      </c>
      <c r="Q3690" s="1" t="s">
        <v>560</v>
      </c>
      <c r="R3690" s="93">
        <v>0</v>
      </c>
      <c r="S3690">
        <v>0</v>
      </c>
      <c r="T3690">
        <v>1</v>
      </c>
      <c r="U3690" s="1" t="s">
        <v>714</v>
      </c>
      <c r="V3690" s="1"/>
      <c r="W3690">
        <v>0</v>
      </c>
      <c r="X3690">
        <v>0</v>
      </c>
      <c r="Y3690">
        <v>70977</v>
      </c>
    </row>
    <row r="3691" spans="1:25" ht="15" hidden="1" customHeight="1" x14ac:dyDescent="0.25">
      <c r="A3691" s="1" t="s">
        <v>39</v>
      </c>
      <c r="B3691" s="1" t="s">
        <v>84</v>
      </c>
      <c r="C3691" s="1" t="s">
        <v>209</v>
      </c>
      <c r="D3691">
        <v>8932</v>
      </c>
      <c r="E3691" s="1" t="s">
        <v>243</v>
      </c>
      <c r="F3691" s="1" t="s">
        <v>346</v>
      </c>
      <c r="G3691" s="1" t="s">
        <v>209</v>
      </c>
      <c r="H3691" s="1" t="s">
        <v>1404</v>
      </c>
      <c r="I3691">
        <v>2011</v>
      </c>
      <c r="J3691" s="93">
        <v>11</v>
      </c>
      <c r="K3691">
        <v>12</v>
      </c>
      <c r="L3691" s="1" t="s">
        <v>433</v>
      </c>
      <c r="M3691">
        <v>0</v>
      </c>
      <c r="N3691">
        <v>0</v>
      </c>
      <c r="O3691">
        <v>110</v>
      </c>
      <c r="P3691">
        <v>3</v>
      </c>
      <c r="Q3691" s="1" t="s">
        <v>560</v>
      </c>
      <c r="R3691" s="93">
        <v>11</v>
      </c>
      <c r="S3691">
        <v>8.8000000000000007</v>
      </c>
      <c r="T3691">
        <v>1</v>
      </c>
      <c r="U3691" s="1" t="s">
        <v>708</v>
      </c>
      <c r="V3691" s="1"/>
      <c r="W3691">
        <v>11</v>
      </c>
      <c r="X3691">
        <v>0</v>
      </c>
      <c r="Y3691">
        <v>70970</v>
      </c>
    </row>
    <row r="3692" spans="1:25" ht="15" hidden="1" customHeight="1" x14ac:dyDescent="0.25">
      <c r="A3692" s="1" t="s">
        <v>39</v>
      </c>
      <c r="B3692" s="1" t="s">
        <v>84</v>
      </c>
      <c r="C3692" s="1" t="s">
        <v>209</v>
      </c>
      <c r="D3692">
        <v>8932</v>
      </c>
      <c r="E3692" s="1" t="s">
        <v>243</v>
      </c>
      <c r="F3692" s="1" t="s">
        <v>346</v>
      </c>
      <c r="G3692" s="1" t="s">
        <v>209</v>
      </c>
      <c r="H3692" s="1" t="s">
        <v>1404</v>
      </c>
      <c r="I3692">
        <v>2011</v>
      </c>
      <c r="J3692" s="93">
        <v>184.28</v>
      </c>
      <c r="K3692">
        <v>12</v>
      </c>
      <c r="L3692" s="1" t="s">
        <v>454</v>
      </c>
      <c r="M3692">
        <v>0</v>
      </c>
      <c r="N3692">
        <v>0</v>
      </c>
      <c r="O3692">
        <v>1842.8</v>
      </c>
      <c r="P3692">
        <v>3</v>
      </c>
      <c r="Q3692" s="1" t="s">
        <v>560</v>
      </c>
      <c r="R3692" s="93">
        <v>184.28</v>
      </c>
      <c r="S3692">
        <v>147.41999999999999</v>
      </c>
      <c r="T3692">
        <v>1</v>
      </c>
      <c r="U3692" s="1" t="s">
        <v>715</v>
      </c>
      <c r="V3692" s="1"/>
      <c r="W3692">
        <v>184.28921</v>
      </c>
      <c r="X3692">
        <v>0</v>
      </c>
      <c r="Y3692">
        <v>70971</v>
      </c>
    </row>
    <row r="3693" spans="1:25" ht="15" hidden="1" customHeight="1" x14ac:dyDescent="0.25">
      <c r="A3693" s="1" t="s">
        <v>39</v>
      </c>
      <c r="B3693" s="1" t="s">
        <v>84</v>
      </c>
      <c r="C3693" s="1" t="s">
        <v>209</v>
      </c>
      <c r="D3693">
        <v>8932</v>
      </c>
      <c r="E3693" s="1" t="s">
        <v>243</v>
      </c>
      <c r="F3693" s="1" t="s">
        <v>346</v>
      </c>
      <c r="G3693" s="1" t="s">
        <v>209</v>
      </c>
      <c r="H3693" s="1" t="s">
        <v>1404</v>
      </c>
      <c r="I3693">
        <v>2011</v>
      </c>
      <c r="J3693" s="93">
        <v>361.41</v>
      </c>
      <c r="K3693">
        <v>12</v>
      </c>
      <c r="L3693" s="1" t="s">
        <v>433</v>
      </c>
      <c r="M3693">
        <v>0</v>
      </c>
      <c r="N3693">
        <v>0</v>
      </c>
      <c r="O3693">
        <v>3614.1</v>
      </c>
      <c r="P3693">
        <v>3</v>
      </c>
      <c r="Q3693" s="1" t="s">
        <v>560</v>
      </c>
      <c r="R3693" s="93">
        <v>361.41</v>
      </c>
      <c r="S3693">
        <v>289.11</v>
      </c>
      <c r="T3693">
        <v>1</v>
      </c>
      <c r="U3693" s="1" t="s">
        <v>709</v>
      </c>
      <c r="V3693" s="1"/>
      <c r="W3693">
        <v>361.40687000000003</v>
      </c>
      <c r="X3693">
        <v>0</v>
      </c>
      <c r="Y3693">
        <v>70972</v>
      </c>
    </row>
    <row r="3694" spans="1:25" ht="15" hidden="1" customHeight="1" x14ac:dyDescent="0.25">
      <c r="A3694" s="1" t="s">
        <v>39</v>
      </c>
      <c r="B3694" s="1" t="s">
        <v>84</v>
      </c>
      <c r="C3694" s="1" t="s">
        <v>209</v>
      </c>
      <c r="D3694">
        <v>8932</v>
      </c>
      <c r="E3694" s="1" t="s">
        <v>243</v>
      </c>
      <c r="F3694" s="1" t="s">
        <v>346</v>
      </c>
      <c r="G3694" s="1" t="s">
        <v>209</v>
      </c>
      <c r="H3694" s="1" t="s">
        <v>1404</v>
      </c>
      <c r="I3694">
        <v>2011</v>
      </c>
      <c r="J3694" s="93">
        <v>1670.92</v>
      </c>
      <c r="K3694">
        <v>12</v>
      </c>
      <c r="L3694" s="1" t="s">
        <v>433</v>
      </c>
      <c r="M3694">
        <v>0</v>
      </c>
      <c r="N3694">
        <v>0</v>
      </c>
      <c r="O3694">
        <v>16709.2</v>
      </c>
      <c r="P3694">
        <v>3</v>
      </c>
      <c r="Q3694" s="1" t="s">
        <v>560</v>
      </c>
      <c r="R3694" s="93">
        <v>1670.92</v>
      </c>
      <c r="S3694">
        <v>1336.74</v>
      </c>
      <c r="T3694">
        <v>1</v>
      </c>
      <c r="U3694" s="1" t="s">
        <v>710</v>
      </c>
      <c r="V3694" s="1"/>
      <c r="W3694">
        <v>1670.92157</v>
      </c>
      <c r="X3694">
        <v>0</v>
      </c>
      <c r="Y3694">
        <v>70973</v>
      </c>
    </row>
    <row r="3695" spans="1:25" ht="15" hidden="1" customHeight="1" x14ac:dyDescent="0.25">
      <c r="A3695" s="1" t="s">
        <v>39</v>
      </c>
      <c r="B3695" s="1" t="s">
        <v>84</v>
      </c>
      <c r="C3695" s="1" t="s">
        <v>209</v>
      </c>
      <c r="D3695">
        <v>8932</v>
      </c>
      <c r="E3695" s="1" t="s">
        <v>243</v>
      </c>
      <c r="F3695" s="1" t="s">
        <v>346</v>
      </c>
      <c r="G3695" s="1" t="s">
        <v>209</v>
      </c>
      <c r="H3695" s="1" t="s">
        <v>1404</v>
      </c>
      <c r="I3695">
        <v>2011</v>
      </c>
      <c r="J3695" s="93">
        <v>950.79</v>
      </c>
      <c r="K3695">
        <v>12</v>
      </c>
      <c r="L3695" s="1" t="s">
        <v>433</v>
      </c>
      <c r="M3695">
        <v>0</v>
      </c>
      <c r="N3695">
        <v>0</v>
      </c>
      <c r="O3695">
        <v>9507.9</v>
      </c>
      <c r="P3695">
        <v>3</v>
      </c>
      <c r="Q3695" s="1" t="s">
        <v>560</v>
      </c>
      <c r="R3695" s="93">
        <v>950.79</v>
      </c>
      <c r="S3695">
        <v>0</v>
      </c>
      <c r="T3695">
        <v>1</v>
      </c>
      <c r="U3695" s="1" t="s">
        <v>711</v>
      </c>
      <c r="V3695" s="1"/>
      <c r="W3695">
        <v>950.78431999999998</v>
      </c>
      <c r="X3695">
        <v>0</v>
      </c>
      <c r="Y3695">
        <v>70974</v>
      </c>
    </row>
    <row r="3696" spans="1:25" ht="15" hidden="1" customHeight="1" x14ac:dyDescent="0.25">
      <c r="A3696" s="1" t="s">
        <v>39</v>
      </c>
      <c r="B3696" s="1" t="s">
        <v>84</v>
      </c>
      <c r="C3696" s="1" t="s">
        <v>209</v>
      </c>
      <c r="D3696">
        <v>8932</v>
      </c>
      <c r="E3696" s="1" t="s">
        <v>243</v>
      </c>
      <c r="F3696" s="1" t="s">
        <v>346</v>
      </c>
      <c r="G3696" s="1" t="s">
        <v>209</v>
      </c>
      <c r="H3696" s="1" t="s">
        <v>1404</v>
      </c>
      <c r="I3696">
        <v>2011</v>
      </c>
      <c r="J3696" s="93">
        <v>0</v>
      </c>
      <c r="K3696">
        <v>12</v>
      </c>
      <c r="L3696" s="1" t="s">
        <v>433</v>
      </c>
      <c r="M3696">
        <v>0</v>
      </c>
      <c r="N3696">
        <v>0</v>
      </c>
      <c r="O3696">
        <v>0</v>
      </c>
      <c r="P3696">
        <v>3</v>
      </c>
      <c r="Q3696" s="1" t="s">
        <v>560</v>
      </c>
      <c r="R3696" s="93">
        <v>0</v>
      </c>
      <c r="S3696">
        <v>0</v>
      </c>
      <c r="T3696">
        <v>1</v>
      </c>
      <c r="U3696" s="1" t="s">
        <v>712</v>
      </c>
      <c r="V3696" s="1"/>
      <c r="W3696">
        <v>0</v>
      </c>
      <c r="X3696">
        <v>0</v>
      </c>
      <c r="Y3696">
        <v>70975</v>
      </c>
    </row>
    <row r="3697" spans="1:25" ht="15" hidden="1" customHeight="1" x14ac:dyDescent="0.25">
      <c r="A3697" s="1" t="s">
        <v>39</v>
      </c>
      <c r="B3697" s="1" t="s">
        <v>84</v>
      </c>
      <c r="C3697" s="1" t="s">
        <v>209</v>
      </c>
      <c r="D3697">
        <v>8932</v>
      </c>
      <c r="E3697" s="1" t="s">
        <v>243</v>
      </c>
      <c r="F3697" s="1" t="s">
        <v>346</v>
      </c>
      <c r="G3697" s="1" t="s">
        <v>209</v>
      </c>
      <c r="H3697" s="1" t="s">
        <v>1404</v>
      </c>
      <c r="I3697">
        <v>2011</v>
      </c>
      <c r="J3697" s="93">
        <v>465.2</v>
      </c>
      <c r="K3697">
        <v>12</v>
      </c>
      <c r="L3697" s="1" t="s">
        <v>433</v>
      </c>
      <c r="M3697">
        <v>0</v>
      </c>
      <c r="N3697">
        <v>0</v>
      </c>
      <c r="O3697">
        <v>4652</v>
      </c>
      <c r="P3697">
        <v>3</v>
      </c>
      <c r="Q3697" s="1" t="s">
        <v>560</v>
      </c>
      <c r="R3697" s="93">
        <v>465.2</v>
      </c>
      <c r="S3697">
        <v>0</v>
      </c>
      <c r="T3697">
        <v>1</v>
      </c>
      <c r="U3697" s="1" t="s">
        <v>713</v>
      </c>
      <c r="V3697" s="1"/>
      <c r="W3697">
        <v>465.20100000000002</v>
      </c>
      <c r="X3697">
        <v>0</v>
      </c>
      <c r="Y3697">
        <v>70976</v>
      </c>
    </row>
    <row r="3698" spans="1:25" ht="15" hidden="1" customHeight="1" x14ac:dyDescent="0.25">
      <c r="A3698" s="1" t="s">
        <v>39</v>
      </c>
      <c r="B3698" s="1" t="s">
        <v>84</v>
      </c>
      <c r="C3698" s="1" t="s">
        <v>209</v>
      </c>
      <c r="D3698">
        <v>8932</v>
      </c>
      <c r="E3698" s="1" t="s">
        <v>243</v>
      </c>
      <c r="F3698" s="1" t="s">
        <v>346</v>
      </c>
      <c r="G3698" s="1" t="s">
        <v>209</v>
      </c>
      <c r="H3698" s="1" t="s">
        <v>1404</v>
      </c>
      <c r="I3698">
        <v>2011</v>
      </c>
      <c r="J3698" s="93">
        <v>0</v>
      </c>
      <c r="K3698">
        <v>12</v>
      </c>
      <c r="L3698" s="1" t="s">
        <v>433</v>
      </c>
      <c r="M3698">
        <v>0</v>
      </c>
      <c r="N3698">
        <v>0</v>
      </c>
      <c r="O3698">
        <v>0</v>
      </c>
      <c r="P3698">
        <v>3</v>
      </c>
      <c r="Q3698" s="1" t="s">
        <v>560</v>
      </c>
      <c r="R3698" s="93">
        <v>0</v>
      </c>
      <c r="S3698">
        <v>0</v>
      </c>
      <c r="T3698">
        <v>1</v>
      </c>
      <c r="U3698" s="1" t="s">
        <v>714</v>
      </c>
      <c r="V3698" s="1"/>
      <c r="W3698">
        <v>0</v>
      </c>
      <c r="X3698">
        <v>0</v>
      </c>
      <c r="Y3698">
        <v>70977</v>
      </c>
    </row>
    <row r="3699" spans="1:25" ht="15" hidden="1" customHeight="1" x14ac:dyDescent="0.25">
      <c r="A3699" s="1" t="s">
        <v>39</v>
      </c>
      <c r="B3699" s="1" t="s">
        <v>84</v>
      </c>
      <c r="C3699" s="1" t="s">
        <v>209</v>
      </c>
      <c r="D3699">
        <v>8932</v>
      </c>
      <c r="E3699" s="1" t="s">
        <v>243</v>
      </c>
      <c r="F3699" s="1" t="s">
        <v>346</v>
      </c>
      <c r="G3699" s="1" t="s">
        <v>209</v>
      </c>
      <c r="H3699" s="1" t="s">
        <v>1404</v>
      </c>
      <c r="I3699">
        <v>2010</v>
      </c>
      <c r="J3699" s="93">
        <v>1</v>
      </c>
      <c r="K3699">
        <v>12</v>
      </c>
      <c r="L3699" s="1" t="s">
        <v>433</v>
      </c>
      <c r="M3699">
        <v>0</v>
      </c>
      <c r="N3699">
        <v>0</v>
      </c>
      <c r="O3699">
        <v>10</v>
      </c>
      <c r="P3699">
        <v>3</v>
      </c>
      <c r="Q3699" s="1" t="s">
        <v>560</v>
      </c>
      <c r="R3699" s="93">
        <v>1</v>
      </c>
      <c r="S3699">
        <v>0.8</v>
      </c>
      <c r="T3699">
        <v>1</v>
      </c>
      <c r="U3699" s="1" t="s">
        <v>708</v>
      </c>
      <c r="V3699" s="1"/>
      <c r="W3699">
        <v>1</v>
      </c>
      <c r="X3699">
        <v>0</v>
      </c>
      <c r="Y3699">
        <v>70970</v>
      </c>
    </row>
    <row r="3700" spans="1:25" ht="15" hidden="1" customHeight="1" x14ac:dyDescent="0.25">
      <c r="A3700" s="1" t="s">
        <v>39</v>
      </c>
      <c r="B3700" s="1" t="s">
        <v>84</v>
      </c>
      <c r="C3700" s="1" t="s">
        <v>209</v>
      </c>
      <c r="D3700">
        <v>8932</v>
      </c>
      <c r="E3700" s="1" t="s">
        <v>243</v>
      </c>
      <c r="F3700" s="1" t="s">
        <v>346</v>
      </c>
      <c r="G3700" s="1" t="s">
        <v>209</v>
      </c>
      <c r="H3700" s="1" t="s">
        <v>1404</v>
      </c>
      <c r="I3700">
        <v>2010</v>
      </c>
      <c r="J3700" s="93">
        <v>459.18</v>
      </c>
      <c r="K3700">
        <v>12</v>
      </c>
      <c r="L3700" s="1" t="s">
        <v>454</v>
      </c>
      <c r="M3700">
        <v>0</v>
      </c>
      <c r="N3700">
        <v>0</v>
      </c>
      <c r="O3700">
        <v>4591.8</v>
      </c>
      <c r="P3700">
        <v>3</v>
      </c>
      <c r="Q3700" s="1" t="s">
        <v>560</v>
      </c>
      <c r="R3700" s="93">
        <v>459.18</v>
      </c>
      <c r="S3700">
        <v>367.32</v>
      </c>
      <c r="T3700">
        <v>1</v>
      </c>
      <c r="U3700" s="1" t="s">
        <v>715</v>
      </c>
      <c r="V3700" s="1"/>
      <c r="W3700">
        <v>459.16552999999999</v>
      </c>
      <c r="X3700">
        <v>0</v>
      </c>
      <c r="Y3700">
        <v>70971</v>
      </c>
    </row>
    <row r="3701" spans="1:25" ht="15" hidden="1" customHeight="1" x14ac:dyDescent="0.25">
      <c r="A3701" s="1" t="s">
        <v>39</v>
      </c>
      <c r="B3701" s="1" t="s">
        <v>84</v>
      </c>
      <c r="C3701" s="1" t="s">
        <v>209</v>
      </c>
      <c r="D3701">
        <v>8932</v>
      </c>
      <c r="E3701" s="1" t="s">
        <v>243</v>
      </c>
      <c r="F3701" s="1" t="s">
        <v>346</v>
      </c>
      <c r="G3701" s="1" t="s">
        <v>209</v>
      </c>
      <c r="H3701" s="1" t="s">
        <v>1404</v>
      </c>
      <c r="I3701">
        <v>2010</v>
      </c>
      <c r="J3701" s="93">
        <v>360.41</v>
      </c>
      <c r="K3701">
        <v>12</v>
      </c>
      <c r="L3701" s="1" t="s">
        <v>433</v>
      </c>
      <c r="M3701">
        <v>0</v>
      </c>
      <c r="N3701">
        <v>0</v>
      </c>
      <c r="O3701">
        <v>3604.1</v>
      </c>
      <c r="P3701">
        <v>3</v>
      </c>
      <c r="Q3701" s="1" t="s">
        <v>560</v>
      </c>
      <c r="R3701" s="93">
        <v>360.41</v>
      </c>
      <c r="S3701">
        <v>288.33</v>
      </c>
      <c r="T3701">
        <v>1</v>
      </c>
      <c r="U3701" s="1" t="s">
        <v>709</v>
      </c>
      <c r="V3701" s="1"/>
      <c r="W3701">
        <v>360.40503000000001</v>
      </c>
      <c r="X3701">
        <v>0</v>
      </c>
      <c r="Y3701">
        <v>70972</v>
      </c>
    </row>
    <row r="3702" spans="1:25" ht="15" hidden="1" customHeight="1" x14ac:dyDescent="0.25">
      <c r="A3702" s="1" t="s">
        <v>39</v>
      </c>
      <c r="B3702" s="1" t="s">
        <v>84</v>
      </c>
      <c r="C3702" s="1" t="s">
        <v>209</v>
      </c>
      <c r="D3702">
        <v>8932</v>
      </c>
      <c r="E3702" s="1" t="s">
        <v>243</v>
      </c>
      <c r="F3702" s="1" t="s">
        <v>346</v>
      </c>
      <c r="G3702" s="1" t="s">
        <v>209</v>
      </c>
      <c r="H3702" s="1" t="s">
        <v>1404</v>
      </c>
      <c r="I3702">
        <v>2010</v>
      </c>
      <c r="J3702" s="93">
        <v>1376.98</v>
      </c>
      <c r="K3702">
        <v>12</v>
      </c>
      <c r="L3702" s="1" t="s">
        <v>433</v>
      </c>
      <c r="M3702">
        <v>0</v>
      </c>
      <c r="N3702">
        <v>0</v>
      </c>
      <c r="O3702">
        <v>13769.8</v>
      </c>
      <c r="P3702">
        <v>3</v>
      </c>
      <c r="Q3702" s="1" t="s">
        <v>560</v>
      </c>
      <c r="R3702" s="93">
        <v>1376.98</v>
      </c>
      <c r="S3702">
        <v>1101.58</v>
      </c>
      <c r="T3702">
        <v>1</v>
      </c>
      <c r="U3702" s="1" t="s">
        <v>710</v>
      </c>
      <c r="V3702" s="1"/>
      <c r="W3702">
        <v>1376.9831899999999</v>
      </c>
      <c r="X3702">
        <v>0</v>
      </c>
      <c r="Y3702">
        <v>70973</v>
      </c>
    </row>
    <row r="3703" spans="1:25" ht="15" hidden="1" customHeight="1" x14ac:dyDescent="0.25">
      <c r="A3703" s="1" t="s">
        <v>39</v>
      </c>
      <c r="B3703" s="1" t="s">
        <v>84</v>
      </c>
      <c r="C3703" s="1" t="s">
        <v>209</v>
      </c>
      <c r="D3703">
        <v>8932</v>
      </c>
      <c r="E3703" s="1" t="s">
        <v>243</v>
      </c>
      <c r="F3703" s="1" t="s">
        <v>346</v>
      </c>
      <c r="G3703" s="1" t="s">
        <v>209</v>
      </c>
      <c r="H3703" s="1" t="s">
        <v>1404</v>
      </c>
      <c r="I3703">
        <v>2010</v>
      </c>
      <c r="J3703" s="93">
        <v>992.91</v>
      </c>
      <c r="K3703">
        <v>12</v>
      </c>
      <c r="L3703" s="1" t="s">
        <v>433</v>
      </c>
      <c r="M3703">
        <v>0</v>
      </c>
      <c r="N3703">
        <v>0</v>
      </c>
      <c r="O3703">
        <v>9929.1</v>
      </c>
      <c r="P3703">
        <v>3</v>
      </c>
      <c r="Q3703" s="1" t="s">
        <v>560</v>
      </c>
      <c r="R3703" s="93">
        <v>992.91</v>
      </c>
      <c r="S3703">
        <v>0</v>
      </c>
      <c r="T3703">
        <v>1</v>
      </c>
      <c r="U3703" s="1" t="s">
        <v>711</v>
      </c>
      <c r="V3703" s="1"/>
      <c r="W3703">
        <v>992.89661999999998</v>
      </c>
      <c r="X3703">
        <v>0</v>
      </c>
      <c r="Y3703">
        <v>70974</v>
      </c>
    </row>
    <row r="3704" spans="1:25" ht="15" hidden="1" customHeight="1" x14ac:dyDescent="0.25">
      <c r="A3704" s="1" t="s">
        <v>39</v>
      </c>
      <c r="B3704" s="1" t="s">
        <v>84</v>
      </c>
      <c r="C3704" s="1" t="s">
        <v>209</v>
      </c>
      <c r="D3704">
        <v>8932</v>
      </c>
      <c r="E3704" s="1" t="s">
        <v>243</v>
      </c>
      <c r="F3704" s="1" t="s">
        <v>346</v>
      </c>
      <c r="G3704" s="1" t="s">
        <v>209</v>
      </c>
      <c r="H3704" s="1" t="s">
        <v>1404</v>
      </c>
      <c r="I3704">
        <v>2010</v>
      </c>
      <c r="J3704" s="93">
        <v>1</v>
      </c>
      <c r="K3704">
        <v>12</v>
      </c>
      <c r="L3704" s="1" t="s">
        <v>433</v>
      </c>
      <c r="M3704">
        <v>0</v>
      </c>
      <c r="N3704">
        <v>0</v>
      </c>
      <c r="O3704">
        <v>10</v>
      </c>
      <c r="P3704">
        <v>3</v>
      </c>
      <c r="Q3704" s="1" t="s">
        <v>560</v>
      </c>
      <c r="R3704" s="93">
        <v>1</v>
      </c>
      <c r="S3704">
        <v>0</v>
      </c>
      <c r="T3704">
        <v>1</v>
      </c>
      <c r="U3704" s="1" t="s">
        <v>712</v>
      </c>
      <c r="V3704" s="1"/>
      <c r="W3704">
        <v>1</v>
      </c>
      <c r="X3704">
        <v>0</v>
      </c>
      <c r="Y3704">
        <v>70975</v>
      </c>
    </row>
    <row r="3705" spans="1:25" ht="15" hidden="1" customHeight="1" x14ac:dyDescent="0.25">
      <c r="A3705" s="1" t="s">
        <v>39</v>
      </c>
      <c r="B3705" s="1" t="s">
        <v>84</v>
      </c>
      <c r="C3705" s="1" t="s">
        <v>209</v>
      </c>
      <c r="D3705">
        <v>8932</v>
      </c>
      <c r="E3705" s="1" t="s">
        <v>243</v>
      </c>
      <c r="F3705" s="1" t="s">
        <v>346</v>
      </c>
      <c r="G3705" s="1" t="s">
        <v>209</v>
      </c>
      <c r="H3705" s="1" t="s">
        <v>1404</v>
      </c>
      <c r="I3705">
        <v>2010</v>
      </c>
      <c r="J3705" s="93">
        <v>276.39999999999998</v>
      </c>
      <c r="K3705">
        <v>12</v>
      </c>
      <c r="L3705" s="1" t="s">
        <v>433</v>
      </c>
      <c r="M3705">
        <v>0</v>
      </c>
      <c r="N3705">
        <v>0</v>
      </c>
      <c r="O3705">
        <v>2764</v>
      </c>
      <c r="P3705">
        <v>3</v>
      </c>
      <c r="Q3705" s="1" t="s">
        <v>560</v>
      </c>
      <c r="R3705" s="93">
        <v>276.39999999999998</v>
      </c>
      <c r="S3705">
        <v>0</v>
      </c>
      <c r="T3705">
        <v>1</v>
      </c>
      <c r="U3705" s="1" t="s">
        <v>713</v>
      </c>
      <c r="V3705" s="1"/>
      <c r="W3705">
        <v>276.41093000000001</v>
      </c>
      <c r="X3705">
        <v>0</v>
      </c>
      <c r="Y3705">
        <v>70976</v>
      </c>
    </row>
    <row r="3706" spans="1:25" ht="15" hidden="1" customHeight="1" x14ac:dyDescent="0.25">
      <c r="A3706" s="1" t="s">
        <v>39</v>
      </c>
      <c r="B3706" s="1" t="s">
        <v>84</v>
      </c>
      <c r="C3706" s="1" t="s">
        <v>209</v>
      </c>
      <c r="D3706">
        <v>8932</v>
      </c>
      <c r="E3706" s="1" t="s">
        <v>243</v>
      </c>
      <c r="F3706" s="1" t="s">
        <v>346</v>
      </c>
      <c r="G3706" s="1" t="s">
        <v>209</v>
      </c>
      <c r="H3706" s="1" t="s">
        <v>1404</v>
      </c>
      <c r="I3706">
        <v>2010</v>
      </c>
      <c r="J3706" s="93">
        <v>0</v>
      </c>
      <c r="K3706">
        <v>12</v>
      </c>
      <c r="L3706" s="1" t="s">
        <v>433</v>
      </c>
      <c r="M3706">
        <v>0</v>
      </c>
      <c r="N3706">
        <v>0</v>
      </c>
      <c r="O3706">
        <v>0</v>
      </c>
      <c r="P3706">
        <v>3</v>
      </c>
      <c r="Q3706" s="1" t="s">
        <v>560</v>
      </c>
      <c r="R3706" s="93">
        <v>0</v>
      </c>
      <c r="S3706">
        <v>0</v>
      </c>
      <c r="T3706">
        <v>1</v>
      </c>
      <c r="U3706" s="1" t="s">
        <v>714</v>
      </c>
      <c r="V3706" s="1"/>
      <c r="W3706">
        <v>0</v>
      </c>
      <c r="X3706">
        <v>0</v>
      </c>
      <c r="Y3706">
        <v>70977</v>
      </c>
    </row>
    <row r="3707" spans="1:25" ht="15" hidden="1" customHeight="1" x14ac:dyDescent="0.25">
      <c r="A3707" s="1" t="s">
        <v>39</v>
      </c>
      <c r="B3707" s="1" t="s">
        <v>84</v>
      </c>
      <c r="C3707" s="1" t="s">
        <v>209</v>
      </c>
      <c r="D3707">
        <v>8932</v>
      </c>
      <c r="E3707" s="1" t="s">
        <v>243</v>
      </c>
      <c r="F3707" s="1" t="s">
        <v>346</v>
      </c>
      <c r="G3707" s="1" t="s">
        <v>209</v>
      </c>
      <c r="H3707" s="1" t="s">
        <v>1404</v>
      </c>
      <c r="I3707">
        <v>2009</v>
      </c>
      <c r="J3707" s="93">
        <v>0</v>
      </c>
      <c r="K3707">
        <v>11</v>
      </c>
      <c r="L3707" s="1" t="s">
        <v>433</v>
      </c>
      <c r="M3707">
        <v>0</v>
      </c>
      <c r="N3707">
        <v>0</v>
      </c>
      <c r="O3707">
        <v>0</v>
      </c>
      <c r="P3707">
        <v>3</v>
      </c>
      <c r="Q3707" s="1" t="s">
        <v>560</v>
      </c>
      <c r="R3707" s="93">
        <v>0</v>
      </c>
      <c r="S3707">
        <v>0</v>
      </c>
      <c r="T3707">
        <v>1</v>
      </c>
      <c r="U3707" s="1" t="s">
        <v>708</v>
      </c>
      <c r="V3707" s="1"/>
      <c r="W3707">
        <v>0</v>
      </c>
      <c r="X3707">
        <v>0</v>
      </c>
      <c r="Y3707">
        <v>70970</v>
      </c>
    </row>
    <row r="3708" spans="1:25" ht="15" hidden="1" customHeight="1" x14ac:dyDescent="0.25">
      <c r="A3708" s="1" t="s">
        <v>39</v>
      </c>
      <c r="B3708" s="1" t="s">
        <v>84</v>
      </c>
      <c r="C3708" s="1" t="s">
        <v>209</v>
      </c>
      <c r="D3708">
        <v>8932</v>
      </c>
      <c r="E3708" s="1" t="s">
        <v>243</v>
      </c>
      <c r="F3708" s="1" t="s">
        <v>346</v>
      </c>
      <c r="G3708" s="1" t="s">
        <v>209</v>
      </c>
      <c r="H3708" s="1" t="s">
        <v>1404</v>
      </c>
      <c r="I3708">
        <v>2009</v>
      </c>
      <c r="J3708" s="93">
        <v>168.09</v>
      </c>
      <c r="K3708">
        <v>11</v>
      </c>
      <c r="L3708" s="1" t="s">
        <v>454</v>
      </c>
      <c r="M3708">
        <v>0</v>
      </c>
      <c r="N3708">
        <v>0</v>
      </c>
      <c r="O3708">
        <v>1680.9</v>
      </c>
      <c r="P3708">
        <v>3</v>
      </c>
      <c r="Q3708" s="1" t="s">
        <v>560</v>
      </c>
      <c r="R3708" s="93">
        <v>168.09</v>
      </c>
      <c r="S3708">
        <v>134.44999999999999</v>
      </c>
      <c r="T3708">
        <v>1</v>
      </c>
      <c r="U3708" s="1" t="s">
        <v>715</v>
      </c>
      <c r="V3708" s="1"/>
      <c r="W3708">
        <v>168.08018000000001</v>
      </c>
      <c r="X3708">
        <v>0</v>
      </c>
      <c r="Y3708">
        <v>70971</v>
      </c>
    </row>
    <row r="3709" spans="1:25" ht="15" hidden="1" customHeight="1" x14ac:dyDescent="0.25">
      <c r="A3709" s="1" t="s">
        <v>39</v>
      </c>
      <c r="B3709" s="1" t="s">
        <v>84</v>
      </c>
      <c r="C3709" s="1" t="s">
        <v>209</v>
      </c>
      <c r="D3709">
        <v>8932</v>
      </c>
      <c r="E3709" s="1" t="s">
        <v>243</v>
      </c>
      <c r="F3709" s="1" t="s">
        <v>346</v>
      </c>
      <c r="G3709" s="1" t="s">
        <v>209</v>
      </c>
      <c r="H3709" s="1" t="s">
        <v>1404</v>
      </c>
      <c r="I3709">
        <v>2009</v>
      </c>
      <c r="J3709" s="93">
        <v>357.84</v>
      </c>
      <c r="K3709">
        <v>11</v>
      </c>
      <c r="L3709" s="1" t="s">
        <v>433</v>
      </c>
      <c r="M3709">
        <v>0</v>
      </c>
      <c r="N3709">
        <v>0</v>
      </c>
      <c r="O3709">
        <v>3578.4</v>
      </c>
      <c r="P3709">
        <v>3</v>
      </c>
      <c r="Q3709" s="1" t="s">
        <v>560</v>
      </c>
      <c r="R3709" s="93">
        <v>357.84</v>
      </c>
      <c r="S3709">
        <v>286.27</v>
      </c>
      <c r="T3709">
        <v>1</v>
      </c>
      <c r="U3709" s="1" t="s">
        <v>709</v>
      </c>
      <c r="V3709" s="1"/>
      <c r="W3709">
        <v>357.83593999999999</v>
      </c>
      <c r="X3709">
        <v>0</v>
      </c>
      <c r="Y3709">
        <v>70972</v>
      </c>
    </row>
    <row r="3710" spans="1:25" ht="15" hidden="1" customHeight="1" x14ac:dyDescent="0.25">
      <c r="A3710" s="1" t="s">
        <v>39</v>
      </c>
      <c r="B3710" s="1" t="s">
        <v>84</v>
      </c>
      <c r="C3710" s="1" t="s">
        <v>209</v>
      </c>
      <c r="D3710">
        <v>8932</v>
      </c>
      <c r="E3710" s="1" t="s">
        <v>243</v>
      </c>
      <c r="F3710" s="1" t="s">
        <v>346</v>
      </c>
      <c r="G3710" s="1" t="s">
        <v>209</v>
      </c>
      <c r="H3710" s="1" t="s">
        <v>1404</v>
      </c>
      <c r="I3710">
        <v>2009</v>
      </c>
      <c r="J3710" s="93">
        <v>1523.45</v>
      </c>
      <c r="K3710">
        <v>11</v>
      </c>
      <c r="L3710" s="1" t="s">
        <v>433</v>
      </c>
      <c r="M3710">
        <v>0</v>
      </c>
      <c r="N3710">
        <v>0</v>
      </c>
      <c r="O3710">
        <v>15234.5</v>
      </c>
      <c r="P3710">
        <v>3</v>
      </c>
      <c r="Q3710" s="1" t="s">
        <v>560</v>
      </c>
      <c r="R3710" s="93">
        <v>1523.45</v>
      </c>
      <c r="S3710">
        <v>1218.76</v>
      </c>
      <c r="T3710">
        <v>1</v>
      </c>
      <c r="U3710" s="1" t="s">
        <v>710</v>
      </c>
      <c r="V3710" s="1"/>
      <c r="W3710">
        <v>1523.4608499999999</v>
      </c>
      <c r="X3710">
        <v>0</v>
      </c>
      <c r="Y3710">
        <v>70973</v>
      </c>
    </row>
    <row r="3711" spans="1:25" ht="15" hidden="1" customHeight="1" x14ac:dyDescent="0.25">
      <c r="A3711" s="1" t="s">
        <v>39</v>
      </c>
      <c r="B3711" s="1" t="s">
        <v>84</v>
      </c>
      <c r="C3711" s="1" t="s">
        <v>209</v>
      </c>
      <c r="D3711">
        <v>8932</v>
      </c>
      <c r="E3711" s="1" t="s">
        <v>243</v>
      </c>
      <c r="F3711" s="1" t="s">
        <v>346</v>
      </c>
      <c r="G3711" s="1" t="s">
        <v>209</v>
      </c>
      <c r="H3711" s="1" t="s">
        <v>1404</v>
      </c>
      <c r="I3711">
        <v>2009</v>
      </c>
      <c r="J3711" s="93">
        <v>1044.6199999999999</v>
      </c>
      <c r="K3711">
        <v>11</v>
      </c>
      <c r="L3711" s="1" t="s">
        <v>433</v>
      </c>
      <c r="M3711">
        <v>0</v>
      </c>
      <c r="N3711">
        <v>0</v>
      </c>
      <c r="O3711">
        <v>10446.200000000001</v>
      </c>
      <c r="P3711">
        <v>3</v>
      </c>
      <c r="Q3711" s="1" t="s">
        <v>560</v>
      </c>
      <c r="R3711" s="93">
        <v>1044.6199999999999</v>
      </c>
      <c r="S3711">
        <v>0</v>
      </c>
      <c r="T3711">
        <v>1</v>
      </c>
      <c r="U3711" s="1" t="s">
        <v>711</v>
      </c>
      <c r="V3711" s="1"/>
      <c r="W3711">
        <v>1044.61473</v>
      </c>
      <c r="X3711">
        <v>0</v>
      </c>
      <c r="Y3711">
        <v>70974</v>
      </c>
    </row>
    <row r="3712" spans="1:25" ht="15" hidden="1" customHeight="1" x14ac:dyDescent="0.25">
      <c r="A3712" s="1" t="s">
        <v>39</v>
      </c>
      <c r="B3712" s="1" t="s">
        <v>84</v>
      </c>
      <c r="C3712" s="1" t="s">
        <v>209</v>
      </c>
      <c r="D3712">
        <v>8932</v>
      </c>
      <c r="E3712" s="1" t="s">
        <v>243</v>
      </c>
      <c r="F3712" s="1" t="s">
        <v>346</v>
      </c>
      <c r="G3712" s="1" t="s">
        <v>209</v>
      </c>
      <c r="H3712" s="1" t="s">
        <v>1404</v>
      </c>
      <c r="I3712">
        <v>2009</v>
      </c>
      <c r="J3712" s="93">
        <v>0</v>
      </c>
      <c r="K3712">
        <v>11</v>
      </c>
      <c r="L3712" s="1" t="s">
        <v>433</v>
      </c>
      <c r="M3712">
        <v>0</v>
      </c>
      <c r="N3712">
        <v>0</v>
      </c>
      <c r="O3712">
        <v>0</v>
      </c>
      <c r="P3712">
        <v>3</v>
      </c>
      <c r="Q3712" s="1" t="s">
        <v>560</v>
      </c>
      <c r="R3712" s="93">
        <v>0</v>
      </c>
      <c r="S3712">
        <v>0</v>
      </c>
      <c r="T3712">
        <v>1</v>
      </c>
      <c r="U3712" s="1" t="s">
        <v>712</v>
      </c>
      <c r="V3712" s="1"/>
      <c r="W3712">
        <v>0</v>
      </c>
      <c r="X3712">
        <v>0</v>
      </c>
      <c r="Y3712">
        <v>70975</v>
      </c>
    </row>
    <row r="3713" spans="1:25" ht="15" hidden="1" customHeight="1" x14ac:dyDescent="0.25">
      <c r="A3713" s="1" t="s">
        <v>39</v>
      </c>
      <c r="B3713" s="1" t="s">
        <v>84</v>
      </c>
      <c r="C3713" s="1" t="s">
        <v>209</v>
      </c>
      <c r="D3713">
        <v>8932</v>
      </c>
      <c r="E3713" s="1" t="s">
        <v>243</v>
      </c>
      <c r="F3713" s="1" t="s">
        <v>346</v>
      </c>
      <c r="G3713" s="1" t="s">
        <v>209</v>
      </c>
      <c r="H3713" s="1" t="s">
        <v>1404</v>
      </c>
      <c r="I3713">
        <v>2009</v>
      </c>
      <c r="J3713" s="93">
        <v>419.82</v>
      </c>
      <c r="K3713">
        <v>11</v>
      </c>
      <c r="L3713" s="1" t="s">
        <v>433</v>
      </c>
      <c r="M3713">
        <v>0</v>
      </c>
      <c r="N3713">
        <v>0</v>
      </c>
      <c r="O3713">
        <v>4198.2</v>
      </c>
      <c r="P3713">
        <v>3</v>
      </c>
      <c r="Q3713" s="1" t="s">
        <v>560</v>
      </c>
      <c r="R3713" s="93">
        <v>419.82</v>
      </c>
      <c r="S3713">
        <v>0</v>
      </c>
      <c r="T3713">
        <v>1</v>
      </c>
      <c r="U3713" s="1" t="s">
        <v>713</v>
      </c>
      <c r="V3713" s="1"/>
      <c r="W3713">
        <v>419.81013000000002</v>
      </c>
      <c r="X3713">
        <v>0</v>
      </c>
      <c r="Y3713">
        <v>70976</v>
      </c>
    </row>
    <row r="3714" spans="1:25" ht="15" hidden="1" customHeight="1" x14ac:dyDescent="0.25">
      <c r="A3714" s="1" t="s">
        <v>39</v>
      </c>
      <c r="B3714" s="1" t="s">
        <v>84</v>
      </c>
      <c r="C3714" s="1" t="s">
        <v>209</v>
      </c>
      <c r="D3714">
        <v>8932</v>
      </c>
      <c r="E3714" s="1" t="s">
        <v>243</v>
      </c>
      <c r="F3714" s="1" t="s">
        <v>346</v>
      </c>
      <c r="G3714" s="1" t="s">
        <v>209</v>
      </c>
      <c r="H3714" s="1" t="s">
        <v>1404</v>
      </c>
      <c r="I3714">
        <v>2009</v>
      </c>
      <c r="J3714" s="93">
        <v>0</v>
      </c>
      <c r="K3714">
        <v>11</v>
      </c>
      <c r="L3714" s="1" t="s">
        <v>433</v>
      </c>
      <c r="M3714">
        <v>0</v>
      </c>
      <c r="N3714">
        <v>0</v>
      </c>
      <c r="O3714">
        <v>0</v>
      </c>
      <c r="P3714">
        <v>3</v>
      </c>
      <c r="Q3714" s="1" t="s">
        <v>560</v>
      </c>
      <c r="R3714" s="93">
        <v>0</v>
      </c>
      <c r="S3714">
        <v>0</v>
      </c>
      <c r="T3714">
        <v>1</v>
      </c>
      <c r="U3714" s="1" t="s">
        <v>714</v>
      </c>
      <c r="V3714" s="1"/>
      <c r="W3714">
        <v>0</v>
      </c>
      <c r="X3714">
        <v>0</v>
      </c>
      <c r="Y3714">
        <v>70977</v>
      </c>
    </row>
    <row r="3715" spans="1:25" ht="15" hidden="1" customHeight="1" x14ac:dyDescent="0.25">
      <c r="A3715" s="1" t="s">
        <v>39</v>
      </c>
      <c r="B3715" s="1" t="s">
        <v>84</v>
      </c>
      <c r="C3715" s="1" t="s">
        <v>209</v>
      </c>
      <c r="D3715">
        <v>8932</v>
      </c>
      <c r="E3715" s="1" t="s">
        <v>243</v>
      </c>
      <c r="F3715" s="1" t="s">
        <v>346</v>
      </c>
      <c r="G3715" s="1" t="s">
        <v>209</v>
      </c>
      <c r="H3715" s="1" t="s">
        <v>1404</v>
      </c>
      <c r="I3715">
        <v>2008</v>
      </c>
      <c r="J3715" s="93">
        <v>3237.67</v>
      </c>
      <c r="K3715">
        <v>5</v>
      </c>
      <c r="L3715" s="1" t="s">
        <v>455</v>
      </c>
      <c r="M3715">
        <v>0</v>
      </c>
      <c r="N3715">
        <v>0</v>
      </c>
      <c r="O3715">
        <v>32376.7</v>
      </c>
      <c r="P3715">
        <v>3</v>
      </c>
      <c r="Q3715" s="1" t="s">
        <v>560</v>
      </c>
      <c r="R3715" s="93">
        <v>3237.67</v>
      </c>
      <c r="S3715">
        <v>2590.14</v>
      </c>
      <c r="T3715">
        <v>1</v>
      </c>
      <c r="U3715" s="1" t="s">
        <v>716</v>
      </c>
      <c r="V3715" s="1"/>
      <c r="W3715">
        <v>3237.6666700000001</v>
      </c>
      <c r="X3715">
        <v>0</v>
      </c>
      <c r="Y3715">
        <v>70969</v>
      </c>
    </row>
    <row r="3716" spans="1:25" ht="15" hidden="1" customHeight="1" x14ac:dyDescent="0.25">
      <c r="A3716" s="1" t="s">
        <v>39</v>
      </c>
      <c r="B3716" s="1" t="s">
        <v>84</v>
      </c>
      <c r="C3716" s="1" t="s">
        <v>209</v>
      </c>
      <c r="D3716">
        <v>8932</v>
      </c>
      <c r="E3716" s="1" t="s">
        <v>243</v>
      </c>
      <c r="F3716" s="1" t="s">
        <v>346</v>
      </c>
      <c r="G3716" s="1" t="s">
        <v>209</v>
      </c>
      <c r="H3716" s="1" t="s">
        <v>1404</v>
      </c>
      <c r="I3716">
        <v>2008</v>
      </c>
      <c r="J3716" s="93">
        <v>0</v>
      </c>
      <c r="K3716">
        <v>12</v>
      </c>
      <c r="L3716" s="1" t="s">
        <v>433</v>
      </c>
      <c r="M3716">
        <v>0</v>
      </c>
      <c r="N3716">
        <v>0</v>
      </c>
      <c r="O3716">
        <v>0</v>
      </c>
      <c r="P3716">
        <v>3</v>
      </c>
      <c r="Q3716" s="1" t="s">
        <v>560</v>
      </c>
      <c r="R3716" s="93">
        <v>0</v>
      </c>
      <c r="S3716">
        <v>0</v>
      </c>
      <c r="T3716">
        <v>1</v>
      </c>
      <c r="U3716" s="1" t="s">
        <v>708</v>
      </c>
      <c r="V3716" s="1"/>
      <c r="W3716">
        <v>0</v>
      </c>
      <c r="X3716">
        <v>0</v>
      </c>
      <c r="Y3716">
        <v>70970</v>
      </c>
    </row>
    <row r="3717" spans="1:25" ht="15" hidden="1" customHeight="1" x14ac:dyDescent="0.25">
      <c r="A3717" s="1" t="s">
        <v>39</v>
      </c>
      <c r="B3717" s="1" t="s">
        <v>84</v>
      </c>
      <c r="C3717" s="1" t="s">
        <v>209</v>
      </c>
      <c r="D3717">
        <v>8932</v>
      </c>
      <c r="E3717" s="1" t="s">
        <v>243</v>
      </c>
      <c r="F3717" s="1" t="s">
        <v>346</v>
      </c>
      <c r="G3717" s="1" t="s">
        <v>209</v>
      </c>
      <c r="H3717" s="1" t="s">
        <v>1404</v>
      </c>
      <c r="I3717">
        <v>2008</v>
      </c>
      <c r="J3717" s="93">
        <v>223.56</v>
      </c>
      <c r="K3717">
        <v>12</v>
      </c>
      <c r="L3717" s="1" t="s">
        <v>454</v>
      </c>
      <c r="M3717">
        <v>0</v>
      </c>
      <c r="N3717">
        <v>0</v>
      </c>
      <c r="O3717">
        <v>2235.6</v>
      </c>
      <c r="P3717">
        <v>3</v>
      </c>
      <c r="Q3717" s="1" t="s">
        <v>560</v>
      </c>
      <c r="R3717" s="93">
        <v>223.56</v>
      </c>
      <c r="S3717">
        <v>178.85</v>
      </c>
      <c r="T3717">
        <v>1</v>
      </c>
      <c r="U3717" s="1" t="s">
        <v>715</v>
      </c>
      <c r="V3717" s="1"/>
      <c r="W3717">
        <v>223.54838000000001</v>
      </c>
      <c r="X3717">
        <v>0</v>
      </c>
      <c r="Y3717">
        <v>70971</v>
      </c>
    </row>
    <row r="3718" spans="1:25" ht="15" hidden="1" customHeight="1" x14ac:dyDescent="0.25">
      <c r="A3718" s="1" t="s">
        <v>39</v>
      </c>
      <c r="B3718" s="1" t="s">
        <v>84</v>
      </c>
      <c r="C3718" s="1" t="s">
        <v>209</v>
      </c>
      <c r="D3718">
        <v>8932</v>
      </c>
      <c r="E3718" s="1" t="s">
        <v>243</v>
      </c>
      <c r="F3718" s="1" t="s">
        <v>346</v>
      </c>
      <c r="G3718" s="1" t="s">
        <v>209</v>
      </c>
      <c r="H3718" s="1" t="s">
        <v>1404</v>
      </c>
      <c r="I3718">
        <v>2008</v>
      </c>
      <c r="J3718" s="93">
        <v>332.65</v>
      </c>
      <c r="K3718">
        <v>12</v>
      </c>
      <c r="L3718" s="1" t="s">
        <v>433</v>
      </c>
      <c r="M3718">
        <v>0</v>
      </c>
      <c r="N3718">
        <v>0</v>
      </c>
      <c r="O3718">
        <v>3326.5</v>
      </c>
      <c r="P3718">
        <v>3</v>
      </c>
      <c r="Q3718" s="1" t="s">
        <v>560</v>
      </c>
      <c r="R3718" s="93">
        <v>332.65</v>
      </c>
      <c r="S3718">
        <v>266.12</v>
      </c>
      <c r="T3718">
        <v>1</v>
      </c>
      <c r="U3718" s="1" t="s">
        <v>709</v>
      </c>
      <c r="V3718" s="1"/>
      <c r="W3718">
        <v>332.66883999999999</v>
      </c>
      <c r="X3718">
        <v>0</v>
      </c>
      <c r="Y3718">
        <v>70972</v>
      </c>
    </row>
    <row r="3719" spans="1:25" ht="15" hidden="1" customHeight="1" x14ac:dyDescent="0.25">
      <c r="A3719" s="1" t="s">
        <v>39</v>
      </c>
      <c r="B3719" s="1" t="s">
        <v>84</v>
      </c>
      <c r="C3719" s="1" t="s">
        <v>209</v>
      </c>
      <c r="D3719">
        <v>8932</v>
      </c>
      <c r="E3719" s="1" t="s">
        <v>243</v>
      </c>
      <c r="F3719" s="1" t="s">
        <v>346</v>
      </c>
      <c r="G3719" s="1" t="s">
        <v>209</v>
      </c>
      <c r="H3719" s="1" t="s">
        <v>1404</v>
      </c>
      <c r="I3719">
        <v>2008</v>
      </c>
      <c r="J3719" s="93">
        <v>1381.16</v>
      </c>
      <c r="K3719">
        <v>12</v>
      </c>
      <c r="L3719" s="1" t="s">
        <v>433</v>
      </c>
      <c r="M3719">
        <v>0</v>
      </c>
      <c r="N3719">
        <v>0</v>
      </c>
      <c r="O3719">
        <v>13811.6</v>
      </c>
      <c r="P3719">
        <v>3</v>
      </c>
      <c r="Q3719" s="1" t="s">
        <v>560</v>
      </c>
      <c r="R3719" s="93">
        <v>1381.16</v>
      </c>
      <c r="S3719">
        <v>1104.93</v>
      </c>
      <c r="T3719">
        <v>1</v>
      </c>
      <c r="U3719" s="1" t="s">
        <v>710</v>
      </c>
      <c r="V3719" s="1"/>
      <c r="W3719">
        <v>1381.16776</v>
      </c>
      <c r="X3719">
        <v>0</v>
      </c>
      <c r="Y3719">
        <v>70973</v>
      </c>
    </row>
    <row r="3720" spans="1:25" ht="15" hidden="1" customHeight="1" x14ac:dyDescent="0.25">
      <c r="A3720" s="1" t="s">
        <v>39</v>
      </c>
      <c r="B3720" s="1" t="s">
        <v>84</v>
      </c>
      <c r="C3720" s="1" t="s">
        <v>209</v>
      </c>
      <c r="D3720">
        <v>8932</v>
      </c>
      <c r="E3720" s="1" t="s">
        <v>243</v>
      </c>
      <c r="F3720" s="1" t="s">
        <v>346</v>
      </c>
      <c r="G3720" s="1" t="s">
        <v>209</v>
      </c>
      <c r="H3720" s="1" t="s">
        <v>1404</v>
      </c>
      <c r="I3720">
        <v>2008</v>
      </c>
      <c r="J3720" s="93">
        <v>869.4</v>
      </c>
      <c r="K3720">
        <v>12</v>
      </c>
      <c r="L3720" s="1" t="s">
        <v>433</v>
      </c>
      <c r="M3720">
        <v>0</v>
      </c>
      <c r="N3720">
        <v>0</v>
      </c>
      <c r="O3720">
        <v>8694</v>
      </c>
      <c r="P3720">
        <v>3</v>
      </c>
      <c r="Q3720" s="1" t="s">
        <v>560</v>
      </c>
      <c r="R3720" s="93">
        <v>869.4</v>
      </c>
      <c r="S3720">
        <v>0</v>
      </c>
      <c r="T3720">
        <v>1</v>
      </c>
      <c r="U3720" s="1" t="s">
        <v>711</v>
      </c>
      <c r="V3720" s="1"/>
      <c r="W3720">
        <v>869.40428999999995</v>
      </c>
      <c r="X3720">
        <v>0</v>
      </c>
      <c r="Y3720">
        <v>70974</v>
      </c>
    </row>
    <row r="3721" spans="1:25" ht="15" hidden="1" customHeight="1" x14ac:dyDescent="0.25">
      <c r="A3721" s="1" t="s">
        <v>39</v>
      </c>
      <c r="B3721" s="1" t="s">
        <v>84</v>
      </c>
      <c r="C3721" s="1" t="s">
        <v>209</v>
      </c>
      <c r="D3721">
        <v>8932</v>
      </c>
      <c r="E3721" s="1" t="s">
        <v>243</v>
      </c>
      <c r="F3721" s="1" t="s">
        <v>346</v>
      </c>
      <c r="G3721" s="1" t="s">
        <v>209</v>
      </c>
      <c r="H3721" s="1" t="s">
        <v>1404</v>
      </c>
      <c r="I3721">
        <v>2008</v>
      </c>
      <c r="J3721" s="93">
        <v>0</v>
      </c>
      <c r="K3721">
        <v>12</v>
      </c>
      <c r="L3721" s="1" t="s">
        <v>433</v>
      </c>
      <c r="M3721">
        <v>0</v>
      </c>
      <c r="N3721">
        <v>0</v>
      </c>
      <c r="O3721">
        <v>0</v>
      </c>
      <c r="P3721">
        <v>3</v>
      </c>
      <c r="Q3721" s="1" t="s">
        <v>560</v>
      </c>
      <c r="R3721" s="93">
        <v>0</v>
      </c>
      <c r="S3721">
        <v>0</v>
      </c>
      <c r="T3721">
        <v>1</v>
      </c>
      <c r="U3721" s="1" t="s">
        <v>712</v>
      </c>
      <c r="V3721" s="1"/>
      <c r="W3721">
        <v>0</v>
      </c>
      <c r="X3721">
        <v>0</v>
      </c>
      <c r="Y3721">
        <v>70975</v>
      </c>
    </row>
    <row r="3722" spans="1:25" ht="15" hidden="1" customHeight="1" x14ac:dyDescent="0.25">
      <c r="A3722" s="1" t="s">
        <v>39</v>
      </c>
      <c r="B3722" s="1" t="s">
        <v>84</v>
      </c>
      <c r="C3722" s="1" t="s">
        <v>209</v>
      </c>
      <c r="D3722">
        <v>8932</v>
      </c>
      <c r="E3722" s="1" t="s">
        <v>243</v>
      </c>
      <c r="F3722" s="1" t="s">
        <v>346</v>
      </c>
      <c r="G3722" s="1" t="s">
        <v>209</v>
      </c>
      <c r="H3722" s="1" t="s">
        <v>1404</v>
      </c>
      <c r="I3722">
        <v>2008</v>
      </c>
      <c r="J3722" s="93">
        <v>361.24</v>
      </c>
      <c r="K3722">
        <v>12</v>
      </c>
      <c r="L3722" s="1" t="s">
        <v>433</v>
      </c>
      <c r="M3722">
        <v>0</v>
      </c>
      <c r="N3722">
        <v>0</v>
      </c>
      <c r="O3722">
        <v>3612.4</v>
      </c>
      <c r="P3722">
        <v>3</v>
      </c>
      <c r="Q3722" s="1" t="s">
        <v>560</v>
      </c>
      <c r="R3722" s="93">
        <v>361.24</v>
      </c>
      <c r="S3722">
        <v>0</v>
      </c>
      <c r="T3722">
        <v>1</v>
      </c>
      <c r="U3722" s="1" t="s">
        <v>713</v>
      </c>
      <c r="V3722" s="1"/>
      <c r="W3722">
        <v>361.22795000000002</v>
      </c>
      <c r="X3722">
        <v>0</v>
      </c>
      <c r="Y3722">
        <v>70976</v>
      </c>
    </row>
    <row r="3723" spans="1:25" ht="15" hidden="1" customHeight="1" x14ac:dyDescent="0.25">
      <c r="A3723" s="1" t="s">
        <v>39</v>
      </c>
      <c r="B3723" s="1" t="s">
        <v>84</v>
      </c>
      <c r="C3723" s="1" t="s">
        <v>209</v>
      </c>
      <c r="D3723">
        <v>8932</v>
      </c>
      <c r="E3723" s="1" t="s">
        <v>243</v>
      </c>
      <c r="F3723" s="1" t="s">
        <v>346</v>
      </c>
      <c r="G3723" s="1" t="s">
        <v>209</v>
      </c>
      <c r="H3723" s="1" t="s">
        <v>1404</v>
      </c>
      <c r="I3723">
        <v>2008</v>
      </c>
      <c r="J3723" s="93">
        <v>0</v>
      </c>
      <c r="K3723">
        <v>12</v>
      </c>
      <c r="L3723" s="1" t="s">
        <v>433</v>
      </c>
      <c r="M3723">
        <v>0</v>
      </c>
      <c r="N3723">
        <v>0</v>
      </c>
      <c r="O3723">
        <v>0</v>
      </c>
      <c r="P3723">
        <v>3</v>
      </c>
      <c r="Q3723" s="1" t="s">
        <v>560</v>
      </c>
      <c r="R3723" s="93">
        <v>0</v>
      </c>
      <c r="S3723">
        <v>0</v>
      </c>
      <c r="T3723">
        <v>1</v>
      </c>
      <c r="U3723" s="1" t="s">
        <v>714</v>
      </c>
      <c r="V3723" s="1"/>
      <c r="W3723">
        <v>0</v>
      </c>
      <c r="X3723">
        <v>0</v>
      </c>
      <c r="Y3723">
        <v>70977</v>
      </c>
    </row>
    <row r="3724" spans="1:25" ht="15" hidden="1" customHeight="1" x14ac:dyDescent="0.25">
      <c r="A3724" s="1" t="s">
        <v>39</v>
      </c>
      <c r="B3724" s="1" t="s">
        <v>84</v>
      </c>
      <c r="C3724" s="1" t="s">
        <v>209</v>
      </c>
      <c r="D3724">
        <v>8878</v>
      </c>
      <c r="E3724" s="1"/>
      <c r="F3724" s="1" t="s">
        <v>347</v>
      </c>
      <c r="G3724" s="1" t="s">
        <v>209</v>
      </c>
      <c r="H3724" s="1" t="s">
        <v>1405</v>
      </c>
      <c r="I3724">
        <v>2015</v>
      </c>
      <c r="J3724" s="93">
        <v>0</v>
      </c>
      <c r="K3724">
        <v>5</v>
      </c>
      <c r="L3724" s="1"/>
      <c r="M3724">
        <v>0</v>
      </c>
      <c r="N3724">
        <v>3615</v>
      </c>
      <c r="O3724">
        <v>0.66205599999999998</v>
      </c>
      <c r="P3724">
        <v>3</v>
      </c>
      <c r="Q3724" s="1" t="s">
        <v>560</v>
      </c>
      <c r="R3724" s="93">
        <v>2393.4</v>
      </c>
      <c r="S3724">
        <v>1914.72</v>
      </c>
      <c r="T3724">
        <v>1</v>
      </c>
      <c r="U3724" s="1" t="s">
        <v>717</v>
      </c>
      <c r="V3724" s="1"/>
      <c r="W3724">
        <v>2393.4</v>
      </c>
      <c r="X3724">
        <v>0</v>
      </c>
      <c r="Y3724">
        <v>76950</v>
      </c>
    </row>
    <row r="3725" spans="1:25" ht="15" hidden="1" customHeight="1" x14ac:dyDescent="0.25">
      <c r="A3725" s="1" t="s">
        <v>39</v>
      </c>
      <c r="B3725" s="1" t="s">
        <v>84</v>
      </c>
      <c r="C3725" s="1" t="s">
        <v>209</v>
      </c>
      <c r="D3725">
        <v>8878</v>
      </c>
      <c r="E3725" s="1"/>
      <c r="F3725" s="1" t="s">
        <v>347</v>
      </c>
      <c r="G3725" s="1" t="s">
        <v>209</v>
      </c>
      <c r="H3725" s="1" t="s">
        <v>1405</v>
      </c>
      <c r="I3725">
        <v>2015</v>
      </c>
      <c r="J3725" s="93">
        <v>15021</v>
      </c>
      <c r="K3725">
        <v>5</v>
      </c>
      <c r="L3725" s="1"/>
      <c r="M3725">
        <v>0</v>
      </c>
      <c r="N3725">
        <v>3615</v>
      </c>
      <c r="O3725">
        <v>1.721689</v>
      </c>
      <c r="P3725">
        <v>3</v>
      </c>
      <c r="Q3725" s="1" t="s">
        <v>560</v>
      </c>
      <c r="R3725" s="93">
        <v>6224.08</v>
      </c>
      <c r="S3725">
        <v>4979.2700000000004</v>
      </c>
      <c r="T3725">
        <v>0</v>
      </c>
      <c r="U3725" s="1" t="s">
        <v>718</v>
      </c>
      <c r="V3725" s="1"/>
      <c r="W3725">
        <v>6224.08</v>
      </c>
      <c r="X3725">
        <v>0</v>
      </c>
      <c r="Y3725">
        <v>76951</v>
      </c>
    </row>
    <row r="3726" spans="1:25" ht="15" hidden="1" customHeight="1" x14ac:dyDescent="0.25">
      <c r="A3726" s="1" t="s">
        <v>39</v>
      </c>
      <c r="B3726" s="1" t="s">
        <v>84</v>
      </c>
      <c r="C3726" s="1" t="s">
        <v>209</v>
      </c>
      <c r="D3726">
        <v>8878</v>
      </c>
      <c r="E3726" s="1"/>
      <c r="F3726" s="1" t="s">
        <v>347</v>
      </c>
      <c r="G3726" s="1" t="s">
        <v>209</v>
      </c>
      <c r="H3726" s="1" t="s">
        <v>1405</v>
      </c>
      <c r="I3726">
        <v>2013</v>
      </c>
      <c r="J3726" s="93">
        <v>4142.3999999999996</v>
      </c>
      <c r="K3726">
        <v>12</v>
      </c>
      <c r="L3726" s="1"/>
      <c r="M3726">
        <v>0</v>
      </c>
      <c r="N3726">
        <v>3615</v>
      </c>
      <c r="O3726">
        <v>1.1458600000000001</v>
      </c>
      <c r="P3726">
        <v>3</v>
      </c>
      <c r="Q3726" s="1" t="s">
        <v>560</v>
      </c>
      <c r="R3726" s="93">
        <v>4142.3999999999996</v>
      </c>
      <c r="S3726">
        <v>3313.92</v>
      </c>
      <c r="T3726">
        <v>1</v>
      </c>
      <c r="U3726" s="1" t="s">
        <v>717</v>
      </c>
      <c r="V3726" s="1"/>
      <c r="W3726">
        <v>4142.3999999999996</v>
      </c>
      <c r="X3726">
        <v>0</v>
      </c>
      <c r="Y3726">
        <v>76950</v>
      </c>
    </row>
    <row r="3727" spans="1:25" ht="15" hidden="1" customHeight="1" x14ac:dyDescent="0.25">
      <c r="A3727" s="1" t="s">
        <v>39</v>
      </c>
      <c r="B3727" s="1" t="s">
        <v>84</v>
      </c>
      <c r="C3727" s="1" t="s">
        <v>209</v>
      </c>
      <c r="D3727">
        <v>8878</v>
      </c>
      <c r="E3727" s="1"/>
      <c r="F3727" s="1" t="s">
        <v>347</v>
      </c>
      <c r="G3727" s="1" t="s">
        <v>209</v>
      </c>
      <c r="H3727" s="1" t="s">
        <v>1405</v>
      </c>
      <c r="I3727">
        <v>2013</v>
      </c>
      <c r="J3727" s="93">
        <v>12865.27</v>
      </c>
      <c r="K3727">
        <v>12</v>
      </c>
      <c r="L3727" s="1"/>
      <c r="M3727">
        <v>0</v>
      </c>
      <c r="N3727">
        <v>3615</v>
      </c>
      <c r="O3727">
        <v>3.5587589999999998</v>
      </c>
      <c r="P3727">
        <v>3</v>
      </c>
      <c r="Q3727" s="1" t="s">
        <v>560</v>
      </c>
      <c r="R3727" s="93">
        <v>12865.27</v>
      </c>
      <c r="S3727">
        <v>10292.219999999999</v>
      </c>
      <c r="T3727">
        <v>0</v>
      </c>
      <c r="U3727" s="1" t="s">
        <v>718</v>
      </c>
      <c r="V3727" s="1"/>
      <c r="W3727">
        <v>12865.27</v>
      </c>
      <c r="X3727">
        <v>0</v>
      </c>
      <c r="Y3727">
        <v>76951</v>
      </c>
    </row>
    <row r="3728" spans="1:25" ht="15" hidden="1" customHeight="1" x14ac:dyDescent="0.25">
      <c r="A3728" s="1" t="s">
        <v>39</v>
      </c>
      <c r="B3728" s="1" t="s">
        <v>84</v>
      </c>
      <c r="C3728" s="1" t="s">
        <v>209</v>
      </c>
      <c r="D3728">
        <v>8878</v>
      </c>
      <c r="E3728" s="1"/>
      <c r="F3728" s="1" t="s">
        <v>347</v>
      </c>
      <c r="G3728" s="1" t="s">
        <v>209</v>
      </c>
      <c r="H3728" s="1" t="s">
        <v>1405</v>
      </c>
      <c r="I3728">
        <v>2012</v>
      </c>
      <c r="J3728" s="93">
        <v>7323</v>
      </c>
      <c r="K3728">
        <v>12</v>
      </c>
      <c r="L3728" s="1"/>
      <c r="M3728">
        <v>0</v>
      </c>
      <c r="N3728">
        <v>3615</v>
      </c>
      <c r="O3728">
        <v>2.0256699999999999</v>
      </c>
      <c r="P3728">
        <v>3</v>
      </c>
      <c r="Q3728" s="1" t="s">
        <v>560</v>
      </c>
      <c r="R3728" s="93">
        <v>7323</v>
      </c>
      <c r="S3728">
        <v>5858.4</v>
      </c>
      <c r="T3728">
        <v>1</v>
      </c>
      <c r="U3728" s="1" t="s">
        <v>717</v>
      </c>
      <c r="V3728" s="1"/>
      <c r="W3728">
        <v>7323</v>
      </c>
      <c r="X3728">
        <v>0</v>
      </c>
      <c r="Y3728">
        <v>76950</v>
      </c>
    </row>
    <row r="3729" spans="1:25" ht="15" hidden="1" customHeight="1" x14ac:dyDescent="0.25">
      <c r="A3729" s="1" t="s">
        <v>39</v>
      </c>
      <c r="B3729" s="1" t="s">
        <v>84</v>
      </c>
      <c r="C3729" s="1" t="s">
        <v>209</v>
      </c>
      <c r="D3729">
        <v>8878</v>
      </c>
      <c r="E3729" s="1"/>
      <c r="F3729" s="1" t="s">
        <v>347</v>
      </c>
      <c r="G3729" s="1" t="s">
        <v>209</v>
      </c>
      <c r="H3729" s="1" t="s">
        <v>1405</v>
      </c>
      <c r="I3729">
        <v>2012</v>
      </c>
      <c r="J3729" s="93">
        <v>14690</v>
      </c>
      <c r="K3729">
        <v>12</v>
      </c>
      <c r="L3729" s="1"/>
      <c r="M3729">
        <v>0</v>
      </c>
      <c r="N3729">
        <v>3615</v>
      </c>
      <c r="O3729">
        <v>4.0635110000000001</v>
      </c>
      <c r="P3729">
        <v>3</v>
      </c>
      <c r="Q3729" s="1" t="s">
        <v>560</v>
      </c>
      <c r="R3729" s="93">
        <v>14690</v>
      </c>
      <c r="S3729">
        <v>11751.99</v>
      </c>
      <c r="T3729">
        <v>0</v>
      </c>
      <c r="U3729" s="1" t="s">
        <v>718</v>
      </c>
      <c r="V3729" s="1"/>
      <c r="W3729">
        <v>14690</v>
      </c>
      <c r="X3729">
        <v>0</v>
      </c>
      <c r="Y3729">
        <v>76951</v>
      </c>
    </row>
    <row r="3730" spans="1:25" ht="15" hidden="1" customHeight="1" x14ac:dyDescent="0.25">
      <c r="A3730" s="1" t="s">
        <v>39</v>
      </c>
      <c r="B3730" s="1" t="s">
        <v>84</v>
      </c>
      <c r="C3730" s="1" t="s">
        <v>209</v>
      </c>
      <c r="D3730">
        <v>8878</v>
      </c>
      <c r="E3730" s="1"/>
      <c r="F3730" s="1" t="s">
        <v>347</v>
      </c>
      <c r="G3730" s="1" t="s">
        <v>209</v>
      </c>
      <c r="H3730" s="1" t="s">
        <v>1405</v>
      </c>
      <c r="I3730">
        <v>2011</v>
      </c>
      <c r="J3730" s="93">
        <v>7531.9</v>
      </c>
      <c r="K3730">
        <v>12</v>
      </c>
      <c r="L3730" s="1"/>
      <c r="M3730">
        <v>0</v>
      </c>
      <c r="N3730">
        <v>3615</v>
      </c>
      <c r="O3730">
        <v>2.0834549999999998</v>
      </c>
      <c r="P3730">
        <v>3</v>
      </c>
      <c r="Q3730" s="1" t="s">
        <v>560</v>
      </c>
      <c r="R3730" s="93">
        <v>7531.9</v>
      </c>
      <c r="S3730">
        <v>6025.52</v>
      </c>
      <c r="T3730">
        <v>1</v>
      </c>
      <c r="U3730" s="1" t="s">
        <v>717</v>
      </c>
      <c r="V3730" s="1"/>
      <c r="W3730">
        <v>7531.9</v>
      </c>
      <c r="X3730">
        <v>0</v>
      </c>
      <c r="Y3730">
        <v>76950</v>
      </c>
    </row>
    <row r="3731" spans="1:25" ht="15" hidden="1" customHeight="1" x14ac:dyDescent="0.25">
      <c r="A3731" s="1" t="s">
        <v>39</v>
      </c>
      <c r="B3731" s="1" t="s">
        <v>84</v>
      </c>
      <c r="C3731" s="1" t="s">
        <v>209</v>
      </c>
      <c r="D3731">
        <v>8878</v>
      </c>
      <c r="E3731" s="1"/>
      <c r="F3731" s="1" t="s">
        <v>347</v>
      </c>
      <c r="G3731" s="1" t="s">
        <v>209</v>
      </c>
      <c r="H3731" s="1" t="s">
        <v>1405</v>
      </c>
      <c r="I3731">
        <v>2011</v>
      </c>
      <c r="J3731" s="93">
        <v>12110.78</v>
      </c>
      <c r="K3731">
        <v>12</v>
      </c>
      <c r="L3731" s="1"/>
      <c r="M3731">
        <v>0</v>
      </c>
      <c r="N3731">
        <v>3615</v>
      </c>
      <c r="O3731">
        <v>3.3500529999999999</v>
      </c>
      <c r="P3731">
        <v>3</v>
      </c>
      <c r="Q3731" s="1" t="s">
        <v>560</v>
      </c>
      <c r="R3731" s="93">
        <v>12110.78</v>
      </c>
      <c r="S3731">
        <v>9688.6200000000008</v>
      </c>
      <c r="T3731">
        <v>0</v>
      </c>
      <c r="U3731" s="1" t="s">
        <v>718</v>
      </c>
      <c r="V3731" s="1"/>
      <c r="W3731">
        <v>12110.781000000001</v>
      </c>
      <c r="X3731">
        <v>0</v>
      </c>
      <c r="Y3731">
        <v>76951</v>
      </c>
    </row>
    <row r="3732" spans="1:25" ht="15" hidden="1" customHeight="1" x14ac:dyDescent="0.25">
      <c r="A3732" s="1" t="s">
        <v>39</v>
      </c>
      <c r="B3732" s="1" t="s">
        <v>84</v>
      </c>
      <c r="C3732" s="1" t="s">
        <v>209</v>
      </c>
      <c r="D3732">
        <v>8878</v>
      </c>
      <c r="E3732" s="1"/>
      <c r="F3732" s="1" t="s">
        <v>347</v>
      </c>
      <c r="G3732" s="1" t="s">
        <v>209</v>
      </c>
      <c r="H3732" s="1" t="s">
        <v>1405</v>
      </c>
      <c r="I3732">
        <v>2010</v>
      </c>
      <c r="J3732" s="93">
        <v>8587.2999999999993</v>
      </c>
      <c r="K3732">
        <v>12</v>
      </c>
      <c r="L3732" s="1"/>
      <c r="M3732">
        <v>0</v>
      </c>
      <c r="N3732">
        <v>3615</v>
      </c>
      <c r="O3732">
        <v>2.375397</v>
      </c>
      <c r="P3732">
        <v>3</v>
      </c>
      <c r="Q3732" s="1" t="s">
        <v>560</v>
      </c>
      <c r="R3732" s="93">
        <v>8587.2999999999993</v>
      </c>
      <c r="S3732">
        <v>6869.84</v>
      </c>
      <c r="T3732">
        <v>1</v>
      </c>
      <c r="U3732" s="1" t="s">
        <v>717</v>
      </c>
      <c r="V3732" s="1"/>
      <c r="W3732">
        <v>8587.2999999999993</v>
      </c>
      <c r="X3732">
        <v>0</v>
      </c>
      <c r="Y3732">
        <v>76950</v>
      </c>
    </row>
    <row r="3733" spans="1:25" ht="15" hidden="1" customHeight="1" x14ac:dyDescent="0.25">
      <c r="A3733" s="1" t="s">
        <v>39</v>
      </c>
      <c r="B3733" s="1" t="s">
        <v>84</v>
      </c>
      <c r="C3733" s="1" t="s">
        <v>209</v>
      </c>
      <c r="D3733">
        <v>8878</v>
      </c>
      <c r="E3733" s="1"/>
      <c r="F3733" s="1" t="s">
        <v>347</v>
      </c>
      <c r="G3733" s="1" t="s">
        <v>209</v>
      </c>
      <c r="H3733" s="1" t="s">
        <v>1405</v>
      </c>
      <c r="I3733">
        <v>2010</v>
      </c>
      <c r="J3733" s="93">
        <v>14794.59</v>
      </c>
      <c r="K3733">
        <v>12</v>
      </c>
      <c r="L3733" s="1"/>
      <c r="M3733">
        <v>0</v>
      </c>
      <c r="N3733">
        <v>3615</v>
      </c>
      <c r="O3733">
        <v>4.0924420000000001</v>
      </c>
      <c r="P3733">
        <v>3</v>
      </c>
      <c r="Q3733" s="1" t="s">
        <v>560</v>
      </c>
      <c r="R3733" s="93">
        <v>14794.59</v>
      </c>
      <c r="S3733">
        <v>11835.66</v>
      </c>
      <c r="T3733">
        <v>0</v>
      </c>
      <c r="U3733" s="1" t="s">
        <v>718</v>
      </c>
      <c r="V3733" s="1"/>
      <c r="W3733">
        <v>14794.589</v>
      </c>
      <c r="X3733">
        <v>0</v>
      </c>
      <c r="Y3733">
        <v>76951</v>
      </c>
    </row>
    <row r="3734" spans="1:25" ht="15" hidden="1" customHeight="1" x14ac:dyDescent="0.25">
      <c r="A3734" s="1" t="s">
        <v>39</v>
      </c>
      <c r="B3734" s="1" t="s">
        <v>84</v>
      </c>
      <c r="C3734" s="1" t="s">
        <v>209</v>
      </c>
      <c r="D3734">
        <v>8878</v>
      </c>
      <c r="E3734" s="1"/>
      <c r="F3734" s="1" t="s">
        <v>347</v>
      </c>
      <c r="G3734" s="1" t="s">
        <v>209</v>
      </c>
      <c r="H3734" s="1" t="s">
        <v>1405</v>
      </c>
      <c r="I3734">
        <v>2009</v>
      </c>
      <c r="J3734" s="93">
        <v>3715.19</v>
      </c>
      <c r="K3734">
        <v>3</v>
      </c>
      <c r="L3734" s="1" t="s">
        <v>456</v>
      </c>
      <c r="M3734">
        <v>0</v>
      </c>
      <c r="N3734">
        <v>3615</v>
      </c>
      <c r="O3734">
        <v>1.0276860000000001</v>
      </c>
      <c r="P3734">
        <v>3</v>
      </c>
      <c r="Q3734" s="1" t="s">
        <v>560</v>
      </c>
      <c r="R3734" s="93">
        <v>3715.19</v>
      </c>
      <c r="S3734">
        <v>2972.15</v>
      </c>
      <c r="T3734">
        <v>0</v>
      </c>
      <c r="U3734" s="1" t="s">
        <v>719</v>
      </c>
      <c r="V3734" s="1"/>
      <c r="W3734">
        <v>3715.19047</v>
      </c>
      <c r="X3734">
        <v>0</v>
      </c>
      <c r="Y3734">
        <v>70699</v>
      </c>
    </row>
    <row r="3735" spans="1:25" ht="15" hidden="1" customHeight="1" x14ac:dyDescent="0.25">
      <c r="A3735" s="1" t="s">
        <v>39</v>
      </c>
      <c r="B3735" s="1" t="s">
        <v>84</v>
      </c>
      <c r="C3735" s="1" t="s">
        <v>209</v>
      </c>
      <c r="D3735">
        <v>8878</v>
      </c>
      <c r="E3735" s="1"/>
      <c r="F3735" s="1" t="s">
        <v>347</v>
      </c>
      <c r="G3735" s="1" t="s">
        <v>209</v>
      </c>
      <c r="H3735" s="1" t="s">
        <v>1405</v>
      </c>
      <c r="I3735">
        <v>2009</v>
      </c>
      <c r="J3735" s="93">
        <v>7942.7</v>
      </c>
      <c r="K3735">
        <v>12</v>
      </c>
      <c r="L3735" s="1"/>
      <c r="M3735">
        <v>0</v>
      </c>
      <c r="N3735">
        <v>3615</v>
      </c>
      <c r="O3735">
        <v>2.1970890000000001</v>
      </c>
      <c r="P3735">
        <v>3</v>
      </c>
      <c r="Q3735" s="1" t="s">
        <v>560</v>
      </c>
      <c r="R3735" s="93">
        <v>7942.7</v>
      </c>
      <c r="S3735">
        <v>6354.16</v>
      </c>
      <c r="T3735">
        <v>1</v>
      </c>
      <c r="U3735" s="1" t="s">
        <v>717</v>
      </c>
      <c r="V3735" s="1"/>
      <c r="W3735">
        <v>7942.7</v>
      </c>
      <c r="X3735">
        <v>0</v>
      </c>
      <c r="Y3735">
        <v>76950</v>
      </c>
    </row>
    <row r="3736" spans="1:25" ht="15" hidden="1" customHeight="1" x14ac:dyDescent="0.25">
      <c r="A3736" s="1" t="s">
        <v>39</v>
      </c>
      <c r="B3736" s="1" t="s">
        <v>84</v>
      </c>
      <c r="C3736" s="1" t="s">
        <v>209</v>
      </c>
      <c r="D3736">
        <v>8878</v>
      </c>
      <c r="E3736" s="1"/>
      <c r="F3736" s="1" t="s">
        <v>347</v>
      </c>
      <c r="G3736" s="1" t="s">
        <v>209</v>
      </c>
      <c r="H3736" s="1" t="s">
        <v>1405</v>
      </c>
      <c r="I3736">
        <v>2009</v>
      </c>
      <c r="J3736" s="93">
        <v>10509.71</v>
      </c>
      <c r="K3736">
        <v>9</v>
      </c>
      <c r="L3736" s="1"/>
      <c r="M3736">
        <v>0</v>
      </c>
      <c r="N3736">
        <v>3615</v>
      </c>
      <c r="O3736">
        <v>2.9071690000000001</v>
      </c>
      <c r="P3736">
        <v>3</v>
      </c>
      <c r="Q3736" s="1" t="s">
        <v>560</v>
      </c>
      <c r="R3736" s="93">
        <v>10509.71</v>
      </c>
      <c r="S3736">
        <v>8407.76</v>
      </c>
      <c r="T3736">
        <v>0</v>
      </c>
      <c r="U3736" s="1" t="s">
        <v>718</v>
      </c>
      <c r="V3736" s="1"/>
      <c r="W3736">
        <v>10509.71</v>
      </c>
      <c r="X3736">
        <v>0</v>
      </c>
      <c r="Y3736">
        <v>76951</v>
      </c>
    </row>
    <row r="3737" spans="1:25" ht="15" hidden="1" customHeight="1" x14ac:dyDescent="0.25">
      <c r="A3737" s="1" t="s">
        <v>39</v>
      </c>
      <c r="B3737" s="1" t="s">
        <v>84</v>
      </c>
      <c r="C3737" s="1" t="s">
        <v>209</v>
      </c>
      <c r="D3737">
        <v>8878</v>
      </c>
      <c r="E3737" s="1"/>
      <c r="F3737" s="1" t="s">
        <v>347</v>
      </c>
      <c r="G3737" s="1" t="s">
        <v>209</v>
      </c>
      <c r="H3737" s="1" t="s">
        <v>1405</v>
      </c>
      <c r="I3737">
        <v>2008</v>
      </c>
      <c r="J3737" s="93">
        <v>13576.95</v>
      </c>
      <c r="K3737">
        <v>10</v>
      </c>
      <c r="L3737" s="1" t="s">
        <v>456</v>
      </c>
      <c r="M3737">
        <v>0</v>
      </c>
      <c r="N3737">
        <v>3615</v>
      </c>
      <c r="O3737">
        <v>3.7556219999999998</v>
      </c>
      <c r="P3737">
        <v>3</v>
      </c>
      <c r="Q3737" s="1" t="s">
        <v>560</v>
      </c>
      <c r="R3737" s="93">
        <v>13576.95</v>
      </c>
      <c r="S3737">
        <v>10861.55</v>
      </c>
      <c r="T3737">
        <v>0</v>
      </c>
      <c r="U3737" s="1" t="s">
        <v>719</v>
      </c>
      <c r="V3737" s="1"/>
      <c r="W3737">
        <v>13576.942859999999</v>
      </c>
      <c r="X3737">
        <v>0</v>
      </c>
      <c r="Y3737">
        <v>70699</v>
      </c>
    </row>
    <row r="3738" spans="1:25" ht="15" hidden="1" customHeight="1" x14ac:dyDescent="0.25">
      <c r="A3738" s="1" t="s">
        <v>39</v>
      </c>
      <c r="B3738" s="1" t="s">
        <v>84</v>
      </c>
      <c r="C3738" s="1" t="s">
        <v>209</v>
      </c>
      <c r="D3738">
        <v>8878</v>
      </c>
      <c r="E3738" s="1"/>
      <c r="F3738" s="1" t="s">
        <v>347</v>
      </c>
      <c r="G3738" s="1" t="s">
        <v>209</v>
      </c>
      <c r="H3738" s="1" t="s">
        <v>1405</v>
      </c>
      <c r="I3738">
        <v>2008</v>
      </c>
      <c r="J3738" s="93">
        <v>4559.1000000000004</v>
      </c>
      <c r="K3738">
        <v>8</v>
      </c>
      <c r="L3738" s="1"/>
      <c r="M3738">
        <v>0</v>
      </c>
      <c r="N3738">
        <v>3615</v>
      </c>
      <c r="O3738">
        <v>1.261126</v>
      </c>
      <c r="P3738">
        <v>3</v>
      </c>
      <c r="Q3738" s="1" t="s">
        <v>560</v>
      </c>
      <c r="R3738" s="93">
        <v>4559.1000000000004</v>
      </c>
      <c r="S3738">
        <v>3647.28</v>
      </c>
      <c r="T3738">
        <v>1</v>
      </c>
      <c r="U3738" s="1" t="s">
        <v>717</v>
      </c>
      <c r="V3738" s="1"/>
      <c r="W3738">
        <v>4559.1000000000004</v>
      </c>
      <c r="X3738">
        <v>0</v>
      </c>
      <c r="Y3738">
        <v>76950</v>
      </c>
    </row>
    <row r="3739" spans="1:25" ht="15" hidden="1" customHeight="1" x14ac:dyDescent="0.25">
      <c r="A3739" s="1" t="s">
        <v>39</v>
      </c>
      <c r="B3739" s="1" t="s">
        <v>83</v>
      </c>
      <c r="C3739" s="1" t="s">
        <v>208</v>
      </c>
      <c r="D3739">
        <v>6339</v>
      </c>
      <c r="E3739" s="1"/>
      <c r="F3739" s="1" t="s">
        <v>341</v>
      </c>
      <c r="G3739" s="1" t="s">
        <v>1402</v>
      </c>
      <c r="H3739" s="1" t="s">
        <v>1396</v>
      </c>
      <c r="I3739">
        <v>2014</v>
      </c>
      <c r="J3739" s="93">
        <v>9.01</v>
      </c>
      <c r="K3739">
        <v>12</v>
      </c>
      <c r="L3739" s="1" t="s">
        <v>421</v>
      </c>
      <c r="M3739">
        <v>0</v>
      </c>
      <c r="N3739">
        <v>0</v>
      </c>
      <c r="O3739">
        <v>90.1</v>
      </c>
      <c r="P3739">
        <v>3</v>
      </c>
      <c r="Q3739" s="1" t="s">
        <v>560</v>
      </c>
      <c r="R3739" s="93">
        <v>9.01</v>
      </c>
      <c r="S3739">
        <v>7.21</v>
      </c>
      <c r="T3739">
        <v>1</v>
      </c>
      <c r="U3739" s="1" t="s">
        <v>698</v>
      </c>
      <c r="V3739" s="1"/>
      <c r="W3739">
        <v>9</v>
      </c>
      <c r="X3739">
        <v>0</v>
      </c>
      <c r="Y3739">
        <v>57739</v>
      </c>
    </row>
    <row r="3740" spans="1:25" ht="15" hidden="1" customHeight="1" x14ac:dyDescent="0.25">
      <c r="A3740" s="1" t="s">
        <v>39</v>
      </c>
      <c r="B3740" s="1" t="s">
        <v>83</v>
      </c>
      <c r="C3740" s="1" t="s">
        <v>208</v>
      </c>
      <c r="D3740">
        <v>5452</v>
      </c>
      <c r="E3740" s="1"/>
      <c r="F3740" s="1" t="s">
        <v>342</v>
      </c>
      <c r="G3740" s="1" t="s">
        <v>1402</v>
      </c>
      <c r="H3740" s="1" t="s">
        <v>1404</v>
      </c>
      <c r="I3740">
        <v>2014</v>
      </c>
      <c r="J3740" s="93">
        <v>3927.85</v>
      </c>
      <c r="K3740">
        <v>12</v>
      </c>
      <c r="L3740" s="1" t="s">
        <v>402</v>
      </c>
      <c r="M3740">
        <v>0</v>
      </c>
      <c r="N3740">
        <v>0</v>
      </c>
      <c r="O3740">
        <v>39278.5</v>
      </c>
      <c r="P3740">
        <v>3</v>
      </c>
      <c r="Q3740" s="1" t="s">
        <v>560</v>
      </c>
      <c r="R3740" s="93">
        <v>3927.85</v>
      </c>
      <c r="S3740">
        <v>0</v>
      </c>
      <c r="T3740">
        <v>1</v>
      </c>
      <c r="U3740" s="1" t="s">
        <v>699</v>
      </c>
      <c r="V3740" s="1"/>
      <c r="W3740">
        <v>3927.85</v>
      </c>
      <c r="X3740">
        <v>0</v>
      </c>
      <c r="Y3740">
        <v>57547</v>
      </c>
    </row>
    <row r="3741" spans="1:25" ht="15" hidden="1" customHeight="1" x14ac:dyDescent="0.25">
      <c r="A3741" s="1" t="s">
        <v>39</v>
      </c>
      <c r="B3741" s="1" t="s">
        <v>83</v>
      </c>
      <c r="C3741" s="1" t="s">
        <v>208</v>
      </c>
      <c r="D3741">
        <v>5452</v>
      </c>
      <c r="E3741" s="1"/>
      <c r="F3741" s="1" t="s">
        <v>342</v>
      </c>
      <c r="G3741" s="1" t="s">
        <v>1402</v>
      </c>
      <c r="H3741" s="1" t="s">
        <v>1404</v>
      </c>
      <c r="I3741">
        <v>2014</v>
      </c>
      <c r="J3741" s="93">
        <v>0</v>
      </c>
      <c r="K3741">
        <v>11</v>
      </c>
      <c r="L3741" s="1" t="s">
        <v>452</v>
      </c>
      <c r="M3741">
        <v>0</v>
      </c>
      <c r="N3741">
        <v>0</v>
      </c>
      <c r="O3741">
        <v>0</v>
      </c>
      <c r="P3741">
        <v>3</v>
      </c>
      <c r="Q3741" s="1" t="s">
        <v>560</v>
      </c>
      <c r="R3741" s="93">
        <v>0</v>
      </c>
      <c r="S3741">
        <v>0</v>
      </c>
      <c r="T3741">
        <v>1</v>
      </c>
      <c r="U3741" s="1" t="s">
        <v>704</v>
      </c>
      <c r="V3741" s="1"/>
      <c r="W3741">
        <v>0</v>
      </c>
      <c r="X3741">
        <v>0</v>
      </c>
      <c r="Y3741">
        <v>57738</v>
      </c>
    </row>
    <row r="3742" spans="1:25" ht="15" hidden="1" customHeight="1" x14ac:dyDescent="0.25">
      <c r="A3742" s="1" t="s">
        <v>39</v>
      </c>
      <c r="B3742" s="1" t="s">
        <v>83</v>
      </c>
      <c r="C3742" s="1" t="s">
        <v>208</v>
      </c>
      <c r="D3742">
        <v>5452</v>
      </c>
      <c r="E3742" s="1"/>
      <c r="F3742" s="1" t="s">
        <v>342</v>
      </c>
      <c r="G3742" s="1" t="s">
        <v>1402</v>
      </c>
      <c r="H3742" s="1" t="s">
        <v>1404</v>
      </c>
      <c r="I3742">
        <v>2014</v>
      </c>
      <c r="J3742" s="93">
        <v>235.49</v>
      </c>
      <c r="K3742">
        <v>12</v>
      </c>
      <c r="L3742" s="1" t="s">
        <v>421</v>
      </c>
      <c r="M3742">
        <v>0</v>
      </c>
      <c r="N3742">
        <v>0</v>
      </c>
      <c r="O3742">
        <v>2354.9</v>
      </c>
      <c r="P3742">
        <v>3</v>
      </c>
      <c r="Q3742" s="1" t="s">
        <v>560</v>
      </c>
      <c r="R3742" s="93">
        <v>235.49</v>
      </c>
      <c r="S3742">
        <v>188.4</v>
      </c>
      <c r="T3742">
        <v>1</v>
      </c>
      <c r="U3742" s="1" t="s">
        <v>700</v>
      </c>
      <c r="V3742" s="1"/>
      <c r="W3742">
        <v>235.49193</v>
      </c>
      <c r="X3742">
        <v>0</v>
      </c>
      <c r="Y3742">
        <v>57740</v>
      </c>
    </row>
    <row r="3743" spans="1:25" ht="15" hidden="1" customHeight="1" x14ac:dyDescent="0.25">
      <c r="A3743" s="1" t="s">
        <v>39</v>
      </c>
      <c r="B3743" s="1" t="s">
        <v>83</v>
      </c>
      <c r="C3743" s="1" t="s">
        <v>208</v>
      </c>
      <c r="D3743">
        <v>5452</v>
      </c>
      <c r="E3743" s="1"/>
      <c r="F3743" s="1" t="s">
        <v>342</v>
      </c>
      <c r="G3743" s="1" t="s">
        <v>1402</v>
      </c>
      <c r="H3743" s="1" t="s">
        <v>1404</v>
      </c>
      <c r="I3743">
        <v>2014</v>
      </c>
      <c r="J3743" s="93">
        <v>551.02</v>
      </c>
      <c r="K3743">
        <v>12</v>
      </c>
      <c r="L3743" s="1" t="s">
        <v>421</v>
      </c>
      <c r="M3743">
        <v>0</v>
      </c>
      <c r="N3743">
        <v>0</v>
      </c>
      <c r="O3743">
        <v>5510.2</v>
      </c>
      <c r="P3743">
        <v>3</v>
      </c>
      <c r="Q3743" s="1" t="s">
        <v>560</v>
      </c>
      <c r="R3743" s="93">
        <v>551.02</v>
      </c>
      <c r="S3743">
        <v>440.8</v>
      </c>
      <c r="T3743">
        <v>1</v>
      </c>
      <c r="U3743" s="1" t="s">
        <v>701</v>
      </c>
      <c r="V3743" s="1"/>
      <c r="W3743">
        <v>551.01412000000005</v>
      </c>
      <c r="X3743">
        <v>0</v>
      </c>
      <c r="Y3743">
        <v>57741</v>
      </c>
    </row>
    <row r="3744" spans="1:25" ht="15" hidden="1" customHeight="1" x14ac:dyDescent="0.25">
      <c r="A3744" s="1" t="s">
        <v>39</v>
      </c>
      <c r="B3744" s="1" t="s">
        <v>83</v>
      </c>
      <c r="C3744" s="1" t="s">
        <v>208</v>
      </c>
      <c r="D3744">
        <v>5452</v>
      </c>
      <c r="E3744" s="1"/>
      <c r="F3744" s="1" t="s">
        <v>342</v>
      </c>
      <c r="G3744" s="1" t="s">
        <v>1402</v>
      </c>
      <c r="H3744" s="1" t="s">
        <v>1404</v>
      </c>
      <c r="I3744">
        <v>2014</v>
      </c>
      <c r="J3744" s="93">
        <v>732.86</v>
      </c>
      <c r="K3744">
        <v>12</v>
      </c>
      <c r="L3744" s="1" t="s">
        <v>421</v>
      </c>
      <c r="M3744">
        <v>0</v>
      </c>
      <c r="N3744">
        <v>0</v>
      </c>
      <c r="O3744">
        <v>7328.6</v>
      </c>
      <c r="P3744">
        <v>3</v>
      </c>
      <c r="Q3744" s="1" t="s">
        <v>560</v>
      </c>
      <c r="R3744" s="93">
        <v>732.86</v>
      </c>
      <c r="S3744">
        <v>586.29999999999995</v>
      </c>
      <c r="T3744">
        <v>1</v>
      </c>
      <c r="U3744" s="1" t="s">
        <v>702</v>
      </c>
      <c r="V3744" s="1"/>
      <c r="W3744">
        <v>732.86189000000002</v>
      </c>
      <c r="X3744">
        <v>0</v>
      </c>
      <c r="Y3744">
        <v>57742</v>
      </c>
    </row>
    <row r="3745" spans="1:25" ht="15" hidden="1" customHeight="1" x14ac:dyDescent="0.25">
      <c r="A3745" s="1" t="s">
        <v>39</v>
      </c>
      <c r="B3745" s="1" t="s">
        <v>83</v>
      </c>
      <c r="C3745" s="1" t="s">
        <v>208</v>
      </c>
      <c r="D3745">
        <v>5452</v>
      </c>
      <c r="E3745" s="1"/>
      <c r="F3745" s="1" t="s">
        <v>342</v>
      </c>
      <c r="G3745" s="1" t="s">
        <v>1402</v>
      </c>
      <c r="H3745" s="1" t="s">
        <v>1404</v>
      </c>
      <c r="I3745">
        <v>2014</v>
      </c>
      <c r="J3745" s="93">
        <v>1857.46</v>
      </c>
      <c r="K3745">
        <v>12</v>
      </c>
      <c r="L3745" s="1" t="s">
        <v>421</v>
      </c>
      <c r="M3745">
        <v>0</v>
      </c>
      <c r="N3745">
        <v>0</v>
      </c>
      <c r="O3745">
        <v>18574.599999999999</v>
      </c>
      <c r="P3745">
        <v>3</v>
      </c>
      <c r="Q3745" s="1" t="s">
        <v>560</v>
      </c>
      <c r="R3745" s="93">
        <v>1857.46</v>
      </c>
      <c r="S3745">
        <v>1485.97</v>
      </c>
      <c r="T3745">
        <v>1</v>
      </c>
      <c r="U3745" s="1" t="s">
        <v>703</v>
      </c>
      <c r="V3745" s="1"/>
      <c r="W3745">
        <v>1857.45868</v>
      </c>
      <c r="X3745">
        <v>0</v>
      </c>
      <c r="Y3745">
        <v>57745</v>
      </c>
    </row>
    <row r="3746" spans="1:25" ht="15" hidden="1" customHeight="1" x14ac:dyDescent="0.25">
      <c r="A3746" s="1" t="s">
        <v>39</v>
      </c>
      <c r="B3746" s="1" t="s">
        <v>83</v>
      </c>
      <c r="C3746" s="1" t="s">
        <v>208</v>
      </c>
      <c r="D3746">
        <v>5449</v>
      </c>
      <c r="E3746" s="1"/>
      <c r="F3746" s="1" t="s">
        <v>344</v>
      </c>
      <c r="G3746" s="1" t="s">
        <v>1402</v>
      </c>
      <c r="H3746" s="1" t="s">
        <v>1405</v>
      </c>
      <c r="I3746">
        <v>2014</v>
      </c>
      <c r="J3746" s="93">
        <v>14332.4</v>
      </c>
      <c r="K3746">
        <v>12</v>
      </c>
      <c r="L3746" s="1" t="s">
        <v>402</v>
      </c>
      <c r="M3746">
        <v>0</v>
      </c>
      <c r="N3746">
        <v>7709</v>
      </c>
      <c r="O3746">
        <v>1.8591530000000001</v>
      </c>
      <c r="P3746">
        <v>3</v>
      </c>
      <c r="Q3746" s="1" t="s">
        <v>560</v>
      </c>
      <c r="R3746" s="93">
        <v>14332.4</v>
      </c>
      <c r="S3746">
        <v>11465.92</v>
      </c>
      <c r="T3746">
        <v>0</v>
      </c>
      <c r="U3746" s="1" t="s">
        <v>706</v>
      </c>
      <c r="V3746" s="1"/>
      <c r="W3746">
        <v>14332.4</v>
      </c>
      <c r="X3746">
        <v>0</v>
      </c>
      <c r="Y3746">
        <v>57535</v>
      </c>
    </row>
    <row r="3747" spans="1:25" ht="15" hidden="1" customHeight="1" x14ac:dyDescent="0.25">
      <c r="A3747" s="1" t="s">
        <v>39</v>
      </c>
      <c r="B3747" s="1" t="s">
        <v>83</v>
      </c>
      <c r="C3747" s="1" t="s">
        <v>208</v>
      </c>
      <c r="D3747">
        <v>5453</v>
      </c>
      <c r="E3747" s="1"/>
      <c r="F3747" s="1" t="s">
        <v>345</v>
      </c>
      <c r="G3747" s="1" t="s">
        <v>1402</v>
      </c>
      <c r="H3747" s="1" t="s">
        <v>1404</v>
      </c>
      <c r="I3747">
        <v>2014</v>
      </c>
      <c r="J3747" s="93">
        <v>473</v>
      </c>
      <c r="K3747">
        <v>12</v>
      </c>
      <c r="L3747" s="1" t="s">
        <v>421</v>
      </c>
      <c r="M3747">
        <v>0</v>
      </c>
      <c r="N3747">
        <v>610</v>
      </c>
      <c r="O3747">
        <v>0.77528200000000003</v>
      </c>
      <c r="P3747">
        <v>3</v>
      </c>
      <c r="Q3747" s="1" t="s">
        <v>560</v>
      </c>
      <c r="R3747" s="93">
        <v>473</v>
      </c>
      <c r="S3747">
        <v>0</v>
      </c>
      <c r="T3747">
        <v>1</v>
      </c>
      <c r="U3747" s="1" t="s">
        <v>707</v>
      </c>
      <c r="V3747" s="1"/>
      <c r="W3747">
        <v>473.00706000000002</v>
      </c>
      <c r="X3747">
        <v>0</v>
      </c>
      <c r="Y3747">
        <v>84286</v>
      </c>
    </row>
    <row r="3748" spans="1:25" ht="15" hidden="1" customHeight="1" x14ac:dyDescent="0.25">
      <c r="A3748" s="1" t="s">
        <v>39</v>
      </c>
      <c r="B3748" s="1" t="s">
        <v>83</v>
      </c>
      <c r="C3748" s="1" t="s">
        <v>208</v>
      </c>
      <c r="D3748">
        <v>5450</v>
      </c>
      <c r="E3748" s="1"/>
      <c r="F3748" s="1" t="s">
        <v>365</v>
      </c>
      <c r="G3748" s="1" t="s">
        <v>1402</v>
      </c>
      <c r="H3748" s="1" t="s">
        <v>1396</v>
      </c>
      <c r="I3748">
        <v>2014</v>
      </c>
      <c r="J3748" s="93">
        <v>141320.34</v>
      </c>
      <c r="K3748">
        <v>12</v>
      </c>
      <c r="L3748" s="1" t="s">
        <v>421</v>
      </c>
      <c r="M3748">
        <v>0</v>
      </c>
      <c r="N3748">
        <v>0</v>
      </c>
      <c r="O3748">
        <v>1413203.4</v>
      </c>
      <c r="P3748">
        <v>1</v>
      </c>
      <c r="Q3748" s="1" t="s">
        <v>562</v>
      </c>
      <c r="R3748" s="93">
        <v>141320.34</v>
      </c>
      <c r="S3748">
        <v>13212162.24</v>
      </c>
      <c r="T3748">
        <v>1</v>
      </c>
      <c r="U3748" s="1" t="s">
        <v>878</v>
      </c>
      <c r="V3748" s="1"/>
      <c r="W3748">
        <v>141320.3377</v>
      </c>
      <c r="X3748">
        <v>0</v>
      </c>
      <c r="Y3748">
        <v>57557</v>
      </c>
    </row>
    <row r="3749" spans="1:25" ht="15" hidden="1" customHeight="1" x14ac:dyDescent="0.25">
      <c r="A3749" s="1" t="s">
        <v>39</v>
      </c>
      <c r="B3749" s="1" t="s">
        <v>83</v>
      </c>
      <c r="C3749" s="1" t="s">
        <v>208</v>
      </c>
      <c r="D3749">
        <v>5450</v>
      </c>
      <c r="E3749" s="1"/>
      <c r="F3749" s="1" t="s">
        <v>365</v>
      </c>
      <c r="G3749" s="1" t="s">
        <v>1402</v>
      </c>
      <c r="H3749" s="1" t="s">
        <v>1396</v>
      </c>
      <c r="I3749">
        <v>2014</v>
      </c>
      <c r="J3749" s="93">
        <v>115462.39999999999</v>
      </c>
      <c r="K3749">
        <v>12</v>
      </c>
      <c r="L3749" s="1" t="s">
        <v>421</v>
      </c>
      <c r="M3749">
        <v>0</v>
      </c>
      <c r="N3749">
        <v>0</v>
      </c>
      <c r="O3749">
        <v>1154624</v>
      </c>
      <c r="P3749">
        <v>1</v>
      </c>
      <c r="Q3749" s="1" t="s">
        <v>562</v>
      </c>
      <c r="R3749" s="93">
        <v>115462.39999999999</v>
      </c>
      <c r="S3749">
        <v>10622099.449999999</v>
      </c>
      <c r="T3749">
        <v>1</v>
      </c>
      <c r="U3749" s="1" t="s">
        <v>880</v>
      </c>
      <c r="V3749" s="1"/>
      <c r="W3749">
        <v>115462.40222</v>
      </c>
      <c r="X3749">
        <v>0</v>
      </c>
      <c r="Y3749">
        <v>57626</v>
      </c>
    </row>
    <row r="3750" spans="1:25" ht="15" hidden="1" customHeight="1" x14ac:dyDescent="0.25">
      <c r="A3750" s="1" t="s">
        <v>39</v>
      </c>
      <c r="B3750" s="1" t="s">
        <v>83</v>
      </c>
      <c r="C3750" s="1" t="s">
        <v>208</v>
      </c>
      <c r="D3750">
        <v>5450</v>
      </c>
      <c r="E3750" s="1"/>
      <c r="F3750" s="1" t="s">
        <v>365</v>
      </c>
      <c r="G3750" s="1" t="s">
        <v>1402</v>
      </c>
      <c r="H3750" s="1" t="s">
        <v>1396</v>
      </c>
      <c r="I3750">
        <v>2014</v>
      </c>
      <c r="J3750" s="93">
        <v>548012.62</v>
      </c>
      <c r="K3750">
        <v>11</v>
      </c>
      <c r="L3750" s="1" t="s">
        <v>421</v>
      </c>
      <c r="M3750">
        <v>0</v>
      </c>
      <c r="N3750">
        <v>0</v>
      </c>
      <c r="O3750">
        <v>5480126.2000000002</v>
      </c>
      <c r="P3750">
        <v>1</v>
      </c>
      <c r="Q3750" s="1" t="s">
        <v>562</v>
      </c>
      <c r="R3750" s="93">
        <v>548012.62</v>
      </c>
      <c r="S3750">
        <v>47483904.579999998</v>
      </c>
      <c r="T3750">
        <v>1</v>
      </c>
      <c r="U3750" s="1" t="s">
        <v>876</v>
      </c>
      <c r="V3750" s="1"/>
      <c r="W3750">
        <v>548012.62095999997</v>
      </c>
      <c r="X3750">
        <v>0</v>
      </c>
      <c r="Y3750">
        <v>57632</v>
      </c>
    </row>
    <row r="3751" spans="1:25" ht="15" hidden="1" customHeight="1" x14ac:dyDescent="0.25">
      <c r="A3751" s="1" t="s">
        <v>39</v>
      </c>
      <c r="B3751" s="1" t="s">
        <v>83</v>
      </c>
      <c r="C3751" s="1" t="s">
        <v>208</v>
      </c>
      <c r="D3751">
        <v>5450</v>
      </c>
      <c r="E3751" s="1"/>
      <c r="F3751" s="1" t="s">
        <v>365</v>
      </c>
      <c r="G3751" s="1" t="s">
        <v>1402</v>
      </c>
      <c r="H3751" s="1" t="s">
        <v>1396</v>
      </c>
      <c r="I3751">
        <v>2014</v>
      </c>
      <c r="J3751" s="93">
        <v>24166.55</v>
      </c>
      <c r="K3751">
        <v>12</v>
      </c>
      <c r="L3751" s="1" t="s">
        <v>421</v>
      </c>
      <c r="M3751">
        <v>0</v>
      </c>
      <c r="N3751">
        <v>0</v>
      </c>
      <c r="O3751">
        <v>241665.5</v>
      </c>
      <c r="P3751">
        <v>1</v>
      </c>
      <c r="Q3751" s="1" t="s">
        <v>562</v>
      </c>
      <c r="R3751" s="93">
        <v>24166.55</v>
      </c>
      <c r="S3751">
        <v>44771.57</v>
      </c>
      <c r="T3751">
        <v>1</v>
      </c>
      <c r="U3751" s="1" t="s">
        <v>882</v>
      </c>
      <c r="V3751" s="1"/>
      <c r="W3751">
        <v>24166.54537</v>
      </c>
      <c r="X3751">
        <v>0</v>
      </c>
      <c r="Y3751">
        <v>57634</v>
      </c>
    </row>
    <row r="3752" spans="1:25" ht="15" hidden="1" customHeight="1" x14ac:dyDescent="0.25">
      <c r="A3752" s="1" t="s">
        <v>39</v>
      </c>
      <c r="B3752" s="1" t="s">
        <v>83</v>
      </c>
      <c r="C3752" s="1" t="s">
        <v>208</v>
      </c>
      <c r="D3752">
        <v>5450</v>
      </c>
      <c r="E3752" s="1"/>
      <c r="F3752" s="1" t="s">
        <v>365</v>
      </c>
      <c r="G3752" s="1" t="s">
        <v>1402</v>
      </c>
      <c r="H3752" s="1" t="s">
        <v>1396</v>
      </c>
      <c r="I3752">
        <v>2014</v>
      </c>
      <c r="J3752" s="93">
        <v>4657.03</v>
      </c>
      <c r="K3752">
        <v>12</v>
      </c>
      <c r="L3752" s="1" t="s">
        <v>421</v>
      </c>
      <c r="M3752">
        <v>0</v>
      </c>
      <c r="N3752">
        <v>0</v>
      </c>
      <c r="O3752">
        <v>46570.3</v>
      </c>
      <c r="P3752">
        <v>1</v>
      </c>
      <c r="Q3752" s="1" t="s">
        <v>562</v>
      </c>
      <c r="R3752" s="93">
        <v>4657.03</v>
      </c>
      <c r="S3752">
        <v>335435.84999999998</v>
      </c>
      <c r="T3752">
        <v>1</v>
      </c>
      <c r="U3752" s="1" t="s">
        <v>879</v>
      </c>
      <c r="V3752" s="1"/>
      <c r="W3752">
        <v>4657.0161200000002</v>
      </c>
      <c r="X3752">
        <v>0</v>
      </c>
      <c r="Y3752">
        <v>57559</v>
      </c>
    </row>
    <row r="3753" spans="1:25" ht="15" hidden="1" customHeight="1" x14ac:dyDescent="0.25">
      <c r="A3753" s="1" t="s">
        <v>39</v>
      </c>
      <c r="B3753" s="1" t="s">
        <v>83</v>
      </c>
      <c r="C3753" s="1" t="s">
        <v>208</v>
      </c>
      <c r="D3753">
        <v>5450</v>
      </c>
      <c r="E3753" s="1"/>
      <c r="F3753" s="1" t="s">
        <v>365</v>
      </c>
      <c r="G3753" s="1" t="s">
        <v>1402</v>
      </c>
      <c r="H3753" s="1" t="s">
        <v>1396</v>
      </c>
      <c r="I3753">
        <v>2014</v>
      </c>
      <c r="J3753" s="93">
        <v>86167.13</v>
      </c>
      <c r="K3753">
        <v>12</v>
      </c>
      <c r="L3753" s="1" t="s">
        <v>421</v>
      </c>
      <c r="M3753">
        <v>0</v>
      </c>
      <c r="N3753">
        <v>0</v>
      </c>
      <c r="O3753">
        <v>861671.3</v>
      </c>
      <c r="P3753">
        <v>1</v>
      </c>
      <c r="Q3753" s="1" t="s">
        <v>562</v>
      </c>
      <c r="R3753" s="93">
        <v>86167.13</v>
      </c>
      <c r="S3753">
        <v>6741064.9199999999</v>
      </c>
      <c r="T3753">
        <v>1</v>
      </c>
      <c r="U3753" s="1" t="s">
        <v>874</v>
      </c>
      <c r="V3753" s="1"/>
      <c r="W3753">
        <v>86167.145170000003</v>
      </c>
      <c r="X3753">
        <v>0</v>
      </c>
      <c r="Y3753">
        <v>57561</v>
      </c>
    </row>
    <row r="3754" spans="1:25" ht="15" hidden="1" customHeight="1" x14ac:dyDescent="0.25">
      <c r="A3754" s="1" t="s">
        <v>39</v>
      </c>
      <c r="B3754" s="1" t="s">
        <v>83</v>
      </c>
      <c r="C3754" s="1" t="s">
        <v>208</v>
      </c>
      <c r="D3754">
        <v>5450</v>
      </c>
      <c r="E3754" s="1"/>
      <c r="F3754" s="1" t="s">
        <v>365</v>
      </c>
      <c r="G3754" s="1" t="s">
        <v>1402</v>
      </c>
      <c r="H3754" s="1" t="s">
        <v>1396</v>
      </c>
      <c r="I3754">
        <v>2014</v>
      </c>
      <c r="J3754" s="93">
        <v>9807.93</v>
      </c>
      <c r="K3754">
        <v>12</v>
      </c>
      <c r="L3754" s="1" t="s">
        <v>421</v>
      </c>
      <c r="M3754">
        <v>0</v>
      </c>
      <c r="N3754">
        <v>0</v>
      </c>
      <c r="O3754">
        <v>98079.3</v>
      </c>
      <c r="P3754">
        <v>1</v>
      </c>
      <c r="Q3754" s="1" t="s">
        <v>562</v>
      </c>
      <c r="R3754" s="93">
        <v>9807.93</v>
      </c>
      <c r="S3754">
        <v>734127.28</v>
      </c>
      <c r="T3754">
        <v>1</v>
      </c>
      <c r="U3754" s="1" t="s">
        <v>881</v>
      </c>
      <c r="V3754" s="1"/>
      <c r="W3754">
        <v>9807.92238</v>
      </c>
      <c r="X3754">
        <v>0</v>
      </c>
      <c r="Y3754">
        <v>57628</v>
      </c>
    </row>
    <row r="3755" spans="1:25" ht="15" hidden="1" customHeight="1" x14ac:dyDescent="0.25">
      <c r="A3755" s="1" t="s">
        <v>39</v>
      </c>
      <c r="B3755" s="1" t="s">
        <v>83</v>
      </c>
      <c r="C3755" s="1" t="s">
        <v>208</v>
      </c>
      <c r="D3755">
        <v>5450</v>
      </c>
      <c r="E3755" s="1"/>
      <c r="F3755" s="1" t="s">
        <v>365</v>
      </c>
      <c r="G3755" s="1" t="s">
        <v>1402</v>
      </c>
      <c r="H3755" s="1" t="s">
        <v>1396</v>
      </c>
      <c r="I3755">
        <v>2014</v>
      </c>
      <c r="J3755" s="93">
        <v>269085.56</v>
      </c>
      <c r="K3755">
        <v>11</v>
      </c>
      <c r="L3755" s="1" t="s">
        <v>421</v>
      </c>
      <c r="M3755">
        <v>0</v>
      </c>
      <c r="N3755">
        <v>0</v>
      </c>
      <c r="O3755">
        <v>2690855.6</v>
      </c>
      <c r="P3755">
        <v>1</v>
      </c>
      <c r="Q3755" s="1" t="s">
        <v>562</v>
      </c>
      <c r="R3755" s="93">
        <v>269085.56</v>
      </c>
      <c r="S3755">
        <v>24754809.52</v>
      </c>
      <c r="T3755">
        <v>1</v>
      </c>
      <c r="U3755" s="1" t="s">
        <v>875</v>
      </c>
      <c r="V3755" s="1"/>
      <c r="W3755">
        <v>269085.56452000001</v>
      </c>
      <c r="X3755">
        <v>0</v>
      </c>
      <c r="Y3755">
        <v>57630</v>
      </c>
    </row>
    <row r="3756" spans="1:25" ht="15" hidden="1" customHeight="1" x14ac:dyDescent="0.25">
      <c r="A3756" s="1" t="s">
        <v>39</v>
      </c>
      <c r="B3756" s="1" t="s">
        <v>83</v>
      </c>
      <c r="C3756" s="1" t="s">
        <v>208</v>
      </c>
      <c r="D3756">
        <v>5450</v>
      </c>
      <c r="E3756" s="1"/>
      <c r="F3756" s="1" t="s">
        <v>365</v>
      </c>
      <c r="G3756" s="1" t="s">
        <v>1402</v>
      </c>
      <c r="H3756" s="1" t="s">
        <v>1396</v>
      </c>
      <c r="I3756">
        <v>2014</v>
      </c>
      <c r="J3756" s="93">
        <v>9345.1</v>
      </c>
      <c r="K3756">
        <v>12</v>
      </c>
      <c r="L3756" s="1" t="s">
        <v>421</v>
      </c>
      <c r="M3756">
        <v>0</v>
      </c>
      <c r="N3756">
        <v>0</v>
      </c>
      <c r="O3756">
        <v>93451</v>
      </c>
      <c r="P3756">
        <v>1</v>
      </c>
      <c r="Q3756" s="1" t="s">
        <v>562</v>
      </c>
      <c r="R3756" s="93">
        <v>9345.1</v>
      </c>
      <c r="S3756">
        <v>644191.98</v>
      </c>
      <c r="T3756">
        <v>1</v>
      </c>
      <c r="U3756" s="1" t="s">
        <v>883</v>
      </c>
      <c r="V3756" s="1"/>
      <c r="W3756">
        <v>9345.1038200000003</v>
      </c>
      <c r="X3756">
        <v>0</v>
      </c>
      <c r="Y3756">
        <v>57636</v>
      </c>
    </row>
    <row r="3757" spans="1:25" ht="15" hidden="1" customHeight="1" x14ac:dyDescent="0.25">
      <c r="A3757" s="1" t="s">
        <v>39</v>
      </c>
      <c r="B3757" s="1" t="s">
        <v>83</v>
      </c>
      <c r="C3757" s="1" t="s">
        <v>208</v>
      </c>
      <c r="D3757">
        <v>5450</v>
      </c>
      <c r="E3757" s="1"/>
      <c r="F3757" s="1" t="s">
        <v>365</v>
      </c>
      <c r="G3757" s="1" t="s">
        <v>1402</v>
      </c>
      <c r="H3757" s="1" t="s">
        <v>1396</v>
      </c>
      <c r="I3757">
        <v>2014</v>
      </c>
      <c r="J3757" s="93">
        <v>2641.4</v>
      </c>
      <c r="K3757">
        <v>12</v>
      </c>
      <c r="L3757" s="1" t="s">
        <v>421</v>
      </c>
      <c r="M3757">
        <v>0</v>
      </c>
      <c r="N3757">
        <v>0</v>
      </c>
      <c r="O3757">
        <v>26414</v>
      </c>
      <c r="P3757">
        <v>1</v>
      </c>
      <c r="Q3757" s="1" t="s">
        <v>562</v>
      </c>
      <c r="R3757" s="93">
        <v>2641.4</v>
      </c>
      <c r="S3757">
        <v>128201.36</v>
      </c>
      <c r="T3757">
        <v>1</v>
      </c>
      <c r="U3757" s="1" t="s">
        <v>877</v>
      </c>
      <c r="V3757" s="1"/>
      <c r="W3757">
        <v>2641.41129</v>
      </c>
      <c r="X3757">
        <v>0</v>
      </c>
      <c r="Y3757">
        <v>57638</v>
      </c>
    </row>
    <row r="3758" spans="1:25" ht="15" hidden="1" customHeight="1" x14ac:dyDescent="0.25">
      <c r="A3758" s="1" t="s">
        <v>39</v>
      </c>
      <c r="B3758" s="1" t="s">
        <v>83</v>
      </c>
      <c r="C3758" s="1" t="s">
        <v>208</v>
      </c>
      <c r="D3758">
        <v>5449</v>
      </c>
      <c r="E3758" s="1"/>
      <c r="F3758" s="1" t="s">
        <v>344</v>
      </c>
      <c r="G3758" s="1" t="s">
        <v>1402</v>
      </c>
      <c r="H3758" s="1" t="s">
        <v>1405</v>
      </c>
      <c r="I3758">
        <v>2014</v>
      </c>
      <c r="J3758" s="93">
        <v>1480800</v>
      </c>
      <c r="K3758">
        <v>12</v>
      </c>
      <c r="L3758" s="1" t="s">
        <v>402</v>
      </c>
      <c r="M3758">
        <v>0</v>
      </c>
      <c r="N3758">
        <v>7709</v>
      </c>
      <c r="O3758">
        <v>192.08467899999999</v>
      </c>
      <c r="P3758">
        <v>1</v>
      </c>
      <c r="Q3758" s="1" t="s">
        <v>562</v>
      </c>
      <c r="R3758" s="93">
        <v>1645752.38</v>
      </c>
      <c r="S3758">
        <v>138735554.68000001</v>
      </c>
      <c r="T3758">
        <v>0</v>
      </c>
      <c r="U3758" s="1" t="s">
        <v>884</v>
      </c>
      <c r="V3758" s="1"/>
      <c r="W3758">
        <v>1480800</v>
      </c>
      <c r="X3758">
        <v>0</v>
      </c>
      <c r="Y3758">
        <v>57534</v>
      </c>
    </row>
    <row r="3759" spans="1:25" ht="15" hidden="1" customHeight="1" x14ac:dyDescent="0.25">
      <c r="A3759" s="1" t="s">
        <v>39</v>
      </c>
      <c r="B3759" s="1" t="s">
        <v>83</v>
      </c>
      <c r="C3759" s="1" t="s">
        <v>208</v>
      </c>
      <c r="D3759">
        <v>5453</v>
      </c>
      <c r="E3759" s="1"/>
      <c r="F3759" s="1" t="s">
        <v>345</v>
      </c>
      <c r="G3759" s="1" t="s">
        <v>1402</v>
      </c>
      <c r="H3759" s="1" t="s">
        <v>1404</v>
      </c>
      <c r="I3759">
        <v>2014</v>
      </c>
      <c r="J3759" s="93">
        <v>27761.26</v>
      </c>
      <c r="K3759">
        <v>12</v>
      </c>
      <c r="L3759" s="1" t="s">
        <v>421</v>
      </c>
      <c r="M3759">
        <v>0</v>
      </c>
      <c r="N3759">
        <v>610</v>
      </c>
      <c r="O3759">
        <v>45.502802000000003</v>
      </c>
      <c r="P3759">
        <v>1</v>
      </c>
      <c r="Q3759" s="1" t="s">
        <v>562</v>
      </c>
      <c r="R3759" s="93">
        <v>32837.96</v>
      </c>
      <c r="S3759">
        <v>2960839.96</v>
      </c>
      <c r="T3759">
        <v>1</v>
      </c>
      <c r="U3759" s="1" t="s">
        <v>886</v>
      </c>
      <c r="V3759" s="1"/>
      <c r="W3759">
        <v>27761.251</v>
      </c>
      <c r="X3759">
        <v>0</v>
      </c>
      <c r="Y3759">
        <v>84287</v>
      </c>
    </row>
    <row r="3760" spans="1:25" ht="15" hidden="1" customHeight="1" x14ac:dyDescent="0.25">
      <c r="A3760" s="1" t="s">
        <v>39</v>
      </c>
      <c r="B3760" s="1" t="s">
        <v>83</v>
      </c>
      <c r="C3760" s="1" t="s">
        <v>208</v>
      </c>
      <c r="D3760">
        <v>5449</v>
      </c>
      <c r="E3760" s="1"/>
      <c r="F3760" s="1" t="s">
        <v>344</v>
      </c>
      <c r="G3760" s="1" t="s">
        <v>1402</v>
      </c>
      <c r="H3760" s="1" t="s">
        <v>1405</v>
      </c>
      <c r="I3760">
        <v>2014</v>
      </c>
      <c r="J3760" s="93">
        <v>444492.65</v>
      </c>
      <c r="K3760">
        <v>12</v>
      </c>
      <c r="L3760" s="1"/>
      <c r="M3760">
        <v>0</v>
      </c>
      <c r="N3760">
        <v>7709</v>
      </c>
      <c r="O3760">
        <v>57.658175999999997</v>
      </c>
      <c r="P3760">
        <v>2</v>
      </c>
      <c r="Q3760" s="1" t="s">
        <v>569</v>
      </c>
      <c r="R3760" s="93">
        <v>444492.65</v>
      </c>
      <c r="S3760">
        <v>177797.06</v>
      </c>
      <c r="T3760">
        <v>0</v>
      </c>
      <c r="U3760" s="1" t="s">
        <v>1111</v>
      </c>
      <c r="V3760" s="1" t="s">
        <v>1346</v>
      </c>
      <c r="W3760">
        <v>444492.65</v>
      </c>
      <c r="X3760">
        <v>0</v>
      </c>
      <c r="Y3760">
        <v>57533</v>
      </c>
    </row>
    <row r="3761" spans="1:25" ht="15" hidden="1" customHeight="1" x14ac:dyDescent="0.25">
      <c r="A3761" s="1" t="s">
        <v>39</v>
      </c>
      <c r="B3761" s="1" t="s">
        <v>83</v>
      </c>
      <c r="C3761" s="1" t="s">
        <v>208</v>
      </c>
      <c r="D3761">
        <v>5449</v>
      </c>
      <c r="E3761" s="1"/>
      <c r="F3761" s="1" t="s">
        <v>344</v>
      </c>
      <c r="G3761" s="1" t="s">
        <v>1402</v>
      </c>
      <c r="H3761" s="1" t="s">
        <v>1405</v>
      </c>
      <c r="I3761">
        <v>2014</v>
      </c>
      <c r="J3761" s="93">
        <v>22234.12</v>
      </c>
      <c r="K3761">
        <v>12</v>
      </c>
      <c r="L3761" s="1" t="s">
        <v>402</v>
      </c>
      <c r="M3761">
        <v>0</v>
      </c>
      <c r="N3761">
        <v>7709</v>
      </c>
      <c r="O3761">
        <v>2.8841389999999998</v>
      </c>
      <c r="P3761">
        <v>2</v>
      </c>
      <c r="Q3761" s="1" t="s">
        <v>569</v>
      </c>
      <c r="R3761" s="93">
        <v>22234.12</v>
      </c>
      <c r="S3761">
        <v>8893.6299999999992</v>
      </c>
      <c r="T3761">
        <v>0</v>
      </c>
      <c r="U3761" s="1" t="s">
        <v>1113</v>
      </c>
      <c r="V3761" s="1" t="s">
        <v>1347</v>
      </c>
      <c r="W3761">
        <v>22234.095000000001</v>
      </c>
      <c r="X3761">
        <v>0</v>
      </c>
      <c r="Y3761">
        <v>57542</v>
      </c>
    </row>
    <row r="3762" spans="1:25" ht="15" hidden="1" customHeight="1" x14ac:dyDescent="0.25">
      <c r="A3762" s="1" t="s">
        <v>39</v>
      </c>
      <c r="B3762" s="1" t="s">
        <v>83</v>
      </c>
      <c r="C3762" s="1" t="s">
        <v>208</v>
      </c>
      <c r="D3762">
        <v>5449</v>
      </c>
      <c r="E3762" s="1"/>
      <c r="F3762" s="1" t="s">
        <v>344</v>
      </c>
      <c r="G3762" s="1" t="s">
        <v>1402</v>
      </c>
      <c r="H3762" s="1" t="s">
        <v>1405</v>
      </c>
      <c r="I3762">
        <v>2014</v>
      </c>
      <c r="J3762" s="93">
        <v>115921.14</v>
      </c>
      <c r="K3762">
        <v>12</v>
      </c>
      <c r="L3762" s="1"/>
      <c r="M3762">
        <v>0</v>
      </c>
      <c r="N3762">
        <v>7709</v>
      </c>
      <c r="O3762">
        <v>15.036922000000001</v>
      </c>
      <c r="P3762">
        <v>2</v>
      </c>
      <c r="Q3762" s="1" t="s">
        <v>569</v>
      </c>
      <c r="R3762" s="93">
        <v>115921.14</v>
      </c>
      <c r="S3762">
        <v>46368.45</v>
      </c>
      <c r="T3762">
        <v>0</v>
      </c>
      <c r="U3762" s="1" t="s">
        <v>1112</v>
      </c>
      <c r="V3762" s="1" t="s">
        <v>1347</v>
      </c>
      <c r="W3762">
        <v>115921.13499999999</v>
      </c>
      <c r="X3762">
        <v>0</v>
      </c>
      <c r="Y3762">
        <v>57544</v>
      </c>
    </row>
    <row r="3763" spans="1:25" ht="15" hidden="1" customHeight="1" x14ac:dyDescent="0.25">
      <c r="A3763" s="1" t="s">
        <v>39</v>
      </c>
      <c r="B3763" s="1" t="s">
        <v>83</v>
      </c>
      <c r="C3763" s="1" t="s">
        <v>208</v>
      </c>
      <c r="D3763">
        <v>5451</v>
      </c>
      <c r="E3763" s="1"/>
      <c r="F3763" s="1" t="s">
        <v>389</v>
      </c>
      <c r="G3763" s="1" t="s">
        <v>1402</v>
      </c>
      <c r="H3763" s="1" t="s">
        <v>1396</v>
      </c>
      <c r="I3763">
        <v>2014</v>
      </c>
      <c r="J3763" s="93">
        <v>25535.16</v>
      </c>
      <c r="K3763">
        <v>12</v>
      </c>
      <c r="L3763" s="1" t="s">
        <v>421</v>
      </c>
      <c r="M3763">
        <v>0</v>
      </c>
      <c r="N3763">
        <v>0</v>
      </c>
      <c r="O3763">
        <v>255351.6</v>
      </c>
      <c r="P3763">
        <v>2</v>
      </c>
      <c r="Q3763" s="1" t="s">
        <v>569</v>
      </c>
      <c r="R3763" s="93">
        <v>25535.16</v>
      </c>
      <c r="S3763">
        <v>10214.08</v>
      </c>
      <c r="T3763">
        <v>1</v>
      </c>
      <c r="U3763" s="1" t="s">
        <v>1104</v>
      </c>
      <c r="V3763" s="1"/>
      <c r="W3763">
        <v>25535.15424</v>
      </c>
      <c r="X3763">
        <v>0</v>
      </c>
      <c r="Y3763">
        <v>57640</v>
      </c>
    </row>
    <row r="3764" spans="1:25" ht="15" hidden="1" customHeight="1" x14ac:dyDescent="0.25">
      <c r="A3764" s="1" t="s">
        <v>39</v>
      </c>
      <c r="B3764" s="1" t="s">
        <v>83</v>
      </c>
      <c r="C3764" s="1" t="s">
        <v>208</v>
      </c>
      <c r="D3764">
        <v>5451</v>
      </c>
      <c r="E3764" s="1"/>
      <c r="F3764" s="1" t="s">
        <v>389</v>
      </c>
      <c r="G3764" s="1" t="s">
        <v>1402</v>
      </c>
      <c r="H3764" s="1" t="s">
        <v>1396</v>
      </c>
      <c r="I3764">
        <v>2014</v>
      </c>
      <c r="J3764" s="93">
        <v>35134.67</v>
      </c>
      <c r="K3764">
        <v>12</v>
      </c>
      <c r="L3764" s="1" t="s">
        <v>421</v>
      </c>
      <c r="M3764">
        <v>0</v>
      </c>
      <c r="N3764">
        <v>0</v>
      </c>
      <c r="O3764">
        <v>351346.7</v>
      </c>
      <c r="P3764">
        <v>2</v>
      </c>
      <c r="Q3764" s="1" t="s">
        <v>569</v>
      </c>
      <c r="R3764" s="93">
        <v>35134.67</v>
      </c>
      <c r="S3764">
        <v>14053.86</v>
      </c>
      <c r="T3764">
        <v>1</v>
      </c>
      <c r="U3764" s="1" t="s">
        <v>1105</v>
      </c>
      <c r="V3764" s="1"/>
      <c r="W3764">
        <v>35134.666669999999</v>
      </c>
      <c r="X3764">
        <v>0</v>
      </c>
      <c r="Y3764">
        <v>61886</v>
      </c>
    </row>
    <row r="3765" spans="1:25" ht="15" hidden="1" customHeight="1" x14ac:dyDescent="0.25">
      <c r="A3765" s="1" t="s">
        <v>39</v>
      </c>
      <c r="B3765" s="1" t="s">
        <v>83</v>
      </c>
      <c r="C3765" s="1" t="s">
        <v>208</v>
      </c>
      <c r="D3765">
        <v>5451</v>
      </c>
      <c r="E3765" s="1"/>
      <c r="F3765" s="1" t="s">
        <v>389</v>
      </c>
      <c r="G3765" s="1" t="s">
        <v>1402</v>
      </c>
      <c r="H3765" s="1" t="s">
        <v>1396</v>
      </c>
      <c r="I3765">
        <v>2014</v>
      </c>
      <c r="J3765" s="93">
        <v>1675.49</v>
      </c>
      <c r="K3765">
        <v>12</v>
      </c>
      <c r="L3765" s="1" t="s">
        <v>421</v>
      </c>
      <c r="M3765">
        <v>0</v>
      </c>
      <c r="N3765">
        <v>0</v>
      </c>
      <c r="O3765">
        <v>16754.900000000001</v>
      </c>
      <c r="P3765">
        <v>2</v>
      </c>
      <c r="Q3765" s="1" t="s">
        <v>569</v>
      </c>
      <c r="R3765" s="93">
        <v>1675.49</v>
      </c>
      <c r="S3765">
        <v>670.2</v>
      </c>
      <c r="T3765">
        <v>1</v>
      </c>
      <c r="U3765" s="1" t="s">
        <v>1106</v>
      </c>
      <c r="V3765" s="1"/>
      <c r="W3765">
        <v>1675.5</v>
      </c>
      <c r="X3765">
        <v>0</v>
      </c>
      <c r="Y3765">
        <v>61888</v>
      </c>
    </row>
    <row r="3766" spans="1:25" ht="15" hidden="1" customHeight="1" x14ac:dyDescent="0.25">
      <c r="A3766" s="1" t="s">
        <v>39</v>
      </c>
      <c r="B3766" s="1" t="s">
        <v>83</v>
      </c>
      <c r="C3766" s="1" t="s">
        <v>208</v>
      </c>
      <c r="D3766">
        <v>5451</v>
      </c>
      <c r="E3766" s="1"/>
      <c r="F3766" s="1" t="s">
        <v>389</v>
      </c>
      <c r="G3766" s="1" t="s">
        <v>1402</v>
      </c>
      <c r="H3766" s="1" t="s">
        <v>1396</v>
      </c>
      <c r="I3766">
        <v>2014</v>
      </c>
      <c r="J3766" s="93">
        <v>35669.870000000003</v>
      </c>
      <c r="K3766">
        <v>12</v>
      </c>
      <c r="L3766" s="1" t="s">
        <v>421</v>
      </c>
      <c r="M3766">
        <v>0</v>
      </c>
      <c r="N3766">
        <v>0</v>
      </c>
      <c r="O3766">
        <v>356698.7</v>
      </c>
      <c r="P3766">
        <v>2</v>
      </c>
      <c r="Q3766" s="1" t="s">
        <v>569</v>
      </c>
      <c r="R3766" s="93">
        <v>35669.870000000003</v>
      </c>
      <c r="S3766">
        <v>16729.169999999998</v>
      </c>
      <c r="T3766">
        <v>1</v>
      </c>
      <c r="U3766" s="1" t="s">
        <v>1107</v>
      </c>
      <c r="V3766" s="1"/>
      <c r="W3766">
        <v>35669.86666</v>
      </c>
      <c r="X3766">
        <v>0</v>
      </c>
      <c r="Y3766">
        <v>68520</v>
      </c>
    </row>
    <row r="3767" spans="1:25" ht="15" hidden="1" customHeight="1" x14ac:dyDescent="0.25">
      <c r="A3767" s="1" t="s">
        <v>39</v>
      </c>
      <c r="B3767" s="1" t="s">
        <v>83</v>
      </c>
      <c r="C3767" s="1" t="s">
        <v>208</v>
      </c>
      <c r="D3767">
        <v>5451</v>
      </c>
      <c r="E3767" s="1"/>
      <c r="F3767" s="1" t="s">
        <v>389</v>
      </c>
      <c r="G3767" s="1" t="s">
        <v>1402</v>
      </c>
      <c r="H3767" s="1" t="s">
        <v>1396</v>
      </c>
      <c r="I3767">
        <v>2014</v>
      </c>
      <c r="J3767" s="93">
        <v>159.6</v>
      </c>
      <c r="K3767">
        <v>12</v>
      </c>
      <c r="L3767" s="1" t="s">
        <v>421</v>
      </c>
      <c r="M3767">
        <v>0</v>
      </c>
      <c r="N3767">
        <v>0</v>
      </c>
      <c r="O3767">
        <v>1596</v>
      </c>
      <c r="P3767">
        <v>2</v>
      </c>
      <c r="Q3767" s="1" t="s">
        <v>569</v>
      </c>
      <c r="R3767" s="93">
        <v>159.6</v>
      </c>
      <c r="S3767">
        <v>74.849999999999994</v>
      </c>
      <c r="T3767">
        <v>1</v>
      </c>
      <c r="U3767" s="1" t="s">
        <v>1108</v>
      </c>
      <c r="V3767" s="1"/>
      <c r="W3767">
        <v>159.6</v>
      </c>
      <c r="X3767">
        <v>0</v>
      </c>
      <c r="Y3767">
        <v>68519</v>
      </c>
    </row>
    <row r="3768" spans="1:25" ht="15" hidden="1" customHeight="1" x14ac:dyDescent="0.25">
      <c r="A3768" s="1" t="s">
        <v>39</v>
      </c>
      <c r="B3768" s="1" t="s">
        <v>83</v>
      </c>
      <c r="C3768" s="1" t="s">
        <v>208</v>
      </c>
      <c r="D3768">
        <v>6339</v>
      </c>
      <c r="E3768" s="1"/>
      <c r="F3768" s="1" t="s">
        <v>341</v>
      </c>
      <c r="G3768" s="1" t="s">
        <v>1402</v>
      </c>
      <c r="H3768" s="1" t="s">
        <v>1396</v>
      </c>
      <c r="I3768">
        <v>2014</v>
      </c>
      <c r="J3768" s="93">
        <v>1330</v>
      </c>
      <c r="K3768">
        <v>12</v>
      </c>
      <c r="L3768" s="1" t="s">
        <v>421</v>
      </c>
      <c r="M3768">
        <v>0</v>
      </c>
      <c r="N3768">
        <v>0</v>
      </c>
      <c r="O3768">
        <v>13300</v>
      </c>
      <c r="P3768">
        <v>2</v>
      </c>
      <c r="Q3768" s="1" t="s">
        <v>569</v>
      </c>
      <c r="R3768" s="93">
        <v>1330</v>
      </c>
      <c r="S3768">
        <v>532</v>
      </c>
      <c r="T3768">
        <v>1</v>
      </c>
      <c r="U3768" s="1" t="s">
        <v>698</v>
      </c>
      <c r="V3768" s="1"/>
      <c r="W3768">
        <v>1330</v>
      </c>
      <c r="X3768">
        <v>0</v>
      </c>
      <c r="Y3768">
        <v>62513</v>
      </c>
    </row>
    <row r="3769" spans="1:25" ht="15" hidden="1" customHeight="1" x14ac:dyDescent="0.25">
      <c r="A3769" s="1" t="s">
        <v>39</v>
      </c>
      <c r="B3769" s="1" t="s">
        <v>83</v>
      </c>
      <c r="C3769" s="1" t="s">
        <v>208</v>
      </c>
      <c r="D3769">
        <v>5449</v>
      </c>
      <c r="E3769" s="1"/>
      <c r="F3769" s="1" t="s">
        <v>344</v>
      </c>
      <c r="G3769" s="1" t="s">
        <v>1402</v>
      </c>
      <c r="H3769" s="1" t="s">
        <v>1396</v>
      </c>
      <c r="I3769">
        <v>2014</v>
      </c>
      <c r="J3769" s="93">
        <v>1213816.1299999999</v>
      </c>
      <c r="K3769">
        <v>12</v>
      </c>
      <c r="L3769" s="1" t="s">
        <v>402</v>
      </c>
      <c r="M3769">
        <v>0</v>
      </c>
      <c r="N3769">
        <v>7709</v>
      </c>
      <c r="O3769">
        <v>157.45237800000001</v>
      </c>
      <c r="P3769">
        <v>1</v>
      </c>
      <c r="Q3769" s="1" t="s">
        <v>563</v>
      </c>
      <c r="R3769" s="93">
        <v>1338890.55</v>
      </c>
      <c r="S3769">
        <v>3202226.15</v>
      </c>
      <c r="T3769">
        <v>1</v>
      </c>
      <c r="U3769" s="1" t="s">
        <v>885</v>
      </c>
      <c r="V3769" s="1"/>
      <c r="W3769">
        <v>34789.800000000003</v>
      </c>
      <c r="X3769">
        <v>57534</v>
      </c>
      <c r="Y3769">
        <v>57554</v>
      </c>
    </row>
    <row r="3770" spans="1:25" ht="15" hidden="1" customHeight="1" x14ac:dyDescent="0.25">
      <c r="A3770" s="1" t="s">
        <v>39</v>
      </c>
      <c r="B3770" s="1" t="s">
        <v>83</v>
      </c>
      <c r="C3770" s="1" t="s">
        <v>208</v>
      </c>
      <c r="D3770">
        <v>5454</v>
      </c>
      <c r="E3770" s="1"/>
      <c r="F3770" s="1" t="s">
        <v>343</v>
      </c>
      <c r="G3770" s="1" t="s">
        <v>1402</v>
      </c>
      <c r="H3770" s="1" t="s">
        <v>1396</v>
      </c>
      <c r="I3770">
        <v>2014</v>
      </c>
      <c r="J3770" s="93">
        <v>20886.98</v>
      </c>
      <c r="K3770">
        <v>12</v>
      </c>
      <c r="L3770" s="1" t="s">
        <v>421</v>
      </c>
      <c r="M3770">
        <v>0</v>
      </c>
      <c r="N3770">
        <v>50</v>
      </c>
      <c r="O3770">
        <v>416.90578799999997</v>
      </c>
      <c r="P3770">
        <v>2</v>
      </c>
      <c r="Q3770" s="1" t="s">
        <v>569</v>
      </c>
      <c r="R3770" s="93">
        <v>20886.98</v>
      </c>
      <c r="S3770">
        <v>8354.7900000000009</v>
      </c>
      <c r="T3770">
        <v>1</v>
      </c>
      <c r="U3770" s="1" t="s">
        <v>1109</v>
      </c>
      <c r="V3770" s="1"/>
      <c r="W3770">
        <v>20886.96875</v>
      </c>
      <c r="X3770">
        <v>0</v>
      </c>
      <c r="Y3770">
        <v>57747</v>
      </c>
    </row>
    <row r="3771" spans="1:25" ht="15" hidden="1" customHeight="1" x14ac:dyDescent="0.25">
      <c r="A3771" s="1" t="s">
        <v>39</v>
      </c>
      <c r="B3771" s="1" t="s">
        <v>83</v>
      </c>
      <c r="C3771" s="1" t="s">
        <v>208</v>
      </c>
      <c r="D3771">
        <v>5454</v>
      </c>
      <c r="E3771" s="1"/>
      <c r="F3771" s="1" t="s">
        <v>343</v>
      </c>
      <c r="G3771" s="1" t="s">
        <v>1402</v>
      </c>
      <c r="H3771" s="1" t="s">
        <v>1396</v>
      </c>
      <c r="I3771">
        <v>2014</v>
      </c>
      <c r="J3771" s="93">
        <v>1095.75</v>
      </c>
      <c r="K3771">
        <v>12</v>
      </c>
      <c r="L3771" s="1" t="s">
        <v>421</v>
      </c>
      <c r="M3771">
        <v>0</v>
      </c>
      <c r="N3771">
        <v>50</v>
      </c>
      <c r="O3771">
        <v>21.871257</v>
      </c>
      <c r="P3771">
        <v>2</v>
      </c>
      <c r="Q3771" s="1" t="s">
        <v>569</v>
      </c>
      <c r="R3771" s="93">
        <v>1095.75</v>
      </c>
      <c r="S3771">
        <v>438.29</v>
      </c>
      <c r="T3771">
        <v>1</v>
      </c>
      <c r="U3771" s="1" t="s">
        <v>1110</v>
      </c>
      <c r="V3771" s="1"/>
      <c r="W3771">
        <v>1095.7570599999999</v>
      </c>
      <c r="X3771">
        <v>0</v>
      </c>
      <c r="Y3771">
        <v>57748</v>
      </c>
    </row>
    <row r="3772" spans="1:25" ht="15" hidden="1" customHeight="1" x14ac:dyDescent="0.25">
      <c r="A3772" s="1" t="s">
        <v>39</v>
      </c>
      <c r="B3772" s="1" t="s">
        <v>83</v>
      </c>
      <c r="C3772" s="1" t="s">
        <v>208</v>
      </c>
      <c r="D3772">
        <v>5453</v>
      </c>
      <c r="E3772" s="1"/>
      <c r="F3772" s="1" t="s">
        <v>345</v>
      </c>
      <c r="G3772" s="1" t="s">
        <v>1402</v>
      </c>
      <c r="H3772" s="1" t="s">
        <v>1404</v>
      </c>
      <c r="I3772">
        <v>2014</v>
      </c>
      <c r="J3772" s="93">
        <v>29218.67</v>
      </c>
      <c r="K3772">
        <v>12</v>
      </c>
      <c r="L3772" s="1" t="s">
        <v>421</v>
      </c>
      <c r="M3772">
        <v>0</v>
      </c>
      <c r="N3772">
        <v>610</v>
      </c>
      <c r="O3772">
        <v>47.891607</v>
      </c>
      <c r="P3772">
        <v>2</v>
      </c>
      <c r="Q3772" s="1" t="s">
        <v>569</v>
      </c>
      <c r="R3772" s="93">
        <v>29218.67</v>
      </c>
      <c r="S3772">
        <v>11687.46</v>
      </c>
      <c r="T3772">
        <v>1</v>
      </c>
      <c r="U3772" s="1" t="s">
        <v>1114</v>
      </c>
      <c r="V3772" s="1"/>
      <c r="W3772">
        <v>29218.66835</v>
      </c>
      <c r="X3772">
        <v>0</v>
      </c>
      <c r="Y3772">
        <v>57556</v>
      </c>
    </row>
    <row r="3773" spans="1:25" ht="15" hidden="1" customHeight="1" x14ac:dyDescent="0.25">
      <c r="A3773" s="1" t="s">
        <v>39</v>
      </c>
      <c r="B3773" s="1" t="s">
        <v>83</v>
      </c>
      <c r="C3773" s="1" t="s">
        <v>208</v>
      </c>
      <c r="D3773">
        <v>5450</v>
      </c>
      <c r="E3773" s="1"/>
      <c r="F3773" s="1" t="s">
        <v>365</v>
      </c>
      <c r="G3773" s="1" t="s">
        <v>1402</v>
      </c>
      <c r="H3773" s="1" t="s">
        <v>1396</v>
      </c>
      <c r="I3773">
        <v>2015</v>
      </c>
      <c r="J3773" s="93">
        <v>33889.5</v>
      </c>
      <c r="K3773">
        <v>5</v>
      </c>
      <c r="L3773" s="1" t="s">
        <v>421</v>
      </c>
      <c r="M3773">
        <v>0</v>
      </c>
      <c r="N3773">
        <v>0</v>
      </c>
      <c r="O3773">
        <v>338895</v>
      </c>
      <c r="P3773">
        <v>1</v>
      </c>
      <c r="Q3773" s="1" t="s">
        <v>562</v>
      </c>
      <c r="R3773" s="93">
        <v>33889.5</v>
      </c>
      <c r="S3773">
        <v>6269557.5</v>
      </c>
      <c r="T3773">
        <v>1</v>
      </c>
      <c r="U3773" s="1" t="s">
        <v>874</v>
      </c>
      <c r="V3773" s="1"/>
      <c r="W3773">
        <v>33889.500010000003</v>
      </c>
      <c r="X3773">
        <v>0</v>
      </c>
      <c r="Y3773">
        <v>57561</v>
      </c>
    </row>
    <row r="3774" spans="1:25" ht="15" hidden="1" customHeight="1" x14ac:dyDescent="0.25">
      <c r="A3774" s="1" t="s">
        <v>39</v>
      </c>
      <c r="B3774" s="1" t="s">
        <v>83</v>
      </c>
      <c r="C3774" s="1" t="s">
        <v>208</v>
      </c>
      <c r="D3774">
        <v>5450</v>
      </c>
      <c r="E3774" s="1"/>
      <c r="F3774" s="1" t="s">
        <v>365</v>
      </c>
      <c r="G3774" s="1" t="s">
        <v>1402</v>
      </c>
      <c r="H3774" s="1" t="s">
        <v>1396</v>
      </c>
      <c r="I3774">
        <v>2015</v>
      </c>
      <c r="J3774" s="93">
        <v>99942.5</v>
      </c>
      <c r="K3774">
        <v>5</v>
      </c>
      <c r="L3774" s="1" t="s">
        <v>421</v>
      </c>
      <c r="M3774">
        <v>0</v>
      </c>
      <c r="N3774">
        <v>0</v>
      </c>
      <c r="O3774">
        <v>999425</v>
      </c>
      <c r="P3774">
        <v>1</v>
      </c>
      <c r="Q3774" s="1" t="s">
        <v>562</v>
      </c>
      <c r="R3774" s="93">
        <v>99942.5</v>
      </c>
      <c r="S3774">
        <v>18489362.5</v>
      </c>
      <c r="T3774">
        <v>1</v>
      </c>
      <c r="U3774" s="1" t="s">
        <v>875</v>
      </c>
      <c r="V3774" s="1"/>
      <c r="W3774">
        <v>99942.5</v>
      </c>
      <c r="X3774">
        <v>0</v>
      </c>
      <c r="Y3774">
        <v>57630</v>
      </c>
    </row>
    <row r="3775" spans="1:25" ht="15" hidden="1" customHeight="1" x14ac:dyDescent="0.25">
      <c r="A3775" s="1" t="s">
        <v>39</v>
      </c>
      <c r="B3775" s="1" t="s">
        <v>83</v>
      </c>
      <c r="C3775" s="1" t="s">
        <v>208</v>
      </c>
      <c r="D3775">
        <v>5450</v>
      </c>
      <c r="E3775" s="1"/>
      <c r="F3775" s="1" t="s">
        <v>365</v>
      </c>
      <c r="G3775" s="1" t="s">
        <v>1402</v>
      </c>
      <c r="H3775" s="1" t="s">
        <v>1396</v>
      </c>
      <c r="I3775">
        <v>2015</v>
      </c>
      <c r="J3775" s="93">
        <v>266461.24</v>
      </c>
      <c r="K3775">
        <v>5</v>
      </c>
      <c r="L3775" s="1" t="s">
        <v>421</v>
      </c>
      <c r="M3775">
        <v>0</v>
      </c>
      <c r="N3775">
        <v>0</v>
      </c>
      <c r="O3775">
        <v>2664612.4</v>
      </c>
      <c r="P3775">
        <v>1</v>
      </c>
      <c r="Q3775" s="1" t="s">
        <v>562</v>
      </c>
      <c r="R3775" s="93">
        <v>266461.24</v>
      </c>
      <c r="S3775">
        <v>49295329.399999999</v>
      </c>
      <c r="T3775">
        <v>1</v>
      </c>
      <c r="U3775" s="1" t="s">
        <v>876</v>
      </c>
      <c r="V3775" s="1"/>
      <c r="W3775">
        <v>266461.25</v>
      </c>
      <c r="X3775">
        <v>0</v>
      </c>
      <c r="Y3775">
        <v>57632</v>
      </c>
    </row>
    <row r="3776" spans="1:25" ht="15" hidden="1" customHeight="1" x14ac:dyDescent="0.25">
      <c r="A3776" s="1" t="s">
        <v>39</v>
      </c>
      <c r="B3776" s="1" t="s">
        <v>83</v>
      </c>
      <c r="C3776" s="1" t="s">
        <v>208</v>
      </c>
      <c r="D3776">
        <v>5450</v>
      </c>
      <c r="E3776" s="1"/>
      <c r="F3776" s="1" t="s">
        <v>365</v>
      </c>
      <c r="G3776" s="1" t="s">
        <v>1402</v>
      </c>
      <c r="H3776" s="1" t="s">
        <v>1396</v>
      </c>
      <c r="I3776">
        <v>2015</v>
      </c>
      <c r="J3776" s="93">
        <v>1387.76</v>
      </c>
      <c r="K3776">
        <v>5</v>
      </c>
      <c r="L3776" s="1" t="s">
        <v>421</v>
      </c>
      <c r="M3776">
        <v>0</v>
      </c>
      <c r="N3776">
        <v>0</v>
      </c>
      <c r="O3776">
        <v>13877.6</v>
      </c>
      <c r="P3776">
        <v>1</v>
      </c>
      <c r="Q3776" s="1" t="s">
        <v>562</v>
      </c>
      <c r="R3776" s="93">
        <v>1387.76</v>
      </c>
      <c r="S3776">
        <v>256735.6</v>
      </c>
      <c r="T3776">
        <v>1</v>
      </c>
      <c r="U3776" s="1" t="s">
        <v>877</v>
      </c>
      <c r="V3776" s="1"/>
      <c r="W3776">
        <v>1387.75</v>
      </c>
      <c r="X3776">
        <v>0</v>
      </c>
      <c r="Y3776">
        <v>57638</v>
      </c>
    </row>
    <row r="3777" spans="1:25" ht="15" hidden="1" customHeight="1" x14ac:dyDescent="0.25">
      <c r="A3777" s="1" t="s">
        <v>39</v>
      </c>
      <c r="B3777" s="1" t="s">
        <v>83</v>
      </c>
      <c r="C3777" s="1" t="s">
        <v>208</v>
      </c>
      <c r="D3777">
        <v>5450</v>
      </c>
      <c r="E3777" s="1"/>
      <c r="F3777" s="1" t="s">
        <v>365</v>
      </c>
      <c r="G3777" s="1" t="s">
        <v>1402</v>
      </c>
      <c r="H3777" s="1" t="s">
        <v>1396</v>
      </c>
      <c r="I3777">
        <v>2015</v>
      </c>
      <c r="J3777" s="93">
        <v>57359.48</v>
      </c>
      <c r="K3777">
        <v>5</v>
      </c>
      <c r="L3777" s="1" t="s">
        <v>421</v>
      </c>
      <c r="M3777">
        <v>0</v>
      </c>
      <c r="N3777">
        <v>0</v>
      </c>
      <c r="O3777">
        <v>573594.80000000005</v>
      </c>
      <c r="P3777">
        <v>1</v>
      </c>
      <c r="Q3777" s="1" t="s">
        <v>562</v>
      </c>
      <c r="R3777" s="93">
        <v>57359.48</v>
      </c>
      <c r="S3777">
        <v>10611503.800000001</v>
      </c>
      <c r="T3777">
        <v>1</v>
      </c>
      <c r="U3777" s="1" t="s">
        <v>878</v>
      </c>
      <c r="V3777" s="1"/>
      <c r="W3777">
        <v>57359.468739999997</v>
      </c>
      <c r="X3777">
        <v>0</v>
      </c>
      <c r="Y3777">
        <v>57557</v>
      </c>
    </row>
    <row r="3778" spans="1:25" ht="15" hidden="1" customHeight="1" x14ac:dyDescent="0.25">
      <c r="A3778" s="1" t="s">
        <v>39</v>
      </c>
      <c r="B3778" s="1" t="s">
        <v>83</v>
      </c>
      <c r="C3778" s="1" t="s">
        <v>208</v>
      </c>
      <c r="D3778">
        <v>5450</v>
      </c>
      <c r="E3778" s="1"/>
      <c r="F3778" s="1" t="s">
        <v>365</v>
      </c>
      <c r="G3778" s="1" t="s">
        <v>1402</v>
      </c>
      <c r="H3778" s="1" t="s">
        <v>1396</v>
      </c>
      <c r="I3778">
        <v>2015</v>
      </c>
      <c r="J3778" s="93">
        <v>1027.5</v>
      </c>
      <c r="K3778">
        <v>5</v>
      </c>
      <c r="L3778" s="1" t="s">
        <v>421</v>
      </c>
      <c r="M3778">
        <v>0</v>
      </c>
      <c r="N3778">
        <v>0</v>
      </c>
      <c r="O3778">
        <v>10275</v>
      </c>
      <c r="P3778">
        <v>1</v>
      </c>
      <c r="Q3778" s="1" t="s">
        <v>562</v>
      </c>
      <c r="R3778" s="93">
        <v>1027.5</v>
      </c>
      <c r="S3778">
        <v>190087.5</v>
      </c>
      <c r="T3778">
        <v>1</v>
      </c>
      <c r="U3778" s="1" t="s">
        <v>879</v>
      </c>
      <c r="V3778" s="1"/>
      <c r="W3778">
        <v>1027.50001</v>
      </c>
      <c r="X3778">
        <v>0</v>
      </c>
      <c r="Y3778">
        <v>57559</v>
      </c>
    </row>
    <row r="3779" spans="1:25" ht="15" hidden="1" customHeight="1" x14ac:dyDescent="0.25">
      <c r="A3779" s="1" t="s">
        <v>39</v>
      </c>
      <c r="B3779" s="1" t="s">
        <v>83</v>
      </c>
      <c r="C3779" s="1" t="s">
        <v>208</v>
      </c>
      <c r="D3779">
        <v>5450</v>
      </c>
      <c r="E3779" s="1"/>
      <c r="F3779" s="1" t="s">
        <v>365</v>
      </c>
      <c r="G3779" s="1" t="s">
        <v>1402</v>
      </c>
      <c r="H3779" s="1" t="s">
        <v>1396</v>
      </c>
      <c r="I3779">
        <v>2015</v>
      </c>
      <c r="J3779" s="93">
        <v>54257.47</v>
      </c>
      <c r="K3779">
        <v>5</v>
      </c>
      <c r="L3779" s="1" t="s">
        <v>421</v>
      </c>
      <c r="M3779">
        <v>0</v>
      </c>
      <c r="N3779">
        <v>0</v>
      </c>
      <c r="O3779">
        <v>542574.69999999995</v>
      </c>
      <c r="P3779">
        <v>1</v>
      </c>
      <c r="Q3779" s="1" t="s">
        <v>562</v>
      </c>
      <c r="R3779" s="93">
        <v>54257.47</v>
      </c>
      <c r="S3779">
        <v>10037631.949999999</v>
      </c>
      <c r="T3779">
        <v>1</v>
      </c>
      <c r="U3779" s="1" t="s">
        <v>880</v>
      </c>
      <c r="V3779" s="1"/>
      <c r="W3779">
        <v>54257.46875</v>
      </c>
      <c r="X3779">
        <v>0</v>
      </c>
      <c r="Y3779">
        <v>57626</v>
      </c>
    </row>
    <row r="3780" spans="1:25" ht="15" hidden="1" customHeight="1" x14ac:dyDescent="0.25">
      <c r="A3780" s="1" t="s">
        <v>39</v>
      </c>
      <c r="B3780" s="1" t="s">
        <v>83</v>
      </c>
      <c r="C3780" s="1" t="s">
        <v>208</v>
      </c>
      <c r="D3780">
        <v>5450</v>
      </c>
      <c r="E3780" s="1"/>
      <c r="F3780" s="1" t="s">
        <v>365</v>
      </c>
      <c r="G3780" s="1" t="s">
        <v>1402</v>
      </c>
      <c r="H3780" s="1" t="s">
        <v>1396</v>
      </c>
      <c r="I3780">
        <v>2015</v>
      </c>
      <c r="J3780" s="93">
        <v>7248.6</v>
      </c>
      <c r="K3780">
        <v>5</v>
      </c>
      <c r="L3780" s="1" t="s">
        <v>421</v>
      </c>
      <c r="M3780">
        <v>0</v>
      </c>
      <c r="N3780">
        <v>0</v>
      </c>
      <c r="O3780">
        <v>72486</v>
      </c>
      <c r="P3780">
        <v>1</v>
      </c>
      <c r="Q3780" s="1" t="s">
        <v>562</v>
      </c>
      <c r="R3780" s="93">
        <v>7248.6</v>
      </c>
      <c r="S3780">
        <v>1340991</v>
      </c>
      <c r="T3780">
        <v>1</v>
      </c>
      <c r="U3780" s="1" t="s">
        <v>881</v>
      </c>
      <c r="V3780" s="1"/>
      <c r="W3780">
        <v>7248.5937599999997</v>
      </c>
      <c r="X3780">
        <v>0</v>
      </c>
      <c r="Y3780">
        <v>57628</v>
      </c>
    </row>
    <row r="3781" spans="1:25" ht="15" hidden="1" customHeight="1" x14ac:dyDescent="0.25">
      <c r="A3781" s="1" t="s">
        <v>39</v>
      </c>
      <c r="B3781" s="1" t="s">
        <v>83</v>
      </c>
      <c r="C3781" s="1" t="s">
        <v>208</v>
      </c>
      <c r="D3781">
        <v>5450</v>
      </c>
      <c r="E3781" s="1"/>
      <c r="F3781" s="1" t="s">
        <v>365</v>
      </c>
      <c r="G3781" s="1" t="s">
        <v>1402</v>
      </c>
      <c r="H3781" s="1" t="s">
        <v>1396</v>
      </c>
      <c r="I3781">
        <v>2015</v>
      </c>
      <c r="J3781" s="93">
        <v>24751.91</v>
      </c>
      <c r="K3781">
        <v>5</v>
      </c>
      <c r="L3781" s="1" t="s">
        <v>421</v>
      </c>
      <c r="M3781">
        <v>0</v>
      </c>
      <c r="N3781">
        <v>0</v>
      </c>
      <c r="O3781">
        <v>247519.1</v>
      </c>
      <c r="P3781">
        <v>1</v>
      </c>
      <c r="Q3781" s="1" t="s">
        <v>562</v>
      </c>
      <c r="R3781" s="93">
        <v>24751.91</v>
      </c>
      <c r="S3781">
        <v>4579103.3499999996</v>
      </c>
      <c r="T3781">
        <v>1</v>
      </c>
      <c r="U3781" s="1" t="s">
        <v>882</v>
      </c>
      <c r="V3781" s="1"/>
      <c r="W3781">
        <v>24751.90624</v>
      </c>
      <c r="X3781">
        <v>0</v>
      </c>
      <c r="Y3781">
        <v>57634</v>
      </c>
    </row>
    <row r="3782" spans="1:25" ht="15" hidden="1" customHeight="1" x14ac:dyDescent="0.25">
      <c r="A3782" s="1" t="s">
        <v>39</v>
      </c>
      <c r="B3782" s="1" t="s">
        <v>83</v>
      </c>
      <c r="C3782" s="1" t="s">
        <v>208</v>
      </c>
      <c r="D3782">
        <v>5450</v>
      </c>
      <c r="E3782" s="1"/>
      <c r="F3782" s="1" t="s">
        <v>365</v>
      </c>
      <c r="G3782" s="1" t="s">
        <v>1402</v>
      </c>
      <c r="H3782" s="1" t="s">
        <v>1396</v>
      </c>
      <c r="I3782">
        <v>2015</v>
      </c>
      <c r="J3782" s="93">
        <v>5041.21</v>
      </c>
      <c r="K3782">
        <v>5</v>
      </c>
      <c r="L3782" s="1" t="s">
        <v>421</v>
      </c>
      <c r="M3782">
        <v>0</v>
      </c>
      <c r="N3782">
        <v>0</v>
      </c>
      <c r="O3782">
        <v>50412.1</v>
      </c>
      <c r="P3782">
        <v>1</v>
      </c>
      <c r="Q3782" s="1" t="s">
        <v>562</v>
      </c>
      <c r="R3782" s="93">
        <v>5041.21</v>
      </c>
      <c r="S3782">
        <v>932623.85</v>
      </c>
      <c r="T3782">
        <v>1</v>
      </c>
      <c r="U3782" s="1" t="s">
        <v>883</v>
      </c>
      <c r="V3782" s="1"/>
      <c r="W3782">
        <v>5041.2187599999997</v>
      </c>
      <c r="X3782">
        <v>0</v>
      </c>
      <c r="Y3782">
        <v>57636</v>
      </c>
    </row>
    <row r="3783" spans="1:25" ht="15" hidden="1" customHeight="1" x14ac:dyDescent="0.25">
      <c r="A3783" s="1" t="s">
        <v>39</v>
      </c>
      <c r="B3783" s="1" t="s">
        <v>83</v>
      </c>
      <c r="C3783" s="1" t="s">
        <v>208</v>
      </c>
      <c r="D3783">
        <v>5450</v>
      </c>
      <c r="E3783" s="1"/>
      <c r="F3783" s="1" t="s">
        <v>365</v>
      </c>
      <c r="G3783" s="1" t="s">
        <v>1402</v>
      </c>
      <c r="H3783" s="1" t="s">
        <v>1396</v>
      </c>
      <c r="I3783">
        <v>2013</v>
      </c>
      <c r="J3783" s="93">
        <v>158122.99</v>
      </c>
      <c r="K3783">
        <v>11</v>
      </c>
      <c r="L3783" s="1" t="s">
        <v>421</v>
      </c>
      <c r="M3783">
        <v>0</v>
      </c>
      <c r="N3783">
        <v>0</v>
      </c>
      <c r="O3783">
        <v>1581229.9</v>
      </c>
      <c r="P3783">
        <v>1</v>
      </c>
      <c r="Q3783" s="1" t="s">
        <v>562</v>
      </c>
      <c r="R3783" s="93">
        <v>158122.99</v>
      </c>
      <c r="S3783">
        <v>29252.77</v>
      </c>
      <c r="T3783">
        <v>1</v>
      </c>
      <c r="U3783" s="1" t="s">
        <v>878</v>
      </c>
      <c r="V3783" s="1"/>
      <c r="W3783">
        <v>158122.98143000001</v>
      </c>
      <c r="X3783">
        <v>0</v>
      </c>
      <c r="Y3783">
        <v>57557</v>
      </c>
    </row>
    <row r="3784" spans="1:25" ht="15" hidden="1" customHeight="1" x14ac:dyDescent="0.25">
      <c r="A3784" s="1" t="s">
        <v>39</v>
      </c>
      <c r="B3784" s="1" t="s">
        <v>83</v>
      </c>
      <c r="C3784" s="1" t="s">
        <v>208</v>
      </c>
      <c r="D3784">
        <v>5450</v>
      </c>
      <c r="E3784" s="1"/>
      <c r="F3784" s="1" t="s">
        <v>365</v>
      </c>
      <c r="G3784" s="1" t="s">
        <v>1402</v>
      </c>
      <c r="H3784" s="1" t="s">
        <v>1396</v>
      </c>
      <c r="I3784">
        <v>2013</v>
      </c>
      <c r="J3784" s="93">
        <v>127572.59</v>
      </c>
      <c r="K3784">
        <v>11</v>
      </c>
      <c r="L3784" s="1" t="s">
        <v>421</v>
      </c>
      <c r="M3784">
        <v>0</v>
      </c>
      <c r="N3784">
        <v>0</v>
      </c>
      <c r="O3784">
        <v>1275725.8999999999</v>
      </c>
      <c r="P3784">
        <v>1</v>
      </c>
      <c r="Q3784" s="1" t="s">
        <v>562</v>
      </c>
      <c r="R3784" s="93">
        <v>127572.59</v>
      </c>
      <c r="S3784">
        <v>23600.94</v>
      </c>
      <c r="T3784">
        <v>1</v>
      </c>
      <c r="U3784" s="1" t="s">
        <v>880</v>
      </c>
      <c r="V3784" s="1"/>
      <c r="W3784">
        <v>127572.58357</v>
      </c>
      <c r="X3784">
        <v>0</v>
      </c>
      <c r="Y3784">
        <v>57626</v>
      </c>
    </row>
    <row r="3785" spans="1:25" ht="15" hidden="1" customHeight="1" x14ac:dyDescent="0.25">
      <c r="A3785" s="1" t="s">
        <v>39</v>
      </c>
      <c r="B3785" s="1" t="s">
        <v>83</v>
      </c>
      <c r="C3785" s="1" t="s">
        <v>208</v>
      </c>
      <c r="D3785">
        <v>5450</v>
      </c>
      <c r="E3785" s="1"/>
      <c r="F3785" s="1" t="s">
        <v>365</v>
      </c>
      <c r="G3785" s="1" t="s">
        <v>1402</v>
      </c>
      <c r="H3785" s="1" t="s">
        <v>1396</v>
      </c>
      <c r="I3785">
        <v>2013</v>
      </c>
      <c r="J3785" s="93">
        <v>459253.1</v>
      </c>
      <c r="K3785">
        <v>11</v>
      </c>
      <c r="L3785" s="1" t="s">
        <v>421</v>
      </c>
      <c r="M3785">
        <v>0</v>
      </c>
      <c r="N3785">
        <v>0</v>
      </c>
      <c r="O3785">
        <v>4592531</v>
      </c>
      <c r="P3785">
        <v>1</v>
      </c>
      <c r="Q3785" s="1" t="s">
        <v>562</v>
      </c>
      <c r="R3785" s="93">
        <v>459253.1</v>
      </c>
      <c r="S3785">
        <v>84961.81</v>
      </c>
      <c r="T3785">
        <v>1</v>
      </c>
      <c r="U3785" s="1" t="s">
        <v>876</v>
      </c>
      <c r="V3785" s="1"/>
      <c r="W3785">
        <v>459253.09872000001</v>
      </c>
      <c r="X3785">
        <v>0</v>
      </c>
      <c r="Y3785">
        <v>57632</v>
      </c>
    </row>
    <row r="3786" spans="1:25" ht="15" hidden="1" customHeight="1" x14ac:dyDescent="0.25">
      <c r="A3786" s="1" t="s">
        <v>39</v>
      </c>
      <c r="B3786" s="1" t="s">
        <v>83</v>
      </c>
      <c r="C3786" s="1" t="s">
        <v>208</v>
      </c>
      <c r="D3786">
        <v>5450</v>
      </c>
      <c r="E3786" s="1"/>
      <c r="F3786" s="1" t="s">
        <v>365</v>
      </c>
      <c r="G3786" s="1" t="s">
        <v>1402</v>
      </c>
      <c r="H3786" s="1" t="s">
        <v>1396</v>
      </c>
      <c r="I3786">
        <v>2013</v>
      </c>
      <c r="J3786" s="93">
        <v>41258.22</v>
      </c>
      <c r="K3786">
        <v>11</v>
      </c>
      <c r="L3786" s="1" t="s">
        <v>421</v>
      </c>
      <c r="M3786">
        <v>0</v>
      </c>
      <c r="N3786">
        <v>0</v>
      </c>
      <c r="O3786">
        <v>412582.2</v>
      </c>
      <c r="P3786">
        <v>1</v>
      </c>
      <c r="Q3786" s="1" t="s">
        <v>562</v>
      </c>
      <c r="R3786" s="93">
        <v>41258.22</v>
      </c>
      <c r="S3786">
        <v>7632.78</v>
      </c>
      <c r="T3786">
        <v>1</v>
      </c>
      <c r="U3786" s="1" t="s">
        <v>882</v>
      </c>
      <c r="V3786" s="1"/>
      <c r="W3786">
        <v>41258.215040000003</v>
      </c>
      <c r="X3786">
        <v>0</v>
      </c>
      <c r="Y3786">
        <v>57634</v>
      </c>
    </row>
    <row r="3787" spans="1:25" ht="15" hidden="1" customHeight="1" x14ac:dyDescent="0.25">
      <c r="A3787" s="1" t="s">
        <v>39</v>
      </c>
      <c r="B3787" s="1" t="s">
        <v>83</v>
      </c>
      <c r="C3787" s="1" t="s">
        <v>208</v>
      </c>
      <c r="D3787">
        <v>5450</v>
      </c>
      <c r="E3787" s="1"/>
      <c r="F3787" s="1" t="s">
        <v>365</v>
      </c>
      <c r="G3787" s="1" t="s">
        <v>1402</v>
      </c>
      <c r="H3787" s="1" t="s">
        <v>1396</v>
      </c>
      <c r="I3787">
        <v>2013</v>
      </c>
      <c r="J3787" s="93">
        <v>5634.87</v>
      </c>
      <c r="K3787">
        <v>11</v>
      </c>
      <c r="L3787" s="1" t="s">
        <v>421</v>
      </c>
      <c r="M3787">
        <v>0</v>
      </c>
      <c r="N3787">
        <v>0</v>
      </c>
      <c r="O3787">
        <v>56348.7</v>
      </c>
      <c r="P3787">
        <v>1</v>
      </c>
      <c r="Q3787" s="1" t="s">
        <v>562</v>
      </c>
      <c r="R3787" s="93">
        <v>5634.87</v>
      </c>
      <c r="S3787">
        <v>1042.46</v>
      </c>
      <c r="T3787">
        <v>1</v>
      </c>
      <c r="U3787" s="1" t="s">
        <v>879</v>
      </c>
      <c r="V3787" s="1"/>
      <c r="W3787">
        <v>5634.8778199999997</v>
      </c>
      <c r="X3787">
        <v>0</v>
      </c>
      <c r="Y3787">
        <v>57559</v>
      </c>
    </row>
    <row r="3788" spans="1:25" ht="15" hidden="1" customHeight="1" x14ac:dyDescent="0.25">
      <c r="A3788" s="1" t="s">
        <v>39</v>
      </c>
      <c r="B3788" s="1" t="s">
        <v>83</v>
      </c>
      <c r="C3788" s="1" t="s">
        <v>208</v>
      </c>
      <c r="D3788">
        <v>5450</v>
      </c>
      <c r="E3788" s="1"/>
      <c r="F3788" s="1" t="s">
        <v>365</v>
      </c>
      <c r="G3788" s="1" t="s">
        <v>1402</v>
      </c>
      <c r="H3788" s="1" t="s">
        <v>1396</v>
      </c>
      <c r="I3788">
        <v>2013</v>
      </c>
      <c r="J3788" s="93">
        <v>116409.13</v>
      </c>
      <c r="K3788">
        <v>11</v>
      </c>
      <c r="L3788" s="1" t="s">
        <v>421</v>
      </c>
      <c r="M3788">
        <v>0</v>
      </c>
      <c r="N3788">
        <v>0</v>
      </c>
      <c r="O3788">
        <v>1164091.3</v>
      </c>
      <c r="P3788">
        <v>1</v>
      </c>
      <c r="Q3788" s="1" t="s">
        <v>562</v>
      </c>
      <c r="R3788" s="93">
        <v>116409.13</v>
      </c>
      <c r="S3788">
        <v>21535.69</v>
      </c>
      <c r="T3788">
        <v>1</v>
      </c>
      <c r="U3788" s="1" t="s">
        <v>874</v>
      </c>
      <c r="V3788" s="1"/>
      <c r="W3788">
        <v>116409.11242</v>
      </c>
      <c r="X3788">
        <v>0</v>
      </c>
      <c r="Y3788">
        <v>57561</v>
      </c>
    </row>
    <row r="3789" spans="1:25" ht="15" hidden="1" customHeight="1" x14ac:dyDescent="0.25">
      <c r="A3789" s="1" t="s">
        <v>39</v>
      </c>
      <c r="B3789" s="1" t="s">
        <v>83</v>
      </c>
      <c r="C3789" s="1" t="s">
        <v>208</v>
      </c>
      <c r="D3789">
        <v>5450</v>
      </c>
      <c r="E3789" s="1"/>
      <c r="F3789" s="1" t="s">
        <v>365</v>
      </c>
      <c r="G3789" s="1" t="s">
        <v>1402</v>
      </c>
      <c r="H3789" s="1" t="s">
        <v>1396</v>
      </c>
      <c r="I3789">
        <v>2013</v>
      </c>
      <c r="J3789" s="93">
        <v>14669.97</v>
      </c>
      <c r="K3789">
        <v>11</v>
      </c>
      <c r="L3789" s="1" t="s">
        <v>421</v>
      </c>
      <c r="M3789">
        <v>0</v>
      </c>
      <c r="N3789">
        <v>0</v>
      </c>
      <c r="O3789">
        <v>146699.70000000001</v>
      </c>
      <c r="P3789">
        <v>1</v>
      </c>
      <c r="Q3789" s="1" t="s">
        <v>562</v>
      </c>
      <c r="R3789" s="93">
        <v>14669.97</v>
      </c>
      <c r="S3789">
        <v>2713.93</v>
      </c>
      <c r="T3789">
        <v>1</v>
      </c>
      <c r="U3789" s="1" t="s">
        <v>881</v>
      </c>
      <c r="V3789" s="1"/>
      <c r="W3789">
        <v>14669.968720000001</v>
      </c>
      <c r="X3789">
        <v>0</v>
      </c>
      <c r="Y3789">
        <v>57628</v>
      </c>
    </row>
    <row r="3790" spans="1:25" ht="15" hidden="1" customHeight="1" x14ac:dyDescent="0.25">
      <c r="A3790" s="1" t="s">
        <v>39</v>
      </c>
      <c r="B3790" s="1" t="s">
        <v>83</v>
      </c>
      <c r="C3790" s="1" t="s">
        <v>208</v>
      </c>
      <c r="D3790">
        <v>5450</v>
      </c>
      <c r="E3790" s="1"/>
      <c r="F3790" s="1" t="s">
        <v>365</v>
      </c>
      <c r="G3790" s="1" t="s">
        <v>1402</v>
      </c>
      <c r="H3790" s="1" t="s">
        <v>1396</v>
      </c>
      <c r="I3790">
        <v>2013</v>
      </c>
      <c r="J3790" s="93">
        <v>270402.53999999998</v>
      </c>
      <c r="K3790">
        <v>11</v>
      </c>
      <c r="L3790" s="1" t="s">
        <v>421</v>
      </c>
      <c r="M3790">
        <v>0</v>
      </c>
      <c r="N3790">
        <v>0</v>
      </c>
      <c r="O3790">
        <v>2704025.4</v>
      </c>
      <c r="P3790">
        <v>1</v>
      </c>
      <c r="Q3790" s="1" t="s">
        <v>562</v>
      </c>
      <c r="R3790" s="93">
        <v>270402.53999999998</v>
      </c>
      <c r="S3790">
        <v>50024.47</v>
      </c>
      <c r="T3790">
        <v>1</v>
      </c>
      <c r="U3790" s="1" t="s">
        <v>875</v>
      </c>
      <c r="V3790" s="1"/>
      <c r="W3790">
        <v>270402.54155999998</v>
      </c>
      <c r="X3790">
        <v>0</v>
      </c>
      <c r="Y3790">
        <v>57630</v>
      </c>
    </row>
    <row r="3791" spans="1:25" ht="15" hidden="1" customHeight="1" x14ac:dyDescent="0.25">
      <c r="A3791" s="1" t="s">
        <v>39</v>
      </c>
      <c r="B3791" s="1" t="s">
        <v>83</v>
      </c>
      <c r="C3791" s="1" t="s">
        <v>208</v>
      </c>
      <c r="D3791">
        <v>5450</v>
      </c>
      <c r="E3791" s="1"/>
      <c r="F3791" s="1" t="s">
        <v>365</v>
      </c>
      <c r="G3791" s="1" t="s">
        <v>1402</v>
      </c>
      <c r="H3791" s="1" t="s">
        <v>1396</v>
      </c>
      <c r="I3791">
        <v>2013</v>
      </c>
      <c r="J3791" s="93">
        <v>9304.01</v>
      </c>
      <c r="K3791">
        <v>11</v>
      </c>
      <c r="L3791" s="1" t="s">
        <v>421</v>
      </c>
      <c r="M3791">
        <v>0</v>
      </c>
      <c r="N3791">
        <v>0</v>
      </c>
      <c r="O3791">
        <v>93040.1</v>
      </c>
      <c r="P3791">
        <v>1</v>
      </c>
      <c r="Q3791" s="1" t="s">
        <v>562</v>
      </c>
      <c r="R3791" s="93">
        <v>9304.01</v>
      </c>
      <c r="S3791">
        <v>1721.24</v>
      </c>
      <c r="T3791">
        <v>1</v>
      </c>
      <c r="U3791" s="1" t="s">
        <v>883</v>
      </c>
      <c r="V3791" s="1"/>
      <c r="W3791">
        <v>9304.0107499999995</v>
      </c>
      <c r="X3791">
        <v>0</v>
      </c>
      <c r="Y3791">
        <v>57636</v>
      </c>
    </row>
    <row r="3792" spans="1:25" ht="15" hidden="1" customHeight="1" x14ac:dyDescent="0.25">
      <c r="A3792" s="1" t="s">
        <v>39</v>
      </c>
      <c r="B3792" s="1" t="s">
        <v>83</v>
      </c>
      <c r="C3792" s="1" t="s">
        <v>208</v>
      </c>
      <c r="D3792">
        <v>5450</v>
      </c>
      <c r="E3792" s="1"/>
      <c r="F3792" s="1" t="s">
        <v>365</v>
      </c>
      <c r="G3792" s="1" t="s">
        <v>1402</v>
      </c>
      <c r="H3792" s="1" t="s">
        <v>1396</v>
      </c>
      <c r="I3792">
        <v>2013</v>
      </c>
      <c r="J3792" s="93">
        <v>11693.17</v>
      </c>
      <c r="K3792">
        <v>11</v>
      </c>
      <c r="L3792" s="1" t="s">
        <v>421</v>
      </c>
      <c r="M3792">
        <v>0</v>
      </c>
      <c r="N3792">
        <v>0</v>
      </c>
      <c r="O3792">
        <v>116931.7</v>
      </c>
      <c r="P3792">
        <v>1</v>
      </c>
      <c r="Q3792" s="1" t="s">
        <v>562</v>
      </c>
      <c r="R3792" s="93">
        <v>11693.17</v>
      </c>
      <c r="S3792">
        <v>2163.23</v>
      </c>
      <c r="T3792">
        <v>1</v>
      </c>
      <c r="U3792" s="1" t="s">
        <v>877</v>
      </c>
      <c r="V3792" s="1"/>
      <c r="W3792">
        <v>11693.17203</v>
      </c>
      <c r="X3792">
        <v>0</v>
      </c>
      <c r="Y3792">
        <v>57638</v>
      </c>
    </row>
    <row r="3793" spans="1:25" ht="15" hidden="1" customHeight="1" x14ac:dyDescent="0.25">
      <c r="A3793" s="1" t="s">
        <v>39</v>
      </c>
      <c r="B3793" s="1" t="s">
        <v>83</v>
      </c>
      <c r="C3793" s="1" t="s">
        <v>208</v>
      </c>
      <c r="D3793">
        <v>5450</v>
      </c>
      <c r="E3793" s="1"/>
      <c r="F3793" s="1" t="s">
        <v>365</v>
      </c>
      <c r="G3793" s="1" t="s">
        <v>1402</v>
      </c>
      <c r="H3793" s="1" t="s">
        <v>1396</v>
      </c>
      <c r="I3793">
        <v>2012</v>
      </c>
      <c r="J3793" s="93">
        <v>166100.92000000001</v>
      </c>
      <c r="K3793">
        <v>13</v>
      </c>
      <c r="L3793" s="1" t="s">
        <v>421</v>
      </c>
      <c r="M3793">
        <v>0</v>
      </c>
      <c r="N3793">
        <v>0</v>
      </c>
      <c r="O3793">
        <v>1661009.2</v>
      </c>
      <c r="P3793">
        <v>1</v>
      </c>
      <c r="Q3793" s="1" t="s">
        <v>562</v>
      </c>
      <c r="R3793" s="93">
        <v>166100.92000000001</v>
      </c>
      <c r="S3793">
        <v>30728.66</v>
      </c>
      <c r="T3793">
        <v>1</v>
      </c>
      <c r="U3793" s="1" t="s">
        <v>878</v>
      </c>
      <c r="V3793" s="1"/>
      <c r="W3793">
        <v>166100.90908000001</v>
      </c>
      <c r="X3793">
        <v>0</v>
      </c>
      <c r="Y3793">
        <v>57557</v>
      </c>
    </row>
    <row r="3794" spans="1:25" ht="15" hidden="1" customHeight="1" x14ac:dyDescent="0.25">
      <c r="A3794" s="1" t="s">
        <v>39</v>
      </c>
      <c r="B3794" s="1" t="s">
        <v>83</v>
      </c>
      <c r="C3794" s="1" t="s">
        <v>208</v>
      </c>
      <c r="D3794">
        <v>5450</v>
      </c>
      <c r="E3794" s="1"/>
      <c r="F3794" s="1" t="s">
        <v>365</v>
      </c>
      <c r="G3794" s="1" t="s">
        <v>1402</v>
      </c>
      <c r="H3794" s="1" t="s">
        <v>1396</v>
      </c>
      <c r="I3794">
        <v>2012</v>
      </c>
      <c r="J3794" s="93">
        <v>17292.43</v>
      </c>
      <c r="K3794">
        <v>13</v>
      </c>
      <c r="L3794" s="1" t="s">
        <v>421</v>
      </c>
      <c r="M3794">
        <v>0</v>
      </c>
      <c r="N3794">
        <v>0</v>
      </c>
      <c r="O3794">
        <v>172924.3</v>
      </c>
      <c r="P3794">
        <v>1</v>
      </c>
      <c r="Q3794" s="1" t="s">
        <v>562</v>
      </c>
      <c r="R3794" s="93">
        <v>17292.43</v>
      </c>
      <c r="S3794">
        <v>3199.1</v>
      </c>
      <c r="T3794">
        <v>1</v>
      </c>
      <c r="U3794" s="1" t="s">
        <v>879</v>
      </c>
      <c r="V3794" s="1"/>
      <c r="W3794">
        <v>17292.42424</v>
      </c>
      <c r="X3794">
        <v>0</v>
      </c>
      <c r="Y3794">
        <v>57559</v>
      </c>
    </row>
    <row r="3795" spans="1:25" ht="15" hidden="1" customHeight="1" x14ac:dyDescent="0.25">
      <c r="A3795" s="1" t="s">
        <v>39</v>
      </c>
      <c r="B3795" s="1" t="s">
        <v>83</v>
      </c>
      <c r="C3795" s="1" t="s">
        <v>208</v>
      </c>
      <c r="D3795">
        <v>5450</v>
      </c>
      <c r="E3795" s="1"/>
      <c r="F3795" s="1" t="s">
        <v>365</v>
      </c>
      <c r="G3795" s="1" t="s">
        <v>1402</v>
      </c>
      <c r="H3795" s="1" t="s">
        <v>1396</v>
      </c>
      <c r="I3795">
        <v>2012</v>
      </c>
      <c r="J3795" s="93">
        <v>116777.99</v>
      </c>
      <c r="K3795">
        <v>13</v>
      </c>
      <c r="L3795" s="1" t="s">
        <v>421</v>
      </c>
      <c r="M3795">
        <v>0</v>
      </c>
      <c r="N3795">
        <v>0</v>
      </c>
      <c r="O3795">
        <v>1167779.8999999999</v>
      </c>
      <c r="P3795">
        <v>1</v>
      </c>
      <c r="Q3795" s="1" t="s">
        <v>562</v>
      </c>
      <c r="R3795" s="93">
        <v>116777.99</v>
      </c>
      <c r="S3795">
        <v>21603.91</v>
      </c>
      <c r="T3795">
        <v>1</v>
      </c>
      <c r="U3795" s="1" t="s">
        <v>880</v>
      </c>
      <c r="V3795" s="1"/>
      <c r="W3795">
        <v>116777.99999</v>
      </c>
      <c r="X3795">
        <v>0</v>
      </c>
      <c r="Y3795">
        <v>57626</v>
      </c>
    </row>
    <row r="3796" spans="1:25" ht="15" hidden="1" customHeight="1" x14ac:dyDescent="0.25">
      <c r="A3796" s="1" t="s">
        <v>39</v>
      </c>
      <c r="B3796" s="1" t="s">
        <v>83</v>
      </c>
      <c r="C3796" s="1" t="s">
        <v>208</v>
      </c>
      <c r="D3796">
        <v>5450</v>
      </c>
      <c r="E3796" s="1"/>
      <c r="F3796" s="1" t="s">
        <v>365</v>
      </c>
      <c r="G3796" s="1" t="s">
        <v>1402</v>
      </c>
      <c r="H3796" s="1" t="s">
        <v>1396</v>
      </c>
      <c r="I3796">
        <v>2012</v>
      </c>
      <c r="J3796" s="93">
        <v>14851.93</v>
      </c>
      <c r="K3796">
        <v>13</v>
      </c>
      <c r="L3796" s="1" t="s">
        <v>421</v>
      </c>
      <c r="M3796">
        <v>0</v>
      </c>
      <c r="N3796">
        <v>0</v>
      </c>
      <c r="O3796">
        <v>148519.29999999999</v>
      </c>
      <c r="P3796">
        <v>1</v>
      </c>
      <c r="Q3796" s="1" t="s">
        <v>562</v>
      </c>
      <c r="R3796" s="93">
        <v>14851.93</v>
      </c>
      <c r="S3796">
        <v>2747.61</v>
      </c>
      <c r="T3796">
        <v>1</v>
      </c>
      <c r="U3796" s="1" t="s">
        <v>881</v>
      </c>
      <c r="V3796" s="1"/>
      <c r="W3796">
        <v>14851.93939</v>
      </c>
      <c r="X3796">
        <v>0</v>
      </c>
      <c r="Y3796">
        <v>57628</v>
      </c>
    </row>
    <row r="3797" spans="1:25" ht="15" hidden="1" customHeight="1" x14ac:dyDescent="0.25">
      <c r="A3797" s="1" t="s">
        <v>39</v>
      </c>
      <c r="B3797" s="1" t="s">
        <v>83</v>
      </c>
      <c r="C3797" s="1" t="s">
        <v>208</v>
      </c>
      <c r="D3797">
        <v>5450</v>
      </c>
      <c r="E3797" s="1"/>
      <c r="F3797" s="1" t="s">
        <v>365</v>
      </c>
      <c r="G3797" s="1" t="s">
        <v>1402</v>
      </c>
      <c r="H3797" s="1" t="s">
        <v>1396</v>
      </c>
      <c r="I3797">
        <v>2012</v>
      </c>
      <c r="J3797" s="93">
        <v>39845.480000000003</v>
      </c>
      <c r="K3797">
        <v>13</v>
      </c>
      <c r="L3797" s="1" t="s">
        <v>421</v>
      </c>
      <c r="M3797">
        <v>0</v>
      </c>
      <c r="N3797">
        <v>0</v>
      </c>
      <c r="O3797">
        <v>398454.8</v>
      </c>
      <c r="P3797">
        <v>1</v>
      </c>
      <c r="Q3797" s="1" t="s">
        <v>562</v>
      </c>
      <c r="R3797" s="93">
        <v>39845.480000000003</v>
      </c>
      <c r="S3797">
        <v>7371.4</v>
      </c>
      <c r="T3797">
        <v>1</v>
      </c>
      <c r="U3797" s="1" t="s">
        <v>882</v>
      </c>
      <c r="V3797" s="1"/>
      <c r="W3797">
        <v>39845.484850000001</v>
      </c>
      <c r="X3797">
        <v>0</v>
      </c>
      <c r="Y3797">
        <v>57634</v>
      </c>
    </row>
    <row r="3798" spans="1:25" ht="15" hidden="1" customHeight="1" x14ac:dyDescent="0.25">
      <c r="A3798" s="1" t="s">
        <v>39</v>
      </c>
      <c r="B3798" s="1" t="s">
        <v>83</v>
      </c>
      <c r="C3798" s="1" t="s">
        <v>208</v>
      </c>
      <c r="D3798">
        <v>5450</v>
      </c>
      <c r="E3798" s="1"/>
      <c r="F3798" s="1" t="s">
        <v>365</v>
      </c>
      <c r="G3798" s="1" t="s">
        <v>1402</v>
      </c>
      <c r="H3798" s="1" t="s">
        <v>1396</v>
      </c>
      <c r="I3798">
        <v>2012</v>
      </c>
      <c r="J3798" s="93">
        <v>6226.97</v>
      </c>
      <c r="K3798">
        <v>13</v>
      </c>
      <c r="L3798" s="1" t="s">
        <v>421</v>
      </c>
      <c r="M3798">
        <v>0</v>
      </c>
      <c r="N3798">
        <v>0</v>
      </c>
      <c r="O3798">
        <v>62269.7</v>
      </c>
      <c r="P3798">
        <v>1</v>
      </c>
      <c r="Q3798" s="1" t="s">
        <v>562</v>
      </c>
      <c r="R3798" s="93">
        <v>6226.97</v>
      </c>
      <c r="S3798">
        <v>1151.98</v>
      </c>
      <c r="T3798">
        <v>1</v>
      </c>
      <c r="U3798" s="1" t="s">
        <v>883</v>
      </c>
      <c r="V3798" s="1"/>
      <c r="W3798">
        <v>6226.9696999999996</v>
      </c>
      <c r="X3798">
        <v>0</v>
      </c>
      <c r="Y3798">
        <v>57636</v>
      </c>
    </row>
    <row r="3799" spans="1:25" ht="15" hidden="1" customHeight="1" x14ac:dyDescent="0.25">
      <c r="A3799" s="1" t="s">
        <v>39</v>
      </c>
      <c r="B3799" s="1" t="s">
        <v>83</v>
      </c>
      <c r="C3799" s="1" t="s">
        <v>208</v>
      </c>
      <c r="D3799">
        <v>5450</v>
      </c>
      <c r="E3799" s="1"/>
      <c r="F3799" s="1" t="s">
        <v>365</v>
      </c>
      <c r="G3799" s="1" t="s">
        <v>1402</v>
      </c>
      <c r="H3799" s="1" t="s">
        <v>1396</v>
      </c>
      <c r="I3799">
        <v>2012</v>
      </c>
      <c r="J3799" s="93">
        <v>119114.66</v>
      </c>
      <c r="K3799">
        <v>13</v>
      </c>
      <c r="L3799" s="1" t="s">
        <v>421</v>
      </c>
      <c r="M3799">
        <v>0</v>
      </c>
      <c r="N3799">
        <v>0</v>
      </c>
      <c r="O3799">
        <v>1191146.6000000001</v>
      </c>
      <c r="P3799">
        <v>1</v>
      </c>
      <c r="Q3799" s="1" t="s">
        <v>562</v>
      </c>
      <c r="R3799" s="93">
        <v>119114.66</v>
      </c>
      <c r="S3799">
        <v>22036.22</v>
      </c>
      <c r="T3799">
        <v>1</v>
      </c>
      <c r="U3799" s="1" t="s">
        <v>874</v>
      </c>
      <c r="V3799" s="1"/>
      <c r="W3799">
        <v>119114.66665</v>
      </c>
      <c r="X3799">
        <v>0</v>
      </c>
      <c r="Y3799">
        <v>57561</v>
      </c>
    </row>
    <row r="3800" spans="1:25" ht="15" hidden="1" customHeight="1" x14ac:dyDescent="0.25">
      <c r="A3800" s="1" t="s">
        <v>39</v>
      </c>
      <c r="B3800" s="1" t="s">
        <v>83</v>
      </c>
      <c r="C3800" s="1" t="s">
        <v>208</v>
      </c>
      <c r="D3800">
        <v>5450</v>
      </c>
      <c r="E3800" s="1"/>
      <c r="F3800" s="1" t="s">
        <v>365</v>
      </c>
      <c r="G3800" s="1" t="s">
        <v>1402</v>
      </c>
      <c r="H3800" s="1" t="s">
        <v>1396</v>
      </c>
      <c r="I3800">
        <v>2012</v>
      </c>
      <c r="J3800" s="93">
        <v>271053.03000000003</v>
      </c>
      <c r="K3800">
        <v>13</v>
      </c>
      <c r="L3800" s="1" t="s">
        <v>421</v>
      </c>
      <c r="M3800">
        <v>0</v>
      </c>
      <c r="N3800">
        <v>0</v>
      </c>
      <c r="O3800">
        <v>2710530.3</v>
      </c>
      <c r="P3800">
        <v>1</v>
      </c>
      <c r="Q3800" s="1" t="s">
        <v>562</v>
      </c>
      <c r="R3800" s="93">
        <v>271053.03000000003</v>
      </c>
      <c r="S3800">
        <v>50144.81</v>
      </c>
      <c r="T3800">
        <v>1</v>
      </c>
      <c r="U3800" s="1" t="s">
        <v>875</v>
      </c>
      <c r="V3800" s="1"/>
      <c r="W3800">
        <v>271053.03029999998</v>
      </c>
      <c r="X3800">
        <v>0</v>
      </c>
      <c r="Y3800">
        <v>57630</v>
      </c>
    </row>
    <row r="3801" spans="1:25" ht="15" hidden="1" customHeight="1" x14ac:dyDescent="0.25">
      <c r="A3801" s="1" t="s">
        <v>39</v>
      </c>
      <c r="B3801" s="1" t="s">
        <v>83</v>
      </c>
      <c r="C3801" s="1" t="s">
        <v>208</v>
      </c>
      <c r="D3801">
        <v>5450</v>
      </c>
      <c r="E3801" s="1"/>
      <c r="F3801" s="1" t="s">
        <v>365</v>
      </c>
      <c r="G3801" s="1" t="s">
        <v>1402</v>
      </c>
      <c r="H3801" s="1" t="s">
        <v>1396</v>
      </c>
      <c r="I3801">
        <v>2012</v>
      </c>
      <c r="J3801" s="93">
        <v>389674.23999999999</v>
      </c>
      <c r="K3801">
        <v>13</v>
      </c>
      <c r="L3801" s="1" t="s">
        <v>421</v>
      </c>
      <c r="M3801">
        <v>0</v>
      </c>
      <c r="N3801">
        <v>0</v>
      </c>
      <c r="O3801">
        <v>3896742.4</v>
      </c>
      <c r="P3801">
        <v>1</v>
      </c>
      <c r="Q3801" s="1" t="s">
        <v>562</v>
      </c>
      <c r="R3801" s="93">
        <v>389674.23999999999</v>
      </c>
      <c r="S3801">
        <v>72089.73</v>
      </c>
      <c r="T3801">
        <v>1</v>
      </c>
      <c r="U3801" s="1" t="s">
        <v>876</v>
      </c>
      <c r="V3801" s="1"/>
      <c r="W3801">
        <v>389674.24242000002</v>
      </c>
      <c r="X3801">
        <v>0</v>
      </c>
      <c r="Y3801">
        <v>57632</v>
      </c>
    </row>
    <row r="3802" spans="1:25" ht="15" hidden="1" customHeight="1" x14ac:dyDescent="0.25">
      <c r="A3802" s="1" t="s">
        <v>39</v>
      </c>
      <c r="B3802" s="1" t="s">
        <v>83</v>
      </c>
      <c r="C3802" s="1" t="s">
        <v>208</v>
      </c>
      <c r="D3802">
        <v>5450</v>
      </c>
      <c r="E3802" s="1"/>
      <c r="F3802" s="1" t="s">
        <v>365</v>
      </c>
      <c r="G3802" s="1" t="s">
        <v>1402</v>
      </c>
      <c r="H3802" s="1" t="s">
        <v>1396</v>
      </c>
      <c r="I3802">
        <v>2012</v>
      </c>
      <c r="J3802" s="93">
        <v>10780.33</v>
      </c>
      <c r="K3802">
        <v>13</v>
      </c>
      <c r="L3802" s="1" t="s">
        <v>421</v>
      </c>
      <c r="M3802">
        <v>0</v>
      </c>
      <c r="N3802">
        <v>0</v>
      </c>
      <c r="O3802">
        <v>107803.3</v>
      </c>
      <c r="P3802">
        <v>1</v>
      </c>
      <c r="Q3802" s="1" t="s">
        <v>562</v>
      </c>
      <c r="R3802" s="93">
        <v>10780.33</v>
      </c>
      <c r="S3802">
        <v>1994.35</v>
      </c>
      <c r="T3802">
        <v>1</v>
      </c>
      <c r="U3802" s="1" t="s">
        <v>877</v>
      </c>
      <c r="V3802" s="1"/>
      <c r="W3802">
        <v>10780.333339999999</v>
      </c>
      <c r="X3802">
        <v>0</v>
      </c>
      <c r="Y3802">
        <v>57638</v>
      </c>
    </row>
    <row r="3803" spans="1:25" ht="15" hidden="1" customHeight="1" x14ac:dyDescent="0.25">
      <c r="A3803" s="1" t="s">
        <v>39</v>
      </c>
      <c r="B3803" s="1" t="s">
        <v>83</v>
      </c>
      <c r="C3803" s="1" t="s">
        <v>208</v>
      </c>
      <c r="D3803">
        <v>5450</v>
      </c>
      <c r="E3803" s="1"/>
      <c r="F3803" s="1" t="s">
        <v>365</v>
      </c>
      <c r="G3803" s="1" t="s">
        <v>1402</v>
      </c>
      <c r="H3803" s="1" t="s">
        <v>1396</v>
      </c>
      <c r="I3803">
        <v>2011</v>
      </c>
      <c r="J3803" s="93">
        <v>143361.88</v>
      </c>
      <c r="K3803">
        <v>12</v>
      </c>
      <c r="L3803" s="1" t="s">
        <v>421</v>
      </c>
      <c r="M3803">
        <v>0</v>
      </c>
      <c r="N3803">
        <v>0</v>
      </c>
      <c r="O3803">
        <v>1433618.8</v>
      </c>
      <c r="P3803">
        <v>1</v>
      </c>
      <c r="Q3803" s="1" t="s">
        <v>562</v>
      </c>
      <c r="R3803" s="93">
        <v>143361.88</v>
      </c>
      <c r="S3803">
        <v>26521.95</v>
      </c>
      <c r="T3803">
        <v>1</v>
      </c>
      <c r="U3803" s="1" t="s">
        <v>878</v>
      </c>
      <c r="V3803" s="1"/>
      <c r="W3803">
        <v>143361.87878999999</v>
      </c>
      <c r="X3803">
        <v>0</v>
      </c>
      <c r="Y3803">
        <v>57557</v>
      </c>
    </row>
    <row r="3804" spans="1:25" ht="15" hidden="1" customHeight="1" x14ac:dyDescent="0.25">
      <c r="A3804" s="1" t="s">
        <v>39</v>
      </c>
      <c r="B3804" s="1" t="s">
        <v>83</v>
      </c>
      <c r="C3804" s="1" t="s">
        <v>208</v>
      </c>
      <c r="D3804">
        <v>5450</v>
      </c>
      <c r="E3804" s="1"/>
      <c r="F3804" s="1" t="s">
        <v>365</v>
      </c>
      <c r="G3804" s="1" t="s">
        <v>1402</v>
      </c>
      <c r="H3804" s="1" t="s">
        <v>1396</v>
      </c>
      <c r="I3804">
        <v>2011</v>
      </c>
      <c r="J3804" s="93">
        <v>8430.6</v>
      </c>
      <c r="K3804">
        <v>12</v>
      </c>
      <c r="L3804" s="1" t="s">
        <v>421</v>
      </c>
      <c r="M3804">
        <v>0</v>
      </c>
      <c r="N3804">
        <v>0</v>
      </c>
      <c r="O3804">
        <v>84306</v>
      </c>
      <c r="P3804">
        <v>1</v>
      </c>
      <c r="Q3804" s="1" t="s">
        <v>562</v>
      </c>
      <c r="R3804" s="93">
        <v>8430.6</v>
      </c>
      <c r="S3804">
        <v>1559.67</v>
      </c>
      <c r="T3804">
        <v>1</v>
      </c>
      <c r="U3804" s="1" t="s">
        <v>879</v>
      </c>
      <c r="V3804" s="1"/>
      <c r="W3804">
        <v>8430.6060799999996</v>
      </c>
      <c r="X3804">
        <v>0</v>
      </c>
      <c r="Y3804">
        <v>57559</v>
      </c>
    </row>
    <row r="3805" spans="1:25" ht="15" hidden="1" customHeight="1" x14ac:dyDescent="0.25">
      <c r="A3805" s="1" t="s">
        <v>39</v>
      </c>
      <c r="B3805" s="1" t="s">
        <v>83</v>
      </c>
      <c r="C3805" s="1" t="s">
        <v>208</v>
      </c>
      <c r="D3805">
        <v>5450</v>
      </c>
      <c r="E3805" s="1"/>
      <c r="F3805" s="1" t="s">
        <v>365</v>
      </c>
      <c r="G3805" s="1" t="s">
        <v>1402</v>
      </c>
      <c r="H3805" s="1" t="s">
        <v>1396</v>
      </c>
      <c r="I3805">
        <v>2011</v>
      </c>
      <c r="J3805" s="93">
        <v>121794.79</v>
      </c>
      <c r="K3805">
        <v>12</v>
      </c>
      <c r="L3805" s="1" t="s">
        <v>421</v>
      </c>
      <c r="M3805">
        <v>0</v>
      </c>
      <c r="N3805">
        <v>0</v>
      </c>
      <c r="O3805">
        <v>1217947.8999999999</v>
      </c>
      <c r="P3805">
        <v>1</v>
      </c>
      <c r="Q3805" s="1" t="s">
        <v>562</v>
      </c>
      <c r="R3805" s="93">
        <v>121794.79</v>
      </c>
      <c r="S3805">
        <v>22532.05</v>
      </c>
      <c r="T3805">
        <v>1</v>
      </c>
      <c r="U3805" s="1" t="s">
        <v>880</v>
      </c>
      <c r="V3805" s="1"/>
      <c r="W3805">
        <v>121794.78789000001</v>
      </c>
      <c r="X3805">
        <v>0</v>
      </c>
      <c r="Y3805">
        <v>57626</v>
      </c>
    </row>
    <row r="3806" spans="1:25" ht="15" hidden="1" customHeight="1" x14ac:dyDescent="0.25">
      <c r="A3806" s="1" t="s">
        <v>39</v>
      </c>
      <c r="B3806" s="1" t="s">
        <v>83</v>
      </c>
      <c r="C3806" s="1" t="s">
        <v>208</v>
      </c>
      <c r="D3806">
        <v>5450</v>
      </c>
      <c r="E3806" s="1"/>
      <c r="F3806" s="1" t="s">
        <v>365</v>
      </c>
      <c r="G3806" s="1" t="s">
        <v>1402</v>
      </c>
      <c r="H3806" s="1" t="s">
        <v>1396</v>
      </c>
      <c r="I3806">
        <v>2011</v>
      </c>
      <c r="J3806" s="93">
        <v>10064.43</v>
      </c>
      <c r="K3806">
        <v>12</v>
      </c>
      <c r="L3806" s="1" t="s">
        <v>421</v>
      </c>
      <c r="M3806">
        <v>0</v>
      </c>
      <c r="N3806">
        <v>0</v>
      </c>
      <c r="O3806">
        <v>100644.3</v>
      </c>
      <c r="P3806">
        <v>1</v>
      </c>
      <c r="Q3806" s="1" t="s">
        <v>562</v>
      </c>
      <c r="R3806" s="93">
        <v>10064.43</v>
      </c>
      <c r="S3806">
        <v>1861.93</v>
      </c>
      <c r="T3806">
        <v>1</v>
      </c>
      <c r="U3806" s="1" t="s">
        <v>881</v>
      </c>
      <c r="V3806" s="1"/>
      <c r="W3806">
        <v>10064.42425</v>
      </c>
      <c r="X3806">
        <v>0</v>
      </c>
      <c r="Y3806">
        <v>57628</v>
      </c>
    </row>
    <row r="3807" spans="1:25" ht="15" hidden="1" customHeight="1" x14ac:dyDescent="0.25">
      <c r="A3807" s="1" t="s">
        <v>39</v>
      </c>
      <c r="B3807" s="1" t="s">
        <v>83</v>
      </c>
      <c r="C3807" s="1" t="s">
        <v>208</v>
      </c>
      <c r="D3807">
        <v>5450</v>
      </c>
      <c r="E3807" s="1"/>
      <c r="F3807" s="1" t="s">
        <v>365</v>
      </c>
      <c r="G3807" s="1" t="s">
        <v>1402</v>
      </c>
      <c r="H3807" s="1" t="s">
        <v>1396</v>
      </c>
      <c r="I3807">
        <v>2011</v>
      </c>
      <c r="J3807" s="93">
        <v>39577.86</v>
      </c>
      <c r="K3807">
        <v>12</v>
      </c>
      <c r="L3807" s="1" t="s">
        <v>421</v>
      </c>
      <c r="M3807">
        <v>0</v>
      </c>
      <c r="N3807">
        <v>0</v>
      </c>
      <c r="O3807">
        <v>395778.6</v>
      </c>
      <c r="P3807">
        <v>1</v>
      </c>
      <c r="Q3807" s="1" t="s">
        <v>562</v>
      </c>
      <c r="R3807" s="93">
        <v>39577.86</v>
      </c>
      <c r="S3807">
        <v>7321.91</v>
      </c>
      <c r="T3807">
        <v>1</v>
      </c>
      <c r="U3807" s="1" t="s">
        <v>882</v>
      </c>
      <c r="V3807" s="1"/>
      <c r="W3807">
        <v>39577.848489999997</v>
      </c>
      <c r="X3807">
        <v>0</v>
      </c>
      <c r="Y3807">
        <v>57634</v>
      </c>
    </row>
    <row r="3808" spans="1:25" ht="15" hidden="1" customHeight="1" x14ac:dyDescent="0.25">
      <c r="A3808" s="1" t="s">
        <v>39</v>
      </c>
      <c r="B3808" s="1" t="s">
        <v>83</v>
      </c>
      <c r="C3808" s="1" t="s">
        <v>208</v>
      </c>
      <c r="D3808">
        <v>5450</v>
      </c>
      <c r="E3808" s="1"/>
      <c r="F3808" s="1" t="s">
        <v>365</v>
      </c>
      <c r="G3808" s="1" t="s">
        <v>1402</v>
      </c>
      <c r="H3808" s="1" t="s">
        <v>1396</v>
      </c>
      <c r="I3808">
        <v>2011</v>
      </c>
      <c r="J3808" s="93">
        <v>1376.44</v>
      </c>
      <c r="K3808">
        <v>12</v>
      </c>
      <c r="L3808" s="1" t="s">
        <v>421</v>
      </c>
      <c r="M3808">
        <v>0</v>
      </c>
      <c r="N3808">
        <v>0</v>
      </c>
      <c r="O3808">
        <v>13764.4</v>
      </c>
      <c r="P3808">
        <v>1</v>
      </c>
      <c r="Q3808" s="1" t="s">
        <v>562</v>
      </c>
      <c r="R3808" s="93">
        <v>1376.44</v>
      </c>
      <c r="S3808">
        <v>254.65</v>
      </c>
      <c r="T3808">
        <v>1</v>
      </c>
      <c r="U3808" s="1" t="s">
        <v>883</v>
      </c>
      <c r="V3808" s="1"/>
      <c r="W3808">
        <v>1376.45454</v>
      </c>
      <c r="X3808">
        <v>0</v>
      </c>
      <c r="Y3808">
        <v>57636</v>
      </c>
    </row>
    <row r="3809" spans="1:25" ht="15" hidden="1" customHeight="1" x14ac:dyDescent="0.25">
      <c r="A3809" s="1" t="s">
        <v>39</v>
      </c>
      <c r="B3809" s="1" t="s">
        <v>83</v>
      </c>
      <c r="C3809" s="1" t="s">
        <v>208</v>
      </c>
      <c r="D3809">
        <v>5450</v>
      </c>
      <c r="E3809" s="1"/>
      <c r="F3809" s="1" t="s">
        <v>365</v>
      </c>
      <c r="G3809" s="1" t="s">
        <v>1402</v>
      </c>
      <c r="H3809" s="1" t="s">
        <v>1396</v>
      </c>
      <c r="I3809">
        <v>2011</v>
      </c>
      <c r="J3809" s="93">
        <v>120547.45</v>
      </c>
      <c r="K3809">
        <v>12</v>
      </c>
      <c r="L3809" s="1" t="s">
        <v>421</v>
      </c>
      <c r="M3809">
        <v>0</v>
      </c>
      <c r="N3809">
        <v>0</v>
      </c>
      <c r="O3809">
        <v>1205474.5</v>
      </c>
      <c r="P3809">
        <v>1</v>
      </c>
      <c r="Q3809" s="1" t="s">
        <v>562</v>
      </c>
      <c r="R3809" s="93">
        <v>120547.45</v>
      </c>
      <c r="S3809">
        <v>22301.27</v>
      </c>
      <c r="T3809">
        <v>1</v>
      </c>
      <c r="U3809" s="1" t="s">
        <v>874</v>
      </c>
      <c r="V3809" s="1"/>
      <c r="W3809">
        <v>120547.45456</v>
      </c>
      <c r="X3809">
        <v>0</v>
      </c>
      <c r="Y3809">
        <v>57561</v>
      </c>
    </row>
    <row r="3810" spans="1:25" ht="15" hidden="1" customHeight="1" x14ac:dyDescent="0.25">
      <c r="A3810" s="1" t="s">
        <v>39</v>
      </c>
      <c r="B3810" s="1" t="s">
        <v>83</v>
      </c>
      <c r="C3810" s="1" t="s">
        <v>208</v>
      </c>
      <c r="D3810">
        <v>5450</v>
      </c>
      <c r="E3810" s="1"/>
      <c r="F3810" s="1" t="s">
        <v>365</v>
      </c>
      <c r="G3810" s="1" t="s">
        <v>1402</v>
      </c>
      <c r="H3810" s="1" t="s">
        <v>1396</v>
      </c>
      <c r="I3810">
        <v>2011</v>
      </c>
      <c r="J3810" s="93">
        <v>216851.22</v>
      </c>
      <c r="K3810">
        <v>12</v>
      </c>
      <c r="L3810" s="1" t="s">
        <v>421</v>
      </c>
      <c r="M3810">
        <v>0</v>
      </c>
      <c r="N3810">
        <v>0</v>
      </c>
      <c r="O3810">
        <v>2168512.2000000002</v>
      </c>
      <c r="P3810">
        <v>1</v>
      </c>
      <c r="Q3810" s="1" t="s">
        <v>562</v>
      </c>
      <c r="R3810" s="93">
        <v>216851.22</v>
      </c>
      <c r="S3810">
        <v>40117.49</v>
      </c>
      <c r="T3810">
        <v>1</v>
      </c>
      <c r="U3810" s="1" t="s">
        <v>875</v>
      </c>
      <c r="V3810" s="1"/>
      <c r="W3810">
        <v>216851.21212000001</v>
      </c>
      <c r="X3810">
        <v>0</v>
      </c>
      <c r="Y3810">
        <v>57630</v>
      </c>
    </row>
    <row r="3811" spans="1:25" ht="15" hidden="1" customHeight="1" x14ac:dyDescent="0.25">
      <c r="A3811" s="1" t="s">
        <v>39</v>
      </c>
      <c r="B3811" s="1" t="s">
        <v>83</v>
      </c>
      <c r="C3811" s="1" t="s">
        <v>208</v>
      </c>
      <c r="D3811">
        <v>5450</v>
      </c>
      <c r="E3811" s="1"/>
      <c r="F3811" s="1" t="s">
        <v>365</v>
      </c>
      <c r="G3811" s="1" t="s">
        <v>1402</v>
      </c>
      <c r="H3811" s="1" t="s">
        <v>1396</v>
      </c>
      <c r="I3811">
        <v>2011</v>
      </c>
      <c r="J3811" s="93">
        <v>338765.76</v>
      </c>
      <c r="K3811">
        <v>12</v>
      </c>
      <c r="L3811" s="1" t="s">
        <v>421</v>
      </c>
      <c r="M3811">
        <v>0</v>
      </c>
      <c r="N3811">
        <v>0</v>
      </c>
      <c r="O3811">
        <v>3387657.6</v>
      </c>
      <c r="P3811">
        <v>1</v>
      </c>
      <c r="Q3811" s="1" t="s">
        <v>562</v>
      </c>
      <c r="R3811" s="93">
        <v>338765.76</v>
      </c>
      <c r="S3811">
        <v>62671.66</v>
      </c>
      <c r="T3811">
        <v>1</v>
      </c>
      <c r="U3811" s="1" t="s">
        <v>876</v>
      </c>
      <c r="V3811" s="1"/>
      <c r="W3811">
        <v>338765.75757999998</v>
      </c>
      <c r="X3811">
        <v>0</v>
      </c>
      <c r="Y3811">
        <v>57632</v>
      </c>
    </row>
    <row r="3812" spans="1:25" ht="15" hidden="1" customHeight="1" x14ac:dyDescent="0.25">
      <c r="A3812" s="1" t="s">
        <v>39</v>
      </c>
      <c r="B3812" s="1" t="s">
        <v>83</v>
      </c>
      <c r="C3812" s="1" t="s">
        <v>208</v>
      </c>
      <c r="D3812">
        <v>5450</v>
      </c>
      <c r="E3812" s="1"/>
      <c r="F3812" s="1" t="s">
        <v>365</v>
      </c>
      <c r="G3812" s="1" t="s">
        <v>1402</v>
      </c>
      <c r="H3812" s="1" t="s">
        <v>1396</v>
      </c>
      <c r="I3812">
        <v>2011</v>
      </c>
      <c r="J3812" s="93">
        <v>713.27</v>
      </c>
      <c r="K3812">
        <v>12</v>
      </c>
      <c r="L3812" s="1" t="s">
        <v>421</v>
      </c>
      <c r="M3812">
        <v>0</v>
      </c>
      <c r="N3812">
        <v>0</v>
      </c>
      <c r="O3812">
        <v>7132.7</v>
      </c>
      <c r="P3812">
        <v>1</v>
      </c>
      <c r="Q3812" s="1" t="s">
        <v>562</v>
      </c>
      <c r="R3812" s="93">
        <v>713.27</v>
      </c>
      <c r="S3812">
        <v>131.97</v>
      </c>
      <c r="T3812">
        <v>1</v>
      </c>
      <c r="U3812" s="1" t="s">
        <v>877</v>
      </c>
      <c r="V3812" s="1"/>
      <c r="W3812">
        <v>713.27274</v>
      </c>
      <c r="X3812">
        <v>0</v>
      </c>
      <c r="Y3812">
        <v>57638</v>
      </c>
    </row>
    <row r="3813" spans="1:25" ht="15" hidden="1" customHeight="1" x14ac:dyDescent="0.25">
      <c r="A3813" s="1" t="s">
        <v>39</v>
      </c>
      <c r="B3813" s="1" t="s">
        <v>83</v>
      </c>
      <c r="C3813" s="1" t="s">
        <v>208</v>
      </c>
      <c r="D3813">
        <v>5450</v>
      </c>
      <c r="E3813" s="1"/>
      <c r="F3813" s="1" t="s">
        <v>365</v>
      </c>
      <c r="G3813" s="1" t="s">
        <v>1402</v>
      </c>
      <c r="H3813" s="1" t="s">
        <v>1396</v>
      </c>
      <c r="I3813">
        <v>2010</v>
      </c>
      <c r="J3813" s="93">
        <v>10769.94</v>
      </c>
      <c r="K3813">
        <v>12</v>
      </c>
      <c r="L3813" s="1" t="s">
        <v>421</v>
      </c>
      <c r="M3813">
        <v>0</v>
      </c>
      <c r="N3813">
        <v>0</v>
      </c>
      <c r="O3813">
        <v>107699.4</v>
      </c>
      <c r="P3813">
        <v>1</v>
      </c>
      <c r="Q3813" s="1" t="s">
        <v>562</v>
      </c>
      <c r="R3813" s="93">
        <v>10769.94</v>
      </c>
      <c r="S3813">
        <v>1992.41</v>
      </c>
      <c r="T3813">
        <v>1</v>
      </c>
      <c r="U3813" s="1" t="s">
        <v>879</v>
      </c>
      <c r="V3813" s="1"/>
      <c r="W3813">
        <v>10769.928690000001</v>
      </c>
      <c r="X3813">
        <v>0</v>
      </c>
      <c r="Y3813">
        <v>57559</v>
      </c>
    </row>
    <row r="3814" spans="1:25" ht="15" hidden="1" customHeight="1" x14ac:dyDescent="0.25">
      <c r="A3814" s="1" t="s">
        <v>39</v>
      </c>
      <c r="B3814" s="1" t="s">
        <v>83</v>
      </c>
      <c r="C3814" s="1" t="s">
        <v>208</v>
      </c>
      <c r="D3814">
        <v>5450</v>
      </c>
      <c r="E3814" s="1"/>
      <c r="F3814" s="1" t="s">
        <v>365</v>
      </c>
      <c r="G3814" s="1" t="s">
        <v>1402</v>
      </c>
      <c r="H3814" s="1" t="s">
        <v>1396</v>
      </c>
      <c r="I3814">
        <v>2010</v>
      </c>
      <c r="J3814" s="93">
        <v>133525.03</v>
      </c>
      <c r="K3814">
        <v>12</v>
      </c>
      <c r="L3814" s="1" t="s">
        <v>421</v>
      </c>
      <c r="M3814">
        <v>0</v>
      </c>
      <c r="N3814">
        <v>0</v>
      </c>
      <c r="O3814">
        <v>1335250.3</v>
      </c>
      <c r="P3814">
        <v>1</v>
      </c>
      <c r="Q3814" s="1" t="s">
        <v>562</v>
      </c>
      <c r="R3814" s="93">
        <v>133525.03</v>
      </c>
      <c r="S3814">
        <v>24702.13</v>
      </c>
      <c r="T3814">
        <v>1</v>
      </c>
      <c r="U3814" s="1" t="s">
        <v>874</v>
      </c>
      <c r="V3814" s="1"/>
      <c r="W3814">
        <v>133525.03296000001</v>
      </c>
      <c r="X3814">
        <v>0</v>
      </c>
      <c r="Y3814">
        <v>57561</v>
      </c>
    </row>
    <row r="3815" spans="1:25" ht="15" hidden="1" customHeight="1" x14ac:dyDescent="0.25">
      <c r="A3815" s="1" t="s">
        <v>39</v>
      </c>
      <c r="B3815" s="1" t="s">
        <v>83</v>
      </c>
      <c r="C3815" s="1" t="s">
        <v>208</v>
      </c>
      <c r="D3815">
        <v>5450</v>
      </c>
      <c r="E3815" s="1"/>
      <c r="F3815" s="1" t="s">
        <v>365</v>
      </c>
      <c r="G3815" s="1" t="s">
        <v>1402</v>
      </c>
      <c r="H3815" s="1" t="s">
        <v>1396</v>
      </c>
      <c r="I3815">
        <v>2010</v>
      </c>
      <c r="J3815" s="93">
        <v>10618.31</v>
      </c>
      <c r="K3815">
        <v>12</v>
      </c>
      <c r="L3815" s="1" t="s">
        <v>421</v>
      </c>
      <c r="M3815">
        <v>0</v>
      </c>
      <c r="N3815">
        <v>0</v>
      </c>
      <c r="O3815">
        <v>106183.1</v>
      </c>
      <c r="P3815">
        <v>1</v>
      </c>
      <c r="Q3815" s="1" t="s">
        <v>562</v>
      </c>
      <c r="R3815" s="93">
        <v>10618.31</v>
      </c>
      <c r="S3815">
        <v>1964.4</v>
      </c>
      <c r="T3815">
        <v>1</v>
      </c>
      <c r="U3815" s="1" t="s">
        <v>881</v>
      </c>
      <c r="V3815" s="1"/>
      <c r="W3815">
        <v>10618.298559999999</v>
      </c>
      <c r="X3815">
        <v>0</v>
      </c>
      <c r="Y3815">
        <v>57628</v>
      </c>
    </row>
    <row r="3816" spans="1:25" ht="15" hidden="1" customHeight="1" x14ac:dyDescent="0.25">
      <c r="A3816" s="1" t="s">
        <v>39</v>
      </c>
      <c r="B3816" s="1" t="s">
        <v>83</v>
      </c>
      <c r="C3816" s="1" t="s">
        <v>208</v>
      </c>
      <c r="D3816">
        <v>5450</v>
      </c>
      <c r="E3816" s="1"/>
      <c r="F3816" s="1" t="s">
        <v>365</v>
      </c>
      <c r="G3816" s="1" t="s">
        <v>1402</v>
      </c>
      <c r="H3816" s="1" t="s">
        <v>1396</v>
      </c>
      <c r="I3816">
        <v>2010</v>
      </c>
      <c r="J3816" s="93">
        <v>180137.22</v>
      </c>
      <c r="K3816">
        <v>12</v>
      </c>
      <c r="L3816" s="1" t="s">
        <v>421</v>
      </c>
      <c r="M3816">
        <v>0</v>
      </c>
      <c r="N3816">
        <v>0</v>
      </c>
      <c r="O3816">
        <v>1801372.2</v>
      </c>
      <c r="P3816">
        <v>1</v>
      </c>
      <c r="Q3816" s="1" t="s">
        <v>562</v>
      </c>
      <c r="R3816" s="93">
        <v>180137.22</v>
      </c>
      <c r="S3816">
        <v>33325.39</v>
      </c>
      <c r="T3816">
        <v>1</v>
      </c>
      <c r="U3816" s="1" t="s">
        <v>875</v>
      </c>
      <c r="V3816" s="1"/>
      <c r="W3816">
        <v>180137.21033</v>
      </c>
      <c r="X3816">
        <v>0</v>
      </c>
      <c r="Y3816">
        <v>57630</v>
      </c>
    </row>
    <row r="3817" spans="1:25" ht="15" hidden="1" customHeight="1" x14ac:dyDescent="0.25">
      <c r="A3817" s="1" t="s">
        <v>39</v>
      </c>
      <c r="B3817" s="1" t="s">
        <v>83</v>
      </c>
      <c r="C3817" s="1" t="s">
        <v>208</v>
      </c>
      <c r="D3817">
        <v>5450</v>
      </c>
      <c r="E3817" s="1"/>
      <c r="F3817" s="1" t="s">
        <v>365</v>
      </c>
      <c r="G3817" s="1" t="s">
        <v>1402</v>
      </c>
      <c r="H3817" s="1" t="s">
        <v>1396</v>
      </c>
      <c r="I3817">
        <v>2010</v>
      </c>
      <c r="J3817" s="93">
        <v>3770.35</v>
      </c>
      <c r="K3817">
        <v>10</v>
      </c>
      <c r="L3817" s="1" t="s">
        <v>421</v>
      </c>
      <c r="M3817">
        <v>0</v>
      </c>
      <c r="N3817">
        <v>0</v>
      </c>
      <c r="O3817">
        <v>37703.5</v>
      </c>
      <c r="P3817">
        <v>1</v>
      </c>
      <c r="Q3817" s="1" t="s">
        <v>562</v>
      </c>
      <c r="R3817" s="93">
        <v>3770.35</v>
      </c>
      <c r="S3817">
        <v>697.52</v>
      </c>
      <c r="T3817">
        <v>1</v>
      </c>
      <c r="U3817" s="1" t="s">
        <v>883</v>
      </c>
      <c r="V3817" s="1"/>
      <c r="W3817">
        <v>3770.3600799999999</v>
      </c>
      <c r="X3817">
        <v>0</v>
      </c>
      <c r="Y3817">
        <v>57636</v>
      </c>
    </row>
    <row r="3818" spans="1:25" ht="15" hidden="1" customHeight="1" x14ac:dyDescent="0.25">
      <c r="A3818" s="1" t="s">
        <v>39</v>
      </c>
      <c r="B3818" s="1" t="s">
        <v>83</v>
      </c>
      <c r="C3818" s="1" t="s">
        <v>208</v>
      </c>
      <c r="D3818">
        <v>5450</v>
      </c>
      <c r="E3818" s="1"/>
      <c r="F3818" s="1" t="s">
        <v>365</v>
      </c>
      <c r="G3818" s="1" t="s">
        <v>1402</v>
      </c>
      <c r="H3818" s="1" t="s">
        <v>1396</v>
      </c>
      <c r="I3818">
        <v>2010</v>
      </c>
      <c r="J3818" s="93">
        <v>3534.18</v>
      </c>
      <c r="K3818">
        <v>11</v>
      </c>
      <c r="L3818" s="1" t="s">
        <v>421</v>
      </c>
      <c r="M3818">
        <v>0</v>
      </c>
      <c r="N3818">
        <v>0</v>
      </c>
      <c r="O3818">
        <v>35341.800000000003</v>
      </c>
      <c r="P3818">
        <v>1</v>
      </c>
      <c r="Q3818" s="1" t="s">
        <v>562</v>
      </c>
      <c r="R3818" s="93">
        <v>3534.18</v>
      </c>
      <c r="S3818">
        <v>653.83000000000004</v>
      </c>
      <c r="T3818">
        <v>1</v>
      </c>
      <c r="U3818" s="1" t="s">
        <v>877</v>
      </c>
      <c r="V3818" s="1"/>
      <c r="W3818">
        <v>3534.1782699999999</v>
      </c>
      <c r="X3818">
        <v>0</v>
      </c>
      <c r="Y3818">
        <v>57638</v>
      </c>
    </row>
    <row r="3819" spans="1:25" ht="15" hidden="1" customHeight="1" x14ac:dyDescent="0.25">
      <c r="A3819" s="1" t="s">
        <v>39</v>
      </c>
      <c r="B3819" s="1" t="s">
        <v>83</v>
      </c>
      <c r="C3819" s="1" t="s">
        <v>208</v>
      </c>
      <c r="D3819">
        <v>5450</v>
      </c>
      <c r="E3819" s="1"/>
      <c r="F3819" s="1" t="s">
        <v>365</v>
      </c>
      <c r="G3819" s="1" t="s">
        <v>1402</v>
      </c>
      <c r="H3819" s="1" t="s">
        <v>1396</v>
      </c>
      <c r="I3819">
        <v>2010</v>
      </c>
      <c r="J3819" s="93">
        <v>129715.67</v>
      </c>
      <c r="K3819">
        <v>12</v>
      </c>
      <c r="L3819" s="1" t="s">
        <v>421</v>
      </c>
      <c r="M3819">
        <v>0</v>
      </c>
      <c r="N3819">
        <v>0</v>
      </c>
      <c r="O3819">
        <v>1297156.7</v>
      </c>
      <c r="P3819">
        <v>1</v>
      </c>
      <c r="Q3819" s="1" t="s">
        <v>562</v>
      </c>
      <c r="R3819" s="93">
        <v>129715.67</v>
      </c>
      <c r="S3819">
        <v>23997.38</v>
      </c>
      <c r="T3819">
        <v>1</v>
      </c>
      <c r="U3819" s="1" t="s">
        <v>878</v>
      </c>
      <c r="V3819" s="1"/>
      <c r="W3819">
        <v>129715.65951</v>
      </c>
      <c r="X3819">
        <v>0</v>
      </c>
      <c r="Y3819">
        <v>57557</v>
      </c>
    </row>
    <row r="3820" spans="1:25" ht="15" hidden="1" customHeight="1" x14ac:dyDescent="0.25">
      <c r="A3820" s="1" t="s">
        <v>39</v>
      </c>
      <c r="B3820" s="1" t="s">
        <v>83</v>
      </c>
      <c r="C3820" s="1" t="s">
        <v>208</v>
      </c>
      <c r="D3820">
        <v>5450</v>
      </c>
      <c r="E3820" s="1"/>
      <c r="F3820" s="1" t="s">
        <v>365</v>
      </c>
      <c r="G3820" s="1" t="s">
        <v>1402</v>
      </c>
      <c r="H3820" s="1" t="s">
        <v>1396</v>
      </c>
      <c r="I3820">
        <v>2010</v>
      </c>
      <c r="J3820" s="93">
        <v>94554.71</v>
      </c>
      <c r="K3820">
        <v>12</v>
      </c>
      <c r="L3820" s="1" t="s">
        <v>421</v>
      </c>
      <c r="M3820">
        <v>0</v>
      </c>
      <c r="N3820">
        <v>0</v>
      </c>
      <c r="O3820">
        <v>945547.1</v>
      </c>
      <c r="P3820">
        <v>1</v>
      </c>
      <c r="Q3820" s="1" t="s">
        <v>562</v>
      </c>
      <c r="R3820" s="93">
        <v>94554.71</v>
      </c>
      <c r="S3820">
        <v>17492.63</v>
      </c>
      <c r="T3820">
        <v>1</v>
      </c>
      <c r="U3820" s="1" t="s">
        <v>880</v>
      </c>
      <c r="V3820" s="1"/>
      <c r="W3820">
        <v>94554.698759999999</v>
      </c>
      <c r="X3820">
        <v>0</v>
      </c>
      <c r="Y3820">
        <v>57626</v>
      </c>
    </row>
    <row r="3821" spans="1:25" ht="15" hidden="1" customHeight="1" x14ac:dyDescent="0.25">
      <c r="A3821" s="1" t="s">
        <v>39</v>
      </c>
      <c r="B3821" s="1" t="s">
        <v>83</v>
      </c>
      <c r="C3821" s="1" t="s">
        <v>208</v>
      </c>
      <c r="D3821">
        <v>5450</v>
      </c>
      <c r="E3821" s="1"/>
      <c r="F3821" s="1" t="s">
        <v>365</v>
      </c>
      <c r="G3821" s="1" t="s">
        <v>1402</v>
      </c>
      <c r="H3821" s="1" t="s">
        <v>1396</v>
      </c>
      <c r="I3821">
        <v>2010</v>
      </c>
      <c r="J3821" s="93">
        <v>421641.27</v>
      </c>
      <c r="K3821">
        <v>12</v>
      </c>
      <c r="L3821" s="1" t="s">
        <v>421</v>
      </c>
      <c r="M3821">
        <v>0</v>
      </c>
      <c r="N3821">
        <v>0</v>
      </c>
      <c r="O3821">
        <v>4216412.7</v>
      </c>
      <c r="P3821">
        <v>1</v>
      </c>
      <c r="Q3821" s="1" t="s">
        <v>562</v>
      </c>
      <c r="R3821" s="93">
        <v>421641.27</v>
      </c>
      <c r="S3821">
        <v>78003.63</v>
      </c>
      <c r="T3821">
        <v>1</v>
      </c>
      <c r="U3821" s="1" t="s">
        <v>876</v>
      </c>
      <c r="V3821" s="1"/>
      <c r="W3821">
        <v>421641.26559000002</v>
      </c>
      <c r="X3821">
        <v>0</v>
      </c>
      <c r="Y3821">
        <v>57632</v>
      </c>
    </row>
    <row r="3822" spans="1:25" ht="15" hidden="1" customHeight="1" x14ac:dyDescent="0.25">
      <c r="A3822" s="1" t="s">
        <v>39</v>
      </c>
      <c r="B3822" s="1" t="s">
        <v>83</v>
      </c>
      <c r="C3822" s="1" t="s">
        <v>208</v>
      </c>
      <c r="D3822">
        <v>5450</v>
      </c>
      <c r="E3822" s="1"/>
      <c r="F3822" s="1" t="s">
        <v>365</v>
      </c>
      <c r="G3822" s="1" t="s">
        <v>1402</v>
      </c>
      <c r="H3822" s="1" t="s">
        <v>1396</v>
      </c>
      <c r="I3822">
        <v>2010</v>
      </c>
      <c r="J3822" s="93">
        <v>41339.75</v>
      </c>
      <c r="K3822">
        <v>11</v>
      </c>
      <c r="L3822" s="1" t="s">
        <v>421</v>
      </c>
      <c r="M3822">
        <v>0</v>
      </c>
      <c r="N3822">
        <v>0</v>
      </c>
      <c r="O3822">
        <v>413397.5</v>
      </c>
      <c r="P3822">
        <v>1</v>
      </c>
      <c r="Q3822" s="1" t="s">
        <v>562</v>
      </c>
      <c r="R3822" s="93">
        <v>41339.75</v>
      </c>
      <c r="S3822">
        <v>7647.86</v>
      </c>
      <c r="T3822">
        <v>1</v>
      </c>
      <c r="U3822" s="1" t="s">
        <v>882</v>
      </c>
      <c r="V3822" s="1"/>
      <c r="W3822">
        <v>41339.735269999997</v>
      </c>
      <c r="X3822">
        <v>0</v>
      </c>
      <c r="Y3822">
        <v>57634</v>
      </c>
    </row>
    <row r="3823" spans="1:25" ht="15" hidden="1" customHeight="1" x14ac:dyDescent="0.25">
      <c r="A3823" s="1" t="s">
        <v>39</v>
      </c>
      <c r="B3823" s="1" t="s">
        <v>83</v>
      </c>
      <c r="C3823" s="1" t="s">
        <v>208</v>
      </c>
      <c r="D3823">
        <v>5450</v>
      </c>
      <c r="E3823" s="1"/>
      <c r="F3823" s="1" t="s">
        <v>365</v>
      </c>
      <c r="G3823" s="1" t="s">
        <v>1402</v>
      </c>
      <c r="H3823" s="1" t="s">
        <v>1396</v>
      </c>
      <c r="I3823">
        <v>2009</v>
      </c>
      <c r="J3823" s="93">
        <v>4577.6400000000003</v>
      </c>
      <c r="K3823">
        <v>12</v>
      </c>
      <c r="L3823" s="1" t="s">
        <v>421</v>
      </c>
      <c r="M3823">
        <v>0</v>
      </c>
      <c r="N3823">
        <v>0</v>
      </c>
      <c r="O3823">
        <v>45776.4</v>
      </c>
      <c r="P3823">
        <v>1</v>
      </c>
      <c r="Q3823" s="1" t="s">
        <v>562</v>
      </c>
      <c r="R3823" s="93">
        <v>4577.6400000000003</v>
      </c>
      <c r="S3823">
        <v>846.87</v>
      </c>
      <c r="T3823">
        <v>1</v>
      </c>
      <c r="U3823" s="1" t="s">
        <v>879</v>
      </c>
      <c r="V3823" s="1"/>
      <c r="W3823">
        <v>4577.6470499999996</v>
      </c>
      <c r="X3823">
        <v>0</v>
      </c>
      <c r="Y3823">
        <v>57559</v>
      </c>
    </row>
    <row r="3824" spans="1:25" ht="15" hidden="1" customHeight="1" x14ac:dyDescent="0.25">
      <c r="A3824" s="1" t="s">
        <v>39</v>
      </c>
      <c r="B3824" s="1" t="s">
        <v>83</v>
      </c>
      <c r="C3824" s="1" t="s">
        <v>208</v>
      </c>
      <c r="D3824">
        <v>5450</v>
      </c>
      <c r="E3824" s="1"/>
      <c r="F3824" s="1" t="s">
        <v>365</v>
      </c>
      <c r="G3824" s="1" t="s">
        <v>1402</v>
      </c>
      <c r="H3824" s="1" t="s">
        <v>1396</v>
      </c>
      <c r="I3824">
        <v>2009</v>
      </c>
      <c r="J3824" s="93">
        <v>140836.72</v>
      </c>
      <c r="K3824">
        <v>13</v>
      </c>
      <c r="L3824" s="1" t="s">
        <v>421</v>
      </c>
      <c r="M3824">
        <v>0</v>
      </c>
      <c r="N3824">
        <v>0</v>
      </c>
      <c r="O3824">
        <v>1408367.2</v>
      </c>
      <c r="P3824">
        <v>1</v>
      </c>
      <c r="Q3824" s="1" t="s">
        <v>562</v>
      </c>
      <c r="R3824" s="93">
        <v>140836.72</v>
      </c>
      <c r="S3824">
        <v>26054.799999999999</v>
      </c>
      <c r="T3824">
        <v>1</v>
      </c>
      <c r="U3824" s="1" t="s">
        <v>874</v>
      </c>
      <c r="V3824" s="1"/>
      <c r="W3824">
        <v>140836.71325</v>
      </c>
      <c r="X3824">
        <v>0</v>
      </c>
      <c r="Y3824">
        <v>57561</v>
      </c>
    </row>
    <row r="3825" spans="1:25" ht="15" hidden="1" customHeight="1" x14ac:dyDescent="0.25">
      <c r="A3825" s="1" t="s">
        <v>39</v>
      </c>
      <c r="B3825" s="1" t="s">
        <v>83</v>
      </c>
      <c r="C3825" s="1" t="s">
        <v>208</v>
      </c>
      <c r="D3825">
        <v>5450</v>
      </c>
      <c r="E3825" s="1"/>
      <c r="F3825" s="1" t="s">
        <v>365</v>
      </c>
      <c r="G3825" s="1" t="s">
        <v>1402</v>
      </c>
      <c r="H3825" s="1" t="s">
        <v>1396</v>
      </c>
      <c r="I3825">
        <v>2009</v>
      </c>
      <c r="J3825" s="93">
        <v>6086.23</v>
      </c>
      <c r="K3825">
        <v>12</v>
      </c>
      <c r="L3825" s="1" t="s">
        <v>421</v>
      </c>
      <c r="M3825">
        <v>0</v>
      </c>
      <c r="N3825">
        <v>0</v>
      </c>
      <c r="O3825">
        <v>60862.3</v>
      </c>
      <c r="P3825">
        <v>1</v>
      </c>
      <c r="Q3825" s="1" t="s">
        <v>562</v>
      </c>
      <c r="R3825" s="93">
        <v>6086.23</v>
      </c>
      <c r="S3825">
        <v>1125.94</v>
      </c>
      <c r="T3825">
        <v>1</v>
      </c>
      <c r="U3825" s="1" t="s">
        <v>881</v>
      </c>
      <c r="V3825" s="1"/>
      <c r="W3825">
        <v>6086.22793</v>
      </c>
      <c r="X3825">
        <v>0</v>
      </c>
      <c r="Y3825">
        <v>57628</v>
      </c>
    </row>
    <row r="3826" spans="1:25" ht="15" hidden="1" customHeight="1" x14ac:dyDescent="0.25">
      <c r="A3826" s="1" t="s">
        <v>39</v>
      </c>
      <c r="B3826" s="1" t="s">
        <v>83</v>
      </c>
      <c r="C3826" s="1" t="s">
        <v>208</v>
      </c>
      <c r="D3826">
        <v>5450</v>
      </c>
      <c r="E3826" s="1"/>
      <c r="F3826" s="1" t="s">
        <v>365</v>
      </c>
      <c r="G3826" s="1" t="s">
        <v>1402</v>
      </c>
      <c r="H3826" s="1" t="s">
        <v>1396</v>
      </c>
      <c r="I3826">
        <v>2009</v>
      </c>
      <c r="J3826" s="93">
        <v>185567.01</v>
      </c>
      <c r="K3826">
        <v>12</v>
      </c>
      <c r="L3826" s="1" t="s">
        <v>421</v>
      </c>
      <c r="M3826">
        <v>0</v>
      </c>
      <c r="N3826">
        <v>0</v>
      </c>
      <c r="O3826">
        <v>1855670.1</v>
      </c>
      <c r="P3826">
        <v>1</v>
      </c>
      <c r="Q3826" s="1" t="s">
        <v>562</v>
      </c>
      <c r="R3826" s="93">
        <v>185567.01</v>
      </c>
      <c r="S3826">
        <v>34329.89</v>
      </c>
      <c r="T3826">
        <v>1</v>
      </c>
      <c r="U3826" s="1" t="s">
        <v>875</v>
      </c>
      <c r="V3826" s="1"/>
      <c r="W3826">
        <v>185567.0037</v>
      </c>
      <c r="X3826">
        <v>0</v>
      </c>
      <c r="Y3826">
        <v>57630</v>
      </c>
    </row>
    <row r="3827" spans="1:25" ht="15" hidden="1" customHeight="1" x14ac:dyDescent="0.25">
      <c r="A3827" s="1" t="s">
        <v>39</v>
      </c>
      <c r="B3827" s="1" t="s">
        <v>83</v>
      </c>
      <c r="C3827" s="1" t="s">
        <v>208</v>
      </c>
      <c r="D3827">
        <v>5450</v>
      </c>
      <c r="E3827" s="1"/>
      <c r="F3827" s="1" t="s">
        <v>365</v>
      </c>
      <c r="G3827" s="1" t="s">
        <v>1402</v>
      </c>
      <c r="H3827" s="1" t="s">
        <v>1396</v>
      </c>
      <c r="I3827">
        <v>2009</v>
      </c>
      <c r="J3827" s="93">
        <v>7013.94</v>
      </c>
      <c r="K3827">
        <v>13</v>
      </c>
      <c r="L3827" s="1" t="s">
        <v>421</v>
      </c>
      <c r="M3827">
        <v>0</v>
      </c>
      <c r="N3827">
        <v>0</v>
      </c>
      <c r="O3827">
        <v>70139.399999999994</v>
      </c>
      <c r="P3827">
        <v>1</v>
      </c>
      <c r="Q3827" s="1" t="s">
        <v>562</v>
      </c>
      <c r="R3827" s="93">
        <v>7013.94</v>
      </c>
      <c r="S3827">
        <v>1297.5899999999999</v>
      </c>
      <c r="T3827">
        <v>1</v>
      </c>
      <c r="U3827" s="1" t="s">
        <v>883</v>
      </c>
      <c r="V3827" s="1"/>
      <c r="W3827">
        <v>7013.9448499999999</v>
      </c>
      <c r="X3827">
        <v>0</v>
      </c>
      <c r="Y3827">
        <v>57636</v>
      </c>
    </row>
    <row r="3828" spans="1:25" ht="15" hidden="1" customHeight="1" x14ac:dyDescent="0.25">
      <c r="A3828" s="1" t="s">
        <v>39</v>
      </c>
      <c r="B3828" s="1" t="s">
        <v>83</v>
      </c>
      <c r="C3828" s="1" t="s">
        <v>208</v>
      </c>
      <c r="D3828">
        <v>5450</v>
      </c>
      <c r="E3828" s="1"/>
      <c r="F3828" s="1" t="s">
        <v>365</v>
      </c>
      <c r="G3828" s="1" t="s">
        <v>1402</v>
      </c>
      <c r="H3828" s="1" t="s">
        <v>1396</v>
      </c>
      <c r="I3828">
        <v>2009</v>
      </c>
      <c r="J3828" s="93">
        <v>4524.6099999999997</v>
      </c>
      <c r="K3828">
        <v>12</v>
      </c>
      <c r="L3828" s="1" t="s">
        <v>421</v>
      </c>
      <c r="M3828">
        <v>0</v>
      </c>
      <c r="N3828">
        <v>0</v>
      </c>
      <c r="O3828">
        <v>45246.1</v>
      </c>
      <c r="P3828">
        <v>1</v>
      </c>
      <c r="Q3828" s="1" t="s">
        <v>562</v>
      </c>
      <c r="R3828" s="93">
        <v>4524.6099999999997</v>
      </c>
      <c r="S3828">
        <v>837.05</v>
      </c>
      <c r="T3828">
        <v>1</v>
      </c>
      <c r="U3828" s="1" t="s">
        <v>877</v>
      </c>
      <c r="V3828" s="1"/>
      <c r="W3828">
        <v>4524.6010999999999</v>
      </c>
      <c r="X3828">
        <v>0</v>
      </c>
      <c r="Y3828">
        <v>57638</v>
      </c>
    </row>
    <row r="3829" spans="1:25" ht="15" hidden="1" customHeight="1" x14ac:dyDescent="0.25">
      <c r="A3829" s="1" t="s">
        <v>39</v>
      </c>
      <c r="B3829" s="1" t="s">
        <v>83</v>
      </c>
      <c r="C3829" s="1" t="s">
        <v>208</v>
      </c>
      <c r="D3829">
        <v>5450</v>
      </c>
      <c r="E3829" s="1"/>
      <c r="F3829" s="1" t="s">
        <v>365</v>
      </c>
      <c r="G3829" s="1" t="s">
        <v>1402</v>
      </c>
      <c r="H3829" s="1" t="s">
        <v>1396</v>
      </c>
      <c r="I3829">
        <v>2009</v>
      </c>
      <c r="J3829" s="93">
        <v>102626.16</v>
      </c>
      <c r="K3829">
        <v>13</v>
      </c>
      <c r="L3829" s="1" t="s">
        <v>421</v>
      </c>
      <c r="M3829">
        <v>0</v>
      </c>
      <c r="N3829">
        <v>0</v>
      </c>
      <c r="O3829">
        <v>1026261.6</v>
      </c>
      <c r="P3829">
        <v>1</v>
      </c>
      <c r="Q3829" s="1" t="s">
        <v>562</v>
      </c>
      <c r="R3829" s="93">
        <v>102626.16</v>
      </c>
      <c r="S3829">
        <v>18985.849999999999</v>
      </c>
      <c r="T3829">
        <v>1</v>
      </c>
      <c r="U3829" s="1" t="s">
        <v>878</v>
      </c>
      <c r="V3829" s="1"/>
      <c r="W3829">
        <v>102626.17096</v>
      </c>
      <c r="X3829">
        <v>0</v>
      </c>
      <c r="Y3829">
        <v>57557</v>
      </c>
    </row>
    <row r="3830" spans="1:25" ht="15" hidden="1" customHeight="1" x14ac:dyDescent="0.25">
      <c r="A3830" s="1" t="s">
        <v>39</v>
      </c>
      <c r="B3830" s="1" t="s">
        <v>83</v>
      </c>
      <c r="C3830" s="1" t="s">
        <v>208</v>
      </c>
      <c r="D3830">
        <v>5450</v>
      </c>
      <c r="E3830" s="1"/>
      <c r="F3830" s="1" t="s">
        <v>365</v>
      </c>
      <c r="G3830" s="1" t="s">
        <v>1402</v>
      </c>
      <c r="H3830" s="1" t="s">
        <v>1396</v>
      </c>
      <c r="I3830">
        <v>2009</v>
      </c>
      <c r="J3830" s="93">
        <v>74152.97</v>
      </c>
      <c r="K3830">
        <v>12</v>
      </c>
      <c r="L3830" s="1" t="s">
        <v>421</v>
      </c>
      <c r="M3830">
        <v>0</v>
      </c>
      <c r="N3830">
        <v>0</v>
      </c>
      <c r="O3830">
        <v>741529.7</v>
      </c>
      <c r="P3830">
        <v>1</v>
      </c>
      <c r="Q3830" s="1" t="s">
        <v>562</v>
      </c>
      <c r="R3830" s="93">
        <v>74152.97</v>
      </c>
      <c r="S3830">
        <v>13718.31</v>
      </c>
      <c r="T3830">
        <v>1</v>
      </c>
      <c r="U3830" s="1" t="s">
        <v>880</v>
      </c>
      <c r="V3830" s="1"/>
      <c r="W3830">
        <v>74152.965070000006</v>
      </c>
      <c r="X3830">
        <v>0</v>
      </c>
      <c r="Y3830">
        <v>57626</v>
      </c>
    </row>
    <row r="3831" spans="1:25" ht="15" hidden="1" customHeight="1" x14ac:dyDescent="0.25">
      <c r="A3831" s="1" t="s">
        <v>39</v>
      </c>
      <c r="B3831" s="1" t="s">
        <v>83</v>
      </c>
      <c r="C3831" s="1" t="s">
        <v>208</v>
      </c>
      <c r="D3831">
        <v>5450</v>
      </c>
      <c r="E3831" s="1"/>
      <c r="F3831" s="1" t="s">
        <v>365</v>
      </c>
      <c r="G3831" s="1" t="s">
        <v>1402</v>
      </c>
      <c r="H3831" s="1" t="s">
        <v>1396</v>
      </c>
      <c r="I3831">
        <v>2009</v>
      </c>
      <c r="J3831" s="93">
        <v>426388.65</v>
      </c>
      <c r="K3831">
        <v>12</v>
      </c>
      <c r="L3831" s="1" t="s">
        <v>421</v>
      </c>
      <c r="M3831">
        <v>0</v>
      </c>
      <c r="N3831">
        <v>0</v>
      </c>
      <c r="O3831">
        <v>4263886.5</v>
      </c>
      <c r="P3831">
        <v>1</v>
      </c>
      <c r="Q3831" s="1" t="s">
        <v>562</v>
      </c>
      <c r="R3831" s="93">
        <v>426388.65</v>
      </c>
      <c r="S3831">
        <v>78881.89</v>
      </c>
      <c r="T3831">
        <v>1</v>
      </c>
      <c r="U3831" s="1" t="s">
        <v>876</v>
      </c>
      <c r="V3831" s="1"/>
      <c r="W3831">
        <v>426388.63971000002</v>
      </c>
      <c r="X3831">
        <v>0</v>
      </c>
      <c r="Y3831">
        <v>57632</v>
      </c>
    </row>
    <row r="3832" spans="1:25" ht="15" hidden="1" customHeight="1" x14ac:dyDescent="0.25">
      <c r="A3832" s="1" t="s">
        <v>39</v>
      </c>
      <c r="B3832" s="1" t="s">
        <v>83</v>
      </c>
      <c r="C3832" s="1" t="s">
        <v>208</v>
      </c>
      <c r="D3832">
        <v>5450</v>
      </c>
      <c r="E3832" s="1"/>
      <c r="F3832" s="1" t="s">
        <v>365</v>
      </c>
      <c r="G3832" s="1" t="s">
        <v>1402</v>
      </c>
      <c r="H3832" s="1" t="s">
        <v>1396</v>
      </c>
      <c r="I3832">
        <v>2009</v>
      </c>
      <c r="J3832" s="93">
        <v>37928.120000000003</v>
      </c>
      <c r="K3832">
        <v>12</v>
      </c>
      <c r="L3832" s="1" t="s">
        <v>421</v>
      </c>
      <c r="M3832">
        <v>0</v>
      </c>
      <c r="N3832">
        <v>0</v>
      </c>
      <c r="O3832">
        <v>379281.2</v>
      </c>
      <c r="P3832">
        <v>1</v>
      </c>
      <c r="Q3832" s="1" t="s">
        <v>562</v>
      </c>
      <c r="R3832" s="93">
        <v>37928.120000000003</v>
      </c>
      <c r="S3832">
        <v>7016.69</v>
      </c>
      <c r="T3832">
        <v>1</v>
      </c>
      <c r="U3832" s="1" t="s">
        <v>882</v>
      </c>
      <c r="V3832" s="1"/>
      <c r="W3832">
        <v>37928.139719999999</v>
      </c>
      <c r="X3832">
        <v>0</v>
      </c>
      <c r="Y3832">
        <v>57634</v>
      </c>
    </row>
    <row r="3833" spans="1:25" ht="15" hidden="1" customHeight="1" x14ac:dyDescent="0.25">
      <c r="A3833" s="1" t="s">
        <v>39</v>
      </c>
      <c r="B3833" s="1" t="s">
        <v>83</v>
      </c>
      <c r="C3833" s="1" t="s">
        <v>208</v>
      </c>
      <c r="D3833">
        <v>5450</v>
      </c>
      <c r="E3833" s="1"/>
      <c r="F3833" s="1" t="s">
        <v>365</v>
      </c>
      <c r="G3833" s="1" t="s">
        <v>1402</v>
      </c>
      <c r="H3833" s="1" t="s">
        <v>1396</v>
      </c>
      <c r="I3833">
        <v>2008</v>
      </c>
      <c r="J3833" s="93">
        <v>97920.75</v>
      </c>
      <c r="K3833">
        <v>13</v>
      </c>
      <c r="L3833" s="1" t="s">
        <v>421</v>
      </c>
      <c r="M3833">
        <v>0</v>
      </c>
      <c r="N3833">
        <v>0</v>
      </c>
      <c r="O3833">
        <v>979207.5</v>
      </c>
      <c r="P3833">
        <v>1</v>
      </c>
      <c r="Q3833" s="1" t="s">
        <v>562</v>
      </c>
      <c r="R3833" s="93">
        <v>97920.75</v>
      </c>
      <c r="S3833">
        <v>18115.34</v>
      </c>
      <c r="T3833">
        <v>1</v>
      </c>
      <c r="U3833" s="1" t="s">
        <v>874</v>
      </c>
      <c r="V3833" s="1"/>
      <c r="W3833">
        <v>97920.738639999996</v>
      </c>
      <c r="X3833">
        <v>0</v>
      </c>
      <c r="Y3833">
        <v>57561</v>
      </c>
    </row>
    <row r="3834" spans="1:25" ht="15" hidden="1" customHeight="1" x14ac:dyDescent="0.25">
      <c r="A3834" s="1" t="s">
        <v>39</v>
      </c>
      <c r="B3834" s="1" t="s">
        <v>83</v>
      </c>
      <c r="C3834" s="1" t="s">
        <v>208</v>
      </c>
      <c r="D3834">
        <v>5450</v>
      </c>
      <c r="E3834" s="1"/>
      <c r="F3834" s="1" t="s">
        <v>365</v>
      </c>
      <c r="G3834" s="1" t="s">
        <v>1402</v>
      </c>
      <c r="H3834" s="1" t="s">
        <v>1396</v>
      </c>
      <c r="I3834">
        <v>2008</v>
      </c>
      <c r="J3834" s="93">
        <v>200817.6</v>
      </c>
      <c r="K3834">
        <v>12</v>
      </c>
      <c r="L3834" s="1" t="s">
        <v>421</v>
      </c>
      <c r="M3834">
        <v>0</v>
      </c>
      <c r="N3834">
        <v>0</v>
      </c>
      <c r="O3834">
        <v>2008176</v>
      </c>
      <c r="P3834">
        <v>1</v>
      </c>
      <c r="Q3834" s="1" t="s">
        <v>562</v>
      </c>
      <c r="R3834" s="93">
        <v>200817.6</v>
      </c>
      <c r="S3834">
        <v>37151.26</v>
      </c>
      <c r="T3834">
        <v>1</v>
      </c>
      <c r="U3834" s="1" t="s">
        <v>875</v>
      </c>
      <c r="V3834" s="1"/>
      <c r="W3834">
        <v>200817.60415999999</v>
      </c>
      <c r="X3834">
        <v>0</v>
      </c>
      <c r="Y3834">
        <v>57630</v>
      </c>
    </row>
    <row r="3835" spans="1:25" ht="15" hidden="1" customHeight="1" x14ac:dyDescent="0.25">
      <c r="A3835" s="1" t="s">
        <v>39</v>
      </c>
      <c r="B3835" s="1" t="s">
        <v>83</v>
      </c>
      <c r="C3835" s="1" t="s">
        <v>208</v>
      </c>
      <c r="D3835">
        <v>5450</v>
      </c>
      <c r="E3835" s="1"/>
      <c r="F3835" s="1" t="s">
        <v>365</v>
      </c>
      <c r="G3835" s="1" t="s">
        <v>1402</v>
      </c>
      <c r="H3835" s="1" t="s">
        <v>1396</v>
      </c>
      <c r="I3835">
        <v>2008</v>
      </c>
      <c r="J3835" s="93">
        <v>430569.19</v>
      </c>
      <c r="K3835">
        <v>12</v>
      </c>
      <c r="L3835" s="1" t="s">
        <v>421</v>
      </c>
      <c r="M3835">
        <v>0</v>
      </c>
      <c r="N3835">
        <v>0</v>
      </c>
      <c r="O3835">
        <v>4305691.9000000004</v>
      </c>
      <c r="P3835">
        <v>1</v>
      </c>
      <c r="Q3835" s="1" t="s">
        <v>562</v>
      </c>
      <c r="R3835" s="93">
        <v>430569.19</v>
      </c>
      <c r="S3835">
        <v>79655.289999999994</v>
      </c>
      <c r="T3835">
        <v>1</v>
      </c>
      <c r="U3835" s="1" t="s">
        <v>876</v>
      </c>
      <c r="V3835" s="1"/>
      <c r="W3835">
        <v>430569.18560000003</v>
      </c>
      <c r="X3835">
        <v>0</v>
      </c>
      <c r="Y3835">
        <v>57632</v>
      </c>
    </row>
    <row r="3836" spans="1:25" ht="15" hidden="1" customHeight="1" x14ac:dyDescent="0.25">
      <c r="A3836" s="1" t="s">
        <v>39</v>
      </c>
      <c r="B3836" s="1" t="s">
        <v>83</v>
      </c>
      <c r="C3836" s="1" t="s">
        <v>208</v>
      </c>
      <c r="D3836">
        <v>5450</v>
      </c>
      <c r="E3836" s="1"/>
      <c r="F3836" s="1" t="s">
        <v>365</v>
      </c>
      <c r="G3836" s="1" t="s">
        <v>1402</v>
      </c>
      <c r="H3836" s="1" t="s">
        <v>1396</v>
      </c>
      <c r="I3836">
        <v>2008</v>
      </c>
      <c r="J3836" s="93">
        <v>5144.5200000000004</v>
      </c>
      <c r="K3836">
        <v>12</v>
      </c>
      <c r="L3836" s="1" t="s">
        <v>421</v>
      </c>
      <c r="M3836">
        <v>0</v>
      </c>
      <c r="N3836">
        <v>0</v>
      </c>
      <c r="O3836">
        <v>51445.2</v>
      </c>
      <c r="P3836">
        <v>1</v>
      </c>
      <c r="Q3836" s="1" t="s">
        <v>562</v>
      </c>
      <c r="R3836" s="93">
        <v>5144.5200000000004</v>
      </c>
      <c r="S3836">
        <v>951.74</v>
      </c>
      <c r="T3836">
        <v>1</v>
      </c>
      <c r="U3836" s="1" t="s">
        <v>877</v>
      </c>
      <c r="V3836" s="1"/>
      <c r="W3836">
        <v>5144.5236800000002</v>
      </c>
      <c r="X3836">
        <v>0</v>
      </c>
      <c r="Y3836">
        <v>57638</v>
      </c>
    </row>
    <row r="3837" spans="1:25" ht="15" hidden="1" customHeight="1" x14ac:dyDescent="0.25">
      <c r="A3837" s="1" t="s">
        <v>39</v>
      </c>
      <c r="B3837" s="1" t="s">
        <v>83</v>
      </c>
      <c r="C3837" s="1" t="s">
        <v>208</v>
      </c>
      <c r="D3837">
        <v>5450</v>
      </c>
      <c r="E3837" s="1"/>
      <c r="F3837" s="1" t="s">
        <v>365</v>
      </c>
      <c r="G3837" s="1" t="s">
        <v>1402</v>
      </c>
      <c r="H3837" s="1" t="s">
        <v>1396</v>
      </c>
      <c r="I3837">
        <v>2008</v>
      </c>
      <c r="J3837" s="93">
        <v>136430.82</v>
      </c>
      <c r="K3837">
        <v>12</v>
      </c>
      <c r="L3837" s="1" t="s">
        <v>421</v>
      </c>
      <c r="M3837">
        <v>0</v>
      </c>
      <c r="N3837">
        <v>0</v>
      </c>
      <c r="O3837">
        <v>1364308.2</v>
      </c>
      <c r="P3837">
        <v>1</v>
      </c>
      <c r="Q3837" s="1" t="s">
        <v>562</v>
      </c>
      <c r="R3837" s="93">
        <v>136430.82</v>
      </c>
      <c r="S3837">
        <v>25239.68</v>
      </c>
      <c r="T3837">
        <v>1</v>
      </c>
      <c r="U3837" s="1" t="s">
        <v>878</v>
      </c>
      <c r="V3837" s="1"/>
      <c r="W3837">
        <v>136430.83616000001</v>
      </c>
      <c r="X3837">
        <v>0</v>
      </c>
      <c r="Y3837">
        <v>57557</v>
      </c>
    </row>
    <row r="3838" spans="1:25" ht="15" hidden="1" customHeight="1" x14ac:dyDescent="0.25">
      <c r="A3838" s="1" t="s">
        <v>39</v>
      </c>
      <c r="B3838" s="1" t="s">
        <v>83</v>
      </c>
      <c r="C3838" s="1" t="s">
        <v>208</v>
      </c>
      <c r="D3838">
        <v>5450</v>
      </c>
      <c r="E3838" s="1"/>
      <c r="F3838" s="1" t="s">
        <v>365</v>
      </c>
      <c r="G3838" s="1" t="s">
        <v>1402</v>
      </c>
      <c r="H3838" s="1" t="s">
        <v>1396</v>
      </c>
      <c r="I3838">
        <v>2008</v>
      </c>
      <c r="J3838" s="93">
        <v>7071.82</v>
      </c>
      <c r="K3838">
        <v>12</v>
      </c>
      <c r="L3838" s="1" t="s">
        <v>421</v>
      </c>
      <c r="M3838">
        <v>0</v>
      </c>
      <c r="N3838">
        <v>0</v>
      </c>
      <c r="O3838">
        <v>70718.2</v>
      </c>
      <c r="P3838">
        <v>1</v>
      </c>
      <c r="Q3838" s="1" t="s">
        <v>562</v>
      </c>
      <c r="R3838" s="93">
        <v>7071.82</v>
      </c>
      <c r="S3838">
        <v>1308.28</v>
      </c>
      <c r="T3838">
        <v>1</v>
      </c>
      <c r="U3838" s="1" t="s">
        <v>879</v>
      </c>
      <c r="V3838" s="1"/>
      <c r="W3838">
        <v>7071.8181800000002</v>
      </c>
      <c r="X3838">
        <v>0</v>
      </c>
      <c r="Y3838">
        <v>57559</v>
      </c>
    </row>
    <row r="3839" spans="1:25" ht="15" hidden="1" customHeight="1" x14ac:dyDescent="0.25">
      <c r="A3839" s="1" t="s">
        <v>39</v>
      </c>
      <c r="B3839" s="1" t="s">
        <v>83</v>
      </c>
      <c r="C3839" s="1" t="s">
        <v>208</v>
      </c>
      <c r="D3839">
        <v>5450</v>
      </c>
      <c r="E3839" s="1"/>
      <c r="F3839" s="1" t="s">
        <v>365</v>
      </c>
      <c r="G3839" s="1" t="s">
        <v>1402</v>
      </c>
      <c r="H3839" s="1" t="s">
        <v>1396</v>
      </c>
      <c r="I3839">
        <v>2008</v>
      </c>
      <c r="J3839" s="93">
        <v>92195.6</v>
      </c>
      <c r="K3839">
        <v>12</v>
      </c>
      <c r="L3839" s="1" t="s">
        <v>421</v>
      </c>
      <c r="M3839">
        <v>0</v>
      </c>
      <c r="N3839">
        <v>0</v>
      </c>
      <c r="O3839">
        <v>921956</v>
      </c>
      <c r="P3839">
        <v>1</v>
      </c>
      <c r="Q3839" s="1" t="s">
        <v>562</v>
      </c>
      <c r="R3839" s="93">
        <v>92195.6</v>
      </c>
      <c r="S3839">
        <v>17056.189999999999</v>
      </c>
      <c r="T3839">
        <v>1</v>
      </c>
      <c r="U3839" s="1" t="s">
        <v>880</v>
      </c>
      <c r="V3839" s="1"/>
      <c r="W3839">
        <v>92195.608900000007</v>
      </c>
      <c r="X3839">
        <v>0</v>
      </c>
      <c r="Y3839">
        <v>57626</v>
      </c>
    </row>
    <row r="3840" spans="1:25" ht="15" hidden="1" customHeight="1" x14ac:dyDescent="0.25">
      <c r="A3840" s="1" t="s">
        <v>39</v>
      </c>
      <c r="B3840" s="1" t="s">
        <v>83</v>
      </c>
      <c r="C3840" s="1" t="s">
        <v>208</v>
      </c>
      <c r="D3840">
        <v>5450</v>
      </c>
      <c r="E3840" s="1"/>
      <c r="F3840" s="1" t="s">
        <v>365</v>
      </c>
      <c r="G3840" s="1" t="s">
        <v>1402</v>
      </c>
      <c r="H3840" s="1" t="s">
        <v>1396</v>
      </c>
      <c r="I3840">
        <v>2008</v>
      </c>
      <c r="J3840" s="93">
        <v>8347.9500000000007</v>
      </c>
      <c r="K3840">
        <v>12</v>
      </c>
      <c r="L3840" s="1" t="s">
        <v>421</v>
      </c>
      <c r="M3840">
        <v>0</v>
      </c>
      <c r="N3840">
        <v>0</v>
      </c>
      <c r="O3840">
        <v>83479.5</v>
      </c>
      <c r="P3840">
        <v>1</v>
      </c>
      <c r="Q3840" s="1" t="s">
        <v>562</v>
      </c>
      <c r="R3840" s="93">
        <v>8347.9500000000007</v>
      </c>
      <c r="S3840">
        <v>1544.36</v>
      </c>
      <c r="T3840">
        <v>1</v>
      </c>
      <c r="U3840" s="1" t="s">
        <v>881</v>
      </c>
      <c r="V3840" s="1"/>
      <c r="W3840">
        <v>8347.9583299999995</v>
      </c>
      <c r="X3840">
        <v>0</v>
      </c>
      <c r="Y3840">
        <v>57628</v>
      </c>
    </row>
    <row r="3841" spans="1:25" ht="15" hidden="1" customHeight="1" x14ac:dyDescent="0.25">
      <c r="A3841" s="1" t="s">
        <v>39</v>
      </c>
      <c r="B3841" s="1" t="s">
        <v>83</v>
      </c>
      <c r="C3841" s="1" t="s">
        <v>208</v>
      </c>
      <c r="D3841">
        <v>5450</v>
      </c>
      <c r="E3841" s="1"/>
      <c r="F3841" s="1" t="s">
        <v>365</v>
      </c>
      <c r="G3841" s="1" t="s">
        <v>1402</v>
      </c>
      <c r="H3841" s="1" t="s">
        <v>1396</v>
      </c>
      <c r="I3841">
        <v>2008</v>
      </c>
      <c r="J3841" s="93">
        <v>36840.68</v>
      </c>
      <c r="K3841">
        <v>12</v>
      </c>
      <c r="L3841" s="1" t="s">
        <v>421</v>
      </c>
      <c r="M3841">
        <v>0</v>
      </c>
      <c r="N3841">
        <v>0</v>
      </c>
      <c r="O3841">
        <v>368406.8</v>
      </c>
      <c r="P3841">
        <v>1</v>
      </c>
      <c r="Q3841" s="1" t="s">
        <v>562</v>
      </c>
      <c r="R3841" s="93">
        <v>36840.68</v>
      </c>
      <c r="S3841">
        <v>6815.52</v>
      </c>
      <c r="T3841">
        <v>1</v>
      </c>
      <c r="U3841" s="1" t="s">
        <v>882</v>
      </c>
      <c r="V3841" s="1"/>
      <c r="W3841">
        <v>36840.670449999998</v>
      </c>
      <c r="X3841">
        <v>0</v>
      </c>
      <c r="Y3841">
        <v>57634</v>
      </c>
    </row>
    <row r="3842" spans="1:25" ht="15" hidden="1" customHeight="1" x14ac:dyDescent="0.25">
      <c r="A3842" s="1" t="s">
        <v>39</v>
      </c>
      <c r="B3842" s="1" t="s">
        <v>83</v>
      </c>
      <c r="C3842" s="1" t="s">
        <v>208</v>
      </c>
      <c r="D3842">
        <v>5450</v>
      </c>
      <c r="E3842" s="1"/>
      <c r="F3842" s="1" t="s">
        <v>365</v>
      </c>
      <c r="G3842" s="1" t="s">
        <v>1402</v>
      </c>
      <c r="H3842" s="1" t="s">
        <v>1396</v>
      </c>
      <c r="I3842">
        <v>2008</v>
      </c>
      <c r="J3842" s="93">
        <v>8439.61</v>
      </c>
      <c r="K3842">
        <v>12</v>
      </c>
      <c r="L3842" s="1" t="s">
        <v>421</v>
      </c>
      <c r="M3842">
        <v>0</v>
      </c>
      <c r="N3842">
        <v>0</v>
      </c>
      <c r="O3842">
        <v>84396.1</v>
      </c>
      <c r="P3842">
        <v>1</v>
      </c>
      <c r="Q3842" s="1" t="s">
        <v>562</v>
      </c>
      <c r="R3842" s="93">
        <v>8439.61</v>
      </c>
      <c r="S3842">
        <v>1561.34</v>
      </c>
      <c r="T3842">
        <v>1</v>
      </c>
      <c r="U3842" s="1" t="s">
        <v>883</v>
      </c>
      <c r="V3842" s="1"/>
      <c r="W3842">
        <v>8439.6041700000005</v>
      </c>
      <c r="X3842">
        <v>0</v>
      </c>
      <c r="Y3842">
        <v>57636</v>
      </c>
    </row>
    <row r="3843" spans="1:25" ht="15" hidden="1" customHeight="1" x14ac:dyDescent="0.25">
      <c r="A3843" s="1" t="s">
        <v>39</v>
      </c>
      <c r="B3843" s="1" t="s">
        <v>83</v>
      </c>
      <c r="C3843" s="1" t="s">
        <v>208</v>
      </c>
      <c r="D3843">
        <v>5449</v>
      </c>
      <c r="E3843" s="1"/>
      <c r="F3843" s="1" t="s">
        <v>344</v>
      </c>
      <c r="G3843" s="1" t="s">
        <v>1402</v>
      </c>
      <c r="H3843" s="1" t="s">
        <v>1405</v>
      </c>
      <c r="I3843">
        <v>2015</v>
      </c>
      <c r="J3843" s="93">
        <v>1526640</v>
      </c>
      <c r="K3843">
        <v>5</v>
      </c>
      <c r="L3843" s="1" t="s">
        <v>402</v>
      </c>
      <c r="M3843">
        <v>0</v>
      </c>
      <c r="N3843">
        <v>7709</v>
      </c>
      <c r="O3843">
        <v>99.544692999999995</v>
      </c>
      <c r="P3843">
        <v>1</v>
      </c>
      <c r="Q3843" s="1" t="s">
        <v>562</v>
      </c>
      <c r="R3843" s="93">
        <v>1663752</v>
      </c>
      <c r="S3843">
        <v>153935059</v>
      </c>
      <c r="T3843">
        <v>0</v>
      </c>
      <c r="U3843" s="1" t="s">
        <v>884</v>
      </c>
      <c r="V3843" s="1"/>
      <c r="W3843">
        <v>767400</v>
      </c>
      <c r="X3843">
        <v>0</v>
      </c>
      <c r="Y3843">
        <v>57534</v>
      </c>
    </row>
    <row r="3844" spans="1:25" ht="15" hidden="1" customHeight="1" x14ac:dyDescent="0.25">
      <c r="A3844" s="1" t="s">
        <v>39</v>
      </c>
      <c r="B3844" s="1" t="s">
        <v>83</v>
      </c>
      <c r="C3844" s="1" t="s">
        <v>208</v>
      </c>
      <c r="D3844">
        <v>5449</v>
      </c>
      <c r="E3844" s="1"/>
      <c r="F3844" s="1" t="s">
        <v>344</v>
      </c>
      <c r="G3844" s="1" t="s">
        <v>1402</v>
      </c>
      <c r="H3844" s="1" t="s">
        <v>1396</v>
      </c>
      <c r="I3844">
        <v>2015</v>
      </c>
      <c r="J3844" s="93">
        <v>622339.9</v>
      </c>
      <c r="K3844">
        <v>5</v>
      </c>
      <c r="L3844" s="1" t="s">
        <v>402</v>
      </c>
      <c r="M3844">
        <v>0</v>
      </c>
      <c r="N3844">
        <v>7709</v>
      </c>
      <c r="O3844">
        <v>80.727957000000004</v>
      </c>
      <c r="P3844">
        <v>1</v>
      </c>
      <c r="Q3844" s="1" t="s">
        <v>563</v>
      </c>
      <c r="R3844" s="93">
        <v>673977.12</v>
      </c>
      <c r="S3844">
        <v>3573682.06</v>
      </c>
      <c r="T3844">
        <v>1</v>
      </c>
      <c r="U3844" s="1" t="s">
        <v>885</v>
      </c>
      <c r="V3844" s="1"/>
      <c r="W3844">
        <v>17837.2</v>
      </c>
      <c r="X3844">
        <v>57534</v>
      </c>
      <c r="Y3844">
        <v>57554</v>
      </c>
    </row>
    <row r="3845" spans="1:25" ht="15" hidden="1" customHeight="1" x14ac:dyDescent="0.25">
      <c r="A3845" s="1" t="s">
        <v>39</v>
      </c>
      <c r="B3845" s="1" t="s">
        <v>83</v>
      </c>
      <c r="C3845" s="1" t="s">
        <v>208</v>
      </c>
      <c r="D3845">
        <v>5449</v>
      </c>
      <c r="E3845" s="1"/>
      <c r="F3845" s="1" t="s">
        <v>344</v>
      </c>
      <c r="G3845" s="1" t="s">
        <v>1402</v>
      </c>
      <c r="H3845" s="1" t="s">
        <v>1396</v>
      </c>
      <c r="I3845">
        <v>2013</v>
      </c>
      <c r="J3845" s="93">
        <v>1078685.3899999999</v>
      </c>
      <c r="K3845">
        <v>12</v>
      </c>
      <c r="L3845" s="1" t="s">
        <v>402</v>
      </c>
      <c r="M3845">
        <v>0</v>
      </c>
      <c r="N3845">
        <v>7709</v>
      </c>
      <c r="O3845">
        <v>139.92364699999999</v>
      </c>
      <c r="P3845">
        <v>1</v>
      </c>
      <c r="Q3845" s="1" t="s">
        <v>563</v>
      </c>
      <c r="R3845" s="93">
        <v>1109749.6100000001</v>
      </c>
      <c r="S3845">
        <v>5884.31</v>
      </c>
      <c r="T3845">
        <v>1</v>
      </c>
      <c r="U3845" s="1" t="s">
        <v>885</v>
      </c>
      <c r="V3845" s="1"/>
      <c r="W3845">
        <v>30916.75</v>
      </c>
      <c r="X3845">
        <v>57534</v>
      </c>
      <c r="Y3845">
        <v>57554</v>
      </c>
    </row>
    <row r="3846" spans="1:25" ht="15" hidden="1" customHeight="1" x14ac:dyDescent="0.25">
      <c r="A3846" s="1" t="s">
        <v>39</v>
      </c>
      <c r="B3846" s="1" t="s">
        <v>83</v>
      </c>
      <c r="C3846" s="1" t="s">
        <v>208</v>
      </c>
      <c r="D3846">
        <v>5449</v>
      </c>
      <c r="E3846" s="1"/>
      <c r="F3846" s="1" t="s">
        <v>344</v>
      </c>
      <c r="G3846" s="1" t="s">
        <v>1402</v>
      </c>
      <c r="H3846" s="1" t="s">
        <v>1405</v>
      </c>
      <c r="I3846">
        <v>2013</v>
      </c>
      <c r="J3846" s="93">
        <v>1400275</v>
      </c>
      <c r="K3846">
        <v>12</v>
      </c>
      <c r="L3846" s="1" t="s">
        <v>402</v>
      </c>
      <c r="M3846">
        <v>0</v>
      </c>
      <c r="N3846">
        <v>7709</v>
      </c>
      <c r="O3846">
        <v>181.639231</v>
      </c>
      <c r="P3846">
        <v>1</v>
      </c>
      <c r="Q3846" s="1" t="s">
        <v>562</v>
      </c>
      <c r="R3846" s="93">
        <v>1444354.88</v>
      </c>
      <c r="S3846">
        <v>267205.65999999997</v>
      </c>
      <c r="T3846">
        <v>0</v>
      </c>
      <c r="U3846" s="1" t="s">
        <v>884</v>
      </c>
      <c r="V3846" s="1"/>
      <c r="W3846">
        <v>1400275</v>
      </c>
      <c r="X3846">
        <v>0</v>
      </c>
      <c r="Y3846">
        <v>57534</v>
      </c>
    </row>
    <row r="3847" spans="1:25" ht="15" hidden="1" customHeight="1" x14ac:dyDescent="0.25">
      <c r="A3847" s="1" t="s">
        <v>39</v>
      </c>
      <c r="B3847" s="1" t="s">
        <v>83</v>
      </c>
      <c r="C3847" s="1" t="s">
        <v>208</v>
      </c>
      <c r="D3847">
        <v>5449</v>
      </c>
      <c r="E3847" s="1"/>
      <c r="F3847" s="1" t="s">
        <v>344</v>
      </c>
      <c r="G3847" s="1" t="s">
        <v>1402</v>
      </c>
      <c r="H3847" s="1" t="s">
        <v>1396</v>
      </c>
      <c r="I3847">
        <v>2012</v>
      </c>
      <c r="J3847" s="93">
        <v>1166486.1000000001</v>
      </c>
      <c r="K3847">
        <v>12</v>
      </c>
      <c r="L3847" s="1" t="s">
        <v>402</v>
      </c>
      <c r="M3847">
        <v>0</v>
      </c>
      <c r="N3847">
        <v>7709</v>
      </c>
      <c r="O3847">
        <v>151.31287599999999</v>
      </c>
      <c r="P3847">
        <v>1</v>
      </c>
      <c r="Q3847" s="1" t="s">
        <v>563</v>
      </c>
      <c r="R3847" s="93">
        <v>1201893</v>
      </c>
      <c r="S3847">
        <v>6372.9</v>
      </c>
      <c r="T3847">
        <v>1</v>
      </c>
      <c r="U3847" s="1" t="s">
        <v>885</v>
      </c>
      <c r="V3847" s="1"/>
      <c r="W3847">
        <v>33433.25</v>
      </c>
      <c r="X3847">
        <v>57534</v>
      </c>
      <c r="Y3847">
        <v>57554</v>
      </c>
    </row>
    <row r="3848" spans="1:25" ht="15" hidden="1" customHeight="1" x14ac:dyDescent="0.25">
      <c r="A3848" s="1" t="s">
        <v>39</v>
      </c>
      <c r="B3848" s="1" t="s">
        <v>83</v>
      </c>
      <c r="C3848" s="1" t="s">
        <v>208</v>
      </c>
      <c r="D3848">
        <v>5449</v>
      </c>
      <c r="E3848" s="1"/>
      <c r="F3848" s="1" t="s">
        <v>344</v>
      </c>
      <c r="G3848" s="1" t="s">
        <v>1402</v>
      </c>
      <c r="H3848" s="1" t="s">
        <v>1405</v>
      </c>
      <c r="I3848">
        <v>2012</v>
      </c>
      <c r="J3848" s="93">
        <v>1531145</v>
      </c>
      <c r="K3848">
        <v>12</v>
      </c>
      <c r="L3848" s="1" t="s">
        <v>402</v>
      </c>
      <c r="M3848">
        <v>0</v>
      </c>
      <c r="N3848">
        <v>7709</v>
      </c>
      <c r="O3848">
        <v>198.615272</v>
      </c>
      <c r="P3848">
        <v>1</v>
      </c>
      <c r="Q3848" s="1" t="s">
        <v>562</v>
      </c>
      <c r="R3848" s="93">
        <v>1582818.84</v>
      </c>
      <c r="S3848">
        <v>292821.48</v>
      </c>
      <c r="T3848">
        <v>0</v>
      </c>
      <c r="U3848" s="1" t="s">
        <v>884</v>
      </c>
      <c r="V3848" s="1"/>
      <c r="W3848">
        <v>1531145</v>
      </c>
      <c r="X3848">
        <v>0</v>
      </c>
      <c r="Y3848">
        <v>57534</v>
      </c>
    </row>
    <row r="3849" spans="1:25" ht="15" hidden="1" customHeight="1" x14ac:dyDescent="0.25">
      <c r="A3849" s="1" t="s">
        <v>39</v>
      </c>
      <c r="B3849" s="1" t="s">
        <v>83</v>
      </c>
      <c r="C3849" s="1" t="s">
        <v>208</v>
      </c>
      <c r="D3849">
        <v>5449</v>
      </c>
      <c r="E3849" s="1"/>
      <c r="F3849" s="1" t="s">
        <v>344</v>
      </c>
      <c r="G3849" s="1" t="s">
        <v>1402</v>
      </c>
      <c r="H3849" s="1" t="s">
        <v>1396</v>
      </c>
      <c r="I3849">
        <v>2011</v>
      </c>
      <c r="J3849" s="93">
        <v>1045771.9</v>
      </c>
      <c r="K3849">
        <v>12</v>
      </c>
      <c r="L3849" s="1" t="s">
        <v>402</v>
      </c>
      <c r="M3849">
        <v>0</v>
      </c>
      <c r="N3849">
        <v>7709</v>
      </c>
      <c r="O3849">
        <v>135.654213</v>
      </c>
      <c r="P3849">
        <v>1</v>
      </c>
      <c r="Q3849" s="1" t="s">
        <v>563</v>
      </c>
      <c r="R3849" s="93">
        <v>1103266.3</v>
      </c>
      <c r="S3849">
        <v>5849.94</v>
      </c>
      <c r="T3849">
        <v>1</v>
      </c>
      <c r="U3849" s="1" t="s">
        <v>885</v>
      </c>
      <c r="V3849" s="1"/>
      <c r="W3849">
        <v>29973.4</v>
      </c>
      <c r="X3849">
        <v>57534</v>
      </c>
      <c r="Y3849">
        <v>57554</v>
      </c>
    </row>
    <row r="3850" spans="1:25" ht="15" hidden="1" customHeight="1" x14ac:dyDescent="0.25">
      <c r="A3850" s="1" t="s">
        <v>39</v>
      </c>
      <c r="B3850" s="1" t="s">
        <v>83</v>
      </c>
      <c r="C3850" s="1" t="s">
        <v>208</v>
      </c>
      <c r="D3850">
        <v>5449</v>
      </c>
      <c r="E3850" s="1"/>
      <c r="F3850" s="1" t="s">
        <v>344</v>
      </c>
      <c r="G3850" s="1" t="s">
        <v>1402</v>
      </c>
      <c r="H3850" s="1" t="s">
        <v>1405</v>
      </c>
      <c r="I3850">
        <v>2011</v>
      </c>
      <c r="J3850" s="93">
        <v>1391490</v>
      </c>
      <c r="K3850">
        <v>12</v>
      </c>
      <c r="L3850" s="1" t="s">
        <v>402</v>
      </c>
      <c r="M3850">
        <v>0</v>
      </c>
      <c r="N3850">
        <v>7709</v>
      </c>
      <c r="O3850">
        <v>180.49966900000001</v>
      </c>
      <c r="P3850">
        <v>1</v>
      </c>
      <c r="Q3850" s="1" t="s">
        <v>562</v>
      </c>
      <c r="R3850" s="93">
        <v>1471162.23</v>
      </c>
      <c r="S3850">
        <v>272165.01</v>
      </c>
      <c r="T3850">
        <v>0</v>
      </c>
      <c r="U3850" s="1" t="s">
        <v>884</v>
      </c>
      <c r="V3850" s="1"/>
      <c r="W3850">
        <v>1391490</v>
      </c>
      <c r="X3850">
        <v>0</v>
      </c>
      <c r="Y3850">
        <v>57534</v>
      </c>
    </row>
    <row r="3851" spans="1:25" ht="15" hidden="1" customHeight="1" x14ac:dyDescent="0.25">
      <c r="A3851" s="1" t="s">
        <v>39</v>
      </c>
      <c r="B3851" s="1" t="s">
        <v>83</v>
      </c>
      <c r="C3851" s="1" t="s">
        <v>208</v>
      </c>
      <c r="D3851">
        <v>5449</v>
      </c>
      <c r="E3851" s="1"/>
      <c r="F3851" s="1" t="s">
        <v>344</v>
      </c>
      <c r="G3851" s="1" t="s">
        <v>1402</v>
      </c>
      <c r="H3851" s="1" t="s">
        <v>1396</v>
      </c>
      <c r="I3851">
        <v>2010</v>
      </c>
      <c r="J3851" s="93">
        <v>1156306.93</v>
      </c>
      <c r="K3851">
        <v>12</v>
      </c>
      <c r="L3851" s="1" t="s">
        <v>402</v>
      </c>
      <c r="M3851">
        <v>0</v>
      </c>
      <c r="N3851">
        <v>7709</v>
      </c>
      <c r="O3851">
        <v>149.992467</v>
      </c>
      <c r="P3851">
        <v>1</v>
      </c>
      <c r="Q3851" s="1" t="s">
        <v>563</v>
      </c>
      <c r="R3851" s="93">
        <v>1091174.6299999999</v>
      </c>
      <c r="S3851">
        <v>5785.81</v>
      </c>
      <c r="T3851">
        <v>1</v>
      </c>
      <c r="U3851" s="1" t="s">
        <v>885</v>
      </c>
      <c r="V3851" s="1"/>
      <c r="W3851">
        <v>33141.5</v>
      </c>
      <c r="X3851">
        <v>57534</v>
      </c>
      <c r="Y3851">
        <v>57554</v>
      </c>
    </row>
    <row r="3852" spans="1:25" ht="15" hidden="1" customHeight="1" x14ac:dyDescent="0.25">
      <c r="A3852" s="1" t="s">
        <v>39</v>
      </c>
      <c r="B3852" s="1" t="s">
        <v>83</v>
      </c>
      <c r="C3852" s="1" t="s">
        <v>208</v>
      </c>
      <c r="D3852">
        <v>5449</v>
      </c>
      <c r="E3852" s="1"/>
      <c r="F3852" s="1" t="s">
        <v>344</v>
      </c>
      <c r="G3852" s="1" t="s">
        <v>1402</v>
      </c>
      <c r="H3852" s="1" t="s">
        <v>1405</v>
      </c>
      <c r="I3852">
        <v>2010</v>
      </c>
      <c r="J3852" s="93">
        <v>1492670</v>
      </c>
      <c r="K3852">
        <v>12</v>
      </c>
      <c r="L3852" s="1" t="s">
        <v>402</v>
      </c>
      <c r="M3852">
        <v>0</v>
      </c>
      <c r="N3852">
        <v>7709</v>
      </c>
      <c r="O3852">
        <v>193.62441699999999</v>
      </c>
      <c r="P3852">
        <v>1</v>
      </c>
      <c r="Q3852" s="1" t="s">
        <v>562</v>
      </c>
      <c r="R3852" s="93">
        <v>1409205.35</v>
      </c>
      <c r="S3852">
        <v>260702.98</v>
      </c>
      <c r="T3852">
        <v>0</v>
      </c>
      <c r="U3852" s="1" t="s">
        <v>884</v>
      </c>
      <c r="V3852" s="1"/>
      <c r="W3852">
        <v>1492670</v>
      </c>
      <c r="X3852">
        <v>0</v>
      </c>
      <c r="Y3852">
        <v>57534</v>
      </c>
    </row>
    <row r="3853" spans="1:25" ht="15" hidden="1" customHeight="1" x14ac:dyDescent="0.25">
      <c r="A3853" s="1" t="s">
        <v>39</v>
      </c>
      <c r="B3853" s="1" t="s">
        <v>83</v>
      </c>
      <c r="C3853" s="1" t="s">
        <v>208</v>
      </c>
      <c r="D3853">
        <v>5449</v>
      </c>
      <c r="E3853" s="1"/>
      <c r="F3853" s="1" t="s">
        <v>344</v>
      </c>
      <c r="G3853" s="1" t="s">
        <v>1402</v>
      </c>
      <c r="H3853" s="1" t="s">
        <v>1405</v>
      </c>
      <c r="I3853">
        <v>2009</v>
      </c>
      <c r="J3853" s="93">
        <v>1413930</v>
      </c>
      <c r="K3853">
        <v>12</v>
      </c>
      <c r="L3853" s="1" t="s">
        <v>402</v>
      </c>
      <c r="M3853">
        <v>0</v>
      </c>
      <c r="N3853">
        <v>7709</v>
      </c>
      <c r="O3853">
        <v>183.41051400000001</v>
      </c>
      <c r="P3853">
        <v>1</v>
      </c>
      <c r="Q3853" s="1" t="s">
        <v>562</v>
      </c>
      <c r="R3853" s="93">
        <v>1482594.14</v>
      </c>
      <c r="S3853">
        <v>274279.92</v>
      </c>
      <c r="T3853">
        <v>0</v>
      </c>
      <c r="U3853" s="1" t="s">
        <v>884</v>
      </c>
      <c r="V3853" s="1"/>
      <c r="W3853">
        <v>1413930</v>
      </c>
      <c r="X3853">
        <v>0</v>
      </c>
      <c r="Y3853">
        <v>57534</v>
      </c>
    </row>
    <row r="3854" spans="1:25" ht="15" hidden="1" customHeight="1" x14ac:dyDescent="0.25">
      <c r="A3854" s="1" t="s">
        <v>39</v>
      </c>
      <c r="B3854" s="1" t="s">
        <v>83</v>
      </c>
      <c r="C3854" s="1" t="s">
        <v>208</v>
      </c>
      <c r="D3854">
        <v>5449</v>
      </c>
      <c r="E3854" s="1"/>
      <c r="F3854" s="1" t="s">
        <v>344</v>
      </c>
      <c r="G3854" s="1" t="s">
        <v>1402</v>
      </c>
      <c r="H3854" s="1" t="s">
        <v>1396</v>
      </c>
      <c r="I3854">
        <v>2009</v>
      </c>
      <c r="J3854" s="93">
        <v>1202208.23</v>
      </c>
      <c r="K3854">
        <v>12</v>
      </c>
      <c r="L3854" s="1" t="s">
        <v>402</v>
      </c>
      <c r="M3854">
        <v>0</v>
      </c>
      <c r="N3854">
        <v>7709</v>
      </c>
      <c r="O3854">
        <v>155.94663800000001</v>
      </c>
      <c r="P3854">
        <v>1</v>
      </c>
      <c r="Q3854" s="1" t="s">
        <v>563</v>
      </c>
      <c r="R3854" s="93">
        <v>1258229.8999999999</v>
      </c>
      <c r="S3854">
        <v>6671.63</v>
      </c>
      <c r="T3854">
        <v>1</v>
      </c>
      <c r="U3854" s="1" t="s">
        <v>885</v>
      </c>
      <c r="V3854" s="1"/>
      <c r="W3854">
        <v>34457.1</v>
      </c>
      <c r="X3854">
        <v>57534</v>
      </c>
      <c r="Y3854">
        <v>57554</v>
      </c>
    </row>
    <row r="3855" spans="1:25" ht="15" hidden="1" customHeight="1" x14ac:dyDescent="0.25">
      <c r="A3855" s="1" t="s">
        <v>39</v>
      </c>
      <c r="B3855" s="1" t="s">
        <v>83</v>
      </c>
      <c r="C3855" s="1" t="s">
        <v>208</v>
      </c>
      <c r="D3855">
        <v>5449</v>
      </c>
      <c r="E3855" s="1"/>
      <c r="F3855" s="1" t="s">
        <v>344</v>
      </c>
      <c r="G3855" s="1" t="s">
        <v>1402</v>
      </c>
      <c r="H3855" s="1" t="s">
        <v>1405</v>
      </c>
      <c r="I3855">
        <v>2008</v>
      </c>
      <c r="J3855" s="93">
        <v>1474380</v>
      </c>
      <c r="K3855">
        <v>12</v>
      </c>
      <c r="L3855" s="1" t="s">
        <v>402</v>
      </c>
      <c r="M3855">
        <v>0</v>
      </c>
      <c r="N3855">
        <v>7709</v>
      </c>
      <c r="O3855">
        <v>191.25189700000001</v>
      </c>
      <c r="P3855">
        <v>1</v>
      </c>
      <c r="Q3855" s="1" t="s">
        <v>562</v>
      </c>
      <c r="R3855" s="93">
        <v>1618985.05</v>
      </c>
      <c r="S3855">
        <v>299512.24</v>
      </c>
      <c r="T3855">
        <v>0</v>
      </c>
      <c r="U3855" s="1" t="s">
        <v>884</v>
      </c>
      <c r="V3855" s="1"/>
      <c r="W3855">
        <v>1474380</v>
      </c>
      <c r="X3855">
        <v>0</v>
      </c>
      <c r="Y3855">
        <v>57534</v>
      </c>
    </row>
    <row r="3856" spans="1:25" ht="15" hidden="1" customHeight="1" x14ac:dyDescent="0.25">
      <c r="A3856" s="1" t="s">
        <v>39</v>
      </c>
      <c r="B3856" s="1" t="s">
        <v>83</v>
      </c>
      <c r="C3856" s="1" t="s">
        <v>208</v>
      </c>
      <c r="D3856">
        <v>5449</v>
      </c>
      <c r="E3856" s="1"/>
      <c r="F3856" s="1" t="s">
        <v>344</v>
      </c>
      <c r="G3856" s="1" t="s">
        <v>1402</v>
      </c>
      <c r="H3856" s="1" t="s">
        <v>1396</v>
      </c>
      <c r="I3856">
        <v>2008</v>
      </c>
      <c r="J3856" s="93">
        <v>1216237.49</v>
      </c>
      <c r="K3856">
        <v>12</v>
      </c>
      <c r="L3856" s="1" t="s">
        <v>402</v>
      </c>
      <c r="M3856">
        <v>0</v>
      </c>
      <c r="N3856">
        <v>7709</v>
      </c>
      <c r="O3856">
        <v>157.766469</v>
      </c>
      <c r="P3856">
        <v>1</v>
      </c>
      <c r="Q3856" s="1" t="s">
        <v>563</v>
      </c>
      <c r="R3856" s="93">
        <v>1329199.71</v>
      </c>
      <c r="S3856">
        <v>7047.92</v>
      </c>
      <c r="T3856">
        <v>1</v>
      </c>
      <c r="U3856" s="1" t="s">
        <v>885</v>
      </c>
      <c r="V3856" s="1"/>
      <c r="W3856">
        <v>34859.199999999997</v>
      </c>
      <c r="X3856">
        <v>57534</v>
      </c>
      <c r="Y3856">
        <v>57554</v>
      </c>
    </row>
    <row r="3857" spans="1:25" ht="15" hidden="1" customHeight="1" x14ac:dyDescent="0.25">
      <c r="A3857" s="1" t="s">
        <v>39</v>
      </c>
      <c r="B3857" s="1" t="s">
        <v>83</v>
      </c>
      <c r="C3857" s="1" t="s">
        <v>208</v>
      </c>
      <c r="D3857">
        <v>5453</v>
      </c>
      <c r="E3857" s="1"/>
      <c r="F3857" s="1" t="s">
        <v>345</v>
      </c>
      <c r="G3857" s="1" t="s">
        <v>1402</v>
      </c>
      <c r="H3857" s="1" t="s">
        <v>1404</v>
      </c>
      <c r="I3857">
        <v>2015</v>
      </c>
      <c r="J3857" s="93">
        <v>12455.77</v>
      </c>
      <c r="K3857">
        <v>5</v>
      </c>
      <c r="L3857" s="1" t="s">
        <v>421</v>
      </c>
      <c r="M3857">
        <v>0</v>
      </c>
      <c r="N3857">
        <v>610</v>
      </c>
      <c r="O3857">
        <v>20.415948</v>
      </c>
      <c r="P3857">
        <v>1</v>
      </c>
      <c r="Q3857" s="1" t="s">
        <v>562</v>
      </c>
      <c r="R3857" s="93">
        <v>13820.69</v>
      </c>
      <c r="S3857">
        <v>2556827.65</v>
      </c>
      <c r="T3857">
        <v>1</v>
      </c>
      <c r="U3857" s="1" t="s">
        <v>886</v>
      </c>
      <c r="V3857" s="1"/>
      <c r="W3857">
        <v>12455.78125</v>
      </c>
      <c r="X3857">
        <v>0</v>
      </c>
      <c r="Y3857">
        <v>84287</v>
      </c>
    </row>
    <row r="3858" spans="1:25" ht="15" hidden="1" customHeight="1" x14ac:dyDescent="0.25">
      <c r="A3858" s="1" t="s">
        <v>39</v>
      </c>
      <c r="B3858" s="1" t="s">
        <v>83</v>
      </c>
      <c r="C3858" s="1" t="s">
        <v>208</v>
      </c>
      <c r="D3858">
        <v>5453</v>
      </c>
      <c r="E3858" s="1"/>
      <c r="F3858" s="1" t="s">
        <v>345</v>
      </c>
      <c r="G3858" s="1" t="s">
        <v>1402</v>
      </c>
      <c r="H3858" s="1" t="s">
        <v>1404</v>
      </c>
      <c r="I3858">
        <v>2013</v>
      </c>
      <c r="J3858" s="93">
        <v>26693.19</v>
      </c>
      <c r="K3858">
        <v>11</v>
      </c>
      <c r="L3858" s="1" t="s">
        <v>421</v>
      </c>
      <c r="M3858">
        <v>0</v>
      </c>
      <c r="N3858">
        <v>610</v>
      </c>
      <c r="O3858">
        <v>43.752155000000002</v>
      </c>
      <c r="P3858">
        <v>1</v>
      </c>
      <c r="Q3858" s="1" t="s">
        <v>562</v>
      </c>
      <c r="R3858" s="93">
        <v>30782.57</v>
      </c>
      <c r="S3858">
        <v>5694.78</v>
      </c>
      <c r="T3858">
        <v>1</v>
      </c>
      <c r="U3858" s="1" t="s">
        <v>886</v>
      </c>
      <c r="V3858" s="1"/>
      <c r="W3858">
        <v>26693.17986</v>
      </c>
      <c r="X3858">
        <v>0</v>
      </c>
      <c r="Y3858">
        <v>84287</v>
      </c>
    </row>
    <row r="3859" spans="1:25" ht="15" hidden="1" customHeight="1" x14ac:dyDescent="0.25">
      <c r="A3859" s="1" t="s">
        <v>39</v>
      </c>
      <c r="B3859" s="1" t="s">
        <v>83</v>
      </c>
      <c r="C3859" s="1" t="s">
        <v>208</v>
      </c>
      <c r="D3859">
        <v>5453</v>
      </c>
      <c r="E3859" s="1"/>
      <c r="F3859" s="1" t="s">
        <v>345</v>
      </c>
      <c r="G3859" s="1" t="s">
        <v>1402</v>
      </c>
      <c r="H3859" s="1" t="s">
        <v>1404</v>
      </c>
      <c r="I3859">
        <v>2012</v>
      </c>
      <c r="J3859" s="93">
        <v>26513.32</v>
      </c>
      <c r="K3859">
        <v>13</v>
      </c>
      <c r="L3859" s="1" t="s">
        <v>421</v>
      </c>
      <c r="M3859">
        <v>0</v>
      </c>
      <c r="N3859">
        <v>610</v>
      </c>
      <c r="O3859">
        <v>43.457334000000003</v>
      </c>
      <c r="P3859">
        <v>1</v>
      </c>
      <c r="Q3859" s="1" t="s">
        <v>562</v>
      </c>
      <c r="R3859" s="93">
        <v>28632.639999999999</v>
      </c>
      <c r="S3859">
        <v>5297.06</v>
      </c>
      <c r="T3859">
        <v>1</v>
      </c>
      <c r="U3859" s="1" t="s">
        <v>886</v>
      </c>
      <c r="V3859" s="1"/>
      <c r="W3859">
        <v>26513.303029999999</v>
      </c>
      <c r="X3859">
        <v>0</v>
      </c>
      <c r="Y3859">
        <v>84287</v>
      </c>
    </row>
    <row r="3860" spans="1:25" ht="15" hidden="1" customHeight="1" x14ac:dyDescent="0.25">
      <c r="A3860" s="1" t="s">
        <v>39</v>
      </c>
      <c r="B3860" s="1" t="s">
        <v>83</v>
      </c>
      <c r="C3860" s="1" t="s">
        <v>208</v>
      </c>
      <c r="D3860">
        <v>5453</v>
      </c>
      <c r="E3860" s="1"/>
      <c r="F3860" s="1" t="s">
        <v>345</v>
      </c>
      <c r="G3860" s="1" t="s">
        <v>1402</v>
      </c>
      <c r="H3860" s="1" t="s">
        <v>1404</v>
      </c>
      <c r="I3860">
        <v>2011</v>
      </c>
      <c r="J3860" s="93">
        <v>24797.919999999998</v>
      </c>
      <c r="K3860">
        <v>12</v>
      </c>
      <c r="L3860" s="1" t="s">
        <v>421</v>
      </c>
      <c r="M3860">
        <v>0</v>
      </c>
      <c r="N3860">
        <v>610</v>
      </c>
      <c r="O3860">
        <v>40.645663999999996</v>
      </c>
      <c r="P3860">
        <v>1</v>
      </c>
      <c r="Q3860" s="1" t="s">
        <v>562</v>
      </c>
      <c r="R3860" s="93">
        <v>27752.3</v>
      </c>
      <c r="S3860">
        <v>5134.17</v>
      </c>
      <c r="T3860">
        <v>1</v>
      </c>
      <c r="U3860" s="1" t="s">
        <v>886</v>
      </c>
      <c r="V3860" s="1"/>
      <c r="W3860">
        <v>24797.909100000001</v>
      </c>
      <c r="X3860">
        <v>0</v>
      </c>
      <c r="Y3860">
        <v>84287</v>
      </c>
    </row>
    <row r="3861" spans="1:25" ht="15" hidden="1" customHeight="1" x14ac:dyDescent="0.25">
      <c r="A3861" s="1" t="s">
        <v>39</v>
      </c>
      <c r="B3861" s="1" t="s">
        <v>83</v>
      </c>
      <c r="C3861" s="1" t="s">
        <v>208</v>
      </c>
      <c r="D3861">
        <v>5453</v>
      </c>
      <c r="E3861" s="1"/>
      <c r="F3861" s="1" t="s">
        <v>345</v>
      </c>
      <c r="G3861" s="1" t="s">
        <v>1402</v>
      </c>
      <c r="H3861" s="1" t="s">
        <v>1404</v>
      </c>
      <c r="I3861">
        <v>2010</v>
      </c>
      <c r="J3861" s="93">
        <v>25018.57</v>
      </c>
      <c r="K3861">
        <v>12</v>
      </c>
      <c r="L3861" s="1" t="s">
        <v>421</v>
      </c>
      <c r="M3861">
        <v>0</v>
      </c>
      <c r="N3861">
        <v>610</v>
      </c>
      <c r="O3861">
        <v>41.007325999999999</v>
      </c>
      <c r="P3861">
        <v>1</v>
      </c>
      <c r="Q3861" s="1" t="s">
        <v>562</v>
      </c>
      <c r="R3861" s="93">
        <v>23266.84</v>
      </c>
      <c r="S3861">
        <v>4304.3599999999997</v>
      </c>
      <c r="T3861">
        <v>1</v>
      </c>
      <c r="U3861" s="1" t="s">
        <v>886</v>
      </c>
      <c r="V3861" s="1"/>
      <c r="W3861">
        <v>25018.575769999999</v>
      </c>
      <c r="X3861">
        <v>0</v>
      </c>
      <c r="Y3861">
        <v>84287</v>
      </c>
    </row>
    <row r="3862" spans="1:25" ht="15" hidden="1" customHeight="1" x14ac:dyDescent="0.25">
      <c r="A3862" s="1" t="s">
        <v>39</v>
      </c>
      <c r="B3862" s="1" t="s">
        <v>84</v>
      </c>
      <c r="C3862" s="1" t="s">
        <v>209</v>
      </c>
      <c r="D3862">
        <v>8880</v>
      </c>
      <c r="E3862" s="1" t="s">
        <v>243</v>
      </c>
      <c r="F3862" s="1" t="s">
        <v>366</v>
      </c>
      <c r="G3862" s="1" t="s">
        <v>209</v>
      </c>
      <c r="H3862" s="1" t="s">
        <v>1404</v>
      </c>
      <c r="I3862">
        <v>2015</v>
      </c>
      <c r="J3862" s="93">
        <v>40803.230000000003</v>
      </c>
      <c r="K3862">
        <v>5</v>
      </c>
      <c r="L3862" s="1" t="s">
        <v>433</v>
      </c>
      <c r="M3862">
        <v>0</v>
      </c>
      <c r="N3862">
        <v>0</v>
      </c>
      <c r="O3862">
        <v>408032.3</v>
      </c>
      <c r="P3862">
        <v>1</v>
      </c>
      <c r="Q3862" s="1" t="s">
        <v>562</v>
      </c>
      <c r="R3862" s="93">
        <v>46163.51</v>
      </c>
      <c r="S3862">
        <v>5816.59</v>
      </c>
      <c r="T3862">
        <v>1</v>
      </c>
      <c r="U3862" s="1" t="s">
        <v>887</v>
      </c>
      <c r="V3862" s="1"/>
      <c r="W3862">
        <v>40803.235289999997</v>
      </c>
      <c r="X3862">
        <v>0</v>
      </c>
      <c r="Y3862">
        <v>70702</v>
      </c>
    </row>
    <row r="3863" spans="1:25" ht="15" hidden="1" customHeight="1" x14ac:dyDescent="0.25">
      <c r="A3863" s="1" t="s">
        <v>39</v>
      </c>
      <c r="B3863" s="1" t="s">
        <v>84</v>
      </c>
      <c r="C3863" s="1" t="s">
        <v>209</v>
      </c>
      <c r="D3863">
        <v>8880</v>
      </c>
      <c r="E3863" s="1" t="s">
        <v>243</v>
      </c>
      <c r="F3863" s="1" t="s">
        <v>366</v>
      </c>
      <c r="G3863" s="1" t="s">
        <v>209</v>
      </c>
      <c r="H3863" s="1" t="s">
        <v>1404</v>
      </c>
      <c r="I3863">
        <v>2015</v>
      </c>
      <c r="J3863" s="93">
        <v>253911.18</v>
      </c>
      <c r="K3863">
        <v>5</v>
      </c>
      <c r="L3863" s="1" t="s">
        <v>433</v>
      </c>
      <c r="M3863">
        <v>0</v>
      </c>
      <c r="N3863">
        <v>0</v>
      </c>
      <c r="O3863">
        <v>2539111.7999999998</v>
      </c>
      <c r="P3863">
        <v>1</v>
      </c>
      <c r="Q3863" s="1" t="s">
        <v>562</v>
      </c>
      <c r="R3863" s="93">
        <v>286581.36</v>
      </c>
      <c r="S3863">
        <v>18341.2</v>
      </c>
      <c r="T3863">
        <v>1</v>
      </c>
      <c r="U3863" s="1" t="s">
        <v>888</v>
      </c>
      <c r="V3863" s="1"/>
      <c r="W3863">
        <v>253911.17647000001</v>
      </c>
      <c r="X3863">
        <v>0</v>
      </c>
      <c r="Y3863">
        <v>70979</v>
      </c>
    </row>
    <row r="3864" spans="1:25" ht="15" hidden="1" customHeight="1" x14ac:dyDescent="0.25">
      <c r="A3864" s="1" t="s">
        <v>39</v>
      </c>
      <c r="B3864" s="1" t="s">
        <v>84</v>
      </c>
      <c r="C3864" s="1" t="s">
        <v>209</v>
      </c>
      <c r="D3864">
        <v>8880</v>
      </c>
      <c r="E3864" s="1" t="s">
        <v>243</v>
      </c>
      <c r="F3864" s="1" t="s">
        <v>366</v>
      </c>
      <c r="G3864" s="1" t="s">
        <v>209</v>
      </c>
      <c r="H3864" s="1" t="s">
        <v>1404</v>
      </c>
      <c r="I3864">
        <v>2015</v>
      </c>
      <c r="J3864" s="93">
        <v>3957.71</v>
      </c>
      <c r="K3864">
        <v>5</v>
      </c>
      <c r="L3864" s="1" t="s">
        <v>401</v>
      </c>
      <c r="M3864">
        <v>0</v>
      </c>
      <c r="N3864">
        <v>0</v>
      </c>
      <c r="O3864">
        <v>39577.1</v>
      </c>
      <c r="P3864">
        <v>1</v>
      </c>
      <c r="Q3864" s="1" t="s">
        <v>562</v>
      </c>
      <c r="R3864" s="93">
        <v>4569.9399999999996</v>
      </c>
      <c r="S3864">
        <v>292.47000000000003</v>
      </c>
      <c r="T3864">
        <v>1</v>
      </c>
      <c r="U3864" s="1" t="s">
        <v>889</v>
      </c>
      <c r="V3864" s="1"/>
      <c r="W3864">
        <v>3957.7058900000002</v>
      </c>
      <c r="X3864">
        <v>0</v>
      </c>
      <c r="Y3864">
        <v>70982</v>
      </c>
    </row>
    <row r="3865" spans="1:25" ht="15" hidden="1" customHeight="1" x14ac:dyDescent="0.25">
      <c r="A3865" s="1" t="s">
        <v>39</v>
      </c>
      <c r="B3865" s="1" t="s">
        <v>84</v>
      </c>
      <c r="C3865" s="1" t="s">
        <v>209</v>
      </c>
      <c r="D3865">
        <v>8880</v>
      </c>
      <c r="E3865" s="1" t="s">
        <v>243</v>
      </c>
      <c r="F3865" s="1" t="s">
        <v>366</v>
      </c>
      <c r="G3865" s="1" t="s">
        <v>209</v>
      </c>
      <c r="H3865" s="1" t="s">
        <v>1404</v>
      </c>
      <c r="I3865">
        <v>2015</v>
      </c>
      <c r="J3865" s="93">
        <v>35893.18</v>
      </c>
      <c r="K3865">
        <v>5</v>
      </c>
      <c r="L3865" s="1" t="s">
        <v>433</v>
      </c>
      <c r="M3865">
        <v>0</v>
      </c>
      <c r="N3865">
        <v>0</v>
      </c>
      <c r="O3865">
        <v>358931.8</v>
      </c>
      <c r="P3865">
        <v>1</v>
      </c>
      <c r="Q3865" s="1" t="s">
        <v>562</v>
      </c>
      <c r="R3865" s="93">
        <v>39787.410000000003</v>
      </c>
      <c r="S3865">
        <v>2546.38</v>
      </c>
      <c r="T3865">
        <v>1</v>
      </c>
      <c r="U3865" s="1" t="s">
        <v>890</v>
      </c>
      <c r="V3865" s="1"/>
      <c r="W3865">
        <v>35893.176460000002</v>
      </c>
      <c r="X3865">
        <v>0</v>
      </c>
      <c r="Y3865">
        <v>70987</v>
      </c>
    </row>
    <row r="3866" spans="1:25" ht="15" hidden="1" customHeight="1" x14ac:dyDescent="0.25">
      <c r="A3866" s="1" t="s">
        <v>39</v>
      </c>
      <c r="B3866" s="1" t="s">
        <v>84</v>
      </c>
      <c r="C3866" s="1" t="s">
        <v>209</v>
      </c>
      <c r="D3866">
        <v>8880</v>
      </c>
      <c r="E3866" s="1" t="s">
        <v>243</v>
      </c>
      <c r="F3866" s="1" t="s">
        <v>366</v>
      </c>
      <c r="G3866" s="1" t="s">
        <v>209</v>
      </c>
      <c r="H3866" s="1" t="s">
        <v>1404</v>
      </c>
      <c r="I3866">
        <v>2015</v>
      </c>
      <c r="J3866" s="93">
        <v>3232.76</v>
      </c>
      <c r="K3866">
        <v>5</v>
      </c>
      <c r="L3866" s="1" t="s">
        <v>433</v>
      </c>
      <c r="M3866">
        <v>0</v>
      </c>
      <c r="N3866">
        <v>0</v>
      </c>
      <c r="O3866">
        <v>32327.599999999999</v>
      </c>
      <c r="P3866">
        <v>1</v>
      </c>
      <c r="Q3866" s="1" t="s">
        <v>562</v>
      </c>
      <c r="R3866" s="93">
        <v>3729.56</v>
      </c>
      <c r="S3866">
        <v>238.69</v>
      </c>
      <c r="T3866">
        <v>1</v>
      </c>
      <c r="U3866" s="1" t="s">
        <v>891</v>
      </c>
      <c r="V3866" s="1"/>
      <c r="W3866">
        <v>3232.7647099999999</v>
      </c>
      <c r="X3866">
        <v>0</v>
      </c>
      <c r="Y3866">
        <v>70988</v>
      </c>
    </row>
    <row r="3867" spans="1:25" ht="15" hidden="1" customHeight="1" x14ac:dyDescent="0.25">
      <c r="A3867" s="1" t="s">
        <v>39</v>
      </c>
      <c r="B3867" s="1" t="s">
        <v>84</v>
      </c>
      <c r="C3867" s="1" t="s">
        <v>209</v>
      </c>
      <c r="D3867">
        <v>8880</v>
      </c>
      <c r="E3867" s="1" t="s">
        <v>243</v>
      </c>
      <c r="F3867" s="1" t="s">
        <v>366</v>
      </c>
      <c r="G3867" s="1" t="s">
        <v>209</v>
      </c>
      <c r="H3867" s="1" t="s">
        <v>1404</v>
      </c>
      <c r="I3867">
        <v>2015</v>
      </c>
      <c r="J3867" s="93">
        <v>12103.53</v>
      </c>
      <c r="K3867">
        <v>5</v>
      </c>
      <c r="L3867" s="1" t="s">
        <v>433</v>
      </c>
      <c r="M3867">
        <v>0</v>
      </c>
      <c r="N3867">
        <v>0</v>
      </c>
      <c r="O3867">
        <v>121035.3</v>
      </c>
      <c r="P3867">
        <v>1</v>
      </c>
      <c r="Q3867" s="1" t="s">
        <v>562</v>
      </c>
      <c r="R3867" s="93">
        <v>13212.9</v>
      </c>
      <c r="S3867">
        <v>845.61</v>
      </c>
      <c r="T3867">
        <v>1</v>
      </c>
      <c r="U3867" s="1" t="s">
        <v>892</v>
      </c>
      <c r="V3867" s="1"/>
      <c r="W3867">
        <v>12103.529420000001</v>
      </c>
      <c r="X3867">
        <v>0</v>
      </c>
      <c r="Y3867">
        <v>70978</v>
      </c>
    </row>
    <row r="3868" spans="1:25" ht="15" hidden="1" customHeight="1" x14ac:dyDescent="0.25">
      <c r="A3868" s="1" t="s">
        <v>39</v>
      </c>
      <c r="B3868" s="1" t="s">
        <v>84</v>
      </c>
      <c r="C3868" s="1" t="s">
        <v>209</v>
      </c>
      <c r="D3868">
        <v>8880</v>
      </c>
      <c r="E3868" s="1" t="s">
        <v>243</v>
      </c>
      <c r="F3868" s="1" t="s">
        <v>366</v>
      </c>
      <c r="G3868" s="1" t="s">
        <v>209</v>
      </c>
      <c r="H3868" s="1" t="s">
        <v>1404</v>
      </c>
      <c r="I3868">
        <v>2015</v>
      </c>
      <c r="J3868" s="93">
        <v>7700.99</v>
      </c>
      <c r="K3868">
        <v>5</v>
      </c>
      <c r="L3868" s="1" t="s">
        <v>433</v>
      </c>
      <c r="M3868">
        <v>0</v>
      </c>
      <c r="N3868">
        <v>0</v>
      </c>
      <c r="O3868">
        <v>77009.899999999994</v>
      </c>
      <c r="P3868">
        <v>1</v>
      </c>
      <c r="Q3868" s="1" t="s">
        <v>562</v>
      </c>
      <c r="R3868" s="93">
        <v>8838.4</v>
      </c>
      <c r="S3868">
        <v>565.66999999999996</v>
      </c>
      <c r="T3868">
        <v>1</v>
      </c>
      <c r="U3868" s="1" t="s">
        <v>893</v>
      </c>
      <c r="V3868" s="1"/>
      <c r="W3868">
        <v>7701.0000099999997</v>
      </c>
      <c r="X3868">
        <v>0</v>
      </c>
      <c r="Y3868">
        <v>70981</v>
      </c>
    </row>
    <row r="3869" spans="1:25" ht="15" hidden="1" customHeight="1" x14ac:dyDescent="0.25">
      <c r="A3869" s="1" t="s">
        <v>39</v>
      </c>
      <c r="B3869" s="1" t="s">
        <v>84</v>
      </c>
      <c r="C3869" s="1" t="s">
        <v>209</v>
      </c>
      <c r="D3869">
        <v>8880</v>
      </c>
      <c r="E3869" s="1" t="s">
        <v>243</v>
      </c>
      <c r="F3869" s="1" t="s">
        <v>366</v>
      </c>
      <c r="G3869" s="1" t="s">
        <v>209</v>
      </c>
      <c r="H3869" s="1" t="s">
        <v>1404</v>
      </c>
      <c r="I3869">
        <v>2015</v>
      </c>
      <c r="J3869" s="93">
        <v>7.71</v>
      </c>
      <c r="K3869">
        <v>5</v>
      </c>
      <c r="L3869" s="1" t="s">
        <v>433</v>
      </c>
      <c r="M3869">
        <v>0</v>
      </c>
      <c r="N3869">
        <v>0</v>
      </c>
      <c r="O3869">
        <v>77.099999999999994</v>
      </c>
      <c r="P3869">
        <v>1</v>
      </c>
      <c r="Q3869" s="1" t="s">
        <v>562</v>
      </c>
      <c r="R3869" s="93">
        <v>8.64</v>
      </c>
      <c r="S3869">
        <v>0.56000000000000005</v>
      </c>
      <c r="T3869">
        <v>1</v>
      </c>
      <c r="U3869" s="1" t="s">
        <v>894</v>
      </c>
      <c r="V3869" s="1"/>
      <c r="W3869">
        <v>7.7058799999999996</v>
      </c>
      <c r="X3869">
        <v>0</v>
      </c>
      <c r="Y3869">
        <v>70983</v>
      </c>
    </row>
    <row r="3870" spans="1:25" ht="15" hidden="1" customHeight="1" x14ac:dyDescent="0.25">
      <c r="A3870" s="1" t="s">
        <v>39</v>
      </c>
      <c r="B3870" s="1" t="s">
        <v>84</v>
      </c>
      <c r="C3870" s="1" t="s">
        <v>209</v>
      </c>
      <c r="D3870">
        <v>8880</v>
      </c>
      <c r="E3870" s="1" t="s">
        <v>243</v>
      </c>
      <c r="F3870" s="1" t="s">
        <v>366</v>
      </c>
      <c r="G3870" s="1" t="s">
        <v>209</v>
      </c>
      <c r="H3870" s="1" t="s">
        <v>1404</v>
      </c>
      <c r="I3870">
        <v>2015</v>
      </c>
      <c r="J3870" s="93">
        <v>3915.88</v>
      </c>
      <c r="K3870">
        <v>5</v>
      </c>
      <c r="L3870" s="1" t="s">
        <v>433</v>
      </c>
      <c r="M3870">
        <v>0</v>
      </c>
      <c r="N3870">
        <v>0</v>
      </c>
      <c r="O3870">
        <v>39158.800000000003</v>
      </c>
      <c r="P3870">
        <v>1</v>
      </c>
      <c r="Q3870" s="1" t="s">
        <v>562</v>
      </c>
      <c r="R3870" s="93">
        <v>4472.45</v>
      </c>
      <c r="S3870">
        <v>286.23</v>
      </c>
      <c r="T3870">
        <v>1</v>
      </c>
      <c r="U3870" s="1" t="s">
        <v>895</v>
      </c>
      <c r="V3870" s="1"/>
      <c r="W3870">
        <v>3915.8823499999999</v>
      </c>
      <c r="X3870">
        <v>0</v>
      </c>
      <c r="Y3870">
        <v>70984</v>
      </c>
    </row>
    <row r="3871" spans="1:25" ht="15" hidden="1" customHeight="1" x14ac:dyDescent="0.25">
      <c r="A3871" s="1" t="s">
        <v>39</v>
      </c>
      <c r="B3871" s="1" t="s">
        <v>84</v>
      </c>
      <c r="C3871" s="1" t="s">
        <v>209</v>
      </c>
      <c r="D3871">
        <v>8880</v>
      </c>
      <c r="E3871" s="1" t="s">
        <v>243</v>
      </c>
      <c r="F3871" s="1" t="s">
        <v>366</v>
      </c>
      <c r="G3871" s="1" t="s">
        <v>209</v>
      </c>
      <c r="H3871" s="1" t="s">
        <v>1404</v>
      </c>
      <c r="I3871">
        <v>2015</v>
      </c>
      <c r="J3871" s="93">
        <v>42951.64</v>
      </c>
      <c r="K3871">
        <v>5</v>
      </c>
      <c r="L3871" s="1" t="s">
        <v>433</v>
      </c>
      <c r="M3871">
        <v>0</v>
      </c>
      <c r="N3871">
        <v>0</v>
      </c>
      <c r="O3871">
        <v>429516.4</v>
      </c>
      <c r="P3871">
        <v>1</v>
      </c>
      <c r="Q3871" s="1" t="s">
        <v>562</v>
      </c>
      <c r="R3871" s="93">
        <v>47455.89</v>
      </c>
      <c r="S3871">
        <v>3037.17</v>
      </c>
      <c r="T3871">
        <v>1</v>
      </c>
      <c r="U3871" s="1" t="s">
        <v>896</v>
      </c>
      <c r="V3871" s="1"/>
      <c r="W3871">
        <v>42951.647069999999</v>
      </c>
      <c r="X3871">
        <v>0</v>
      </c>
      <c r="Y3871">
        <v>70986</v>
      </c>
    </row>
    <row r="3872" spans="1:25" ht="15" hidden="1" customHeight="1" x14ac:dyDescent="0.25">
      <c r="A3872" s="1" t="s">
        <v>39</v>
      </c>
      <c r="B3872" s="1" t="s">
        <v>84</v>
      </c>
      <c r="C3872" s="1" t="s">
        <v>209</v>
      </c>
      <c r="D3872">
        <v>8880</v>
      </c>
      <c r="E3872" s="1" t="s">
        <v>243</v>
      </c>
      <c r="F3872" s="1" t="s">
        <v>366</v>
      </c>
      <c r="G3872" s="1" t="s">
        <v>209</v>
      </c>
      <c r="H3872" s="1" t="s">
        <v>1396</v>
      </c>
      <c r="I3872">
        <v>2015</v>
      </c>
      <c r="J3872" s="93">
        <v>36002.94</v>
      </c>
      <c r="K3872">
        <v>4</v>
      </c>
      <c r="L3872" s="1" t="s">
        <v>499</v>
      </c>
      <c r="M3872">
        <v>0</v>
      </c>
      <c r="N3872">
        <v>0</v>
      </c>
      <c r="O3872">
        <v>360029.4</v>
      </c>
      <c r="P3872">
        <v>1</v>
      </c>
      <c r="Q3872" s="1" t="s">
        <v>568</v>
      </c>
      <c r="R3872" s="93">
        <v>39855.97</v>
      </c>
      <c r="S3872">
        <v>0</v>
      </c>
      <c r="T3872">
        <v>1</v>
      </c>
      <c r="U3872" s="1" t="s">
        <v>897</v>
      </c>
      <c r="V3872" s="1"/>
      <c r="W3872">
        <v>36002.941180000002</v>
      </c>
      <c r="X3872">
        <v>0</v>
      </c>
      <c r="Y3872">
        <v>95759</v>
      </c>
    </row>
    <row r="3873" spans="1:25" ht="15" hidden="1" customHeight="1" x14ac:dyDescent="0.25">
      <c r="A3873" s="1" t="s">
        <v>39</v>
      </c>
      <c r="B3873" s="1" t="s">
        <v>84</v>
      </c>
      <c r="C3873" s="1" t="s">
        <v>209</v>
      </c>
      <c r="D3873">
        <v>8880</v>
      </c>
      <c r="E3873" s="1" t="s">
        <v>243</v>
      </c>
      <c r="F3873" s="1" t="s">
        <v>366</v>
      </c>
      <c r="G3873" s="1" t="s">
        <v>209</v>
      </c>
      <c r="H3873" s="1" t="s">
        <v>1404</v>
      </c>
      <c r="I3873">
        <v>2013</v>
      </c>
      <c r="J3873" s="93">
        <v>553589.18000000005</v>
      </c>
      <c r="K3873">
        <v>11</v>
      </c>
      <c r="L3873" s="1" t="s">
        <v>433</v>
      </c>
      <c r="M3873">
        <v>0</v>
      </c>
      <c r="N3873">
        <v>0</v>
      </c>
      <c r="O3873">
        <v>5535891.7999999998</v>
      </c>
      <c r="P3873">
        <v>1</v>
      </c>
      <c r="Q3873" s="1" t="s">
        <v>562</v>
      </c>
      <c r="R3873" s="93">
        <v>640761.97</v>
      </c>
      <c r="S3873">
        <v>41008.76</v>
      </c>
      <c r="T3873">
        <v>1</v>
      </c>
      <c r="U3873" s="1" t="s">
        <v>888</v>
      </c>
      <c r="V3873" s="1"/>
      <c r="W3873">
        <v>553589.16668000002</v>
      </c>
      <c r="X3873">
        <v>0</v>
      </c>
      <c r="Y3873">
        <v>70979</v>
      </c>
    </row>
    <row r="3874" spans="1:25" ht="15" hidden="1" customHeight="1" x14ac:dyDescent="0.25">
      <c r="A3874" s="1" t="s">
        <v>39</v>
      </c>
      <c r="B3874" s="1" t="s">
        <v>84</v>
      </c>
      <c r="C3874" s="1" t="s">
        <v>209</v>
      </c>
      <c r="D3874">
        <v>8880</v>
      </c>
      <c r="E3874" s="1" t="s">
        <v>243</v>
      </c>
      <c r="F3874" s="1" t="s">
        <v>366</v>
      </c>
      <c r="G3874" s="1" t="s">
        <v>209</v>
      </c>
      <c r="H3874" s="1" t="s">
        <v>1404</v>
      </c>
      <c r="I3874">
        <v>2013</v>
      </c>
      <c r="J3874" s="93">
        <v>17421.46</v>
      </c>
      <c r="K3874">
        <v>11</v>
      </c>
      <c r="L3874" s="1" t="s">
        <v>433</v>
      </c>
      <c r="M3874">
        <v>0</v>
      </c>
      <c r="N3874">
        <v>0</v>
      </c>
      <c r="O3874">
        <v>174214.6</v>
      </c>
      <c r="P3874">
        <v>1</v>
      </c>
      <c r="Q3874" s="1" t="s">
        <v>562</v>
      </c>
      <c r="R3874" s="93">
        <v>18145.72</v>
      </c>
      <c r="S3874">
        <v>1161.33</v>
      </c>
      <c r="T3874">
        <v>1</v>
      </c>
      <c r="U3874" s="1" t="s">
        <v>893</v>
      </c>
      <c r="V3874" s="1"/>
      <c r="W3874">
        <v>17421.464019999999</v>
      </c>
      <c r="X3874">
        <v>0</v>
      </c>
      <c r="Y3874">
        <v>70981</v>
      </c>
    </row>
    <row r="3875" spans="1:25" ht="15" hidden="1" customHeight="1" x14ac:dyDescent="0.25">
      <c r="A3875" s="1" t="s">
        <v>39</v>
      </c>
      <c r="B3875" s="1" t="s">
        <v>84</v>
      </c>
      <c r="C3875" s="1" t="s">
        <v>209</v>
      </c>
      <c r="D3875">
        <v>8880</v>
      </c>
      <c r="E3875" s="1" t="s">
        <v>243</v>
      </c>
      <c r="F3875" s="1" t="s">
        <v>366</v>
      </c>
      <c r="G3875" s="1" t="s">
        <v>209</v>
      </c>
      <c r="H3875" s="1" t="s">
        <v>1404</v>
      </c>
      <c r="I3875">
        <v>2013</v>
      </c>
      <c r="J3875" s="93">
        <v>11106.97</v>
      </c>
      <c r="K3875">
        <v>11</v>
      </c>
      <c r="L3875" s="1" t="s">
        <v>401</v>
      </c>
      <c r="M3875">
        <v>0</v>
      </c>
      <c r="N3875">
        <v>0</v>
      </c>
      <c r="O3875">
        <v>111069.7</v>
      </c>
      <c r="P3875">
        <v>1</v>
      </c>
      <c r="Q3875" s="1" t="s">
        <v>562</v>
      </c>
      <c r="R3875" s="93">
        <v>11320.65</v>
      </c>
      <c r="S3875">
        <v>724.52</v>
      </c>
      <c r="T3875">
        <v>1</v>
      </c>
      <c r="U3875" s="1" t="s">
        <v>889</v>
      </c>
      <c r="V3875" s="1"/>
      <c r="W3875">
        <v>11106.984839999999</v>
      </c>
      <c r="X3875">
        <v>0</v>
      </c>
      <c r="Y3875">
        <v>70982</v>
      </c>
    </row>
    <row r="3876" spans="1:25" ht="15" hidden="1" customHeight="1" x14ac:dyDescent="0.25">
      <c r="A3876" s="1" t="s">
        <v>39</v>
      </c>
      <c r="B3876" s="1" t="s">
        <v>84</v>
      </c>
      <c r="C3876" s="1" t="s">
        <v>209</v>
      </c>
      <c r="D3876">
        <v>8880</v>
      </c>
      <c r="E3876" s="1" t="s">
        <v>243</v>
      </c>
      <c r="F3876" s="1" t="s">
        <v>366</v>
      </c>
      <c r="G3876" s="1" t="s">
        <v>209</v>
      </c>
      <c r="H3876" s="1" t="s">
        <v>1404</v>
      </c>
      <c r="I3876">
        <v>2013</v>
      </c>
      <c r="J3876" s="93">
        <v>4486.04</v>
      </c>
      <c r="K3876">
        <v>11</v>
      </c>
      <c r="L3876" s="1" t="s">
        <v>433</v>
      </c>
      <c r="M3876">
        <v>0</v>
      </c>
      <c r="N3876">
        <v>0</v>
      </c>
      <c r="O3876">
        <v>44860.4</v>
      </c>
      <c r="P3876">
        <v>1</v>
      </c>
      <c r="Q3876" s="1" t="s">
        <v>562</v>
      </c>
      <c r="R3876" s="93">
        <v>4656.66</v>
      </c>
      <c r="S3876">
        <v>298.01</v>
      </c>
      <c r="T3876">
        <v>1</v>
      </c>
      <c r="U3876" s="1" t="s">
        <v>895</v>
      </c>
      <c r="V3876" s="1"/>
      <c r="W3876">
        <v>4486.0397700000003</v>
      </c>
      <c r="X3876">
        <v>0</v>
      </c>
      <c r="Y3876">
        <v>70984</v>
      </c>
    </row>
    <row r="3877" spans="1:25" ht="15" hidden="1" customHeight="1" x14ac:dyDescent="0.25">
      <c r="A3877" s="1" t="s">
        <v>39</v>
      </c>
      <c r="B3877" s="1" t="s">
        <v>84</v>
      </c>
      <c r="C3877" s="1" t="s">
        <v>209</v>
      </c>
      <c r="D3877">
        <v>8880</v>
      </c>
      <c r="E3877" s="1" t="s">
        <v>243</v>
      </c>
      <c r="F3877" s="1" t="s">
        <v>366</v>
      </c>
      <c r="G3877" s="1" t="s">
        <v>209</v>
      </c>
      <c r="H3877" s="1" t="s">
        <v>1404</v>
      </c>
      <c r="I3877">
        <v>2013</v>
      </c>
      <c r="J3877" s="93">
        <v>178973.97</v>
      </c>
      <c r="K3877">
        <v>11</v>
      </c>
      <c r="L3877" s="1" t="s">
        <v>433</v>
      </c>
      <c r="M3877">
        <v>0</v>
      </c>
      <c r="N3877">
        <v>0</v>
      </c>
      <c r="O3877">
        <v>1789739.7</v>
      </c>
      <c r="P3877">
        <v>1</v>
      </c>
      <c r="Q3877" s="1" t="s">
        <v>562</v>
      </c>
      <c r="R3877" s="93">
        <v>244974.22</v>
      </c>
      <c r="S3877">
        <v>15678.35</v>
      </c>
      <c r="T3877">
        <v>1</v>
      </c>
      <c r="U3877" s="1" t="s">
        <v>890</v>
      </c>
      <c r="V3877" s="1"/>
      <c r="W3877">
        <v>178973.96591</v>
      </c>
      <c r="X3877">
        <v>0</v>
      </c>
      <c r="Y3877">
        <v>70987</v>
      </c>
    </row>
    <row r="3878" spans="1:25" ht="15" hidden="1" customHeight="1" x14ac:dyDescent="0.25">
      <c r="A3878" s="1" t="s">
        <v>39</v>
      </c>
      <c r="B3878" s="1" t="s">
        <v>84</v>
      </c>
      <c r="C3878" s="1" t="s">
        <v>209</v>
      </c>
      <c r="D3878">
        <v>8880</v>
      </c>
      <c r="E3878" s="1" t="s">
        <v>243</v>
      </c>
      <c r="F3878" s="1" t="s">
        <v>366</v>
      </c>
      <c r="G3878" s="1" t="s">
        <v>209</v>
      </c>
      <c r="H3878" s="1" t="s">
        <v>1404</v>
      </c>
      <c r="I3878">
        <v>2013</v>
      </c>
      <c r="J3878" s="93">
        <v>92095.19</v>
      </c>
      <c r="K3878">
        <v>11</v>
      </c>
      <c r="L3878" s="1" t="s">
        <v>433</v>
      </c>
      <c r="M3878">
        <v>0</v>
      </c>
      <c r="N3878">
        <v>0</v>
      </c>
      <c r="O3878">
        <v>920951.9</v>
      </c>
      <c r="P3878">
        <v>1</v>
      </c>
      <c r="Q3878" s="1" t="s">
        <v>562</v>
      </c>
      <c r="R3878" s="93">
        <v>101547.43</v>
      </c>
      <c r="S3878">
        <v>12794.98</v>
      </c>
      <c r="T3878">
        <v>1</v>
      </c>
      <c r="U3878" s="1" t="s">
        <v>887</v>
      </c>
      <c r="V3878" s="1"/>
      <c r="W3878">
        <v>92095.195070000002</v>
      </c>
      <c r="X3878">
        <v>0</v>
      </c>
      <c r="Y3878">
        <v>70702</v>
      </c>
    </row>
    <row r="3879" spans="1:25" ht="15" hidden="1" customHeight="1" x14ac:dyDescent="0.25">
      <c r="A3879" s="1" t="s">
        <v>39</v>
      </c>
      <c r="B3879" s="1" t="s">
        <v>84</v>
      </c>
      <c r="C3879" s="1" t="s">
        <v>209</v>
      </c>
      <c r="D3879">
        <v>8880</v>
      </c>
      <c r="E3879" s="1" t="s">
        <v>243</v>
      </c>
      <c r="F3879" s="1" t="s">
        <v>366</v>
      </c>
      <c r="G3879" s="1" t="s">
        <v>209</v>
      </c>
      <c r="H3879" s="1" t="s">
        <v>1404</v>
      </c>
      <c r="I3879">
        <v>2013</v>
      </c>
      <c r="J3879" s="93">
        <v>31493.67</v>
      </c>
      <c r="K3879">
        <v>11</v>
      </c>
      <c r="L3879" s="1" t="s">
        <v>433</v>
      </c>
      <c r="M3879">
        <v>0</v>
      </c>
      <c r="N3879">
        <v>0</v>
      </c>
      <c r="O3879">
        <v>314936.7</v>
      </c>
      <c r="P3879">
        <v>1</v>
      </c>
      <c r="Q3879" s="1" t="s">
        <v>562</v>
      </c>
      <c r="R3879" s="93">
        <v>37143.89</v>
      </c>
      <c r="S3879">
        <v>2377.2199999999998</v>
      </c>
      <c r="T3879">
        <v>1</v>
      </c>
      <c r="U3879" s="1" t="s">
        <v>892</v>
      </c>
      <c r="V3879" s="1"/>
      <c r="W3879">
        <v>31493.67424</v>
      </c>
      <c r="X3879">
        <v>0</v>
      </c>
      <c r="Y3879">
        <v>70978</v>
      </c>
    </row>
    <row r="3880" spans="1:25" ht="15" hidden="1" customHeight="1" x14ac:dyDescent="0.25">
      <c r="A3880" s="1" t="s">
        <v>39</v>
      </c>
      <c r="B3880" s="1" t="s">
        <v>84</v>
      </c>
      <c r="C3880" s="1" t="s">
        <v>209</v>
      </c>
      <c r="D3880">
        <v>8880</v>
      </c>
      <c r="E3880" s="1" t="s">
        <v>243</v>
      </c>
      <c r="F3880" s="1" t="s">
        <v>366</v>
      </c>
      <c r="G3880" s="1" t="s">
        <v>209</v>
      </c>
      <c r="H3880" s="1" t="s">
        <v>1404</v>
      </c>
      <c r="I3880">
        <v>2013</v>
      </c>
      <c r="J3880" s="93">
        <v>389.65</v>
      </c>
      <c r="K3880">
        <v>11</v>
      </c>
      <c r="L3880" s="1" t="s">
        <v>433</v>
      </c>
      <c r="M3880">
        <v>0</v>
      </c>
      <c r="N3880">
        <v>0</v>
      </c>
      <c r="O3880">
        <v>3896.5</v>
      </c>
      <c r="P3880">
        <v>1</v>
      </c>
      <c r="Q3880" s="1" t="s">
        <v>562</v>
      </c>
      <c r="R3880" s="93">
        <v>443.15</v>
      </c>
      <c r="S3880">
        <v>28.37</v>
      </c>
      <c r="T3880">
        <v>1</v>
      </c>
      <c r="U3880" s="1" t="s">
        <v>894</v>
      </c>
      <c r="V3880" s="1"/>
      <c r="W3880">
        <v>389.65719000000001</v>
      </c>
      <c r="X3880">
        <v>0</v>
      </c>
      <c r="Y3880">
        <v>70983</v>
      </c>
    </row>
    <row r="3881" spans="1:25" ht="15" hidden="1" customHeight="1" x14ac:dyDescent="0.25">
      <c r="A3881" s="1" t="s">
        <v>39</v>
      </c>
      <c r="B3881" s="1" t="s">
        <v>84</v>
      </c>
      <c r="C3881" s="1" t="s">
        <v>209</v>
      </c>
      <c r="D3881">
        <v>8880</v>
      </c>
      <c r="E3881" s="1" t="s">
        <v>243</v>
      </c>
      <c r="F3881" s="1" t="s">
        <v>366</v>
      </c>
      <c r="G3881" s="1" t="s">
        <v>209</v>
      </c>
      <c r="H3881" s="1" t="s">
        <v>1404</v>
      </c>
      <c r="I3881">
        <v>2013</v>
      </c>
      <c r="J3881" s="93">
        <v>215232.45</v>
      </c>
      <c r="K3881">
        <v>11</v>
      </c>
      <c r="L3881" s="1" t="s">
        <v>433</v>
      </c>
      <c r="M3881">
        <v>0</v>
      </c>
      <c r="N3881">
        <v>0</v>
      </c>
      <c r="O3881">
        <v>2152324.5</v>
      </c>
      <c r="P3881">
        <v>1</v>
      </c>
      <c r="Q3881" s="1" t="s">
        <v>562</v>
      </c>
      <c r="R3881" s="93">
        <v>301002</v>
      </c>
      <c r="S3881">
        <v>19264.13</v>
      </c>
      <c r="T3881">
        <v>1</v>
      </c>
      <c r="U3881" s="1" t="s">
        <v>896</v>
      </c>
      <c r="V3881" s="1"/>
      <c r="W3881">
        <v>215232.44792000001</v>
      </c>
      <c r="X3881">
        <v>0</v>
      </c>
      <c r="Y3881">
        <v>70986</v>
      </c>
    </row>
    <row r="3882" spans="1:25" ht="15" hidden="1" customHeight="1" x14ac:dyDescent="0.25">
      <c r="A3882" s="1" t="s">
        <v>39</v>
      </c>
      <c r="B3882" s="1" t="s">
        <v>84</v>
      </c>
      <c r="C3882" s="1" t="s">
        <v>209</v>
      </c>
      <c r="D3882">
        <v>8880</v>
      </c>
      <c r="E3882" s="1" t="s">
        <v>243</v>
      </c>
      <c r="F3882" s="1" t="s">
        <v>366</v>
      </c>
      <c r="G3882" s="1" t="s">
        <v>209</v>
      </c>
      <c r="H3882" s="1" t="s">
        <v>1404</v>
      </c>
      <c r="I3882">
        <v>2013</v>
      </c>
      <c r="J3882" s="93">
        <v>7750.54</v>
      </c>
      <c r="K3882">
        <v>11</v>
      </c>
      <c r="L3882" s="1" t="s">
        <v>433</v>
      </c>
      <c r="M3882">
        <v>0</v>
      </c>
      <c r="N3882">
        <v>0</v>
      </c>
      <c r="O3882">
        <v>77505.399999999994</v>
      </c>
      <c r="P3882">
        <v>1</v>
      </c>
      <c r="Q3882" s="1" t="s">
        <v>562</v>
      </c>
      <c r="R3882" s="93">
        <v>8006.61</v>
      </c>
      <c r="S3882">
        <v>512.42999999999995</v>
      </c>
      <c r="T3882">
        <v>1</v>
      </c>
      <c r="U3882" s="1" t="s">
        <v>891</v>
      </c>
      <c r="V3882" s="1"/>
      <c r="W3882">
        <v>7750.55681</v>
      </c>
      <c r="X3882">
        <v>0</v>
      </c>
      <c r="Y3882">
        <v>70988</v>
      </c>
    </row>
    <row r="3883" spans="1:25" ht="15" hidden="1" customHeight="1" x14ac:dyDescent="0.25">
      <c r="A3883" s="1" t="s">
        <v>39</v>
      </c>
      <c r="B3883" s="1" t="s">
        <v>84</v>
      </c>
      <c r="C3883" s="1" t="s">
        <v>209</v>
      </c>
      <c r="D3883">
        <v>8880</v>
      </c>
      <c r="E3883" s="1" t="s">
        <v>243</v>
      </c>
      <c r="F3883" s="1" t="s">
        <v>366</v>
      </c>
      <c r="G3883" s="1" t="s">
        <v>209</v>
      </c>
      <c r="H3883" s="1" t="s">
        <v>1404</v>
      </c>
      <c r="I3883">
        <v>2012</v>
      </c>
      <c r="J3883" s="93">
        <v>59988.4</v>
      </c>
      <c r="K3883">
        <v>12</v>
      </c>
      <c r="L3883" s="1" t="s">
        <v>433</v>
      </c>
      <c r="M3883">
        <v>0</v>
      </c>
      <c r="N3883">
        <v>0</v>
      </c>
      <c r="O3883">
        <v>599884</v>
      </c>
      <c r="P3883">
        <v>1</v>
      </c>
      <c r="Q3883" s="1" t="s">
        <v>562</v>
      </c>
      <c r="R3883" s="93">
        <v>68722.350000000006</v>
      </c>
      <c r="S3883">
        <v>12713.64</v>
      </c>
      <c r="T3883">
        <v>1</v>
      </c>
      <c r="U3883" s="1" t="s">
        <v>892</v>
      </c>
      <c r="V3883" s="1"/>
      <c r="W3883">
        <v>59988.409110000001</v>
      </c>
      <c r="X3883">
        <v>0</v>
      </c>
      <c r="Y3883">
        <v>70978</v>
      </c>
    </row>
    <row r="3884" spans="1:25" ht="15" hidden="1" customHeight="1" x14ac:dyDescent="0.25">
      <c r="A3884" s="1" t="s">
        <v>39</v>
      </c>
      <c r="B3884" s="1" t="s">
        <v>84</v>
      </c>
      <c r="C3884" s="1" t="s">
        <v>209</v>
      </c>
      <c r="D3884">
        <v>8880</v>
      </c>
      <c r="E3884" s="1" t="s">
        <v>243</v>
      </c>
      <c r="F3884" s="1" t="s">
        <v>366</v>
      </c>
      <c r="G3884" s="1" t="s">
        <v>209</v>
      </c>
      <c r="H3884" s="1" t="s">
        <v>1404</v>
      </c>
      <c r="I3884">
        <v>2012</v>
      </c>
      <c r="J3884" s="93">
        <v>490173.35</v>
      </c>
      <c r="K3884">
        <v>12</v>
      </c>
      <c r="L3884" s="1" t="s">
        <v>433</v>
      </c>
      <c r="M3884">
        <v>0</v>
      </c>
      <c r="N3884">
        <v>0</v>
      </c>
      <c r="O3884">
        <v>4901733.5</v>
      </c>
      <c r="P3884">
        <v>1</v>
      </c>
      <c r="Q3884" s="1" t="s">
        <v>562</v>
      </c>
      <c r="R3884" s="93">
        <v>518417.95</v>
      </c>
      <c r="S3884">
        <v>95907.31</v>
      </c>
      <c r="T3884">
        <v>1</v>
      </c>
      <c r="U3884" s="1" t="s">
        <v>888</v>
      </c>
      <c r="V3884" s="1"/>
      <c r="W3884">
        <v>490173.33332999999</v>
      </c>
      <c r="X3884">
        <v>0</v>
      </c>
      <c r="Y3884">
        <v>70979</v>
      </c>
    </row>
    <row r="3885" spans="1:25" ht="15" hidden="1" customHeight="1" x14ac:dyDescent="0.25">
      <c r="A3885" s="1" t="s">
        <v>39</v>
      </c>
      <c r="B3885" s="1" t="s">
        <v>84</v>
      </c>
      <c r="C3885" s="1" t="s">
        <v>209</v>
      </c>
      <c r="D3885">
        <v>8880</v>
      </c>
      <c r="E3885" s="1" t="s">
        <v>243</v>
      </c>
      <c r="F3885" s="1" t="s">
        <v>366</v>
      </c>
      <c r="G3885" s="1" t="s">
        <v>209</v>
      </c>
      <c r="H3885" s="1" t="s">
        <v>1404</v>
      </c>
      <c r="I3885">
        <v>2012</v>
      </c>
      <c r="J3885" s="93">
        <v>17727.189999999999</v>
      </c>
      <c r="K3885">
        <v>12</v>
      </c>
      <c r="L3885" s="1" t="s">
        <v>433</v>
      </c>
      <c r="M3885">
        <v>0</v>
      </c>
      <c r="N3885">
        <v>0</v>
      </c>
      <c r="O3885">
        <v>177271.9</v>
      </c>
      <c r="P3885">
        <v>1</v>
      </c>
      <c r="Q3885" s="1" t="s">
        <v>562</v>
      </c>
      <c r="R3885" s="93">
        <v>18818.04</v>
      </c>
      <c r="S3885">
        <v>3481.35</v>
      </c>
      <c r="T3885">
        <v>1</v>
      </c>
      <c r="U3885" s="1" t="s">
        <v>893</v>
      </c>
      <c r="V3885" s="1"/>
      <c r="W3885">
        <v>17727.181809999998</v>
      </c>
      <c r="X3885">
        <v>0</v>
      </c>
      <c r="Y3885">
        <v>70981</v>
      </c>
    </row>
    <row r="3886" spans="1:25" ht="15" hidden="1" customHeight="1" x14ac:dyDescent="0.25">
      <c r="A3886" s="1" t="s">
        <v>39</v>
      </c>
      <c r="B3886" s="1" t="s">
        <v>84</v>
      </c>
      <c r="C3886" s="1" t="s">
        <v>209</v>
      </c>
      <c r="D3886">
        <v>8880</v>
      </c>
      <c r="E3886" s="1" t="s">
        <v>243</v>
      </c>
      <c r="F3886" s="1" t="s">
        <v>366</v>
      </c>
      <c r="G3886" s="1" t="s">
        <v>209</v>
      </c>
      <c r="H3886" s="1" t="s">
        <v>1404</v>
      </c>
      <c r="I3886">
        <v>2012</v>
      </c>
      <c r="J3886" s="93">
        <v>6429.44</v>
      </c>
      <c r="K3886">
        <v>12</v>
      </c>
      <c r="L3886" s="1" t="s">
        <v>433</v>
      </c>
      <c r="M3886">
        <v>0</v>
      </c>
      <c r="N3886">
        <v>0</v>
      </c>
      <c r="O3886">
        <v>64294.400000000001</v>
      </c>
      <c r="P3886">
        <v>1</v>
      </c>
      <c r="Q3886" s="1" t="s">
        <v>562</v>
      </c>
      <c r="R3886" s="93">
        <v>6629.03</v>
      </c>
      <c r="S3886">
        <v>1226.3800000000001</v>
      </c>
      <c r="T3886">
        <v>1</v>
      </c>
      <c r="U3886" s="1" t="s">
        <v>895</v>
      </c>
      <c r="V3886" s="1"/>
      <c r="W3886">
        <v>6429.4394000000002</v>
      </c>
      <c r="X3886">
        <v>0</v>
      </c>
      <c r="Y3886">
        <v>70984</v>
      </c>
    </row>
    <row r="3887" spans="1:25" ht="15" hidden="1" customHeight="1" x14ac:dyDescent="0.25">
      <c r="A3887" s="1" t="s">
        <v>39</v>
      </c>
      <c r="B3887" s="1" t="s">
        <v>84</v>
      </c>
      <c r="C3887" s="1" t="s">
        <v>209</v>
      </c>
      <c r="D3887">
        <v>8880</v>
      </c>
      <c r="E3887" s="1" t="s">
        <v>243</v>
      </c>
      <c r="F3887" s="1" t="s">
        <v>366</v>
      </c>
      <c r="G3887" s="1" t="s">
        <v>209</v>
      </c>
      <c r="H3887" s="1" t="s">
        <v>1404</v>
      </c>
      <c r="I3887">
        <v>2012</v>
      </c>
      <c r="J3887" s="93">
        <v>224952.42</v>
      </c>
      <c r="K3887">
        <v>12</v>
      </c>
      <c r="L3887" s="1" t="s">
        <v>433</v>
      </c>
      <c r="M3887">
        <v>0</v>
      </c>
      <c r="N3887">
        <v>0</v>
      </c>
      <c r="O3887">
        <v>2249524.2000000002</v>
      </c>
      <c r="P3887">
        <v>1</v>
      </c>
      <c r="Q3887" s="1" t="s">
        <v>562</v>
      </c>
      <c r="R3887" s="93">
        <v>249199.4</v>
      </c>
      <c r="S3887">
        <v>46101.89</v>
      </c>
      <c r="T3887">
        <v>1</v>
      </c>
      <c r="U3887" s="1" t="s">
        <v>896</v>
      </c>
      <c r="V3887" s="1"/>
      <c r="W3887">
        <v>224952.41665999999</v>
      </c>
      <c r="X3887">
        <v>0</v>
      </c>
      <c r="Y3887">
        <v>70986</v>
      </c>
    </row>
    <row r="3888" spans="1:25" ht="15" hidden="1" customHeight="1" x14ac:dyDescent="0.25">
      <c r="A3888" s="1" t="s">
        <v>39</v>
      </c>
      <c r="B3888" s="1" t="s">
        <v>84</v>
      </c>
      <c r="C3888" s="1" t="s">
        <v>209</v>
      </c>
      <c r="D3888">
        <v>8880</v>
      </c>
      <c r="E3888" s="1" t="s">
        <v>243</v>
      </c>
      <c r="F3888" s="1" t="s">
        <v>366</v>
      </c>
      <c r="G3888" s="1" t="s">
        <v>209</v>
      </c>
      <c r="H3888" s="1" t="s">
        <v>1404</v>
      </c>
      <c r="I3888">
        <v>2012</v>
      </c>
      <c r="J3888" s="93">
        <v>185957.23</v>
      </c>
      <c r="K3888">
        <v>12</v>
      </c>
      <c r="L3888" s="1" t="s">
        <v>433</v>
      </c>
      <c r="M3888">
        <v>0</v>
      </c>
      <c r="N3888">
        <v>0</v>
      </c>
      <c r="O3888">
        <v>1859572.3</v>
      </c>
      <c r="P3888">
        <v>1</v>
      </c>
      <c r="Q3888" s="1" t="s">
        <v>562</v>
      </c>
      <c r="R3888" s="93">
        <v>205784.13</v>
      </c>
      <c r="S3888">
        <v>38070.050000000003</v>
      </c>
      <c r="T3888">
        <v>1</v>
      </c>
      <c r="U3888" s="1" t="s">
        <v>890</v>
      </c>
      <c r="V3888" s="1"/>
      <c r="W3888">
        <v>185957.24243000001</v>
      </c>
      <c r="X3888">
        <v>0</v>
      </c>
      <c r="Y3888">
        <v>70987</v>
      </c>
    </row>
    <row r="3889" spans="1:25" ht="15" hidden="1" customHeight="1" x14ac:dyDescent="0.25">
      <c r="A3889" s="1" t="s">
        <v>39</v>
      </c>
      <c r="B3889" s="1" t="s">
        <v>84</v>
      </c>
      <c r="C3889" s="1" t="s">
        <v>209</v>
      </c>
      <c r="D3889">
        <v>8880</v>
      </c>
      <c r="E3889" s="1" t="s">
        <v>243</v>
      </c>
      <c r="F3889" s="1" t="s">
        <v>366</v>
      </c>
      <c r="G3889" s="1" t="s">
        <v>209</v>
      </c>
      <c r="H3889" s="1" t="s">
        <v>1404</v>
      </c>
      <c r="I3889">
        <v>2012</v>
      </c>
      <c r="J3889" s="93">
        <v>101170.09</v>
      </c>
      <c r="K3889">
        <v>12</v>
      </c>
      <c r="L3889" s="1" t="s">
        <v>433</v>
      </c>
      <c r="M3889">
        <v>0</v>
      </c>
      <c r="N3889">
        <v>0</v>
      </c>
      <c r="O3889">
        <v>1011700.9</v>
      </c>
      <c r="P3889">
        <v>1</v>
      </c>
      <c r="Q3889" s="1" t="s">
        <v>562</v>
      </c>
      <c r="R3889" s="93">
        <v>107597.31</v>
      </c>
      <c r="S3889">
        <v>13557.25</v>
      </c>
      <c r="T3889">
        <v>1</v>
      </c>
      <c r="U3889" s="1" t="s">
        <v>887</v>
      </c>
      <c r="V3889" s="1"/>
      <c r="W3889">
        <v>101170.07576000001</v>
      </c>
      <c r="X3889">
        <v>0</v>
      </c>
      <c r="Y3889">
        <v>70702</v>
      </c>
    </row>
    <row r="3890" spans="1:25" ht="15" hidden="1" customHeight="1" x14ac:dyDescent="0.25">
      <c r="A3890" s="1" t="s">
        <v>39</v>
      </c>
      <c r="B3890" s="1" t="s">
        <v>84</v>
      </c>
      <c r="C3890" s="1" t="s">
        <v>209</v>
      </c>
      <c r="D3890">
        <v>8880</v>
      </c>
      <c r="E3890" s="1" t="s">
        <v>243</v>
      </c>
      <c r="F3890" s="1" t="s">
        <v>366</v>
      </c>
      <c r="G3890" s="1" t="s">
        <v>209</v>
      </c>
      <c r="H3890" s="1" t="s">
        <v>1404</v>
      </c>
      <c r="I3890">
        <v>2012</v>
      </c>
      <c r="J3890" s="93">
        <v>1143</v>
      </c>
      <c r="K3890">
        <v>7</v>
      </c>
      <c r="L3890" s="1" t="s">
        <v>454</v>
      </c>
      <c r="M3890">
        <v>0</v>
      </c>
      <c r="N3890">
        <v>0</v>
      </c>
      <c r="O3890">
        <v>11430</v>
      </c>
      <c r="P3890">
        <v>1</v>
      </c>
      <c r="Q3890" s="1" t="s">
        <v>562</v>
      </c>
      <c r="R3890" s="93">
        <v>1196.1500000000001</v>
      </c>
      <c r="S3890">
        <v>221.28</v>
      </c>
      <c r="T3890">
        <v>1</v>
      </c>
      <c r="U3890" s="1" t="s">
        <v>898</v>
      </c>
      <c r="V3890" s="1"/>
      <c r="W3890">
        <v>1142.99999</v>
      </c>
      <c r="X3890">
        <v>0</v>
      </c>
      <c r="Y3890">
        <v>70980</v>
      </c>
    </row>
    <row r="3891" spans="1:25" ht="15" hidden="1" customHeight="1" x14ac:dyDescent="0.25">
      <c r="A3891" s="1" t="s">
        <v>39</v>
      </c>
      <c r="B3891" s="1" t="s">
        <v>84</v>
      </c>
      <c r="C3891" s="1" t="s">
        <v>209</v>
      </c>
      <c r="D3891">
        <v>8880</v>
      </c>
      <c r="E3891" s="1" t="s">
        <v>243</v>
      </c>
      <c r="F3891" s="1" t="s">
        <v>366</v>
      </c>
      <c r="G3891" s="1" t="s">
        <v>209</v>
      </c>
      <c r="H3891" s="1" t="s">
        <v>1404</v>
      </c>
      <c r="I3891">
        <v>2012</v>
      </c>
      <c r="J3891" s="93">
        <v>7256.53</v>
      </c>
      <c r="K3891">
        <v>12</v>
      </c>
      <c r="L3891" s="1" t="s">
        <v>401</v>
      </c>
      <c r="M3891">
        <v>0</v>
      </c>
      <c r="N3891">
        <v>0</v>
      </c>
      <c r="O3891">
        <v>72565.3</v>
      </c>
      <c r="P3891">
        <v>1</v>
      </c>
      <c r="Q3891" s="1" t="s">
        <v>562</v>
      </c>
      <c r="R3891" s="93">
        <v>7821.23</v>
      </c>
      <c r="S3891">
        <v>1446.92</v>
      </c>
      <c r="T3891">
        <v>1</v>
      </c>
      <c r="U3891" s="1" t="s">
        <v>889</v>
      </c>
      <c r="V3891" s="1"/>
      <c r="W3891">
        <v>7256.5151400000004</v>
      </c>
      <c r="X3891">
        <v>0</v>
      </c>
      <c r="Y3891">
        <v>70982</v>
      </c>
    </row>
    <row r="3892" spans="1:25" ht="15" hidden="1" customHeight="1" x14ac:dyDescent="0.25">
      <c r="A3892" s="1" t="s">
        <v>39</v>
      </c>
      <c r="B3892" s="1" t="s">
        <v>84</v>
      </c>
      <c r="C3892" s="1" t="s">
        <v>209</v>
      </c>
      <c r="D3892">
        <v>8880</v>
      </c>
      <c r="E3892" s="1" t="s">
        <v>243</v>
      </c>
      <c r="F3892" s="1" t="s">
        <v>366</v>
      </c>
      <c r="G3892" s="1" t="s">
        <v>209</v>
      </c>
      <c r="H3892" s="1" t="s">
        <v>1404</v>
      </c>
      <c r="I3892">
        <v>2012</v>
      </c>
      <c r="J3892" s="93">
        <v>830.61</v>
      </c>
      <c r="K3892">
        <v>12</v>
      </c>
      <c r="L3892" s="1" t="s">
        <v>433</v>
      </c>
      <c r="M3892">
        <v>0</v>
      </c>
      <c r="N3892">
        <v>0</v>
      </c>
      <c r="O3892">
        <v>8306.1</v>
      </c>
      <c r="P3892">
        <v>1</v>
      </c>
      <c r="Q3892" s="1" t="s">
        <v>562</v>
      </c>
      <c r="R3892" s="93">
        <v>862.67</v>
      </c>
      <c r="S3892">
        <v>159.59</v>
      </c>
      <c r="T3892">
        <v>1</v>
      </c>
      <c r="U3892" s="1" t="s">
        <v>894</v>
      </c>
      <c r="V3892" s="1"/>
      <c r="W3892">
        <v>830.61364000000003</v>
      </c>
      <c r="X3892">
        <v>0</v>
      </c>
      <c r="Y3892">
        <v>70983</v>
      </c>
    </row>
    <row r="3893" spans="1:25" ht="15" hidden="1" customHeight="1" x14ac:dyDescent="0.25">
      <c r="A3893" s="1" t="s">
        <v>39</v>
      </c>
      <c r="B3893" s="1" t="s">
        <v>84</v>
      </c>
      <c r="C3893" s="1" t="s">
        <v>209</v>
      </c>
      <c r="D3893">
        <v>8880</v>
      </c>
      <c r="E3893" s="1" t="s">
        <v>243</v>
      </c>
      <c r="F3893" s="1" t="s">
        <v>366</v>
      </c>
      <c r="G3893" s="1" t="s">
        <v>209</v>
      </c>
      <c r="H3893" s="1" t="s">
        <v>1404</v>
      </c>
      <c r="I3893">
        <v>2012</v>
      </c>
      <c r="J3893" s="93">
        <v>217462.5</v>
      </c>
      <c r="K3893">
        <v>8</v>
      </c>
      <c r="L3893" s="1" t="s">
        <v>500</v>
      </c>
      <c r="M3893">
        <v>0</v>
      </c>
      <c r="N3893">
        <v>0</v>
      </c>
      <c r="O3893">
        <v>2174625</v>
      </c>
      <c r="P3893">
        <v>1</v>
      </c>
      <c r="Q3893" s="1" t="s">
        <v>562</v>
      </c>
      <c r="R3893" s="93">
        <v>241689.15</v>
      </c>
      <c r="S3893">
        <v>44712.5</v>
      </c>
      <c r="T3893">
        <v>1</v>
      </c>
      <c r="U3893" s="1" t="s">
        <v>899</v>
      </c>
      <c r="V3893" s="1"/>
      <c r="W3893">
        <v>217462.5</v>
      </c>
      <c r="X3893">
        <v>0</v>
      </c>
      <c r="Y3893">
        <v>70985</v>
      </c>
    </row>
    <row r="3894" spans="1:25" ht="15" hidden="1" customHeight="1" x14ac:dyDescent="0.25">
      <c r="A3894" s="1" t="s">
        <v>39</v>
      </c>
      <c r="B3894" s="1" t="s">
        <v>84</v>
      </c>
      <c r="C3894" s="1" t="s">
        <v>209</v>
      </c>
      <c r="D3894">
        <v>8880</v>
      </c>
      <c r="E3894" s="1" t="s">
        <v>243</v>
      </c>
      <c r="F3894" s="1" t="s">
        <v>366</v>
      </c>
      <c r="G3894" s="1" t="s">
        <v>209</v>
      </c>
      <c r="H3894" s="1" t="s">
        <v>1404</v>
      </c>
      <c r="I3894">
        <v>2012</v>
      </c>
      <c r="J3894" s="93">
        <v>3432.31</v>
      </c>
      <c r="K3894">
        <v>12</v>
      </c>
      <c r="L3894" s="1" t="s">
        <v>433</v>
      </c>
      <c r="M3894">
        <v>0</v>
      </c>
      <c r="N3894">
        <v>0</v>
      </c>
      <c r="O3894">
        <v>34323.1</v>
      </c>
      <c r="P3894">
        <v>1</v>
      </c>
      <c r="Q3894" s="1" t="s">
        <v>562</v>
      </c>
      <c r="R3894" s="93">
        <v>3724.63</v>
      </c>
      <c r="S3894">
        <v>689.05</v>
      </c>
      <c r="T3894">
        <v>1</v>
      </c>
      <c r="U3894" s="1" t="s">
        <v>891</v>
      </c>
      <c r="V3894" s="1"/>
      <c r="W3894">
        <v>3432.3182000000002</v>
      </c>
      <c r="X3894">
        <v>0</v>
      </c>
      <c r="Y3894">
        <v>70988</v>
      </c>
    </row>
    <row r="3895" spans="1:25" ht="15" hidden="1" customHeight="1" x14ac:dyDescent="0.25">
      <c r="A3895" s="1" t="s">
        <v>39</v>
      </c>
      <c r="B3895" s="1" t="s">
        <v>84</v>
      </c>
      <c r="C3895" s="1" t="s">
        <v>209</v>
      </c>
      <c r="D3895">
        <v>8880</v>
      </c>
      <c r="E3895" s="1" t="s">
        <v>243</v>
      </c>
      <c r="F3895" s="1" t="s">
        <v>366</v>
      </c>
      <c r="G3895" s="1" t="s">
        <v>209</v>
      </c>
      <c r="H3895" s="1" t="s">
        <v>1404</v>
      </c>
      <c r="I3895">
        <v>2011</v>
      </c>
      <c r="J3895" s="93">
        <v>23407.69</v>
      </c>
      <c r="K3895">
        <v>12</v>
      </c>
      <c r="L3895" s="1" t="s">
        <v>433</v>
      </c>
      <c r="M3895">
        <v>0</v>
      </c>
      <c r="N3895">
        <v>0</v>
      </c>
      <c r="O3895">
        <v>234076.9</v>
      </c>
      <c r="P3895">
        <v>1</v>
      </c>
      <c r="Q3895" s="1" t="s">
        <v>562</v>
      </c>
      <c r="R3895" s="93">
        <v>25792.97</v>
      </c>
      <c r="S3895">
        <v>4771.7</v>
      </c>
      <c r="T3895">
        <v>1</v>
      </c>
      <c r="U3895" s="1" t="s">
        <v>892</v>
      </c>
      <c r="V3895" s="1"/>
      <c r="W3895">
        <v>23407.696090000001</v>
      </c>
      <c r="X3895">
        <v>0</v>
      </c>
      <c r="Y3895">
        <v>70978</v>
      </c>
    </row>
    <row r="3896" spans="1:25" ht="15" hidden="1" customHeight="1" x14ac:dyDescent="0.25">
      <c r="A3896" s="1" t="s">
        <v>39</v>
      </c>
      <c r="B3896" s="1" t="s">
        <v>84</v>
      </c>
      <c r="C3896" s="1" t="s">
        <v>209</v>
      </c>
      <c r="D3896">
        <v>8880</v>
      </c>
      <c r="E3896" s="1" t="s">
        <v>243</v>
      </c>
      <c r="F3896" s="1" t="s">
        <v>366</v>
      </c>
      <c r="G3896" s="1" t="s">
        <v>209</v>
      </c>
      <c r="H3896" s="1" t="s">
        <v>1404</v>
      </c>
      <c r="I3896">
        <v>2011</v>
      </c>
      <c r="J3896" s="93">
        <v>17572.8</v>
      </c>
      <c r="K3896">
        <v>12</v>
      </c>
      <c r="L3896" s="1" t="s">
        <v>433</v>
      </c>
      <c r="M3896">
        <v>0</v>
      </c>
      <c r="N3896">
        <v>0</v>
      </c>
      <c r="O3896">
        <v>175728</v>
      </c>
      <c r="P3896">
        <v>1</v>
      </c>
      <c r="Q3896" s="1" t="s">
        <v>562</v>
      </c>
      <c r="R3896" s="93">
        <v>19213.53</v>
      </c>
      <c r="S3896">
        <v>3554.52</v>
      </c>
      <c r="T3896">
        <v>1</v>
      </c>
      <c r="U3896" s="1" t="s">
        <v>893</v>
      </c>
      <c r="V3896" s="1"/>
      <c r="W3896">
        <v>17572.784309999999</v>
      </c>
      <c r="X3896">
        <v>0</v>
      </c>
      <c r="Y3896">
        <v>70981</v>
      </c>
    </row>
    <row r="3897" spans="1:25" ht="15" hidden="1" customHeight="1" x14ac:dyDescent="0.25">
      <c r="A3897" s="1" t="s">
        <v>39</v>
      </c>
      <c r="B3897" s="1" t="s">
        <v>84</v>
      </c>
      <c r="C3897" s="1" t="s">
        <v>209</v>
      </c>
      <c r="D3897">
        <v>8880</v>
      </c>
      <c r="E3897" s="1" t="s">
        <v>243</v>
      </c>
      <c r="F3897" s="1" t="s">
        <v>366</v>
      </c>
      <c r="G3897" s="1" t="s">
        <v>209</v>
      </c>
      <c r="H3897" s="1" t="s">
        <v>1404</v>
      </c>
      <c r="I3897">
        <v>2011</v>
      </c>
      <c r="J3897" s="93">
        <v>147.97999999999999</v>
      </c>
      <c r="K3897">
        <v>12</v>
      </c>
      <c r="L3897" s="1" t="s">
        <v>433</v>
      </c>
      <c r="M3897">
        <v>0</v>
      </c>
      <c r="N3897">
        <v>0</v>
      </c>
      <c r="O3897">
        <v>1479.8</v>
      </c>
      <c r="P3897">
        <v>1</v>
      </c>
      <c r="Q3897" s="1" t="s">
        <v>562</v>
      </c>
      <c r="R3897" s="93">
        <v>159.04</v>
      </c>
      <c r="S3897">
        <v>29.42</v>
      </c>
      <c r="T3897">
        <v>1</v>
      </c>
      <c r="U3897" s="1" t="s">
        <v>894</v>
      </c>
      <c r="V3897" s="1"/>
      <c r="W3897">
        <v>147.97548</v>
      </c>
      <c r="X3897">
        <v>0</v>
      </c>
      <c r="Y3897">
        <v>70983</v>
      </c>
    </row>
    <row r="3898" spans="1:25" ht="15" hidden="1" customHeight="1" x14ac:dyDescent="0.25">
      <c r="A3898" s="1" t="s">
        <v>39</v>
      </c>
      <c r="B3898" s="1" t="s">
        <v>84</v>
      </c>
      <c r="C3898" s="1" t="s">
        <v>209</v>
      </c>
      <c r="D3898">
        <v>8880</v>
      </c>
      <c r="E3898" s="1" t="s">
        <v>243</v>
      </c>
      <c r="F3898" s="1" t="s">
        <v>366</v>
      </c>
      <c r="G3898" s="1" t="s">
        <v>209</v>
      </c>
      <c r="H3898" s="1" t="s">
        <v>1404</v>
      </c>
      <c r="I3898">
        <v>2011</v>
      </c>
      <c r="J3898" s="93">
        <v>1851.39</v>
      </c>
      <c r="K3898">
        <v>12</v>
      </c>
      <c r="L3898" s="1" t="s">
        <v>433</v>
      </c>
      <c r="M3898">
        <v>0</v>
      </c>
      <c r="N3898">
        <v>0</v>
      </c>
      <c r="O3898">
        <v>18513.900000000001</v>
      </c>
      <c r="P3898">
        <v>1</v>
      </c>
      <c r="Q3898" s="1" t="s">
        <v>562</v>
      </c>
      <c r="R3898" s="93">
        <v>1950.9</v>
      </c>
      <c r="S3898">
        <v>360.92</v>
      </c>
      <c r="T3898">
        <v>1</v>
      </c>
      <c r="U3898" s="1" t="s">
        <v>895</v>
      </c>
      <c r="V3898" s="1"/>
      <c r="W3898">
        <v>1851.3921499999999</v>
      </c>
      <c r="X3898">
        <v>0</v>
      </c>
      <c r="Y3898">
        <v>70984</v>
      </c>
    </row>
    <row r="3899" spans="1:25" ht="15" hidden="1" customHeight="1" x14ac:dyDescent="0.25">
      <c r="A3899" s="1" t="s">
        <v>39</v>
      </c>
      <c r="B3899" s="1" t="s">
        <v>84</v>
      </c>
      <c r="C3899" s="1" t="s">
        <v>209</v>
      </c>
      <c r="D3899">
        <v>8880</v>
      </c>
      <c r="E3899" s="1" t="s">
        <v>243</v>
      </c>
      <c r="F3899" s="1" t="s">
        <v>366</v>
      </c>
      <c r="G3899" s="1" t="s">
        <v>209</v>
      </c>
      <c r="H3899" s="1" t="s">
        <v>1404</v>
      </c>
      <c r="I3899">
        <v>2011</v>
      </c>
      <c r="J3899" s="93">
        <v>177365.59</v>
      </c>
      <c r="K3899">
        <v>12</v>
      </c>
      <c r="L3899" s="1" t="s">
        <v>433</v>
      </c>
      <c r="M3899">
        <v>0</v>
      </c>
      <c r="N3899">
        <v>0</v>
      </c>
      <c r="O3899">
        <v>1773655.9</v>
      </c>
      <c r="P3899">
        <v>1</v>
      </c>
      <c r="Q3899" s="1" t="s">
        <v>562</v>
      </c>
      <c r="R3899" s="93">
        <v>204500.14</v>
      </c>
      <c r="S3899">
        <v>37832.51</v>
      </c>
      <c r="T3899">
        <v>1</v>
      </c>
      <c r="U3899" s="1" t="s">
        <v>896</v>
      </c>
      <c r="V3899" s="1"/>
      <c r="W3899">
        <v>177365.59314000001</v>
      </c>
      <c r="X3899">
        <v>0</v>
      </c>
      <c r="Y3899">
        <v>70986</v>
      </c>
    </row>
    <row r="3900" spans="1:25" ht="15" hidden="1" customHeight="1" x14ac:dyDescent="0.25">
      <c r="A3900" s="1" t="s">
        <v>39</v>
      </c>
      <c r="B3900" s="1" t="s">
        <v>84</v>
      </c>
      <c r="C3900" s="1" t="s">
        <v>209</v>
      </c>
      <c r="D3900">
        <v>8880</v>
      </c>
      <c r="E3900" s="1" t="s">
        <v>243</v>
      </c>
      <c r="F3900" s="1" t="s">
        <v>366</v>
      </c>
      <c r="G3900" s="1" t="s">
        <v>209</v>
      </c>
      <c r="H3900" s="1" t="s">
        <v>1404</v>
      </c>
      <c r="I3900">
        <v>2011</v>
      </c>
      <c r="J3900" s="93">
        <v>112914.04</v>
      </c>
      <c r="K3900">
        <v>12</v>
      </c>
      <c r="L3900" s="1" t="s">
        <v>433</v>
      </c>
      <c r="M3900">
        <v>0</v>
      </c>
      <c r="N3900">
        <v>0</v>
      </c>
      <c r="O3900">
        <v>1129140.3999999999</v>
      </c>
      <c r="P3900">
        <v>1</v>
      </c>
      <c r="Q3900" s="1" t="s">
        <v>562</v>
      </c>
      <c r="R3900" s="93">
        <v>127313.9</v>
      </c>
      <c r="S3900">
        <v>16041.54</v>
      </c>
      <c r="T3900">
        <v>1</v>
      </c>
      <c r="U3900" s="1" t="s">
        <v>887</v>
      </c>
      <c r="V3900" s="1"/>
      <c r="W3900">
        <v>112914.049</v>
      </c>
      <c r="X3900">
        <v>0</v>
      </c>
      <c r="Y3900">
        <v>70702</v>
      </c>
    </row>
    <row r="3901" spans="1:25" ht="15" hidden="1" customHeight="1" x14ac:dyDescent="0.25">
      <c r="A3901" s="1" t="s">
        <v>39</v>
      </c>
      <c r="B3901" s="1" t="s">
        <v>84</v>
      </c>
      <c r="C3901" s="1" t="s">
        <v>209</v>
      </c>
      <c r="D3901">
        <v>8880</v>
      </c>
      <c r="E3901" s="1" t="s">
        <v>243</v>
      </c>
      <c r="F3901" s="1" t="s">
        <v>366</v>
      </c>
      <c r="G3901" s="1" t="s">
        <v>209</v>
      </c>
      <c r="H3901" s="1" t="s">
        <v>1404</v>
      </c>
      <c r="I3901">
        <v>2011</v>
      </c>
      <c r="J3901" s="93">
        <v>522839.42</v>
      </c>
      <c r="K3901">
        <v>12</v>
      </c>
      <c r="L3901" s="1" t="s">
        <v>433</v>
      </c>
      <c r="M3901">
        <v>0</v>
      </c>
      <c r="N3901">
        <v>0</v>
      </c>
      <c r="O3901">
        <v>5228394.2</v>
      </c>
      <c r="P3901">
        <v>1</v>
      </c>
      <c r="Q3901" s="1" t="s">
        <v>562</v>
      </c>
      <c r="R3901" s="93">
        <v>585183.72</v>
      </c>
      <c r="S3901">
        <v>108259</v>
      </c>
      <c r="T3901">
        <v>1</v>
      </c>
      <c r="U3901" s="1" t="s">
        <v>888</v>
      </c>
      <c r="V3901" s="1"/>
      <c r="W3901">
        <v>522839.41175000003</v>
      </c>
      <c r="X3901">
        <v>0</v>
      </c>
      <c r="Y3901">
        <v>70979</v>
      </c>
    </row>
    <row r="3902" spans="1:25" ht="15" hidden="1" customHeight="1" x14ac:dyDescent="0.25">
      <c r="A3902" s="1" t="s">
        <v>39</v>
      </c>
      <c r="B3902" s="1" t="s">
        <v>84</v>
      </c>
      <c r="C3902" s="1" t="s">
        <v>209</v>
      </c>
      <c r="D3902">
        <v>8880</v>
      </c>
      <c r="E3902" s="1" t="s">
        <v>243</v>
      </c>
      <c r="F3902" s="1" t="s">
        <v>366</v>
      </c>
      <c r="G3902" s="1" t="s">
        <v>209</v>
      </c>
      <c r="H3902" s="1" t="s">
        <v>1404</v>
      </c>
      <c r="I3902">
        <v>2011</v>
      </c>
      <c r="J3902" s="93">
        <v>5180.01</v>
      </c>
      <c r="K3902">
        <v>12</v>
      </c>
      <c r="L3902" s="1" t="s">
        <v>454</v>
      </c>
      <c r="M3902">
        <v>0</v>
      </c>
      <c r="N3902">
        <v>0</v>
      </c>
      <c r="O3902">
        <v>51800.1</v>
      </c>
      <c r="P3902">
        <v>1</v>
      </c>
      <c r="Q3902" s="1" t="s">
        <v>562</v>
      </c>
      <c r="R3902" s="93">
        <v>6300.12</v>
      </c>
      <c r="S3902">
        <v>1165.52</v>
      </c>
      <c r="T3902">
        <v>1</v>
      </c>
      <c r="U3902" s="1" t="s">
        <v>898</v>
      </c>
      <c r="V3902" s="1"/>
      <c r="W3902">
        <v>5179.9999900000003</v>
      </c>
      <c r="X3902">
        <v>0</v>
      </c>
      <c r="Y3902">
        <v>70980</v>
      </c>
    </row>
    <row r="3903" spans="1:25" ht="15" hidden="1" customHeight="1" x14ac:dyDescent="0.25">
      <c r="A3903" s="1" t="s">
        <v>39</v>
      </c>
      <c r="B3903" s="1" t="s">
        <v>84</v>
      </c>
      <c r="C3903" s="1" t="s">
        <v>209</v>
      </c>
      <c r="D3903">
        <v>8880</v>
      </c>
      <c r="E3903" s="1" t="s">
        <v>243</v>
      </c>
      <c r="F3903" s="1" t="s">
        <v>366</v>
      </c>
      <c r="G3903" s="1" t="s">
        <v>209</v>
      </c>
      <c r="H3903" s="1" t="s">
        <v>1404</v>
      </c>
      <c r="I3903">
        <v>2011</v>
      </c>
      <c r="J3903" s="93">
        <v>1991.12</v>
      </c>
      <c r="K3903">
        <v>12</v>
      </c>
      <c r="L3903" s="1" t="s">
        <v>401</v>
      </c>
      <c r="M3903">
        <v>0</v>
      </c>
      <c r="N3903">
        <v>0</v>
      </c>
      <c r="O3903">
        <v>19911.2</v>
      </c>
      <c r="P3903">
        <v>1</v>
      </c>
      <c r="Q3903" s="1" t="s">
        <v>562</v>
      </c>
      <c r="R3903" s="93">
        <v>2048.34</v>
      </c>
      <c r="S3903">
        <v>378.94</v>
      </c>
      <c r="T3903">
        <v>1</v>
      </c>
      <c r="U3903" s="1" t="s">
        <v>889</v>
      </c>
      <c r="V3903" s="1"/>
      <c r="W3903">
        <v>1991.1176499999999</v>
      </c>
      <c r="X3903">
        <v>0</v>
      </c>
      <c r="Y3903">
        <v>70982</v>
      </c>
    </row>
    <row r="3904" spans="1:25" ht="15" hidden="1" customHeight="1" x14ac:dyDescent="0.25">
      <c r="A3904" s="1" t="s">
        <v>39</v>
      </c>
      <c r="B3904" s="1" t="s">
        <v>84</v>
      </c>
      <c r="C3904" s="1" t="s">
        <v>209</v>
      </c>
      <c r="D3904">
        <v>8880</v>
      </c>
      <c r="E3904" s="1" t="s">
        <v>243</v>
      </c>
      <c r="F3904" s="1" t="s">
        <v>366</v>
      </c>
      <c r="G3904" s="1" t="s">
        <v>209</v>
      </c>
      <c r="H3904" s="1" t="s">
        <v>1404</v>
      </c>
      <c r="I3904">
        <v>2011</v>
      </c>
      <c r="J3904" s="93">
        <v>218746.91</v>
      </c>
      <c r="K3904">
        <v>12</v>
      </c>
      <c r="L3904" s="1" t="s">
        <v>500</v>
      </c>
      <c r="M3904">
        <v>0</v>
      </c>
      <c r="N3904">
        <v>0</v>
      </c>
      <c r="O3904">
        <v>2187469.1</v>
      </c>
      <c r="P3904">
        <v>1</v>
      </c>
      <c r="Q3904" s="1" t="s">
        <v>562</v>
      </c>
      <c r="R3904" s="93">
        <v>246979.6</v>
      </c>
      <c r="S3904">
        <v>45691.21</v>
      </c>
      <c r="T3904">
        <v>1</v>
      </c>
      <c r="U3904" s="1" t="s">
        <v>899</v>
      </c>
      <c r="V3904" s="1"/>
      <c r="W3904">
        <v>218746.91175999999</v>
      </c>
      <c r="X3904">
        <v>0</v>
      </c>
      <c r="Y3904">
        <v>70985</v>
      </c>
    </row>
    <row r="3905" spans="1:25" ht="15" hidden="1" customHeight="1" x14ac:dyDescent="0.25">
      <c r="A3905" s="1" t="s">
        <v>39</v>
      </c>
      <c r="B3905" s="1" t="s">
        <v>84</v>
      </c>
      <c r="C3905" s="1" t="s">
        <v>209</v>
      </c>
      <c r="D3905">
        <v>8880</v>
      </c>
      <c r="E3905" s="1" t="s">
        <v>243</v>
      </c>
      <c r="F3905" s="1" t="s">
        <v>366</v>
      </c>
      <c r="G3905" s="1" t="s">
        <v>209</v>
      </c>
      <c r="H3905" s="1" t="s">
        <v>1404</v>
      </c>
      <c r="I3905">
        <v>2011</v>
      </c>
      <c r="J3905" s="93">
        <v>160725.97</v>
      </c>
      <c r="K3905">
        <v>12</v>
      </c>
      <c r="L3905" s="1" t="s">
        <v>433</v>
      </c>
      <c r="M3905">
        <v>0</v>
      </c>
      <c r="N3905">
        <v>0</v>
      </c>
      <c r="O3905">
        <v>1607259.7</v>
      </c>
      <c r="P3905">
        <v>1</v>
      </c>
      <c r="Q3905" s="1" t="s">
        <v>562</v>
      </c>
      <c r="R3905" s="93">
        <v>186832.45</v>
      </c>
      <c r="S3905">
        <v>34564.019999999997</v>
      </c>
      <c r="T3905">
        <v>1</v>
      </c>
      <c r="U3905" s="1" t="s">
        <v>890</v>
      </c>
      <c r="V3905" s="1"/>
      <c r="W3905">
        <v>160725.9902</v>
      </c>
      <c r="X3905">
        <v>0</v>
      </c>
      <c r="Y3905">
        <v>70987</v>
      </c>
    </row>
    <row r="3906" spans="1:25" ht="15" hidden="1" customHeight="1" x14ac:dyDescent="0.25">
      <c r="A3906" s="1" t="s">
        <v>39</v>
      </c>
      <c r="B3906" s="1" t="s">
        <v>84</v>
      </c>
      <c r="C3906" s="1" t="s">
        <v>209</v>
      </c>
      <c r="D3906">
        <v>8880</v>
      </c>
      <c r="E3906" s="1" t="s">
        <v>243</v>
      </c>
      <c r="F3906" s="1" t="s">
        <v>366</v>
      </c>
      <c r="G3906" s="1" t="s">
        <v>209</v>
      </c>
      <c r="H3906" s="1" t="s">
        <v>1404</v>
      </c>
      <c r="I3906">
        <v>2011</v>
      </c>
      <c r="J3906" s="93">
        <v>4540.6099999999997</v>
      </c>
      <c r="K3906">
        <v>12</v>
      </c>
      <c r="L3906" s="1" t="s">
        <v>433</v>
      </c>
      <c r="M3906">
        <v>0</v>
      </c>
      <c r="N3906">
        <v>0</v>
      </c>
      <c r="O3906">
        <v>45406.1</v>
      </c>
      <c r="P3906">
        <v>1</v>
      </c>
      <c r="Q3906" s="1" t="s">
        <v>562</v>
      </c>
      <c r="R3906" s="93">
        <v>4936.96</v>
      </c>
      <c r="S3906">
        <v>913.34</v>
      </c>
      <c r="T3906">
        <v>1</v>
      </c>
      <c r="U3906" s="1" t="s">
        <v>891</v>
      </c>
      <c r="V3906" s="1"/>
      <c r="W3906">
        <v>4540.5882300000003</v>
      </c>
      <c r="X3906">
        <v>0</v>
      </c>
      <c r="Y3906">
        <v>70988</v>
      </c>
    </row>
    <row r="3907" spans="1:25" ht="15" hidden="1" customHeight="1" x14ac:dyDescent="0.25">
      <c r="A3907" s="1" t="s">
        <v>39</v>
      </c>
      <c r="B3907" s="1" t="s">
        <v>84</v>
      </c>
      <c r="C3907" s="1" t="s">
        <v>209</v>
      </c>
      <c r="D3907">
        <v>8880</v>
      </c>
      <c r="E3907" s="1" t="s">
        <v>243</v>
      </c>
      <c r="F3907" s="1" t="s">
        <v>366</v>
      </c>
      <c r="G3907" s="1" t="s">
        <v>209</v>
      </c>
      <c r="H3907" s="1" t="s">
        <v>1404</v>
      </c>
      <c r="I3907">
        <v>2010</v>
      </c>
      <c r="J3907" s="93">
        <v>130096.99</v>
      </c>
      <c r="K3907">
        <v>12</v>
      </c>
      <c r="L3907" s="1" t="s">
        <v>433</v>
      </c>
      <c r="M3907">
        <v>0</v>
      </c>
      <c r="N3907">
        <v>0</v>
      </c>
      <c r="O3907">
        <v>1300969.8999999999</v>
      </c>
      <c r="P3907">
        <v>1</v>
      </c>
      <c r="Q3907" s="1" t="s">
        <v>562</v>
      </c>
      <c r="R3907" s="93">
        <v>123580.02</v>
      </c>
      <c r="S3907">
        <v>15571.07</v>
      </c>
      <c r="T3907">
        <v>1</v>
      </c>
      <c r="U3907" s="1" t="s">
        <v>887</v>
      </c>
      <c r="V3907" s="1"/>
      <c r="W3907">
        <v>130096.97477</v>
      </c>
      <c r="X3907">
        <v>0</v>
      </c>
      <c r="Y3907">
        <v>70702</v>
      </c>
    </row>
    <row r="3908" spans="1:25" ht="15" hidden="1" customHeight="1" x14ac:dyDescent="0.25">
      <c r="A3908" s="1" t="s">
        <v>39</v>
      </c>
      <c r="B3908" s="1" t="s">
        <v>84</v>
      </c>
      <c r="C3908" s="1" t="s">
        <v>209</v>
      </c>
      <c r="D3908">
        <v>8880</v>
      </c>
      <c r="E3908" s="1" t="s">
        <v>243</v>
      </c>
      <c r="F3908" s="1" t="s">
        <v>366</v>
      </c>
      <c r="G3908" s="1" t="s">
        <v>209</v>
      </c>
      <c r="H3908" s="1" t="s">
        <v>1404</v>
      </c>
      <c r="I3908">
        <v>2010</v>
      </c>
      <c r="J3908" s="93">
        <v>19701.48</v>
      </c>
      <c r="K3908">
        <v>12</v>
      </c>
      <c r="L3908" s="1" t="s">
        <v>433</v>
      </c>
      <c r="M3908">
        <v>0</v>
      </c>
      <c r="N3908">
        <v>0</v>
      </c>
      <c r="O3908">
        <v>197014.8</v>
      </c>
      <c r="P3908">
        <v>1</v>
      </c>
      <c r="Q3908" s="1" t="s">
        <v>562</v>
      </c>
      <c r="R3908" s="93">
        <v>61100.89</v>
      </c>
      <c r="S3908">
        <v>11303.66</v>
      </c>
      <c r="T3908">
        <v>1</v>
      </c>
      <c r="U3908" s="1" t="s">
        <v>892</v>
      </c>
      <c r="V3908" s="1"/>
      <c r="W3908">
        <v>19701.470590000001</v>
      </c>
      <c r="X3908">
        <v>0</v>
      </c>
      <c r="Y3908">
        <v>70978</v>
      </c>
    </row>
    <row r="3909" spans="1:25" ht="15" hidden="1" customHeight="1" x14ac:dyDescent="0.25">
      <c r="A3909" s="1" t="s">
        <v>39</v>
      </c>
      <c r="B3909" s="1" t="s">
        <v>84</v>
      </c>
      <c r="C3909" s="1" t="s">
        <v>209</v>
      </c>
      <c r="D3909">
        <v>8880</v>
      </c>
      <c r="E3909" s="1" t="s">
        <v>243</v>
      </c>
      <c r="F3909" s="1" t="s">
        <v>366</v>
      </c>
      <c r="G3909" s="1" t="s">
        <v>209</v>
      </c>
      <c r="H3909" s="1" t="s">
        <v>1404</v>
      </c>
      <c r="I3909">
        <v>2010</v>
      </c>
      <c r="J3909" s="93">
        <v>10344.290000000001</v>
      </c>
      <c r="K3909">
        <v>12</v>
      </c>
      <c r="L3909" s="1" t="s">
        <v>454</v>
      </c>
      <c r="M3909">
        <v>0</v>
      </c>
      <c r="N3909">
        <v>0</v>
      </c>
      <c r="O3909">
        <v>103442.9</v>
      </c>
      <c r="P3909">
        <v>1</v>
      </c>
      <c r="Q3909" s="1" t="s">
        <v>562</v>
      </c>
      <c r="R3909" s="93">
        <v>12879.67</v>
      </c>
      <c r="S3909">
        <v>2382.75</v>
      </c>
      <c r="T3909">
        <v>1</v>
      </c>
      <c r="U3909" s="1" t="s">
        <v>898</v>
      </c>
      <c r="V3909" s="1"/>
      <c r="W3909">
        <v>10344.28571</v>
      </c>
      <c r="X3909">
        <v>0</v>
      </c>
      <c r="Y3909">
        <v>70980</v>
      </c>
    </row>
    <row r="3910" spans="1:25" ht="15" hidden="1" customHeight="1" x14ac:dyDescent="0.25">
      <c r="A3910" s="1" t="s">
        <v>39</v>
      </c>
      <c r="B3910" s="1" t="s">
        <v>84</v>
      </c>
      <c r="C3910" s="1" t="s">
        <v>209</v>
      </c>
      <c r="D3910">
        <v>8880</v>
      </c>
      <c r="E3910" s="1" t="s">
        <v>243</v>
      </c>
      <c r="F3910" s="1" t="s">
        <v>366</v>
      </c>
      <c r="G3910" s="1" t="s">
        <v>209</v>
      </c>
      <c r="H3910" s="1" t="s">
        <v>1404</v>
      </c>
      <c r="I3910">
        <v>2010</v>
      </c>
      <c r="J3910" s="93">
        <v>17627.46</v>
      </c>
      <c r="K3910">
        <v>12</v>
      </c>
      <c r="L3910" s="1" t="s">
        <v>433</v>
      </c>
      <c r="M3910">
        <v>0</v>
      </c>
      <c r="N3910">
        <v>0</v>
      </c>
      <c r="O3910">
        <v>176274.6</v>
      </c>
      <c r="P3910">
        <v>1</v>
      </c>
      <c r="Q3910" s="1" t="s">
        <v>562</v>
      </c>
      <c r="R3910" s="93">
        <v>15824.41</v>
      </c>
      <c r="S3910">
        <v>2927.52</v>
      </c>
      <c r="T3910">
        <v>1</v>
      </c>
      <c r="U3910" s="1" t="s">
        <v>893</v>
      </c>
      <c r="V3910" s="1"/>
      <c r="W3910">
        <v>17627.45377</v>
      </c>
      <c r="X3910">
        <v>0</v>
      </c>
      <c r="Y3910">
        <v>70981</v>
      </c>
    </row>
    <row r="3911" spans="1:25" ht="15" hidden="1" customHeight="1" x14ac:dyDescent="0.25">
      <c r="A3911" s="1" t="s">
        <v>39</v>
      </c>
      <c r="B3911" s="1" t="s">
        <v>84</v>
      </c>
      <c r="C3911" s="1" t="s">
        <v>209</v>
      </c>
      <c r="D3911">
        <v>8880</v>
      </c>
      <c r="E3911" s="1" t="s">
        <v>243</v>
      </c>
      <c r="F3911" s="1" t="s">
        <v>366</v>
      </c>
      <c r="G3911" s="1" t="s">
        <v>209</v>
      </c>
      <c r="H3911" s="1" t="s">
        <v>1404</v>
      </c>
      <c r="I3911">
        <v>2010</v>
      </c>
      <c r="J3911" s="93">
        <v>547.44000000000005</v>
      </c>
      <c r="K3911">
        <v>12</v>
      </c>
      <c r="L3911" s="1" t="s">
        <v>433</v>
      </c>
      <c r="M3911">
        <v>0</v>
      </c>
      <c r="N3911">
        <v>0</v>
      </c>
      <c r="O3911">
        <v>5474.4</v>
      </c>
      <c r="P3911">
        <v>1</v>
      </c>
      <c r="Q3911" s="1" t="s">
        <v>562</v>
      </c>
      <c r="R3911" s="93">
        <v>506.19</v>
      </c>
      <c r="S3911">
        <v>93.65</v>
      </c>
      <c r="T3911">
        <v>1</v>
      </c>
      <c r="U3911" s="1" t="s">
        <v>894</v>
      </c>
      <c r="V3911" s="1"/>
      <c r="W3911">
        <v>547.44115999999997</v>
      </c>
      <c r="X3911">
        <v>0</v>
      </c>
      <c r="Y3911">
        <v>70983</v>
      </c>
    </row>
    <row r="3912" spans="1:25" ht="15" hidden="1" customHeight="1" x14ac:dyDescent="0.25">
      <c r="A3912" s="1" t="s">
        <v>39</v>
      </c>
      <c r="B3912" s="1" t="s">
        <v>84</v>
      </c>
      <c r="C3912" s="1" t="s">
        <v>209</v>
      </c>
      <c r="D3912">
        <v>8880</v>
      </c>
      <c r="E3912" s="1" t="s">
        <v>243</v>
      </c>
      <c r="F3912" s="1" t="s">
        <v>366</v>
      </c>
      <c r="G3912" s="1" t="s">
        <v>209</v>
      </c>
      <c r="H3912" s="1" t="s">
        <v>1404</v>
      </c>
      <c r="I3912">
        <v>2010</v>
      </c>
      <c r="J3912" s="93">
        <v>206137.76</v>
      </c>
      <c r="K3912">
        <v>12</v>
      </c>
      <c r="L3912" s="1" t="s">
        <v>433</v>
      </c>
      <c r="M3912">
        <v>0</v>
      </c>
      <c r="N3912">
        <v>0</v>
      </c>
      <c r="O3912">
        <v>2061377.6</v>
      </c>
      <c r="P3912">
        <v>1</v>
      </c>
      <c r="Q3912" s="1" t="s">
        <v>562</v>
      </c>
      <c r="R3912" s="93">
        <v>276928.15000000002</v>
      </c>
      <c r="S3912">
        <v>51231.71</v>
      </c>
      <c r="T3912">
        <v>1</v>
      </c>
      <c r="U3912" s="1" t="s">
        <v>896</v>
      </c>
      <c r="V3912" s="1"/>
      <c r="W3912">
        <v>206137.75211</v>
      </c>
      <c r="X3912">
        <v>0</v>
      </c>
      <c r="Y3912">
        <v>70986</v>
      </c>
    </row>
    <row r="3913" spans="1:25" ht="15" hidden="1" customHeight="1" x14ac:dyDescent="0.25">
      <c r="A3913" s="1" t="s">
        <v>39</v>
      </c>
      <c r="B3913" s="1" t="s">
        <v>84</v>
      </c>
      <c r="C3913" s="1" t="s">
        <v>209</v>
      </c>
      <c r="D3913">
        <v>8880</v>
      </c>
      <c r="E3913" s="1" t="s">
        <v>243</v>
      </c>
      <c r="F3913" s="1" t="s">
        <v>366</v>
      </c>
      <c r="G3913" s="1" t="s">
        <v>209</v>
      </c>
      <c r="H3913" s="1" t="s">
        <v>1404</v>
      </c>
      <c r="I3913">
        <v>2010</v>
      </c>
      <c r="J3913" s="93">
        <v>4851.91</v>
      </c>
      <c r="K3913">
        <v>12</v>
      </c>
      <c r="L3913" s="1" t="s">
        <v>433</v>
      </c>
      <c r="M3913">
        <v>0</v>
      </c>
      <c r="N3913">
        <v>0</v>
      </c>
      <c r="O3913">
        <v>48519.1</v>
      </c>
      <c r="P3913">
        <v>1</v>
      </c>
      <c r="Q3913" s="1" t="s">
        <v>562</v>
      </c>
      <c r="R3913" s="93">
        <v>4360.3100000000004</v>
      </c>
      <c r="S3913">
        <v>806.66</v>
      </c>
      <c r="T3913">
        <v>1</v>
      </c>
      <c r="U3913" s="1" t="s">
        <v>891</v>
      </c>
      <c r="V3913" s="1"/>
      <c r="W3913">
        <v>4851.91176</v>
      </c>
      <c r="X3913">
        <v>0</v>
      </c>
      <c r="Y3913">
        <v>70988</v>
      </c>
    </row>
    <row r="3914" spans="1:25" ht="15" hidden="1" customHeight="1" x14ac:dyDescent="0.25">
      <c r="A3914" s="1" t="s">
        <v>39</v>
      </c>
      <c r="B3914" s="1" t="s">
        <v>84</v>
      </c>
      <c r="C3914" s="1" t="s">
        <v>209</v>
      </c>
      <c r="D3914">
        <v>8880</v>
      </c>
      <c r="E3914" s="1" t="s">
        <v>243</v>
      </c>
      <c r="F3914" s="1" t="s">
        <v>366</v>
      </c>
      <c r="G3914" s="1" t="s">
        <v>209</v>
      </c>
      <c r="H3914" s="1" t="s">
        <v>1404</v>
      </c>
      <c r="I3914">
        <v>2010</v>
      </c>
      <c r="J3914" s="93">
        <v>452172.02</v>
      </c>
      <c r="K3914">
        <v>12</v>
      </c>
      <c r="L3914" s="1" t="s">
        <v>433</v>
      </c>
      <c r="M3914">
        <v>0</v>
      </c>
      <c r="N3914">
        <v>0</v>
      </c>
      <c r="O3914">
        <v>4521720.2</v>
      </c>
      <c r="P3914">
        <v>1</v>
      </c>
      <c r="Q3914" s="1" t="s">
        <v>562</v>
      </c>
      <c r="R3914" s="93">
        <v>416333.09</v>
      </c>
      <c r="S3914">
        <v>77021.61</v>
      </c>
      <c r="T3914">
        <v>1</v>
      </c>
      <c r="U3914" s="1" t="s">
        <v>888</v>
      </c>
      <c r="V3914" s="1"/>
      <c r="W3914">
        <v>452172.01681</v>
      </c>
      <c r="X3914">
        <v>0</v>
      </c>
      <c r="Y3914">
        <v>70979</v>
      </c>
    </row>
    <row r="3915" spans="1:25" ht="15" hidden="1" customHeight="1" x14ac:dyDescent="0.25">
      <c r="A3915" s="1" t="s">
        <v>39</v>
      </c>
      <c r="B3915" s="1" t="s">
        <v>84</v>
      </c>
      <c r="C3915" s="1" t="s">
        <v>209</v>
      </c>
      <c r="D3915">
        <v>8880</v>
      </c>
      <c r="E3915" s="1" t="s">
        <v>243</v>
      </c>
      <c r="F3915" s="1" t="s">
        <v>366</v>
      </c>
      <c r="G3915" s="1" t="s">
        <v>209</v>
      </c>
      <c r="H3915" s="1" t="s">
        <v>1404</v>
      </c>
      <c r="I3915">
        <v>2010</v>
      </c>
      <c r="J3915" s="93">
        <v>4460.0200000000004</v>
      </c>
      <c r="K3915">
        <v>12</v>
      </c>
      <c r="L3915" s="1" t="s">
        <v>401</v>
      </c>
      <c r="M3915">
        <v>0</v>
      </c>
      <c r="N3915">
        <v>0</v>
      </c>
      <c r="O3915">
        <v>44600.2</v>
      </c>
      <c r="P3915">
        <v>1</v>
      </c>
      <c r="Q3915" s="1" t="s">
        <v>562</v>
      </c>
      <c r="R3915" s="93">
        <v>3992.56</v>
      </c>
      <c r="S3915">
        <v>738.61</v>
      </c>
      <c r="T3915">
        <v>1</v>
      </c>
      <c r="U3915" s="1" t="s">
        <v>889</v>
      </c>
      <c r="V3915" s="1"/>
      <c r="W3915">
        <v>4460.0252099999998</v>
      </c>
      <c r="X3915">
        <v>0</v>
      </c>
      <c r="Y3915">
        <v>70982</v>
      </c>
    </row>
    <row r="3916" spans="1:25" ht="15" hidden="1" customHeight="1" x14ac:dyDescent="0.25">
      <c r="A3916" s="1" t="s">
        <v>39</v>
      </c>
      <c r="B3916" s="1" t="s">
        <v>84</v>
      </c>
      <c r="C3916" s="1" t="s">
        <v>209</v>
      </c>
      <c r="D3916">
        <v>8880</v>
      </c>
      <c r="E3916" s="1" t="s">
        <v>243</v>
      </c>
      <c r="F3916" s="1" t="s">
        <v>366</v>
      </c>
      <c r="G3916" s="1" t="s">
        <v>209</v>
      </c>
      <c r="H3916" s="1" t="s">
        <v>1404</v>
      </c>
      <c r="I3916">
        <v>2010</v>
      </c>
      <c r="J3916" s="93">
        <v>10598.73</v>
      </c>
      <c r="K3916">
        <v>12</v>
      </c>
      <c r="L3916" s="1" t="s">
        <v>433</v>
      </c>
      <c r="M3916">
        <v>0</v>
      </c>
      <c r="N3916">
        <v>0</v>
      </c>
      <c r="O3916">
        <v>105987.3</v>
      </c>
      <c r="P3916">
        <v>1</v>
      </c>
      <c r="Q3916" s="1" t="s">
        <v>562</v>
      </c>
      <c r="R3916" s="93">
        <v>10021.06</v>
      </c>
      <c r="S3916">
        <v>1853.9</v>
      </c>
      <c r="T3916">
        <v>1</v>
      </c>
      <c r="U3916" s="1" t="s">
        <v>895</v>
      </c>
      <c r="V3916" s="1"/>
      <c r="W3916">
        <v>10598.72689</v>
      </c>
      <c r="X3916">
        <v>0</v>
      </c>
      <c r="Y3916">
        <v>70984</v>
      </c>
    </row>
    <row r="3917" spans="1:25" ht="15" hidden="1" customHeight="1" x14ac:dyDescent="0.25">
      <c r="A3917" s="1" t="s">
        <v>39</v>
      </c>
      <c r="B3917" s="1" t="s">
        <v>84</v>
      </c>
      <c r="C3917" s="1" t="s">
        <v>209</v>
      </c>
      <c r="D3917">
        <v>8880</v>
      </c>
      <c r="E3917" s="1" t="s">
        <v>243</v>
      </c>
      <c r="F3917" s="1" t="s">
        <v>366</v>
      </c>
      <c r="G3917" s="1" t="s">
        <v>209</v>
      </c>
      <c r="H3917" s="1" t="s">
        <v>1404</v>
      </c>
      <c r="I3917">
        <v>2010</v>
      </c>
      <c r="J3917" s="93">
        <v>264363.45</v>
      </c>
      <c r="K3917">
        <v>12</v>
      </c>
      <c r="L3917" s="1" t="s">
        <v>500</v>
      </c>
      <c r="M3917">
        <v>0</v>
      </c>
      <c r="N3917">
        <v>0</v>
      </c>
      <c r="O3917">
        <v>2643634.5</v>
      </c>
      <c r="P3917">
        <v>1</v>
      </c>
      <c r="Q3917" s="1" t="s">
        <v>562</v>
      </c>
      <c r="R3917" s="93">
        <v>290811.59999999998</v>
      </c>
      <c r="S3917">
        <v>53800.13</v>
      </c>
      <c r="T3917">
        <v>1</v>
      </c>
      <c r="U3917" s="1" t="s">
        <v>899</v>
      </c>
      <c r="V3917" s="1"/>
      <c r="W3917">
        <v>264363.44537999999</v>
      </c>
      <c r="X3917">
        <v>0</v>
      </c>
      <c r="Y3917">
        <v>70985</v>
      </c>
    </row>
    <row r="3918" spans="1:25" ht="15" hidden="1" customHeight="1" x14ac:dyDescent="0.25">
      <c r="A3918" s="1" t="s">
        <v>39</v>
      </c>
      <c r="B3918" s="1" t="s">
        <v>84</v>
      </c>
      <c r="C3918" s="1" t="s">
        <v>209</v>
      </c>
      <c r="D3918">
        <v>8880</v>
      </c>
      <c r="E3918" s="1" t="s">
        <v>243</v>
      </c>
      <c r="F3918" s="1" t="s">
        <v>366</v>
      </c>
      <c r="G3918" s="1" t="s">
        <v>209</v>
      </c>
      <c r="H3918" s="1" t="s">
        <v>1404</v>
      </c>
      <c r="I3918">
        <v>2010</v>
      </c>
      <c r="J3918" s="93">
        <v>163841.54</v>
      </c>
      <c r="K3918">
        <v>13</v>
      </c>
      <c r="L3918" s="1" t="s">
        <v>433</v>
      </c>
      <c r="M3918">
        <v>0</v>
      </c>
      <c r="N3918">
        <v>0</v>
      </c>
      <c r="O3918">
        <v>1638415.4</v>
      </c>
      <c r="P3918">
        <v>1</v>
      </c>
      <c r="Q3918" s="1" t="s">
        <v>562</v>
      </c>
      <c r="R3918" s="93">
        <v>200717.67</v>
      </c>
      <c r="S3918">
        <v>37132.769999999997</v>
      </c>
      <c r="T3918">
        <v>1</v>
      </c>
      <c r="U3918" s="1" t="s">
        <v>890</v>
      </c>
      <c r="V3918" s="1"/>
      <c r="W3918">
        <v>163841.53361000001</v>
      </c>
      <c r="X3918">
        <v>0</v>
      </c>
      <c r="Y3918">
        <v>70987</v>
      </c>
    </row>
    <row r="3919" spans="1:25" ht="15" hidden="1" customHeight="1" x14ac:dyDescent="0.25">
      <c r="A3919" s="1" t="s">
        <v>39</v>
      </c>
      <c r="B3919" s="1" t="s">
        <v>84</v>
      </c>
      <c r="C3919" s="1" t="s">
        <v>209</v>
      </c>
      <c r="D3919">
        <v>8880</v>
      </c>
      <c r="E3919" s="1" t="s">
        <v>243</v>
      </c>
      <c r="F3919" s="1" t="s">
        <v>366</v>
      </c>
      <c r="G3919" s="1" t="s">
        <v>209</v>
      </c>
      <c r="H3919" s="1" t="s">
        <v>1404</v>
      </c>
      <c r="I3919">
        <v>2009</v>
      </c>
      <c r="J3919" s="93">
        <v>157073.26999999999</v>
      </c>
      <c r="K3919">
        <v>11</v>
      </c>
      <c r="L3919" s="1" t="s">
        <v>433</v>
      </c>
      <c r="M3919">
        <v>0</v>
      </c>
      <c r="N3919">
        <v>0</v>
      </c>
      <c r="O3919">
        <v>1570732.7</v>
      </c>
      <c r="P3919">
        <v>1</v>
      </c>
      <c r="Q3919" s="1" t="s">
        <v>562</v>
      </c>
      <c r="R3919" s="93">
        <v>194207.38</v>
      </c>
      <c r="S3919">
        <v>24470.13</v>
      </c>
      <c r="T3919">
        <v>1</v>
      </c>
      <c r="U3919" s="1" t="s">
        <v>887</v>
      </c>
      <c r="V3919" s="1"/>
      <c r="W3919">
        <v>157073.27187999999</v>
      </c>
      <c r="X3919">
        <v>0</v>
      </c>
      <c r="Y3919">
        <v>70702</v>
      </c>
    </row>
    <row r="3920" spans="1:25" ht="15" hidden="1" customHeight="1" x14ac:dyDescent="0.25">
      <c r="A3920" s="1" t="s">
        <v>39</v>
      </c>
      <c r="B3920" s="1" t="s">
        <v>84</v>
      </c>
      <c r="C3920" s="1" t="s">
        <v>209</v>
      </c>
      <c r="D3920">
        <v>8880</v>
      </c>
      <c r="E3920" s="1" t="s">
        <v>243</v>
      </c>
      <c r="F3920" s="1" t="s">
        <v>366</v>
      </c>
      <c r="G3920" s="1" t="s">
        <v>209</v>
      </c>
      <c r="H3920" s="1" t="s">
        <v>1404</v>
      </c>
      <c r="I3920">
        <v>2009</v>
      </c>
      <c r="J3920" s="93">
        <v>16529.03</v>
      </c>
      <c r="K3920">
        <v>10</v>
      </c>
      <c r="L3920" s="1" t="s">
        <v>433</v>
      </c>
      <c r="M3920">
        <v>0</v>
      </c>
      <c r="N3920">
        <v>0</v>
      </c>
      <c r="O3920">
        <v>165290.29999999999</v>
      </c>
      <c r="P3920">
        <v>1</v>
      </c>
      <c r="Q3920" s="1" t="s">
        <v>562</v>
      </c>
      <c r="R3920" s="93">
        <v>21889.52</v>
      </c>
      <c r="S3920">
        <v>4049.56</v>
      </c>
      <c r="T3920">
        <v>1</v>
      </c>
      <c r="U3920" s="1" t="s">
        <v>892</v>
      </c>
      <c r="V3920" s="1"/>
      <c r="W3920">
        <v>16529.03225</v>
      </c>
      <c r="X3920">
        <v>0</v>
      </c>
      <c r="Y3920">
        <v>70978</v>
      </c>
    </row>
    <row r="3921" spans="1:25" ht="15" hidden="1" customHeight="1" x14ac:dyDescent="0.25">
      <c r="A3921" s="1" t="s">
        <v>39</v>
      </c>
      <c r="B3921" s="1" t="s">
        <v>84</v>
      </c>
      <c r="C3921" s="1" t="s">
        <v>209</v>
      </c>
      <c r="D3921">
        <v>8880</v>
      </c>
      <c r="E3921" s="1" t="s">
        <v>243</v>
      </c>
      <c r="F3921" s="1" t="s">
        <v>366</v>
      </c>
      <c r="G3921" s="1" t="s">
        <v>209</v>
      </c>
      <c r="H3921" s="1" t="s">
        <v>1404</v>
      </c>
      <c r="I3921">
        <v>2009</v>
      </c>
      <c r="J3921" s="93">
        <v>11486.09</v>
      </c>
      <c r="K3921">
        <v>11</v>
      </c>
      <c r="L3921" s="1" t="s">
        <v>454</v>
      </c>
      <c r="M3921">
        <v>0</v>
      </c>
      <c r="N3921">
        <v>0</v>
      </c>
      <c r="O3921">
        <v>114860.9</v>
      </c>
      <c r="P3921">
        <v>1</v>
      </c>
      <c r="Q3921" s="1" t="s">
        <v>562</v>
      </c>
      <c r="R3921" s="93">
        <v>16049.87</v>
      </c>
      <c r="S3921">
        <v>2969.21</v>
      </c>
      <c r="T3921">
        <v>1</v>
      </c>
      <c r="U3921" s="1" t="s">
        <v>898</v>
      </c>
      <c r="V3921" s="1"/>
      <c r="W3921">
        <v>11486.1014</v>
      </c>
      <c r="X3921">
        <v>0</v>
      </c>
      <c r="Y3921">
        <v>70980</v>
      </c>
    </row>
    <row r="3922" spans="1:25" ht="15" hidden="1" customHeight="1" x14ac:dyDescent="0.25">
      <c r="A3922" s="1" t="s">
        <v>39</v>
      </c>
      <c r="B3922" s="1" t="s">
        <v>84</v>
      </c>
      <c r="C3922" s="1" t="s">
        <v>209</v>
      </c>
      <c r="D3922">
        <v>8880</v>
      </c>
      <c r="E3922" s="1" t="s">
        <v>243</v>
      </c>
      <c r="F3922" s="1" t="s">
        <v>366</v>
      </c>
      <c r="G3922" s="1" t="s">
        <v>209</v>
      </c>
      <c r="H3922" s="1" t="s">
        <v>1404</v>
      </c>
      <c r="I3922">
        <v>2009</v>
      </c>
      <c r="J3922" s="93">
        <v>1352.26</v>
      </c>
      <c r="K3922">
        <v>10</v>
      </c>
      <c r="L3922" s="1" t="s">
        <v>433</v>
      </c>
      <c r="M3922">
        <v>0</v>
      </c>
      <c r="N3922">
        <v>0</v>
      </c>
      <c r="O3922">
        <v>13522.6</v>
      </c>
      <c r="P3922">
        <v>1</v>
      </c>
      <c r="Q3922" s="1" t="s">
        <v>562</v>
      </c>
      <c r="R3922" s="93">
        <v>1578.49</v>
      </c>
      <c r="S3922">
        <v>292.02999999999997</v>
      </c>
      <c r="T3922">
        <v>1</v>
      </c>
      <c r="U3922" s="1" t="s">
        <v>894</v>
      </c>
      <c r="V3922" s="1"/>
      <c r="W3922">
        <v>1352.2580599999999</v>
      </c>
      <c r="X3922">
        <v>0</v>
      </c>
      <c r="Y3922">
        <v>70983</v>
      </c>
    </row>
    <row r="3923" spans="1:25" ht="15" hidden="1" customHeight="1" x14ac:dyDescent="0.25">
      <c r="A3923" s="1" t="s">
        <v>39</v>
      </c>
      <c r="B3923" s="1" t="s">
        <v>84</v>
      </c>
      <c r="C3923" s="1" t="s">
        <v>209</v>
      </c>
      <c r="D3923">
        <v>8880</v>
      </c>
      <c r="E3923" s="1" t="s">
        <v>243</v>
      </c>
      <c r="F3923" s="1" t="s">
        <v>366</v>
      </c>
      <c r="G3923" s="1" t="s">
        <v>209</v>
      </c>
      <c r="H3923" s="1" t="s">
        <v>1404</v>
      </c>
      <c r="I3923">
        <v>2009</v>
      </c>
      <c r="J3923" s="93">
        <v>234805.53</v>
      </c>
      <c r="K3923">
        <v>11</v>
      </c>
      <c r="L3923" s="1" t="s">
        <v>500</v>
      </c>
      <c r="M3923">
        <v>0</v>
      </c>
      <c r="N3923">
        <v>0</v>
      </c>
      <c r="O3923">
        <v>2348055.2999999998</v>
      </c>
      <c r="P3923">
        <v>1</v>
      </c>
      <c r="Q3923" s="1" t="s">
        <v>562</v>
      </c>
      <c r="R3923" s="93">
        <v>309396.53999999998</v>
      </c>
      <c r="S3923">
        <v>57238.35</v>
      </c>
      <c r="T3923">
        <v>1</v>
      </c>
      <c r="U3923" s="1" t="s">
        <v>899</v>
      </c>
      <c r="V3923" s="1"/>
      <c r="W3923">
        <v>234805.52997</v>
      </c>
      <c r="X3923">
        <v>0</v>
      </c>
      <c r="Y3923">
        <v>70985</v>
      </c>
    </row>
    <row r="3924" spans="1:25" ht="15" hidden="1" customHeight="1" x14ac:dyDescent="0.25">
      <c r="A3924" s="1" t="s">
        <v>39</v>
      </c>
      <c r="B3924" s="1" t="s">
        <v>84</v>
      </c>
      <c r="C3924" s="1" t="s">
        <v>209</v>
      </c>
      <c r="D3924">
        <v>8880</v>
      </c>
      <c r="E3924" s="1" t="s">
        <v>243</v>
      </c>
      <c r="F3924" s="1" t="s">
        <v>366</v>
      </c>
      <c r="G3924" s="1" t="s">
        <v>209</v>
      </c>
      <c r="H3924" s="1" t="s">
        <v>1404</v>
      </c>
      <c r="I3924">
        <v>2009</v>
      </c>
      <c r="J3924" s="93">
        <v>223473.75</v>
      </c>
      <c r="K3924">
        <v>11</v>
      </c>
      <c r="L3924" s="1" t="s">
        <v>433</v>
      </c>
      <c r="M3924">
        <v>0</v>
      </c>
      <c r="N3924">
        <v>0</v>
      </c>
      <c r="O3924">
        <v>2234737.5</v>
      </c>
      <c r="P3924">
        <v>1</v>
      </c>
      <c r="Q3924" s="1" t="s">
        <v>562</v>
      </c>
      <c r="R3924" s="93">
        <v>315659.94</v>
      </c>
      <c r="S3924">
        <v>58397.08</v>
      </c>
      <c r="T3924">
        <v>1</v>
      </c>
      <c r="U3924" s="1" t="s">
        <v>896</v>
      </c>
      <c r="V3924" s="1"/>
      <c r="W3924">
        <v>223473.73271000001</v>
      </c>
      <c r="X3924">
        <v>0</v>
      </c>
      <c r="Y3924">
        <v>70986</v>
      </c>
    </row>
    <row r="3925" spans="1:25" ht="15" hidden="1" customHeight="1" x14ac:dyDescent="0.25">
      <c r="A3925" s="1" t="s">
        <v>39</v>
      </c>
      <c r="B3925" s="1" t="s">
        <v>84</v>
      </c>
      <c r="C3925" s="1" t="s">
        <v>209</v>
      </c>
      <c r="D3925">
        <v>8880</v>
      </c>
      <c r="E3925" s="1" t="s">
        <v>243</v>
      </c>
      <c r="F3925" s="1" t="s">
        <v>366</v>
      </c>
      <c r="G3925" s="1" t="s">
        <v>209</v>
      </c>
      <c r="H3925" s="1" t="s">
        <v>1404</v>
      </c>
      <c r="I3925">
        <v>2009</v>
      </c>
      <c r="J3925" s="93">
        <v>3403.61</v>
      </c>
      <c r="K3925">
        <v>11</v>
      </c>
      <c r="L3925" s="1" t="s">
        <v>433</v>
      </c>
      <c r="M3925">
        <v>0</v>
      </c>
      <c r="N3925">
        <v>0</v>
      </c>
      <c r="O3925">
        <v>34036.1</v>
      </c>
      <c r="P3925">
        <v>1</v>
      </c>
      <c r="Q3925" s="1" t="s">
        <v>562</v>
      </c>
      <c r="R3925" s="93">
        <v>3569.61</v>
      </c>
      <c r="S3925">
        <v>660.39</v>
      </c>
      <c r="T3925">
        <v>1</v>
      </c>
      <c r="U3925" s="1" t="s">
        <v>891</v>
      </c>
      <c r="V3925" s="1"/>
      <c r="W3925">
        <v>3403.6129000000001</v>
      </c>
      <c r="X3925">
        <v>0</v>
      </c>
      <c r="Y3925">
        <v>70988</v>
      </c>
    </row>
    <row r="3926" spans="1:25" ht="15" hidden="1" customHeight="1" x14ac:dyDescent="0.25">
      <c r="A3926" s="1" t="s">
        <v>39</v>
      </c>
      <c r="B3926" s="1" t="s">
        <v>84</v>
      </c>
      <c r="C3926" s="1" t="s">
        <v>209</v>
      </c>
      <c r="D3926">
        <v>8880</v>
      </c>
      <c r="E3926" s="1" t="s">
        <v>243</v>
      </c>
      <c r="F3926" s="1" t="s">
        <v>366</v>
      </c>
      <c r="G3926" s="1" t="s">
        <v>209</v>
      </c>
      <c r="H3926" s="1" t="s">
        <v>1404</v>
      </c>
      <c r="I3926">
        <v>2009</v>
      </c>
      <c r="J3926" s="93">
        <v>326054.36</v>
      </c>
      <c r="K3926">
        <v>11</v>
      </c>
      <c r="L3926" s="1" t="s">
        <v>433</v>
      </c>
      <c r="M3926">
        <v>0</v>
      </c>
      <c r="N3926">
        <v>0</v>
      </c>
      <c r="O3926">
        <v>3260543.6</v>
      </c>
      <c r="P3926">
        <v>1</v>
      </c>
      <c r="Q3926" s="1" t="s">
        <v>562</v>
      </c>
      <c r="R3926" s="93">
        <v>359070.38</v>
      </c>
      <c r="S3926">
        <v>66428.02</v>
      </c>
      <c r="T3926">
        <v>1</v>
      </c>
      <c r="U3926" s="1" t="s">
        <v>888</v>
      </c>
      <c r="V3926" s="1"/>
      <c r="W3926">
        <v>326054.37790000002</v>
      </c>
      <c r="X3926">
        <v>0</v>
      </c>
      <c r="Y3926">
        <v>70979</v>
      </c>
    </row>
    <row r="3927" spans="1:25" ht="15" hidden="1" customHeight="1" x14ac:dyDescent="0.25">
      <c r="A3927" s="1" t="s">
        <v>39</v>
      </c>
      <c r="B3927" s="1" t="s">
        <v>84</v>
      </c>
      <c r="C3927" s="1" t="s">
        <v>209</v>
      </c>
      <c r="D3927">
        <v>8880</v>
      </c>
      <c r="E3927" s="1" t="s">
        <v>243</v>
      </c>
      <c r="F3927" s="1" t="s">
        <v>366</v>
      </c>
      <c r="G3927" s="1" t="s">
        <v>209</v>
      </c>
      <c r="H3927" s="1" t="s">
        <v>1404</v>
      </c>
      <c r="I3927">
        <v>2009</v>
      </c>
      <c r="J3927" s="93">
        <v>11164.98</v>
      </c>
      <c r="K3927">
        <v>11</v>
      </c>
      <c r="L3927" s="1" t="s">
        <v>433</v>
      </c>
      <c r="M3927">
        <v>0</v>
      </c>
      <c r="N3927">
        <v>0</v>
      </c>
      <c r="O3927">
        <v>111649.8</v>
      </c>
      <c r="P3927">
        <v>1</v>
      </c>
      <c r="Q3927" s="1" t="s">
        <v>562</v>
      </c>
      <c r="R3927" s="93">
        <v>12233.52</v>
      </c>
      <c r="S3927">
        <v>2263.19</v>
      </c>
      <c r="T3927">
        <v>1</v>
      </c>
      <c r="U3927" s="1" t="s">
        <v>893</v>
      </c>
      <c r="V3927" s="1"/>
      <c r="W3927">
        <v>11164.97695</v>
      </c>
      <c r="X3927">
        <v>0</v>
      </c>
      <c r="Y3927">
        <v>70981</v>
      </c>
    </row>
    <row r="3928" spans="1:25" ht="15" hidden="1" customHeight="1" x14ac:dyDescent="0.25">
      <c r="A3928" s="1" t="s">
        <v>39</v>
      </c>
      <c r="B3928" s="1" t="s">
        <v>84</v>
      </c>
      <c r="C3928" s="1" t="s">
        <v>209</v>
      </c>
      <c r="D3928">
        <v>8880</v>
      </c>
      <c r="E3928" s="1" t="s">
        <v>243</v>
      </c>
      <c r="F3928" s="1" t="s">
        <v>366</v>
      </c>
      <c r="G3928" s="1" t="s">
        <v>209</v>
      </c>
      <c r="H3928" s="1" t="s">
        <v>1404</v>
      </c>
      <c r="I3928">
        <v>2009</v>
      </c>
      <c r="J3928" s="93">
        <v>6219.64</v>
      </c>
      <c r="K3928">
        <v>10</v>
      </c>
      <c r="L3928" s="1" t="s">
        <v>401</v>
      </c>
      <c r="M3928">
        <v>0</v>
      </c>
      <c r="N3928">
        <v>0</v>
      </c>
      <c r="O3928">
        <v>62196.4</v>
      </c>
      <c r="P3928">
        <v>1</v>
      </c>
      <c r="Q3928" s="1" t="s">
        <v>562</v>
      </c>
      <c r="R3928" s="93">
        <v>6469.79</v>
      </c>
      <c r="S3928">
        <v>1196.9100000000001</v>
      </c>
      <c r="T3928">
        <v>1</v>
      </c>
      <c r="U3928" s="1" t="s">
        <v>889</v>
      </c>
      <c r="V3928" s="1"/>
      <c r="W3928">
        <v>6219.6313300000002</v>
      </c>
      <c r="X3928">
        <v>0</v>
      </c>
      <c r="Y3928">
        <v>70982</v>
      </c>
    </row>
    <row r="3929" spans="1:25" ht="15" hidden="1" customHeight="1" x14ac:dyDescent="0.25">
      <c r="A3929" s="1" t="s">
        <v>39</v>
      </c>
      <c r="B3929" s="1" t="s">
        <v>84</v>
      </c>
      <c r="C3929" s="1" t="s">
        <v>209</v>
      </c>
      <c r="D3929">
        <v>8880</v>
      </c>
      <c r="E3929" s="1" t="s">
        <v>243</v>
      </c>
      <c r="F3929" s="1" t="s">
        <v>366</v>
      </c>
      <c r="G3929" s="1" t="s">
        <v>209</v>
      </c>
      <c r="H3929" s="1" t="s">
        <v>1404</v>
      </c>
      <c r="I3929">
        <v>2009</v>
      </c>
      <c r="J3929" s="93">
        <v>6843.64</v>
      </c>
      <c r="K3929">
        <v>11</v>
      </c>
      <c r="L3929" s="1" t="s">
        <v>433</v>
      </c>
      <c r="M3929">
        <v>0</v>
      </c>
      <c r="N3929">
        <v>0</v>
      </c>
      <c r="O3929">
        <v>68436.399999999994</v>
      </c>
      <c r="P3929">
        <v>1</v>
      </c>
      <c r="Q3929" s="1" t="s">
        <v>562</v>
      </c>
      <c r="R3929" s="93">
        <v>7134.74</v>
      </c>
      <c r="S3929">
        <v>1319.95</v>
      </c>
      <c r="T3929">
        <v>1</v>
      </c>
      <c r="U3929" s="1" t="s">
        <v>895</v>
      </c>
      <c r="V3929" s="1"/>
      <c r="W3929">
        <v>6843.6497900000004</v>
      </c>
      <c r="X3929">
        <v>0</v>
      </c>
      <c r="Y3929">
        <v>70984</v>
      </c>
    </row>
    <row r="3930" spans="1:25" ht="15" hidden="1" customHeight="1" x14ac:dyDescent="0.25">
      <c r="A3930" s="1" t="s">
        <v>39</v>
      </c>
      <c r="B3930" s="1" t="s">
        <v>84</v>
      </c>
      <c r="C3930" s="1" t="s">
        <v>209</v>
      </c>
      <c r="D3930">
        <v>8880</v>
      </c>
      <c r="E3930" s="1" t="s">
        <v>243</v>
      </c>
      <c r="F3930" s="1" t="s">
        <v>366</v>
      </c>
      <c r="G3930" s="1" t="s">
        <v>209</v>
      </c>
      <c r="H3930" s="1" t="s">
        <v>1404</v>
      </c>
      <c r="I3930">
        <v>2009</v>
      </c>
      <c r="J3930" s="93">
        <v>163573.26</v>
      </c>
      <c r="K3930">
        <v>11</v>
      </c>
      <c r="L3930" s="1" t="s">
        <v>433</v>
      </c>
      <c r="M3930">
        <v>0</v>
      </c>
      <c r="N3930">
        <v>0</v>
      </c>
      <c r="O3930">
        <v>1635732.6</v>
      </c>
      <c r="P3930">
        <v>1</v>
      </c>
      <c r="Q3930" s="1" t="s">
        <v>562</v>
      </c>
      <c r="R3930" s="93">
        <v>227414.94</v>
      </c>
      <c r="S3930">
        <v>42071.78</v>
      </c>
      <c r="T3930">
        <v>1</v>
      </c>
      <c r="U3930" s="1" t="s">
        <v>890</v>
      </c>
      <c r="V3930" s="1"/>
      <c r="W3930">
        <v>163573.27189</v>
      </c>
      <c r="X3930">
        <v>0</v>
      </c>
      <c r="Y3930">
        <v>70987</v>
      </c>
    </row>
    <row r="3931" spans="1:25" ht="15" hidden="1" customHeight="1" x14ac:dyDescent="0.25">
      <c r="A3931" s="1" t="s">
        <v>39</v>
      </c>
      <c r="B3931" s="1" t="s">
        <v>84</v>
      </c>
      <c r="C3931" s="1" t="s">
        <v>209</v>
      </c>
      <c r="D3931">
        <v>8880</v>
      </c>
      <c r="E3931" s="1" t="s">
        <v>243</v>
      </c>
      <c r="F3931" s="1" t="s">
        <v>366</v>
      </c>
      <c r="G3931" s="1" t="s">
        <v>209</v>
      </c>
      <c r="H3931" s="1" t="s">
        <v>1404</v>
      </c>
      <c r="I3931">
        <v>2008</v>
      </c>
      <c r="J3931" s="93">
        <v>119350.56</v>
      </c>
      <c r="K3931">
        <v>12</v>
      </c>
      <c r="L3931" s="1" t="s">
        <v>433</v>
      </c>
      <c r="M3931">
        <v>0</v>
      </c>
      <c r="N3931">
        <v>0</v>
      </c>
      <c r="O3931">
        <v>1193505.6000000001</v>
      </c>
      <c r="P3931">
        <v>1</v>
      </c>
      <c r="Q3931" s="1" t="s">
        <v>562</v>
      </c>
      <c r="R3931" s="93">
        <v>135861.69</v>
      </c>
      <c r="S3931">
        <v>17118.57</v>
      </c>
      <c r="T3931">
        <v>1</v>
      </c>
      <c r="U3931" s="1" t="s">
        <v>887</v>
      </c>
      <c r="V3931" s="1"/>
      <c r="W3931">
        <v>119350.53762</v>
      </c>
      <c r="X3931">
        <v>0</v>
      </c>
      <c r="Y3931">
        <v>70702</v>
      </c>
    </row>
    <row r="3932" spans="1:25" ht="15" hidden="1" customHeight="1" x14ac:dyDescent="0.25">
      <c r="A3932" s="1" t="s">
        <v>39</v>
      </c>
      <c r="B3932" s="1" t="s">
        <v>84</v>
      </c>
      <c r="C3932" s="1" t="s">
        <v>209</v>
      </c>
      <c r="D3932">
        <v>8880</v>
      </c>
      <c r="E3932" s="1" t="s">
        <v>243</v>
      </c>
      <c r="F3932" s="1" t="s">
        <v>366</v>
      </c>
      <c r="G3932" s="1" t="s">
        <v>209</v>
      </c>
      <c r="H3932" s="1" t="s">
        <v>1404</v>
      </c>
      <c r="I3932">
        <v>2008</v>
      </c>
      <c r="J3932" s="93">
        <v>9906.27</v>
      </c>
      <c r="K3932">
        <v>12</v>
      </c>
      <c r="L3932" s="1" t="s">
        <v>454</v>
      </c>
      <c r="M3932">
        <v>0</v>
      </c>
      <c r="N3932">
        <v>0</v>
      </c>
      <c r="O3932">
        <v>99062.7</v>
      </c>
      <c r="P3932">
        <v>1</v>
      </c>
      <c r="Q3932" s="1" t="s">
        <v>562</v>
      </c>
      <c r="R3932" s="93">
        <v>11778.38</v>
      </c>
      <c r="S3932">
        <v>2179.0100000000002</v>
      </c>
      <c r="T3932">
        <v>1</v>
      </c>
      <c r="U3932" s="1" t="s">
        <v>898</v>
      </c>
      <c r="V3932" s="1"/>
      <c r="W3932">
        <v>9906.2795900000001</v>
      </c>
      <c r="X3932">
        <v>0</v>
      </c>
      <c r="Y3932">
        <v>70980</v>
      </c>
    </row>
    <row r="3933" spans="1:25" ht="15" hidden="1" customHeight="1" x14ac:dyDescent="0.25">
      <c r="A3933" s="1" t="s">
        <v>39</v>
      </c>
      <c r="B3933" s="1" t="s">
        <v>84</v>
      </c>
      <c r="C3933" s="1" t="s">
        <v>209</v>
      </c>
      <c r="D3933">
        <v>8880</v>
      </c>
      <c r="E3933" s="1" t="s">
        <v>243</v>
      </c>
      <c r="F3933" s="1" t="s">
        <v>366</v>
      </c>
      <c r="G3933" s="1" t="s">
        <v>209</v>
      </c>
      <c r="H3933" s="1" t="s">
        <v>1404</v>
      </c>
      <c r="I3933">
        <v>2008</v>
      </c>
      <c r="J3933" s="93">
        <v>4720.62</v>
      </c>
      <c r="K3933">
        <v>12</v>
      </c>
      <c r="L3933" s="1" t="s">
        <v>401</v>
      </c>
      <c r="M3933">
        <v>0</v>
      </c>
      <c r="N3933">
        <v>0</v>
      </c>
      <c r="O3933">
        <v>47206.2</v>
      </c>
      <c r="P3933">
        <v>1</v>
      </c>
      <c r="Q3933" s="1" t="s">
        <v>562</v>
      </c>
      <c r="R3933" s="93">
        <v>5403.14</v>
      </c>
      <c r="S3933">
        <v>999.58</v>
      </c>
      <c r="T3933">
        <v>1</v>
      </c>
      <c r="U3933" s="1" t="s">
        <v>889</v>
      </c>
      <c r="V3933" s="1"/>
      <c r="W3933">
        <v>4720.6258099999995</v>
      </c>
      <c r="X3933">
        <v>0</v>
      </c>
      <c r="Y3933">
        <v>70982</v>
      </c>
    </row>
    <row r="3934" spans="1:25" ht="15" hidden="1" customHeight="1" x14ac:dyDescent="0.25">
      <c r="A3934" s="1" t="s">
        <v>39</v>
      </c>
      <c r="B3934" s="1" t="s">
        <v>84</v>
      </c>
      <c r="C3934" s="1" t="s">
        <v>209</v>
      </c>
      <c r="D3934">
        <v>8880</v>
      </c>
      <c r="E3934" s="1" t="s">
        <v>243</v>
      </c>
      <c r="F3934" s="1" t="s">
        <v>366</v>
      </c>
      <c r="G3934" s="1" t="s">
        <v>209</v>
      </c>
      <c r="H3934" s="1" t="s">
        <v>1404</v>
      </c>
      <c r="I3934">
        <v>2008</v>
      </c>
      <c r="J3934" s="93">
        <v>4926.47</v>
      </c>
      <c r="K3934">
        <v>12</v>
      </c>
      <c r="L3934" s="1" t="s">
        <v>433</v>
      </c>
      <c r="M3934">
        <v>0</v>
      </c>
      <c r="N3934">
        <v>0</v>
      </c>
      <c r="O3934">
        <v>49264.7</v>
      </c>
      <c r="P3934">
        <v>1</v>
      </c>
      <c r="Q3934" s="1" t="s">
        <v>562</v>
      </c>
      <c r="R3934" s="93">
        <v>5707.68</v>
      </c>
      <c r="S3934">
        <v>1055.92</v>
      </c>
      <c r="T3934">
        <v>1</v>
      </c>
      <c r="U3934" s="1" t="s">
        <v>894</v>
      </c>
      <c r="V3934" s="1"/>
      <c r="W3934">
        <v>4926.4752699999999</v>
      </c>
      <c r="X3934">
        <v>0</v>
      </c>
      <c r="Y3934">
        <v>70983</v>
      </c>
    </row>
    <row r="3935" spans="1:25" ht="15" hidden="1" customHeight="1" x14ac:dyDescent="0.25">
      <c r="A3935" s="1" t="s">
        <v>39</v>
      </c>
      <c r="B3935" s="1" t="s">
        <v>84</v>
      </c>
      <c r="C3935" s="1" t="s">
        <v>209</v>
      </c>
      <c r="D3935">
        <v>8880</v>
      </c>
      <c r="E3935" s="1" t="s">
        <v>243</v>
      </c>
      <c r="F3935" s="1" t="s">
        <v>366</v>
      </c>
      <c r="G3935" s="1" t="s">
        <v>209</v>
      </c>
      <c r="H3935" s="1" t="s">
        <v>1404</v>
      </c>
      <c r="I3935">
        <v>2008</v>
      </c>
      <c r="J3935" s="93">
        <v>229605.62</v>
      </c>
      <c r="K3935">
        <v>12</v>
      </c>
      <c r="L3935" s="1" t="s">
        <v>500</v>
      </c>
      <c r="M3935">
        <v>0</v>
      </c>
      <c r="N3935">
        <v>0</v>
      </c>
      <c r="O3935">
        <v>2296056.2000000002</v>
      </c>
      <c r="P3935">
        <v>1</v>
      </c>
      <c r="Q3935" s="1" t="s">
        <v>562</v>
      </c>
      <c r="R3935" s="93">
        <v>275518.52</v>
      </c>
      <c r="S3935">
        <v>50970.93</v>
      </c>
      <c r="T3935">
        <v>1</v>
      </c>
      <c r="U3935" s="1" t="s">
        <v>899</v>
      </c>
      <c r="V3935" s="1"/>
      <c r="W3935">
        <v>229605.61290000001</v>
      </c>
      <c r="X3935">
        <v>0</v>
      </c>
      <c r="Y3935">
        <v>70985</v>
      </c>
    </row>
    <row r="3936" spans="1:25" ht="15" hidden="1" customHeight="1" x14ac:dyDescent="0.25">
      <c r="A3936" s="1" t="s">
        <v>39</v>
      </c>
      <c r="B3936" s="1" t="s">
        <v>84</v>
      </c>
      <c r="C3936" s="1" t="s">
        <v>209</v>
      </c>
      <c r="D3936">
        <v>8880</v>
      </c>
      <c r="E3936" s="1" t="s">
        <v>243</v>
      </c>
      <c r="F3936" s="1" t="s">
        <v>366</v>
      </c>
      <c r="G3936" s="1" t="s">
        <v>209</v>
      </c>
      <c r="H3936" s="1" t="s">
        <v>1404</v>
      </c>
      <c r="I3936">
        <v>2008</v>
      </c>
      <c r="J3936" s="93">
        <v>3551.33</v>
      </c>
      <c r="K3936">
        <v>12</v>
      </c>
      <c r="L3936" s="1" t="s">
        <v>433</v>
      </c>
      <c r="M3936">
        <v>0</v>
      </c>
      <c r="N3936">
        <v>0</v>
      </c>
      <c r="O3936">
        <v>35513.300000000003</v>
      </c>
      <c r="P3936">
        <v>1</v>
      </c>
      <c r="Q3936" s="1" t="s">
        <v>562</v>
      </c>
      <c r="R3936" s="93">
        <v>4161.84</v>
      </c>
      <c r="S3936">
        <v>769.92</v>
      </c>
      <c r="T3936">
        <v>1</v>
      </c>
      <c r="U3936" s="1" t="s">
        <v>891</v>
      </c>
      <c r="V3936" s="1"/>
      <c r="W3936">
        <v>3551.32042</v>
      </c>
      <c r="X3936">
        <v>0</v>
      </c>
      <c r="Y3936">
        <v>70988</v>
      </c>
    </row>
    <row r="3937" spans="1:25" ht="15" hidden="1" customHeight="1" x14ac:dyDescent="0.25">
      <c r="A3937" s="1" t="s">
        <v>39</v>
      </c>
      <c r="B3937" s="1" t="s">
        <v>84</v>
      </c>
      <c r="C3937" s="1" t="s">
        <v>209</v>
      </c>
      <c r="D3937">
        <v>8880</v>
      </c>
      <c r="E3937" s="1" t="s">
        <v>243</v>
      </c>
      <c r="F3937" s="1" t="s">
        <v>366</v>
      </c>
      <c r="G3937" s="1" t="s">
        <v>209</v>
      </c>
      <c r="H3937" s="1" t="s">
        <v>1404</v>
      </c>
      <c r="I3937">
        <v>2008</v>
      </c>
      <c r="J3937" s="93">
        <v>19604.3</v>
      </c>
      <c r="K3937">
        <v>12</v>
      </c>
      <c r="L3937" s="1" t="s">
        <v>433</v>
      </c>
      <c r="M3937">
        <v>0</v>
      </c>
      <c r="N3937">
        <v>0</v>
      </c>
      <c r="O3937">
        <v>196043</v>
      </c>
      <c r="P3937">
        <v>1</v>
      </c>
      <c r="Q3937" s="1" t="s">
        <v>562</v>
      </c>
      <c r="R3937" s="93">
        <v>24621.42</v>
      </c>
      <c r="S3937">
        <v>4554.95</v>
      </c>
      <c r="T3937">
        <v>1</v>
      </c>
      <c r="U3937" s="1" t="s">
        <v>892</v>
      </c>
      <c r="V3937" s="1"/>
      <c r="W3937">
        <v>19604.301070000001</v>
      </c>
      <c r="X3937">
        <v>0</v>
      </c>
      <c r="Y3937">
        <v>70978</v>
      </c>
    </row>
    <row r="3938" spans="1:25" ht="15" hidden="1" customHeight="1" x14ac:dyDescent="0.25">
      <c r="A3938" s="1" t="s">
        <v>39</v>
      </c>
      <c r="B3938" s="1" t="s">
        <v>84</v>
      </c>
      <c r="C3938" s="1" t="s">
        <v>209</v>
      </c>
      <c r="D3938">
        <v>8880</v>
      </c>
      <c r="E3938" s="1" t="s">
        <v>243</v>
      </c>
      <c r="F3938" s="1" t="s">
        <v>366</v>
      </c>
      <c r="G3938" s="1" t="s">
        <v>209</v>
      </c>
      <c r="H3938" s="1" t="s">
        <v>1404</v>
      </c>
      <c r="I3938">
        <v>2008</v>
      </c>
      <c r="J3938" s="93">
        <v>273190.88</v>
      </c>
      <c r="K3938">
        <v>12</v>
      </c>
      <c r="L3938" s="1" t="s">
        <v>433</v>
      </c>
      <c r="M3938">
        <v>0</v>
      </c>
      <c r="N3938">
        <v>0</v>
      </c>
      <c r="O3938">
        <v>2731908.8</v>
      </c>
      <c r="P3938">
        <v>1</v>
      </c>
      <c r="Q3938" s="1" t="s">
        <v>562</v>
      </c>
      <c r="R3938" s="93">
        <v>315650.84999999998</v>
      </c>
      <c r="S3938">
        <v>58395.4</v>
      </c>
      <c r="T3938">
        <v>1</v>
      </c>
      <c r="U3938" s="1" t="s">
        <v>888</v>
      </c>
      <c r="V3938" s="1"/>
      <c r="W3938">
        <v>273190.86021000001</v>
      </c>
      <c r="X3938">
        <v>0</v>
      </c>
      <c r="Y3938">
        <v>70979</v>
      </c>
    </row>
    <row r="3939" spans="1:25" ht="15" hidden="1" customHeight="1" x14ac:dyDescent="0.25">
      <c r="A3939" s="1" t="s">
        <v>39</v>
      </c>
      <c r="B3939" s="1" t="s">
        <v>84</v>
      </c>
      <c r="C3939" s="1" t="s">
        <v>209</v>
      </c>
      <c r="D3939">
        <v>8880</v>
      </c>
      <c r="E3939" s="1" t="s">
        <v>243</v>
      </c>
      <c r="F3939" s="1" t="s">
        <v>366</v>
      </c>
      <c r="G3939" s="1" t="s">
        <v>209</v>
      </c>
      <c r="H3939" s="1" t="s">
        <v>1404</v>
      </c>
      <c r="I3939">
        <v>2008</v>
      </c>
      <c r="J3939" s="93">
        <v>17388.580000000002</v>
      </c>
      <c r="K3939">
        <v>11</v>
      </c>
      <c r="L3939" s="1" t="s">
        <v>433</v>
      </c>
      <c r="M3939">
        <v>0</v>
      </c>
      <c r="N3939">
        <v>0</v>
      </c>
      <c r="O3939">
        <v>173885.8</v>
      </c>
      <c r="P3939">
        <v>1</v>
      </c>
      <c r="Q3939" s="1" t="s">
        <v>562</v>
      </c>
      <c r="R3939" s="93">
        <v>20230.55</v>
      </c>
      <c r="S3939">
        <v>3742.65</v>
      </c>
      <c r="T3939">
        <v>1</v>
      </c>
      <c r="U3939" s="1" t="s">
        <v>893</v>
      </c>
      <c r="V3939" s="1"/>
      <c r="W3939">
        <v>17388.58495</v>
      </c>
      <c r="X3939">
        <v>0</v>
      </c>
      <c r="Y3939">
        <v>70981</v>
      </c>
    </row>
    <row r="3940" spans="1:25" ht="15" hidden="1" customHeight="1" x14ac:dyDescent="0.25">
      <c r="A3940" s="1" t="s">
        <v>39</v>
      </c>
      <c r="B3940" s="1" t="s">
        <v>84</v>
      </c>
      <c r="C3940" s="1" t="s">
        <v>209</v>
      </c>
      <c r="D3940">
        <v>8880</v>
      </c>
      <c r="E3940" s="1" t="s">
        <v>243</v>
      </c>
      <c r="F3940" s="1" t="s">
        <v>366</v>
      </c>
      <c r="G3940" s="1" t="s">
        <v>209</v>
      </c>
      <c r="H3940" s="1" t="s">
        <v>1404</v>
      </c>
      <c r="I3940">
        <v>2008</v>
      </c>
      <c r="J3940" s="93">
        <v>1158.05</v>
      </c>
      <c r="K3940">
        <v>12</v>
      </c>
      <c r="L3940" s="1" t="s">
        <v>433</v>
      </c>
      <c r="M3940">
        <v>0</v>
      </c>
      <c r="N3940">
        <v>0</v>
      </c>
      <c r="O3940">
        <v>11580.5</v>
      </c>
      <c r="P3940">
        <v>1</v>
      </c>
      <c r="Q3940" s="1" t="s">
        <v>562</v>
      </c>
      <c r="R3940" s="93">
        <v>1257.28</v>
      </c>
      <c r="S3940">
        <v>232.59</v>
      </c>
      <c r="T3940">
        <v>1</v>
      </c>
      <c r="U3940" s="1" t="s">
        <v>895</v>
      </c>
      <c r="V3940" s="1"/>
      <c r="W3940">
        <v>1158.0645300000001</v>
      </c>
      <c r="X3940">
        <v>0</v>
      </c>
      <c r="Y3940">
        <v>70984</v>
      </c>
    </row>
    <row r="3941" spans="1:25" ht="15" hidden="1" customHeight="1" x14ac:dyDescent="0.25">
      <c r="A3941" s="1" t="s">
        <v>39</v>
      </c>
      <c r="B3941" s="1" t="s">
        <v>84</v>
      </c>
      <c r="C3941" s="1" t="s">
        <v>209</v>
      </c>
      <c r="D3941">
        <v>8880</v>
      </c>
      <c r="E3941" s="1" t="s">
        <v>243</v>
      </c>
      <c r="F3941" s="1" t="s">
        <v>366</v>
      </c>
      <c r="G3941" s="1" t="s">
        <v>209</v>
      </c>
      <c r="H3941" s="1" t="s">
        <v>1404</v>
      </c>
      <c r="I3941">
        <v>2008</v>
      </c>
      <c r="J3941" s="93">
        <v>222566.85</v>
      </c>
      <c r="K3941">
        <v>12</v>
      </c>
      <c r="L3941" s="1" t="s">
        <v>433</v>
      </c>
      <c r="M3941">
        <v>0</v>
      </c>
      <c r="N3941">
        <v>0</v>
      </c>
      <c r="O3941">
        <v>2225668.5</v>
      </c>
      <c r="P3941">
        <v>1</v>
      </c>
      <c r="Q3941" s="1" t="s">
        <v>562</v>
      </c>
      <c r="R3941" s="93">
        <v>269113.03000000003</v>
      </c>
      <c r="S3941">
        <v>49785.89</v>
      </c>
      <c r="T3941">
        <v>1</v>
      </c>
      <c r="U3941" s="1" t="s">
        <v>896</v>
      </c>
      <c r="V3941" s="1"/>
      <c r="W3941">
        <v>222566.83869999999</v>
      </c>
      <c r="X3941">
        <v>0</v>
      </c>
      <c r="Y3941">
        <v>70986</v>
      </c>
    </row>
    <row r="3942" spans="1:25" ht="15" hidden="1" customHeight="1" x14ac:dyDescent="0.25">
      <c r="A3942" s="1" t="s">
        <v>39</v>
      </c>
      <c r="B3942" s="1" t="s">
        <v>84</v>
      </c>
      <c r="C3942" s="1" t="s">
        <v>209</v>
      </c>
      <c r="D3942">
        <v>8880</v>
      </c>
      <c r="E3942" s="1" t="s">
        <v>243</v>
      </c>
      <c r="F3942" s="1" t="s">
        <v>366</v>
      </c>
      <c r="G3942" s="1" t="s">
        <v>209</v>
      </c>
      <c r="H3942" s="1" t="s">
        <v>1404</v>
      </c>
      <c r="I3942">
        <v>2008</v>
      </c>
      <c r="J3942" s="93">
        <v>147429.13</v>
      </c>
      <c r="K3942">
        <v>12</v>
      </c>
      <c r="L3942" s="1" t="s">
        <v>433</v>
      </c>
      <c r="M3942">
        <v>0</v>
      </c>
      <c r="N3942">
        <v>0</v>
      </c>
      <c r="O3942">
        <v>1474291.3</v>
      </c>
      <c r="P3942">
        <v>1</v>
      </c>
      <c r="Q3942" s="1" t="s">
        <v>562</v>
      </c>
      <c r="R3942" s="93">
        <v>176443.51</v>
      </c>
      <c r="S3942">
        <v>32642.05</v>
      </c>
      <c r="T3942">
        <v>1</v>
      </c>
      <c r="U3942" s="1" t="s">
        <v>890</v>
      </c>
      <c r="V3942" s="1"/>
      <c r="W3942">
        <v>147429.13764</v>
      </c>
      <c r="X3942">
        <v>0</v>
      </c>
      <c r="Y3942">
        <v>70987</v>
      </c>
    </row>
    <row r="3943" spans="1:25" ht="15" hidden="1" customHeight="1" x14ac:dyDescent="0.25">
      <c r="A3943" s="1" t="s">
        <v>39</v>
      </c>
      <c r="B3943" s="1" t="s">
        <v>84</v>
      </c>
      <c r="C3943" s="1" t="s">
        <v>209</v>
      </c>
      <c r="D3943">
        <v>8878</v>
      </c>
      <c r="E3943" s="1"/>
      <c r="F3943" s="1" t="s">
        <v>347</v>
      </c>
      <c r="G3943" s="1" t="s">
        <v>209</v>
      </c>
      <c r="H3943" s="1" t="s">
        <v>1396</v>
      </c>
      <c r="I3943">
        <v>2015</v>
      </c>
      <c r="J3943" s="93">
        <v>675993.75</v>
      </c>
      <c r="K3943">
        <v>5</v>
      </c>
      <c r="L3943" s="1"/>
      <c r="M3943">
        <v>0</v>
      </c>
      <c r="N3943">
        <v>3615</v>
      </c>
      <c r="O3943">
        <v>186.991715</v>
      </c>
      <c r="P3943">
        <v>1</v>
      </c>
      <c r="Q3943" s="1" t="s">
        <v>563</v>
      </c>
      <c r="R3943" s="93">
        <v>734439.46</v>
      </c>
      <c r="S3943">
        <v>1347.21</v>
      </c>
      <c r="T3943">
        <v>1</v>
      </c>
      <c r="U3943" s="1"/>
      <c r="V3943" s="1"/>
      <c r="W3943">
        <v>19375</v>
      </c>
      <c r="X3943">
        <v>76948</v>
      </c>
      <c r="Y3943">
        <v>76949</v>
      </c>
    </row>
    <row r="3944" spans="1:25" ht="15" hidden="1" customHeight="1" x14ac:dyDescent="0.25">
      <c r="A3944" s="1" t="s">
        <v>39</v>
      </c>
      <c r="B3944" s="1" t="s">
        <v>84</v>
      </c>
      <c r="C3944" s="1" t="s">
        <v>209</v>
      </c>
      <c r="D3944">
        <v>8878</v>
      </c>
      <c r="E3944" s="1"/>
      <c r="F3944" s="1" t="s">
        <v>347</v>
      </c>
      <c r="G3944" s="1" t="s">
        <v>209</v>
      </c>
      <c r="H3944" s="1" t="s">
        <v>1405</v>
      </c>
      <c r="I3944">
        <v>2015</v>
      </c>
      <c r="J3944" s="93">
        <v>1268400</v>
      </c>
      <c r="K3944">
        <v>5</v>
      </c>
      <c r="L3944" s="1"/>
      <c r="M3944">
        <v>0</v>
      </c>
      <c r="N3944">
        <v>3615</v>
      </c>
      <c r="O3944">
        <v>166.60673199999999</v>
      </c>
      <c r="P3944">
        <v>1</v>
      </c>
      <c r="Q3944" s="1" t="s">
        <v>565</v>
      </c>
      <c r="R3944" s="93">
        <v>1359686</v>
      </c>
      <c r="S3944">
        <v>41663.370000000003</v>
      </c>
      <c r="T3944">
        <v>0</v>
      </c>
      <c r="U3944" s="1" t="s">
        <v>900</v>
      </c>
      <c r="V3944" s="1"/>
      <c r="W3944">
        <v>602.29999999999995</v>
      </c>
      <c r="X3944">
        <v>0</v>
      </c>
      <c r="Y3944">
        <v>76948</v>
      </c>
    </row>
    <row r="3945" spans="1:25" ht="15" hidden="1" customHeight="1" x14ac:dyDescent="0.25">
      <c r="A3945" s="1" t="s">
        <v>39</v>
      </c>
      <c r="B3945" s="1" t="s">
        <v>84</v>
      </c>
      <c r="C3945" s="1" t="s">
        <v>209</v>
      </c>
      <c r="D3945">
        <v>8878</v>
      </c>
      <c r="E3945" s="1"/>
      <c r="F3945" s="1" t="s">
        <v>347</v>
      </c>
      <c r="G3945" s="1" t="s">
        <v>209</v>
      </c>
      <c r="H3945" s="1" t="s">
        <v>1396</v>
      </c>
      <c r="I3945">
        <v>2013</v>
      </c>
      <c r="J3945" s="93">
        <v>1453726.75</v>
      </c>
      <c r="K3945">
        <v>12</v>
      </c>
      <c r="L3945" s="1"/>
      <c r="M3945">
        <v>0</v>
      </c>
      <c r="N3945">
        <v>3615</v>
      </c>
      <c r="O3945">
        <v>402.12628899999999</v>
      </c>
      <c r="P3945">
        <v>1</v>
      </c>
      <c r="Q3945" s="1" t="s">
        <v>563</v>
      </c>
      <c r="R3945" s="93">
        <v>1538712.46</v>
      </c>
      <c r="S3945">
        <v>2822.5</v>
      </c>
      <c r="T3945">
        <v>1</v>
      </c>
      <c r="U3945" s="1"/>
      <c r="V3945" s="1"/>
      <c r="W3945">
        <v>41666</v>
      </c>
      <c r="X3945">
        <v>76948</v>
      </c>
      <c r="Y3945">
        <v>76949</v>
      </c>
    </row>
    <row r="3946" spans="1:25" ht="15" hidden="1" customHeight="1" x14ac:dyDescent="0.25">
      <c r="A3946" s="1" t="s">
        <v>39</v>
      </c>
      <c r="B3946" s="1" t="s">
        <v>84</v>
      </c>
      <c r="C3946" s="1" t="s">
        <v>209</v>
      </c>
      <c r="D3946">
        <v>8878</v>
      </c>
      <c r="E3946" s="1"/>
      <c r="F3946" s="1" t="s">
        <v>347</v>
      </c>
      <c r="G3946" s="1" t="s">
        <v>209</v>
      </c>
      <c r="H3946" s="1" t="s">
        <v>1405</v>
      </c>
      <c r="I3946">
        <v>2013</v>
      </c>
      <c r="J3946" s="93">
        <v>1376800</v>
      </c>
      <c r="K3946">
        <v>12</v>
      </c>
      <c r="L3946" s="1"/>
      <c r="M3946">
        <v>0</v>
      </c>
      <c r="N3946">
        <v>3615</v>
      </c>
      <c r="O3946">
        <v>380.84700199999997</v>
      </c>
      <c r="P3946">
        <v>1</v>
      </c>
      <c r="Q3946" s="1" t="s">
        <v>565</v>
      </c>
      <c r="R3946" s="93">
        <v>1472330.67</v>
      </c>
      <c r="S3946">
        <v>94229.16</v>
      </c>
      <c r="T3946">
        <v>0</v>
      </c>
      <c r="U3946" s="1" t="s">
        <v>900</v>
      </c>
      <c r="V3946" s="1"/>
      <c r="W3946">
        <v>1376.8</v>
      </c>
      <c r="X3946">
        <v>0</v>
      </c>
      <c r="Y3946">
        <v>76948</v>
      </c>
    </row>
    <row r="3947" spans="1:25" ht="15" hidden="1" customHeight="1" x14ac:dyDescent="0.25">
      <c r="A3947" s="1" t="s">
        <v>39</v>
      </c>
      <c r="B3947" s="1" t="s">
        <v>84</v>
      </c>
      <c r="C3947" s="1" t="s">
        <v>209</v>
      </c>
      <c r="D3947">
        <v>8878</v>
      </c>
      <c r="E3947" s="1"/>
      <c r="F3947" s="1" t="s">
        <v>347</v>
      </c>
      <c r="G3947" s="1" t="s">
        <v>209</v>
      </c>
      <c r="H3947" s="1" t="s">
        <v>1396</v>
      </c>
      <c r="I3947">
        <v>2012</v>
      </c>
      <c r="J3947" s="93">
        <v>1653262.65</v>
      </c>
      <c r="K3947">
        <v>12</v>
      </c>
      <c r="L3947" s="1"/>
      <c r="M3947">
        <v>0</v>
      </c>
      <c r="N3947">
        <v>3615</v>
      </c>
      <c r="O3947">
        <v>457.321415</v>
      </c>
      <c r="P3947">
        <v>1</v>
      </c>
      <c r="Q3947" s="1" t="s">
        <v>563</v>
      </c>
      <c r="R3947" s="93">
        <v>1713592.28</v>
      </c>
      <c r="S3947">
        <v>9086.1200000000008</v>
      </c>
      <c r="T3947">
        <v>1</v>
      </c>
      <c r="U3947" s="1"/>
      <c r="V3947" s="1"/>
      <c r="W3947">
        <v>47385</v>
      </c>
      <c r="X3947">
        <v>76948</v>
      </c>
      <c r="Y3947">
        <v>76949</v>
      </c>
    </row>
    <row r="3948" spans="1:25" ht="15" hidden="1" customHeight="1" x14ac:dyDescent="0.25">
      <c r="A3948" s="1" t="s">
        <v>39</v>
      </c>
      <c r="B3948" s="1" t="s">
        <v>84</v>
      </c>
      <c r="C3948" s="1" t="s">
        <v>209</v>
      </c>
      <c r="D3948">
        <v>8878</v>
      </c>
      <c r="E3948" s="1"/>
      <c r="F3948" s="1" t="s">
        <v>347</v>
      </c>
      <c r="G3948" s="1" t="s">
        <v>209</v>
      </c>
      <c r="H3948" s="1" t="s">
        <v>1405</v>
      </c>
      <c r="I3948">
        <v>2012</v>
      </c>
      <c r="J3948" s="93">
        <v>1374400</v>
      </c>
      <c r="K3948">
        <v>12</v>
      </c>
      <c r="L3948" s="1"/>
      <c r="M3948">
        <v>0</v>
      </c>
      <c r="N3948">
        <v>3615</v>
      </c>
      <c r="O3948">
        <v>380.18311999999997</v>
      </c>
      <c r="P3948">
        <v>1</v>
      </c>
      <c r="Q3948" s="1" t="s">
        <v>565</v>
      </c>
      <c r="R3948" s="93">
        <v>1418072.83</v>
      </c>
      <c r="S3948">
        <v>262343.49</v>
      </c>
      <c r="T3948">
        <v>0</v>
      </c>
      <c r="U3948" s="1" t="s">
        <v>900</v>
      </c>
      <c r="V3948" s="1"/>
      <c r="W3948">
        <v>1374.4</v>
      </c>
      <c r="X3948">
        <v>0</v>
      </c>
      <c r="Y3948">
        <v>76948</v>
      </c>
    </row>
    <row r="3949" spans="1:25" ht="15" hidden="1" customHeight="1" x14ac:dyDescent="0.25">
      <c r="A3949" s="1" t="s">
        <v>39</v>
      </c>
      <c r="B3949" s="1" t="s">
        <v>84</v>
      </c>
      <c r="C3949" s="1" t="s">
        <v>209</v>
      </c>
      <c r="D3949">
        <v>8878</v>
      </c>
      <c r="E3949" s="1"/>
      <c r="F3949" s="1" t="s">
        <v>347</v>
      </c>
      <c r="G3949" s="1" t="s">
        <v>209</v>
      </c>
      <c r="H3949" s="1" t="s">
        <v>1396</v>
      </c>
      <c r="I3949">
        <v>2011</v>
      </c>
      <c r="J3949" s="93">
        <v>1407916.17</v>
      </c>
      <c r="K3949">
        <v>12</v>
      </c>
      <c r="L3949" s="1"/>
      <c r="M3949">
        <v>0</v>
      </c>
      <c r="N3949">
        <v>3615</v>
      </c>
      <c r="O3949">
        <v>389.45427999999998</v>
      </c>
      <c r="P3949">
        <v>1</v>
      </c>
      <c r="Q3949" s="1" t="s">
        <v>563</v>
      </c>
      <c r="R3949" s="93">
        <v>1486302.59</v>
      </c>
      <c r="S3949">
        <v>7880.93</v>
      </c>
      <c r="T3949">
        <v>1</v>
      </c>
      <c r="U3949" s="1"/>
      <c r="V3949" s="1"/>
      <c r="W3949">
        <v>40353</v>
      </c>
      <c r="X3949">
        <v>76948</v>
      </c>
      <c r="Y3949">
        <v>76949</v>
      </c>
    </row>
    <row r="3950" spans="1:25" ht="15" hidden="1" customHeight="1" x14ac:dyDescent="0.25">
      <c r="A3950" s="1" t="s">
        <v>39</v>
      </c>
      <c r="B3950" s="1" t="s">
        <v>84</v>
      </c>
      <c r="C3950" s="1" t="s">
        <v>209</v>
      </c>
      <c r="D3950">
        <v>8878</v>
      </c>
      <c r="E3950" s="1"/>
      <c r="F3950" s="1" t="s">
        <v>347</v>
      </c>
      <c r="G3950" s="1" t="s">
        <v>209</v>
      </c>
      <c r="H3950" s="1" t="s">
        <v>1405</v>
      </c>
      <c r="I3950">
        <v>2011</v>
      </c>
      <c r="J3950" s="93">
        <v>1283000</v>
      </c>
      <c r="K3950">
        <v>12</v>
      </c>
      <c r="L3950" s="1"/>
      <c r="M3950">
        <v>0</v>
      </c>
      <c r="N3950">
        <v>3615</v>
      </c>
      <c r="O3950">
        <v>354.90027900000001</v>
      </c>
      <c r="P3950">
        <v>1</v>
      </c>
      <c r="Q3950" s="1" t="s">
        <v>565</v>
      </c>
      <c r="R3950" s="93">
        <v>1353337.2</v>
      </c>
      <c r="S3950">
        <v>250367.38</v>
      </c>
      <c r="T3950">
        <v>0</v>
      </c>
      <c r="U3950" s="1" t="s">
        <v>900</v>
      </c>
      <c r="V3950" s="1"/>
      <c r="W3950">
        <v>1283</v>
      </c>
      <c r="X3950">
        <v>0</v>
      </c>
      <c r="Y3950">
        <v>76948</v>
      </c>
    </row>
    <row r="3951" spans="1:25" ht="15" hidden="1" customHeight="1" x14ac:dyDescent="0.25">
      <c r="A3951" s="1" t="s">
        <v>39</v>
      </c>
      <c r="B3951" s="1" t="s">
        <v>84</v>
      </c>
      <c r="C3951" s="1" t="s">
        <v>209</v>
      </c>
      <c r="D3951">
        <v>8878</v>
      </c>
      <c r="E3951" s="1"/>
      <c r="F3951" s="1" t="s">
        <v>347</v>
      </c>
      <c r="G3951" s="1" t="s">
        <v>209</v>
      </c>
      <c r="H3951" s="1" t="s">
        <v>1396</v>
      </c>
      <c r="I3951">
        <v>2010</v>
      </c>
      <c r="J3951" s="93">
        <v>1541893.77</v>
      </c>
      <c r="K3951">
        <v>12</v>
      </c>
      <c r="L3951" s="1"/>
      <c r="M3951">
        <v>0</v>
      </c>
      <c r="N3951">
        <v>3615</v>
      </c>
      <c r="O3951">
        <v>426.51483200000001</v>
      </c>
      <c r="P3951">
        <v>1</v>
      </c>
      <c r="Q3951" s="1" t="s">
        <v>563</v>
      </c>
      <c r="R3951" s="93">
        <v>1531389.06</v>
      </c>
      <c r="S3951">
        <v>8120.01</v>
      </c>
      <c r="T3951">
        <v>1</v>
      </c>
      <c r="U3951" s="1"/>
      <c r="V3951" s="1"/>
      <c r="W3951">
        <v>44193</v>
      </c>
      <c r="X3951">
        <v>76948</v>
      </c>
      <c r="Y3951">
        <v>76949</v>
      </c>
    </row>
    <row r="3952" spans="1:25" ht="15" hidden="1" customHeight="1" x14ac:dyDescent="0.25">
      <c r="A3952" s="1" t="s">
        <v>39</v>
      </c>
      <c r="B3952" s="1" t="s">
        <v>84</v>
      </c>
      <c r="C3952" s="1" t="s">
        <v>209</v>
      </c>
      <c r="D3952">
        <v>8878</v>
      </c>
      <c r="E3952" s="1"/>
      <c r="F3952" s="1" t="s">
        <v>347</v>
      </c>
      <c r="G3952" s="1" t="s">
        <v>209</v>
      </c>
      <c r="H3952" s="1" t="s">
        <v>1405</v>
      </c>
      <c r="I3952">
        <v>2010</v>
      </c>
      <c r="J3952" s="93">
        <v>1308100</v>
      </c>
      <c r="K3952">
        <v>12</v>
      </c>
      <c r="L3952" s="1"/>
      <c r="M3952">
        <v>0</v>
      </c>
      <c r="N3952">
        <v>3615</v>
      </c>
      <c r="O3952">
        <v>361.84337900000003</v>
      </c>
      <c r="P3952">
        <v>1</v>
      </c>
      <c r="Q3952" s="1" t="s">
        <v>565</v>
      </c>
      <c r="R3952" s="93">
        <v>1270657.57</v>
      </c>
      <c r="S3952">
        <v>235071.65</v>
      </c>
      <c r="T3952">
        <v>0</v>
      </c>
      <c r="U3952" s="1" t="s">
        <v>900</v>
      </c>
      <c r="V3952" s="1"/>
      <c r="W3952">
        <v>1308.0999999999999</v>
      </c>
      <c r="X3952">
        <v>0</v>
      </c>
      <c r="Y3952">
        <v>76948</v>
      </c>
    </row>
    <row r="3953" spans="1:25" ht="15" hidden="1" customHeight="1" x14ac:dyDescent="0.25">
      <c r="A3953" s="1" t="s">
        <v>39</v>
      </c>
      <c r="B3953" s="1" t="s">
        <v>84</v>
      </c>
      <c r="C3953" s="1" t="s">
        <v>209</v>
      </c>
      <c r="D3953">
        <v>8878</v>
      </c>
      <c r="E3953" s="1"/>
      <c r="F3953" s="1" t="s">
        <v>347</v>
      </c>
      <c r="G3953" s="1" t="s">
        <v>209</v>
      </c>
      <c r="H3953" s="1" t="s">
        <v>1396</v>
      </c>
      <c r="I3953">
        <v>2009</v>
      </c>
      <c r="J3953" s="93">
        <v>1347172.68</v>
      </c>
      <c r="K3953">
        <v>12</v>
      </c>
      <c r="L3953" s="1"/>
      <c r="M3953">
        <v>0</v>
      </c>
      <c r="N3953">
        <v>3615</v>
      </c>
      <c r="O3953">
        <v>372.651567</v>
      </c>
      <c r="P3953">
        <v>1</v>
      </c>
      <c r="Q3953" s="1" t="s">
        <v>563</v>
      </c>
      <c r="R3953" s="93">
        <v>1472977.51</v>
      </c>
      <c r="S3953">
        <v>7810.27</v>
      </c>
      <c r="T3953">
        <v>1</v>
      </c>
      <c r="U3953" s="1"/>
      <c r="V3953" s="1"/>
      <c r="W3953">
        <v>38612</v>
      </c>
      <c r="X3953">
        <v>76948</v>
      </c>
      <c r="Y3953">
        <v>76949</v>
      </c>
    </row>
    <row r="3954" spans="1:25" ht="15" hidden="1" customHeight="1" x14ac:dyDescent="0.25">
      <c r="A3954" s="1" t="s">
        <v>39</v>
      </c>
      <c r="B3954" s="1" t="s">
        <v>84</v>
      </c>
      <c r="C3954" s="1" t="s">
        <v>209</v>
      </c>
      <c r="D3954">
        <v>8878</v>
      </c>
      <c r="E3954" s="1"/>
      <c r="F3954" s="1" t="s">
        <v>347</v>
      </c>
      <c r="G3954" s="1" t="s">
        <v>209</v>
      </c>
      <c r="H3954" s="1" t="s">
        <v>1405</v>
      </c>
      <c r="I3954">
        <v>2009</v>
      </c>
      <c r="J3954" s="93">
        <v>1184100</v>
      </c>
      <c r="K3954">
        <v>12</v>
      </c>
      <c r="L3954" s="1"/>
      <c r="M3954">
        <v>0</v>
      </c>
      <c r="N3954">
        <v>3615</v>
      </c>
      <c r="O3954">
        <v>327.54280599999998</v>
      </c>
      <c r="P3954">
        <v>1</v>
      </c>
      <c r="Q3954" s="1" t="s">
        <v>565</v>
      </c>
      <c r="R3954" s="93">
        <v>1283197.5900000001</v>
      </c>
      <c r="S3954">
        <v>237391.54</v>
      </c>
      <c r="T3954">
        <v>0</v>
      </c>
      <c r="U3954" s="1" t="s">
        <v>900</v>
      </c>
      <c r="V3954" s="1"/>
      <c r="W3954">
        <v>1184.0999999999999</v>
      </c>
      <c r="X3954">
        <v>0</v>
      </c>
      <c r="Y3954">
        <v>76948</v>
      </c>
    </row>
    <row r="3955" spans="1:25" ht="15" hidden="1" customHeight="1" x14ac:dyDescent="0.25">
      <c r="A3955" s="1" t="s">
        <v>39</v>
      </c>
      <c r="B3955" s="1" t="s">
        <v>84</v>
      </c>
      <c r="C3955" s="1" t="s">
        <v>209</v>
      </c>
      <c r="D3955">
        <v>8878</v>
      </c>
      <c r="E3955" s="1"/>
      <c r="F3955" s="1" t="s">
        <v>347</v>
      </c>
      <c r="G3955" s="1" t="s">
        <v>209</v>
      </c>
      <c r="H3955" s="1" t="s">
        <v>1405</v>
      </c>
      <c r="I3955">
        <v>2008</v>
      </c>
      <c r="J3955" s="93">
        <v>442526.66</v>
      </c>
      <c r="K3955">
        <v>5</v>
      </c>
      <c r="L3955" s="1" t="s">
        <v>455</v>
      </c>
      <c r="M3955">
        <v>0</v>
      </c>
      <c r="N3955">
        <v>3615</v>
      </c>
      <c r="O3955">
        <v>122.41062700000001</v>
      </c>
      <c r="P3955">
        <v>1</v>
      </c>
      <c r="Q3955" s="1" t="s">
        <v>562</v>
      </c>
      <c r="R3955" s="93">
        <v>507852.49</v>
      </c>
      <c r="S3955">
        <v>93952.71</v>
      </c>
      <c r="T3955">
        <v>0</v>
      </c>
      <c r="U3955" s="1" t="s">
        <v>900</v>
      </c>
      <c r="V3955" s="1"/>
      <c r="W3955">
        <v>442526.66665999999</v>
      </c>
      <c r="X3955">
        <v>0</v>
      </c>
      <c r="Y3955">
        <v>70700</v>
      </c>
    </row>
    <row r="3956" spans="1:25" ht="15" hidden="1" customHeight="1" x14ac:dyDescent="0.25">
      <c r="A3956" s="1" t="s">
        <v>39</v>
      </c>
      <c r="B3956" s="1" t="s">
        <v>84</v>
      </c>
      <c r="C3956" s="1" t="s">
        <v>209</v>
      </c>
      <c r="D3956">
        <v>8878</v>
      </c>
      <c r="E3956" s="1"/>
      <c r="F3956" s="1" t="s">
        <v>347</v>
      </c>
      <c r="G3956" s="1" t="s">
        <v>209</v>
      </c>
      <c r="H3956" s="1" t="s">
        <v>1396</v>
      </c>
      <c r="I3956">
        <v>2008</v>
      </c>
      <c r="J3956" s="93">
        <v>655897.11</v>
      </c>
      <c r="K3956">
        <v>12</v>
      </c>
      <c r="L3956" s="1"/>
      <c r="M3956">
        <v>0</v>
      </c>
      <c r="N3956">
        <v>3615</v>
      </c>
      <c r="O3956">
        <v>181.43263200000001</v>
      </c>
      <c r="P3956">
        <v>1</v>
      </c>
      <c r="Q3956" s="1" t="s">
        <v>563</v>
      </c>
      <c r="R3956" s="93">
        <v>726288.46</v>
      </c>
      <c r="S3956">
        <v>3851.06</v>
      </c>
      <c r="T3956">
        <v>1</v>
      </c>
      <c r="U3956" s="1"/>
      <c r="V3956" s="1"/>
      <c r="W3956">
        <v>18799</v>
      </c>
      <c r="X3956">
        <v>76948</v>
      </c>
      <c r="Y3956">
        <v>76949</v>
      </c>
    </row>
    <row r="3957" spans="1:25" ht="15" hidden="1" customHeight="1" x14ac:dyDescent="0.25">
      <c r="A3957" s="1" t="s">
        <v>39</v>
      </c>
      <c r="B3957" s="1" t="s">
        <v>84</v>
      </c>
      <c r="C3957" s="1" t="s">
        <v>209</v>
      </c>
      <c r="D3957">
        <v>8878</v>
      </c>
      <c r="E3957" s="1"/>
      <c r="F3957" s="1" t="s">
        <v>347</v>
      </c>
      <c r="G3957" s="1" t="s">
        <v>209</v>
      </c>
      <c r="H3957" s="1" t="s">
        <v>1405</v>
      </c>
      <c r="I3957">
        <v>2008</v>
      </c>
      <c r="J3957" s="93">
        <v>633200</v>
      </c>
      <c r="K3957">
        <v>8</v>
      </c>
      <c r="L3957" s="1"/>
      <c r="M3957">
        <v>0</v>
      </c>
      <c r="N3957">
        <v>3615</v>
      </c>
      <c r="O3957">
        <v>175.154214</v>
      </c>
      <c r="P3957">
        <v>1</v>
      </c>
      <c r="Q3957" s="1" t="s">
        <v>565</v>
      </c>
      <c r="R3957" s="93">
        <v>667461.11</v>
      </c>
      <c r="S3957">
        <v>123480.3</v>
      </c>
      <c r="T3957">
        <v>0</v>
      </c>
      <c r="U3957" s="1" t="s">
        <v>900</v>
      </c>
      <c r="V3957" s="1"/>
      <c r="W3957">
        <v>633.20000000000005</v>
      </c>
      <c r="X3957">
        <v>0</v>
      </c>
      <c r="Y3957">
        <v>76948</v>
      </c>
    </row>
    <row r="3958" spans="1:25" ht="15" hidden="1" customHeight="1" x14ac:dyDescent="0.25">
      <c r="A3958" s="1" t="s">
        <v>39</v>
      </c>
      <c r="B3958" s="1" t="s">
        <v>83</v>
      </c>
      <c r="C3958" s="1" t="s">
        <v>208</v>
      </c>
      <c r="D3958">
        <v>5451</v>
      </c>
      <c r="E3958" s="1"/>
      <c r="F3958" s="1" t="s">
        <v>389</v>
      </c>
      <c r="G3958" s="1" t="s">
        <v>1402</v>
      </c>
      <c r="H3958" s="1" t="s">
        <v>1396</v>
      </c>
      <c r="I3958">
        <v>2015</v>
      </c>
      <c r="J3958" s="93">
        <v>9151.7800000000007</v>
      </c>
      <c r="K3958">
        <v>5</v>
      </c>
      <c r="L3958" s="1" t="s">
        <v>421</v>
      </c>
      <c r="M3958">
        <v>0</v>
      </c>
      <c r="N3958">
        <v>0</v>
      </c>
      <c r="O3958">
        <v>91517.8</v>
      </c>
      <c r="P3958">
        <v>2</v>
      </c>
      <c r="Q3958" s="1" t="s">
        <v>569</v>
      </c>
      <c r="R3958" s="93">
        <v>9151.7800000000007</v>
      </c>
      <c r="S3958">
        <v>3660.72</v>
      </c>
      <c r="T3958">
        <v>1</v>
      </c>
      <c r="U3958" s="1" t="s">
        <v>1104</v>
      </c>
      <c r="V3958" s="1"/>
      <c r="W3958">
        <v>9151.78125</v>
      </c>
      <c r="X3958">
        <v>0</v>
      </c>
      <c r="Y3958">
        <v>57640</v>
      </c>
    </row>
    <row r="3959" spans="1:25" ht="15" hidden="1" customHeight="1" x14ac:dyDescent="0.25">
      <c r="A3959" s="1" t="s">
        <v>39</v>
      </c>
      <c r="B3959" s="1" t="s">
        <v>83</v>
      </c>
      <c r="C3959" s="1" t="s">
        <v>208</v>
      </c>
      <c r="D3959">
        <v>5451</v>
      </c>
      <c r="E3959" s="1"/>
      <c r="F3959" s="1" t="s">
        <v>389</v>
      </c>
      <c r="G3959" s="1" t="s">
        <v>1402</v>
      </c>
      <c r="H3959" s="1" t="s">
        <v>1396</v>
      </c>
      <c r="I3959">
        <v>2015</v>
      </c>
      <c r="J3959" s="93">
        <v>12684.01</v>
      </c>
      <c r="K3959">
        <v>5</v>
      </c>
      <c r="L3959" s="1" t="s">
        <v>421</v>
      </c>
      <c r="M3959">
        <v>0</v>
      </c>
      <c r="N3959">
        <v>0</v>
      </c>
      <c r="O3959">
        <v>126840.1</v>
      </c>
      <c r="P3959">
        <v>2</v>
      </c>
      <c r="Q3959" s="1" t="s">
        <v>569</v>
      </c>
      <c r="R3959" s="93">
        <v>12684.01</v>
      </c>
      <c r="S3959">
        <v>5073.6099999999997</v>
      </c>
      <c r="T3959">
        <v>1</v>
      </c>
      <c r="U3959" s="1" t="s">
        <v>1105</v>
      </c>
      <c r="V3959" s="1"/>
      <c r="W3959">
        <v>12684.00001</v>
      </c>
      <c r="X3959">
        <v>0</v>
      </c>
      <c r="Y3959">
        <v>61886</v>
      </c>
    </row>
    <row r="3960" spans="1:25" ht="15" hidden="1" customHeight="1" x14ac:dyDescent="0.25">
      <c r="A3960" s="1" t="s">
        <v>39</v>
      </c>
      <c r="B3960" s="1" t="s">
        <v>83</v>
      </c>
      <c r="C3960" s="1" t="s">
        <v>208</v>
      </c>
      <c r="D3960">
        <v>5451</v>
      </c>
      <c r="E3960" s="1"/>
      <c r="F3960" s="1" t="s">
        <v>389</v>
      </c>
      <c r="G3960" s="1" t="s">
        <v>1402</v>
      </c>
      <c r="H3960" s="1" t="s">
        <v>1396</v>
      </c>
      <c r="I3960">
        <v>2015</v>
      </c>
      <c r="J3960" s="93">
        <v>388.49</v>
      </c>
      <c r="K3960">
        <v>5</v>
      </c>
      <c r="L3960" s="1" t="s">
        <v>421</v>
      </c>
      <c r="M3960">
        <v>0</v>
      </c>
      <c r="N3960">
        <v>0</v>
      </c>
      <c r="O3960">
        <v>3884.9</v>
      </c>
      <c r="P3960">
        <v>2</v>
      </c>
      <c r="Q3960" s="1" t="s">
        <v>569</v>
      </c>
      <c r="R3960" s="93">
        <v>388.49</v>
      </c>
      <c r="S3960">
        <v>155.4</v>
      </c>
      <c r="T3960">
        <v>1</v>
      </c>
      <c r="U3960" s="1" t="s">
        <v>1106</v>
      </c>
      <c r="V3960" s="1"/>
      <c r="W3960">
        <v>388.5</v>
      </c>
      <c r="X3960">
        <v>0</v>
      </c>
      <c r="Y3960">
        <v>61888</v>
      </c>
    </row>
    <row r="3961" spans="1:25" ht="15" hidden="1" customHeight="1" x14ac:dyDescent="0.25">
      <c r="A3961" s="1" t="s">
        <v>39</v>
      </c>
      <c r="B3961" s="1" t="s">
        <v>83</v>
      </c>
      <c r="C3961" s="1" t="s">
        <v>208</v>
      </c>
      <c r="D3961">
        <v>5451</v>
      </c>
      <c r="E3961" s="1"/>
      <c r="F3961" s="1" t="s">
        <v>389</v>
      </c>
      <c r="G3961" s="1" t="s">
        <v>1402</v>
      </c>
      <c r="H3961" s="1" t="s">
        <v>1396</v>
      </c>
      <c r="I3961">
        <v>2015</v>
      </c>
      <c r="J3961" s="93">
        <v>13136</v>
      </c>
      <c r="K3961">
        <v>5</v>
      </c>
      <c r="L3961" s="1" t="s">
        <v>421</v>
      </c>
      <c r="M3961">
        <v>0</v>
      </c>
      <c r="N3961">
        <v>0</v>
      </c>
      <c r="O3961">
        <v>131360</v>
      </c>
      <c r="P3961">
        <v>2</v>
      </c>
      <c r="Q3961" s="1" t="s">
        <v>569</v>
      </c>
      <c r="R3961" s="93">
        <v>13136</v>
      </c>
      <c r="S3961">
        <v>6160.79</v>
      </c>
      <c r="T3961">
        <v>1</v>
      </c>
      <c r="U3961" s="1" t="s">
        <v>1107</v>
      </c>
      <c r="V3961" s="1"/>
      <c r="W3961">
        <v>13136</v>
      </c>
      <c r="X3961">
        <v>0</v>
      </c>
      <c r="Y3961">
        <v>68520</v>
      </c>
    </row>
    <row r="3962" spans="1:25" ht="15" hidden="1" customHeight="1" x14ac:dyDescent="0.25">
      <c r="A3962" s="1" t="s">
        <v>39</v>
      </c>
      <c r="B3962" s="1" t="s">
        <v>83</v>
      </c>
      <c r="C3962" s="1" t="s">
        <v>208</v>
      </c>
      <c r="D3962">
        <v>5451</v>
      </c>
      <c r="E3962" s="1"/>
      <c r="F3962" s="1" t="s">
        <v>389</v>
      </c>
      <c r="G3962" s="1" t="s">
        <v>1402</v>
      </c>
      <c r="H3962" s="1" t="s">
        <v>1396</v>
      </c>
      <c r="I3962">
        <v>2015</v>
      </c>
      <c r="J3962" s="93">
        <v>130</v>
      </c>
      <c r="K3962">
        <v>5</v>
      </c>
      <c r="L3962" s="1" t="s">
        <v>421</v>
      </c>
      <c r="M3962">
        <v>0</v>
      </c>
      <c r="N3962">
        <v>0</v>
      </c>
      <c r="O3962">
        <v>1300</v>
      </c>
      <c r="P3962">
        <v>2</v>
      </c>
      <c r="Q3962" s="1" t="s">
        <v>569</v>
      </c>
      <c r="R3962" s="93">
        <v>130</v>
      </c>
      <c r="S3962">
        <v>60.97</v>
      </c>
      <c r="T3962">
        <v>1</v>
      </c>
      <c r="U3962" s="1" t="s">
        <v>1108</v>
      </c>
      <c r="V3962" s="1"/>
      <c r="W3962">
        <v>130</v>
      </c>
      <c r="X3962">
        <v>0</v>
      </c>
      <c r="Y3962">
        <v>68519</v>
      </c>
    </row>
    <row r="3963" spans="1:25" ht="15" hidden="1" customHeight="1" x14ac:dyDescent="0.25">
      <c r="A3963" s="1" t="s">
        <v>39</v>
      </c>
      <c r="B3963" s="1" t="s">
        <v>83</v>
      </c>
      <c r="C3963" s="1" t="s">
        <v>208</v>
      </c>
      <c r="D3963">
        <v>5451</v>
      </c>
      <c r="E3963" s="1"/>
      <c r="F3963" s="1" t="s">
        <v>389</v>
      </c>
      <c r="G3963" s="1" t="s">
        <v>1402</v>
      </c>
      <c r="H3963" s="1" t="s">
        <v>1396</v>
      </c>
      <c r="I3963">
        <v>2013</v>
      </c>
      <c r="J3963" s="93">
        <v>25897.5</v>
      </c>
      <c r="K3963">
        <v>11</v>
      </c>
      <c r="L3963" s="1" t="s">
        <v>421</v>
      </c>
      <c r="M3963">
        <v>0</v>
      </c>
      <c r="N3963">
        <v>0</v>
      </c>
      <c r="O3963">
        <v>258975</v>
      </c>
      <c r="P3963">
        <v>2</v>
      </c>
      <c r="Q3963" s="1" t="s">
        <v>569</v>
      </c>
      <c r="R3963" s="93">
        <v>25897.5</v>
      </c>
      <c r="S3963">
        <v>10358.99</v>
      </c>
      <c r="T3963">
        <v>1</v>
      </c>
      <c r="U3963" s="1" t="s">
        <v>1104</v>
      </c>
      <c r="V3963" s="1"/>
      <c r="W3963">
        <v>25897.48876</v>
      </c>
      <c r="X3963">
        <v>0</v>
      </c>
      <c r="Y3963">
        <v>57640</v>
      </c>
    </row>
    <row r="3964" spans="1:25" ht="15" hidden="1" customHeight="1" x14ac:dyDescent="0.25">
      <c r="A3964" s="1" t="s">
        <v>39</v>
      </c>
      <c r="B3964" s="1" t="s">
        <v>83</v>
      </c>
      <c r="C3964" s="1" t="s">
        <v>208</v>
      </c>
      <c r="D3964">
        <v>5451</v>
      </c>
      <c r="E3964" s="1"/>
      <c r="F3964" s="1" t="s">
        <v>389</v>
      </c>
      <c r="G3964" s="1" t="s">
        <v>1402</v>
      </c>
      <c r="H3964" s="1" t="s">
        <v>1396</v>
      </c>
      <c r="I3964">
        <v>2013</v>
      </c>
      <c r="J3964" s="93">
        <v>1621.35</v>
      </c>
      <c r="K3964">
        <v>12</v>
      </c>
      <c r="L3964" s="1" t="s">
        <v>421</v>
      </c>
      <c r="M3964">
        <v>0</v>
      </c>
      <c r="N3964">
        <v>0</v>
      </c>
      <c r="O3964">
        <v>16213.5</v>
      </c>
      <c r="P3964">
        <v>2</v>
      </c>
      <c r="Q3964" s="1" t="s">
        <v>569</v>
      </c>
      <c r="R3964" s="93">
        <v>1621.35</v>
      </c>
      <c r="S3964">
        <v>648.54</v>
      </c>
      <c r="T3964">
        <v>1</v>
      </c>
      <c r="U3964" s="1" t="s">
        <v>1106</v>
      </c>
      <c r="V3964" s="1"/>
      <c r="W3964">
        <v>1621.3333399999999</v>
      </c>
      <c r="X3964">
        <v>0</v>
      </c>
      <c r="Y3964">
        <v>61888</v>
      </c>
    </row>
    <row r="3965" spans="1:25" ht="15" hidden="1" customHeight="1" x14ac:dyDescent="0.25">
      <c r="A3965" s="1" t="s">
        <v>39</v>
      </c>
      <c r="B3965" s="1" t="s">
        <v>83</v>
      </c>
      <c r="C3965" s="1" t="s">
        <v>208</v>
      </c>
      <c r="D3965">
        <v>5451</v>
      </c>
      <c r="E3965" s="1"/>
      <c r="F3965" s="1" t="s">
        <v>389</v>
      </c>
      <c r="G3965" s="1" t="s">
        <v>1402</v>
      </c>
      <c r="H3965" s="1" t="s">
        <v>1396</v>
      </c>
      <c r="I3965">
        <v>2013</v>
      </c>
      <c r="J3965" s="93">
        <v>33257.660000000003</v>
      </c>
      <c r="K3965">
        <v>12</v>
      </c>
      <c r="L3965" s="1" t="s">
        <v>421</v>
      </c>
      <c r="M3965">
        <v>0</v>
      </c>
      <c r="N3965">
        <v>0</v>
      </c>
      <c r="O3965">
        <v>332576.59999999998</v>
      </c>
      <c r="P3965">
        <v>2</v>
      </c>
      <c r="Q3965" s="1" t="s">
        <v>569</v>
      </c>
      <c r="R3965" s="93">
        <v>33257.660000000003</v>
      </c>
      <c r="S3965">
        <v>15597.82</v>
      </c>
      <c r="T3965">
        <v>1</v>
      </c>
      <c r="U3965" s="1" t="s">
        <v>1107</v>
      </c>
      <c r="V3965" s="1"/>
      <c r="W3965">
        <v>33257.648500000003</v>
      </c>
      <c r="X3965">
        <v>0</v>
      </c>
      <c r="Y3965">
        <v>68520</v>
      </c>
    </row>
    <row r="3966" spans="1:25" ht="15" hidden="1" customHeight="1" x14ac:dyDescent="0.25">
      <c r="A3966" s="1" t="s">
        <v>39</v>
      </c>
      <c r="B3966" s="1" t="s">
        <v>83</v>
      </c>
      <c r="C3966" s="1" t="s">
        <v>208</v>
      </c>
      <c r="D3966">
        <v>5451</v>
      </c>
      <c r="E3966" s="1"/>
      <c r="F3966" s="1" t="s">
        <v>389</v>
      </c>
      <c r="G3966" s="1" t="s">
        <v>1402</v>
      </c>
      <c r="H3966" s="1" t="s">
        <v>1396</v>
      </c>
      <c r="I3966">
        <v>2013</v>
      </c>
      <c r="J3966" s="93">
        <v>24976.5</v>
      </c>
      <c r="K3966">
        <v>12</v>
      </c>
      <c r="L3966" s="1" t="s">
        <v>421</v>
      </c>
      <c r="M3966">
        <v>0</v>
      </c>
      <c r="N3966">
        <v>0</v>
      </c>
      <c r="O3966">
        <v>249765</v>
      </c>
      <c r="P3966">
        <v>2</v>
      </c>
      <c r="Q3966" s="1" t="s">
        <v>569</v>
      </c>
      <c r="R3966" s="93">
        <v>24976.5</v>
      </c>
      <c r="S3966">
        <v>9990.58</v>
      </c>
      <c r="T3966">
        <v>1</v>
      </c>
      <c r="U3966" s="1" t="s">
        <v>1105</v>
      </c>
      <c r="V3966" s="1"/>
      <c r="W3966">
        <v>24976.484840000001</v>
      </c>
      <c r="X3966">
        <v>0</v>
      </c>
      <c r="Y3966">
        <v>61886</v>
      </c>
    </row>
    <row r="3967" spans="1:25" ht="15" hidden="1" customHeight="1" x14ac:dyDescent="0.25">
      <c r="A3967" s="1" t="s">
        <v>39</v>
      </c>
      <c r="B3967" s="1" t="s">
        <v>83</v>
      </c>
      <c r="C3967" s="1" t="s">
        <v>208</v>
      </c>
      <c r="D3967">
        <v>5451</v>
      </c>
      <c r="E3967" s="1"/>
      <c r="F3967" s="1" t="s">
        <v>389</v>
      </c>
      <c r="G3967" s="1" t="s">
        <v>1402</v>
      </c>
      <c r="H3967" s="1" t="s">
        <v>1396</v>
      </c>
      <c r="I3967">
        <v>2013</v>
      </c>
      <c r="J3967" s="93">
        <v>1045.18</v>
      </c>
      <c r="K3967">
        <v>12</v>
      </c>
      <c r="L3967" s="1" t="s">
        <v>421</v>
      </c>
      <c r="M3967">
        <v>0</v>
      </c>
      <c r="N3967">
        <v>0</v>
      </c>
      <c r="O3967">
        <v>10451.799999999999</v>
      </c>
      <c r="P3967">
        <v>2</v>
      </c>
      <c r="Q3967" s="1" t="s">
        <v>569</v>
      </c>
      <c r="R3967" s="93">
        <v>1045.18</v>
      </c>
      <c r="S3967">
        <v>490.19</v>
      </c>
      <c r="T3967">
        <v>1</v>
      </c>
      <c r="U3967" s="1" t="s">
        <v>1108</v>
      </c>
      <c r="V3967" s="1"/>
      <c r="W3967">
        <v>1045.18788</v>
      </c>
      <c r="X3967">
        <v>0</v>
      </c>
      <c r="Y3967">
        <v>68519</v>
      </c>
    </row>
    <row r="3968" spans="1:25" ht="15" hidden="1" customHeight="1" x14ac:dyDescent="0.25">
      <c r="A3968" s="1" t="s">
        <v>39</v>
      </c>
      <c r="B3968" s="1" t="s">
        <v>83</v>
      </c>
      <c r="C3968" s="1" t="s">
        <v>208</v>
      </c>
      <c r="D3968">
        <v>5451</v>
      </c>
      <c r="E3968" s="1"/>
      <c r="F3968" s="1" t="s">
        <v>389</v>
      </c>
      <c r="G3968" s="1" t="s">
        <v>1402</v>
      </c>
      <c r="H3968" s="1" t="s">
        <v>1396</v>
      </c>
      <c r="I3968">
        <v>2012</v>
      </c>
      <c r="J3968" s="93">
        <v>2915.4</v>
      </c>
      <c r="K3968">
        <v>13</v>
      </c>
      <c r="L3968" s="1" t="s">
        <v>421</v>
      </c>
      <c r="M3968">
        <v>0</v>
      </c>
      <c r="N3968">
        <v>0</v>
      </c>
      <c r="O3968">
        <v>29154</v>
      </c>
      <c r="P3968">
        <v>2</v>
      </c>
      <c r="Q3968" s="1" t="s">
        <v>569</v>
      </c>
      <c r="R3968" s="93">
        <v>2915.4</v>
      </c>
      <c r="S3968">
        <v>1166.1500000000001</v>
      </c>
      <c r="T3968">
        <v>1</v>
      </c>
      <c r="U3968" s="1" t="s">
        <v>1106</v>
      </c>
      <c r="V3968" s="1"/>
      <c r="W3968">
        <v>2915.3939300000002</v>
      </c>
      <c r="X3968">
        <v>0</v>
      </c>
      <c r="Y3968">
        <v>61888</v>
      </c>
    </row>
    <row r="3969" spans="1:25" ht="15" hidden="1" customHeight="1" x14ac:dyDescent="0.25">
      <c r="A3969" s="1" t="s">
        <v>39</v>
      </c>
      <c r="B3969" s="1" t="s">
        <v>83</v>
      </c>
      <c r="C3969" s="1" t="s">
        <v>208</v>
      </c>
      <c r="D3969">
        <v>5451</v>
      </c>
      <c r="E3969" s="1"/>
      <c r="F3969" s="1" t="s">
        <v>389</v>
      </c>
      <c r="G3969" s="1" t="s">
        <v>1402</v>
      </c>
      <c r="H3969" s="1" t="s">
        <v>1396</v>
      </c>
      <c r="I3969">
        <v>2012</v>
      </c>
      <c r="J3969" s="93">
        <v>2755.39</v>
      </c>
      <c r="K3969">
        <v>13</v>
      </c>
      <c r="L3969" s="1" t="s">
        <v>421</v>
      </c>
      <c r="M3969">
        <v>0</v>
      </c>
      <c r="N3969">
        <v>0</v>
      </c>
      <c r="O3969">
        <v>27553.9</v>
      </c>
      <c r="P3969">
        <v>2</v>
      </c>
      <c r="Q3969" s="1" t="s">
        <v>569</v>
      </c>
      <c r="R3969" s="93">
        <v>2755.39</v>
      </c>
      <c r="S3969">
        <v>1292.27</v>
      </c>
      <c r="T3969">
        <v>1</v>
      </c>
      <c r="U3969" s="1" t="s">
        <v>1108</v>
      </c>
      <c r="V3969" s="1"/>
      <c r="W3969">
        <v>2755.3939500000001</v>
      </c>
      <c r="X3969">
        <v>0</v>
      </c>
      <c r="Y3969">
        <v>68519</v>
      </c>
    </row>
    <row r="3970" spans="1:25" ht="15" hidden="1" customHeight="1" x14ac:dyDescent="0.25">
      <c r="A3970" s="1" t="s">
        <v>39</v>
      </c>
      <c r="B3970" s="1" t="s">
        <v>83</v>
      </c>
      <c r="C3970" s="1" t="s">
        <v>208</v>
      </c>
      <c r="D3970">
        <v>5451</v>
      </c>
      <c r="E3970" s="1"/>
      <c r="F3970" s="1" t="s">
        <v>389</v>
      </c>
      <c r="G3970" s="1" t="s">
        <v>1402</v>
      </c>
      <c r="H3970" s="1" t="s">
        <v>1396</v>
      </c>
      <c r="I3970">
        <v>2012</v>
      </c>
      <c r="J3970" s="93">
        <v>28401.93</v>
      </c>
      <c r="K3970">
        <v>13</v>
      </c>
      <c r="L3970" s="1" t="s">
        <v>421</v>
      </c>
      <c r="M3970">
        <v>0</v>
      </c>
      <c r="N3970">
        <v>0</v>
      </c>
      <c r="O3970">
        <v>284019.3</v>
      </c>
      <c r="P3970">
        <v>2</v>
      </c>
      <c r="Q3970" s="1" t="s">
        <v>569</v>
      </c>
      <c r="R3970" s="93">
        <v>28401.93</v>
      </c>
      <c r="S3970">
        <v>13320.51</v>
      </c>
      <c r="T3970">
        <v>1</v>
      </c>
      <c r="U3970" s="1" t="s">
        <v>1107</v>
      </c>
      <c r="V3970" s="1"/>
      <c r="W3970">
        <v>28401.939399999999</v>
      </c>
      <c r="X3970">
        <v>0</v>
      </c>
      <c r="Y3970">
        <v>68520</v>
      </c>
    </row>
    <row r="3971" spans="1:25" ht="15" hidden="1" customHeight="1" x14ac:dyDescent="0.25">
      <c r="A3971" s="1" t="s">
        <v>39</v>
      </c>
      <c r="B3971" s="1" t="s">
        <v>83</v>
      </c>
      <c r="C3971" s="1" t="s">
        <v>208</v>
      </c>
      <c r="D3971">
        <v>5451</v>
      </c>
      <c r="E3971" s="1"/>
      <c r="F3971" s="1" t="s">
        <v>389</v>
      </c>
      <c r="G3971" s="1" t="s">
        <v>1402</v>
      </c>
      <c r="H3971" s="1" t="s">
        <v>1396</v>
      </c>
      <c r="I3971">
        <v>2012</v>
      </c>
      <c r="J3971" s="93">
        <v>20370.64</v>
      </c>
      <c r="K3971">
        <v>13</v>
      </c>
      <c r="L3971" s="1" t="s">
        <v>421</v>
      </c>
      <c r="M3971">
        <v>0</v>
      </c>
      <c r="N3971">
        <v>0</v>
      </c>
      <c r="O3971">
        <v>203706.4</v>
      </c>
      <c r="P3971">
        <v>2</v>
      </c>
      <c r="Q3971" s="1" t="s">
        <v>569</v>
      </c>
      <c r="R3971" s="93">
        <v>20370.64</v>
      </c>
      <c r="S3971">
        <v>8148.26</v>
      </c>
      <c r="T3971">
        <v>1</v>
      </c>
      <c r="U3971" s="1" t="s">
        <v>1104</v>
      </c>
      <c r="V3971" s="1"/>
      <c r="W3971">
        <v>20370.63636</v>
      </c>
      <c r="X3971">
        <v>0</v>
      </c>
      <c r="Y3971">
        <v>57640</v>
      </c>
    </row>
    <row r="3972" spans="1:25" ht="15" hidden="1" customHeight="1" x14ac:dyDescent="0.25">
      <c r="A3972" s="1" t="s">
        <v>39</v>
      </c>
      <c r="B3972" s="1" t="s">
        <v>83</v>
      </c>
      <c r="C3972" s="1" t="s">
        <v>208</v>
      </c>
      <c r="D3972">
        <v>5451</v>
      </c>
      <c r="E3972" s="1"/>
      <c r="F3972" s="1" t="s">
        <v>389</v>
      </c>
      <c r="G3972" s="1" t="s">
        <v>1402</v>
      </c>
      <c r="H3972" s="1" t="s">
        <v>1396</v>
      </c>
      <c r="I3972">
        <v>2012</v>
      </c>
      <c r="J3972" s="93">
        <v>23081.21</v>
      </c>
      <c r="K3972">
        <v>13</v>
      </c>
      <c r="L3972" s="1" t="s">
        <v>421</v>
      </c>
      <c r="M3972">
        <v>0</v>
      </c>
      <c r="N3972">
        <v>0</v>
      </c>
      <c r="O3972">
        <v>230812.1</v>
      </c>
      <c r="P3972">
        <v>2</v>
      </c>
      <c r="Q3972" s="1" t="s">
        <v>569</v>
      </c>
      <c r="R3972" s="93">
        <v>23081.21</v>
      </c>
      <c r="S3972">
        <v>9232.5</v>
      </c>
      <c r="T3972">
        <v>1</v>
      </c>
      <c r="U3972" s="1" t="s">
        <v>1105</v>
      </c>
      <c r="V3972" s="1"/>
      <c r="W3972">
        <v>23081.21213</v>
      </c>
      <c r="X3972">
        <v>0</v>
      </c>
      <c r="Y3972">
        <v>61886</v>
      </c>
    </row>
    <row r="3973" spans="1:25" ht="15" hidden="1" customHeight="1" x14ac:dyDescent="0.25">
      <c r="A3973" s="1" t="s">
        <v>39</v>
      </c>
      <c r="B3973" s="1" t="s">
        <v>83</v>
      </c>
      <c r="C3973" s="1" t="s">
        <v>208</v>
      </c>
      <c r="D3973">
        <v>5451</v>
      </c>
      <c r="E3973" s="1"/>
      <c r="F3973" s="1" t="s">
        <v>389</v>
      </c>
      <c r="G3973" s="1" t="s">
        <v>1402</v>
      </c>
      <c r="H3973" s="1" t="s">
        <v>1396</v>
      </c>
      <c r="I3973">
        <v>2011</v>
      </c>
      <c r="J3973" s="93">
        <v>3963.16</v>
      </c>
      <c r="K3973">
        <v>12</v>
      </c>
      <c r="L3973" s="1" t="s">
        <v>421</v>
      </c>
      <c r="M3973">
        <v>0</v>
      </c>
      <c r="N3973">
        <v>0</v>
      </c>
      <c r="O3973">
        <v>39631.599999999999</v>
      </c>
      <c r="P3973">
        <v>2</v>
      </c>
      <c r="Q3973" s="1" t="s">
        <v>569</v>
      </c>
      <c r="R3973" s="93">
        <v>3963.16</v>
      </c>
      <c r="S3973">
        <v>1858.71</v>
      </c>
      <c r="T3973">
        <v>1</v>
      </c>
      <c r="U3973" s="1" t="s">
        <v>1108</v>
      </c>
      <c r="V3973" s="1"/>
      <c r="W3973">
        <v>3963.1515100000001</v>
      </c>
      <c r="X3973">
        <v>0</v>
      </c>
      <c r="Y3973">
        <v>68519</v>
      </c>
    </row>
    <row r="3974" spans="1:25" ht="15" hidden="1" customHeight="1" x14ac:dyDescent="0.25">
      <c r="A3974" s="1" t="s">
        <v>39</v>
      </c>
      <c r="B3974" s="1" t="s">
        <v>83</v>
      </c>
      <c r="C3974" s="1" t="s">
        <v>208</v>
      </c>
      <c r="D3974">
        <v>5451</v>
      </c>
      <c r="E3974" s="1"/>
      <c r="F3974" s="1" t="s">
        <v>389</v>
      </c>
      <c r="G3974" s="1" t="s">
        <v>1402</v>
      </c>
      <c r="H3974" s="1" t="s">
        <v>1396</v>
      </c>
      <c r="I3974">
        <v>2011</v>
      </c>
      <c r="J3974" s="93">
        <v>16267.89</v>
      </c>
      <c r="K3974">
        <v>12</v>
      </c>
      <c r="L3974" s="1" t="s">
        <v>421</v>
      </c>
      <c r="M3974">
        <v>0</v>
      </c>
      <c r="N3974">
        <v>0</v>
      </c>
      <c r="O3974">
        <v>162678.9</v>
      </c>
      <c r="P3974">
        <v>2</v>
      </c>
      <c r="Q3974" s="1" t="s">
        <v>569</v>
      </c>
      <c r="R3974" s="93">
        <v>16267.89</v>
      </c>
      <c r="S3974">
        <v>7629.63</v>
      </c>
      <c r="T3974">
        <v>1</v>
      </c>
      <c r="U3974" s="1" t="s">
        <v>1104</v>
      </c>
      <c r="V3974" s="1"/>
      <c r="W3974">
        <v>16267.878790000001</v>
      </c>
      <c r="X3974">
        <v>0</v>
      </c>
      <c r="Y3974">
        <v>57640</v>
      </c>
    </row>
    <row r="3975" spans="1:25" ht="15" hidden="1" customHeight="1" x14ac:dyDescent="0.25">
      <c r="A3975" s="1" t="s">
        <v>39</v>
      </c>
      <c r="B3975" s="1" t="s">
        <v>83</v>
      </c>
      <c r="C3975" s="1" t="s">
        <v>208</v>
      </c>
      <c r="D3975">
        <v>5451</v>
      </c>
      <c r="E3975" s="1"/>
      <c r="F3975" s="1" t="s">
        <v>389</v>
      </c>
      <c r="G3975" s="1" t="s">
        <v>1402</v>
      </c>
      <c r="H3975" s="1" t="s">
        <v>1396</v>
      </c>
      <c r="I3975">
        <v>2011</v>
      </c>
      <c r="J3975" s="93">
        <v>22533.32</v>
      </c>
      <c r="K3975">
        <v>12</v>
      </c>
      <c r="L3975" s="1" t="s">
        <v>421</v>
      </c>
      <c r="M3975">
        <v>0</v>
      </c>
      <c r="N3975">
        <v>0</v>
      </c>
      <c r="O3975">
        <v>225333.2</v>
      </c>
      <c r="P3975">
        <v>2</v>
      </c>
      <c r="Q3975" s="1" t="s">
        <v>569</v>
      </c>
      <c r="R3975" s="93">
        <v>22533.32</v>
      </c>
      <c r="S3975">
        <v>10568.12</v>
      </c>
      <c r="T3975">
        <v>1</v>
      </c>
      <c r="U3975" s="1" t="s">
        <v>1105</v>
      </c>
      <c r="V3975" s="1"/>
      <c r="W3975">
        <v>22533.333340000001</v>
      </c>
      <c r="X3975">
        <v>0</v>
      </c>
      <c r="Y3975">
        <v>61886</v>
      </c>
    </row>
    <row r="3976" spans="1:25" ht="15" hidden="1" customHeight="1" x14ac:dyDescent="0.25">
      <c r="A3976" s="1" t="s">
        <v>39</v>
      </c>
      <c r="B3976" s="1" t="s">
        <v>83</v>
      </c>
      <c r="C3976" s="1" t="s">
        <v>208</v>
      </c>
      <c r="D3976">
        <v>5451</v>
      </c>
      <c r="E3976" s="1"/>
      <c r="F3976" s="1" t="s">
        <v>389</v>
      </c>
      <c r="G3976" s="1" t="s">
        <v>1402</v>
      </c>
      <c r="H3976" s="1" t="s">
        <v>1396</v>
      </c>
      <c r="I3976">
        <v>2011</v>
      </c>
      <c r="J3976" s="93">
        <v>3705.69</v>
      </c>
      <c r="K3976">
        <v>12</v>
      </c>
      <c r="L3976" s="1" t="s">
        <v>421</v>
      </c>
      <c r="M3976">
        <v>0</v>
      </c>
      <c r="N3976">
        <v>0</v>
      </c>
      <c r="O3976">
        <v>37056.9</v>
      </c>
      <c r="P3976">
        <v>2</v>
      </c>
      <c r="Q3976" s="1" t="s">
        <v>569</v>
      </c>
      <c r="R3976" s="93">
        <v>3705.69</v>
      </c>
      <c r="S3976">
        <v>1737.97</v>
      </c>
      <c r="T3976">
        <v>1</v>
      </c>
      <c r="U3976" s="1" t="s">
        <v>1106</v>
      </c>
      <c r="V3976" s="1"/>
      <c r="W3976">
        <v>3705.69697</v>
      </c>
      <c r="X3976">
        <v>0</v>
      </c>
      <c r="Y3976">
        <v>61888</v>
      </c>
    </row>
    <row r="3977" spans="1:25" ht="15" hidden="1" customHeight="1" x14ac:dyDescent="0.25">
      <c r="A3977" s="1" t="s">
        <v>39</v>
      </c>
      <c r="B3977" s="1" t="s">
        <v>83</v>
      </c>
      <c r="C3977" s="1" t="s">
        <v>208</v>
      </c>
      <c r="D3977">
        <v>5451</v>
      </c>
      <c r="E3977" s="1"/>
      <c r="F3977" s="1" t="s">
        <v>389</v>
      </c>
      <c r="G3977" s="1" t="s">
        <v>1402</v>
      </c>
      <c r="H3977" s="1" t="s">
        <v>1396</v>
      </c>
      <c r="I3977">
        <v>2011</v>
      </c>
      <c r="J3977" s="93">
        <v>27433.71</v>
      </c>
      <c r="K3977">
        <v>12</v>
      </c>
      <c r="L3977" s="1" t="s">
        <v>421</v>
      </c>
      <c r="M3977">
        <v>0</v>
      </c>
      <c r="N3977">
        <v>0</v>
      </c>
      <c r="O3977">
        <v>274337.09999999998</v>
      </c>
      <c r="P3977">
        <v>2</v>
      </c>
      <c r="Q3977" s="1" t="s">
        <v>569</v>
      </c>
      <c r="R3977" s="93">
        <v>27433.71</v>
      </c>
      <c r="S3977">
        <v>12866.41</v>
      </c>
      <c r="T3977">
        <v>1</v>
      </c>
      <c r="U3977" s="1" t="s">
        <v>1107</v>
      </c>
      <c r="V3977" s="1"/>
      <c r="W3977">
        <v>27433.696980000001</v>
      </c>
      <c r="X3977">
        <v>0</v>
      </c>
      <c r="Y3977">
        <v>68520</v>
      </c>
    </row>
    <row r="3978" spans="1:25" ht="15" hidden="1" customHeight="1" x14ac:dyDescent="0.25">
      <c r="A3978" s="1" t="s">
        <v>39</v>
      </c>
      <c r="B3978" s="1" t="s">
        <v>83</v>
      </c>
      <c r="C3978" s="1" t="s">
        <v>208</v>
      </c>
      <c r="D3978">
        <v>5451</v>
      </c>
      <c r="E3978" s="1"/>
      <c r="F3978" s="1" t="s">
        <v>389</v>
      </c>
      <c r="G3978" s="1" t="s">
        <v>1402</v>
      </c>
      <c r="H3978" s="1" t="s">
        <v>1396</v>
      </c>
      <c r="I3978">
        <v>2010</v>
      </c>
      <c r="J3978" s="93">
        <v>4460.6099999999997</v>
      </c>
      <c r="K3978">
        <v>13</v>
      </c>
      <c r="L3978" s="1" t="s">
        <v>421</v>
      </c>
      <c r="M3978">
        <v>0</v>
      </c>
      <c r="N3978">
        <v>0</v>
      </c>
      <c r="O3978">
        <v>44606.1</v>
      </c>
      <c r="P3978">
        <v>2</v>
      </c>
      <c r="Q3978" s="1" t="s">
        <v>569</v>
      </c>
      <c r="R3978" s="93">
        <v>4460.6099999999997</v>
      </c>
      <c r="S3978">
        <v>2092.0100000000002</v>
      </c>
      <c r="T3978">
        <v>1</v>
      </c>
      <c r="U3978" s="1" t="s">
        <v>1108</v>
      </c>
      <c r="V3978" s="1"/>
      <c r="W3978">
        <v>4460.6060500000003</v>
      </c>
      <c r="X3978">
        <v>0</v>
      </c>
      <c r="Y3978">
        <v>68519</v>
      </c>
    </row>
    <row r="3979" spans="1:25" ht="15" hidden="1" customHeight="1" x14ac:dyDescent="0.25">
      <c r="A3979" s="1" t="s">
        <v>39</v>
      </c>
      <c r="B3979" s="1" t="s">
        <v>83</v>
      </c>
      <c r="C3979" s="1" t="s">
        <v>208</v>
      </c>
      <c r="D3979">
        <v>5451</v>
      </c>
      <c r="E3979" s="1"/>
      <c r="F3979" s="1" t="s">
        <v>389</v>
      </c>
      <c r="G3979" s="1" t="s">
        <v>1402</v>
      </c>
      <c r="H3979" s="1" t="s">
        <v>1396</v>
      </c>
      <c r="I3979">
        <v>2010</v>
      </c>
      <c r="J3979" s="93">
        <v>18686.810000000001</v>
      </c>
      <c r="K3979">
        <v>12</v>
      </c>
      <c r="L3979" s="1" t="s">
        <v>421</v>
      </c>
      <c r="M3979">
        <v>0</v>
      </c>
      <c r="N3979">
        <v>0</v>
      </c>
      <c r="O3979">
        <v>186868.1</v>
      </c>
      <c r="P3979">
        <v>2</v>
      </c>
      <c r="Q3979" s="1" t="s">
        <v>569</v>
      </c>
      <c r="R3979" s="93">
        <v>18686.810000000001</v>
      </c>
      <c r="S3979">
        <v>8764.1299999999992</v>
      </c>
      <c r="T3979">
        <v>1</v>
      </c>
      <c r="U3979" s="1" t="s">
        <v>1104</v>
      </c>
      <c r="V3979" s="1"/>
      <c r="W3979">
        <v>18686.82532</v>
      </c>
      <c r="X3979">
        <v>0</v>
      </c>
      <c r="Y3979">
        <v>57640</v>
      </c>
    </row>
    <row r="3980" spans="1:25" ht="15" hidden="1" customHeight="1" x14ac:dyDescent="0.25">
      <c r="A3980" s="1" t="s">
        <v>39</v>
      </c>
      <c r="B3980" s="1" t="s">
        <v>83</v>
      </c>
      <c r="C3980" s="1" t="s">
        <v>208</v>
      </c>
      <c r="D3980">
        <v>5451</v>
      </c>
      <c r="E3980" s="1"/>
      <c r="F3980" s="1" t="s">
        <v>389</v>
      </c>
      <c r="G3980" s="1" t="s">
        <v>1402</v>
      </c>
      <c r="H3980" s="1" t="s">
        <v>1396</v>
      </c>
      <c r="I3980">
        <v>2010</v>
      </c>
      <c r="J3980" s="93">
        <v>22351.51</v>
      </c>
      <c r="K3980">
        <v>14</v>
      </c>
      <c r="L3980" s="1" t="s">
        <v>421</v>
      </c>
      <c r="M3980">
        <v>0</v>
      </c>
      <c r="N3980">
        <v>0</v>
      </c>
      <c r="O3980">
        <v>223515.1</v>
      </c>
      <c r="P3980">
        <v>2</v>
      </c>
      <c r="Q3980" s="1" t="s">
        <v>569</v>
      </c>
      <c r="R3980" s="93">
        <v>22351.51</v>
      </c>
      <c r="S3980">
        <v>10482.85</v>
      </c>
      <c r="T3980">
        <v>1</v>
      </c>
      <c r="U3980" s="1" t="s">
        <v>1105</v>
      </c>
      <c r="V3980" s="1"/>
      <c r="W3980">
        <v>22351.515149999999</v>
      </c>
      <c r="X3980">
        <v>0</v>
      </c>
      <c r="Y3980">
        <v>61886</v>
      </c>
    </row>
    <row r="3981" spans="1:25" ht="15" hidden="1" customHeight="1" x14ac:dyDescent="0.25">
      <c r="A3981" s="1" t="s">
        <v>39</v>
      </c>
      <c r="B3981" s="1" t="s">
        <v>83</v>
      </c>
      <c r="C3981" s="1" t="s">
        <v>208</v>
      </c>
      <c r="D3981">
        <v>5451</v>
      </c>
      <c r="E3981" s="1"/>
      <c r="F3981" s="1" t="s">
        <v>389</v>
      </c>
      <c r="G3981" s="1" t="s">
        <v>1402</v>
      </c>
      <c r="H3981" s="1" t="s">
        <v>1396</v>
      </c>
      <c r="I3981">
        <v>2010</v>
      </c>
      <c r="J3981" s="93">
        <v>4038.79</v>
      </c>
      <c r="K3981">
        <v>13</v>
      </c>
      <c r="L3981" s="1" t="s">
        <v>421</v>
      </c>
      <c r="M3981">
        <v>0</v>
      </c>
      <c r="N3981">
        <v>0</v>
      </c>
      <c r="O3981">
        <v>40387.9</v>
      </c>
      <c r="P3981">
        <v>2</v>
      </c>
      <c r="Q3981" s="1" t="s">
        <v>569</v>
      </c>
      <c r="R3981" s="93">
        <v>4038.79</v>
      </c>
      <c r="S3981">
        <v>1894.18</v>
      </c>
      <c r="T3981">
        <v>1</v>
      </c>
      <c r="U3981" s="1" t="s">
        <v>1106</v>
      </c>
      <c r="V3981" s="1"/>
      <c r="W3981">
        <v>4038.7878799999999</v>
      </c>
      <c r="X3981">
        <v>0</v>
      </c>
      <c r="Y3981">
        <v>61888</v>
      </c>
    </row>
    <row r="3982" spans="1:25" ht="15" hidden="1" customHeight="1" x14ac:dyDescent="0.25">
      <c r="A3982" s="1" t="s">
        <v>39</v>
      </c>
      <c r="B3982" s="1" t="s">
        <v>83</v>
      </c>
      <c r="C3982" s="1" t="s">
        <v>208</v>
      </c>
      <c r="D3982">
        <v>5451</v>
      </c>
      <c r="E3982" s="1"/>
      <c r="F3982" s="1" t="s">
        <v>389</v>
      </c>
      <c r="G3982" s="1" t="s">
        <v>1402</v>
      </c>
      <c r="H3982" s="1" t="s">
        <v>1396</v>
      </c>
      <c r="I3982">
        <v>2010</v>
      </c>
      <c r="J3982" s="93">
        <v>36349.57</v>
      </c>
      <c r="K3982">
        <v>14</v>
      </c>
      <c r="L3982" s="1" t="s">
        <v>421</v>
      </c>
      <c r="M3982">
        <v>0</v>
      </c>
      <c r="N3982">
        <v>0</v>
      </c>
      <c r="O3982">
        <v>363495.7</v>
      </c>
      <c r="P3982">
        <v>2</v>
      </c>
      <c r="Q3982" s="1" t="s">
        <v>569</v>
      </c>
      <c r="R3982" s="93">
        <v>36349.57</v>
      </c>
      <c r="S3982">
        <v>17047.96</v>
      </c>
      <c r="T3982">
        <v>1</v>
      </c>
      <c r="U3982" s="1" t="s">
        <v>1107</v>
      </c>
      <c r="V3982" s="1"/>
      <c r="W3982">
        <v>36349.575750000004</v>
      </c>
      <c r="X3982">
        <v>0</v>
      </c>
      <c r="Y3982">
        <v>68520</v>
      </c>
    </row>
    <row r="3983" spans="1:25" ht="15" hidden="1" customHeight="1" x14ac:dyDescent="0.25">
      <c r="A3983" s="1" t="s">
        <v>39</v>
      </c>
      <c r="B3983" s="1" t="s">
        <v>83</v>
      </c>
      <c r="C3983" s="1" t="s">
        <v>208</v>
      </c>
      <c r="D3983">
        <v>5451</v>
      </c>
      <c r="E3983" s="1"/>
      <c r="F3983" s="1" t="s">
        <v>389</v>
      </c>
      <c r="G3983" s="1" t="s">
        <v>1402</v>
      </c>
      <c r="H3983" s="1" t="s">
        <v>1396</v>
      </c>
      <c r="I3983">
        <v>2009</v>
      </c>
      <c r="J3983" s="93">
        <v>24160.29</v>
      </c>
      <c r="K3983">
        <v>12</v>
      </c>
      <c r="L3983" s="1" t="s">
        <v>421</v>
      </c>
      <c r="M3983">
        <v>0</v>
      </c>
      <c r="N3983">
        <v>0</v>
      </c>
      <c r="O3983">
        <v>241602.9</v>
      </c>
      <c r="P3983">
        <v>2</v>
      </c>
      <c r="Q3983" s="1" t="s">
        <v>569</v>
      </c>
      <c r="R3983" s="93">
        <v>24160.29</v>
      </c>
      <c r="S3983">
        <v>11331.16</v>
      </c>
      <c r="T3983">
        <v>1</v>
      </c>
      <c r="U3983" s="1" t="s">
        <v>1105</v>
      </c>
      <c r="V3983" s="1"/>
      <c r="W3983">
        <v>24160.28787</v>
      </c>
      <c r="X3983">
        <v>0</v>
      </c>
      <c r="Y3983">
        <v>61886</v>
      </c>
    </row>
    <row r="3984" spans="1:25" ht="15" hidden="1" customHeight="1" x14ac:dyDescent="0.25">
      <c r="A3984" s="1" t="s">
        <v>39</v>
      </c>
      <c r="B3984" s="1" t="s">
        <v>83</v>
      </c>
      <c r="C3984" s="1" t="s">
        <v>208</v>
      </c>
      <c r="D3984">
        <v>5451</v>
      </c>
      <c r="E3984" s="1"/>
      <c r="F3984" s="1" t="s">
        <v>389</v>
      </c>
      <c r="G3984" s="1" t="s">
        <v>1402</v>
      </c>
      <c r="H3984" s="1" t="s">
        <v>1396</v>
      </c>
      <c r="I3984">
        <v>2009</v>
      </c>
      <c r="J3984" s="93">
        <v>6143.57</v>
      </c>
      <c r="K3984">
        <v>12</v>
      </c>
      <c r="L3984" s="1" t="s">
        <v>421</v>
      </c>
      <c r="M3984">
        <v>0</v>
      </c>
      <c r="N3984">
        <v>0</v>
      </c>
      <c r="O3984">
        <v>61435.7</v>
      </c>
      <c r="P3984">
        <v>2</v>
      </c>
      <c r="Q3984" s="1" t="s">
        <v>569</v>
      </c>
      <c r="R3984" s="93">
        <v>6143.57</v>
      </c>
      <c r="S3984">
        <v>2881.33</v>
      </c>
      <c r="T3984">
        <v>1</v>
      </c>
      <c r="U3984" s="1" t="s">
        <v>1108</v>
      </c>
      <c r="V3984" s="1"/>
      <c r="W3984">
        <v>6143.5605999999998</v>
      </c>
      <c r="X3984">
        <v>0</v>
      </c>
      <c r="Y3984">
        <v>68519</v>
      </c>
    </row>
    <row r="3985" spans="1:25" ht="15" hidden="1" customHeight="1" x14ac:dyDescent="0.25">
      <c r="A3985" s="1" t="s">
        <v>39</v>
      </c>
      <c r="B3985" s="1" t="s">
        <v>83</v>
      </c>
      <c r="C3985" s="1" t="s">
        <v>208</v>
      </c>
      <c r="D3985">
        <v>5451</v>
      </c>
      <c r="E3985" s="1"/>
      <c r="F3985" s="1" t="s">
        <v>389</v>
      </c>
      <c r="G3985" s="1" t="s">
        <v>1402</v>
      </c>
      <c r="H3985" s="1" t="s">
        <v>1396</v>
      </c>
      <c r="I3985">
        <v>2009</v>
      </c>
      <c r="J3985" s="93">
        <v>20689.77</v>
      </c>
      <c r="K3985">
        <v>12</v>
      </c>
      <c r="L3985" s="1" t="s">
        <v>421</v>
      </c>
      <c r="M3985">
        <v>0</v>
      </c>
      <c r="N3985">
        <v>0</v>
      </c>
      <c r="O3985">
        <v>206897.7</v>
      </c>
      <c r="P3985">
        <v>2</v>
      </c>
      <c r="Q3985" s="1" t="s">
        <v>569</v>
      </c>
      <c r="R3985" s="93">
        <v>20689.77</v>
      </c>
      <c r="S3985">
        <v>9703.52</v>
      </c>
      <c r="T3985">
        <v>1</v>
      </c>
      <c r="U3985" s="1" t="s">
        <v>1104</v>
      </c>
      <c r="V3985" s="1"/>
      <c r="W3985">
        <v>20689.766540000001</v>
      </c>
      <c r="X3985">
        <v>0</v>
      </c>
      <c r="Y3985">
        <v>57640</v>
      </c>
    </row>
    <row r="3986" spans="1:25" ht="15" hidden="1" customHeight="1" x14ac:dyDescent="0.25">
      <c r="A3986" s="1" t="s">
        <v>39</v>
      </c>
      <c r="B3986" s="1" t="s">
        <v>83</v>
      </c>
      <c r="C3986" s="1" t="s">
        <v>208</v>
      </c>
      <c r="D3986">
        <v>5451</v>
      </c>
      <c r="E3986" s="1"/>
      <c r="F3986" s="1" t="s">
        <v>389</v>
      </c>
      <c r="G3986" s="1" t="s">
        <v>1402</v>
      </c>
      <c r="H3986" s="1" t="s">
        <v>1396</v>
      </c>
      <c r="I3986">
        <v>2009</v>
      </c>
      <c r="J3986" s="93">
        <v>5188.29</v>
      </c>
      <c r="K3986">
        <v>12</v>
      </c>
      <c r="L3986" s="1" t="s">
        <v>421</v>
      </c>
      <c r="M3986">
        <v>0</v>
      </c>
      <c r="N3986">
        <v>0</v>
      </c>
      <c r="O3986">
        <v>51882.9</v>
      </c>
      <c r="P3986">
        <v>2</v>
      </c>
      <c r="Q3986" s="1" t="s">
        <v>569</v>
      </c>
      <c r="R3986" s="93">
        <v>5188.29</v>
      </c>
      <c r="S3986">
        <v>2433.3000000000002</v>
      </c>
      <c r="T3986">
        <v>1</v>
      </c>
      <c r="U3986" s="1" t="s">
        <v>1106</v>
      </c>
      <c r="V3986" s="1"/>
      <c r="W3986">
        <v>5188.2878799999999</v>
      </c>
      <c r="X3986">
        <v>0</v>
      </c>
      <c r="Y3986">
        <v>61888</v>
      </c>
    </row>
    <row r="3987" spans="1:25" ht="15" hidden="1" customHeight="1" x14ac:dyDescent="0.25">
      <c r="A3987" s="1" t="s">
        <v>39</v>
      </c>
      <c r="B3987" s="1" t="s">
        <v>83</v>
      </c>
      <c r="C3987" s="1" t="s">
        <v>208</v>
      </c>
      <c r="D3987">
        <v>5451</v>
      </c>
      <c r="E3987" s="1"/>
      <c r="F3987" s="1" t="s">
        <v>389</v>
      </c>
      <c r="G3987" s="1" t="s">
        <v>1402</v>
      </c>
      <c r="H3987" s="1" t="s">
        <v>1396</v>
      </c>
      <c r="I3987">
        <v>2009</v>
      </c>
      <c r="J3987" s="93">
        <v>29639.759999999998</v>
      </c>
      <c r="K3987">
        <v>12</v>
      </c>
      <c r="L3987" s="1" t="s">
        <v>421</v>
      </c>
      <c r="M3987">
        <v>0</v>
      </c>
      <c r="N3987">
        <v>0</v>
      </c>
      <c r="O3987">
        <v>296397.59999999998</v>
      </c>
      <c r="P3987">
        <v>2</v>
      </c>
      <c r="Q3987" s="1" t="s">
        <v>569</v>
      </c>
      <c r="R3987" s="93">
        <v>29639.759999999998</v>
      </c>
      <c r="S3987">
        <v>13901.05</v>
      </c>
      <c r="T3987">
        <v>1</v>
      </c>
      <c r="U3987" s="1" t="s">
        <v>1107</v>
      </c>
      <c r="V3987" s="1"/>
      <c r="W3987">
        <v>29639.77274</v>
      </c>
      <c r="X3987">
        <v>0</v>
      </c>
      <c r="Y3987">
        <v>68520</v>
      </c>
    </row>
    <row r="3988" spans="1:25" ht="15" hidden="1" customHeight="1" x14ac:dyDescent="0.25">
      <c r="A3988" s="1" t="s">
        <v>39</v>
      </c>
      <c r="B3988" s="1" t="s">
        <v>83</v>
      </c>
      <c r="C3988" s="1" t="s">
        <v>208</v>
      </c>
      <c r="D3988">
        <v>5451</v>
      </c>
      <c r="E3988" s="1"/>
      <c r="F3988" s="1" t="s">
        <v>389</v>
      </c>
      <c r="G3988" s="1" t="s">
        <v>1402</v>
      </c>
      <c r="H3988" s="1" t="s">
        <v>1396</v>
      </c>
      <c r="I3988">
        <v>2008</v>
      </c>
      <c r="J3988" s="93">
        <v>18813.36</v>
      </c>
      <c r="K3988">
        <v>12</v>
      </c>
      <c r="L3988" s="1" t="s">
        <v>421</v>
      </c>
      <c r="M3988">
        <v>0</v>
      </c>
      <c r="N3988">
        <v>0</v>
      </c>
      <c r="O3988">
        <v>188133.6</v>
      </c>
      <c r="P3988">
        <v>2</v>
      </c>
      <c r="Q3988" s="1" t="s">
        <v>569</v>
      </c>
      <c r="R3988" s="93">
        <v>18813.36</v>
      </c>
      <c r="S3988">
        <v>8823.48</v>
      </c>
      <c r="T3988">
        <v>1</v>
      </c>
      <c r="U3988" s="1" t="s">
        <v>1104</v>
      </c>
      <c r="V3988" s="1"/>
      <c r="W3988">
        <v>18813.377840000001</v>
      </c>
      <c r="X3988">
        <v>0</v>
      </c>
      <c r="Y3988">
        <v>57640</v>
      </c>
    </row>
    <row r="3989" spans="1:25" ht="15" hidden="1" customHeight="1" x14ac:dyDescent="0.25">
      <c r="A3989" s="1" t="s">
        <v>39</v>
      </c>
      <c r="B3989" s="1" t="s">
        <v>83</v>
      </c>
      <c r="C3989" s="1" t="s">
        <v>208</v>
      </c>
      <c r="D3989">
        <v>5451</v>
      </c>
      <c r="E3989" s="1"/>
      <c r="F3989" s="1" t="s">
        <v>389</v>
      </c>
      <c r="G3989" s="1" t="s">
        <v>1402</v>
      </c>
      <c r="H3989" s="1" t="s">
        <v>1396</v>
      </c>
      <c r="I3989">
        <v>2008</v>
      </c>
      <c r="J3989" s="93">
        <v>24497.65</v>
      </c>
      <c r="K3989">
        <v>12</v>
      </c>
      <c r="L3989" s="1" t="s">
        <v>421</v>
      </c>
      <c r="M3989">
        <v>0</v>
      </c>
      <c r="N3989">
        <v>0</v>
      </c>
      <c r="O3989">
        <v>244976.5</v>
      </c>
      <c r="P3989">
        <v>2</v>
      </c>
      <c r="Q3989" s="1" t="s">
        <v>569</v>
      </c>
      <c r="R3989" s="93">
        <v>24497.65</v>
      </c>
      <c r="S3989">
        <v>11489.38</v>
      </c>
      <c r="T3989">
        <v>1</v>
      </c>
      <c r="U3989" s="1" t="s">
        <v>1105</v>
      </c>
      <c r="V3989" s="1"/>
      <c r="W3989">
        <v>24497.651519999999</v>
      </c>
      <c r="X3989">
        <v>0</v>
      </c>
      <c r="Y3989">
        <v>61886</v>
      </c>
    </row>
    <row r="3990" spans="1:25" ht="15" hidden="1" customHeight="1" x14ac:dyDescent="0.25">
      <c r="A3990" s="1" t="s">
        <v>39</v>
      </c>
      <c r="B3990" s="1" t="s">
        <v>83</v>
      </c>
      <c r="C3990" s="1" t="s">
        <v>208</v>
      </c>
      <c r="D3990">
        <v>5451</v>
      </c>
      <c r="E3990" s="1"/>
      <c r="F3990" s="1" t="s">
        <v>389</v>
      </c>
      <c r="G3990" s="1" t="s">
        <v>1402</v>
      </c>
      <c r="H3990" s="1" t="s">
        <v>1396</v>
      </c>
      <c r="I3990">
        <v>2008</v>
      </c>
      <c r="J3990" s="93">
        <v>13853.53</v>
      </c>
      <c r="K3990">
        <v>12</v>
      </c>
      <c r="L3990" s="1" t="s">
        <v>421</v>
      </c>
      <c r="M3990">
        <v>0</v>
      </c>
      <c r="N3990">
        <v>0</v>
      </c>
      <c r="O3990">
        <v>138535.29999999999</v>
      </c>
      <c r="P3990">
        <v>2</v>
      </c>
      <c r="Q3990" s="1" t="s">
        <v>569</v>
      </c>
      <c r="R3990" s="93">
        <v>13853.53</v>
      </c>
      <c r="S3990">
        <v>6497.32</v>
      </c>
      <c r="T3990">
        <v>1</v>
      </c>
      <c r="U3990" s="1" t="s">
        <v>1108</v>
      </c>
      <c r="V3990" s="1"/>
      <c r="W3990">
        <v>13853.53031</v>
      </c>
      <c r="X3990">
        <v>0</v>
      </c>
      <c r="Y3990">
        <v>68519</v>
      </c>
    </row>
    <row r="3991" spans="1:25" ht="15" hidden="1" customHeight="1" x14ac:dyDescent="0.25">
      <c r="A3991" s="1" t="s">
        <v>39</v>
      </c>
      <c r="B3991" s="1" t="s">
        <v>83</v>
      </c>
      <c r="C3991" s="1" t="s">
        <v>208</v>
      </c>
      <c r="D3991">
        <v>5451</v>
      </c>
      <c r="E3991" s="1"/>
      <c r="F3991" s="1" t="s">
        <v>389</v>
      </c>
      <c r="G3991" s="1" t="s">
        <v>1402</v>
      </c>
      <c r="H3991" s="1" t="s">
        <v>1396</v>
      </c>
      <c r="I3991">
        <v>2008</v>
      </c>
      <c r="J3991" s="93">
        <v>12321.03</v>
      </c>
      <c r="K3991">
        <v>12</v>
      </c>
      <c r="L3991" s="1" t="s">
        <v>421</v>
      </c>
      <c r="M3991">
        <v>0</v>
      </c>
      <c r="N3991">
        <v>0</v>
      </c>
      <c r="O3991">
        <v>123210.3</v>
      </c>
      <c r="P3991">
        <v>2</v>
      </c>
      <c r="Q3991" s="1" t="s">
        <v>569</v>
      </c>
      <c r="R3991" s="93">
        <v>12321.03</v>
      </c>
      <c r="S3991">
        <v>5778.56</v>
      </c>
      <c r="T3991">
        <v>1</v>
      </c>
      <c r="U3991" s="1" t="s">
        <v>1106</v>
      </c>
      <c r="V3991" s="1"/>
      <c r="W3991">
        <v>12321.04545</v>
      </c>
      <c r="X3991">
        <v>0</v>
      </c>
      <c r="Y3991">
        <v>61888</v>
      </c>
    </row>
    <row r="3992" spans="1:25" ht="15" hidden="1" customHeight="1" x14ac:dyDescent="0.25">
      <c r="A3992" s="1" t="s">
        <v>39</v>
      </c>
      <c r="B3992" s="1" t="s">
        <v>83</v>
      </c>
      <c r="C3992" s="1" t="s">
        <v>208</v>
      </c>
      <c r="D3992">
        <v>5451</v>
      </c>
      <c r="E3992" s="1"/>
      <c r="F3992" s="1" t="s">
        <v>389</v>
      </c>
      <c r="G3992" s="1" t="s">
        <v>1402</v>
      </c>
      <c r="H3992" s="1" t="s">
        <v>1396</v>
      </c>
      <c r="I3992">
        <v>2008</v>
      </c>
      <c r="J3992" s="93">
        <v>30234.639999999999</v>
      </c>
      <c r="K3992">
        <v>12</v>
      </c>
      <c r="L3992" s="1" t="s">
        <v>421</v>
      </c>
      <c r="M3992">
        <v>0</v>
      </c>
      <c r="N3992">
        <v>0</v>
      </c>
      <c r="O3992">
        <v>302346.40000000002</v>
      </c>
      <c r="P3992">
        <v>2</v>
      </c>
      <c r="Q3992" s="1" t="s">
        <v>569</v>
      </c>
      <c r="R3992" s="93">
        <v>30234.639999999999</v>
      </c>
      <c r="S3992">
        <v>14180.05</v>
      </c>
      <c r="T3992">
        <v>1</v>
      </c>
      <c r="U3992" s="1" t="s">
        <v>1107</v>
      </c>
      <c r="V3992" s="1"/>
      <c r="W3992">
        <v>30234.65151</v>
      </c>
      <c r="X3992">
        <v>0</v>
      </c>
      <c r="Y3992">
        <v>68520</v>
      </c>
    </row>
    <row r="3993" spans="1:25" ht="15" hidden="1" customHeight="1" x14ac:dyDescent="0.25">
      <c r="A3993" s="1" t="s">
        <v>39</v>
      </c>
      <c r="B3993" s="1" t="s">
        <v>83</v>
      </c>
      <c r="C3993" s="1" t="s">
        <v>208</v>
      </c>
      <c r="D3993">
        <v>6339</v>
      </c>
      <c r="E3993" s="1"/>
      <c r="F3993" s="1" t="s">
        <v>341</v>
      </c>
      <c r="G3993" s="1" t="s">
        <v>1402</v>
      </c>
      <c r="H3993" s="1" t="s">
        <v>1396</v>
      </c>
      <c r="I3993">
        <v>2015</v>
      </c>
      <c r="J3993" s="93">
        <v>82</v>
      </c>
      <c r="K3993">
        <v>5</v>
      </c>
      <c r="L3993" s="1" t="s">
        <v>421</v>
      </c>
      <c r="M3993">
        <v>0</v>
      </c>
      <c r="N3993">
        <v>0</v>
      </c>
      <c r="O3993">
        <v>820</v>
      </c>
      <c r="P3993">
        <v>2</v>
      </c>
      <c r="Q3993" s="1" t="s">
        <v>569</v>
      </c>
      <c r="R3993" s="93">
        <v>82</v>
      </c>
      <c r="S3993">
        <v>32.79</v>
      </c>
      <c r="T3993">
        <v>1</v>
      </c>
      <c r="U3993" s="1" t="s">
        <v>698</v>
      </c>
      <c r="V3993" s="1"/>
      <c r="W3993">
        <v>81.999989999999997</v>
      </c>
      <c r="X3993">
        <v>0</v>
      </c>
      <c r="Y3993">
        <v>62513</v>
      </c>
    </row>
    <row r="3994" spans="1:25" ht="15" hidden="1" customHeight="1" x14ac:dyDescent="0.25">
      <c r="A3994" s="1" t="s">
        <v>39</v>
      </c>
      <c r="B3994" s="1" t="s">
        <v>83</v>
      </c>
      <c r="C3994" s="1" t="s">
        <v>208</v>
      </c>
      <c r="D3994">
        <v>6339</v>
      </c>
      <c r="E3994" s="1"/>
      <c r="F3994" s="1" t="s">
        <v>341</v>
      </c>
      <c r="G3994" s="1" t="s">
        <v>1402</v>
      </c>
      <c r="H3994" s="1" t="s">
        <v>1396</v>
      </c>
      <c r="I3994">
        <v>2013</v>
      </c>
      <c r="J3994" s="93">
        <v>606</v>
      </c>
      <c r="K3994">
        <v>11</v>
      </c>
      <c r="L3994" s="1" t="s">
        <v>421</v>
      </c>
      <c r="M3994">
        <v>0</v>
      </c>
      <c r="N3994">
        <v>0</v>
      </c>
      <c r="O3994">
        <v>6060</v>
      </c>
      <c r="P3994">
        <v>2</v>
      </c>
      <c r="Q3994" s="1" t="s">
        <v>569</v>
      </c>
      <c r="R3994" s="93">
        <v>606</v>
      </c>
      <c r="S3994">
        <v>242.41</v>
      </c>
      <c r="T3994">
        <v>1</v>
      </c>
      <c r="U3994" s="1" t="s">
        <v>698</v>
      </c>
      <c r="V3994" s="1"/>
      <c r="W3994">
        <v>606</v>
      </c>
      <c r="X3994">
        <v>0</v>
      </c>
      <c r="Y3994">
        <v>62513</v>
      </c>
    </row>
    <row r="3995" spans="1:25" ht="15" hidden="1" customHeight="1" x14ac:dyDescent="0.25">
      <c r="A3995" s="1" t="s">
        <v>39</v>
      </c>
      <c r="B3995" s="1" t="s">
        <v>83</v>
      </c>
      <c r="C3995" s="1" t="s">
        <v>208</v>
      </c>
      <c r="D3995">
        <v>6339</v>
      </c>
      <c r="E3995" s="1"/>
      <c r="F3995" s="1" t="s">
        <v>341</v>
      </c>
      <c r="G3995" s="1" t="s">
        <v>1402</v>
      </c>
      <c r="H3995" s="1" t="s">
        <v>1396</v>
      </c>
      <c r="I3995">
        <v>2012</v>
      </c>
      <c r="J3995" s="93">
        <v>1428.01</v>
      </c>
      <c r="K3995">
        <v>13</v>
      </c>
      <c r="L3995" s="1" t="s">
        <v>421</v>
      </c>
      <c r="M3995">
        <v>0</v>
      </c>
      <c r="N3995">
        <v>0</v>
      </c>
      <c r="O3995">
        <v>14280.1</v>
      </c>
      <c r="P3995">
        <v>2</v>
      </c>
      <c r="Q3995" s="1" t="s">
        <v>569</v>
      </c>
      <c r="R3995" s="93">
        <v>1428.01</v>
      </c>
      <c r="S3995">
        <v>571.20000000000005</v>
      </c>
      <c r="T3995">
        <v>1</v>
      </c>
      <c r="U3995" s="1" t="s">
        <v>698</v>
      </c>
      <c r="V3995" s="1"/>
      <c r="W3995">
        <v>1428</v>
      </c>
      <c r="X3995">
        <v>0</v>
      </c>
      <c r="Y3995">
        <v>62513</v>
      </c>
    </row>
    <row r="3996" spans="1:25" ht="15" hidden="1" customHeight="1" x14ac:dyDescent="0.25">
      <c r="A3996" s="1" t="s">
        <v>39</v>
      </c>
      <c r="B3996" s="1" t="s">
        <v>83</v>
      </c>
      <c r="C3996" s="1" t="s">
        <v>208</v>
      </c>
      <c r="D3996">
        <v>6339</v>
      </c>
      <c r="E3996" s="1"/>
      <c r="F3996" s="1" t="s">
        <v>341</v>
      </c>
      <c r="G3996" s="1" t="s">
        <v>1402</v>
      </c>
      <c r="H3996" s="1" t="s">
        <v>1396</v>
      </c>
      <c r="I3996">
        <v>2011</v>
      </c>
      <c r="J3996" s="93">
        <v>983.01</v>
      </c>
      <c r="K3996">
        <v>12</v>
      </c>
      <c r="L3996" s="1" t="s">
        <v>421</v>
      </c>
      <c r="M3996">
        <v>0</v>
      </c>
      <c r="N3996">
        <v>0</v>
      </c>
      <c r="O3996">
        <v>9830.1</v>
      </c>
      <c r="P3996">
        <v>2</v>
      </c>
      <c r="Q3996" s="1" t="s">
        <v>569</v>
      </c>
      <c r="R3996" s="93">
        <v>983.01</v>
      </c>
      <c r="S3996">
        <v>461.03</v>
      </c>
      <c r="T3996">
        <v>1</v>
      </c>
      <c r="U3996" s="1" t="s">
        <v>698</v>
      </c>
      <c r="V3996" s="1"/>
      <c r="W3996">
        <v>983</v>
      </c>
      <c r="X3996">
        <v>0</v>
      </c>
      <c r="Y3996">
        <v>62513</v>
      </c>
    </row>
    <row r="3997" spans="1:25" ht="15" hidden="1" customHeight="1" x14ac:dyDescent="0.25">
      <c r="A3997" s="1" t="s">
        <v>39</v>
      </c>
      <c r="B3997" s="1" t="s">
        <v>83</v>
      </c>
      <c r="C3997" s="1" t="s">
        <v>208</v>
      </c>
      <c r="D3997">
        <v>6339</v>
      </c>
      <c r="E3997" s="1"/>
      <c r="F3997" s="1" t="s">
        <v>341</v>
      </c>
      <c r="G3997" s="1" t="s">
        <v>1402</v>
      </c>
      <c r="H3997" s="1" t="s">
        <v>1396</v>
      </c>
      <c r="I3997">
        <v>2010</v>
      </c>
      <c r="J3997" s="93">
        <v>1096</v>
      </c>
      <c r="K3997">
        <v>12</v>
      </c>
      <c r="L3997" s="1" t="s">
        <v>421</v>
      </c>
      <c r="M3997">
        <v>0</v>
      </c>
      <c r="N3997">
        <v>0</v>
      </c>
      <c r="O3997">
        <v>10960</v>
      </c>
      <c r="P3997">
        <v>2</v>
      </c>
      <c r="Q3997" s="1" t="s">
        <v>569</v>
      </c>
      <c r="R3997" s="93">
        <v>1096</v>
      </c>
      <c r="S3997">
        <v>514.02</v>
      </c>
      <c r="T3997">
        <v>1</v>
      </c>
      <c r="U3997" s="1" t="s">
        <v>698</v>
      </c>
      <c r="V3997" s="1"/>
      <c r="W3997">
        <v>1096</v>
      </c>
      <c r="X3997">
        <v>0</v>
      </c>
      <c r="Y3997">
        <v>62513</v>
      </c>
    </row>
    <row r="3998" spans="1:25" ht="15" hidden="1" customHeight="1" x14ac:dyDescent="0.25">
      <c r="A3998" s="1" t="s">
        <v>39</v>
      </c>
      <c r="B3998" s="1" t="s">
        <v>83</v>
      </c>
      <c r="C3998" s="1" t="s">
        <v>208</v>
      </c>
      <c r="D3998">
        <v>6339</v>
      </c>
      <c r="E3998" s="1"/>
      <c r="F3998" s="1" t="s">
        <v>341</v>
      </c>
      <c r="G3998" s="1" t="s">
        <v>1402</v>
      </c>
      <c r="H3998" s="1" t="s">
        <v>1396</v>
      </c>
      <c r="I3998">
        <v>2009</v>
      </c>
      <c r="J3998" s="93">
        <v>2291</v>
      </c>
      <c r="K3998">
        <v>12</v>
      </c>
      <c r="L3998" s="1" t="s">
        <v>421</v>
      </c>
      <c r="M3998">
        <v>0</v>
      </c>
      <c r="N3998">
        <v>0</v>
      </c>
      <c r="O3998">
        <v>22910</v>
      </c>
      <c r="P3998">
        <v>2</v>
      </c>
      <c r="Q3998" s="1" t="s">
        <v>569</v>
      </c>
      <c r="R3998" s="93">
        <v>2291</v>
      </c>
      <c r="S3998">
        <v>1074.49</v>
      </c>
      <c r="T3998">
        <v>1</v>
      </c>
      <c r="U3998" s="1" t="s">
        <v>698</v>
      </c>
      <c r="V3998" s="1"/>
      <c r="W3998">
        <v>2291</v>
      </c>
      <c r="X3998">
        <v>0</v>
      </c>
      <c r="Y3998">
        <v>62513</v>
      </c>
    </row>
    <row r="3999" spans="1:25" ht="15" hidden="1" customHeight="1" x14ac:dyDescent="0.25">
      <c r="A3999" s="1" t="s">
        <v>39</v>
      </c>
      <c r="B3999" s="1" t="s">
        <v>83</v>
      </c>
      <c r="C3999" s="1" t="s">
        <v>208</v>
      </c>
      <c r="D3999">
        <v>6339</v>
      </c>
      <c r="E3999" s="1"/>
      <c r="F3999" s="1" t="s">
        <v>341</v>
      </c>
      <c r="G3999" s="1" t="s">
        <v>1402</v>
      </c>
      <c r="H3999" s="1" t="s">
        <v>1396</v>
      </c>
      <c r="I3999">
        <v>2008</v>
      </c>
      <c r="J3999" s="93">
        <v>2192</v>
      </c>
      <c r="K3999">
        <v>12</v>
      </c>
      <c r="L3999" s="1" t="s">
        <v>421</v>
      </c>
      <c r="M3999">
        <v>0</v>
      </c>
      <c r="N3999">
        <v>0</v>
      </c>
      <c r="O3999">
        <v>21920</v>
      </c>
      <c r="P3999">
        <v>2</v>
      </c>
      <c r="Q3999" s="1" t="s">
        <v>569</v>
      </c>
      <c r="R3999" s="93">
        <v>2192</v>
      </c>
      <c r="S3999">
        <v>1028.04</v>
      </c>
      <c r="T3999">
        <v>1</v>
      </c>
      <c r="U3999" s="1" t="s">
        <v>698</v>
      </c>
      <c r="V3999" s="1"/>
      <c r="W3999">
        <v>2191.9999899999998</v>
      </c>
      <c r="X3999">
        <v>0</v>
      </c>
      <c r="Y3999">
        <v>62513</v>
      </c>
    </row>
    <row r="4000" spans="1:25" ht="15" hidden="1" customHeight="1" x14ac:dyDescent="0.25">
      <c r="A4000" s="1" t="s">
        <v>39</v>
      </c>
      <c r="B4000" s="1" t="s">
        <v>83</v>
      </c>
      <c r="C4000" s="1" t="s">
        <v>208</v>
      </c>
      <c r="D4000">
        <v>5454</v>
      </c>
      <c r="E4000" s="1"/>
      <c r="F4000" s="1" t="s">
        <v>343</v>
      </c>
      <c r="G4000" s="1" t="s">
        <v>1402</v>
      </c>
      <c r="H4000" s="1" t="s">
        <v>1396</v>
      </c>
      <c r="I4000">
        <v>2015</v>
      </c>
      <c r="J4000" s="93">
        <v>8509.0400000000009</v>
      </c>
      <c r="K4000">
        <v>5</v>
      </c>
      <c r="L4000" s="1" t="s">
        <v>421</v>
      </c>
      <c r="M4000">
        <v>0</v>
      </c>
      <c r="N4000">
        <v>50</v>
      </c>
      <c r="O4000">
        <v>169.841117</v>
      </c>
      <c r="P4000">
        <v>2</v>
      </c>
      <c r="Q4000" s="1" t="s">
        <v>569</v>
      </c>
      <c r="R4000" s="93">
        <v>8509.0400000000009</v>
      </c>
      <c r="S4000">
        <v>3403.61</v>
      </c>
      <c r="T4000">
        <v>1</v>
      </c>
      <c r="U4000" s="1" t="s">
        <v>1109</v>
      </c>
      <c r="V4000" s="1"/>
      <c r="W4000">
        <v>8509.03125</v>
      </c>
      <c r="X4000">
        <v>0</v>
      </c>
      <c r="Y4000">
        <v>57747</v>
      </c>
    </row>
    <row r="4001" spans="1:25" ht="15" hidden="1" customHeight="1" x14ac:dyDescent="0.25">
      <c r="A4001" s="1" t="s">
        <v>39</v>
      </c>
      <c r="B4001" s="1" t="s">
        <v>83</v>
      </c>
      <c r="C4001" s="1" t="s">
        <v>208</v>
      </c>
      <c r="D4001">
        <v>5454</v>
      </c>
      <c r="E4001" s="1"/>
      <c r="F4001" s="1" t="s">
        <v>343</v>
      </c>
      <c r="G4001" s="1" t="s">
        <v>1402</v>
      </c>
      <c r="H4001" s="1" t="s">
        <v>1396</v>
      </c>
      <c r="I4001">
        <v>2015</v>
      </c>
      <c r="J4001" s="93">
        <v>307.47000000000003</v>
      </c>
      <c r="K4001">
        <v>5</v>
      </c>
      <c r="L4001" s="1" t="s">
        <v>421</v>
      </c>
      <c r="M4001">
        <v>0</v>
      </c>
      <c r="N4001">
        <v>50</v>
      </c>
      <c r="O4001">
        <v>6.1371250000000002</v>
      </c>
      <c r="P4001">
        <v>2</v>
      </c>
      <c r="Q4001" s="1" t="s">
        <v>569</v>
      </c>
      <c r="R4001" s="93">
        <v>307.47000000000003</v>
      </c>
      <c r="S4001">
        <v>122.98</v>
      </c>
      <c r="T4001">
        <v>1</v>
      </c>
      <c r="U4001" s="1" t="s">
        <v>1110</v>
      </c>
      <c r="V4001" s="1"/>
      <c r="W4001">
        <v>307.46875</v>
      </c>
      <c r="X4001">
        <v>0</v>
      </c>
      <c r="Y4001">
        <v>57748</v>
      </c>
    </row>
    <row r="4002" spans="1:25" ht="15" hidden="1" customHeight="1" x14ac:dyDescent="0.25">
      <c r="A4002" s="1" t="s">
        <v>39</v>
      </c>
      <c r="B4002" s="1" t="s">
        <v>83</v>
      </c>
      <c r="C4002" s="1" t="s">
        <v>208</v>
      </c>
      <c r="D4002">
        <v>5454</v>
      </c>
      <c r="E4002" s="1"/>
      <c r="F4002" s="1" t="s">
        <v>343</v>
      </c>
      <c r="G4002" s="1" t="s">
        <v>1402</v>
      </c>
      <c r="H4002" s="1" t="s">
        <v>1396</v>
      </c>
      <c r="I4002">
        <v>2013</v>
      </c>
      <c r="J4002" s="93">
        <v>17960.02</v>
      </c>
      <c r="K4002">
        <v>11</v>
      </c>
      <c r="L4002" s="1" t="s">
        <v>421</v>
      </c>
      <c r="M4002">
        <v>0</v>
      </c>
      <c r="N4002">
        <v>50</v>
      </c>
      <c r="O4002">
        <v>358.48343299999999</v>
      </c>
      <c r="P4002">
        <v>2</v>
      </c>
      <c r="Q4002" s="1" t="s">
        <v>569</v>
      </c>
      <c r="R4002" s="93">
        <v>17960.02</v>
      </c>
      <c r="S4002">
        <v>7184.01</v>
      </c>
      <c r="T4002">
        <v>1</v>
      </c>
      <c r="U4002" s="1" t="s">
        <v>1109</v>
      </c>
      <c r="V4002" s="1"/>
      <c r="W4002">
        <v>17960.030299999999</v>
      </c>
      <c r="X4002">
        <v>0</v>
      </c>
      <c r="Y4002">
        <v>57747</v>
      </c>
    </row>
    <row r="4003" spans="1:25" ht="15" hidden="1" customHeight="1" x14ac:dyDescent="0.25">
      <c r="A4003" s="1" t="s">
        <v>39</v>
      </c>
      <c r="B4003" s="1" t="s">
        <v>83</v>
      </c>
      <c r="C4003" s="1" t="s">
        <v>208</v>
      </c>
      <c r="D4003">
        <v>5454</v>
      </c>
      <c r="E4003" s="1"/>
      <c r="F4003" s="1" t="s">
        <v>343</v>
      </c>
      <c r="G4003" s="1" t="s">
        <v>1402</v>
      </c>
      <c r="H4003" s="1" t="s">
        <v>1396</v>
      </c>
      <c r="I4003">
        <v>2013</v>
      </c>
      <c r="J4003" s="93">
        <v>925.79</v>
      </c>
      <c r="K4003">
        <v>11</v>
      </c>
      <c r="L4003" s="1" t="s">
        <v>421</v>
      </c>
      <c r="M4003">
        <v>0</v>
      </c>
      <c r="N4003">
        <v>50</v>
      </c>
      <c r="O4003">
        <v>18.478842</v>
      </c>
      <c r="P4003">
        <v>2</v>
      </c>
      <c r="Q4003" s="1" t="s">
        <v>569</v>
      </c>
      <c r="R4003" s="93">
        <v>925.79</v>
      </c>
      <c r="S4003">
        <v>370.31</v>
      </c>
      <c r="T4003">
        <v>1</v>
      </c>
      <c r="U4003" s="1" t="s">
        <v>1110</v>
      </c>
      <c r="V4003" s="1"/>
      <c r="W4003">
        <v>925.77418999999998</v>
      </c>
      <c r="X4003">
        <v>0</v>
      </c>
      <c r="Y4003">
        <v>57748</v>
      </c>
    </row>
    <row r="4004" spans="1:25" ht="15" hidden="1" customHeight="1" x14ac:dyDescent="0.25">
      <c r="A4004" s="1" t="s">
        <v>39</v>
      </c>
      <c r="B4004" s="1" t="s">
        <v>83</v>
      </c>
      <c r="C4004" s="1" t="s">
        <v>208</v>
      </c>
      <c r="D4004">
        <v>5454</v>
      </c>
      <c r="E4004" s="1"/>
      <c r="F4004" s="1" t="s">
        <v>343</v>
      </c>
      <c r="G4004" s="1" t="s">
        <v>1402</v>
      </c>
      <c r="H4004" s="1" t="s">
        <v>1396</v>
      </c>
      <c r="I4004">
        <v>2012</v>
      </c>
      <c r="J4004" s="93">
        <v>309</v>
      </c>
      <c r="K4004">
        <v>13</v>
      </c>
      <c r="L4004" s="1" t="s">
        <v>421</v>
      </c>
      <c r="M4004">
        <v>0</v>
      </c>
      <c r="N4004">
        <v>50</v>
      </c>
      <c r="O4004">
        <v>6.1676640000000003</v>
      </c>
      <c r="P4004">
        <v>2</v>
      </c>
      <c r="Q4004" s="1" t="s">
        <v>569</v>
      </c>
      <c r="R4004" s="93">
        <v>309</v>
      </c>
      <c r="S4004">
        <v>123.6</v>
      </c>
      <c r="T4004">
        <v>1</v>
      </c>
      <c r="U4004" s="1" t="s">
        <v>1110</v>
      </c>
      <c r="V4004" s="1"/>
      <c r="W4004">
        <v>309</v>
      </c>
      <c r="X4004">
        <v>0</v>
      </c>
      <c r="Y4004">
        <v>57748</v>
      </c>
    </row>
    <row r="4005" spans="1:25" ht="15" hidden="1" customHeight="1" x14ac:dyDescent="0.25">
      <c r="A4005" s="1" t="s">
        <v>39</v>
      </c>
      <c r="B4005" s="1" t="s">
        <v>83</v>
      </c>
      <c r="C4005" s="1" t="s">
        <v>208</v>
      </c>
      <c r="D4005">
        <v>5454</v>
      </c>
      <c r="E4005" s="1"/>
      <c r="F4005" s="1" t="s">
        <v>343</v>
      </c>
      <c r="G4005" s="1" t="s">
        <v>1402</v>
      </c>
      <c r="H4005" s="1" t="s">
        <v>1396</v>
      </c>
      <c r="I4005">
        <v>2012</v>
      </c>
      <c r="J4005" s="93">
        <v>12221.36</v>
      </c>
      <c r="K4005">
        <v>12</v>
      </c>
      <c r="L4005" s="1" t="s">
        <v>421</v>
      </c>
      <c r="M4005">
        <v>0</v>
      </c>
      <c r="N4005">
        <v>50</v>
      </c>
      <c r="O4005">
        <v>243.93932100000001</v>
      </c>
      <c r="P4005">
        <v>2</v>
      </c>
      <c r="Q4005" s="1" t="s">
        <v>569</v>
      </c>
      <c r="R4005" s="93">
        <v>12221.36</v>
      </c>
      <c r="S4005">
        <v>4888.54</v>
      </c>
      <c r="T4005">
        <v>1</v>
      </c>
      <c r="U4005" s="1" t="s">
        <v>1109</v>
      </c>
      <c r="V4005" s="1"/>
      <c r="W4005">
        <v>12221.36363</v>
      </c>
      <c r="X4005">
        <v>0</v>
      </c>
      <c r="Y4005">
        <v>57747</v>
      </c>
    </row>
    <row r="4006" spans="1:25" ht="15" hidden="1" customHeight="1" x14ac:dyDescent="0.25">
      <c r="A4006" s="1" t="s">
        <v>39</v>
      </c>
      <c r="B4006" s="1" t="s">
        <v>83</v>
      </c>
      <c r="C4006" s="1" t="s">
        <v>208</v>
      </c>
      <c r="D4006">
        <v>5454</v>
      </c>
      <c r="E4006" s="1"/>
      <c r="F4006" s="1" t="s">
        <v>343</v>
      </c>
      <c r="G4006" s="1" t="s">
        <v>1402</v>
      </c>
      <c r="H4006" s="1" t="s">
        <v>1396</v>
      </c>
      <c r="I4006">
        <v>2011</v>
      </c>
      <c r="J4006" s="93">
        <v>0</v>
      </c>
      <c r="K4006">
        <v>12</v>
      </c>
      <c r="L4006" s="1" t="s">
        <v>421</v>
      </c>
      <c r="M4006">
        <v>0</v>
      </c>
      <c r="N4006">
        <v>50</v>
      </c>
      <c r="O4006">
        <v>0</v>
      </c>
      <c r="P4006">
        <v>2</v>
      </c>
      <c r="Q4006" s="1" t="s">
        <v>569</v>
      </c>
      <c r="R4006" s="93">
        <v>0</v>
      </c>
      <c r="S4006">
        <v>0</v>
      </c>
      <c r="T4006">
        <v>1</v>
      </c>
      <c r="U4006" s="1" t="s">
        <v>1110</v>
      </c>
      <c r="V4006" s="1"/>
      <c r="W4006">
        <v>0</v>
      </c>
      <c r="X4006">
        <v>0</v>
      </c>
      <c r="Y4006">
        <v>57748</v>
      </c>
    </row>
    <row r="4007" spans="1:25" ht="15" hidden="1" customHeight="1" x14ac:dyDescent="0.25">
      <c r="A4007" s="1" t="s">
        <v>39</v>
      </c>
      <c r="B4007" s="1" t="s">
        <v>83</v>
      </c>
      <c r="C4007" s="1" t="s">
        <v>208</v>
      </c>
      <c r="D4007">
        <v>5454</v>
      </c>
      <c r="E4007" s="1"/>
      <c r="F4007" s="1" t="s">
        <v>343</v>
      </c>
      <c r="G4007" s="1" t="s">
        <v>1402</v>
      </c>
      <c r="H4007" s="1" t="s">
        <v>1396</v>
      </c>
      <c r="I4007">
        <v>2011</v>
      </c>
      <c r="J4007" s="93">
        <v>7544.64</v>
      </c>
      <c r="K4007">
        <v>13</v>
      </c>
      <c r="L4007" s="1" t="s">
        <v>421</v>
      </c>
      <c r="M4007">
        <v>0</v>
      </c>
      <c r="N4007">
        <v>50</v>
      </c>
      <c r="O4007">
        <v>150.59161599999999</v>
      </c>
      <c r="P4007">
        <v>2</v>
      </c>
      <c r="Q4007" s="1" t="s">
        <v>569</v>
      </c>
      <c r="R4007" s="93">
        <v>7544.64</v>
      </c>
      <c r="S4007">
        <v>3538.44</v>
      </c>
      <c r="T4007">
        <v>1</v>
      </c>
      <c r="U4007" s="1" t="s">
        <v>1109</v>
      </c>
      <c r="V4007" s="1"/>
      <c r="W4007">
        <v>7544.6363700000002</v>
      </c>
      <c r="X4007">
        <v>0</v>
      </c>
      <c r="Y4007">
        <v>57747</v>
      </c>
    </row>
    <row r="4008" spans="1:25" ht="15" hidden="1" customHeight="1" x14ac:dyDescent="0.25">
      <c r="A4008" s="1" t="s">
        <v>39</v>
      </c>
      <c r="B4008" s="1" t="s">
        <v>83</v>
      </c>
      <c r="C4008" s="1" t="s">
        <v>208</v>
      </c>
      <c r="D4008">
        <v>5454</v>
      </c>
      <c r="E4008" s="1"/>
      <c r="F4008" s="1" t="s">
        <v>343</v>
      </c>
      <c r="G4008" s="1" t="s">
        <v>1402</v>
      </c>
      <c r="H4008" s="1" t="s">
        <v>1396</v>
      </c>
      <c r="I4008">
        <v>2010</v>
      </c>
      <c r="J4008" s="93">
        <v>0.09</v>
      </c>
      <c r="K4008">
        <v>12</v>
      </c>
      <c r="L4008" s="1" t="s">
        <v>421</v>
      </c>
      <c r="M4008">
        <v>0</v>
      </c>
      <c r="N4008">
        <v>50</v>
      </c>
      <c r="O4008">
        <v>1.7960000000000001E-3</v>
      </c>
      <c r="P4008">
        <v>2</v>
      </c>
      <c r="Q4008" s="1" t="s">
        <v>569</v>
      </c>
      <c r="R4008" s="93">
        <v>0.09</v>
      </c>
      <c r="S4008">
        <v>0.04</v>
      </c>
      <c r="T4008">
        <v>1</v>
      </c>
      <c r="U4008" s="1" t="s">
        <v>1110</v>
      </c>
      <c r="V4008" s="1"/>
      <c r="W4008">
        <v>8.8239999999999999E-2</v>
      </c>
      <c r="X4008">
        <v>0</v>
      </c>
      <c r="Y4008">
        <v>57748</v>
      </c>
    </row>
    <row r="4009" spans="1:25" ht="15" hidden="1" customHeight="1" x14ac:dyDescent="0.25">
      <c r="A4009" s="1" t="s">
        <v>39</v>
      </c>
      <c r="B4009" s="1" t="s">
        <v>83</v>
      </c>
      <c r="C4009" s="1" t="s">
        <v>208</v>
      </c>
      <c r="D4009">
        <v>5454</v>
      </c>
      <c r="E4009" s="1"/>
      <c r="F4009" s="1" t="s">
        <v>343</v>
      </c>
      <c r="G4009" s="1" t="s">
        <v>1402</v>
      </c>
      <c r="H4009" s="1" t="s">
        <v>1396</v>
      </c>
      <c r="I4009">
        <v>2010</v>
      </c>
      <c r="J4009" s="93">
        <v>12856.6</v>
      </c>
      <c r="K4009">
        <v>12</v>
      </c>
      <c r="L4009" s="1" t="s">
        <v>421</v>
      </c>
      <c r="M4009">
        <v>0</v>
      </c>
      <c r="N4009">
        <v>50</v>
      </c>
      <c r="O4009">
        <v>256.618762</v>
      </c>
      <c r="P4009">
        <v>2</v>
      </c>
      <c r="Q4009" s="1" t="s">
        <v>569</v>
      </c>
      <c r="R4009" s="93">
        <v>12856.6</v>
      </c>
      <c r="S4009">
        <v>6029.75</v>
      </c>
      <c r="T4009">
        <v>1</v>
      </c>
      <c r="U4009" s="1" t="s">
        <v>1109</v>
      </c>
      <c r="V4009" s="1"/>
      <c r="W4009">
        <v>12856.58733</v>
      </c>
      <c r="X4009">
        <v>0</v>
      </c>
      <c r="Y4009">
        <v>57747</v>
      </c>
    </row>
    <row r="4010" spans="1:25" ht="15" hidden="1" customHeight="1" x14ac:dyDescent="0.25">
      <c r="A4010" s="1" t="s">
        <v>39</v>
      </c>
      <c r="B4010" s="1" t="s">
        <v>83</v>
      </c>
      <c r="C4010" s="1" t="s">
        <v>208</v>
      </c>
      <c r="D4010">
        <v>5454</v>
      </c>
      <c r="E4010" s="1"/>
      <c r="F4010" s="1" t="s">
        <v>343</v>
      </c>
      <c r="G4010" s="1" t="s">
        <v>1402</v>
      </c>
      <c r="H4010" s="1" t="s">
        <v>1396</v>
      </c>
      <c r="I4010">
        <v>2009</v>
      </c>
      <c r="J4010" s="93">
        <v>14396.54</v>
      </c>
      <c r="K4010">
        <v>13</v>
      </c>
      <c r="L4010" s="1" t="s">
        <v>421</v>
      </c>
      <c r="M4010">
        <v>0</v>
      </c>
      <c r="N4010">
        <v>50</v>
      </c>
      <c r="O4010">
        <v>287.356087</v>
      </c>
      <c r="P4010">
        <v>2</v>
      </c>
      <c r="Q4010" s="1" t="s">
        <v>569</v>
      </c>
      <c r="R4010" s="93">
        <v>14396.54</v>
      </c>
      <c r="S4010">
        <v>6751.97</v>
      </c>
      <c r="T4010">
        <v>1</v>
      </c>
      <c r="U4010" s="1" t="s">
        <v>1109</v>
      </c>
      <c r="V4010" s="1"/>
      <c r="W4010">
        <v>14396.5386</v>
      </c>
      <c r="X4010">
        <v>0</v>
      </c>
      <c r="Y4010">
        <v>57747</v>
      </c>
    </row>
    <row r="4011" spans="1:25" ht="15" hidden="1" customHeight="1" x14ac:dyDescent="0.25">
      <c r="A4011" s="1" t="s">
        <v>39</v>
      </c>
      <c r="B4011" s="1" t="s">
        <v>83</v>
      </c>
      <c r="C4011" s="1" t="s">
        <v>208</v>
      </c>
      <c r="D4011">
        <v>5454</v>
      </c>
      <c r="E4011" s="1"/>
      <c r="F4011" s="1" t="s">
        <v>343</v>
      </c>
      <c r="G4011" s="1" t="s">
        <v>1402</v>
      </c>
      <c r="H4011" s="1" t="s">
        <v>1396</v>
      </c>
      <c r="I4011">
        <v>2009</v>
      </c>
      <c r="J4011" s="93">
        <v>0.91</v>
      </c>
      <c r="K4011">
        <v>13</v>
      </c>
      <c r="L4011" s="1" t="s">
        <v>421</v>
      </c>
      <c r="M4011">
        <v>0</v>
      </c>
      <c r="N4011">
        <v>50</v>
      </c>
      <c r="O4011">
        <v>1.8162999999999999E-2</v>
      </c>
      <c r="P4011">
        <v>2</v>
      </c>
      <c r="Q4011" s="1" t="s">
        <v>569</v>
      </c>
      <c r="R4011" s="93">
        <v>0.91</v>
      </c>
      <c r="S4011">
        <v>0.43</v>
      </c>
      <c r="T4011">
        <v>1</v>
      </c>
      <c r="U4011" s="1" t="s">
        <v>1110</v>
      </c>
      <c r="V4011" s="1"/>
      <c r="W4011">
        <v>0.91176000000000001</v>
      </c>
      <c r="X4011">
        <v>0</v>
      </c>
      <c r="Y4011">
        <v>57748</v>
      </c>
    </row>
    <row r="4012" spans="1:25" ht="15" hidden="1" customHeight="1" x14ac:dyDescent="0.25">
      <c r="A4012" s="1" t="s">
        <v>39</v>
      </c>
      <c r="B4012" s="1" t="s">
        <v>83</v>
      </c>
      <c r="C4012" s="1" t="s">
        <v>208</v>
      </c>
      <c r="D4012">
        <v>5454</v>
      </c>
      <c r="E4012" s="1"/>
      <c r="F4012" s="1" t="s">
        <v>343</v>
      </c>
      <c r="G4012" s="1" t="s">
        <v>1402</v>
      </c>
      <c r="H4012" s="1" t="s">
        <v>1396</v>
      </c>
      <c r="I4012">
        <v>2008</v>
      </c>
      <c r="J4012" s="93">
        <v>294.89</v>
      </c>
      <c r="K4012">
        <v>12</v>
      </c>
      <c r="L4012" s="1" t="s">
        <v>421</v>
      </c>
      <c r="M4012">
        <v>0</v>
      </c>
      <c r="N4012">
        <v>50</v>
      </c>
      <c r="O4012">
        <v>5.8860270000000003</v>
      </c>
      <c r="P4012">
        <v>2</v>
      </c>
      <c r="Q4012" s="1" t="s">
        <v>569</v>
      </c>
      <c r="R4012" s="93">
        <v>294.89</v>
      </c>
      <c r="S4012">
        <v>138.29</v>
      </c>
      <c r="T4012">
        <v>1</v>
      </c>
      <c r="U4012" s="1" t="s">
        <v>1110</v>
      </c>
      <c r="V4012" s="1"/>
      <c r="W4012">
        <v>294.87878000000001</v>
      </c>
      <c r="X4012">
        <v>0</v>
      </c>
      <c r="Y4012">
        <v>57748</v>
      </c>
    </row>
    <row r="4013" spans="1:25" ht="15" hidden="1" customHeight="1" x14ac:dyDescent="0.25">
      <c r="A4013" s="1" t="s">
        <v>39</v>
      </c>
      <c r="B4013" s="1" t="s">
        <v>83</v>
      </c>
      <c r="C4013" s="1" t="s">
        <v>208</v>
      </c>
      <c r="D4013">
        <v>5454</v>
      </c>
      <c r="E4013" s="1"/>
      <c r="F4013" s="1" t="s">
        <v>343</v>
      </c>
      <c r="G4013" s="1" t="s">
        <v>1402</v>
      </c>
      <c r="H4013" s="1" t="s">
        <v>1396</v>
      </c>
      <c r="I4013">
        <v>2008</v>
      </c>
      <c r="J4013" s="93">
        <v>26202.14</v>
      </c>
      <c r="K4013">
        <v>12</v>
      </c>
      <c r="L4013" s="1" t="s">
        <v>421</v>
      </c>
      <c r="M4013">
        <v>0</v>
      </c>
      <c r="N4013">
        <v>50</v>
      </c>
      <c r="O4013">
        <v>522.99680599999999</v>
      </c>
      <c r="P4013">
        <v>2</v>
      </c>
      <c r="Q4013" s="1" t="s">
        <v>569</v>
      </c>
      <c r="R4013" s="93">
        <v>26202.14</v>
      </c>
      <c r="S4013">
        <v>12288.8</v>
      </c>
      <c r="T4013">
        <v>1</v>
      </c>
      <c r="U4013" s="1" t="s">
        <v>1109</v>
      </c>
      <c r="V4013" s="1"/>
      <c r="W4013">
        <v>26202.146789999999</v>
      </c>
      <c r="X4013">
        <v>0</v>
      </c>
      <c r="Y4013">
        <v>57747</v>
      </c>
    </row>
    <row r="4014" spans="1:25" ht="15" hidden="1" customHeight="1" x14ac:dyDescent="0.25">
      <c r="A4014" s="1" t="s">
        <v>39</v>
      </c>
      <c r="B4014" s="1" t="s">
        <v>83</v>
      </c>
      <c r="C4014" s="1" t="s">
        <v>208</v>
      </c>
      <c r="D4014">
        <v>5449</v>
      </c>
      <c r="E4014" s="1"/>
      <c r="F4014" s="1" t="s">
        <v>344</v>
      </c>
      <c r="G4014" s="1" t="s">
        <v>1402</v>
      </c>
      <c r="H4014" s="1" t="s">
        <v>1405</v>
      </c>
      <c r="I4014">
        <v>2015</v>
      </c>
      <c r="J4014" s="93">
        <v>581319</v>
      </c>
      <c r="K4014">
        <v>5</v>
      </c>
      <c r="L4014" s="1"/>
      <c r="M4014">
        <v>0</v>
      </c>
      <c r="N4014">
        <v>7709</v>
      </c>
      <c r="O4014">
        <v>24.101029</v>
      </c>
      <c r="P4014">
        <v>2</v>
      </c>
      <c r="Q4014" s="1" t="s">
        <v>569</v>
      </c>
      <c r="R4014" s="93">
        <v>185797.25</v>
      </c>
      <c r="S4014">
        <v>74318.899999999994</v>
      </c>
      <c r="T4014">
        <v>0</v>
      </c>
      <c r="U4014" s="1" t="s">
        <v>1111</v>
      </c>
      <c r="V4014" s="1" t="s">
        <v>1346</v>
      </c>
      <c r="W4014">
        <v>185797.25</v>
      </c>
      <c r="X4014">
        <v>0</v>
      </c>
      <c r="Y4014">
        <v>57533</v>
      </c>
    </row>
    <row r="4015" spans="1:25" ht="15" hidden="1" customHeight="1" x14ac:dyDescent="0.25">
      <c r="A4015" s="1" t="s">
        <v>39</v>
      </c>
      <c r="B4015" s="1" t="s">
        <v>83</v>
      </c>
      <c r="C4015" s="1" t="s">
        <v>208</v>
      </c>
      <c r="D4015">
        <v>5449</v>
      </c>
      <c r="E4015" s="1"/>
      <c r="F4015" s="1" t="s">
        <v>344</v>
      </c>
      <c r="G4015" s="1" t="s">
        <v>1402</v>
      </c>
      <c r="H4015" s="1" t="s">
        <v>1405</v>
      </c>
      <c r="I4015">
        <v>2015</v>
      </c>
      <c r="J4015" s="93">
        <v>0</v>
      </c>
      <c r="K4015">
        <v>5</v>
      </c>
      <c r="L4015" s="1"/>
      <c r="M4015">
        <v>0</v>
      </c>
      <c r="N4015">
        <v>7709</v>
      </c>
      <c r="O4015">
        <v>6.261476</v>
      </c>
      <c r="P4015">
        <v>2</v>
      </c>
      <c r="Q4015" s="1" t="s">
        <v>569</v>
      </c>
      <c r="R4015" s="93">
        <v>48270.35</v>
      </c>
      <c r="S4015">
        <v>19308.150000000001</v>
      </c>
      <c r="T4015">
        <v>0</v>
      </c>
      <c r="U4015" s="1" t="s">
        <v>1112</v>
      </c>
      <c r="V4015" s="1" t="s">
        <v>1347</v>
      </c>
      <c r="W4015">
        <v>48270.345000000001</v>
      </c>
      <c r="X4015">
        <v>0</v>
      </c>
      <c r="Y4015">
        <v>57544</v>
      </c>
    </row>
    <row r="4016" spans="1:25" ht="15" hidden="1" customHeight="1" x14ac:dyDescent="0.25">
      <c r="A4016" s="1" t="s">
        <v>39</v>
      </c>
      <c r="B4016" s="1" t="s">
        <v>83</v>
      </c>
      <c r="C4016" s="1" t="s">
        <v>208</v>
      </c>
      <c r="D4016">
        <v>5449</v>
      </c>
      <c r="E4016" s="1"/>
      <c r="F4016" s="1" t="s">
        <v>344</v>
      </c>
      <c r="G4016" s="1" t="s">
        <v>1402</v>
      </c>
      <c r="H4016" s="1" t="s">
        <v>1405</v>
      </c>
      <c r="I4016">
        <v>2015</v>
      </c>
      <c r="J4016" s="93">
        <v>0</v>
      </c>
      <c r="K4016">
        <v>5</v>
      </c>
      <c r="L4016" s="1" t="s">
        <v>402</v>
      </c>
      <c r="M4016">
        <v>0</v>
      </c>
      <c r="N4016">
        <v>7709</v>
      </c>
      <c r="O4016">
        <v>1.401621</v>
      </c>
      <c r="P4016">
        <v>2</v>
      </c>
      <c r="Q4016" s="1" t="s">
        <v>569</v>
      </c>
      <c r="R4016" s="93">
        <v>10805.24</v>
      </c>
      <c r="S4016">
        <v>4322.1000000000004</v>
      </c>
      <c r="T4016">
        <v>0</v>
      </c>
      <c r="U4016" s="1" t="s">
        <v>1113</v>
      </c>
      <c r="V4016" s="1" t="s">
        <v>1347</v>
      </c>
      <c r="W4016">
        <v>10805.25</v>
      </c>
      <c r="X4016">
        <v>0</v>
      </c>
      <c r="Y4016">
        <v>57542</v>
      </c>
    </row>
    <row r="4017" spans="1:25" ht="15" hidden="1" customHeight="1" x14ac:dyDescent="0.25">
      <c r="A4017" s="1" t="s">
        <v>39</v>
      </c>
      <c r="B4017" s="1" t="s">
        <v>83</v>
      </c>
      <c r="C4017" s="1" t="s">
        <v>208</v>
      </c>
      <c r="D4017">
        <v>5449</v>
      </c>
      <c r="E4017" s="1"/>
      <c r="F4017" s="1" t="s">
        <v>344</v>
      </c>
      <c r="G4017" s="1" t="s">
        <v>1402</v>
      </c>
      <c r="H4017" s="1" t="s">
        <v>1405</v>
      </c>
      <c r="I4017">
        <v>2013</v>
      </c>
      <c r="J4017" s="93">
        <v>427718.65</v>
      </c>
      <c r="K4017">
        <v>12</v>
      </c>
      <c r="L4017" s="1"/>
      <c r="M4017">
        <v>0</v>
      </c>
      <c r="N4017">
        <v>7709</v>
      </c>
      <c r="O4017">
        <v>55.482306000000001</v>
      </c>
      <c r="P4017">
        <v>2</v>
      </c>
      <c r="Q4017" s="1" t="s">
        <v>569</v>
      </c>
      <c r="R4017" s="93">
        <v>427718.65</v>
      </c>
      <c r="S4017">
        <v>171087.46</v>
      </c>
      <c r="T4017">
        <v>0</v>
      </c>
      <c r="U4017" s="1" t="s">
        <v>1111</v>
      </c>
      <c r="V4017" s="1" t="s">
        <v>1346</v>
      </c>
      <c r="W4017">
        <v>427718.65</v>
      </c>
      <c r="X4017">
        <v>0</v>
      </c>
      <c r="Y4017">
        <v>57533</v>
      </c>
    </row>
    <row r="4018" spans="1:25" ht="15" hidden="1" customHeight="1" x14ac:dyDescent="0.25">
      <c r="A4018" s="1" t="s">
        <v>39</v>
      </c>
      <c r="B4018" s="1" t="s">
        <v>83</v>
      </c>
      <c r="C4018" s="1" t="s">
        <v>208</v>
      </c>
      <c r="D4018">
        <v>5449</v>
      </c>
      <c r="E4018" s="1"/>
      <c r="F4018" s="1" t="s">
        <v>344</v>
      </c>
      <c r="G4018" s="1" t="s">
        <v>1402</v>
      </c>
      <c r="H4018" s="1" t="s">
        <v>1405</v>
      </c>
      <c r="I4018">
        <v>2013</v>
      </c>
      <c r="J4018" s="93">
        <v>22762.48</v>
      </c>
      <c r="K4018">
        <v>12</v>
      </c>
      <c r="L4018" s="1" t="s">
        <v>402</v>
      </c>
      <c r="M4018">
        <v>0</v>
      </c>
      <c r="N4018">
        <v>7709</v>
      </c>
      <c r="O4018">
        <v>2.9526759999999999</v>
      </c>
      <c r="P4018">
        <v>2</v>
      </c>
      <c r="Q4018" s="1" t="s">
        <v>569</v>
      </c>
      <c r="R4018" s="93">
        <v>22762.48</v>
      </c>
      <c r="S4018">
        <v>9104.98</v>
      </c>
      <c r="T4018">
        <v>0</v>
      </c>
      <c r="U4018" s="1" t="s">
        <v>1113</v>
      </c>
      <c r="V4018" s="1" t="s">
        <v>1347</v>
      </c>
      <c r="W4018">
        <v>22762.5</v>
      </c>
      <c r="X4018">
        <v>0</v>
      </c>
      <c r="Y4018">
        <v>57542</v>
      </c>
    </row>
    <row r="4019" spans="1:25" ht="15" hidden="1" customHeight="1" x14ac:dyDescent="0.25">
      <c r="A4019" s="1" t="s">
        <v>39</v>
      </c>
      <c r="B4019" s="1" t="s">
        <v>83</v>
      </c>
      <c r="C4019" s="1" t="s">
        <v>208</v>
      </c>
      <c r="D4019">
        <v>5449</v>
      </c>
      <c r="E4019" s="1"/>
      <c r="F4019" s="1" t="s">
        <v>344</v>
      </c>
      <c r="G4019" s="1" t="s">
        <v>1402</v>
      </c>
      <c r="H4019" s="1" t="s">
        <v>1405</v>
      </c>
      <c r="I4019">
        <v>2013</v>
      </c>
      <c r="J4019" s="93">
        <v>110680.69</v>
      </c>
      <c r="K4019">
        <v>12</v>
      </c>
      <c r="L4019" s="1"/>
      <c r="M4019">
        <v>0</v>
      </c>
      <c r="N4019">
        <v>7709</v>
      </c>
      <c r="O4019">
        <v>14.357148</v>
      </c>
      <c r="P4019">
        <v>2</v>
      </c>
      <c r="Q4019" s="1" t="s">
        <v>569</v>
      </c>
      <c r="R4019" s="93">
        <v>110680.69</v>
      </c>
      <c r="S4019">
        <v>44272.28</v>
      </c>
      <c r="T4019">
        <v>0</v>
      </c>
      <c r="U4019" s="1" t="s">
        <v>1112</v>
      </c>
      <c r="V4019" s="1" t="s">
        <v>1347</v>
      </c>
      <c r="W4019">
        <v>110680.69</v>
      </c>
      <c r="X4019">
        <v>0</v>
      </c>
      <c r="Y4019">
        <v>57544</v>
      </c>
    </row>
    <row r="4020" spans="1:25" ht="15" hidden="1" customHeight="1" x14ac:dyDescent="0.25">
      <c r="A4020" s="1" t="s">
        <v>39</v>
      </c>
      <c r="B4020" s="1" t="s">
        <v>83</v>
      </c>
      <c r="C4020" s="1" t="s">
        <v>208</v>
      </c>
      <c r="D4020">
        <v>5449</v>
      </c>
      <c r="E4020" s="1"/>
      <c r="F4020" s="1" t="s">
        <v>344</v>
      </c>
      <c r="G4020" s="1" t="s">
        <v>1402</v>
      </c>
      <c r="H4020" s="1" t="s">
        <v>1405</v>
      </c>
      <c r="I4020">
        <v>2012</v>
      </c>
      <c r="J4020" s="93">
        <v>20801.86</v>
      </c>
      <c r="K4020">
        <v>12</v>
      </c>
      <c r="L4020" s="1" t="s">
        <v>402</v>
      </c>
      <c r="M4020">
        <v>0</v>
      </c>
      <c r="N4020">
        <v>7709</v>
      </c>
      <c r="O4020">
        <v>2.6983510000000002</v>
      </c>
      <c r="P4020">
        <v>2</v>
      </c>
      <c r="Q4020" s="1" t="s">
        <v>569</v>
      </c>
      <c r="R4020" s="93">
        <v>20801.86</v>
      </c>
      <c r="S4020">
        <v>8320.75</v>
      </c>
      <c r="T4020">
        <v>0</v>
      </c>
      <c r="U4020" s="1" t="s">
        <v>1113</v>
      </c>
      <c r="V4020" s="1" t="s">
        <v>1347</v>
      </c>
      <c r="W4020">
        <v>20801.865000000002</v>
      </c>
      <c r="X4020">
        <v>0</v>
      </c>
      <c r="Y4020">
        <v>57542</v>
      </c>
    </row>
    <row r="4021" spans="1:25" ht="15" hidden="1" customHeight="1" x14ac:dyDescent="0.25">
      <c r="A4021" s="1" t="s">
        <v>39</v>
      </c>
      <c r="B4021" s="1" t="s">
        <v>83</v>
      </c>
      <c r="C4021" s="1" t="s">
        <v>208</v>
      </c>
      <c r="D4021">
        <v>5449</v>
      </c>
      <c r="E4021" s="1"/>
      <c r="F4021" s="1" t="s">
        <v>344</v>
      </c>
      <c r="G4021" s="1" t="s">
        <v>1402</v>
      </c>
      <c r="H4021" s="1" t="s">
        <v>1405</v>
      </c>
      <c r="I4021">
        <v>2012</v>
      </c>
      <c r="J4021" s="93">
        <v>422386.95</v>
      </c>
      <c r="K4021">
        <v>12</v>
      </c>
      <c r="L4021" s="1"/>
      <c r="M4021">
        <v>0</v>
      </c>
      <c r="N4021">
        <v>7709</v>
      </c>
      <c r="O4021">
        <v>54.790694999999999</v>
      </c>
      <c r="P4021">
        <v>2</v>
      </c>
      <c r="Q4021" s="1" t="s">
        <v>569</v>
      </c>
      <c r="R4021" s="93">
        <v>422386.95</v>
      </c>
      <c r="S4021">
        <v>168954.78</v>
      </c>
      <c r="T4021">
        <v>0</v>
      </c>
      <c r="U4021" s="1" t="s">
        <v>1111</v>
      </c>
      <c r="V4021" s="1" t="s">
        <v>1346</v>
      </c>
      <c r="W4021">
        <v>422386.95</v>
      </c>
      <c r="X4021">
        <v>0</v>
      </c>
      <c r="Y4021">
        <v>57533</v>
      </c>
    </row>
    <row r="4022" spans="1:25" ht="15" hidden="1" customHeight="1" x14ac:dyDescent="0.25">
      <c r="A4022" s="1" t="s">
        <v>39</v>
      </c>
      <c r="B4022" s="1" t="s">
        <v>83</v>
      </c>
      <c r="C4022" s="1" t="s">
        <v>208</v>
      </c>
      <c r="D4022">
        <v>5449</v>
      </c>
      <c r="E4022" s="1"/>
      <c r="F4022" s="1" t="s">
        <v>344</v>
      </c>
      <c r="G4022" s="1" t="s">
        <v>1402</v>
      </c>
      <c r="H4022" s="1" t="s">
        <v>1405</v>
      </c>
      <c r="I4022">
        <v>2012</v>
      </c>
      <c r="J4022" s="93">
        <v>120790.39999999999</v>
      </c>
      <c r="K4022">
        <v>12</v>
      </c>
      <c r="L4022" s="1"/>
      <c r="M4022">
        <v>0</v>
      </c>
      <c r="N4022">
        <v>7709</v>
      </c>
      <c r="O4022">
        <v>15.668547</v>
      </c>
      <c r="P4022">
        <v>2</v>
      </c>
      <c r="Q4022" s="1" t="s">
        <v>569</v>
      </c>
      <c r="R4022" s="93">
        <v>120790.39999999999</v>
      </c>
      <c r="S4022">
        <v>48316.160000000003</v>
      </c>
      <c r="T4022">
        <v>0</v>
      </c>
      <c r="U4022" s="1" t="s">
        <v>1112</v>
      </c>
      <c r="V4022" s="1" t="s">
        <v>1347</v>
      </c>
      <c r="W4022">
        <v>120790.405</v>
      </c>
      <c r="X4022">
        <v>0</v>
      </c>
      <c r="Y4022">
        <v>57544</v>
      </c>
    </row>
    <row r="4023" spans="1:25" ht="15" hidden="1" customHeight="1" x14ac:dyDescent="0.25">
      <c r="A4023" s="1" t="s">
        <v>39</v>
      </c>
      <c r="B4023" s="1" t="s">
        <v>83</v>
      </c>
      <c r="C4023" s="1" t="s">
        <v>208</v>
      </c>
      <c r="D4023">
        <v>5449</v>
      </c>
      <c r="E4023" s="1"/>
      <c r="F4023" s="1" t="s">
        <v>344</v>
      </c>
      <c r="G4023" s="1" t="s">
        <v>1402</v>
      </c>
      <c r="H4023" s="1" t="s">
        <v>1405</v>
      </c>
      <c r="I4023">
        <v>2011</v>
      </c>
      <c r="J4023" s="93">
        <v>19999.259999999998</v>
      </c>
      <c r="K4023">
        <v>12</v>
      </c>
      <c r="L4023" s="1" t="s">
        <v>402</v>
      </c>
      <c r="M4023">
        <v>0</v>
      </c>
      <c r="N4023">
        <v>7709</v>
      </c>
      <c r="O4023">
        <v>2.5942400000000001</v>
      </c>
      <c r="P4023">
        <v>2</v>
      </c>
      <c r="Q4023" s="1" t="s">
        <v>569</v>
      </c>
      <c r="R4023" s="93">
        <v>19999.259999999998</v>
      </c>
      <c r="S4023">
        <v>9379.64</v>
      </c>
      <c r="T4023">
        <v>0</v>
      </c>
      <c r="U4023" s="1" t="s">
        <v>1113</v>
      </c>
      <c r="V4023" s="1" t="s">
        <v>1347</v>
      </c>
      <c r="W4023">
        <v>19999.244999999999</v>
      </c>
      <c r="X4023">
        <v>0</v>
      </c>
      <c r="Y4023">
        <v>57542</v>
      </c>
    </row>
    <row r="4024" spans="1:25" ht="15" hidden="1" customHeight="1" x14ac:dyDescent="0.25">
      <c r="A4024" s="1" t="s">
        <v>39</v>
      </c>
      <c r="B4024" s="1" t="s">
        <v>83</v>
      </c>
      <c r="C4024" s="1" t="s">
        <v>208</v>
      </c>
      <c r="D4024">
        <v>5449</v>
      </c>
      <c r="E4024" s="1"/>
      <c r="F4024" s="1" t="s">
        <v>344</v>
      </c>
      <c r="G4024" s="1" t="s">
        <v>1402</v>
      </c>
      <c r="H4024" s="1" t="s">
        <v>1405</v>
      </c>
      <c r="I4024">
        <v>2011</v>
      </c>
      <c r="J4024" s="93">
        <v>455875.7</v>
      </c>
      <c r="K4024">
        <v>12</v>
      </c>
      <c r="L4024" s="1"/>
      <c r="M4024">
        <v>0</v>
      </c>
      <c r="N4024">
        <v>7709</v>
      </c>
      <c r="O4024">
        <v>59.134748999999999</v>
      </c>
      <c r="P4024">
        <v>2</v>
      </c>
      <c r="Q4024" s="1" t="s">
        <v>569</v>
      </c>
      <c r="R4024" s="93">
        <v>455875.7</v>
      </c>
      <c r="S4024">
        <v>213805.71</v>
      </c>
      <c r="T4024">
        <v>0</v>
      </c>
      <c r="U4024" s="1" t="s">
        <v>1111</v>
      </c>
      <c r="V4024" s="1" t="s">
        <v>1346</v>
      </c>
      <c r="W4024">
        <v>455875.7</v>
      </c>
      <c r="X4024">
        <v>0</v>
      </c>
      <c r="Y4024">
        <v>57533</v>
      </c>
    </row>
    <row r="4025" spans="1:25" ht="15" hidden="1" customHeight="1" x14ac:dyDescent="0.25">
      <c r="A4025" s="1" t="s">
        <v>39</v>
      </c>
      <c r="B4025" s="1" t="s">
        <v>83</v>
      </c>
      <c r="C4025" s="1" t="s">
        <v>208</v>
      </c>
      <c r="D4025">
        <v>5449</v>
      </c>
      <c r="E4025" s="1"/>
      <c r="F4025" s="1" t="s">
        <v>344</v>
      </c>
      <c r="G4025" s="1" t="s">
        <v>1402</v>
      </c>
      <c r="H4025" s="1" t="s">
        <v>1405</v>
      </c>
      <c r="I4025">
        <v>2011</v>
      </c>
      <c r="J4025" s="93">
        <v>125866.47</v>
      </c>
      <c r="K4025">
        <v>12</v>
      </c>
      <c r="L4025" s="1"/>
      <c r="M4025">
        <v>0</v>
      </c>
      <c r="N4025">
        <v>7709</v>
      </c>
      <c r="O4025">
        <v>16.326999000000001</v>
      </c>
      <c r="P4025">
        <v>2</v>
      </c>
      <c r="Q4025" s="1" t="s">
        <v>569</v>
      </c>
      <c r="R4025" s="93">
        <v>125866.47</v>
      </c>
      <c r="S4025">
        <v>59031.37</v>
      </c>
      <c r="T4025">
        <v>0</v>
      </c>
      <c r="U4025" s="1" t="s">
        <v>1112</v>
      </c>
      <c r="V4025" s="1" t="s">
        <v>1347</v>
      </c>
      <c r="W4025">
        <v>125866.47500000001</v>
      </c>
      <c r="X4025">
        <v>0</v>
      </c>
      <c r="Y4025">
        <v>57544</v>
      </c>
    </row>
    <row r="4026" spans="1:25" ht="15" hidden="1" customHeight="1" x14ac:dyDescent="0.25">
      <c r="A4026" s="1" t="s">
        <v>39</v>
      </c>
      <c r="B4026" s="1" t="s">
        <v>83</v>
      </c>
      <c r="C4026" s="1" t="s">
        <v>208</v>
      </c>
      <c r="D4026">
        <v>5449</v>
      </c>
      <c r="E4026" s="1"/>
      <c r="F4026" s="1" t="s">
        <v>344</v>
      </c>
      <c r="G4026" s="1" t="s">
        <v>1402</v>
      </c>
      <c r="H4026" s="1" t="s">
        <v>1405</v>
      </c>
      <c r="I4026">
        <v>2010</v>
      </c>
      <c r="J4026" s="93">
        <v>26659.46</v>
      </c>
      <c r="K4026">
        <v>12</v>
      </c>
      <c r="L4026" s="1" t="s">
        <v>402</v>
      </c>
      <c r="M4026">
        <v>0</v>
      </c>
      <c r="N4026">
        <v>7709</v>
      </c>
      <c r="O4026">
        <v>3.45818</v>
      </c>
      <c r="P4026">
        <v>2</v>
      </c>
      <c r="Q4026" s="1" t="s">
        <v>569</v>
      </c>
      <c r="R4026" s="93">
        <v>26659.46</v>
      </c>
      <c r="S4026">
        <v>12503.28</v>
      </c>
      <c r="T4026">
        <v>0</v>
      </c>
      <c r="U4026" s="1" t="s">
        <v>1113</v>
      </c>
      <c r="V4026" s="1" t="s">
        <v>1347</v>
      </c>
      <c r="W4026">
        <v>26659.455000000002</v>
      </c>
      <c r="X4026">
        <v>0</v>
      </c>
      <c r="Y4026">
        <v>57542</v>
      </c>
    </row>
    <row r="4027" spans="1:25" ht="15" hidden="1" customHeight="1" x14ac:dyDescent="0.25">
      <c r="A4027" s="1" t="s">
        <v>39</v>
      </c>
      <c r="B4027" s="1" t="s">
        <v>83</v>
      </c>
      <c r="C4027" s="1" t="s">
        <v>208</v>
      </c>
      <c r="D4027">
        <v>5449</v>
      </c>
      <c r="E4027" s="1"/>
      <c r="F4027" s="1" t="s">
        <v>344</v>
      </c>
      <c r="G4027" s="1" t="s">
        <v>1402</v>
      </c>
      <c r="H4027" s="1" t="s">
        <v>1405</v>
      </c>
      <c r="I4027">
        <v>2010</v>
      </c>
      <c r="J4027" s="93">
        <v>156734.53</v>
      </c>
      <c r="K4027">
        <v>12</v>
      </c>
      <c r="L4027" s="1"/>
      <c r="M4027">
        <v>0</v>
      </c>
      <c r="N4027">
        <v>7709</v>
      </c>
      <c r="O4027">
        <v>20.331105999999998</v>
      </c>
      <c r="P4027">
        <v>2</v>
      </c>
      <c r="Q4027" s="1" t="s">
        <v>569</v>
      </c>
      <c r="R4027" s="93">
        <v>156734.53</v>
      </c>
      <c r="S4027">
        <v>73508.5</v>
      </c>
      <c r="T4027">
        <v>0</v>
      </c>
      <c r="U4027" s="1" t="s">
        <v>1112</v>
      </c>
      <c r="V4027" s="1" t="s">
        <v>1347</v>
      </c>
      <c r="W4027">
        <v>156734.52499999999</v>
      </c>
      <c r="X4027">
        <v>0</v>
      </c>
      <c r="Y4027">
        <v>57544</v>
      </c>
    </row>
    <row r="4028" spans="1:25" ht="15" hidden="1" customHeight="1" x14ac:dyDescent="0.25">
      <c r="A4028" s="1" t="s">
        <v>39</v>
      </c>
      <c r="B4028" s="1" t="s">
        <v>83</v>
      </c>
      <c r="C4028" s="1" t="s">
        <v>208</v>
      </c>
      <c r="D4028">
        <v>5449</v>
      </c>
      <c r="E4028" s="1"/>
      <c r="F4028" s="1" t="s">
        <v>344</v>
      </c>
      <c r="G4028" s="1" t="s">
        <v>1402</v>
      </c>
      <c r="H4028" s="1" t="s">
        <v>1405</v>
      </c>
      <c r="I4028">
        <v>2010</v>
      </c>
      <c r="J4028" s="93">
        <v>577249.9</v>
      </c>
      <c r="K4028">
        <v>12</v>
      </c>
      <c r="L4028" s="1"/>
      <c r="M4028">
        <v>0</v>
      </c>
      <c r="N4028">
        <v>7709</v>
      </c>
      <c r="O4028">
        <v>74.879025999999996</v>
      </c>
      <c r="P4028">
        <v>2</v>
      </c>
      <c r="Q4028" s="1" t="s">
        <v>569</v>
      </c>
      <c r="R4028" s="93">
        <v>577249.9</v>
      </c>
      <c r="S4028">
        <v>270730.21000000002</v>
      </c>
      <c r="T4028">
        <v>0</v>
      </c>
      <c r="U4028" s="1" t="s">
        <v>1111</v>
      </c>
      <c r="V4028" s="1" t="s">
        <v>1346</v>
      </c>
      <c r="W4028">
        <v>577249.9</v>
      </c>
      <c r="X4028">
        <v>0</v>
      </c>
      <c r="Y4028">
        <v>57533</v>
      </c>
    </row>
    <row r="4029" spans="1:25" ht="15" hidden="1" customHeight="1" x14ac:dyDescent="0.25">
      <c r="A4029" s="1" t="s">
        <v>39</v>
      </c>
      <c r="B4029" s="1" t="s">
        <v>83</v>
      </c>
      <c r="C4029" s="1" t="s">
        <v>208</v>
      </c>
      <c r="D4029">
        <v>5449</v>
      </c>
      <c r="E4029" s="1"/>
      <c r="F4029" s="1" t="s">
        <v>344</v>
      </c>
      <c r="G4029" s="1" t="s">
        <v>1402</v>
      </c>
      <c r="H4029" s="1" t="s">
        <v>1405</v>
      </c>
      <c r="I4029">
        <v>2009</v>
      </c>
      <c r="J4029" s="93">
        <v>611497.69999999995</v>
      </c>
      <c r="K4029">
        <v>12</v>
      </c>
      <c r="L4029" s="1"/>
      <c r="M4029">
        <v>0</v>
      </c>
      <c r="N4029">
        <v>7709</v>
      </c>
      <c r="O4029">
        <v>79.321541999999994</v>
      </c>
      <c r="P4029">
        <v>2</v>
      </c>
      <c r="Q4029" s="1" t="s">
        <v>569</v>
      </c>
      <c r="R4029" s="93">
        <v>611497.69999999995</v>
      </c>
      <c r="S4029">
        <v>286792.42</v>
      </c>
      <c r="T4029">
        <v>0</v>
      </c>
      <c r="U4029" s="1" t="s">
        <v>1111</v>
      </c>
      <c r="V4029" s="1" t="s">
        <v>1346</v>
      </c>
      <c r="W4029">
        <v>611497.69999999995</v>
      </c>
      <c r="X4029">
        <v>0</v>
      </c>
      <c r="Y4029">
        <v>57533</v>
      </c>
    </row>
    <row r="4030" spans="1:25" ht="15" hidden="1" customHeight="1" x14ac:dyDescent="0.25">
      <c r="A4030" s="1" t="s">
        <v>39</v>
      </c>
      <c r="B4030" s="1" t="s">
        <v>83</v>
      </c>
      <c r="C4030" s="1" t="s">
        <v>208</v>
      </c>
      <c r="D4030">
        <v>5449</v>
      </c>
      <c r="E4030" s="1"/>
      <c r="F4030" s="1" t="s">
        <v>344</v>
      </c>
      <c r="G4030" s="1" t="s">
        <v>1402</v>
      </c>
      <c r="H4030" s="1" t="s">
        <v>1405</v>
      </c>
      <c r="I4030">
        <v>2009</v>
      </c>
      <c r="J4030" s="93">
        <v>40448.160000000003</v>
      </c>
      <c r="K4030">
        <v>12</v>
      </c>
      <c r="L4030" s="1" t="s">
        <v>402</v>
      </c>
      <c r="M4030">
        <v>0</v>
      </c>
      <c r="N4030">
        <v>7709</v>
      </c>
      <c r="O4030">
        <v>5.2468070000000004</v>
      </c>
      <c r="P4030">
        <v>2</v>
      </c>
      <c r="Q4030" s="1" t="s">
        <v>569</v>
      </c>
      <c r="R4030" s="93">
        <v>40448.160000000003</v>
      </c>
      <c r="S4030">
        <v>18970.18</v>
      </c>
      <c r="T4030">
        <v>0</v>
      </c>
      <c r="U4030" s="1" t="s">
        <v>1113</v>
      </c>
      <c r="V4030" s="1" t="s">
        <v>1347</v>
      </c>
      <c r="W4030">
        <v>40448.160000000003</v>
      </c>
      <c r="X4030">
        <v>0</v>
      </c>
      <c r="Y4030">
        <v>57542</v>
      </c>
    </row>
    <row r="4031" spans="1:25" ht="15" hidden="1" customHeight="1" x14ac:dyDescent="0.25">
      <c r="A4031" s="1" t="s">
        <v>39</v>
      </c>
      <c r="B4031" s="1" t="s">
        <v>83</v>
      </c>
      <c r="C4031" s="1" t="s">
        <v>208</v>
      </c>
      <c r="D4031">
        <v>5449</v>
      </c>
      <c r="E4031" s="1"/>
      <c r="F4031" s="1" t="s">
        <v>344</v>
      </c>
      <c r="G4031" s="1" t="s">
        <v>1402</v>
      </c>
      <c r="H4031" s="1" t="s">
        <v>1405</v>
      </c>
      <c r="I4031">
        <v>2009</v>
      </c>
      <c r="J4031" s="93">
        <v>151971.21</v>
      </c>
      <c r="K4031">
        <v>12</v>
      </c>
      <c r="L4031" s="1"/>
      <c r="M4031">
        <v>0</v>
      </c>
      <c r="N4031">
        <v>7709</v>
      </c>
      <c r="O4031">
        <v>19.713222999999999</v>
      </c>
      <c r="P4031">
        <v>2</v>
      </c>
      <c r="Q4031" s="1" t="s">
        <v>569</v>
      </c>
      <c r="R4031" s="93">
        <v>151971.21</v>
      </c>
      <c r="S4031">
        <v>71274.490000000005</v>
      </c>
      <c r="T4031">
        <v>0</v>
      </c>
      <c r="U4031" s="1" t="s">
        <v>1112</v>
      </c>
      <c r="V4031" s="1" t="s">
        <v>1347</v>
      </c>
      <c r="W4031">
        <v>151971.21</v>
      </c>
      <c r="X4031">
        <v>0</v>
      </c>
      <c r="Y4031">
        <v>57544</v>
      </c>
    </row>
    <row r="4032" spans="1:25" ht="15" hidden="1" customHeight="1" x14ac:dyDescent="0.25">
      <c r="A4032" s="1" t="s">
        <v>39</v>
      </c>
      <c r="B4032" s="1" t="s">
        <v>83</v>
      </c>
      <c r="C4032" s="1" t="s">
        <v>208</v>
      </c>
      <c r="D4032">
        <v>5449</v>
      </c>
      <c r="E4032" s="1"/>
      <c r="F4032" s="1" t="s">
        <v>344</v>
      </c>
      <c r="G4032" s="1" t="s">
        <v>1402</v>
      </c>
      <c r="H4032" s="1" t="s">
        <v>1405</v>
      </c>
      <c r="I4032">
        <v>2008</v>
      </c>
      <c r="J4032" s="93">
        <v>43668.82</v>
      </c>
      <c r="K4032">
        <v>12</v>
      </c>
      <c r="L4032" s="1" t="s">
        <v>402</v>
      </c>
      <c r="M4032">
        <v>0</v>
      </c>
      <c r="N4032">
        <v>7709</v>
      </c>
      <c r="O4032">
        <v>5.6645799999999999</v>
      </c>
      <c r="P4032">
        <v>2</v>
      </c>
      <c r="Q4032" s="1" t="s">
        <v>569</v>
      </c>
      <c r="R4032" s="93">
        <v>43668.82</v>
      </c>
      <c r="S4032">
        <v>20480.66</v>
      </c>
      <c r="T4032">
        <v>0</v>
      </c>
      <c r="U4032" s="1" t="s">
        <v>1113</v>
      </c>
      <c r="V4032" s="1" t="s">
        <v>1347</v>
      </c>
      <c r="W4032">
        <v>43668.794999999998</v>
      </c>
      <c r="X4032">
        <v>0</v>
      </c>
      <c r="Y4032">
        <v>57542</v>
      </c>
    </row>
    <row r="4033" spans="1:25" ht="15" hidden="1" customHeight="1" x14ac:dyDescent="0.25">
      <c r="A4033" s="1" t="s">
        <v>39</v>
      </c>
      <c r="B4033" s="1" t="s">
        <v>83</v>
      </c>
      <c r="C4033" s="1" t="s">
        <v>208</v>
      </c>
      <c r="D4033">
        <v>5449</v>
      </c>
      <c r="E4033" s="1"/>
      <c r="F4033" s="1" t="s">
        <v>344</v>
      </c>
      <c r="G4033" s="1" t="s">
        <v>1402</v>
      </c>
      <c r="H4033" s="1" t="s">
        <v>1405</v>
      </c>
      <c r="I4033">
        <v>2008</v>
      </c>
      <c r="J4033" s="93">
        <v>649559.6</v>
      </c>
      <c r="K4033">
        <v>12</v>
      </c>
      <c r="L4033" s="1"/>
      <c r="M4033">
        <v>0</v>
      </c>
      <c r="N4033">
        <v>7709</v>
      </c>
      <c r="O4033">
        <v>84.258810999999994</v>
      </c>
      <c r="P4033">
        <v>2</v>
      </c>
      <c r="Q4033" s="1" t="s">
        <v>569</v>
      </c>
      <c r="R4033" s="93">
        <v>649559.6</v>
      </c>
      <c r="S4033">
        <v>304643.46000000002</v>
      </c>
      <c r="T4033">
        <v>0</v>
      </c>
      <c r="U4033" s="1" t="s">
        <v>1111</v>
      </c>
      <c r="V4033" s="1" t="s">
        <v>1346</v>
      </c>
      <c r="W4033">
        <v>649559.6</v>
      </c>
      <c r="X4033">
        <v>0</v>
      </c>
      <c r="Y4033">
        <v>57533</v>
      </c>
    </row>
    <row r="4034" spans="1:25" ht="15" hidden="1" customHeight="1" x14ac:dyDescent="0.25">
      <c r="A4034" s="1" t="s">
        <v>39</v>
      </c>
      <c r="B4034" s="1" t="s">
        <v>83</v>
      </c>
      <c r="C4034" s="1" t="s">
        <v>208</v>
      </c>
      <c r="D4034">
        <v>5449</v>
      </c>
      <c r="E4034" s="1"/>
      <c r="F4034" s="1" t="s">
        <v>344</v>
      </c>
      <c r="G4034" s="1" t="s">
        <v>1402</v>
      </c>
      <c r="H4034" s="1" t="s">
        <v>1405</v>
      </c>
      <c r="I4034">
        <v>2008</v>
      </c>
      <c r="J4034" s="93">
        <v>165455.15</v>
      </c>
      <c r="K4034">
        <v>12</v>
      </c>
      <c r="L4034" s="1"/>
      <c r="M4034">
        <v>0</v>
      </c>
      <c r="N4034">
        <v>7709</v>
      </c>
      <c r="O4034">
        <v>21.462316999999999</v>
      </c>
      <c r="P4034">
        <v>2</v>
      </c>
      <c r="Q4034" s="1" t="s">
        <v>569</v>
      </c>
      <c r="R4034" s="93">
        <v>165455.15</v>
      </c>
      <c r="S4034">
        <v>77598.48</v>
      </c>
      <c r="T4034">
        <v>0</v>
      </c>
      <c r="U4034" s="1" t="s">
        <v>1112</v>
      </c>
      <c r="V4034" s="1" t="s">
        <v>1347</v>
      </c>
      <c r="W4034">
        <v>165455.15</v>
      </c>
      <c r="X4034">
        <v>0</v>
      </c>
      <c r="Y4034">
        <v>57544</v>
      </c>
    </row>
    <row r="4035" spans="1:25" ht="15" hidden="1" customHeight="1" x14ac:dyDescent="0.25">
      <c r="A4035" s="1" t="s">
        <v>39</v>
      </c>
      <c r="B4035" s="1" t="s">
        <v>83</v>
      </c>
      <c r="C4035" s="1" t="s">
        <v>208</v>
      </c>
      <c r="D4035">
        <v>5453</v>
      </c>
      <c r="E4035" s="1"/>
      <c r="F4035" s="1" t="s">
        <v>345</v>
      </c>
      <c r="G4035" s="1" t="s">
        <v>1402</v>
      </c>
      <c r="H4035" s="1" t="s">
        <v>1404</v>
      </c>
      <c r="I4035">
        <v>2015</v>
      </c>
      <c r="J4035" s="93">
        <v>11018.72</v>
      </c>
      <c r="K4035">
        <v>5</v>
      </c>
      <c r="L4035" s="1" t="s">
        <v>421</v>
      </c>
      <c r="M4035">
        <v>0</v>
      </c>
      <c r="N4035">
        <v>610</v>
      </c>
      <c r="O4035">
        <v>18.060514000000001</v>
      </c>
      <c r="P4035">
        <v>2</v>
      </c>
      <c r="Q4035" s="1" t="s">
        <v>569</v>
      </c>
      <c r="R4035" s="93">
        <v>11018.72</v>
      </c>
      <c r="S4035">
        <v>4407.4799999999996</v>
      </c>
      <c r="T4035">
        <v>1</v>
      </c>
      <c r="U4035" s="1" t="s">
        <v>1114</v>
      </c>
      <c r="V4035" s="1"/>
      <c r="W4035">
        <v>11018.71875</v>
      </c>
      <c r="X4035">
        <v>0</v>
      </c>
      <c r="Y4035">
        <v>57556</v>
      </c>
    </row>
    <row r="4036" spans="1:25" ht="15" hidden="1" customHeight="1" x14ac:dyDescent="0.25">
      <c r="A4036" s="1" t="s">
        <v>39</v>
      </c>
      <c r="B4036" s="1" t="s">
        <v>83</v>
      </c>
      <c r="C4036" s="1" t="s">
        <v>208</v>
      </c>
      <c r="D4036">
        <v>5453</v>
      </c>
      <c r="E4036" s="1"/>
      <c r="F4036" s="1" t="s">
        <v>345</v>
      </c>
      <c r="G4036" s="1" t="s">
        <v>1402</v>
      </c>
      <c r="H4036" s="1" t="s">
        <v>1404</v>
      </c>
      <c r="I4036">
        <v>2013</v>
      </c>
      <c r="J4036" s="93">
        <v>20837.95</v>
      </c>
      <c r="K4036">
        <v>11</v>
      </c>
      <c r="L4036" s="1" t="s">
        <v>421</v>
      </c>
      <c r="M4036">
        <v>0</v>
      </c>
      <c r="N4036">
        <v>610</v>
      </c>
      <c r="O4036">
        <v>34.154974000000003</v>
      </c>
      <c r="P4036">
        <v>2</v>
      </c>
      <c r="Q4036" s="1" t="s">
        <v>569</v>
      </c>
      <c r="R4036" s="93">
        <v>20837.95</v>
      </c>
      <c r="S4036">
        <v>8335.18</v>
      </c>
      <c r="T4036">
        <v>1</v>
      </c>
      <c r="U4036" s="1" t="s">
        <v>1114</v>
      </c>
      <c r="V4036" s="1"/>
      <c r="W4036">
        <v>20837.946240000001</v>
      </c>
      <c r="X4036">
        <v>0</v>
      </c>
      <c r="Y4036">
        <v>57556</v>
      </c>
    </row>
    <row r="4037" spans="1:25" ht="15" hidden="1" customHeight="1" x14ac:dyDescent="0.25">
      <c r="A4037" s="1" t="s">
        <v>39</v>
      </c>
      <c r="B4037" s="1" t="s">
        <v>83</v>
      </c>
      <c r="C4037" s="1" t="s">
        <v>208</v>
      </c>
      <c r="D4037">
        <v>5453</v>
      </c>
      <c r="E4037" s="1"/>
      <c r="F4037" s="1" t="s">
        <v>345</v>
      </c>
      <c r="G4037" s="1" t="s">
        <v>1402</v>
      </c>
      <c r="H4037" s="1" t="s">
        <v>1404</v>
      </c>
      <c r="I4037">
        <v>2012</v>
      </c>
      <c r="J4037" s="93">
        <v>23652.61</v>
      </c>
      <c r="K4037">
        <v>13</v>
      </c>
      <c r="L4037" s="1" t="s">
        <v>421</v>
      </c>
      <c r="M4037">
        <v>0</v>
      </c>
      <c r="N4037">
        <v>610</v>
      </c>
      <c r="O4037">
        <v>38.768414999999997</v>
      </c>
      <c r="P4037">
        <v>2</v>
      </c>
      <c r="Q4037" s="1" t="s">
        <v>569</v>
      </c>
      <c r="R4037" s="93">
        <v>23652.61</v>
      </c>
      <c r="S4037">
        <v>9461.0499999999993</v>
      </c>
      <c r="T4037">
        <v>1</v>
      </c>
      <c r="U4037" s="1" t="s">
        <v>1114</v>
      </c>
      <c r="V4037" s="1"/>
      <c r="W4037">
        <v>23652.606059999998</v>
      </c>
      <c r="X4037">
        <v>0</v>
      </c>
      <c r="Y4037">
        <v>57556</v>
      </c>
    </row>
    <row r="4038" spans="1:25" ht="15" hidden="1" customHeight="1" x14ac:dyDescent="0.25">
      <c r="A4038" s="1" t="s">
        <v>39</v>
      </c>
      <c r="B4038" s="1" t="s">
        <v>83</v>
      </c>
      <c r="C4038" s="1" t="s">
        <v>208</v>
      </c>
      <c r="D4038">
        <v>5453</v>
      </c>
      <c r="E4038" s="1"/>
      <c r="F4038" s="1" t="s">
        <v>345</v>
      </c>
      <c r="G4038" s="1" t="s">
        <v>1402</v>
      </c>
      <c r="H4038" s="1" t="s">
        <v>1404</v>
      </c>
      <c r="I4038">
        <v>2011</v>
      </c>
      <c r="J4038" s="93">
        <v>23841.46</v>
      </c>
      <c r="K4038">
        <v>12</v>
      </c>
      <c r="L4038" s="1" t="s">
        <v>421</v>
      </c>
      <c r="M4038">
        <v>0</v>
      </c>
      <c r="N4038">
        <v>610</v>
      </c>
      <c r="O4038">
        <v>39.077953999999998</v>
      </c>
      <c r="P4038">
        <v>2</v>
      </c>
      <c r="Q4038" s="1" t="s">
        <v>569</v>
      </c>
      <c r="R4038" s="93">
        <v>23841.46</v>
      </c>
      <c r="S4038">
        <v>11181.64</v>
      </c>
      <c r="T4038">
        <v>1</v>
      </c>
      <c r="U4038" s="1" t="s">
        <v>1114</v>
      </c>
      <c r="V4038" s="1"/>
      <c r="W4038">
        <v>23841.454539999999</v>
      </c>
      <c r="X4038">
        <v>0</v>
      </c>
      <c r="Y4038">
        <v>57556</v>
      </c>
    </row>
    <row r="4039" spans="1:25" ht="15" hidden="1" customHeight="1" x14ac:dyDescent="0.25">
      <c r="A4039" s="1" t="s">
        <v>39</v>
      </c>
      <c r="B4039" s="1" t="s">
        <v>83</v>
      </c>
      <c r="C4039" s="1" t="s">
        <v>208</v>
      </c>
      <c r="D4039">
        <v>5453</v>
      </c>
      <c r="E4039" s="1"/>
      <c r="F4039" s="1" t="s">
        <v>345</v>
      </c>
      <c r="G4039" s="1" t="s">
        <v>1402</v>
      </c>
      <c r="H4039" s="1" t="s">
        <v>1404</v>
      </c>
      <c r="I4039">
        <v>2010</v>
      </c>
      <c r="J4039" s="93">
        <v>24729.85</v>
      </c>
      <c r="K4039">
        <v>12</v>
      </c>
      <c r="L4039" s="1" t="s">
        <v>421</v>
      </c>
      <c r="M4039">
        <v>0</v>
      </c>
      <c r="N4039">
        <v>610</v>
      </c>
      <c r="O4039">
        <v>40.534092000000001</v>
      </c>
      <c r="P4039">
        <v>2</v>
      </c>
      <c r="Q4039" s="1" t="s">
        <v>569</v>
      </c>
      <c r="R4039" s="93">
        <v>24729.85</v>
      </c>
      <c r="S4039">
        <v>11598.3</v>
      </c>
      <c r="T4039">
        <v>1</v>
      </c>
      <c r="U4039" s="1" t="s">
        <v>1114</v>
      </c>
      <c r="V4039" s="1"/>
      <c r="W4039">
        <v>24729.841349999999</v>
      </c>
      <c r="X4039">
        <v>0</v>
      </c>
      <c r="Y4039">
        <v>57556</v>
      </c>
    </row>
    <row r="4040" spans="1:25" ht="15" hidden="1" customHeight="1" x14ac:dyDescent="0.25">
      <c r="A4040" s="1" t="s">
        <v>39</v>
      </c>
      <c r="B4040" s="1" t="s">
        <v>83</v>
      </c>
      <c r="C4040" s="1" t="s">
        <v>208</v>
      </c>
      <c r="D4040">
        <v>5453</v>
      </c>
      <c r="E4040" s="1"/>
      <c r="F4040" s="1" t="s">
        <v>345</v>
      </c>
      <c r="G4040" s="1" t="s">
        <v>1402</v>
      </c>
      <c r="H4040" s="1" t="s">
        <v>1404</v>
      </c>
      <c r="I4040">
        <v>2009</v>
      </c>
      <c r="J4040" s="93">
        <v>27566.76</v>
      </c>
      <c r="K4040">
        <v>12</v>
      </c>
      <c r="L4040" s="1" t="s">
        <v>421</v>
      </c>
      <c r="M4040">
        <v>0</v>
      </c>
      <c r="N4040">
        <v>610</v>
      </c>
      <c r="O4040">
        <v>45.184002</v>
      </c>
      <c r="P4040">
        <v>2</v>
      </c>
      <c r="Q4040" s="1" t="s">
        <v>569</v>
      </c>
      <c r="R4040" s="93">
        <v>27566.76</v>
      </c>
      <c r="S4040">
        <v>12928.81</v>
      </c>
      <c r="T4040">
        <v>1</v>
      </c>
      <c r="U4040" s="1" t="s">
        <v>1114</v>
      </c>
      <c r="V4040" s="1"/>
      <c r="W4040">
        <v>27566.764709999999</v>
      </c>
      <c r="X4040">
        <v>0</v>
      </c>
      <c r="Y4040">
        <v>57556</v>
      </c>
    </row>
    <row r="4041" spans="1:25" ht="15" hidden="1" customHeight="1" x14ac:dyDescent="0.25">
      <c r="A4041" s="1" t="s">
        <v>39</v>
      </c>
      <c r="B4041" s="1" t="s">
        <v>83</v>
      </c>
      <c r="C4041" s="1" t="s">
        <v>208</v>
      </c>
      <c r="D4041">
        <v>5453</v>
      </c>
      <c r="E4041" s="1"/>
      <c r="F4041" s="1" t="s">
        <v>345</v>
      </c>
      <c r="G4041" s="1" t="s">
        <v>1402</v>
      </c>
      <c r="H4041" s="1" t="s">
        <v>1404</v>
      </c>
      <c r="I4041">
        <v>2008</v>
      </c>
      <c r="J4041" s="93">
        <v>27271.24</v>
      </c>
      <c r="K4041">
        <v>12</v>
      </c>
      <c r="L4041" s="1" t="s">
        <v>421</v>
      </c>
      <c r="M4041">
        <v>0</v>
      </c>
      <c r="N4041">
        <v>610</v>
      </c>
      <c r="O4041">
        <v>44.699623000000003</v>
      </c>
      <c r="P4041">
        <v>2</v>
      </c>
      <c r="Q4041" s="1" t="s">
        <v>569</v>
      </c>
      <c r="R4041" s="93">
        <v>27271.24</v>
      </c>
      <c r="S4041">
        <v>12790.23</v>
      </c>
      <c r="T4041">
        <v>1</v>
      </c>
      <c r="U4041" s="1" t="s">
        <v>1114</v>
      </c>
      <c r="V4041" s="1"/>
      <c r="W4041">
        <v>27271.242440000002</v>
      </c>
      <c r="X4041">
        <v>0</v>
      </c>
      <c r="Y4041">
        <v>57556</v>
      </c>
    </row>
    <row r="4042" spans="1:25" ht="15" hidden="1" customHeight="1" x14ac:dyDescent="0.25">
      <c r="A4042" s="1" t="s">
        <v>39</v>
      </c>
      <c r="B4042" s="1" t="s">
        <v>84</v>
      </c>
      <c r="C4042" s="1" t="s">
        <v>209</v>
      </c>
      <c r="D4042">
        <v>8933</v>
      </c>
      <c r="E4042" s="1" t="s">
        <v>243</v>
      </c>
      <c r="F4042" s="1" t="s">
        <v>390</v>
      </c>
      <c r="G4042" s="1" t="s">
        <v>209</v>
      </c>
      <c r="H4042" s="1" t="s">
        <v>1404</v>
      </c>
      <c r="I4042">
        <v>2015</v>
      </c>
      <c r="J4042" s="93">
        <v>16111.06</v>
      </c>
      <c r="K4042">
        <v>5</v>
      </c>
      <c r="L4042" s="1" t="s">
        <v>433</v>
      </c>
      <c r="M4042">
        <v>0</v>
      </c>
      <c r="N4042">
        <v>0</v>
      </c>
      <c r="O4042">
        <v>161110.6</v>
      </c>
      <c r="P4042">
        <v>2</v>
      </c>
      <c r="Q4042" s="1" t="s">
        <v>569</v>
      </c>
      <c r="R4042" s="93">
        <v>16111.06</v>
      </c>
      <c r="S4042">
        <v>4833.32</v>
      </c>
      <c r="T4042">
        <v>1</v>
      </c>
      <c r="U4042" s="1" t="s">
        <v>1115</v>
      </c>
      <c r="V4042" s="1"/>
      <c r="W4042">
        <v>16111.05882</v>
      </c>
      <c r="X4042">
        <v>0</v>
      </c>
      <c r="Y4042">
        <v>70990</v>
      </c>
    </row>
    <row r="4043" spans="1:25" ht="15" hidden="1" customHeight="1" x14ac:dyDescent="0.25">
      <c r="A4043" s="1" t="s">
        <v>39</v>
      </c>
      <c r="B4043" s="1" t="s">
        <v>84</v>
      </c>
      <c r="C4043" s="1" t="s">
        <v>209</v>
      </c>
      <c r="D4043">
        <v>8933</v>
      </c>
      <c r="E4043" s="1" t="s">
        <v>243</v>
      </c>
      <c r="F4043" s="1" t="s">
        <v>390</v>
      </c>
      <c r="G4043" s="1" t="s">
        <v>209</v>
      </c>
      <c r="H4043" s="1" t="s">
        <v>1404</v>
      </c>
      <c r="I4043">
        <v>2015</v>
      </c>
      <c r="J4043" s="93">
        <v>2163.88</v>
      </c>
      <c r="K4043">
        <v>5</v>
      </c>
      <c r="L4043" s="1" t="s">
        <v>433</v>
      </c>
      <c r="M4043">
        <v>0</v>
      </c>
      <c r="N4043">
        <v>0</v>
      </c>
      <c r="O4043">
        <v>21638.799999999999</v>
      </c>
      <c r="P4043">
        <v>2</v>
      </c>
      <c r="Q4043" s="1" t="s">
        <v>569</v>
      </c>
      <c r="R4043" s="93">
        <v>2163.88</v>
      </c>
      <c r="S4043">
        <v>649.16999999999996</v>
      </c>
      <c r="T4043">
        <v>1</v>
      </c>
      <c r="U4043" s="1" t="s">
        <v>1116</v>
      </c>
      <c r="V4043" s="1"/>
      <c r="W4043">
        <v>2163.8823499999999</v>
      </c>
      <c r="X4043">
        <v>0</v>
      </c>
      <c r="Y4043">
        <v>70996</v>
      </c>
    </row>
    <row r="4044" spans="1:25" ht="15" hidden="1" customHeight="1" x14ac:dyDescent="0.25">
      <c r="A4044" s="1" t="s">
        <v>39</v>
      </c>
      <c r="B4044" s="1" t="s">
        <v>84</v>
      </c>
      <c r="C4044" s="1" t="s">
        <v>209</v>
      </c>
      <c r="D4044">
        <v>8933</v>
      </c>
      <c r="E4044" s="1" t="s">
        <v>243</v>
      </c>
      <c r="F4044" s="1" t="s">
        <v>390</v>
      </c>
      <c r="G4044" s="1" t="s">
        <v>209</v>
      </c>
      <c r="H4044" s="1" t="s">
        <v>1404</v>
      </c>
      <c r="I4044">
        <v>2015</v>
      </c>
      <c r="J4044" s="93">
        <v>3424.06</v>
      </c>
      <c r="K4044">
        <v>5</v>
      </c>
      <c r="L4044" s="1" t="s">
        <v>433</v>
      </c>
      <c r="M4044">
        <v>0</v>
      </c>
      <c r="N4044">
        <v>0</v>
      </c>
      <c r="O4044">
        <v>34240.6</v>
      </c>
      <c r="P4044">
        <v>2</v>
      </c>
      <c r="Q4044" s="1" t="s">
        <v>569</v>
      </c>
      <c r="R4044" s="93">
        <v>3424.06</v>
      </c>
      <c r="S4044">
        <v>1027.22</v>
      </c>
      <c r="T4044">
        <v>1</v>
      </c>
      <c r="U4044" s="1" t="s">
        <v>1117</v>
      </c>
      <c r="V4044" s="1"/>
      <c r="W4044">
        <v>3424.0588200000002</v>
      </c>
      <c r="X4044">
        <v>0</v>
      </c>
      <c r="Y4044">
        <v>70998</v>
      </c>
    </row>
    <row r="4045" spans="1:25" ht="15" hidden="1" customHeight="1" x14ac:dyDescent="0.25">
      <c r="A4045" s="1" t="s">
        <v>39</v>
      </c>
      <c r="B4045" s="1" t="s">
        <v>84</v>
      </c>
      <c r="C4045" s="1" t="s">
        <v>209</v>
      </c>
      <c r="D4045">
        <v>8933</v>
      </c>
      <c r="E4045" s="1" t="s">
        <v>243</v>
      </c>
      <c r="F4045" s="1" t="s">
        <v>390</v>
      </c>
      <c r="G4045" s="1" t="s">
        <v>209</v>
      </c>
      <c r="H4045" s="1" t="s">
        <v>1404</v>
      </c>
      <c r="I4045">
        <v>2015</v>
      </c>
      <c r="J4045" s="93">
        <v>19581.29</v>
      </c>
      <c r="K4045">
        <v>5</v>
      </c>
      <c r="L4045" s="1" t="s">
        <v>433</v>
      </c>
      <c r="M4045">
        <v>0</v>
      </c>
      <c r="N4045">
        <v>0</v>
      </c>
      <c r="O4045">
        <v>195812.9</v>
      </c>
      <c r="P4045">
        <v>2</v>
      </c>
      <c r="Q4045" s="1" t="s">
        <v>569</v>
      </c>
      <c r="R4045" s="93">
        <v>19581.29</v>
      </c>
      <c r="S4045">
        <v>5874.38</v>
      </c>
      <c r="T4045">
        <v>1</v>
      </c>
      <c r="U4045" s="1" t="s">
        <v>1118</v>
      </c>
      <c r="V4045" s="1"/>
      <c r="W4045">
        <v>19581.294119999999</v>
      </c>
      <c r="X4045">
        <v>0</v>
      </c>
      <c r="Y4045">
        <v>95931</v>
      </c>
    </row>
    <row r="4046" spans="1:25" ht="15" hidden="1" customHeight="1" x14ac:dyDescent="0.25">
      <c r="A4046" s="1" t="s">
        <v>39</v>
      </c>
      <c r="B4046" s="1" t="s">
        <v>84</v>
      </c>
      <c r="C4046" s="1" t="s">
        <v>209</v>
      </c>
      <c r="D4046">
        <v>8933</v>
      </c>
      <c r="E4046" s="1" t="s">
        <v>243</v>
      </c>
      <c r="F4046" s="1" t="s">
        <v>390</v>
      </c>
      <c r="G4046" s="1" t="s">
        <v>209</v>
      </c>
      <c r="H4046" s="1" t="s">
        <v>1404</v>
      </c>
      <c r="I4046">
        <v>2015</v>
      </c>
      <c r="J4046" s="93">
        <v>10308.709999999999</v>
      </c>
      <c r="K4046">
        <v>5</v>
      </c>
      <c r="L4046" s="1" t="s">
        <v>433</v>
      </c>
      <c r="M4046">
        <v>0</v>
      </c>
      <c r="N4046">
        <v>0</v>
      </c>
      <c r="O4046">
        <v>103087.1</v>
      </c>
      <c r="P4046">
        <v>2</v>
      </c>
      <c r="Q4046" s="1" t="s">
        <v>569</v>
      </c>
      <c r="R4046" s="93">
        <v>10308.709999999999</v>
      </c>
      <c r="S4046">
        <v>3092.62</v>
      </c>
      <c r="T4046">
        <v>1</v>
      </c>
      <c r="U4046" s="1" t="s">
        <v>1119</v>
      </c>
      <c r="V4046" s="1"/>
      <c r="W4046">
        <v>10308.70588</v>
      </c>
      <c r="X4046">
        <v>0</v>
      </c>
      <c r="Y4046">
        <v>70992</v>
      </c>
    </row>
    <row r="4047" spans="1:25" ht="15" hidden="1" customHeight="1" x14ac:dyDescent="0.25">
      <c r="A4047" s="1" t="s">
        <v>39</v>
      </c>
      <c r="B4047" s="1" t="s">
        <v>84</v>
      </c>
      <c r="C4047" s="1" t="s">
        <v>209</v>
      </c>
      <c r="D4047">
        <v>8933</v>
      </c>
      <c r="E4047" s="1" t="s">
        <v>243</v>
      </c>
      <c r="F4047" s="1" t="s">
        <v>390</v>
      </c>
      <c r="G4047" s="1" t="s">
        <v>209</v>
      </c>
      <c r="H4047" s="1" t="s">
        <v>1404</v>
      </c>
      <c r="I4047">
        <v>2015</v>
      </c>
      <c r="J4047" s="93">
        <v>2361.11</v>
      </c>
      <c r="K4047">
        <v>5</v>
      </c>
      <c r="L4047" s="1" t="s">
        <v>433</v>
      </c>
      <c r="M4047">
        <v>0</v>
      </c>
      <c r="N4047">
        <v>0</v>
      </c>
      <c r="O4047">
        <v>23611.1</v>
      </c>
      <c r="P4047">
        <v>2</v>
      </c>
      <c r="Q4047" s="1" t="s">
        <v>569</v>
      </c>
      <c r="R4047" s="93">
        <v>2361.11</v>
      </c>
      <c r="S4047">
        <v>708.34</v>
      </c>
      <c r="T4047">
        <v>1</v>
      </c>
      <c r="U4047" s="1" t="s">
        <v>1120</v>
      </c>
      <c r="V4047" s="1"/>
      <c r="W4047">
        <v>2361.1176399999999</v>
      </c>
      <c r="X4047">
        <v>0</v>
      </c>
      <c r="Y4047">
        <v>70994</v>
      </c>
    </row>
    <row r="4048" spans="1:25" ht="15" hidden="1" customHeight="1" x14ac:dyDescent="0.25">
      <c r="A4048" s="1" t="s">
        <v>39</v>
      </c>
      <c r="B4048" s="1" t="s">
        <v>84</v>
      </c>
      <c r="C4048" s="1" t="s">
        <v>209</v>
      </c>
      <c r="D4048">
        <v>8933</v>
      </c>
      <c r="E4048" s="1" t="s">
        <v>243</v>
      </c>
      <c r="F4048" s="1" t="s">
        <v>390</v>
      </c>
      <c r="G4048" s="1" t="s">
        <v>209</v>
      </c>
      <c r="H4048" s="1" t="s">
        <v>1404</v>
      </c>
      <c r="I4048">
        <v>2015</v>
      </c>
      <c r="J4048" s="93">
        <v>1107.53</v>
      </c>
      <c r="K4048">
        <v>5</v>
      </c>
      <c r="L4048" s="1" t="s">
        <v>433</v>
      </c>
      <c r="M4048">
        <v>0</v>
      </c>
      <c r="N4048">
        <v>0</v>
      </c>
      <c r="O4048">
        <v>11075.3</v>
      </c>
      <c r="P4048">
        <v>2</v>
      </c>
      <c r="Q4048" s="1" t="s">
        <v>569</v>
      </c>
      <c r="R4048" s="93">
        <v>1107.53</v>
      </c>
      <c r="S4048">
        <v>332.26</v>
      </c>
      <c r="T4048">
        <v>1</v>
      </c>
      <c r="U4048" s="1" t="s">
        <v>1121</v>
      </c>
      <c r="V4048" s="1"/>
      <c r="W4048">
        <v>1107.5294100000001</v>
      </c>
      <c r="X4048">
        <v>0</v>
      </c>
      <c r="Y4048">
        <v>70997</v>
      </c>
    </row>
    <row r="4049" spans="1:25" ht="15" hidden="1" customHeight="1" x14ac:dyDescent="0.25">
      <c r="A4049" s="1" t="s">
        <v>39</v>
      </c>
      <c r="B4049" s="1" t="s">
        <v>84</v>
      </c>
      <c r="C4049" s="1" t="s">
        <v>209</v>
      </c>
      <c r="D4049">
        <v>8933</v>
      </c>
      <c r="E4049" s="1" t="s">
        <v>243</v>
      </c>
      <c r="F4049" s="1" t="s">
        <v>390</v>
      </c>
      <c r="G4049" s="1" t="s">
        <v>209</v>
      </c>
      <c r="H4049" s="1" t="s">
        <v>1404</v>
      </c>
      <c r="I4049">
        <v>2015</v>
      </c>
      <c r="J4049" s="93">
        <v>23190.59</v>
      </c>
      <c r="K4049">
        <v>5</v>
      </c>
      <c r="L4049" s="1" t="s">
        <v>433</v>
      </c>
      <c r="M4049">
        <v>0</v>
      </c>
      <c r="N4049">
        <v>0</v>
      </c>
      <c r="O4049">
        <v>231905.9</v>
      </c>
      <c r="P4049">
        <v>2</v>
      </c>
      <c r="Q4049" s="1" t="s">
        <v>569</v>
      </c>
      <c r="R4049" s="93">
        <v>23190.59</v>
      </c>
      <c r="S4049">
        <v>6957.18</v>
      </c>
      <c r="T4049">
        <v>1</v>
      </c>
      <c r="U4049" s="1" t="s">
        <v>1122</v>
      </c>
      <c r="V4049" s="1"/>
      <c r="W4049">
        <v>23190.588230000001</v>
      </c>
      <c r="X4049">
        <v>0</v>
      </c>
      <c r="Y4049">
        <v>77913</v>
      </c>
    </row>
    <row r="4050" spans="1:25" ht="15" hidden="1" customHeight="1" x14ac:dyDescent="0.25">
      <c r="A4050" s="1" t="s">
        <v>39</v>
      </c>
      <c r="B4050" s="1" t="s">
        <v>84</v>
      </c>
      <c r="C4050" s="1" t="s">
        <v>209</v>
      </c>
      <c r="D4050">
        <v>8933</v>
      </c>
      <c r="E4050" s="1" t="s">
        <v>243</v>
      </c>
      <c r="F4050" s="1" t="s">
        <v>390</v>
      </c>
      <c r="G4050" s="1" t="s">
        <v>209</v>
      </c>
      <c r="H4050" s="1" t="s">
        <v>1404</v>
      </c>
      <c r="I4050">
        <v>2013</v>
      </c>
      <c r="J4050" s="93">
        <v>47160.66</v>
      </c>
      <c r="K4050">
        <v>11</v>
      </c>
      <c r="L4050" s="1" t="s">
        <v>433</v>
      </c>
      <c r="M4050">
        <v>0</v>
      </c>
      <c r="N4050">
        <v>0</v>
      </c>
      <c r="O4050">
        <v>471606.6</v>
      </c>
      <c r="P4050">
        <v>2</v>
      </c>
      <c r="Q4050" s="1" t="s">
        <v>569</v>
      </c>
      <c r="R4050" s="93">
        <v>47160.66</v>
      </c>
      <c r="S4050">
        <v>14148.21</v>
      </c>
      <c r="T4050">
        <v>1</v>
      </c>
      <c r="U4050" s="1" t="s">
        <v>1115</v>
      </c>
      <c r="V4050" s="1"/>
      <c r="W4050">
        <v>47160.661939999998</v>
      </c>
      <c r="X4050">
        <v>0</v>
      </c>
      <c r="Y4050">
        <v>70990</v>
      </c>
    </row>
    <row r="4051" spans="1:25" ht="15" hidden="1" customHeight="1" x14ac:dyDescent="0.25">
      <c r="A4051" s="1" t="s">
        <v>39</v>
      </c>
      <c r="B4051" s="1" t="s">
        <v>84</v>
      </c>
      <c r="C4051" s="1" t="s">
        <v>209</v>
      </c>
      <c r="D4051">
        <v>8933</v>
      </c>
      <c r="E4051" s="1" t="s">
        <v>243</v>
      </c>
      <c r="F4051" s="1" t="s">
        <v>390</v>
      </c>
      <c r="G4051" s="1" t="s">
        <v>209</v>
      </c>
      <c r="H4051" s="1" t="s">
        <v>1404</v>
      </c>
      <c r="I4051">
        <v>2013</v>
      </c>
      <c r="J4051" s="93">
        <v>25372.35</v>
      </c>
      <c r="K4051">
        <v>11</v>
      </c>
      <c r="L4051" s="1" t="s">
        <v>433</v>
      </c>
      <c r="M4051">
        <v>0</v>
      </c>
      <c r="N4051">
        <v>0</v>
      </c>
      <c r="O4051">
        <v>253723.5</v>
      </c>
      <c r="P4051">
        <v>2</v>
      </c>
      <c r="Q4051" s="1" t="s">
        <v>569</v>
      </c>
      <c r="R4051" s="93">
        <v>25372.35</v>
      </c>
      <c r="S4051">
        <v>7611.71</v>
      </c>
      <c r="T4051">
        <v>1</v>
      </c>
      <c r="U4051" s="1" t="s">
        <v>1119</v>
      </c>
      <c r="V4051" s="1"/>
      <c r="W4051">
        <v>25372.354179999998</v>
      </c>
      <c r="X4051">
        <v>0</v>
      </c>
      <c r="Y4051">
        <v>70992</v>
      </c>
    </row>
    <row r="4052" spans="1:25" ht="15" hidden="1" customHeight="1" x14ac:dyDescent="0.25">
      <c r="A4052" s="1" t="s">
        <v>39</v>
      </c>
      <c r="B4052" s="1" t="s">
        <v>84</v>
      </c>
      <c r="C4052" s="1" t="s">
        <v>209</v>
      </c>
      <c r="D4052">
        <v>8933</v>
      </c>
      <c r="E4052" s="1" t="s">
        <v>243</v>
      </c>
      <c r="F4052" s="1" t="s">
        <v>390</v>
      </c>
      <c r="G4052" s="1" t="s">
        <v>209</v>
      </c>
      <c r="H4052" s="1" t="s">
        <v>1404</v>
      </c>
      <c r="I4052">
        <v>2013</v>
      </c>
      <c r="J4052" s="93">
        <v>8492.92</v>
      </c>
      <c r="K4052">
        <v>11</v>
      </c>
      <c r="L4052" s="1" t="s">
        <v>548</v>
      </c>
      <c r="M4052">
        <v>0</v>
      </c>
      <c r="N4052">
        <v>0</v>
      </c>
      <c r="O4052">
        <v>84929.2</v>
      </c>
      <c r="P4052">
        <v>2</v>
      </c>
      <c r="Q4052" s="1" t="s">
        <v>569</v>
      </c>
      <c r="R4052" s="93">
        <v>8492.92</v>
      </c>
      <c r="S4052">
        <v>2547.87</v>
      </c>
      <c r="T4052">
        <v>1</v>
      </c>
      <c r="U4052" s="1" t="s">
        <v>1123</v>
      </c>
      <c r="V4052" s="1"/>
      <c r="W4052">
        <v>8492.9261299999998</v>
      </c>
      <c r="X4052">
        <v>0</v>
      </c>
      <c r="Y4052">
        <v>70993</v>
      </c>
    </row>
    <row r="4053" spans="1:25" ht="15" hidden="1" customHeight="1" x14ac:dyDescent="0.25">
      <c r="A4053" s="1" t="s">
        <v>39</v>
      </c>
      <c r="B4053" s="1" t="s">
        <v>84</v>
      </c>
      <c r="C4053" s="1" t="s">
        <v>209</v>
      </c>
      <c r="D4053">
        <v>8933</v>
      </c>
      <c r="E4053" s="1" t="s">
        <v>243</v>
      </c>
      <c r="F4053" s="1" t="s">
        <v>390</v>
      </c>
      <c r="G4053" s="1" t="s">
        <v>209</v>
      </c>
      <c r="H4053" s="1" t="s">
        <v>1404</v>
      </c>
      <c r="I4053">
        <v>2013</v>
      </c>
      <c r="J4053" s="93">
        <v>9983.56</v>
      </c>
      <c r="K4053">
        <v>11</v>
      </c>
      <c r="L4053" s="1" t="s">
        <v>433</v>
      </c>
      <c r="M4053">
        <v>0</v>
      </c>
      <c r="N4053">
        <v>0</v>
      </c>
      <c r="O4053">
        <v>99835.6</v>
      </c>
      <c r="P4053">
        <v>2</v>
      </c>
      <c r="Q4053" s="1" t="s">
        <v>569</v>
      </c>
      <c r="R4053" s="93">
        <v>9983.56</v>
      </c>
      <c r="S4053">
        <v>2995.06</v>
      </c>
      <c r="T4053">
        <v>1</v>
      </c>
      <c r="U4053" s="1" t="s">
        <v>1117</v>
      </c>
      <c r="V4053" s="1"/>
      <c r="W4053">
        <v>9983.5558700000001</v>
      </c>
      <c r="X4053">
        <v>0</v>
      </c>
      <c r="Y4053">
        <v>70998</v>
      </c>
    </row>
    <row r="4054" spans="1:25" ht="15" hidden="1" customHeight="1" x14ac:dyDescent="0.25">
      <c r="A4054" s="1" t="s">
        <v>39</v>
      </c>
      <c r="B4054" s="1" t="s">
        <v>84</v>
      </c>
      <c r="C4054" s="1" t="s">
        <v>209</v>
      </c>
      <c r="D4054">
        <v>8933</v>
      </c>
      <c r="E4054" s="1" t="s">
        <v>243</v>
      </c>
      <c r="F4054" s="1" t="s">
        <v>390</v>
      </c>
      <c r="G4054" s="1" t="s">
        <v>209</v>
      </c>
      <c r="H4054" s="1" t="s">
        <v>1404</v>
      </c>
      <c r="I4054">
        <v>2013</v>
      </c>
      <c r="J4054" s="93">
        <v>66477.67</v>
      </c>
      <c r="K4054">
        <v>11</v>
      </c>
      <c r="L4054" s="1" t="s">
        <v>433</v>
      </c>
      <c r="M4054">
        <v>0</v>
      </c>
      <c r="N4054">
        <v>0</v>
      </c>
      <c r="O4054">
        <v>664776.69999999995</v>
      </c>
      <c r="P4054">
        <v>2</v>
      </c>
      <c r="Q4054" s="1" t="s">
        <v>569</v>
      </c>
      <c r="R4054" s="93">
        <v>66477.67</v>
      </c>
      <c r="S4054">
        <v>19943.310000000001</v>
      </c>
      <c r="T4054">
        <v>1</v>
      </c>
      <c r="U4054" s="1" t="s">
        <v>1122</v>
      </c>
      <c r="V4054" s="1"/>
      <c r="W4054">
        <v>66477.662880000003</v>
      </c>
      <c r="X4054">
        <v>0</v>
      </c>
      <c r="Y4054">
        <v>77913</v>
      </c>
    </row>
    <row r="4055" spans="1:25" ht="15" hidden="1" customHeight="1" x14ac:dyDescent="0.25">
      <c r="A4055" s="1" t="s">
        <v>39</v>
      </c>
      <c r="B4055" s="1" t="s">
        <v>84</v>
      </c>
      <c r="C4055" s="1" t="s">
        <v>209</v>
      </c>
      <c r="D4055">
        <v>8933</v>
      </c>
      <c r="E4055" s="1" t="s">
        <v>243</v>
      </c>
      <c r="F4055" s="1" t="s">
        <v>390</v>
      </c>
      <c r="G4055" s="1" t="s">
        <v>209</v>
      </c>
      <c r="H4055" s="1" t="s">
        <v>1404</v>
      </c>
      <c r="I4055">
        <v>2013</v>
      </c>
      <c r="J4055" s="93">
        <v>16695.740000000002</v>
      </c>
      <c r="K4055">
        <v>11</v>
      </c>
      <c r="L4055" s="1" t="s">
        <v>549</v>
      </c>
      <c r="M4055">
        <v>0</v>
      </c>
      <c r="N4055">
        <v>0</v>
      </c>
      <c r="O4055">
        <v>166957.4</v>
      </c>
      <c r="P4055">
        <v>2</v>
      </c>
      <c r="Q4055" s="1" t="s">
        <v>569</v>
      </c>
      <c r="R4055" s="93">
        <v>16695.740000000002</v>
      </c>
      <c r="S4055">
        <v>5008.7299999999996</v>
      </c>
      <c r="T4055">
        <v>1</v>
      </c>
      <c r="U4055" s="1" t="s">
        <v>1124</v>
      </c>
      <c r="V4055" s="1"/>
      <c r="W4055">
        <v>16695.727279999999</v>
      </c>
      <c r="X4055">
        <v>0</v>
      </c>
      <c r="Y4055">
        <v>70991</v>
      </c>
    </row>
    <row r="4056" spans="1:25" ht="15" hidden="1" customHeight="1" x14ac:dyDescent="0.25">
      <c r="A4056" s="1" t="s">
        <v>39</v>
      </c>
      <c r="B4056" s="1" t="s">
        <v>84</v>
      </c>
      <c r="C4056" s="1" t="s">
        <v>209</v>
      </c>
      <c r="D4056">
        <v>8933</v>
      </c>
      <c r="E4056" s="1" t="s">
        <v>243</v>
      </c>
      <c r="F4056" s="1" t="s">
        <v>390</v>
      </c>
      <c r="G4056" s="1" t="s">
        <v>209</v>
      </c>
      <c r="H4056" s="1" t="s">
        <v>1404</v>
      </c>
      <c r="I4056">
        <v>2013</v>
      </c>
      <c r="J4056" s="93">
        <v>6644.32</v>
      </c>
      <c r="K4056">
        <v>11</v>
      </c>
      <c r="L4056" s="1" t="s">
        <v>433</v>
      </c>
      <c r="M4056">
        <v>0</v>
      </c>
      <c r="N4056">
        <v>0</v>
      </c>
      <c r="O4056">
        <v>66443.199999999997</v>
      </c>
      <c r="P4056">
        <v>2</v>
      </c>
      <c r="Q4056" s="1" t="s">
        <v>569</v>
      </c>
      <c r="R4056" s="93">
        <v>6644.32</v>
      </c>
      <c r="S4056">
        <v>1993.29</v>
      </c>
      <c r="T4056">
        <v>1</v>
      </c>
      <c r="U4056" s="1" t="s">
        <v>1120</v>
      </c>
      <c r="V4056" s="1"/>
      <c r="W4056">
        <v>6644.3191399999996</v>
      </c>
      <c r="X4056">
        <v>0</v>
      </c>
      <c r="Y4056">
        <v>70994</v>
      </c>
    </row>
    <row r="4057" spans="1:25" ht="15" hidden="1" customHeight="1" x14ac:dyDescent="0.25">
      <c r="A4057" s="1" t="s">
        <v>39</v>
      </c>
      <c r="B4057" s="1" t="s">
        <v>84</v>
      </c>
      <c r="C4057" s="1" t="s">
        <v>209</v>
      </c>
      <c r="D4057">
        <v>8933</v>
      </c>
      <c r="E4057" s="1" t="s">
        <v>243</v>
      </c>
      <c r="F4057" s="1" t="s">
        <v>390</v>
      </c>
      <c r="G4057" s="1" t="s">
        <v>209</v>
      </c>
      <c r="H4057" s="1" t="s">
        <v>1404</v>
      </c>
      <c r="I4057">
        <v>2013</v>
      </c>
      <c r="J4057" s="93">
        <v>5050.92</v>
      </c>
      <c r="K4057">
        <v>11</v>
      </c>
      <c r="L4057" s="1" t="s">
        <v>433</v>
      </c>
      <c r="M4057">
        <v>0</v>
      </c>
      <c r="N4057">
        <v>0</v>
      </c>
      <c r="O4057">
        <v>50509.2</v>
      </c>
      <c r="P4057">
        <v>2</v>
      </c>
      <c r="Q4057" s="1" t="s">
        <v>569</v>
      </c>
      <c r="R4057" s="93">
        <v>5050.92</v>
      </c>
      <c r="S4057">
        <v>1515.31</v>
      </c>
      <c r="T4057">
        <v>1</v>
      </c>
      <c r="U4057" s="1" t="s">
        <v>1116</v>
      </c>
      <c r="V4057" s="1"/>
      <c r="W4057">
        <v>5050.9346699999996</v>
      </c>
      <c r="X4057">
        <v>0</v>
      </c>
      <c r="Y4057">
        <v>70996</v>
      </c>
    </row>
    <row r="4058" spans="1:25" ht="15" hidden="1" customHeight="1" x14ac:dyDescent="0.25">
      <c r="A4058" s="1" t="s">
        <v>39</v>
      </c>
      <c r="B4058" s="1" t="s">
        <v>84</v>
      </c>
      <c r="C4058" s="1" t="s">
        <v>209</v>
      </c>
      <c r="D4058">
        <v>8933</v>
      </c>
      <c r="E4058" s="1" t="s">
        <v>243</v>
      </c>
      <c r="F4058" s="1" t="s">
        <v>390</v>
      </c>
      <c r="G4058" s="1" t="s">
        <v>209</v>
      </c>
      <c r="H4058" s="1" t="s">
        <v>1404</v>
      </c>
      <c r="I4058">
        <v>2013</v>
      </c>
      <c r="J4058" s="93">
        <v>3352.58</v>
      </c>
      <c r="K4058">
        <v>11</v>
      </c>
      <c r="L4058" s="1" t="s">
        <v>433</v>
      </c>
      <c r="M4058">
        <v>0</v>
      </c>
      <c r="N4058">
        <v>0</v>
      </c>
      <c r="O4058">
        <v>33525.800000000003</v>
      </c>
      <c r="P4058">
        <v>2</v>
      </c>
      <c r="Q4058" s="1" t="s">
        <v>569</v>
      </c>
      <c r="R4058" s="93">
        <v>3352.58</v>
      </c>
      <c r="S4058">
        <v>1005.77</v>
      </c>
      <c r="T4058">
        <v>1</v>
      </c>
      <c r="U4058" s="1" t="s">
        <v>1121</v>
      </c>
      <c r="V4058" s="1"/>
      <c r="W4058">
        <v>3352.5691400000001</v>
      </c>
      <c r="X4058">
        <v>0</v>
      </c>
      <c r="Y4058">
        <v>70997</v>
      </c>
    </row>
    <row r="4059" spans="1:25" ht="15" hidden="1" customHeight="1" x14ac:dyDescent="0.25">
      <c r="A4059" s="1" t="s">
        <v>39</v>
      </c>
      <c r="B4059" s="1" t="s">
        <v>84</v>
      </c>
      <c r="C4059" s="1" t="s">
        <v>209</v>
      </c>
      <c r="D4059">
        <v>8933</v>
      </c>
      <c r="E4059" s="1" t="s">
        <v>243</v>
      </c>
      <c r="F4059" s="1" t="s">
        <v>390</v>
      </c>
      <c r="G4059" s="1" t="s">
        <v>209</v>
      </c>
      <c r="H4059" s="1" t="s">
        <v>1404</v>
      </c>
      <c r="I4059">
        <v>2013</v>
      </c>
      <c r="J4059" s="93">
        <v>53348.68</v>
      </c>
      <c r="K4059">
        <v>11</v>
      </c>
      <c r="L4059" s="1" t="s">
        <v>549</v>
      </c>
      <c r="M4059">
        <v>0</v>
      </c>
      <c r="N4059">
        <v>0</v>
      </c>
      <c r="O4059">
        <v>533486.80000000005</v>
      </c>
      <c r="P4059">
        <v>2</v>
      </c>
      <c r="Q4059" s="1" t="s">
        <v>569</v>
      </c>
      <c r="R4059" s="93">
        <v>53348.68</v>
      </c>
      <c r="S4059">
        <v>16004.59</v>
      </c>
      <c r="T4059">
        <v>1</v>
      </c>
      <c r="U4059" s="1" t="s">
        <v>1125</v>
      </c>
      <c r="V4059" s="1"/>
      <c r="W4059">
        <v>53348.678019999999</v>
      </c>
      <c r="X4059">
        <v>0</v>
      </c>
      <c r="Y4059">
        <v>70999</v>
      </c>
    </row>
    <row r="4060" spans="1:25" ht="15" hidden="1" customHeight="1" x14ac:dyDescent="0.25">
      <c r="A4060" s="1" t="s">
        <v>39</v>
      </c>
      <c r="B4060" s="1" t="s">
        <v>84</v>
      </c>
      <c r="C4060" s="1" t="s">
        <v>209</v>
      </c>
      <c r="D4060">
        <v>8933</v>
      </c>
      <c r="E4060" s="1" t="s">
        <v>243</v>
      </c>
      <c r="F4060" s="1" t="s">
        <v>390</v>
      </c>
      <c r="G4060" s="1" t="s">
        <v>209</v>
      </c>
      <c r="H4060" s="1" t="s">
        <v>1404</v>
      </c>
      <c r="I4060">
        <v>2012</v>
      </c>
      <c r="J4060" s="93">
        <v>47395.35</v>
      </c>
      <c r="K4060">
        <v>12</v>
      </c>
      <c r="L4060" s="1" t="s">
        <v>433</v>
      </c>
      <c r="M4060">
        <v>0</v>
      </c>
      <c r="N4060">
        <v>0</v>
      </c>
      <c r="O4060">
        <v>473953.5</v>
      </c>
      <c r="P4060">
        <v>2</v>
      </c>
      <c r="Q4060" s="1" t="s">
        <v>569</v>
      </c>
      <c r="R4060" s="93">
        <v>47395.35</v>
      </c>
      <c r="S4060">
        <v>18958.13</v>
      </c>
      <c r="T4060">
        <v>1</v>
      </c>
      <c r="U4060" s="1" t="s">
        <v>1115</v>
      </c>
      <c r="V4060" s="1"/>
      <c r="W4060">
        <v>47395.348480000001</v>
      </c>
      <c r="X4060">
        <v>0</v>
      </c>
      <c r="Y4060">
        <v>70990</v>
      </c>
    </row>
    <row r="4061" spans="1:25" ht="15" hidden="1" customHeight="1" x14ac:dyDescent="0.25">
      <c r="A4061" s="1" t="s">
        <v>39</v>
      </c>
      <c r="B4061" s="1" t="s">
        <v>84</v>
      </c>
      <c r="C4061" s="1" t="s">
        <v>209</v>
      </c>
      <c r="D4061">
        <v>8933</v>
      </c>
      <c r="E4061" s="1" t="s">
        <v>243</v>
      </c>
      <c r="F4061" s="1" t="s">
        <v>390</v>
      </c>
      <c r="G4061" s="1" t="s">
        <v>209</v>
      </c>
      <c r="H4061" s="1" t="s">
        <v>1404</v>
      </c>
      <c r="I4061">
        <v>2012</v>
      </c>
      <c r="J4061" s="93">
        <v>19488.09</v>
      </c>
      <c r="K4061">
        <v>12</v>
      </c>
      <c r="L4061" s="1" t="s">
        <v>433</v>
      </c>
      <c r="M4061">
        <v>0</v>
      </c>
      <c r="N4061">
        <v>0</v>
      </c>
      <c r="O4061">
        <v>194880.9</v>
      </c>
      <c r="P4061">
        <v>2</v>
      </c>
      <c r="Q4061" s="1" t="s">
        <v>569</v>
      </c>
      <c r="R4061" s="93">
        <v>19488.09</v>
      </c>
      <c r="S4061">
        <v>7795.22</v>
      </c>
      <c r="T4061">
        <v>1</v>
      </c>
      <c r="U4061" s="1" t="s">
        <v>1119</v>
      </c>
      <c r="V4061" s="1"/>
      <c r="W4061">
        <v>19488.083340000001</v>
      </c>
      <c r="X4061">
        <v>0</v>
      </c>
      <c r="Y4061">
        <v>70992</v>
      </c>
    </row>
    <row r="4062" spans="1:25" ht="15" hidden="1" customHeight="1" x14ac:dyDescent="0.25">
      <c r="A4062" s="1" t="s">
        <v>39</v>
      </c>
      <c r="B4062" s="1" t="s">
        <v>84</v>
      </c>
      <c r="C4062" s="1" t="s">
        <v>209</v>
      </c>
      <c r="D4062">
        <v>8933</v>
      </c>
      <c r="E4062" s="1" t="s">
        <v>243</v>
      </c>
      <c r="F4062" s="1" t="s">
        <v>390</v>
      </c>
      <c r="G4062" s="1" t="s">
        <v>209</v>
      </c>
      <c r="H4062" s="1" t="s">
        <v>1404</v>
      </c>
      <c r="I4062">
        <v>2012</v>
      </c>
      <c r="J4062" s="93">
        <v>2167.4299999999998</v>
      </c>
      <c r="K4062">
        <v>4</v>
      </c>
      <c r="L4062" s="1" t="s">
        <v>550</v>
      </c>
      <c r="M4062">
        <v>0</v>
      </c>
      <c r="N4062">
        <v>0</v>
      </c>
      <c r="O4062">
        <v>21674.3</v>
      </c>
      <c r="P4062">
        <v>2</v>
      </c>
      <c r="Q4062" s="1" t="s">
        <v>569</v>
      </c>
      <c r="R4062" s="93">
        <v>2167.4299999999998</v>
      </c>
      <c r="S4062">
        <v>866.97</v>
      </c>
      <c r="T4062">
        <v>1</v>
      </c>
      <c r="U4062" s="1" t="s">
        <v>1126</v>
      </c>
      <c r="V4062" s="1"/>
      <c r="W4062">
        <v>2167.4166599999999</v>
      </c>
      <c r="X4062">
        <v>0</v>
      </c>
      <c r="Y4062">
        <v>70995</v>
      </c>
    </row>
    <row r="4063" spans="1:25" ht="15" hidden="1" customHeight="1" x14ac:dyDescent="0.25">
      <c r="A4063" s="1" t="s">
        <v>39</v>
      </c>
      <c r="B4063" s="1" t="s">
        <v>84</v>
      </c>
      <c r="C4063" s="1" t="s">
        <v>209</v>
      </c>
      <c r="D4063">
        <v>8933</v>
      </c>
      <c r="E4063" s="1" t="s">
        <v>243</v>
      </c>
      <c r="F4063" s="1" t="s">
        <v>390</v>
      </c>
      <c r="G4063" s="1" t="s">
        <v>209</v>
      </c>
      <c r="H4063" s="1" t="s">
        <v>1404</v>
      </c>
      <c r="I4063">
        <v>2012</v>
      </c>
      <c r="J4063" s="93">
        <v>2661.6</v>
      </c>
      <c r="K4063">
        <v>12</v>
      </c>
      <c r="L4063" s="1" t="s">
        <v>433</v>
      </c>
      <c r="M4063">
        <v>0</v>
      </c>
      <c r="N4063">
        <v>0</v>
      </c>
      <c r="O4063">
        <v>26616</v>
      </c>
      <c r="P4063">
        <v>2</v>
      </c>
      <c r="Q4063" s="1" t="s">
        <v>569</v>
      </c>
      <c r="R4063" s="93">
        <v>2661.6</v>
      </c>
      <c r="S4063">
        <v>1064.67</v>
      </c>
      <c r="T4063">
        <v>1</v>
      </c>
      <c r="U4063" s="1" t="s">
        <v>1121</v>
      </c>
      <c r="V4063" s="1"/>
      <c r="W4063">
        <v>2661.6288100000002</v>
      </c>
      <c r="X4063">
        <v>0</v>
      </c>
      <c r="Y4063">
        <v>70997</v>
      </c>
    </row>
    <row r="4064" spans="1:25" ht="15" hidden="1" customHeight="1" x14ac:dyDescent="0.25">
      <c r="A4064" s="1" t="s">
        <v>39</v>
      </c>
      <c r="B4064" s="1" t="s">
        <v>84</v>
      </c>
      <c r="C4064" s="1" t="s">
        <v>209</v>
      </c>
      <c r="D4064">
        <v>8933</v>
      </c>
      <c r="E4064" s="1" t="s">
        <v>243</v>
      </c>
      <c r="F4064" s="1" t="s">
        <v>390</v>
      </c>
      <c r="G4064" s="1" t="s">
        <v>209</v>
      </c>
      <c r="H4064" s="1" t="s">
        <v>1404</v>
      </c>
      <c r="I4064">
        <v>2012</v>
      </c>
      <c r="J4064" s="93">
        <v>12370.19</v>
      </c>
      <c r="K4064">
        <v>12</v>
      </c>
      <c r="L4064" s="1" t="s">
        <v>433</v>
      </c>
      <c r="M4064">
        <v>0</v>
      </c>
      <c r="N4064">
        <v>0</v>
      </c>
      <c r="O4064">
        <v>123701.9</v>
      </c>
      <c r="P4064">
        <v>2</v>
      </c>
      <c r="Q4064" s="1" t="s">
        <v>569</v>
      </c>
      <c r="R4064" s="93">
        <v>12370.19</v>
      </c>
      <c r="S4064">
        <v>4948.1000000000004</v>
      </c>
      <c r="T4064">
        <v>1</v>
      </c>
      <c r="U4064" s="1" t="s">
        <v>1117</v>
      </c>
      <c r="V4064" s="1"/>
      <c r="W4064">
        <v>12370.20455</v>
      </c>
      <c r="X4064">
        <v>0</v>
      </c>
      <c r="Y4064">
        <v>70998</v>
      </c>
    </row>
    <row r="4065" spans="1:25" ht="15" hidden="1" customHeight="1" x14ac:dyDescent="0.25">
      <c r="A4065" s="1" t="s">
        <v>39</v>
      </c>
      <c r="B4065" s="1" t="s">
        <v>84</v>
      </c>
      <c r="C4065" s="1" t="s">
        <v>209</v>
      </c>
      <c r="D4065">
        <v>8933</v>
      </c>
      <c r="E4065" s="1" t="s">
        <v>243</v>
      </c>
      <c r="F4065" s="1" t="s">
        <v>390</v>
      </c>
      <c r="G4065" s="1" t="s">
        <v>209</v>
      </c>
      <c r="H4065" s="1" t="s">
        <v>1404</v>
      </c>
      <c r="I4065">
        <v>2012</v>
      </c>
      <c r="J4065" s="93">
        <v>57464.79</v>
      </c>
      <c r="K4065">
        <v>12</v>
      </c>
      <c r="L4065" s="1" t="s">
        <v>433</v>
      </c>
      <c r="M4065">
        <v>0</v>
      </c>
      <c r="N4065">
        <v>0</v>
      </c>
      <c r="O4065">
        <v>574647.9</v>
      </c>
      <c r="P4065">
        <v>2</v>
      </c>
      <c r="Q4065" s="1" t="s">
        <v>569</v>
      </c>
      <c r="R4065" s="93">
        <v>57464.79</v>
      </c>
      <c r="S4065">
        <v>22985.91</v>
      </c>
      <c r="T4065">
        <v>1</v>
      </c>
      <c r="U4065" s="1" t="s">
        <v>1122</v>
      </c>
      <c r="V4065" s="1"/>
      <c r="W4065">
        <v>57464.795460000001</v>
      </c>
      <c r="X4065">
        <v>0</v>
      </c>
      <c r="Y4065">
        <v>77913</v>
      </c>
    </row>
    <row r="4066" spans="1:25" ht="15" hidden="1" customHeight="1" x14ac:dyDescent="0.25">
      <c r="A4066" s="1" t="s">
        <v>39</v>
      </c>
      <c r="B4066" s="1" t="s">
        <v>84</v>
      </c>
      <c r="C4066" s="1" t="s">
        <v>209</v>
      </c>
      <c r="D4066">
        <v>8933</v>
      </c>
      <c r="E4066" s="1" t="s">
        <v>243</v>
      </c>
      <c r="F4066" s="1" t="s">
        <v>390</v>
      </c>
      <c r="G4066" s="1" t="s">
        <v>209</v>
      </c>
      <c r="H4066" s="1" t="s">
        <v>1404</v>
      </c>
      <c r="I4066">
        <v>2012</v>
      </c>
      <c r="J4066" s="93">
        <v>21296.44</v>
      </c>
      <c r="K4066">
        <v>12</v>
      </c>
      <c r="L4066" s="1" t="s">
        <v>549</v>
      </c>
      <c r="M4066">
        <v>0</v>
      </c>
      <c r="N4066">
        <v>0</v>
      </c>
      <c r="O4066">
        <v>212964.4</v>
      </c>
      <c r="P4066">
        <v>2</v>
      </c>
      <c r="Q4066" s="1" t="s">
        <v>569</v>
      </c>
      <c r="R4066" s="93">
        <v>21296.44</v>
      </c>
      <c r="S4066">
        <v>8518.57</v>
      </c>
      <c r="T4066">
        <v>1</v>
      </c>
      <c r="U4066" s="1" t="s">
        <v>1124</v>
      </c>
      <c r="V4066" s="1"/>
      <c r="W4066">
        <v>21296.43939</v>
      </c>
      <c r="X4066">
        <v>0</v>
      </c>
      <c r="Y4066">
        <v>70991</v>
      </c>
    </row>
    <row r="4067" spans="1:25" ht="15" hidden="1" customHeight="1" x14ac:dyDescent="0.25">
      <c r="A4067" s="1" t="s">
        <v>39</v>
      </c>
      <c r="B4067" s="1" t="s">
        <v>84</v>
      </c>
      <c r="C4067" s="1" t="s">
        <v>209</v>
      </c>
      <c r="D4067">
        <v>8933</v>
      </c>
      <c r="E4067" s="1" t="s">
        <v>243</v>
      </c>
      <c r="F4067" s="1" t="s">
        <v>390</v>
      </c>
      <c r="G4067" s="1" t="s">
        <v>209</v>
      </c>
      <c r="H4067" s="1" t="s">
        <v>1404</v>
      </c>
      <c r="I4067">
        <v>2012</v>
      </c>
      <c r="J4067" s="93">
        <v>11750.4</v>
      </c>
      <c r="K4067">
        <v>12</v>
      </c>
      <c r="L4067" s="1" t="s">
        <v>548</v>
      </c>
      <c r="M4067">
        <v>0</v>
      </c>
      <c r="N4067">
        <v>0</v>
      </c>
      <c r="O4067">
        <v>117504</v>
      </c>
      <c r="P4067">
        <v>2</v>
      </c>
      <c r="Q4067" s="1" t="s">
        <v>569</v>
      </c>
      <c r="R4067" s="93">
        <v>11750.4</v>
      </c>
      <c r="S4067">
        <v>4700.16</v>
      </c>
      <c r="T4067">
        <v>1</v>
      </c>
      <c r="U4067" s="1" t="s">
        <v>1123</v>
      </c>
      <c r="V4067" s="1"/>
      <c r="W4067">
        <v>11750.38636</v>
      </c>
      <c r="X4067">
        <v>0</v>
      </c>
      <c r="Y4067">
        <v>70993</v>
      </c>
    </row>
    <row r="4068" spans="1:25" ht="15" hidden="1" customHeight="1" x14ac:dyDescent="0.25">
      <c r="A4068" s="1" t="s">
        <v>39</v>
      </c>
      <c r="B4068" s="1" t="s">
        <v>84</v>
      </c>
      <c r="C4068" s="1" t="s">
        <v>209</v>
      </c>
      <c r="D4068">
        <v>8933</v>
      </c>
      <c r="E4068" s="1" t="s">
        <v>243</v>
      </c>
      <c r="F4068" s="1" t="s">
        <v>390</v>
      </c>
      <c r="G4068" s="1" t="s">
        <v>209</v>
      </c>
      <c r="H4068" s="1" t="s">
        <v>1404</v>
      </c>
      <c r="I4068">
        <v>2012</v>
      </c>
      <c r="J4068" s="93">
        <v>8292.7000000000007</v>
      </c>
      <c r="K4068">
        <v>12</v>
      </c>
      <c r="L4068" s="1" t="s">
        <v>433</v>
      </c>
      <c r="M4068">
        <v>0</v>
      </c>
      <c r="N4068">
        <v>0</v>
      </c>
      <c r="O4068">
        <v>82927</v>
      </c>
      <c r="P4068">
        <v>2</v>
      </c>
      <c r="Q4068" s="1" t="s">
        <v>569</v>
      </c>
      <c r="R4068" s="93">
        <v>8292.7000000000007</v>
      </c>
      <c r="S4068">
        <v>3317.09</v>
      </c>
      <c r="T4068">
        <v>1</v>
      </c>
      <c r="U4068" s="1" t="s">
        <v>1120</v>
      </c>
      <c r="V4068" s="1"/>
      <c r="W4068">
        <v>8292.7121200000001</v>
      </c>
      <c r="X4068">
        <v>0</v>
      </c>
      <c r="Y4068">
        <v>70994</v>
      </c>
    </row>
    <row r="4069" spans="1:25" ht="15" hidden="1" customHeight="1" x14ac:dyDescent="0.25">
      <c r="A4069" s="1" t="s">
        <v>39</v>
      </c>
      <c r="B4069" s="1" t="s">
        <v>84</v>
      </c>
      <c r="C4069" s="1" t="s">
        <v>209</v>
      </c>
      <c r="D4069">
        <v>8933</v>
      </c>
      <c r="E4069" s="1" t="s">
        <v>243</v>
      </c>
      <c r="F4069" s="1" t="s">
        <v>390</v>
      </c>
      <c r="G4069" s="1" t="s">
        <v>209</v>
      </c>
      <c r="H4069" s="1" t="s">
        <v>1404</v>
      </c>
      <c r="I4069">
        <v>2012</v>
      </c>
      <c r="J4069" s="93">
        <v>5957.32</v>
      </c>
      <c r="K4069">
        <v>12</v>
      </c>
      <c r="L4069" s="1" t="s">
        <v>433</v>
      </c>
      <c r="M4069">
        <v>0</v>
      </c>
      <c r="N4069">
        <v>0</v>
      </c>
      <c r="O4069">
        <v>59573.2</v>
      </c>
      <c r="P4069">
        <v>2</v>
      </c>
      <c r="Q4069" s="1" t="s">
        <v>569</v>
      </c>
      <c r="R4069" s="93">
        <v>5957.32</v>
      </c>
      <c r="S4069">
        <v>2382.92</v>
      </c>
      <c r="T4069">
        <v>1</v>
      </c>
      <c r="U4069" s="1" t="s">
        <v>1116</v>
      </c>
      <c r="V4069" s="1"/>
      <c r="W4069">
        <v>5957.3257599999997</v>
      </c>
      <c r="X4069">
        <v>0</v>
      </c>
      <c r="Y4069">
        <v>70996</v>
      </c>
    </row>
    <row r="4070" spans="1:25" ht="15" hidden="1" customHeight="1" x14ac:dyDescent="0.25">
      <c r="A4070" s="1" t="s">
        <v>39</v>
      </c>
      <c r="B4070" s="1" t="s">
        <v>84</v>
      </c>
      <c r="C4070" s="1" t="s">
        <v>209</v>
      </c>
      <c r="D4070">
        <v>8933</v>
      </c>
      <c r="E4070" s="1" t="s">
        <v>243</v>
      </c>
      <c r="F4070" s="1" t="s">
        <v>390</v>
      </c>
      <c r="G4070" s="1" t="s">
        <v>209</v>
      </c>
      <c r="H4070" s="1" t="s">
        <v>1404</v>
      </c>
      <c r="I4070">
        <v>2012</v>
      </c>
      <c r="J4070" s="93">
        <v>50010.77</v>
      </c>
      <c r="K4070">
        <v>12</v>
      </c>
      <c r="L4070" s="1" t="s">
        <v>549</v>
      </c>
      <c r="M4070">
        <v>0</v>
      </c>
      <c r="N4070">
        <v>0</v>
      </c>
      <c r="O4070">
        <v>500107.7</v>
      </c>
      <c r="P4070">
        <v>2</v>
      </c>
      <c r="Q4070" s="1" t="s">
        <v>569</v>
      </c>
      <c r="R4070" s="93">
        <v>50010.77</v>
      </c>
      <c r="S4070">
        <v>20004.32</v>
      </c>
      <c r="T4070">
        <v>1</v>
      </c>
      <c r="U4070" s="1" t="s">
        <v>1125</v>
      </c>
      <c r="V4070" s="1"/>
      <c r="W4070">
        <v>50010.780299999999</v>
      </c>
      <c r="X4070">
        <v>0</v>
      </c>
      <c r="Y4070">
        <v>70999</v>
      </c>
    </row>
    <row r="4071" spans="1:25" ht="15" hidden="1" customHeight="1" x14ac:dyDescent="0.25">
      <c r="A4071" s="1" t="s">
        <v>39</v>
      </c>
      <c r="B4071" s="1" t="s">
        <v>84</v>
      </c>
      <c r="C4071" s="1" t="s">
        <v>209</v>
      </c>
      <c r="D4071">
        <v>8933</v>
      </c>
      <c r="E4071" s="1" t="s">
        <v>243</v>
      </c>
      <c r="F4071" s="1" t="s">
        <v>390</v>
      </c>
      <c r="G4071" s="1" t="s">
        <v>209</v>
      </c>
      <c r="H4071" s="1" t="s">
        <v>1404</v>
      </c>
      <c r="I4071">
        <v>2011</v>
      </c>
      <c r="J4071" s="93">
        <v>22085.51</v>
      </c>
      <c r="K4071">
        <v>12</v>
      </c>
      <c r="L4071" s="1" t="s">
        <v>433</v>
      </c>
      <c r="M4071">
        <v>0</v>
      </c>
      <c r="N4071">
        <v>0</v>
      </c>
      <c r="O4071">
        <v>220855.1</v>
      </c>
      <c r="P4071">
        <v>2</v>
      </c>
      <c r="Q4071" s="1" t="s">
        <v>569</v>
      </c>
      <c r="R4071" s="93">
        <v>22085.51</v>
      </c>
      <c r="S4071">
        <v>10358.1</v>
      </c>
      <c r="T4071">
        <v>1</v>
      </c>
      <c r="U4071" s="1" t="s">
        <v>1119</v>
      </c>
      <c r="V4071" s="1"/>
      <c r="W4071">
        <v>22085.507150000001</v>
      </c>
      <c r="X4071">
        <v>0</v>
      </c>
      <c r="Y4071">
        <v>70992</v>
      </c>
    </row>
    <row r="4072" spans="1:25" ht="15" hidden="1" customHeight="1" x14ac:dyDescent="0.25">
      <c r="A4072" s="1" t="s">
        <v>39</v>
      </c>
      <c r="B4072" s="1" t="s">
        <v>84</v>
      </c>
      <c r="C4072" s="1" t="s">
        <v>209</v>
      </c>
      <c r="D4072">
        <v>8933</v>
      </c>
      <c r="E4072" s="1" t="s">
        <v>243</v>
      </c>
      <c r="F4072" s="1" t="s">
        <v>390</v>
      </c>
      <c r="G4072" s="1" t="s">
        <v>209</v>
      </c>
      <c r="H4072" s="1" t="s">
        <v>1404</v>
      </c>
      <c r="I4072">
        <v>2011</v>
      </c>
      <c r="J4072" s="93">
        <v>10376.84</v>
      </c>
      <c r="K4072">
        <v>12</v>
      </c>
      <c r="L4072" s="1" t="s">
        <v>433</v>
      </c>
      <c r="M4072">
        <v>0</v>
      </c>
      <c r="N4072">
        <v>0</v>
      </c>
      <c r="O4072">
        <v>103768.4</v>
      </c>
      <c r="P4072">
        <v>2</v>
      </c>
      <c r="Q4072" s="1" t="s">
        <v>569</v>
      </c>
      <c r="R4072" s="93">
        <v>10376.84</v>
      </c>
      <c r="S4072">
        <v>4866.74</v>
      </c>
      <c r="T4072">
        <v>1</v>
      </c>
      <c r="U4072" s="1" t="s">
        <v>1120</v>
      </c>
      <c r="V4072" s="1"/>
      <c r="W4072">
        <v>10376.842860000001</v>
      </c>
      <c r="X4072">
        <v>0</v>
      </c>
      <c r="Y4072">
        <v>70994</v>
      </c>
    </row>
    <row r="4073" spans="1:25" ht="15" hidden="1" customHeight="1" x14ac:dyDescent="0.25">
      <c r="A4073" s="1" t="s">
        <v>39</v>
      </c>
      <c r="B4073" s="1" t="s">
        <v>84</v>
      </c>
      <c r="C4073" s="1" t="s">
        <v>209</v>
      </c>
      <c r="D4073">
        <v>8933</v>
      </c>
      <c r="E4073" s="1" t="s">
        <v>243</v>
      </c>
      <c r="F4073" s="1" t="s">
        <v>390</v>
      </c>
      <c r="G4073" s="1" t="s">
        <v>209</v>
      </c>
      <c r="H4073" s="1" t="s">
        <v>1404</v>
      </c>
      <c r="I4073">
        <v>2011</v>
      </c>
      <c r="J4073" s="93">
        <v>5471.94</v>
      </c>
      <c r="K4073">
        <v>12</v>
      </c>
      <c r="L4073" s="1" t="s">
        <v>550</v>
      </c>
      <c r="M4073">
        <v>0</v>
      </c>
      <c r="N4073">
        <v>0</v>
      </c>
      <c r="O4073">
        <v>54719.4</v>
      </c>
      <c r="P4073">
        <v>2</v>
      </c>
      <c r="Q4073" s="1" t="s">
        <v>569</v>
      </c>
      <c r="R4073" s="93">
        <v>5471.94</v>
      </c>
      <c r="S4073">
        <v>2566.3200000000002</v>
      </c>
      <c r="T4073">
        <v>1</v>
      </c>
      <c r="U4073" s="1" t="s">
        <v>1126</v>
      </c>
      <c r="V4073" s="1"/>
      <c r="W4073">
        <v>5471.9362899999996</v>
      </c>
      <c r="X4073">
        <v>0</v>
      </c>
      <c r="Y4073">
        <v>70995</v>
      </c>
    </row>
    <row r="4074" spans="1:25" ht="15" hidden="1" customHeight="1" x14ac:dyDescent="0.25">
      <c r="A4074" s="1" t="s">
        <v>39</v>
      </c>
      <c r="B4074" s="1" t="s">
        <v>84</v>
      </c>
      <c r="C4074" s="1" t="s">
        <v>209</v>
      </c>
      <c r="D4074">
        <v>8933</v>
      </c>
      <c r="E4074" s="1" t="s">
        <v>243</v>
      </c>
      <c r="F4074" s="1" t="s">
        <v>390</v>
      </c>
      <c r="G4074" s="1" t="s">
        <v>209</v>
      </c>
      <c r="H4074" s="1" t="s">
        <v>1404</v>
      </c>
      <c r="I4074">
        <v>2011</v>
      </c>
      <c r="J4074" s="93">
        <v>2762.63</v>
      </c>
      <c r="K4074">
        <v>12</v>
      </c>
      <c r="L4074" s="1" t="s">
        <v>433</v>
      </c>
      <c r="M4074">
        <v>0</v>
      </c>
      <c r="N4074">
        <v>0</v>
      </c>
      <c r="O4074">
        <v>27626.3</v>
      </c>
      <c r="P4074">
        <v>2</v>
      </c>
      <c r="Q4074" s="1" t="s">
        <v>569</v>
      </c>
      <c r="R4074" s="93">
        <v>2762.63</v>
      </c>
      <c r="S4074">
        <v>1295.6600000000001</v>
      </c>
      <c r="T4074">
        <v>1</v>
      </c>
      <c r="U4074" s="1" t="s">
        <v>1121</v>
      </c>
      <c r="V4074" s="1"/>
      <c r="W4074">
        <v>2762.6127499999998</v>
      </c>
      <c r="X4074">
        <v>0</v>
      </c>
      <c r="Y4074">
        <v>70997</v>
      </c>
    </row>
    <row r="4075" spans="1:25" ht="15" hidden="1" customHeight="1" x14ac:dyDescent="0.25">
      <c r="A4075" s="1" t="s">
        <v>39</v>
      </c>
      <c r="B4075" s="1" t="s">
        <v>84</v>
      </c>
      <c r="C4075" s="1" t="s">
        <v>209</v>
      </c>
      <c r="D4075">
        <v>8933</v>
      </c>
      <c r="E4075" s="1" t="s">
        <v>243</v>
      </c>
      <c r="F4075" s="1" t="s">
        <v>390</v>
      </c>
      <c r="G4075" s="1" t="s">
        <v>209</v>
      </c>
      <c r="H4075" s="1" t="s">
        <v>1404</v>
      </c>
      <c r="I4075">
        <v>2011</v>
      </c>
      <c r="J4075" s="93">
        <v>54162.42</v>
      </c>
      <c r="K4075">
        <v>12</v>
      </c>
      <c r="L4075" s="1" t="s">
        <v>433</v>
      </c>
      <c r="M4075">
        <v>0</v>
      </c>
      <c r="N4075">
        <v>0</v>
      </c>
      <c r="O4075">
        <v>541624.19999999995</v>
      </c>
      <c r="P4075">
        <v>2</v>
      </c>
      <c r="Q4075" s="1" t="s">
        <v>569</v>
      </c>
      <c r="R4075" s="93">
        <v>54162.42</v>
      </c>
      <c r="S4075">
        <v>25402.18</v>
      </c>
      <c r="T4075">
        <v>1</v>
      </c>
      <c r="U4075" s="1" t="s">
        <v>1122</v>
      </c>
      <c r="V4075" s="1"/>
      <c r="W4075">
        <v>54162.416680000002</v>
      </c>
      <c r="X4075">
        <v>0</v>
      </c>
      <c r="Y4075">
        <v>77913</v>
      </c>
    </row>
    <row r="4076" spans="1:25" ht="15" hidden="1" customHeight="1" x14ac:dyDescent="0.25">
      <c r="A4076" s="1" t="s">
        <v>39</v>
      </c>
      <c r="B4076" s="1" t="s">
        <v>84</v>
      </c>
      <c r="C4076" s="1" t="s">
        <v>209</v>
      </c>
      <c r="D4076">
        <v>8933</v>
      </c>
      <c r="E4076" s="1" t="s">
        <v>243</v>
      </c>
      <c r="F4076" s="1" t="s">
        <v>390</v>
      </c>
      <c r="G4076" s="1" t="s">
        <v>209</v>
      </c>
      <c r="H4076" s="1" t="s">
        <v>1404</v>
      </c>
      <c r="I4076">
        <v>2011</v>
      </c>
      <c r="J4076" s="93">
        <v>54823.11</v>
      </c>
      <c r="K4076">
        <v>12</v>
      </c>
      <c r="L4076" s="1" t="s">
        <v>433</v>
      </c>
      <c r="M4076">
        <v>0</v>
      </c>
      <c r="N4076">
        <v>0</v>
      </c>
      <c r="O4076">
        <v>548231.1</v>
      </c>
      <c r="P4076">
        <v>2</v>
      </c>
      <c r="Q4076" s="1" t="s">
        <v>569</v>
      </c>
      <c r="R4076" s="93">
        <v>54823.11</v>
      </c>
      <c r="S4076">
        <v>25712.04</v>
      </c>
      <c r="T4076">
        <v>1</v>
      </c>
      <c r="U4076" s="1" t="s">
        <v>1115</v>
      </c>
      <c r="V4076" s="1"/>
      <c r="W4076">
        <v>54823.127460000003</v>
      </c>
      <c r="X4076">
        <v>0</v>
      </c>
      <c r="Y4076">
        <v>70990</v>
      </c>
    </row>
    <row r="4077" spans="1:25" ht="15" hidden="1" customHeight="1" x14ac:dyDescent="0.25">
      <c r="A4077" s="1" t="s">
        <v>39</v>
      </c>
      <c r="B4077" s="1" t="s">
        <v>84</v>
      </c>
      <c r="C4077" s="1" t="s">
        <v>209</v>
      </c>
      <c r="D4077">
        <v>8933</v>
      </c>
      <c r="E4077" s="1" t="s">
        <v>243</v>
      </c>
      <c r="F4077" s="1" t="s">
        <v>390</v>
      </c>
      <c r="G4077" s="1" t="s">
        <v>209</v>
      </c>
      <c r="H4077" s="1" t="s">
        <v>1404</v>
      </c>
      <c r="I4077">
        <v>2011</v>
      </c>
      <c r="J4077" s="93">
        <v>22596.69</v>
      </c>
      <c r="K4077">
        <v>12</v>
      </c>
      <c r="L4077" s="1" t="s">
        <v>549</v>
      </c>
      <c r="M4077">
        <v>0</v>
      </c>
      <c r="N4077">
        <v>0</v>
      </c>
      <c r="O4077">
        <v>225966.9</v>
      </c>
      <c r="P4077">
        <v>2</v>
      </c>
      <c r="Q4077" s="1" t="s">
        <v>569</v>
      </c>
      <c r="R4077" s="93">
        <v>22596.69</v>
      </c>
      <c r="S4077">
        <v>10597.85</v>
      </c>
      <c r="T4077">
        <v>1</v>
      </c>
      <c r="U4077" s="1" t="s">
        <v>1124</v>
      </c>
      <c r="V4077" s="1"/>
      <c r="W4077">
        <v>22596.686259999999</v>
      </c>
      <c r="X4077">
        <v>0</v>
      </c>
      <c r="Y4077">
        <v>70991</v>
      </c>
    </row>
    <row r="4078" spans="1:25" ht="15" hidden="1" customHeight="1" x14ac:dyDescent="0.25">
      <c r="A4078" s="1" t="s">
        <v>39</v>
      </c>
      <c r="B4078" s="1" t="s">
        <v>84</v>
      </c>
      <c r="C4078" s="1" t="s">
        <v>209</v>
      </c>
      <c r="D4078">
        <v>8933</v>
      </c>
      <c r="E4078" s="1" t="s">
        <v>243</v>
      </c>
      <c r="F4078" s="1" t="s">
        <v>390</v>
      </c>
      <c r="G4078" s="1" t="s">
        <v>209</v>
      </c>
      <c r="H4078" s="1" t="s">
        <v>1404</v>
      </c>
      <c r="I4078">
        <v>2011</v>
      </c>
      <c r="J4078" s="93">
        <v>10529.6</v>
      </c>
      <c r="K4078">
        <v>12</v>
      </c>
      <c r="L4078" s="1" t="s">
        <v>548</v>
      </c>
      <c r="M4078">
        <v>0</v>
      </c>
      <c r="N4078">
        <v>0</v>
      </c>
      <c r="O4078">
        <v>105296</v>
      </c>
      <c r="P4078">
        <v>2</v>
      </c>
      <c r="Q4078" s="1" t="s">
        <v>569</v>
      </c>
      <c r="R4078" s="93">
        <v>10529.6</v>
      </c>
      <c r="S4078">
        <v>4938.38</v>
      </c>
      <c r="T4078">
        <v>1</v>
      </c>
      <c r="U4078" s="1" t="s">
        <v>1123</v>
      </c>
      <c r="V4078" s="1"/>
      <c r="W4078">
        <v>10529.602929999999</v>
      </c>
      <c r="X4078">
        <v>0</v>
      </c>
      <c r="Y4078">
        <v>70993</v>
      </c>
    </row>
    <row r="4079" spans="1:25" ht="15" hidden="1" customHeight="1" x14ac:dyDescent="0.25">
      <c r="A4079" s="1" t="s">
        <v>39</v>
      </c>
      <c r="B4079" s="1" t="s">
        <v>84</v>
      </c>
      <c r="C4079" s="1" t="s">
        <v>209</v>
      </c>
      <c r="D4079">
        <v>8933</v>
      </c>
      <c r="E4079" s="1" t="s">
        <v>243</v>
      </c>
      <c r="F4079" s="1" t="s">
        <v>390</v>
      </c>
      <c r="G4079" s="1" t="s">
        <v>209</v>
      </c>
      <c r="H4079" s="1" t="s">
        <v>1404</v>
      </c>
      <c r="I4079">
        <v>2011</v>
      </c>
      <c r="J4079" s="93">
        <v>8770.6200000000008</v>
      </c>
      <c r="K4079">
        <v>12</v>
      </c>
      <c r="L4079" s="1" t="s">
        <v>433</v>
      </c>
      <c r="M4079">
        <v>0</v>
      </c>
      <c r="N4079">
        <v>0</v>
      </c>
      <c r="O4079">
        <v>87706.2</v>
      </c>
      <c r="P4079">
        <v>2</v>
      </c>
      <c r="Q4079" s="1" t="s">
        <v>569</v>
      </c>
      <c r="R4079" s="93">
        <v>8770.6200000000008</v>
      </c>
      <c r="S4079">
        <v>4113.41</v>
      </c>
      <c r="T4079">
        <v>1</v>
      </c>
      <c r="U4079" s="1" t="s">
        <v>1116</v>
      </c>
      <c r="V4079" s="1"/>
      <c r="W4079">
        <v>8770.6127500000002</v>
      </c>
      <c r="X4079">
        <v>0</v>
      </c>
      <c r="Y4079">
        <v>70996</v>
      </c>
    </row>
    <row r="4080" spans="1:25" ht="15" hidden="1" customHeight="1" x14ac:dyDescent="0.25">
      <c r="A4080" s="1" t="s">
        <v>39</v>
      </c>
      <c r="B4080" s="1" t="s">
        <v>84</v>
      </c>
      <c r="C4080" s="1" t="s">
        <v>209</v>
      </c>
      <c r="D4080">
        <v>8933</v>
      </c>
      <c r="E4080" s="1" t="s">
        <v>243</v>
      </c>
      <c r="F4080" s="1" t="s">
        <v>390</v>
      </c>
      <c r="G4080" s="1" t="s">
        <v>209</v>
      </c>
      <c r="H4080" s="1" t="s">
        <v>1404</v>
      </c>
      <c r="I4080">
        <v>2011</v>
      </c>
      <c r="J4080" s="93">
        <v>20103.439999999999</v>
      </c>
      <c r="K4080">
        <v>12</v>
      </c>
      <c r="L4080" s="1" t="s">
        <v>433</v>
      </c>
      <c r="M4080">
        <v>0</v>
      </c>
      <c r="N4080">
        <v>0</v>
      </c>
      <c r="O4080">
        <v>201034.4</v>
      </c>
      <c r="P4080">
        <v>2</v>
      </c>
      <c r="Q4080" s="1" t="s">
        <v>569</v>
      </c>
      <c r="R4080" s="93">
        <v>20103.439999999999</v>
      </c>
      <c r="S4080">
        <v>9428.51</v>
      </c>
      <c r="T4080">
        <v>1</v>
      </c>
      <c r="U4080" s="1" t="s">
        <v>1117</v>
      </c>
      <c r="V4080" s="1"/>
      <c r="W4080">
        <v>20103.436290000001</v>
      </c>
      <c r="X4080">
        <v>0</v>
      </c>
      <c r="Y4080">
        <v>70998</v>
      </c>
    </row>
    <row r="4081" spans="1:25" ht="15" hidden="1" customHeight="1" x14ac:dyDescent="0.25">
      <c r="A4081" s="1" t="s">
        <v>39</v>
      </c>
      <c r="B4081" s="1" t="s">
        <v>84</v>
      </c>
      <c r="C4081" s="1" t="s">
        <v>209</v>
      </c>
      <c r="D4081">
        <v>8933</v>
      </c>
      <c r="E4081" s="1" t="s">
        <v>243</v>
      </c>
      <c r="F4081" s="1" t="s">
        <v>390</v>
      </c>
      <c r="G4081" s="1" t="s">
        <v>209</v>
      </c>
      <c r="H4081" s="1" t="s">
        <v>1404</v>
      </c>
      <c r="I4081">
        <v>2011</v>
      </c>
      <c r="J4081" s="93">
        <v>55305.06</v>
      </c>
      <c r="K4081">
        <v>12</v>
      </c>
      <c r="L4081" s="1" t="s">
        <v>549</v>
      </c>
      <c r="M4081">
        <v>0</v>
      </c>
      <c r="N4081">
        <v>0</v>
      </c>
      <c r="O4081">
        <v>553050.6</v>
      </c>
      <c r="P4081">
        <v>2</v>
      </c>
      <c r="Q4081" s="1" t="s">
        <v>569</v>
      </c>
      <c r="R4081" s="93">
        <v>55305.06</v>
      </c>
      <c r="S4081">
        <v>25938.06</v>
      </c>
      <c r="T4081">
        <v>1</v>
      </c>
      <c r="U4081" s="1" t="s">
        <v>1125</v>
      </c>
      <c r="V4081" s="1"/>
      <c r="W4081">
        <v>55305.063719999998</v>
      </c>
      <c r="X4081">
        <v>0</v>
      </c>
      <c r="Y4081">
        <v>70999</v>
      </c>
    </row>
    <row r="4082" spans="1:25" ht="15" hidden="1" customHeight="1" x14ac:dyDescent="0.25">
      <c r="A4082" s="1" t="s">
        <v>39</v>
      </c>
      <c r="B4082" s="1" t="s">
        <v>84</v>
      </c>
      <c r="C4082" s="1" t="s">
        <v>209</v>
      </c>
      <c r="D4082">
        <v>8933</v>
      </c>
      <c r="E4082" s="1" t="s">
        <v>243</v>
      </c>
      <c r="F4082" s="1" t="s">
        <v>390</v>
      </c>
      <c r="G4082" s="1" t="s">
        <v>209</v>
      </c>
      <c r="H4082" s="1" t="s">
        <v>1404</v>
      </c>
      <c r="I4082">
        <v>2010</v>
      </c>
      <c r="J4082" s="93">
        <v>21222.34</v>
      </c>
      <c r="K4082">
        <v>12</v>
      </c>
      <c r="L4082" s="1" t="s">
        <v>549</v>
      </c>
      <c r="M4082">
        <v>0</v>
      </c>
      <c r="N4082">
        <v>0</v>
      </c>
      <c r="O4082">
        <v>212223.4</v>
      </c>
      <c r="P4082">
        <v>2</v>
      </c>
      <c r="Q4082" s="1" t="s">
        <v>569</v>
      </c>
      <c r="R4082" s="93">
        <v>21222.34</v>
      </c>
      <c r="S4082">
        <v>9953.2900000000009</v>
      </c>
      <c r="T4082">
        <v>1</v>
      </c>
      <c r="U4082" s="1" t="s">
        <v>1124</v>
      </c>
      <c r="V4082" s="1"/>
      <c r="W4082">
        <v>21222.34706</v>
      </c>
      <c r="X4082">
        <v>0</v>
      </c>
      <c r="Y4082">
        <v>70991</v>
      </c>
    </row>
    <row r="4083" spans="1:25" ht="15" hidden="1" customHeight="1" x14ac:dyDescent="0.25">
      <c r="A4083" s="1" t="s">
        <v>39</v>
      </c>
      <c r="B4083" s="1" t="s">
        <v>84</v>
      </c>
      <c r="C4083" s="1" t="s">
        <v>209</v>
      </c>
      <c r="D4083">
        <v>8933</v>
      </c>
      <c r="E4083" s="1" t="s">
        <v>243</v>
      </c>
      <c r="F4083" s="1" t="s">
        <v>390</v>
      </c>
      <c r="G4083" s="1" t="s">
        <v>209</v>
      </c>
      <c r="H4083" s="1" t="s">
        <v>1404</v>
      </c>
      <c r="I4083">
        <v>2010</v>
      </c>
      <c r="J4083" s="93">
        <v>22305.22</v>
      </c>
      <c r="K4083">
        <v>14</v>
      </c>
      <c r="L4083" s="1" t="s">
        <v>433</v>
      </c>
      <c r="M4083">
        <v>0</v>
      </c>
      <c r="N4083">
        <v>0</v>
      </c>
      <c r="O4083">
        <v>223052.2</v>
      </c>
      <c r="P4083">
        <v>2</v>
      </c>
      <c r="Q4083" s="1" t="s">
        <v>569</v>
      </c>
      <c r="R4083" s="93">
        <v>22305.22</v>
      </c>
      <c r="S4083">
        <v>10461.15</v>
      </c>
      <c r="T4083">
        <v>1</v>
      </c>
      <c r="U4083" s="1" t="s">
        <v>1119</v>
      </c>
      <c r="V4083" s="1"/>
      <c r="W4083">
        <v>22305.199990000001</v>
      </c>
      <c r="X4083">
        <v>0</v>
      </c>
      <c r="Y4083">
        <v>70992</v>
      </c>
    </row>
    <row r="4084" spans="1:25" ht="15" hidden="1" customHeight="1" x14ac:dyDescent="0.25">
      <c r="A4084" s="1" t="s">
        <v>39</v>
      </c>
      <c r="B4084" s="1" t="s">
        <v>84</v>
      </c>
      <c r="C4084" s="1" t="s">
        <v>209</v>
      </c>
      <c r="D4084">
        <v>8933</v>
      </c>
      <c r="E4084" s="1" t="s">
        <v>243</v>
      </c>
      <c r="F4084" s="1" t="s">
        <v>390</v>
      </c>
      <c r="G4084" s="1" t="s">
        <v>209</v>
      </c>
      <c r="H4084" s="1" t="s">
        <v>1404</v>
      </c>
      <c r="I4084">
        <v>2010</v>
      </c>
      <c r="J4084" s="93">
        <v>28071.31</v>
      </c>
      <c r="K4084">
        <v>14</v>
      </c>
      <c r="L4084" s="1" t="s">
        <v>433</v>
      </c>
      <c r="M4084">
        <v>0</v>
      </c>
      <c r="N4084">
        <v>0</v>
      </c>
      <c r="O4084">
        <v>280713.09999999998</v>
      </c>
      <c r="P4084">
        <v>2</v>
      </c>
      <c r="Q4084" s="1" t="s">
        <v>569</v>
      </c>
      <c r="R4084" s="93">
        <v>28071.31</v>
      </c>
      <c r="S4084">
        <v>13165.45</v>
      </c>
      <c r="T4084">
        <v>1</v>
      </c>
      <c r="U4084" s="1" t="s">
        <v>1120</v>
      </c>
      <c r="V4084" s="1"/>
      <c r="W4084">
        <v>28071.314289999998</v>
      </c>
      <c r="X4084">
        <v>0</v>
      </c>
      <c r="Y4084">
        <v>70994</v>
      </c>
    </row>
    <row r="4085" spans="1:25" ht="15" hidden="1" customHeight="1" x14ac:dyDescent="0.25">
      <c r="A4085" s="1" t="s">
        <v>39</v>
      </c>
      <c r="B4085" s="1" t="s">
        <v>84</v>
      </c>
      <c r="C4085" s="1" t="s">
        <v>209</v>
      </c>
      <c r="D4085">
        <v>8933</v>
      </c>
      <c r="E4085" s="1" t="s">
        <v>243</v>
      </c>
      <c r="F4085" s="1" t="s">
        <v>390</v>
      </c>
      <c r="G4085" s="1" t="s">
        <v>209</v>
      </c>
      <c r="H4085" s="1" t="s">
        <v>1404</v>
      </c>
      <c r="I4085">
        <v>2010</v>
      </c>
      <c r="J4085" s="93">
        <v>2341.29</v>
      </c>
      <c r="K4085">
        <v>12</v>
      </c>
      <c r="L4085" s="1" t="s">
        <v>433</v>
      </c>
      <c r="M4085">
        <v>0</v>
      </c>
      <c r="N4085">
        <v>0</v>
      </c>
      <c r="O4085">
        <v>23412.9</v>
      </c>
      <c r="P4085">
        <v>2</v>
      </c>
      <c r="Q4085" s="1" t="s">
        <v>569</v>
      </c>
      <c r="R4085" s="93">
        <v>2341.29</v>
      </c>
      <c r="S4085">
        <v>1098.05</v>
      </c>
      <c r="T4085">
        <v>1</v>
      </c>
      <c r="U4085" s="1" t="s">
        <v>1121</v>
      </c>
      <c r="V4085" s="1"/>
      <c r="W4085">
        <v>2341.28487</v>
      </c>
      <c r="X4085">
        <v>0</v>
      </c>
      <c r="Y4085">
        <v>70997</v>
      </c>
    </row>
    <row r="4086" spans="1:25" ht="15" hidden="1" customHeight="1" x14ac:dyDescent="0.25">
      <c r="A4086" s="1" t="s">
        <v>39</v>
      </c>
      <c r="B4086" s="1" t="s">
        <v>84</v>
      </c>
      <c r="C4086" s="1" t="s">
        <v>209</v>
      </c>
      <c r="D4086">
        <v>8933</v>
      </c>
      <c r="E4086" s="1" t="s">
        <v>243</v>
      </c>
      <c r="F4086" s="1" t="s">
        <v>390</v>
      </c>
      <c r="G4086" s="1" t="s">
        <v>209</v>
      </c>
      <c r="H4086" s="1" t="s">
        <v>1404</v>
      </c>
      <c r="I4086">
        <v>2010</v>
      </c>
      <c r="J4086" s="93">
        <v>51514.879999999997</v>
      </c>
      <c r="K4086">
        <v>12</v>
      </c>
      <c r="L4086" s="1" t="s">
        <v>549</v>
      </c>
      <c r="M4086">
        <v>0</v>
      </c>
      <c r="N4086">
        <v>0</v>
      </c>
      <c r="O4086">
        <v>515148.79999999999</v>
      </c>
      <c r="P4086">
        <v>2</v>
      </c>
      <c r="Q4086" s="1" t="s">
        <v>569</v>
      </c>
      <c r="R4086" s="93">
        <v>51514.879999999997</v>
      </c>
      <c r="S4086">
        <v>24160.48</v>
      </c>
      <c r="T4086">
        <v>1</v>
      </c>
      <c r="U4086" s="1" t="s">
        <v>1125</v>
      </c>
      <c r="V4086" s="1"/>
      <c r="W4086">
        <v>51514.881500000003</v>
      </c>
      <c r="X4086">
        <v>0</v>
      </c>
      <c r="Y4086">
        <v>70999</v>
      </c>
    </row>
    <row r="4087" spans="1:25" ht="15" hidden="1" customHeight="1" x14ac:dyDescent="0.25">
      <c r="A4087" s="1" t="s">
        <v>39</v>
      </c>
      <c r="B4087" s="1" t="s">
        <v>84</v>
      </c>
      <c r="C4087" s="1" t="s">
        <v>209</v>
      </c>
      <c r="D4087">
        <v>8933</v>
      </c>
      <c r="E4087" s="1" t="s">
        <v>243</v>
      </c>
      <c r="F4087" s="1" t="s">
        <v>390</v>
      </c>
      <c r="G4087" s="1" t="s">
        <v>209</v>
      </c>
      <c r="H4087" s="1" t="s">
        <v>1404</v>
      </c>
      <c r="I4087">
        <v>2010</v>
      </c>
      <c r="J4087" s="93">
        <v>50543.360000000001</v>
      </c>
      <c r="K4087">
        <v>12</v>
      </c>
      <c r="L4087" s="1" t="s">
        <v>433</v>
      </c>
      <c r="M4087">
        <v>0</v>
      </c>
      <c r="N4087">
        <v>0</v>
      </c>
      <c r="O4087">
        <v>505433.59999999998</v>
      </c>
      <c r="P4087">
        <v>2</v>
      </c>
      <c r="Q4087" s="1" t="s">
        <v>569</v>
      </c>
      <c r="R4087" s="93">
        <v>50543.360000000001</v>
      </c>
      <c r="S4087">
        <v>23704.83</v>
      </c>
      <c r="T4087">
        <v>1</v>
      </c>
      <c r="U4087" s="1" t="s">
        <v>1115</v>
      </c>
      <c r="V4087" s="1"/>
      <c r="W4087">
        <v>50543.36303</v>
      </c>
      <c r="X4087">
        <v>0</v>
      </c>
      <c r="Y4087">
        <v>70990</v>
      </c>
    </row>
    <row r="4088" spans="1:25" ht="15" hidden="1" customHeight="1" x14ac:dyDescent="0.25">
      <c r="A4088" s="1" t="s">
        <v>39</v>
      </c>
      <c r="B4088" s="1" t="s">
        <v>84</v>
      </c>
      <c r="C4088" s="1" t="s">
        <v>209</v>
      </c>
      <c r="D4088">
        <v>8933</v>
      </c>
      <c r="E4088" s="1" t="s">
        <v>243</v>
      </c>
      <c r="F4088" s="1" t="s">
        <v>390</v>
      </c>
      <c r="G4088" s="1" t="s">
        <v>209</v>
      </c>
      <c r="H4088" s="1" t="s">
        <v>1404</v>
      </c>
      <c r="I4088">
        <v>2010</v>
      </c>
      <c r="J4088" s="93">
        <v>12955.66</v>
      </c>
      <c r="K4088">
        <v>12</v>
      </c>
      <c r="L4088" s="1" t="s">
        <v>548</v>
      </c>
      <c r="M4088">
        <v>0</v>
      </c>
      <c r="N4088">
        <v>0</v>
      </c>
      <c r="O4088">
        <v>129556.6</v>
      </c>
      <c r="P4088">
        <v>2</v>
      </c>
      <c r="Q4088" s="1" t="s">
        <v>569</v>
      </c>
      <c r="R4088" s="93">
        <v>12955.66</v>
      </c>
      <c r="S4088">
        <v>6076.21</v>
      </c>
      <c r="T4088">
        <v>1</v>
      </c>
      <c r="U4088" s="1" t="s">
        <v>1123</v>
      </c>
      <c r="V4088" s="1"/>
      <c r="W4088">
        <v>12955.675649999999</v>
      </c>
      <c r="X4088">
        <v>0</v>
      </c>
      <c r="Y4088">
        <v>70993</v>
      </c>
    </row>
    <row r="4089" spans="1:25" ht="15" hidden="1" customHeight="1" x14ac:dyDescent="0.25">
      <c r="A4089" s="1" t="s">
        <v>39</v>
      </c>
      <c r="B4089" s="1" t="s">
        <v>84</v>
      </c>
      <c r="C4089" s="1" t="s">
        <v>209</v>
      </c>
      <c r="D4089">
        <v>8933</v>
      </c>
      <c r="E4089" s="1" t="s">
        <v>243</v>
      </c>
      <c r="F4089" s="1" t="s">
        <v>390</v>
      </c>
      <c r="G4089" s="1" t="s">
        <v>209</v>
      </c>
      <c r="H4089" s="1" t="s">
        <v>1404</v>
      </c>
      <c r="I4089">
        <v>2010</v>
      </c>
      <c r="J4089" s="93">
        <v>5444</v>
      </c>
      <c r="K4089">
        <v>12</v>
      </c>
      <c r="L4089" s="1" t="s">
        <v>550</v>
      </c>
      <c r="M4089">
        <v>0</v>
      </c>
      <c r="N4089">
        <v>0</v>
      </c>
      <c r="O4089">
        <v>54440</v>
      </c>
      <c r="P4089">
        <v>2</v>
      </c>
      <c r="Q4089" s="1" t="s">
        <v>569</v>
      </c>
      <c r="R4089" s="93">
        <v>5444</v>
      </c>
      <c r="S4089">
        <v>2553.2399999999998</v>
      </c>
      <c r="T4089">
        <v>1</v>
      </c>
      <c r="U4089" s="1" t="s">
        <v>1126</v>
      </c>
      <c r="V4089" s="1"/>
      <c r="W4089">
        <v>5443.98992</v>
      </c>
      <c r="X4089">
        <v>0</v>
      </c>
      <c r="Y4089">
        <v>70995</v>
      </c>
    </row>
    <row r="4090" spans="1:25" ht="15" hidden="1" customHeight="1" x14ac:dyDescent="0.25">
      <c r="A4090" s="1" t="s">
        <v>39</v>
      </c>
      <c r="B4090" s="1" t="s">
        <v>84</v>
      </c>
      <c r="C4090" s="1" t="s">
        <v>209</v>
      </c>
      <c r="D4090">
        <v>8933</v>
      </c>
      <c r="E4090" s="1" t="s">
        <v>243</v>
      </c>
      <c r="F4090" s="1" t="s">
        <v>390</v>
      </c>
      <c r="G4090" s="1" t="s">
        <v>209</v>
      </c>
      <c r="H4090" s="1" t="s">
        <v>1404</v>
      </c>
      <c r="I4090">
        <v>2010</v>
      </c>
      <c r="J4090" s="93">
        <v>11011.25</v>
      </c>
      <c r="K4090">
        <v>12</v>
      </c>
      <c r="L4090" s="1" t="s">
        <v>433</v>
      </c>
      <c r="M4090">
        <v>0</v>
      </c>
      <c r="N4090">
        <v>0</v>
      </c>
      <c r="O4090">
        <v>110112.5</v>
      </c>
      <c r="P4090">
        <v>2</v>
      </c>
      <c r="Q4090" s="1" t="s">
        <v>569</v>
      </c>
      <c r="R4090" s="93">
        <v>11011.25</v>
      </c>
      <c r="S4090">
        <v>5164.29</v>
      </c>
      <c r="T4090">
        <v>1</v>
      </c>
      <c r="U4090" s="1" t="s">
        <v>1116</v>
      </c>
      <c r="V4090" s="1"/>
      <c r="W4090">
        <v>11011.256299999999</v>
      </c>
      <c r="X4090">
        <v>0</v>
      </c>
      <c r="Y4090">
        <v>70996</v>
      </c>
    </row>
    <row r="4091" spans="1:25" ht="15" hidden="1" customHeight="1" x14ac:dyDescent="0.25">
      <c r="A4091" s="1" t="s">
        <v>39</v>
      </c>
      <c r="B4091" s="1" t="s">
        <v>84</v>
      </c>
      <c r="C4091" s="1" t="s">
        <v>209</v>
      </c>
      <c r="D4091">
        <v>8933</v>
      </c>
      <c r="E4091" s="1" t="s">
        <v>243</v>
      </c>
      <c r="F4091" s="1" t="s">
        <v>390</v>
      </c>
      <c r="G4091" s="1" t="s">
        <v>209</v>
      </c>
      <c r="H4091" s="1" t="s">
        <v>1404</v>
      </c>
      <c r="I4091">
        <v>2010</v>
      </c>
      <c r="J4091" s="93">
        <v>28107.98</v>
      </c>
      <c r="K4091">
        <v>12</v>
      </c>
      <c r="L4091" s="1" t="s">
        <v>433</v>
      </c>
      <c r="M4091">
        <v>0</v>
      </c>
      <c r="N4091">
        <v>0</v>
      </c>
      <c r="O4091">
        <v>281079.8</v>
      </c>
      <c r="P4091">
        <v>2</v>
      </c>
      <c r="Q4091" s="1" t="s">
        <v>569</v>
      </c>
      <c r="R4091" s="93">
        <v>28107.98</v>
      </c>
      <c r="S4091">
        <v>13182.63</v>
      </c>
      <c r="T4091">
        <v>1</v>
      </c>
      <c r="U4091" s="1" t="s">
        <v>1117</v>
      </c>
      <c r="V4091" s="1"/>
      <c r="W4091">
        <v>28107.975630000001</v>
      </c>
      <c r="X4091">
        <v>0</v>
      </c>
      <c r="Y4091">
        <v>70998</v>
      </c>
    </row>
    <row r="4092" spans="1:25" ht="15" hidden="1" customHeight="1" x14ac:dyDescent="0.25">
      <c r="A4092" s="1" t="s">
        <v>39</v>
      </c>
      <c r="B4092" s="1" t="s">
        <v>84</v>
      </c>
      <c r="C4092" s="1" t="s">
        <v>209</v>
      </c>
      <c r="D4092">
        <v>8933</v>
      </c>
      <c r="E4092" s="1" t="s">
        <v>243</v>
      </c>
      <c r="F4092" s="1" t="s">
        <v>390</v>
      </c>
      <c r="G4092" s="1" t="s">
        <v>209</v>
      </c>
      <c r="H4092" s="1" t="s">
        <v>1404</v>
      </c>
      <c r="I4092">
        <v>2010</v>
      </c>
      <c r="J4092" s="93">
        <v>60316.4</v>
      </c>
      <c r="K4092">
        <v>12</v>
      </c>
      <c r="L4092" s="1" t="s">
        <v>433</v>
      </c>
      <c r="M4092">
        <v>0</v>
      </c>
      <c r="N4092">
        <v>0</v>
      </c>
      <c r="O4092">
        <v>603164</v>
      </c>
      <c r="P4092">
        <v>2</v>
      </c>
      <c r="Q4092" s="1" t="s">
        <v>569</v>
      </c>
      <c r="R4092" s="93">
        <v>60316.4</v>
      </c>
      <c r="S4092">
        <v>28288.38</v>
      </c>
      <c r="T4092">
        <v>1</v>
      </c>
      <c r="U4092" s="1" t="s">
        <v>1122</v>
      </c>
      <c r="V4092" s="1"/>
      <c r="W4092">
        <v>60316.4</v>
      </c>
      <c r="X4092">
        <v>0</v>
      </c>
      <c r="Y4092">
        <v>77913</v>
      </c>
    </row>
    <row r="4093" spans="1:25" ht="15" hidden="1" customHeight="1" x14ac:dyDescent="0.25">
      <c r="A4093" s="1" t="s">
        <v>39</v>
      </c>
      <c r="B4093" s="1" t="s">
        <v>84</v>
      </c>
      <c r="C4093" s="1" t="s">
        <v>209</v>
      </c>
      <c r="D4093">
        <v>8933</v>
      </c>
      <c r="E4093" s="1" t="s">
        <v>243</v>
      </c>
      <c r="F4093" s="1" t="s">
        <v>390</v>
      </c>
      <c r="G4093" s="1" t="s">
        <v>209</v>
      </c>
      <c r="H4093" s="1" t="s">
        <v>1404</v>
      </c>
      <c r="I4093">
        <v>2009</v>
      </c>
      <c r="J4093" s="93">
        <v>19453.330000000002</v>
      </c>
      <c r="K4093">
        <v>11</v>
      </c>
      <c r="L4093" s="1" t="s">
        <v>549</v>
      </c>
      <c r="M4093">
        <v>0</v>
      </c>
      <c r="N4093">
        <v>0</v>
      </c>
      <c r="O4093">
        <v>194533.3</v>
      </c>
      <c r="P4093">
        <v>2</v>
      </c>
      <c r="Q4093" s="1" t="s">
        <v>569</v>
      </c>
      <c r="R4093" s="93">
        <v>19453.330000000002</v>
      </c>
      <c r="S4093">
        <v>9123.61</v>
      </c>
      <c r="T4093">
        <v>1</v>
      </c>
      <c r="U4093" s="1" t="s">
        <v>1124</v>
      </c>
      <c r="V4093" s="1"/>
      <c r="W4093">
        <v>19453.31612</v>
      </c>
      <c r="X4093">
        <v>0</v>
      </c>
      <c r="Y4093">
        <v>70991</v>
      </c>
    </row>
    <row r="4094" spans="1:25" ht="15" hidden="1" customHeight="1" x14ac:dyDescent="0.25">
      <c r="A4094" s="1" t="s">
        <v>39</v>
      </c>
      <c r="B4094" s="1" t="s">
        <v>84</v>
      </c>
      <c r="C4094" s="1" t="s">
        <v>209</v>
      </c>
      <c r="D4094">
        <v>8933</v>
      </c>
      <c r="E4094" s="1" t="s">
        <v>243</v>
      </c>
      <c r="F4094" s="1" t="s">
        <v>390</v>
      </c>
      <c r="G4094" s="1" t="s">
        <v>209</v>
      </c>
      <c r="H4094" s="1" t="s">
        <v>1404</v>
      </c>
      <c r="I4094">
        <v>2009</v>
      </c>
      <c r="J4094" s="93">
        <v>39054.18</v>
      </c>
      <c r="K4094">
        <v>11</v>
      </c>
      <c r="L4094" s="1" t="s">
        <v>433</v>
      </c>
      <c r="M4094">
        <v>0</v>
      </c>
      <c r="N4094">
        <v>0</v>
      </c>
      <c r="O4094">
        <v>390541.8</v>
      </c>
      <c r="P4094">
        <v>2</v>
      </c>
      <c r="Q4094" s="1" t="s">
        <v>569</v>
      </c>
      <c r="R4094" s="93">
        <v>39054.18</v>
      </c>
      <c r="S4094">
        <v>18316.41</v>
      </c>
      <c r="T4094">
        <v>1</v>
      </c>
      <c r="U4094" s="1" t="s">
        <v>1120</v>
      </c>
      <c r="V4094" s="1"/>
      <c r="W4094">
        <v>39054.181559999997</v>
      </c>
      <c r="X4094">
        <v>0</v>
      </c>
      <c r="Y4094">
        <v>70994</v>
      </c>
    </row>
    <row r="4095" spans="1:25" ht="15" hidden="1" customHeight="1" x14ac:dyDescent="0.25">
      <c r="A4095" s="1" t="s">
        <v>39</v>
      </c>
      <c r="B4095" s="1" t="s">
        <v>84</v>
      </c>
      <c r="C4095" s="1" t="s">
        <v>209</v>
      </c>
      <c r="D4095">
        <v>8933</v>
      </c>
      <c r="E4095" s="1" t="s">
        <v>243</v>
      </c>
      <c r="F4095" s="1" t="s">
        <v>390</v>
      </c>
      <c r="G4095" s="1" t="s">
        <v>209</v>
      </c>
      <c r="H4095" s="1" t="s">
        <v>1404</v>
      </c>
      <c r="I4095">
        <v>2009</v>
      </c>
      <c r="J4095" s="93">
        <v>12802.42</v>
      </c>
      <c r="K4095">
        <v>11</v>
      </c>
      <c r="L4095" s="1" t="s">
        <v>433</v>
      </c>
      <c r="M4095">
        <v>0</v>
      </c>
      <c r="N4095">
        <v>0</v>
      </c>
      <c r="O4095">
        <v>128024.2</v>
      </c>
      <c r="P4095">
        <v>2</v>
      </c>
      <c r="Q4095" s="1" t="s">
        <v>569</v>
      </c>
      <c r="R4095" s="93">
        <v>12802.42</v>
      </c>
      <c r="S4095">
        <v>6004.34</v>
      </c>
      <c r="T4095">
        <v>1</v>
      </c>
      <c r="U4095" s="1" t="s">
        <v>1116</v>
      </c>
      <c r="V4095" s="1"/>
      <c r="W4095">
        <v>12802.42398</v>
      </c>
      <c r="X4095">
        <v>0</v>
      </c>
      <c r="Y4095">
        <v>70996</v>
      </c>
    </row>
    <row r="4096" spans="1:25" ht="15" hidden="1" customHeight="1" x14ac:dyDescent="0.25">
      <c r="A4096" s="1" t="s">
        <v>39</v>
      </c>
      <c r="B4096" s="1" t="s">
        <v>84</v>
      </c>
      <c r="C4096" s="1" t="s">
        <v>209</v>
      </c>
      <c r="D4096">
        <v>8933</v>
      </c>
      <c r="E4096" s="1" t="s">
        <v>243</v>
      </c>
      <c r="F4096" s="1" t="s">
        <v>390</v>
      </c>
      <c r="G4096" s="1" t="s">
        <v>209</v>
      </c>
      <c r="H4096" s="1" t="s">
        <v>1404</v>
      </c>
      <c r="I4096">
        <v>2009</v>
      </c>
      <c r="J4096" s="93">
        <v>3044.63</v>
      </c>
      <c r="K4096">
        <v>11</v>
      </c>
      <c r="L4096" s="1" t="s">
        <v>433</v>
      </c>
      <c r="M4096">
        <v>0</v>
      </c>
      <c r="N4096">
        <v>0</v>
      </c>
      <c r="O4096">
        <v>30446.3</v>
      </c>
      <c r="P4096">
        <v>2</v>
      </c>
      <c r="Q4096" s="1" t="s">
        <v>569</v>
      </c>
      <c r="R4096" s="93">
        <v>3044.63</v>
      </c>
      <c r="S4096">
        <v>1427.92</v>
      </c>
      <c r="T4096">
        <v>1</v>
      </c>
      <c r="U4096" s="1" t="s">
        <v>1121</v>
      </c>
      <c r="V4096" s="1"/>
      <c r="W4096">
        <v>3044.6211800000001</v>
      </c>
      <c r="X4096">
        <v>0</v>
      </c>
      <c r="Y4096">
        <v>70997</v>
      </c>
    </row>
    <row r="4097" spans="1:25" ht="15" hidden="1" customHeight="1" x14ac:dyDescent="0.25">
      <c r="A4097" s="1" t="s">
        <v>39</v>
      </c>
      <c r="B4097" s="1" t="s">
        <v>84</v>
      </c>
      <c r="C4097" s="1" t="s">
        <v>209</v>
      </c>
      <c r="D4097">
        <v>8933</v>
      </c>
      <c r="E4097" s="1" t="s">
        <v>243</v>
      </c>
      <c r="F4097" s="1" t="s">
        <v>390</v>
      </c>
      <c r="G4097" s="1" t="s">
        <v>209</v>
      </c>
      <c r="H4097" s="1" t="s">
        <v>1404</v>
      </c>
      <c r="I4097">
        <v>2009</v>
      </c>
      <c r="J4097" s="93">
        <v>63874.45</v>
      </c>
      <c r="K4097">
        <v>11</v>
      </c>
      <c r="L4097" s="1" t="s">
        <v>549</v>
      </c>
      <c r="M4097">
        <v>0</v>
      </c>
      <c r="N4097">
        <v>0</v>
      </c>
      <c r="O4097">
        <v>638744.5</v>
      </c>
      <c r="P4097">
        <v>2</v>
      </c>
      <c r="Q4097" s="1" t="s">
        <v>569</v>
      </c>
      <c r="R4097" s="93">
        <v>63874.45</v>
      </c>
      <c r="S4097">
        <v>29957.119999999999</v>
      </c>
      <c r="T4097">
        <v>1</v>
      </c>
      <c r="U4097" s="1" t="s">
        <v>1125</v>
      </c>
      <c r="V4097" s="1"/>
      <c r="W4097">
        <v>63874.455300000001</v>
      </c>
      <c r="X4097">
        <v>0</v>
      </c>
      <c r="Y4097">
        <v>70999</v>
      </c>
    </row>
    <row r="4098" spans="1:25" ht="15" hidden="1" customHeight="1" x14ac:dyDescent="0.25">
      <c r="A4098" s="1" t="s">
        <v>39</v>
      </c>
      <c r="B4098" s="1" t="s">
        <v>84</v>
      </c>
      <c r="C4098" s="1" t="s">
        <v>209</v>
      </c>
      <c r="D4098">
        <v>8933</v>
      </c>
      <c r="E4098" s="1" t="s">
        <v>243</v>
      </c>
      <c r="F4098" s="1" t="s">
        <v>390</v>
      </c>
      <c r="G4098" s="1" t="s">
        <v>209</v>
      </c>
      <c r="H4098" s="1" t="s">
        <v>1404</v>
      </c>
      <c r="I4098">
        <v>2009</v>
      </c>
      <c r="J4098" s="93">
        <v>58581.05</v>
      </c>
      <c r="K4098">
        <v>11</v>
      </c>
      <c r="L4098" s="1" t="s">
        <v>433</v>
      </c>
      <c r="M4098">
        <v>0</v>
      </c>
      <c r="N4098">
        <v>0</v>
      </c>
      <c r="O4098">
        <v>585810.5</v>
      </c>
      <c r="P4098">
        <v>2</v>
      </c>
      <c r="Q4098" s="1" t="s">
        <v>569</v>
      </c>
      <c r="R4098" s="93">
        <v>58581.05</v>
      </c>
      <c r="S4098">
        <v>27474.53</v>
      </c>
      <c r="T4098">
        <v>1</v>
      </c>
      <c r="U4098" s="1" t="s">
        <v>1115</v>
      </c>
      <c r="V4098" s="1"/>
      <c r="W4098">
        <v>58581.052539999997</v>
      </c>
      <c r="X4098">
        <v>0</v>
      </c>
      <c r="Y4098">
        <v>70990</v>
      </c>
    </row>
    <row r="4099" spans="1:25" ht="15" hidden="1" customHeight="1" x14ac:dyDescent="0.25">
      <c r="A4099" s="1" t="s">
        <v>39</v>
      </c>
      <c r="B4099" s="1" t="s">
        <v>84</v>
      </c>
      <c r="C4099" s="1" t="s">
        <v>209</v>
      </c>
      <c r="D4099">
        <v>8933</v>
      </c>
      <c r="E4099" s="1" t="s">
        <v>243</v>
      </c>
      <c r="F4099" s="1" t="s">
        <v>390</v>
      </c>
      <c r="G4099" s="1" t="s">
        <v>209</v>
      </c>
      <c r="H4099" s="1" t="s">
        <v>1404</v>
      </c>
      <c r="I4099">
        <v>2009</v>
      </c>
      <c r="J4099" s="93">
        <v>25365.61</v>
      </c>
      <c r="K4099">
        <v>11</v>
      </c>
      <c r="L4099" s="1" t="s">
        <v>433</v>
      </c>
      <c r="M4099">
        <v>0</v>
      </c>
      <c r="N4099">
        <v>0</v>
      </c>
      <c r="O4099">
        <v>253656.1</v>
      </c>
      <c r="P4099">
        <v>2</v>
      </c>
      <c r="Q4099" s="1" t="s">
        <v>569</v>
      </c>
      <c r="R4099" s="93">
        <v>25365.61</v>
      </c>
      <c r="S4099">
        <v>11896.47</v>
      </c>
      <c r="T4099">
        <v>1</v>
      </c>
      <c r="U4099" s="1" t="s">
        <v>1119</v>
      </c>
      <c r="V4099" s="1"/>
      <c r="W4099">
        <v>25365.607370000002</v>
      </c>
      <c r="X4099">
        <v>0</v>
      </c>
      <c r="Y4099">
        <v>70992</v>
      </c>
    </row>
    <row r="4100" spans="1:25" ht="15" hidden="1" customHeight="1" x14ac:dyDescent="0.25">
      <c r="A4100" s="1" t="s">
        <v>39</v>
      </c>
      <c r="B4100" s="1" t="s">
        <v>84</v>
      </c>
      <c r="C4100" s="1" t="s">
        <v>209</v>
      </c>
      <c r="D4100">
        <v>8933</v>
      </c>
      <c r="E4100" s="1" t="s">
        <v>243</v>
      </c>
      <c r="F4100" s="1" t="s">
        <v>390</v>
      </c>
      <c r="G4100" s="1" t="s">
        <v>209</v>
      </c>
      <c r="H4100" s="1" t="s">
        <v>1404</v>
      </c>
      <c r="I4100">
        <v>2009</v>
      </c>
      <c r="J4100" s="93">
        <v>11948.72</v>
      </c>
      <c r="K4100">
        <v>10</v>
      </c>
      <c r="L4100" s="1" t="s">
        <v>548</v>
      </c>
      <c r="M4100">
        <v>0</v>
      </c>
      <c r="N4100">
        <v>0</v>
      </c>
      <c r="O4100">
        <v>119487.2</v>
      </c>
      <c r="P4100">
        <v>2</v>
      </c>
      <c r="Q4100" s="1" t="s">
        <v>569</v>
      </c>
      <c r="R4100" s="93">
        <v>11948.72</v>
      </c>
      <c r="S4100">
        <v>5603.93</v>
      </c>
      <c r="T4100">
        <v>1</v>
      </c>
      <c r="U4100" s="1" t="s">
        <v>1123</v>
      </c>
      <c r="V4100" s="1"/>
      <c r="W4100">
        <v>11948.713369999999</v>
      </c>
      <c r="X4100">
        <v>0</v>
      </c>
      <c r="Y4100">
        <v>70993</v>
      </c>
    </row>
    <row r="4101" spans="1:25" ht="15" hidden="1" customHeight="1" x14ac:dyDescent="0.25">
      <c r="A4101" s="1" t="s">
        <v>39</v>
      </c>
      <c r="B4101" s="1" t="s">
        <v>84</v>
      </c>
      <c r="C4101" s="1" t="s">
        <v>209</v>
      </c>
      <c r="D4101">
        <v>8933</v>
      </c>
      <c r="E4101" s="1" t="s">
        <v>243</v>
      </c>
      <c r="F4101" s="1" t="s">
        <v>390</v>
      </c>
      <c r="G4101" s="1" t="s">
        <v>209</v>
      </c>
      <c r="H4101" s="1" t="s">
        <v>1404</v>
      </c>
      <c r="I4101">
        <v>2009</v>
      </c>
      <c r="J4101" s="93">
        <v>5833.14</v>
      </c>
      <c r="K4101">
        <v>11</v>
      </c>
      <c r="L4101" s="1" t="s">
        <v>550</v>
      </c>
      <c r="M4101">
        <v>0</v>
      </c>
      <c r="N4101">
        <v>0</v>
      </c>
      <c r="O4101">
        <v>58331.4</v>
      </c>
      <c r="P4101">
        <v>2</v>
      </c>
      <c r="Q4101" s="1" t="s">
        <v>569</v>
      </c>
      <c r="R4101" s="93">
        <v>5833.14</v>
      </c>
      <c r="S4101">
        <v>2735.72</v>
      </c>
      <c r="T4101">
        <v>1</v>
      </c>
      <c r="U4101" s="1" t="s">
        <v>1126</v>
      </c>
      <c r="V4101" s="1"/>
      <c r="W4101">
        <v>5833.1087399999997</v>
      </c>
      <c r="X4101">
        <v>0</v>
      </c>
      <c r="Y4101">
        <v>70995</v>
      </c>
    </row>
    <row r="4102" spans="1:25" ht="15" hidden="1" customHeight="1" x14ac:dyDescent="0.25">
      <c r="A4102" s="1" t="s">
        <v>39</v>
      </c>
      <c r="B4102" s="1" t="s">
        <v>84</v>
      </c>
      <c r="C4102" s="1" t="s">
        <v>209</v>
      </c>
      <c r="D4102">
        <v>8933</v>
      </c>
      <c r="E4102" s="1" t="s">
        <v>243</v>
      </c>
      <c r="F4102" s="1" t="s">
        <v>390</v>
      </c>
      <c r="G4102" s="1" t="s">
        <v>209</v>
      </c>
      <c r="H4102" s="1" t="s">
        <v>1404</v>
      </c>
      <c r="I4102">
        <v>2009</v>
      </c>
      <c r="J4102" s="93">
        <v>30153</v>
      </c>
      <c r="K4102">
        <v>11</v>
      </c>
      <c r="L4102" s="1" t="s">
        <v>433</v>
      </c>
      <c r="M4102">
        <v>0</v>
      </c>
      <c r="N4102">
        <v>0</v>
      </c>
      <c r="O4102">
        <v>301530</v>
      </c>
      <c r="P4102">
        <v>2</v>
      </c>
      <c r="Q4102" s="1" t="s">
        <v>569</v>
      </c>
      <c r="R4102" s="93">
        <v>30153</v>
      </c>
      <c r="S4102">
        <v>14141.76</v>
      </c>
      <c r="T4102">
        <v>1</v>
      </c>
      <c r="U4102" s="1" t="s">
        <v>1117</v>
      </c>
      <c r="V4102" s="1"/>
      <c r="W4102">
        <v>30153.010139999999</v>
      </c>
      <c r="X4102">
        <v>0</v>
      </c>
      <c r="Y4102">
        <v>70998</v>
      </c>
    </row>
    <row r="4103" spans="1:25" ht="15" hidden="1" customHeight="1" x14ac:dyDescent="0.25">
      <c r="A4103" s="1" t="s">
        <v>39</v>
      </c>
      <c r="B4103" s="1" t="s">
        <v>84</v>
      </c>
      <c r="C4103" s="1" t="s">
        <v>209</v>
      </c>
      <c r="D4103">
        <v>8933</v>
      </c>
      <c r="E4103" s="1" t="s">
        <v>243</v>
      </c>
      <c r="F4103" s="1" t="s">
        <v>390</v>
      </c>
      <c r="G4103" s="1" t="s">
        <v>209</v>
      </c>
      <c r="H4103" s="1" t="s">
        <v>1404</v>
      </c>
      <c r="I4103">
        <v>2009</v>
      </c>
      <c r="J4103" s="93">
        <v>52905.96</v>
      </c>
      <c r="K4103">
        <v>11</v>
      </c>
      <c r="L4103" s="1" t="s">
        <v>433</v>
      </c>
      <c r="M4103">
        <v>0</v>
      </c>
      <c r="N4103">
        <v>0</v>
      </c>
      <c r="O4103">
        <v>529059.6</v>
      </c>
      <c r="P4103">
        <v>2</v>
      </c>
      <c r="Q4103" s="1" t="s">
        <v>569</v>
      </c>
      <c r="R4103" s="93">
        <v>52905.96</v>
      </c>
      <c r="S4103">
        <v>24812.89</v>
      </c>
      <c r="T4103">
        <v>1</v>
      </c>
      <c r="U4103" s="1" t="s">
        <v>1122</v>
      </c>
      <c r="V4103" s="1"/>
      <c r="W4103">
        <v>52905.954850000002</v>
      </c>
      <c r="X4103">
        <v>0</v>
      </c>
      <c r="Y4103">
        <v>77913</v>
      </c>
    </row>
    <row r="4104" spans="1:25" ht="15" hidden="1" customHeight="1" x14ac:dyDescent="0.25">
      <c r="A4104" s="1" t="s">
        <v>39</v>
      </c>
      <c r="B4104" s="1" t="s">
        <v>84</v>
      </c>
      <c r="C4104" s="1" t="s">
        <v>209</v>
      </c>
      <c r="D4104">
        <v>8933</v>
      </c>
      <c r="E4104" s="1" t="s">
        <v>243</v>
      </c>
      <c r="F4104" s="1" t="s">
        <v>390</v>
      </c>
      <c r="G4104" s="1" t="s">
        <v>209</v>
      </c>
      <c r="H4104" s="1" t="s">
        <v>1404</v>
      </c>
      <c r="I4104">
        <v>2008</v>
      </c>
      <c r="J4104" s="93">
        <v>19807.349999999999</v>
      </c>
      <c r="K4104">
        <v>12</v>
      </c>
      <c r="L4104" s="1" t="s">
        <v>549</v>
      </c>
      <c r="M4104">
        <v>0</v>
      </c>
      <c r="N4104">
        <v>0</v>
      </c>
      <c r="O4104">
        <v>198073.5</v>
      </c>
      <c r="P4104">
        <v>2</v>
      </c>
      <c r="Q4104" s="1" t="s">
        <v>569</v>
      </c>
      <c r="R4104" s="93">
        <v>19807.349999999999</v>
      </c>
      <c r="S4104">
        <v>9289.64</v>
      </c>
      <c r="T4104">
        <v>1</v>
      </c>
      <c r="U4104" s="1" t="s">
        <v>1124</v>
      </c>
      <c r="V4104" s="1"/>
      <c r="W4104">
        <v>19807.35053</v>
      </c>
      <c r="X4104">
        <v>0</v>
      </c>
      <c r="Y4104">
        <v>70991</v>
      </c>
    </row>
    <row r="4105" spans="1:25" ht="15" hidden="1" customHeight="1" x14ac:dyDescent="0.25">
      <c r="A4105" s="1" t="s">
        <v>39</v>
      </c>
      <c r="B4105" s="1" t="s">
        <v>84</v>
      </c>
      <c r="C4105" s="1" t="s">
        <v>209</v>
      </c>
      <c r="D4105">
        <v>8933</v>
      </c>
      <c r="E4105" s="1" t="s">
        <v>243</v>
      </c>
      <c r="F4105" s="1" t="s">
        <v>390</v>
      </c>
      <c r="G4105" s="1" t="s">
        <v>209</v>
      </c>
      <c r="H4105" s="1" t="s">
        <v>1404</v>
      </c>
      <c r="I4105">
        <v>2008</v>
      </c>
      <c r="J4105" s="93">
        <v>7230.21</v>
      </c>
      <c r="K4105">
        <v>11</v>
      </c>
      <c r="L4105" s="1" t="s">
        <v>548</v>
      </c>
      <c r="M4105">
        <v>0</v>
      </c>
      <c r="N4105">
        <v>0</v>
      </c>
      <c r="O4105">
        <v>72302.100000000006</v>
      </c>
      <c r="P4105">
        <v>2</v>
      </c>
      <c r="Q4105" s="1" t="s">
        <v>569</v>
      </c>
      <c r="R4105" s="93">
        <v>7230.21</v>
      </c>
      <c r="S4105">
        <v>3390.95</v>
      </c>
      <c r="T4105">
        <v>1</v>
      </c>
      <c r="U4105" s="1" t="s">
        <v>1123</v>
      </c>
      <c r="V4105" s="1"/>
      <c r="W4105">
        <v>7230.19139</v>
      </c>
      <c r="X4105">
        <v>0</v>
      </c>
      <c r="Y4105">
        <v>70993</v>
      </c>
    </row>
    <row r="4106" spans="1:25" ht="15" hidden="1" customHeight="1" x14ac:dyDescent="0.25">
      <c r="A4106" s="1" t="s">
        <v>39</v>
      </c>
      <c r="B4106" s="1" t="s">
        <v>84</v>
      </c>
      <c r="C4106" s="1" t="s">
        <v>209</v>
      </c>
      <c r="D4106">
        <v>8933</v>
      </c>
      <c r="E4106" s="1" t="s">
        <v>243</v>
      </c>
      <c r="F4106" s="1" t="s">
        <v>390</v>
      </c>
      <c r="G4106" s="1" t="s">
        <v>209</v>
      </c>
      <c r="H4106" s="1" t="s">
        <v>1404</v>
      </c>
      <c r="I4106">
        <v>2008</v>
      </c>
      <c r="J4106" s="93">
        <v>41958.49</v>
      </c>
      <c r="K4106">
        <v>12</v>
      </c>
      <c r="L4106" s="1" t="s">
        <v>433</v>
      </c>
      <c r="M4106">
        <v>0</v>
      </c>
      <c r="N4106">
        <v>0</v>
      </c>
      <c r="O4106">
        <v>419584.9</v>
      </c>
      <c r="P4106">
        <v>2</v>
      </c>
      <c r="Q4106" s="1" t="s">
        <v>569</v>
      </c>
      <c r="R4106" s="93">
        <v>41958.49</v>
      </c>
      <c r="S4106">
        <v>19678.52</v>
      </c>
      <c r="T4106">
        <v>1</v>
      </c>
      <c r="U4106" s="1" t="s">
        <v>1120</v>
      </c>
      <c r="V4106" s="1"/>
      <c r="W4106">
        <v>41958.494619999998</v>
      </c>
      <c r="X4106">
        <v>0</v>
      </c>
      <c r="Y4106">
        <v>70994</v>
      </c>
    </row>
    <row r="4107" spans="1:25" ht="15" hidden="1" customHeight="1" x14ac:dyDescent="0.25">
      <c r="A4107" s="1" t="s">
        <v>39</v>
      </c>
      <c r="B4107" s="1" t="s">
        <v>84</v>
      </c>
      <c r="C4107" s="1" t="s">
        <v>209</v>
      </c>
      <c r="D4107">
        <v>8933</v>
      </c>
      <c r="E4107" s="1" t="s">
        <v>243</v>
      </c>
      <c r="F4107" s="1" t="s">
        <v>390</v>
      </c>
      <c r="G4107" s="1" t="s">
        <v>209</v>
      </c>
      <c r="H4107" s="1" t="s">
        <v>1404</v>
      </c>
      <c r="I4107">
        <v>2008</v>
      </c>
      <c r="J4107" s="93">
        <v>11610.43</v>
      </c>
      <c r="K4107">
        <v>12</v>
      </c>
      <c r="L4107" s="1" t="s">
        <v>433</v>
      </c>
      <c r="M4107">
        <v>0</v>
      </c>
      <c r="N4107">
        <v>0</v>
      </c>
      <c r="O4107">
        <v>116104.3</v>
      </c>
      <c r="P4107">
        <v>2</v>
      </c>
      <c r="Q4107" s="1" t="s">
        <v>569</v>
      </c>
      <c r="R4107" s="93">
        <v>11610.43</v>
      </c>
      <c r="S4107">
        <v>5445.3</v>
      </c>
      <c r="T4107">
        <v>1</v>
      </c>
      <c r="U4107" s="1" t="s">
        <v>1116</v>
      </c>
      <c r="V4107" s="1"/>
      <c r="W4107">
        <v>11610.423650000001</v>
      </c>
      <c r="X4107">
        <v>0</v>
      </c>
      <c r="Y4107">
        <v>70996</v>
      </c>
    </row>
    <row r="4108" spans="1:25" ht="15" hidden="1" customHeight="1" x14ac:dyDescent="0.25">
      <c r="A4108" s="1" t="s">
        <v>39</v>
      </c>
      <c r="B4108" s="1" t="s">
        <v>84</v>
      </c>
      <c r="C4108" s="1" t="s">
        <v>209</v>
      </c>
      <c r="D4108">
        <v>8933</v>
      </c>
      <c r="E4108" s="1" t="s">
        <v>243</v>
      </c>
      <c r="F4108" s="1" t="s">
        <v>390</v>
      </c>
      <c r="G4108" s="1" t="s">
        <v>209</v>
      </c>
      <c r="H4108" s="1" t="s">
        <v>1404</v>
      </c>
      <c r="I4108">
        <v>2008</v>
      </c>
      <c r="J4108" s="93">
        <v>84398.19</v>
      </c>
      <c r="K4108">
        <v>12</v>
      </c>
      <c r="L4108" s="1" t="s">
        <v>549</v>
      </c>
      <c r="M4108">
        <v>0</v>
      </c>
      <c r="N4108">
        <v>0</v>
      </c>
      <c r="O4108">
        <v>843981.9</v>
      </c>
      <c r="P4108">
        <v>2</v>
      </c>
      <c r="Q4108" s="1" t="s">
        <v>569</v>
      </c>
      <c r="R4108" s="93">
        <v>84398.19</v>
      </c>
      <c r="S4108">
        <v>39582.74</v>
      </c>
      <c r="T4108">
        <v>1</v>
      </c>
      <c r="U4108" s="1" t="s">
        <v>1125</v>
      </c>
      <c r="V4108" s="1"/>
      <c r="W4108">
        <v>84398.182790000006</v>
      </c>
      <c r="X4108">
        <v>0</v>
      </c>
      <c r="Y4108">
        <v>70999</v>
      </c>
    </row>
    <row r="4109" spans="1:25" ht="15" hidden="1" customHeight="1" x14ac:dyDescent="0.25">
      <c r="A4109" s="1" t="s">
        <v>39</v>
      </c>
      <c r="B4109" s="1" t="s">
        <v>84</v>
      </c>
      <c r="C4109" s="1" t="s">
        <v>209</v>
      </c>
      <c r="D4109">
        <v>8933</v>
      </c>
      <c r="E4109" s="1" t="s">
        <v>243</v>
      </c>
      <c r="F4109" s="1" t="s">
        <v>390</v>
      </c>
      <c r="G4109" s="1" t="s">
        <v>209</v>
      </c>
      <c r="H4109" s="1" t="s">
        <v>1404</v>
      </c>
      <c r="I4109">
        <v>2008</v>
      </c>
      <c r="J4109" s="93">
        <v>25515.41</v>
      </c>
      <c r="K4109">
        <v>7</v>
      </c>
      <c r="L4109" s="1" t="s">
        <v>551</v>
      </c>
      <c r="M4109">
        <v>0</v>
      </c>
      <c r="N4109">
        <v>0</v>
      </c>
      <c r="O4109">
        <v>255154.1</v>
      </c>
      <c r="P4109">
        <v>2</v>
      </c>
      <c r="Q4109" s="1" t="s">
        <v>569</v>
      </c>
      <c r="R4109" s="93">
        <v>25515.41</v>
      </c>
      <c r="S4109">
        <v>11966.72</v>
      </c>
      <c r="T4109">
        <v>1</v>
      </c>
      <c r="U4109" s="1" t="s">
        <v>1122</v>
      </c>
      <c r="V4109" s="1"/>
      <c r="W4109">
        <v>25515.4</v>
      </c>
      <c r="X4109">
        <v>0</v>
      </c>
      <c r="Y4109">
        <v>70989</v>
      </c>
    </row>
    <row r="4110" spans="1:25" ht="15" hidden="1" customHeight="1" x14ac:dyDescent="0.25">
      <c r="A4110" s="1" t="s">
        <v>39</v>
      </c>
      <c r="B4110" s="1" t="s">
        <v>84</v>
      </c>
      <c r="C4110" s="1" t="s">
        <v>209</v>
      </c>
      <c r="D4110">
        <v>8933</v>
      </c>
      <c r="E4110" s="1" t="s">
        <v>243</v>
      </c>
      <c r="F4110" s="1" t="s">
        <v>390</v>
      </c>
      <c r="G4110" s="1" t="s">
        <v>209</v>
      </c>
      <c r="H4110" s="1" t="s">
        <v>1404</v>
      </c>
      <c r="I4110">
        <v>2008</v>
      </c>
      <c r="J4110" s="93">
        <v>73325.350000000006</v>
      </c>
      <c r="K4110">
        <v>12</v>
      </c>
      <c r="L4110" s="1" t="s">
        <v>433</v>
      </c>
      <c r="M4110">
        <v>0</v>
      </c>
      <c r="N4110">
        <v>0</v>
      </c>
      <c r="O4110">
        <v>733253.5</v>
      </c>
      <c r="P4110">
        <v>2</v>
      </c>
      <c r="Q4110" s="1" t="s">
        <v>569</v>
      </c>
      <c r="R4110" s="93">
        <v>73325.350000000006</v>
      </c>
      <c r="S4110">
        <v>34389.589999999997</v>
      </c>
      <c r="T4110">
        <v>1</v>
      </c>
      <c r="U4110" s="1" t="s">
        <v>1115</v>
      </c>
      <c r="V4110" s="1"/>
      <c r="W4110">
        <v>73325.356979999997</v>
      </c>
      <c r="X4110">
        <v>0</v>
      </c>
      <c r="Y4110">
        <v>70990</v>
      </c>
    </row>
    <row r="4111" spans="1:25" ht="15" hidden="1" customHeight="1" x14ac:dyDescent="0.25">
      <c r="A4111" s="1" t="s">
        <v>39</v>
      </c>
      <c r="B4111" s="1" t="s">
        <v>84</v>
      </c>
      <c r="C4111" s="1" t="s">
        <v>209</v>
      </c>
      <c r="D4111">
        <v>8933</v>
      </c>
      <c r="E4111" s="1" t="s">
        <v>243</v>
      </c>
      <c r="F4111" s="1" t="s">
        <v>390</v>
      </c>
      <c r="G4111" s="1" t="s">
        <v>209</v>
      </c>
      <c r="H4111" s="1" t="s">
        <v>1404</v>
      </c>
      <c r="I4111">
        <v>2008</v>
      </c>
      <c r="J4111" s="93">
        <v>40863.06</v>
      </c>
      <c r="K4111">
        <v>12</v>
      </c>
      <c r="L4111" s="1" t="s">
        <v>433</v>
      </c>
      <c r="M4111">
        <v>0</v>
      </c>
      <c r="N4111">
        <v>0</v>
      </c>
      <c r="O4111">
        <v>408630.6</v>
      </c>
      <c r="P4111">
        <v>2</v>
      </c>
      <c r="Q4111" s="1" t="s">
        <v>569</v>
      </c>
      <c r="R4111" s="93">
        <v>40863.06</v>
      </c>
      <c r="S4111">
        <v>19164.79</v>
      </c>
      <c r="T4111">
        <v>1</v>
      </c>
      <c r="U4111" s="1" t="s">
        <v>1119</v>
      </c>
      <c r="V4111" s="1"/>
      <c r="W4111">
        <v>40863.06884</v>
      </c>
      <c r="X4111">
        <v>0</v>
      </c>
      <c r="Y4111">
        <v>70992</v>
      </c>
    </row>
    <row r="4112" spans="1:25" ht="15" hidden="1" customHeight="1" x14ac:dyDescent="0.25">
      <c r="A4112" s="1" t="s">
        <v>39</v>
      </c>
      <c r="B4112" s="1" t="s">
        <v>84</v>
      </c>
      <c r="C4112" s="1" t="s">
        <v>209</v>
      </c>
      <c r="D4112">
        <v>8933</v>
      </c>
      <c r="E4112" s="1" t="s">
        <v>243</v>
      </c>
      <c r="F4112" s="1" t="s">
        <v>390</v>
      </c>
      <c r="G4112" s="1" t="s">
        <v>209</v>
      </c>
      <c r="H4112" s="1" t="s">
        <v>1404</v>
      </c>
      <c r="I4112">
        <v>2008</v>
      </c>
      <c r="J4112" s="93">
        <v>4475.1400000000003</v>
      </c>
      <c r="K4112">
        <v>12</v>
      </c>
      <c r="L4112" s="1" t="s">
        <v>550</v>
      </c>
      <c r="M4112">
        <v>0</v>
      </c>
      <c r="N4112">
        <v>0</v>
      </c>
      <c r="O4112">
        <v>44751.4</v>
      </c>
      <c r="P4112">
        <v>2</v>
      </c>
      <c r="Q4112" s="1" t="s">
        <v>569</v>
      </c>
      <c r="R4112" s="93">
        <v>4475.1400000000003</v>
      </c>
      <c r="S4112">
        <v>2098.84</v>
      </c>
      <c r="T4112">
        <v>1</v>
      </c>
      <c r="U4112" s="1" t="s">
        <v>1126</v>
      </c>
      <c r="V4112" s="1"/>
      <c r="W4112">
        <v>4475.1483799999996</v>
      </c>
      <c r="X4112">
        <v>0</v>
      </c>
      <c r="Y4112">
        <v>70995</v>
      </c>
    </row>
    <row r="4113" spans="1:25" ht="15" hidden="1" customHeight="1" x14ac:dyDescent="0.25">
      <c r="A4113" s="1" t="s">
        <v>39</v>
      </c>
      <c r="B4113" s="1" t="s">
        <v>84</v>
      </c>
      <c r="C4113" s="1" t="s">
        <v>209</v>
      </c>
      <c r="D4113">
        <v>8933</v>
      </c>
      <c r="E4113" s="1" t="s">
        <v>243</v>
      </c>
      <c r="F4113" s="1" t="s">
        <v>390</v>
      </c>
      <c r="G4113" s="1" t="s">
        <v>209</v>
      </c>
      <c r="H4113" s="1" t="s">
        <v>1404</v>
      </c>
      <c r="I4113">
        <v>2008</v>
      </c>
      <c r="J4113" s="93">
        <v>2384.67</v>
      </c>
      <c r="K4113">
        <v>12</v>
      </c>
      <c r="L4113" s="1" t="s">
        <v>433</v>
      </c>
      <c r="M4113">
        <v>0</v>
      </c>
      <c r="N4113">
        <v>0</v>
      </c>
      <c r="O4113">
        <v>23846.7</v>
      </c>
      <c r="P4113">
        <v>2</v>
      </c>
      <c r="Q4113" s="1" t="s">
        <v>569</v>
      </c>
      <c r="R4113" s="93">
        <v>2384.67</v>
      </c>
      <c r="S4113">
        <v>1118.3900000000001</v>
      </c>
      <c r="T4113">
        <v>1</v>
      </c>
      <c r="U4113" s="1" t="s">
        <v>1121</v>
      </c>
      <c r="V4113" s="1"/>
      <c r="W4113">
        <v>2384.6645100000001</v>
      </c>
      <c r="X4113">
        <v>0</v>
      </c>
      <c r="Y4113">
        <v>70997</v>
      </c>
    </row>
    <row r="4114" spans="1:25" ht="15" hidden="1" customHeight="1" x14ac:dyDescent="0.25">
      <c r="A4114" s="1" t="s">
        <v>39</v>
      </c>
      <c r="B4114" s="1" t="s">
        <v>84</v>
      </c>
      <c r="C4114" s="1" t="s">
        <v>209</v>
      </c>
      <c r="D4114">
        <v>8933</v>
      </c>
      <c r="E4114" s="1" t="s">
        <v>243</v>
      </c>
      <c r="F4114" s="1" t="s">
        <v>390</v>
      </c>
      <c r="G4114" s="1" t="s">
        <v>209</v>
      </c>
      <c r="H4114" s="1" t="s">
        <v>1404</v>
      </c>
      <c r="I4114">
        <v>2008</v>
      </c>
      <c r="J4114" s="93">
        <v>28167.040000000001</v>
      </c>
      <c r="K4114">
        <v>12</v>
      </c>
      <c r="L4114" s="1" t="s">
        <v>433</v>
      </c>
      <c r="M4114">
        <v>0</v>
      </c>
      <c r="N4114">
        <v>0</v>
      </c>
      <c r="O4114">
        <v>281670.40000000002</v>
      </c>
      <c r="P4114">
        <v>2</v>
      </c>
      <c r="Q4114" s="1" t="s">
        <v>569</v>
      </c>
      <c r="R4114" s="93">
        <v>28167.040000000001</v>
      </c>
      <c r="S4114">
        <v>13210.34</v>
      </c>
      <c r="T4114">
        <v>1</v>
      </c>
      <c r="U4114" s="1" t="s">
        <v>1117</v>
      </c>
      <c r="V4114" s="1"/>
      <c r="W4114">
        <v>28167.02795</v>
      </c>
      <c r="X4114">
        <v>0</v>
      </c>
      <c r="Y4114">
        <v>70998</v>
      </c>
    </row>
    <row r="4115" spans="1:25" ht="15" hidden="1" customHeight="1" x14ac:dyDescent="0.25">
      <c r="A4115" s="1" t="s">
        <v>39</v>
      </c>
      <c r="B4115" s="1" t="s">
        <v>84</v>
      </c>
      <c r="C4115" s="1" t="s">
        <v>209</v>
      </c>
      <c r="D4115">
        <v>8933</v>
      </c>
      <c r="E4115" s="1" t="s">
        <v>243</v>
      </c>
      <c r="F4115" s="1" t="s">
        <v>390</v>
      </c>
      <c r="G4115" s="1" t="s">
        <v>209</v>
      </c>
      <c r="H4115" s="1" t="s">
        <v>1404</v>
      </c>
      <c r="I4115">
        <v>2008</v>
      </c>
      <c r="J4115" s="93">
        <v>25429.65</v>
      </c>
      <c r="K4115">
        <v>7</v>
      </c>
      <c r="L4115" s="1" t="s">
        <v>433</v>
      </c>
      <c r="M4115">
        <v>0</v>
      </c>
      <c r="N4115">
        <v>0</v>
      </c>
      <c r="O4115">
        <v>254296.5</v>
      </c>
      <c r="P4115">
        <v>2</v>
      </c>
      <c r="Q4115" s="1" t="s">
        <v>569</v>
      </c>
      <c r="R4115" s="93">
        <v>25429.65</v>
      </c>
      <c r="S4115">
        <v>11926.51</v>
      </c>
      <c r="T4115">
        <v>1</v>
      </c>
      <c r="U4115" s="1" t="s">
        <v>1122</v>
      </c>
      <c r="V4115" s="1"/>
      <c r="W4115">
        <v>25429.64516</v>
      </c>
      <c r="X4115">
        <v>0</v>
      </c>
      <c r="Y4115">
        <v>77913</v>
      </c>
    </row>
    <row r="4116" spans="1:25" ht="15" hidden="1" customHeight="1" x14ac:dyDescent="0.25">
      <c r="A4116" s="1" t="s">
        <v>39</v>
      </c>
      <c r="B4116" s="1" t="s">
        <v>84</v>
      </c>
      <c r="C4116" s="1" t="s">
        <v>209</v>
      </c>
      <c r="D4116">
        <v>8878</v>
      </c>
      <c r="E4116" s="1"/>
      <c r="F4116" s="1" t="s">
        <v>347</v>
      </c>
      <c r="G4116" s="1" t="s">
        <v>209</v>
      </c>
      <c r="H4116" s="1" t="s">
        <v>1405</v>
      </c>
      <c r="I4116">
        <v>2015</v>
      </c>
      <c r="J4116" s="93">
        <v>539092</v>
      </c>
      <c r="K4116">
        <v>5</v>
      </c>
      <c r="L4116" s="1"/>
      <c r="M4116">
        <v>0</v>
      </c>
      <c r="N4116">
        <v>3615</v>
      </c>
      <c r="O4116">
        <v>58.537711000000002</v>
      </c>
      <c r="P4116">
        <v>2</v>
      </c>
      <c r="Q4116" s="1" t="s">
        <v>569</v>
      </c>
      <c r="R4116" s="93">
        <v>211619.68</v>
      </c>
      <c r="S4116">
        <v>63485.9</v>
      </c>
      <c r="T4116">
        <v>0</v>
      </c>
      <c r="U4116" s="1" t="s">
        <v>1127</v>
      </c>
      <c r="V4116" s="1" t="s">
        <v>1244</v>
      </c>
      <c r="W4116">
        <v>211619.68</v>
      </c>
      <c r="X4116">
        <v>0</v>
      </c>
      <c r="Y4116">
        <v>76947</v>
      </c>
    </row>
    <row r="4117" spans="1:25" ht="15" hidden="1" customHeight="1" x14ac:dyDescent="0.25">
      <c r="A4117" s="1" t="s">
        <v>39</v>
      </c>
      <c r="B4117" s="1" t="s">
        <v>84</v>
      </c>
      <c r="C4117" s="1" t="s">
        <v>209</v>
      </c>
      <c r="D4117">
        <v>8878</v>
      </c>
      <c r="E4117" s="1"/>
      <c r="F4117" s="1" t="s">
        <v>347</v>
      </c>
      <c r="G4117" s="1" t="s">
        <v>209</v>
      </c>
      <c r="H4117" s="1" t="s">
        <v>1405</v>
      </c>
      <c r="I4117">
        <v>2013</v>
      </c>
      <c r="J4117" s="93">
        <v>440955.34</v>
      </c>
      <c r="K4117">
        <v>12</v>
      </c>
      <c r="L4117" s="1"/>
      <c r="M4117">
        <v>0</v>
      </c>
      <c r="N4117">
        <v>3615</v>
      </c>
      <c r="O4117">
        <v>121.975973</v>
      </c>
      <c r="P4117">
        <v>2</v>
      </c>
      <c r="Q4117" s="1" t="s">
        <v>569</v>
      </c>
      <c r="R4117" s="93">
        <v>440955.34</v>
      </c>
      <c r="S4117">
        <v>132286.60999999999</v>
      </c>
      <c r="T4117">
        <v>0</v>
      </c>
      <c r="U4117" s="1" t="s">
        <v>1127</v>
      </c>
      <c r="V4117" s="1" t="s">
        <v>1244</v>
      </c>
      <c r="W4117">
        <v>440955.34</v>
      </c>
      <c r="X4117">
        <v>0</v>
      </c>
      <c r="Y4117">
        <v>76947</v>
      </c>
    </row>
    <row r="4118" spans="1:25" ht="15" hidden="1" customHeight="1" x14ac:dyDescent="0.25">
      <c r="A4118" s="1" t="s">
        <v>39</v>
      </c>
      <c r="B4118" s="1" t="s">
        <v>84</v>
      </c>
      <c r="C4118" s="1" t="s">
        <v>209</v>
      </c>
      <c r="D4118">
        <v>8878</v>
      </c>
      <c r="E4118" s="1"/>
      <c r="F4118" s="1" t="s">
        <v>347</v>
      </c>
      <c r="G4118" s="1" t="s">
        <v>209</v>
      </c>
      <c r="H4118" s="1" t="s">
        <v>1405</v>
      </c>
      <c r="I4118">
        <v>2012</v>
      </c>
      <c r="J4118" s="93">
        <v>441422.13</v>
      </c>
      <c r="K4118">
        <v>12</v>
      </c>
      <c r="L4118" s="1"/>
      <c r="M4118">
        <v>0</v>
      </c>
      <c r="N4118">
        <v>3615</v>
      </c>
      <c r="O4118">
        <v>122.10509500000001</v>
      </c>
      <c r="P4118">
        <v>2</v>
      </c>
      <c r="Q4118" s="1" t="s">
        <v>569</v>
      </c>
      <c r="R4118" s="93">
        <v>441422.13</v>
      </c>
      <c r="S4118">
        <v>176568.86</v>
      </c>
      <c r="T4118">
        <v>0</v>
      </c>
      <c r="U4118" s="1" t="s">
        <v>1127</v>
      </c>
      <c r="V4118" s="1" t="s">
        <v>1244</v>
      </c>
      <c r="W4118">
        <v>441422.13</v>
      </c>
      <c r="X4118">
        <v>0</v>
      </c>
      <c r="Y4118">
        <v>76947</v>
      </c>
    </row>
    <row r="4119" spans="1:25" ht="15" hidden="1" customHeight="1" x14ac:dyDescent="0.25">
      <c r="A4119" s="1" t="s">
        <v>39</v>
      </c>
      <c r="B4119" s="1" t="s">
        <v>84</v>
      </c>
      <c r="C4119" s="1" t="s">
        <v>209</v>
      </c>
      <c r="D4119">
        <v>8878</v>
      </c>
      <c r="E4119" s="1"/>
      <c r="F4119" s="1" t="s">
        <v>347</v>
      </c>
      <c r="G4119" s="1" t="s">
        <v>209</v>
      </c>
      <c r="H4119" s="1" t="s">
        <v>1405</v>
      </c>
      <c r="I4119">
        <v>2011</v>
      </c>
      <c r="J4119" s="93">
        <v>483448.52</v>
      </c>
      <c r="K4119">
        <v>12</v>
      </c>
      <c r="L4119" s="1"/>
      <c r="M4119">
        <v>0</v>
      </c>
      <c r="N4119">
        <v>3615</v>
      </c>
      <c r="O4119">
        <v>133.73033100000001</v>
      </c>
      <c r="P4119">
        <v>2</v>
      </c>
      <c r="Q4119" s="1" t="s">
        <v>569</v>
      </c>
      <c r="R4119" s="93">
        <v>483448.52</v>
      </c>
      <c r="S4119">
        <v>226737.36</v>
      </c>
      <c r="T4119">
        <v>0</v>
      </c>
      <c r="U4119" s="1" t="s">
        <v>1127</v>
      </c>
      <c r="V4119" s="1" t="s">
        <v>1244</v>
      </c>
      <c r="W4119">
        <v>483448.52</v>
      </c>
      <c r="X4119">
        <v>0</v>
      </c>
      <c r="Y4119">
        <v>76947</v>
      </c>
    </row>
    <row r="4120" spans="1:25" ht="15" hidden="1" customHeight="1" x14ac:dyDescent="0.25">
      <c r="A4120" s="1" t="s">
        <v>39</v>
      </c>
      <c r="B4120" s="1" t="s">
        <v>84</v>
      </c>
      <c r="C4120" s="1" t="s">
        <v>209</v>
      </c>
      <c r="D4120">
        <v>8878</v>
      </c>
      <c r="E4120" s="1"/>
      <c r="F4120" s="1" t="s">
        <v>347</v>
      </c>
      <c r="G4120" s="1" t="s">
        <v>209</v>
      </c>
      <c r="H4120" s="1" t="s">
        <v>1405</v>
      </c>
      <c r="I4120">
        <v>2010</v>
      </c>
      <c r="J4120" s="93">
        <v>521742.78</v>
      </c>
      <c r="K4120">
        <v>12</v>
      </c>
      <c r="L4120" s="1"/>
      <c r="M4120">
        <v>0</v>
      </c>
      <c r="N4120">
        <v>3615</v>
      </c>
      <c r="O4120">
        <v>144.323194</v>
      </c>
      <c r="P4120">
        <v>2</v>
      </c>
      <c r="Q4120" s="1" t="s">
        <v>569</v>
      </c>
      <c r="R4120" s="93">
        <v>521742.78</v>
      </c>
      <c r="S4120">
        <v>244697.37</v>
      </c>
      <c r="T4120">
        <v>0</v>
      </c>
      <c r="U4120" s="1" t="s">
        <v>1127</v>
      </c>
      <c r="V4120" s="1" t="s">
        <v>1244</v>
      </c>
      <c r="W4120">
        <v>521742.78</v>
      </c>
      <c r="X4120">
        <v>0</v>
      </c>
      <c r="Y4120">
        <v>76947</v>
      </c>
    </row>
    <row r="4121" spans="1:25" ht="15" hidden="1" customHeight="1" x14ac:dyDescent="0.25">
      <c r="A4121" s="1" t="s">
        <v>39</v>
      </c>
      <c r="B4121" s="1" t="s">
        <v>84</v>
      </c>
      <c r="C4121" s="1" t="s">
        <v>209</v>
      </c>
      <c r="D4121">
        <v>8878</v>
      </c>
      <c r="E4121" s="1"/>
      <c r="F4121" s="1" t="s">
        <v>347</v>
      </c>
      <c r="G4121" s="1" t="s">
        <v>209</v>
      </c>
      <c r="H4121" s="1" t="s">
        <v>1405</v>
      </c>
      <c r="I4121">
        <v>2009</v>
      </c>
      <c r="J4121" s="93">
        <v>560250.12</v>
      </c>
      <c r="K4121">
        <v>12</v>
      </c>
      <c r="L4121" s="1"/>
      <c r="M4121">
        <v>0</v>
      </c>
      <c r="N4121">
        <v>3615</v>
      </c>
      <c r="O4121">
        <v>154.974999</v>
      </c>
      <c r="P4121">
        <v>2</v>
      </c>
      <c r="Q4121" s="1" t="s">
        <v>569</v>
      </c>
      <c r="R4121" s="93">
        <v>560250.12</v>
      </c>
      <c r="S4121">
        <v>262757.33</v>
      </c>
      <c r="T4121">
        <v>0</v>
      </c>
      <c r="U4121" s="1" t="s">
        <v>1127</v>
      </c>
      <c r="V4121" s="1" t="s">
        <v>1244</v>
      </c>
      <c r="W4121">
        <v>560250.12</v>
      </c>
      <c r="X4121">
        <v>0</v>
      </c>
      <c r="Y4121">
        <v>76947</v>
      </c>
    </row>
    <row r="4122" spans="1:25" ht="15" hidden="1" customHeight="1" x14ac:dyDescent="0.25">
      <c r="A4122" s="1" t="s">
        <v>39</v>
      </c>
      <c r="B4122" s="1" t="s">
        <v>84</v>
      </c>
      <c r="C4122" s="1" t="s">
        <v>209</v>
      </c>
      <c r="D4122">
        <v>8878</v>
      </c>
      <c r="E4122" s="1"/>
      <c r="F4122" s="1" t="s">
        <v>347</v>
      </c>
      <c r="G4122" s="1" t="s">
        <v>209</v>
      </c>
      <c r="H4122" s="1" t="s">
        <v>1405</v>
      </c>
      <c r="I4122">
        <v>2008</v>
      </c>
      <c r="J4122" s="93">
        <v>374960.01</v>
      </c>
      <c r="K4122">
        <v>8</v>
      </c>
      <c r="L4122" s="1"/>
      <c r="M4122">
        <v>0</v>
      </c>
      <c r="N4122">
        <v>3615</v>
      </c>
      <c r="O4122">
        <v>103.720508</v>
      </c>
      <c r="P4122">
        <v>2</v>
      </c>
      <c r="Q4122" s="1" t="s">
        <v>569</v>
      </c>
      <c r="R4122" s="93">
        <v>374960.01</v>
      </c>
      <c r="S4122">
        <v>175856.23</v>
      </c>
      <c r="T4122">
        <v>0</v>
      </c>
      <c r="U4122" s="1" t="s">
        <v>1127</v>
      </c>
      <c r="V4122" s="1" t="s">
        <v>1244</v>
      </c>
      <c r="W4122">
        <v>374960.01</v>
      </c>
      <c r="X4122">
        <v>0</v>
      </c>
      <c r="Y4122">
        <v>76947</v>
      </c>
    </row>
    <row r="4123" spans="1:25" ht="15" hidden="1" customHeight="1" x14ac:dyDescent="0.25">
      <c r="A4123" s="1" t="s">
        <v>39</v>
      </c>
      <c r="B4123" s="1" t="s">
        <v>84</v>
      </c>
      <c r="C4123" s="1" t="s">
        <v>209</v>
      </c>
      <c r="D4123">
        <v>8878</v>
      </c>
      <c r="E4123" s="1"/>
      <c r="F4123" s="1" t="s">
        <v>347</v>
      </c>
      <c r="G4123" s="1" t="s">
        <v>209</v>
      </c>
      <c r="H4123" s="1" t="s">
        <v>1405</v>
      </c>
      <c r="I4123">
        <v>2008</v>
      </c>
      <c r="J4123" s="93">
        <v>218071.2</v>
      </c>
      <c r="K4123">
        <v>5</v>
      </c>
      <c r="L4123" s="1" t="s">
        <v>455</v>
      </c>
      <c r="M4123">
        <v>0</v>
      </c>
      <c r="N4123">
        <v>3615</v>
      </c>
      <c r="O4123">
        <v>60.322313999999999</v>
      </c>
      <c r="P4123">
        <v>2</v>
      </c>
      <c r="Q4123" s="1" t="s">
        <v>569</v>
      </c>
      <c r="R4123" s="93">
        <v>218071.2</v>
      </c>
      <c r="S4123">
        <v>102275.4</v>
      </c>
      <c r="T4123">
        <v>0</v>
      </c>
      <c r="U4123" s="1" t="s">
        <v>1127</v>
      </c>
      <c r="V4123" s="1"/>
      <c r="W4123">
        <v>218071.2</v>
      </c>
      <c r="X4123">
        <v>0</v>
      </c>
      <c r="Y4123">
        <v>70698</v>
      </c>
    </row>
    <row r="4124" spans="1:25" ht="15" hidden="1" customHeight="1" x14ac:dyDescent="0.25">
      <c r="A4124" s="1" t="s">
        <v>39</v>
      </c>
      <c r="B4124" s="1" t="s">
        <v>84</v>
      </c>
      <c r="C4124" s="1" t="s">
        <v>209</v>
      </c>
      <c r="D4124">
        <v>8880</v>
      </c>
      <c r="E4124" s="1" t="s">
        <v>243</v>
      </c>
      <c r="F4124" s="1" t="s">
        <v>366</v>
      </c>
      <c r="G4124" s="1" t="s">
        <v>209</v>
      </c>
      <c r="H4124" s="1" t="s">
        <v>1396</v>
      </c>
      <c r="I4124">
        <v>2014</v>
      </c>
      <c r="J4124" s="93">
        <v>183787.08</v>
      </c>
      <c r="K4124">
        <v>15</v>
      </c>
      <c r="L4124" s="1" t="s">
        <v>499</v>
      </c>
      <c r="M4124">
        <v>0</v>
      </c>
      <c r="N4124">
        <v>0</v>
      </c>
      <c r="O4124">
        <v>1837870.8</v>
      </c>
      <c r="P4124">
        <v>1</v>
      </c>
      <c r="Q4124" s="1" t="s">
        <v>568</v>
      </c>
      <c r="R4124" s="93">
        <v>210738.97</v>
      </c>
      <c r="S4124">
        <v>0</v>
      </c>
      <c r="T4124">
        <v>1</v>
      </c>
      <c r="U4124" s="1" t="s">
        <v>897</v>
      </c>
      <c r="V4124" s="1"/>
      <c r="W4124">
        <v>183787.05880999999</v>
      </c>
      <c r="X4124">
        <v>0</v>
      </c>
      <c r="Y4124">
        <v>95759</v>
      </c>
    </row>
    <row r="4125" spans="1:25" ht="15" hidden="1" customHeight="1" x14ac:dyDescent="0.25">
      <c r="A4125" s="1" t="s">
        <v>39</v>
      </c>
      <c r="B4125" s="1" t="s">
        <v>84</v>
      </c>
      <c r="C4125" s="1" t="s">
        <v>209</v>
      </c>
      <c r="D4125">
        <v>8878</v>
      </c>
      <c r="E4125" s="1"/>
      <c r="F4125" s="1" t="s">
        <v>347</v>
      </c>
      <c r="G4125" s="1" t="s">
        <v>209</v>
      </c>
      <c r="H4125" s="1" t="s">
        <v>1396</v>
      </c>
      <c r="I4125">
        <v>2014</v>
      </c>
      <c r="J4125" s="93">
        <v>1222964.29</v>
      </c>
      <c r="K4125">
        <v>12</v>
      </c>
      <c r="L4125" s="1"/>
      <c r="M4125">
        <v>0</v>
      </c>
      <c r="N4125">
        <v>3615</v>
      </c>
      <c r="O4125">
        <v>338.29334999999998</v>
      </c>
      <c r="P4125">
        <v>1</v>
      </c>
      <c r="Q4125" s="1" t="s">
        <v>563</v>
      </c>
      <c r="R4125" s="93">
        <v>1379009.42</v>
      </c>
      <c r="S4125">
        <v>2529.56</v>
      </c>
      <c r="T4125">
        <v>1</v>
      </c>
      <c r="U4125" s="1"/>
      <c r="V4125" s="1"/>
      <c r="W4125">
        <v>35052</v>
      </c>
      <c r="X4125">
        <v>76948</v>
      </c>
      <c r="Y4125">
        <v>76949</v>
      </c>
    </row>
    <row r="4126" spans="1:25" ht="15" hidden="1" customHeight="1" x14ac:dyDescent="0.25">
      <c r="A4126" s="1" t="s">
        <v>39</v>
      </c>
      <c r="B4126" s="1" t="s">
        <v>84</v>
      </c>
      <c r="C4126" s="1" t="s">
        <v>209</v>
      </c>
      <c r="D4126">
        <v>8878</v>
      </c>
      <c r="E4126" s="1"/>
      <c r="F4126" s="1" t="s">
        <v>347</v>
      </c>
      <c r="G4126" s="1" t="s">
        <v>209</v>
      </c>
      <c r="H4126" s="1" t="s">
        <v>1405</v>
      </c>
      <c r="I4126">
        <v>2014</v>
      </c>
      <c r="J4126" s="93">
        <v>1148100</v>
      </c>
      <c r="K4126">
        <v>12</v>
      </c>
      <c r="L4126" s="1"/>
      <c r="M4126">
        <v>0</v>
      </c>
      <c r="N4126">
        <v>3615</v>
      </c>
      <c r="O4126">
        <v>317.58457499999997</v>
      </c>
      <c r="P4126">
        <v>1</v>
      </c>
      <c r="Q4126" s="1" t="s">
        <v>565</v>
      </c>
      <c r="R4126" s="93">
        <v>1296847.1299999999</v>
      </c>
      <c r="S4126">
        <v>82998.210000000006</v>
      </c>
      <c r="T4126">
        <v>0</v>
      </c>
      <c r="U4126" s="1" t="s">
        <v>900</v>
      </c>
      <c r="V4126" s="1"/>
      <c r="W4126">
        <v>1148.0999999999999</v>
      </c>
      <c r="X4126">
        <v>0</v>
      </c>
      <c r="Y4126">
        <v>76948</v>
      </c>
    </row>
    <row r="4127" spans="1:25" ht="15" hidden="1" customHeight="1" x14ac:dyDescent="0.25">
      <c r="A4127" s="1" t="s">
        <v>39</v>
      </c>
      <c r="B4127" s="1" t="s">
        <v>84</v>
      </c>
      <c r="C4127" s="1" t="s">
        <v>209</v>
      </c>
      <c r="D4127">
        <v>8932</v>
      </c>
      <c r="E4127" s="1" t="s">
        <v>243</v>
      </c>
      <c r="F4127" s="1" t="s">
        <v>346</v>
      </c>
      <c r="G4127" s="1" t="s">
        <v>209</v>
      </c>
      <c r="H4127" s="1" t="s">
        <v>1404</v>
      </c>
      <c r="I4127">
        <v>2014</v>
      </c>
      <c r="J4127" s="93">
        <v>0</v>
      </c>
      <c r="K4127">
        <v>12</v>
      </c>
      <c r="L4127" s="1" t="s">
        <v>433</v>
      </c>
      <c r="M4127">
        <v>0</v>
      </c>
      <c r="N4127">
        <v>0</v>
      </c>
      <c r="O4127">
        <v>0</v>
      </c>
      <c r="P4127">
        <v>3</v>
      </c>
      <c r="Q4127" s="1" t="s">
        <v>560</v>
      </c>
      <c r="R4127" s="93">
        <v>0</v>
      </c>
      <c r="S4127">
        <v>0</v>
      </c>
      <c r="T4127">
        <v>1</v>
      </c>
      <c r="U4127" s="1" t="s">
        <v>708</v>
      </c>
      <c r="V4127" s="1"/>
      <c r="W4127">
        <v>0</v>
      </c>
      <c r="X4127">
        <v>0</v>
      </c>
      <c r="Y4127">
        <v>70970</v>
      </c>
    </row>
    <row r="4128" spans="1:25" ht="15" hidden="1" customHeight="1" x14ac:dyDescent="0.25">
      <c r="A4128" s="1" t="s">
        <v>39</v>
      </c>
      <c r="B4128" s="1" t="s">
        <v>84</v>
      </c>
      <c r="C4128" s="1" t="s">
        <v>209</v>
      </c>
      <c r="D4128">
        <v>8932</v>
      </c>
      <c r="E4128" s="1" t="s">
        <v>243</v>
      </c>
      <c r="F4128" s="1" t="s">
        <v>346</v>
      </c>
      <c r="G4128" s="1" t="s">
        <v>209</v>
      </c>
      <c r="H4128" s="1" t="s">
        <v>1404</v>
      </c>
      <c r="I4128">
        <v>2014</v>
      </c>
      <c r="J4128" s="93">
        <v>349.92</v>
      </c>
      <c r="K4128">
        <v>12</v>
      </c>
      <c r="L4128" s="1" t="s">
        <v>433</v>
      </c>
      <c r="M4128">
        <v>0</v>
      </c>
      <c r="N4128">
        <v>0</v>
      </c>
      <c r="O4128">
        <v>3499.2</v>
      </c>
      <c r="P4128">
        <v>3</v>
      </c>
      <c r="Q4128" s="1" t="s">
        <v>560</v>
      </c>
      <c r="R4128" s="93">
        <v>349.92</v>
      </c>
      <c r="S4128">
        <v>279.95</v>
      </c>
      <c r="T4128">
        <v>1</v>
      </c>
      <c r="U4128" s="1" t="s">
        <v>709</v>
      </c>
      <c r="V4128" s="1"/>
      <c r="W4128">
        <v>349.92646000000002</v>
      </c>
      <c r="X4128">
        <v>0</v>
      </c>
      <c r="Y4128">
        <v>70972</v>
      </c>
    </row>
    <row r="4129" spans="1:25" ht="15" hidden="1" customHeight="1" x14ac:dyDescent="0.25">
      <c r="A4129" s="1" t="s">
        <v>39</v>
      </c>
      <c r="B4129" s="1" t="s">
        <v>84</v>
      </c>
      <c r="C4129" s="1" t="s">
        <v>209</v>
      </c>
      <c r="D4129">
        <v>8932</v>
      </c>
      <c r="E4129" s="1" t="s">
        <v>243</v>
      </c>
      <c r="F4129" s="1" t="s">
        <v>346</v>
      </c>
      <c r="G4129" s="1" t="s">
        <v>209</v>
      </c>
      <c r="H4129" s="1" t="s">
        <v>1404</v>
      </c>
      <c r="I4129">
        <v>2014</v>
      </c>
      <c r="J4129" s="93">
        <v>1865.21</v>
      </c>
      <c r="K4129">
        <v>12</v>
      </c>
      <c r="L4129" s="1" t="s">
        <v>433</v>
      </c>
      <c r="M4129">
        <v>0</v>
      </c>
      <c r="N4129">
        <v>0</v>
      </c>
      <c r="O4129">
        <v>18652.099999999999</v>
      </c>
      <c r="P4129">
        <v>3</v>
      </c>
      <c r="Q4129" s="1" t="s">
        <v>560</v>
      </c>
      <c r="R4129" s="93">
        <v>1865.21</v>
      </c>
      <c r="S4129">
        <v>1492.17</v>
      </c>
      <c r="T4129">
        <v>1</v>
      </c>
      <c r="U4129" s="1" t="s">
        <v>710</v>
      </c>
      <c r="V4129" s="1"/>
      <c r="W4129">
        <v>1865.21507</v>
      </c>
      <c r="X4129">
        <v>0</v>
      </c>
      <c r="Y4129">
        <v>70973</v>
      </c>
    </row>
    <row r="4130" spans="1:25" ht="15" hidden="1" customHeight="1" x14ac:dyDescent="0.25">
      <c r="A4130" s="1" t="s">
        <v>39</v>
      </c>
      <c r="B4130" s="1" t="s">
        <v>84</v>
      </c>
      <c r="C4130" s="1" t="s">
        <v>209</v>
      </c>
      <c r="D4130">
        <v>8932</v>
      </c>
      <c r="E4130" s="1" t="s">
        <v>243</v>
      </c>
      <c r="F4130" s="1" t="s">
        <v>346</v>
      </c>
      <c r="G4130" s="1" t="s">
        <v>209</v>
      </c>
      <c r="H4130" s="1" t="s">
        <v>1404</v>
      </c>
      <c r="I4130">
        <v>2014</v>
      </c>
      <c r="J4130" s="93">
        <v>902.44</v>
      </c>
      <c r="K4130">
        <v>12</v>
      </c>
      <c r="L4130" s="1" t="s">
        <v>433</v>
      </c>
      <c r="M4130">
        <v>0</v>
      </c>
      <c r="N4130">
        <v>0</v>
      </c>
      <c r="O4130">
        <v>9024.4</v>
      </c>
      <c r="P4130">
        <v>3</v>
      </c>
      <c r="Q4130" s="1" t="s">
        <v>560</v>
      </c>
      <c r="R4130" s="93">
        <v>902.44</v>
      </c>
      <c r="S4130">
        <v>0</v>
      </c>
      <c r="T4130">
        <v>1</v>
      </c>
      <c r="U4130" s="1" t="s">
        <v>711</v>
      </c>
      <c r="V4130" s="1"/>
      <c r="W4130">
        <v>902.45038</v>
      </c>
      <c r="X4130">
        <v>0</v>
      </c>
      <c r="Y4130">
        <v>70974</v>
      </c>
    </row>
    <row r="4131" spans="1:25" ht="15" hidden="1" customHeight="1" x14ac:dyDescent="0.25">
      <c r="A4131" s="1" t="s">
        <v>39</v>
      </c>
      <c r="B4131" s="1" t="s">
        <v>84</v>
      </c>
      <c r="C4131" s="1" t="s">
        <v>209</v>
      </c>
      <c r="D4131">
        <v>8932</v>
      </c>
      <c r="E4131" s="1" t="s">
        <v>243</v>
      </c>
      <c r="F4131" s="1" t="s">
        <v>346</v>
      </c>
      <c r="G4131" s="1" t="s">
        <v>209</v>
      </c>
      <c r="H4131" s="1" t="s">
        <v>1404</v>
      </c>
      <c r="I4131">
        <v>2014</v>
      </c>
      <c r="J4131" s="93">
        <v>1</v>
      </c>
      <c r="K4131">
        <v>11</v>
      </c>
      <c r="L4131" s="1" t="s">
        <v>433</v>
      </c>
      <c r="M4131">
        <v>0</v>
      </c>
      <c r="N4131">
        <v>0</v>
      </c>
      <c r="O4131">
        <v>10</v>
      </c>
      <c r="P4131">
        <v>3</v>
      </c>
      <c r="Q4131" s="1" t="s">
        <v>560</v>
      </c>
      <c r="R4131" s="93">
        <v>1</v>
      </c>
      <c r="S4131">
        <v>0</v>
      </c>
      <c r="T4131">
        <v>1</v>
      </c>
      <c r="U4131" s="1" t="s">
        <v>712</v>
      </c>
      <c r="V4131" s="1"/>
      <c r="W4131">
        <v>1</v>
      </c>
      <c r="X4131">
        <v>0</v>
      </c>
      <c r="Y4131">
        <v>70975</v>
      </c>
    </row>
    <row r="4132" spans="1:25" ht="15" hidden="1" customHeight="1" x14ac:dyDescent="0.25">
      <c r="A4132" s="1" t="s">
        <v>39</v>
      </c>
      <c r="B4132" s="1" t="s">
        <v>84</v>
      </c>
      <c r="C4132" s="1" t="s">
        <v>209</v>
      </c>
      <c r="D4132">
        <v>8932</v>
      </c>
      <c r="E4132" s="1" t="s">
        <v>243</v>
      </c>
      <c r="F4132" s="1" t="s">
        <v>346</v>
      </c>
      <c r="G4132" s="1" t="s">
        <v>209</v>
      </c>
      <c r="H4132" s="1" t="s">
        <v>1404</v>
      </c>
      <c r="I4132">
        <v>2014</v>
      </c>
      <c r="J4132" s="93">
        <v>562.45000000000005</v>
      </c>
      <c r="K4132">
        <v>12</v>
      </c>
      <c r="L4132" s="1" t="s">
        <v>433</v>
      </c>
      <c r="M4132">
        <v>0</v>
      </c>
      <c r="N4132">
        <v>0</v>
      </c>
      <c r="O4132">
        <v>5624.5</v>
      </c>
      <c r="P4132">
        <v>3</v>
      </c>
      <c r="Q4132" s="1" t="s">
        <v>560</v>
      </c>
      <c r="R4132" s="93">
        <v>562.45000000000005</v>
      </c>
      <c r="S4132">
        <v>0</v>
      </c>
      <c r="T4132">
        <v>1</v>
      </c>
      <c r="U4132" s="1" t="s">
        <v>713</v>
      </c>
      <c r="V4132" s="1"/>
      <c r="W4132">
        <v>562.45406000000003</v>
      </c>
      <c r="X4132">
        <v>0</v>
      </c>
      <c r="Y4132">
        <v>70976</v>
      </c>
    </row>
    <row r="4133" spans="1:25" ht="15" hidden="1" customHeight="1" x14ac:dyDescent="0.25">
      <c r="A4133" s="1" t="s">
        <v>39</v>
      </c>
      <c r="B4133" s="1" t="s">
        <v>84</v>
      </c>
      <c r="C4133" s="1" t="s">
        <v>209</v>
      </c>
      <c r="D4133">
        <v>8932</v>
      </c>
      <c r="E4133" s="1" t="s">
        <v>243</v>
      </c>
      <c r="F4133" s="1" t="s">
        <v>346</v>
      </c>
      <c r="G4133" s="1" t="s">
        <v>209</v>
      </c>
      <c r="H4133" s="1" t="s">
        <v>1404</v>
      </c>
      <c r="I4133">
        <v>2014</v>
      </c>
      <c r="J4133" s="93">
        <v>0</v>
      </c>
      <c r="K4133">
        <v>12</v>
      </c>
      <c r="L4133" s="1" t="s">
        <v>433</v>
      </c>
      <c r="M4133">
        <v>0</v>
      </c>
      <c r="N4133">
        <v>0</v>
      </c>
      <c r="O4133">
        <v>0</v>
      </c>
      <c r="P4133">
        <v>3</v>
      </c>
      <c r="Q4133" s="1" t="s">
        <v>560</v>
      </c>
      <c r="R4133" s="93">
        <v>0</v>
      </c>
      <c r="S4133">
        <v>0</v>
      </c>
      <c r="T4133">
        <v>1</v>
      </c>
      <c r="U4133" s="1" t="s">
        <v>714</v>
      </c>
      <c r="V4133" s="1"/>
      <c r="W4133">
        <v>0</v>
      </c>
      <c r="X4133">
        <v>0</v>
      </c>
      <c r="Y4133">
        <v>70977</v>
      </c>
    </row>
    <row r="4134" spans="1:25" ht="15" hidden="1" customHeight="1" x14ac:dyDescent="0.25">
      <c r="A4134" s="1" t="s">
        <v>39</v>
      </c>
      <c r="B4134" s="1" t="s">
        <v>84</v>
      </c>
      <c r="C4134" s="1" t="s">
        <v>209</v>
      </c>
      <c r="D4134">
        <v>8878</v>
      </c>
      <c r="E4134" s="1"/>
      <c r="F4134" s="1" t="s">
        <v>347</v>
      </c>
      <c r="G4134" s="1" t="s">
        <v>209</v>
      </c>
      <c r="H4134" s="1" t="s">
        <v>1404</v>
      </c>
      <c r="I4134">
        <v>2014</v>
      </c>
      <c r="J4134" s="93">
        <v>4405.3999999999996</v>
      </c>
      <c r="K4134">
        <v>12</v>
      </c>
      <c r="L4134" s="1"/>
      <c r="M4134">
        <v>0</v>
      </c>
      <c r="N4134">
        <v>3615</v>
      </c>
      <c r="O4134">
        <v>1.21861</v>
      </c>
      <c r="P4134">
        <v>3</v>
      </c>
      <c r="Q4134" s="1" t="s">
        <v>560</v>
      </c>
      <c r="R4134" s="93">
        <v>4405.3999999999996</v>
      </c>
      <c r="S4134">
        <v>3524.32</v>
      </c>
      <c r="T4134">
        <v>1</v>
      </c>
      <c r="U4134" s="1" t="s">
        <v>717</v>
      </c>
      <c r="V4134" s="1"/>
      <c r="W4134">
        <v>4405.3999999999996</v>
      </c>
      <c r="X4134">
        <v>0</v>
      </c>
      <c r="Y4134">
        <v>76950</v>
      </c>
    </row>
    <row r="4135" spans="1:25" ht="15" hidden="1" customHeight="1" x14ac:dyDescent="0.25">
      <c r="A4135" s="1" t="s">
        <v>39</v>
      </c>
      <c r="B4135" s="1" t="s">
        <v>84</v>
      </c>
      <c r="C4135" s="1" t="s">
        <v>209</v>
      </c>
      <c r="D4135">
        <v>8878</v>
      </c>
      <c r="E4135" s="1"/>
      <c r="F4135" s="1" t="s">
        <v>347</v>
      </c>
      <c r="G4135" s="1" t="s">
        <v>209</v>
      </c>
      <c r="H4135" s="1" t="s">
        <v>1405</v>
      </c>
      <c r="I4135">
        <v>2014</v>
      </c>
      <c r="J4135" s="93">
        <v>13068.72</v>
      </c>
      <c r="K4135">
        <v>12</v>
      </c>
      <c r="L4135" s="1"/>
      <c r="M4135">
        <v>0</v>
      </c>
      <c r="N4135">
        <v>3615</v>
      </c>
      <c r="O4135">
        <v>3.6150359999999999</v>
      </c>
      <c r="P4135">
        <v>3</v>
      </c>
      <c r="Q4135" s="1" t="s">
        <v>560</v>
      </c>
      <c r="R4135" s="93">
        <v>13068.72</v>
      </c>
      <c r="S4135">
        <v>10454.98</v>
      </c>
      <c r="T4135">
        <v>0</v>
      </c>
      <c r="U4135" s="1" t="s">
        <v>718</v>
      </c>
      <c r="V4135" s="1"/>
      <c r="W4135">
        <v>13068.72</v>
      </c>
      <c r="X4135">
        <v>0</v>
      </c>
      <c r="Y4135">
        <v>76951</v>
      </c>
    </row>
    <row r="4136" spans="1:25" ht="15" hidden="1" customHeight="1" x14ac:dyDescent="0.25">
      <c r="A4136" s="1" t="s">
        <v>39</v>
      </c>
      <c r="B4136" s="1" t="s">
        <v>84</v>
      </c>
      <c r="C4136" s="1" t="s">
        <v>209</v>
      </c>
      <c r="D4136">
        <v>8880</v>
      </c>
      <c r="E4136" s="1" t="s">
        <v>243</v>
      </c>
      <c r="F4136" s="1" t="s">
        <v>366</v>
      </c>
      <c r="G4136" s="1" t="s">
        <v>209</v>
      </c>
      <c r="H4136" s="1" t="s">
        <v>1404</v>
      </c>
      <c r="I4136">
        <v>2014</v>
      </c>
      <c r="J4136" s="93">
        <v>531296.31999999995</v>
      </c>
      <c r="K4136">
        <v>12</v>
      </c>
      <c r="L4136" s="1" t="s">
        <v>433</v>
      </c>
      <c r="M4136">
        <v>0</v>
      </c>
      <c r="N4136">
        <v>0</v>
      </c>
      <c r="O4136">
        <v>5312963.2</v>
      </c>
      <c r="P4136">
        <v>1</v>
      </c>
      <c r="Q4136" s="1" t="s">
        <v>562</v>
      </c>
      <c r="R4136" s="93">
        <v>636232.85</v>
      </c>
      <c r="S4136">
        <v>40718.910000000003</v>
      </c>
      <c r="T4136">
        <v>1</v>
      </c>
      <c r="U4136" s="1" t="s">
        <v>888</v>
      </c>
      <c r="V4136" s="1"/>
      <c r="W4136">
        <v>531296.32354000001</v>
      </c>
      <c r="X4136">
        <v>0</v>
      </c>
      <c r="Y4136">
        <v>70979</v>
      </c>
    </row>
    <row r="4137" spans="1:25" ht="15" hidden="1" customHeight="1" x14ac:dyDescent="0.25">
      <c r="A4137" s="1" t="s">
        <v>39</v>
      </c>
      <c r="B4137" s="1" t="s">
        <v>84</v>
      </c>
      <c r="C4137" s="1" t="s">
        <v>209</v>
      </c>
      <c r="D4137">
        <v>8880</v>
      </c>
      <c r="E4137" s="1" t="s">
        <v>243</v>
      </c>
      <c r="F4137" s="1" t="s">
        <v>366</v>
      </c>
      <c r="G4137" s="1" t="s">
        <v>209</v>
      </c>
      <c r="H4137" s="1" t="s">
        <v>1404</v>
      </c>
      <c r="I4137">
        <v>2014</v>
      </c>
      <c r="J4137" s="93">
        <v>5181.79</v>
      </c>
      <c r="K4137">
        <v>12</v>
      </c>
      <c r="L4137" s="1" t="s">
        <v>401</v>
      </c>
      <c r="M4137">
        <v>0</v>
      </c>
      <c r="N4137">
        <v>0</v>
      </c>
      <c r="O4137">
        <v>51817.9</v>
      </c>
      <c r="P4137">
        <v>1</v>
      </c>
      <c r="Q4137" s="1" t="s">
        <v>562</v>
      </c>
      <c r="R4137" s="93">
        <v>6100.54</v>
      </c>
      <c r="S4137">
        <v>390.43</v>
      </c>
      <c r="T4137">
        <v>1</v>
      </c>
      <c r="U4137" s="1" t="s">
        <v>889</v>
      </c>
      <c r="V4137" s="1"/>
      <c r="W4137">
        <v>5181.7941199999996</v>
      </c>
      <c r="X4137">
        <v>0</v>
      </c>
      <c r="Y4137">
        <v>70982</v>
      </c>
    </row>
    <row r="4138" spans="1:25" ht="15" hidden="1" customHeight="1" x14ac:dyDescent="0.25">
      <c r="A4138" s="1" t="s">
        <v>39</v>
      </c>
      <c r="B4138" s="1" t="s">
        <v>84</v>
      </c>
      <c r="C4138" s="1" t="s">
        <v>209</v>
      </c>
      <c r="D4138">
        <v>8933</v>
      </c>
      <c r="E4138" s="1" t="s">
        <v>243</v>
      </c>
      <c r="F4138" s="1" t="s">
        <v>390</v>
      </c>
      <c r="G4138" s="1" t="s">
        <v>209</v>
      </c>
      <c r="H4138" s="1" t="s">
        <v>1404</v>
      </c>
      <c r="I4138">
        <v>2014</v>
      </c>
      <c r="J4138" s="93">
        <v>45761.1</v>
      </c>
      <c r="K4138">
        <v>12</v>
      </c>
      <c r="L4138" s="1" t="s">
        <v>433</v>
      </c>
      <c r="M4138">
        <v>0</v>
      </c>
      <c r="N4138">
        <v>0</v>
      </c>
      <c r="O4138">
        <v>457611</v>
      </c>
      <c r="P4138">
        <v>2</v>
      </c>
      <c r="Q4138" s="1" t="s">
        <v>569</v>
      </c>
      <c r="R4138" s="93">
        <v>45761.1</v>
      </c>
      <c r="S4138">
        <v>13728.33</v>
      </c>
      <c r="T4138">
        <v>1</v>
      </c>
      <c r="U4138" s="1" t="s">
        <v>1115</v>
      </c>
      <c r="V4138" s="1"/>
      <c r="W4138">
        <v>45761.097430000002</v>
      </c>
      <c r="X4138">
        <v>0</v>
      </c>
      <c r="Y4138">
        <v>70990</v>
      </c>
    </row>
    <row r="4139" spans="1:25" ht="15" hidden="1" customHeight="1" x14ac:dyDescent="0.25">
      <c r="A4139" s="1" t="s">
        <v>39</v>
      </c>
      <c r="B4139" s="1" t="s">
        <v>84</v>
      </c>
      <c r="C4139" s="1" t="s">
        <v>209</v>
      </c>
      <c r="D4139">
        <v>8880</v>
      </c>
      <c r="E4139" s="1" t="s">
        <v>243</v>
      </c>
      <c r="F4139" s="1" t="s">
        <v>366</v>
      </c>
      <c r="G4139" s="1" t="s">
        <v>209</v>
      </c>
      <c r="H4139" s="1" t="s">
        <v>1404</v>
      </c>
      <c r="I4139">
        <v>2014</v>
      </c>
      <c r="J4139" s="93">
        <v>3580.8</v>
      </c>
      <c r="K4139">
        <v>12</v>
      </c>
      <c r="L4139" s="1" t="s">
        <v>433</v>
      </c>
      <c r="M4139">
        <v>0</v>
      </c>
      <c r="N4139">
        <v>0</v>
      </c>
      <c r="O4139">
        <v>35808</v>
      </c>
      <c r="P4139">
        <v>1</v>
      </c>
      <c r="Q4139" s="1" t="s">
        <v>562</v>
      </c>
      <c r="R4139" s="93">
        <v>4265.34</v>
      </c>
      <c r="S4139">
        <v>272.99</v>
      </c>
      <c r="T4139">
        <v>1</v>
      </c>
      <c r="U4139" s="1" t="s">
        <v>895</v>
      </c>
      <c r="V4139" s="1"/>
      <c r="W4139">
        <v>3580.8051500000001</v>
      </c>
      <c r="X4139">
        <v>0</v>
      </c>
      <c r="Y4139">
        <v>70984</v>
      </c>
    </row>
    <row r="4140" spans="1:25" ht="15" hidden="1" customHeight="1" x14ac:dyDescent="0.25">
      <c r="A4140" s="1" t="s">
        <v>39</v>
      </c>
      <c r="B4140" s="1" t="s">
        <v>84</v>
      </c>
      <c r="C4140" s="1" t="s">
        <v>209</v>
      </c>
      <c r="D4140">
        <v>8880</v>
      </c>
      <c r="E4140" s="1" t="s">
        <v>243</v>
      </c>
      <c r="F4140" s="1" t="s">
        <v>366</v>
      </c>
      <c r="G4140" s="1" t="s">
        <v>209</v>
      </c>
      <c r="H4140" s="1" t="s">
        <v>1404</v>
      </c>
      <c r="I4140">
        <v>2014</v>
      </c>
      <c r="J4140" s="93">
        <v>107963.94</v>
      </c>
      <c r="K4140">
        <v>12</v>
      </c>
      <c r="L4140" s="1" t="s">
        <v>433</v>
      </c>
      <c r="M4140">
        <v>0</v>
      </c>
      <c r="N4140">
        <v>0</v>
      </c>
      <c r="O4140">
        <v>1079639.3999999999</v>
      </c>
      <c r="P4140">
        <v>1</v>
      </c>
      <c r="Q4140" s="1" t="s">
        <v>562</v>
      </c>
      <c r="R4140" s="93">
        <v>131223.5</v>
      </c>
      <c r="S4140">
        <v>8398.31</v>
      </c>
      <c r="T4140">
        <v>1</v>
      </c>
      <c r="U4140" s="1" t="s">
        <v>890</v>
      </c>
      <c r="V4140" s="1"/>
      <c r="W4140">
        <v>107963.94852999999</v>
      </c>
      <c r="X4140">
        <v>0</v>
      </c>
      <c r="Y4140">
        <v>70987</v>
      </c>
    </row>
    <row r="4141" spans="1:25" ht="15" hidden="1" customHeight="1" x14ac:dyDescent="0.25">
      <c r="A4141" s="1" t="s">
        <v>39</v>
      </c>
      <c r="B4141" s="1" t="s">
        <v>84</v>
      </c>
      <c r="C4141" s="1" t="s">
        <v>209</v>
      </c>
      <c r="D4141">
        <v>8880</v>
      </c>
      <c r="E4141" s="1" t="s">
        <v>243</v>
      </c>
      <c r="F4141" s="1" t="s">
        <v>366</v>
      </c>
      <c r="G4141" s="1" t="s">
        <v>209</v>
      </c>
      <c r="H4141" s="1" t="s">
        <v>1404</v>
      </c>
      <c r="I4141">
        <v>2014</v>
      </c>
      <c r="J4141" s="93">
        <v>82168.320000000007</v>
      </c>
      <c r="K4141">
        <v>12</v>
      </c>
      <c r="L4141" s="1" t="s">
        <v>433</v>
      </c>
      <c r="M4141">
        <v>0</v>
      </c>
      <c r="N4141">
        <v>0</v>
      </c>
      <c r="O4141">
        <v>821683.19999999995</v>
      </c>
      <c r="P4141">
        <v>1</v>
      </c>
      <c r="Q4141" s="1" t="s">
        <v>562</v>
      </c>
      <c r="R4141" s="93">
        <v>98178.81</v>
      </c>
      <c r="S4141">
        <v>12370.52</v>
      </c>
      <c r="T4141">
        <v>1</v>
      </c>
      <c r="U4141" s="1" t="s">
        <v>887</v>
      </c>
      <c r="V4141" s="1"/>
      <c r="W4141">
        <v>82168.327210000003</v>
      </c>
      <c r="X4141">
        <v>0</v>
      </c>
      <c r="Y4141">
        <v>70702</v>
      </c>
    </row>
    <row r="4142" spans="1:25" ht="15" hidden="1" customHeight="1" x14ac:dyDescent="0.25">
      <c r="A4142" s="1" t="s">
        <v>39</v>
      </c>
      <c r="B4142" s="1" t="s">
        <v>84</v>
      </c>
      <c r="C4142" s="1" t="s">
        <v>209</v>
      </c>
      <c r="D4142">
        <v>8880</v>
      </c>
      <c r="E4142" s="1" t="s">
        <v>243</v>
      </c>
      <c r="F4142" s="1" t="s">
        <v>366</v>
      </c>
      <c r="G4142" s="1" t="s">
        <v>209</v>
      </c>
      <c r="H4142" s="1" t="s">
        <v>1404</v>
      </c>
      <c r="I4142">
        <v>2014</v>
      </c>
      <c r="J4142" s="93">
        <v>32365.22</v>
      </c>
      <c r="K4142">
        <v>12</v>
      </c>
      <c r="L4142" s="1" t="s">
        <v>433</v>
      </c>
      <c r="M4142">
        <v>0</v>
      </c>
      <c r="N4142">
        <v>0</v>
      </c>
      <c r="O4142">
        <v>323652.2</v>
      </c>
      <c r="P4142">
        <v>1</v>
      </c>
      <c r="Q4142" s="1" t="s">
        <v>562</v>
      </c>
      <c r="R4142" s="93">
        <v>37758.26</v>
      </c>
      <c r="S4142">
        <v>2416.5300000000002</v>
      </c>
      <c r="T4142">
        <v>1</v>
      </c>
      <c r="U4142" s="1" t="s">
        <v>892</v>
      </c>
      <c r="V4142" s="1"/>
      <c r="W4142">
        <v>32365.220580000001</v>
      </c>
      <c r="X4142">
        <v>0</v>
      </c>
      <c r="Y4142">
        <v>70978</v>
      </c>
    </row>
    <row r="4143" spans="1:25" ht="15" hidden="1" customHeight="1" x14ac:dyDescent="0.25">
      <c r="A4143" s="1" t="s">
        <v>39</v>
      </c>
      <c r="B4143" s="1" t="s">
        <v>84</v>
      </c>
      <c r="C4143" s="1" t="s">
        <v>209</v>
      </c>
      <c r="D4143">
        <v>8880</v>
      </c>
      <c r="E4143" s="1" t="s">
        <v>243</v>
      </c>
      <c r="F4143" s="1" t="s">
        <v>366</v>
      </c>
      <c r="G4143" s="1" t="s">
        <v>209</v>
      </c>
      <c r="H4143" s="1" t="s">
        <v>1404</v>
      </c>
      <c r="I4143">
        <v>2014</v>
      </c>
      <c r="J4143" s="93">
        <v>13740.68</v>
      </c>
      <c r="K4143">
        <v>12</v>
      </c>
      <c r="L4143" s="1" t="s">
        <v>433</v>
      </c>
      <c r="M4143">
        <v>0</v>
      </c>
      <c r="N4143">
        <v>0</v>
      </c>
      <c r="O4143">
        <v>137406.79999999999</v>
      </c>
      <c r="P4143">
        <v>1</v>
      </c>
      <c r="Q4143" s="1" t="s">
        <v>562</v>
      </c>
      <c r="R4143" s="93">
        <v>16708.02</v>
      </c>
      <c r="S4143">
        <v>1069.32</v>
      </c>
      <c r="T4143">
        <v>1</v>
      </c>
      <c r="U4143" s="1" t="s">
        <v>893</v>
      </c>
      <c r="V4143" s="1"/>
      <c r="W4143">
        <v>13740.68751</v>
      </c>
      <c r="X4143">
        <v>0</v>
      </c>
      <c r="Y4143">
        <v>70981</v>
      </c>
    </row>
    <row r="4144" spans="1:25" ht="15" hidden="1" customHeight="1" x14ac:dyDescent="0.25">
      <c r="A4144" s="1" t="s">
        <v>39</v>
      </c>
      <c r="B4144" s="1" t="s">
        <v>84</v>
      </c>
      <c r="C4144" s="1" t="s">
        <v>209</v>
      </c>
      <c r="D4144">
        <v>8880</v>
      </c>
      <c r="E4144" s="1" t="s">
        <v>243</v>
      </c>
      <c r="F4144" s="1" t="s">
        <v>366</v>
      </c>
      <c r="G4144" s="1" t="s">
        <v>209</v>
      </c>
      <c r="H4144" s="1" t="s">
        <v>1404</v>
      </c>
      <c r="I4144">
        <v>2014</v>
      </c>
      <c r="J4144" s="93">
        <v>32.61</v>
      </c>
      <c r="K4144">
        <v>12</v>
      </c>
      <c r="L4144" s="1" t="s">
        <v>433</v>
      </c>
      <c r="M4144">
        <v>0</v>
      </c>
      <c r="N4144">
        <v>0</v>
      </c>
      <c r="O4144">
        <v>326.10000000000002</v>
      </c>
      <c r="P4144">
        <v>1</v>
      </c>
      <c r="Q4144" s="1" t="s">
        <v>562</v>
      </c>
      <c r="R4144" s="93">
        <v>38.68</v>
      </c>
      <c r="S4144">
        <v>2.4700000000000002</v>
      </c>
      <c r="T4144">
        <v>1</v>
      </c>
      <c r="U4144" s="1" t="s">
        <v>894</v>
      </c>
      <c r="V4144" s="1"/>
      <c r="W4144">
        <v>32.606619999999999</v>
      </c>
      <c r="X4144">
        <v>0</v>
      </c>
      <c r="Y4144">
        <v>70983</v>
      </c>
    </row>
    <row r="4145" spans="1:25" ht="15" hidden="1" customHeight="1" x14ac:dyDescent="0.25">
      <c r="A4145" s="1" t="s">
        <v>39</v>
      </c>
      <c r="B4145" s="1" t="s">
        <v>84</v>
      </c>
      <c r="C4145" s="1" t="s">
        <v>209</v>
      </c>
      <c r="D4145">
        <v>8880</v>
      </c>
      <c r="E4145" s="1" t="s">
        <v>243</v>
      </c>
      <c r="F4145" s="1" t="s">
        <v>366</v>
      </c>
      <c r="G4145" s="1" t="s">
        <v>209</v>
      </c>
      <c r="H4145" s="1" t="s">
        <v>1404</v>
      </c>
      <c r="I4145">
        <v>2014</v>
      </c>
      <c r="J4145" s="93">
        <v>121796.55</v>
      </c>
      <c r="K4145">
        <v>12</v>
      </c>
      <c r="L4145" s="1" t="s">
        <v>433</v>
      </c>
      <c r="M4145">
        <v>0</v>
      </c>
      <c r="N4145">
        <v>0</v>
      </c>
      <c r="O4145">
        <v>1217965.5</v>
      </c>
      <c r="P4145">
        <v>1</v>
      </c>
      <c r="Q4145" s="1" t="s">
        <v>562</v>
      </c>
      <c r="R4145" s="93">
        <v>142220.38</v>
      </c>
      <c r="S4145">
        <v>9102.1</v>
      </c>
      <c r="T4145">
        <v>1</v>
      </c>
      <c r="U4145" s="1" t="s">
        <v>896</v>
      </c>
      <c r="V4145" s="1"/>
      <c r="W4145">
        <v>121796.57172000001</v>
      </c>
      <c r="X4145">
        <v>0</v>
      </c>
      <c r="Y4145">
        <v>70986</v>
      </c>
    </row>
    <row r="4146" spans="1:25" ht="15" hidden="1" customHeight="1" x14ac:dyDescent="0.25">
      <c r="A4146" s="1" t="s">
        <v>39</v>
      </c>
      <c r="B4146" s="1" t="s">
        <v>84</v>
      </c>
      <c r="C4146" s="1" t="s">
        <v>209</v>
      </c>
      <c r="D4146">
        <v>8880</v>
      </c>
      <c r="E4146" s="1" t="s">
        <v>243</v>
      </c>
      <c r="F4146" s="1" t="s">
        <v>366</v>
      </c>
      <c r="G4146" s="1" t="s">
        <v>209</v>
      </c>
      <c r="H4146" s="1" t="s">
        <v>1404</v>
      </c>
      <c r="I4146">
        <v>2014</v>
      </c>
      <c r="J4146" s="93">
        <v>5879.86</v>
      </c>
      <c r="K4146">
        <v>12</v>
      </c>
      <c r="L4146" s="1" t="s">
        <v>433</v>
      </c>
      <c r="M4146">
        <v>0</v>
      </c>
      <c r="N4146">
        <v>0</v>
      </c>
      <c r="O4146">
        <v>58798.6</v>
      </c>
      <c r="P4146">
        <v>1</v>
      </c>
      <c r="Q4146" s="1" t="s">
        <v>562</v>
      </c>
      <c r="R4146" s="93">
        <v>7070.57</v>
      </c>
      <c r="S4146">
        <v>452.53</v>
      </c>
      <c r="T4146">
        <v>1</v>
      </c>
      <c r="U4146" s="1" t="s">
        <v>891</v>
      </c>
      <c r="V4146" s="1"/>
      <c r="W4146">
        <v>5879.8602799999999</v>
      </c>
      <c r="X4146">
        <v>0</v>
      </c>
      <c r="Y4146">
        <v>70988</v>
      </c>
    </row>
    <row r="4147" spans="1:25" ht="15" hidden="1" customHeight="1" x14ac:dyDescent="0.25">
      <c r="A4147" s="1" t="s">
        <v>39</v>
      </c>
      <c r="B4147" s="1" t="s">
        <v>84</v>
      </c>
      <c r="C4147" s="1" t="s">
        <v>209</v>
      </c>
      <c r="D4147">
        <v>8933</v>
      </c>
      <c r="E4147" s="1" t="s">
        <v>243</v>
      </c>
      <c r="F4147" s="1" t="s">
        <v>390</v>
      </c>
      <c r="G4147" s="1" t="s">
        <v>209</v>
      </c>
      <c r="H4147" s="1" t="s">
        <v>1404</v>
      </c>
      <c r="I4147">
        <v>2014</v>
      </c>
      <c r="J4147" s="93">
        <v>4644.4399999999996</v>
      </c>
      <c r="K4147">
        <v>7</v>
      </c>
      <c r="L4147" s="1" t="s">
        <v>548</v>
      </c>
      <c r="M4147">
        <v>0</v>
      </c>
      <c r="N4147">
        <v>0</v>
      </c>
      <c r="O4147">
        <v>46444.4</v>
      </c>
      <c r="P4147">
        <v>2</v>
      </c>
      <c r="Q4147" s="1" t="s">
        <v>569</v>
      </c>
      <c r="R4147" s="93">
        <v>4644.4399999999996</v>
      </c>
      <c r="S4147">
        <v>1393.33</v>
      </c>
      <c r="T4147">
        <v>1</v>
      </c>
      <c r="U4147" s="1" t="s">
        <v>1123</v>
      </c>
      <c r="V4147" s="1"/>
      <c r="W4147">
        <v>4644.4375</v>
      </c>
      <c r="X4147">
        <v>0</v>
      </c>
      <c r="Y4147">
        <v>70993</v>
      </c>
    </row>
    <row r="4148" spans="1:25" ht="15" hidden="1" customHeight="1" x14ac:dyDescent="0.25">
      <c r="A4148" s="1" t="s">
        <v>39</v>
      </c>
      <c r="B4148" s="1" t="s">
        <v>84</v>
      </c>
      <c r="C4148" s="1" t="s">
        <v>209</v>
      </c>
      <c r="D4148">
        <v>8933</v>
      </c>
      <c r="E4148" s="1" t="s">
        <v>243</v>
      </c>
      <c r="F4148" s="1" t="s">
        <v>390</v>
      </c>
      <c r="G4148" s="1" t="s">
        <v>209</v>
      </c>
      <c r="H4148" s="1" t="s">
        <v>1404</v>
      </c>
      <c r="I4148">
        <v>2014</v>
      </c>
      <c r="J4148" s="93">
        <v>5694.26</v>
      </c>
      <c r="K4148">
        <v>12</v>
      </c>
      <c r="L4148" s="1" t="s">
        <v>433</v>
      </c>
      <c r="M4148">
        <v>0</v>
      </c>
      <c r="N4148">
        <v>0</v>
      </c>
      <c r="O4148">
        <v>56942.6</v>
      </c>
      <c r="P4148">
        <v>2</v>
      </c>
      <c r="Q4148" s="1" t="s">
        <v>569</v>
      </c>
      <c r="R4148" s="93">
        <v>5694.26</v>
      </c>
      <c r="S4148">
        <v>1708.29</v>
      </c>
      <c r="T4148">
        <v>1</v>
      </c>
      <c r="U4148" s="1" t="s">
        <v>1116</v>
      </c>
      <c r="V4148" s="1"/>
      <c r="W4148">
        <v>5694.2739099999999</v>
      </c>
      <c r="X4148">
        <v>0</v>
      </c>
      <c r="Y4148">
        <v>70996</v>
      </c>
    </row>
    <row r="4149" spans="1:25" ht="15" hidden="1" customHeight="1" x14ac:dyDescent="0.25">
      <c r="A4149" s="1" t="s">
        <v>39</v>
      </c>
      <c r="B4149" s="1" t="s">
        <v>84</v>
      </c>
      <c r="C4149" s="1" t="s">
        <v>209</v>
      </c>
      <c r="D4149">
        <v>8933</v>
      </c>
      <c r="E4149" s="1" t="s">
        <v>243</v>
      </c>
      <c r="F4149" s="1" t="s">
        <v>390</v>
      </c>
      <c r="G4149" s="1" t="s">
        <v>209</v>
      </c>
      <c r="H4149" s="1" t="s">
        <v>1404</v>
      </c>
      <c r="I4149">
        <v>2014</v>
      </c>
      <c r="J4149" s="93">
        <v>9699.6</v>
      </c>
      <c r="K4149">
        <v>12</v>
      </c>
      <c r="L4149" s="1" t="s">
        <v>433</v>
      </c>
      <c r="M4149">
        <v>0</v>
      </c>
      <c r="N4149">
        <v>0</v>
      </c>
      <c r="O4149">
        <v>96996</v>
      </c>
      <c r="P4149">
        <v>2</v>
      </c>
      <c r="Q4149" s="1" t="s">
        <v>569</v>
      </c>
      <c r="R4149" s="93">
        <v>9699.6</v>
      </c>
      <c r="S4149">
        <v>2909.88</v>
      </c>
      <c r="T4149">
        <v>1</v>
      </c>
      <c r="U4149" s="1" t="s">
        <v>1117</v>
      </c>
      <c r="V4149" s="1"/>
      <c r="W4149">
        <v>9699.5974200000001</v>
      </c>
      <c r="X4149">
        <v>0</v>
      </c>
      <c r="Y4149">
        <v>70998</v>
      </c>
    </row>
    <row r="4150" spans="1:25" ht="15" hidden="1" customHeight="1" x14ac:dyDescent="0.25">
      <c r="A4150" s="1" t="s">
        <v>39</v>
      </c>
      <c r="B4150" s="1" t="s">
        <v>84</v>
      </c>
      <c r="C4150" s="1" t="s">
        <v>209</v>
      </c>
      <c r="D4150">
        <v>8933</v>
      </c>
      <c r="E4150" s="1" t="s">
        <v>243</v>
      </c>
      <c r="F4150" s="1" t="s">
        <v>390</v>
      </c>
      <c r="G4150" s="1" t="s">
        <v>209</v>
      </c>
      <c r="H4150" s="1" t="s">
        <v>1404</v>
      </c>
      <c r="I4150">
        <v>2014</v>
      </c>
      <c r="J4150" s="93">
        <v>71016.53</v>
      </c>
      <c r="K4150">
        <v>12</v>
      </c>
      <c r="L4150" s="1" t="s">
        <v>433</v>
      </c>
      <c r="M4150">
        <v>0</v>
      </c>
      <c r="N4150">
        <v>0</v>
      </c>
      <c r="O4150">
        <v>710165.3</v>
      </c>
      <c r="P4150">
        <v>2</v>
      </c>
      <c r="Q4150" s="1" t="s">
        <v>569</v>
      </c>
      <c r="R4150" s="93">
        <v>71016.53</v>
      </c>
      <c r="S4150">
        <v>21304.959999999999</v>
      </c>
      <c r="T4150">
        <v>1</v>
      </c>
      <c r="U4150" s="1" t="s">
        <v>1122</v>
      </c>
      <c r="V4150" s="1"/>
      <c r="W4150">
        <v>71016.536760000003</v>
      </c>
      <c r="X4150">
        <v>0</v>
      </c>
      <c r="Y4150">
        <v>77913</v>
      </c>
    </row>
    <row r="4151" spans="1:25" ht="15" hidden="1" customHeight="1" x14ac:dyDescent="0.25">
      <c r="A4151" s="1" t="s">
        <v>39</v>
      </c>
      <c r="B4151" s="1" t="s">
        <v>84</v>
      </c>
      <c r="C4151" s="1" t="s">
        <v>209</v>
      </c>
      <c r="D4151">
        <v>8933</v>
      </c>
      <c r="E4151" s="1" t="s">
        <v>243</v>
      </c>
      <c r="F4151" s="1" t="s">
        <v>390</v>
      </c>
      <c r="G4151" s="1" t="s">
        <v>209</v>
      </c>
      <c r="H4151" s="1" t="s">
        <v>1404</v>
      </c>
      <c r="I4151">
        <v>2014</v>
      </c>
      <c r="J4151" s="93">
        <v>0</v>
      </c>
      <c r="K4151">
        <v>2</v>
      </c>
      <c r="L4151" s="1" t="s">
        <v>549</v>
      </c>
      <c r="M4151">
        <v>0</v>
      </c>
      <c r="N4151">
        <v>0</v>
      </c>
      <c r="O4151">
        <v>0</v>
      </c>
      <c r="P4151">
        <v>2</v>
      </c>
      <c r="Q4151" s="1" t="s">
        <v>569</v>
      </c>
      <c r="R4151" s="93">
        <v>0</v>
      </c>
      <c r="S4151">
        <v>0</v>
      </c>
      <c r="T4151">
        <v>1</v>
      </c>
      <c r="U4151" s="1" t="s">
        <v>1124</v>
      </c>
      <c r="V4151" s="1"/>
      <c r="W4151">
        <v>0</v>
      </c>
      <c r="X4151">
        <v>0</v>
      </c>
      <c r="Y4151">
        <v>70991</v>
      </c>
    </row>
    <row r="4152" spans="1:25" ht="15" hidden="1" customHeight="1" x14ac:dyDescent="0.25">
      <c r="A4152" s="1" t="s">
        <v>39</v>
      </c>
      <c r="B4152" s="1" t="s">
        <v>84</v>
      </c>
      <c r="C4152" s="1" t="s">
        <v>209</v>
      </c>
      <c r="D4152">
        <v>8933</v>
      </c>
      <c r="E4152" s="1" t="s">
        <v>243</v>
      </c>
      <c r="F4152" s="1" t="s">
        <v>390</v>
      </c>
      <c r="G4152" s="1" t="s">
        <v>209</v>
      </c>
      <c r="H4152" s="1" t="s">
        <v>1404</v>
      </c>
      <c r="I4152">
        <v>2014</v>
      </c>
      <c r="J4152" s="93">
        <v>27942.59</v>
      </c>
      <c r="K4152">
        <v>12</v>
      </c>
      <c r="L4152" s="1" t="s">
        <v>433</v>
      </c>
      <c r="M4152">
        <v>0</v>
      </c>
      <c r="N4152">
        <v>0</v>
      </c>
      <c r="O4152">
        <v>279425.90000000002</v>
      </c>
      <c r="P4152">
        <v>2</v>
      </c>
      <c r="Q4152" s="1" t="s">
        <v>569</v>
      </c>
      <c r="R4152" s="93">
        <v>27942.59</v>
      </c>
      <c r="S4152">
        <v>8382.7800000000007</v>
      </c>
      <c r="T4152">
        <v>1</v>
      </c>
      <c r="U4152" s="1" t="s">
        <v>1119</v>
      </c>
      <c r="V4152" s="1"/>
      <c r="W4152">
        <v>27942.606619999999</v>
      </c>
      <c r="X4152">
        <v>0</v>
      </c>
      <c r="Y4152">
        <v>70992</v>
      </c>
    </row>
    <row r="4153" spans="1:25" ht="15" hidden="1" customHeight="1" x14ac:dyDescent="0.25">
      <c r="A4153" s="1" t="s">
        <v>39</v>
      </c>
      <c r="B4153" s="1" t="s">
        <v>84</v>
      </c>
      <c r="C4153" s="1" t="s">
        <v>209</v>
      </c>
      <c r="D4153">
        <v>8933</v>
      </c>
      <c r="E4153" s="1" t="s">
        <v>243</v>
      </c>
      <c r="F4153" s="1" t="s">
        <v>390</v>
      </c>
      <c r="G4153" s="1" t="s">
        <v>209</v>
      </c>
      <c r="H4153" s="1" t="s">
        <v>1404</v>
      </c>
      <c r="I4153">
        <v>2014</v>
      </c>
      <c r="J4153" s="93">
        <v>5051.3500000000004</v>
      </c>
      <c r="K4153">
        <v>12</v>
      </c>
      <c r="L4153" s="1" t="s">
        <v>433</v>
      </c>
      <c r="M4153">
        <v>0</v>
      </c>
      <c r="N4153">
        <v>0</v>
      </c>
      <c r="O4153">
        <v>50513.5</v>
      </c>
      <c r="P4153">
        <v>2</v>
      </c>
      <c r="Q4153" s="1" t="s">
        <v>569</v>
      </c>
      <c r="R4153" s="93">
        <v>5051.3500000000004</v>
      </c>
      <c r="S4153">
        <v>1515.4</v>
      </c>
      <c r="T4153">
        <v>1</v>
      </c>
      <c r="U4153" s="1" t="s">
        <v>1120</v>
      </c>
      <c r="V4153" s="1"/>
      <c r="W4153">
        <v>5051.3511200000003</v>
      </c>
      <c r="X4153">
        <v>0</v>
      </c>
      <c r="Y4153">
        <v>70994</v>
      </c>
    </row>
    <row r="4154" spans="1:25" ht="15" hidden="1" customHeight="1" x14ac:dyDescent="0.25">
      <c r="A4154" s="1" t="s">
        <v>39</v>
      </c>
      <c r="B4154" s="1" t="s">
        <v>84</v>
      </c>
      <c r="C4154" s="1" t="s">
        <v>209</v>
      </c>
      <c r="D4154">
        <v>8933</v>
      </c>
      <c r="E4154" s="1" t="s">
        <v>243</v>
      </c>
      <c r="F4154" s="1" t="s">
        <v>390</v>
      </c>
      <c r="G4154" s="1" t="s">
        <v>209</v>
      </c>
      <c r="H4154" s="1" t="s">
        <v>1404</v>
      </c>
      <c r="I4154">
        <v>2014</v>
      </c>
      <c r="J4154" s="93">
        <v>3738.67</v>
      </c>
      <c r="K4154">
        <v>12</v>
      </c>
      <c r="L4154" s="1" t="s">
        <v>433</v>
      </c>
      <c r="M4154">
        <v>0</v>
      </c>
      <c r="N4154">
        <v>0</v>
      </c>
      <c r="O4154">
        <v>37386.699999999997</v>
      </c>
      <c r="P4154">
        <v>2</v>
      </c>
      <c r="Q4154" s="1" t="s">
        <v>569</v>
      </c>
      <c r="R4154" s="93">
        <v>3738.67</v>
      </c>
      <c r="S4154">
        <v>1121.6099999999999</v>
      </c>
      <c r="T4154">
        <v>1</v>
      </c>
      <c r="U4154" s="1" t="s">
        <v>1121</v>
      </c>
      <c r="V4154" s="1"/>
      <c r="W4154">
        <v>3738.6893399999999</v>
      </c>
      <c r="X4154">
        <v>0</v>
      </c>
      <c r="Y4154">
        <v>70997</v>
      </c>
    </row>
    <row r="4155" spans="1:25" ht="15" hidden="1" customHeight="1" x14ac:dyDescent="0.25">
      <c r="A4155" s="1" t="s">
        <v>39</v>
      </c>
      <c r="B4155" s="1" t="s">
        <v>84</v>
      </c>
      <c r="C4155" s="1" t="s">
        <v>209</v>
      </c>
      <c r="D4155">
        <v>8933</v>
      </c>
      <c r="E4155" s="1" t="s">
        <v>243</v>
      </c>
      <c r="F4155" s="1" t="s">
        <v>390</v>
      </c>
      <c r="G4155" s="1" t="s">
        <v>209</v>
      </c>
      <c r="H4155" s="1" t="s">
        <v>1404</v>
      </c>
      <c r="I4155">
        <v>2014</v>
      </c>
      <c r="J4155" s="93">
        <v>6038.62</v>
      </c>
      <c r="K4155">
        <v>2</v>
      </c>
      <c r="L4155" s="1" t="s">
        <v>549</v>
      </c>
      <c r="M4155">
        <v>0</v>
      </c>
      <c r="N4155">
        <v>0</v>
      </c>
      <c r="O4155">
        <v>60386.2</v>
      </c>
      <c r="P4155">
        <v>2</v>
      </c>
      <c r="Q4155" s="1" t="s">
        <v>569</v>
      </c>
      <c r="R4155" s="93">
        <v>6038.62</v>
      </c>
      <c r="S4155">
        <v>1811.58</v>
      </c>
      <c r="T4155">
        <v>1</v>
      </c>
      <c r="U4155" s="1" t="s">
        <v>1125</v>
      </c>
      <c r="V4155" s="1"/>
      <c r="W4155">
        <v>6038.625</v>
      </c>
      <c r="X4155">
        <v>0</v>
      </c>
      <c r="Y4155">
        <v>70999</v>
      </c>
    </row>
    <row r="4156" spans="1:25" ht="15" hidden="1" customHeight="1" x14ac:dyDescent="0.25">
      <c r="A4156" s="1" t="s">
        <v>39</v>
      </c>
      <c r="B4156" s="1" t="s">
        <v>84</v>
      </c>
      <c r="C4156" s="1" t="s">
        <v>209</v>
      </c>
      <c r="D4156">
        <v>8933</v>
      </c>
      <c r="E4156" s="1" t="s">
        <v>243</v>
      </c>
      <c r="F4156" s="1" t="s">
        <v>390</v>
      </c>
      <c r="G4156" s="1" t="s">
        <v>209</v>
      </c>
      <c r="H4156" s="1" t="s">
        <v>1404</v>
      </c>
      <c r="I4156">
        <v>2014</v>
      </c>
      <c r="J4156" s="93">
        <v>40040.720000000001</v>
      </c>
      <c r="K4156">
        <v>13</v>
      </c>
      <c r="L4156" s="1" t="s">
        <v>433</v>
      </c>
      <c r="M4156">
        <v>0</v>
      </c>
      <c r="N4156">
        <v>0</v>
      </c>
      <c r="O4156">
        <v>400407.2</v>
      </c>
      <c r="P4156">
        <v>2</v>
      </c>
      <c r="Q4156" s="1" t="s">
        <v>569</v>
      </c>
      <c r="R4156" s="93">
        <v>40040.720000000001</v>
      </c>
      <c r="S4156">
        <v>12012.22</v>
      </c>
      <c r="T4156">
        <v>1</v>
      </c>
      <c r="U4156" s="1" t="s">
        <v>1118</v>
      </c>
      <c r="V4156" s="1"/>
      <c r="W4156">
        <v>40040.705880000001</v>
      </c>
      <c r="X4156">
        <v>0</v>
      </c>
      <c r="Y4156">
        <v>95931</v>
      </c>
    </row>
    <row r="4157" spans="1:25" ht="15" hidden="1" customHeight="1" x14ac:dyDescent="0.25">
      <c r="A4157" s="1" t="s">
        <v>39</v>
      </c>
      <c r="B4157" s="1" t="s">
        <v>84</v>
      </c>
      <c r="C4157" s="1" t="s">
        <v>209</v>
      </c>
      <c r="D4157">
        <v>8878</v>
      </c>
      <c r="E4157" s="1"/>
      <c r="F4157" s="1" t="s">
        <v>347</v>
      </c>
      <c r="G4157" s="1" t="s">
        <v>209</v>
      </c>
      <c r="H4157" s="1" t="s">
        <v>1405</v>
      </c>
      <c r="I4157">
        <v>2014</v>
      </c>
      <c r="J4157" s="93">
        <v>496546.65</v>
      </c>
      <c r="K4157">
        <v>12</v>
      </c>
      <c r="L4157" s="1"/>
      <c r="M4157">
        <v>0</v>
      </c>
      <c r="N4157">
        <v>3615</v>
      </c>
      <c r="O4157">
        <v>137.35350299999999</v>
      </c>
      <c r="P4157">
        <v>2</v>
      </c>
      <c r="Q4157" s="1" t="s">
        <v>569</v>
      </c>
      <c r="R4157" s="93">
        <v>496546.65</v>
      </c>
      <c r="S4157">
        <v>148964</v>
      </c>
      <c r="T4157">
        <v>0</v>
      </c>
      <c r="U4157" s="1" t="s">
        <v>1127</v>
      </c>
      <c r="V4157" s="1" t="s">
        <v>1244</v>
      </c>
      <c r="W4157">
        <v>496546.65</v>
      </c>
      <c r="X4157">
        <v>0</v>
      </c>
      <c r="Y4157">
        <v>76947</v>
      </c>
    </row>
    <row r="4158" spans="1:25" ht="15" hidden="1" customHeight="1" x14ac:dyDescent="0.25">
      <c r="A4158" s="1" t="s">
        <v>42</v>
      </c>
      <c r="B4158" s="1"/>
      <c r="C4158" s="1" t="s">
        <v>241</v>
      </c>
      <c r="D4158">
        <v>14008</v>
      </c>
      <c r="E4158" s="1" t="s">
        <v>243</v>
      </c>
      <c r="F4158" s="1" t="s">
        <v>241</v>
      </c>
      <c r="G4158" s="1" t="s">
        <v>241</v>
      </c>
      <c r="H4158" s="1" t="s">
        <v>1405</v>
      </c>
      <c r="I4158">
        <v>2014</v>
      </c>
      <c r="J4158" s="93">
        <v>2712.87</v>
      </c>
      <c r="K4158">
        <v>4</v>
      </c>
      <c r="L4158" s="1" t="s">
        <v>425</v>
      </c>
      <c r="M4158">
        <v>0</v>
      </c>
      <c r="N4158">
        <v>10</v>
      </c>
      <c r="O4158">
        <v>268.60099000000002</v>
      </c>
      <c r="P4158">
        <v>2</v>
      </c>
      <c r="Q4158" s="1" t="s">
        <v>569</v>
      </c>
      <c r="R4158" s="93">
        <v>2712.87</v>
      </c>
      <c r="S4158">
        <v>813.86</v>
      </c>
      <c r="T4158">
        <v>0</v>
      </c>
      <c r="U4158" s="1" t="s">
        <v>1128</v>
      </c>
      <c r="V4158" s="1"/>
      <c r="W4158">
        <v>2712.8623899999998</v>
      </c>
      <c r="X4158">
        <v>0</v>
      </c>
      <c r="Y4158">
        <v>94464</v>
      </c>
    </row>
    <row r="4159" spans="1:25" ht="15" hidden="1" customHeight="1" x14ac:dyDescent="0.25">
      <c r="A4159" s="1" t="s">
        <v>42</v>
      </c>
      <c r="B4159" s="1"/>
      <c r="C4159" s="1" t="s">
        <v>241</v>
      </c>
      <c r="D4159">
        <v>14008</v>
      </c>
      <c r="E4159" s="1" t="s">
        <v>243</v>
      </c>
      <c r="F4159" s="1" t="s">
        <v>241</v>
      </c>
      <c r="G4159" s="1" t="s">
        <v>241</v>
      </c>
      <c r="H4159" s="1" t="s">
        <v>1405</v>
      </c>
      <c r="I4159">
        <v>2015</v>
      </c>
      <c r="J4159" s="93">
        <v>2132</v>
      </c>
      <c r="K4159">
        <v>1</v>
      </c>
      <c r="L4159" s="1" t="s">
        <v>425</v>
      </c>
      <c r="M4159">
        <v>0</v>
      </c>
      <c r="N4159">
        <v>10</v>
      </c>
      <c r="O4159">
        <v>29.755445000000002</v>
      </c>
      <c r="P4159">
        <v>2</v>
      </c>
      <c r="Q4159" s="1" t="s">
        <v>569</v>
      </c>
      <c r="R4159" s="93">
        <v>300.52999999999997</v>
      </c>
      <c r="S4159">
        <v>90.16</v>
      </c>
      <c r="T4159">
        <v>0</v>
      </c>
      <c r="U4159" s="1" t="s">
        <v>1128</v>
      </c>
      <c r="V4159" s="1"/>
      <c r="W4159">
        <v>300.52999999999997</v>
      </c>
      <c r="X4159">
        <v>0</v>
      </c>
      <c r="Y4159">
        <v>94464</v>
      </c>
    </row>
    <row r="4160" spans="1:25" ht="15" hidden="1" customHeight="1" x14ac:dyDescent="0.25">
      <c r="A4160" s="1" t="s">
        <v>42</v>
      </c>
      <c r="B4160" s="1"/>
      <c r="C4160" s="1" t="s">
        <v>241</v>
      </c>
      <c r="D4160">
        <v>14008</v>
      </c>
      <c r="E4160" s="1" t="s">
        <v>243</v>
      </c>
      <c r="F4160" s="1" t="s">
        <v>241</v>
      </c>
      <c r="G4160" s="1" t="s">
        <v>241</v>
      </c>
      <c r="H4160" s="1" t="s">
        <v>1405</v>
      </c>
      <c r="I4160">
        <v>2013</v>
      </c>
      <c r="J4160" s="93">
        <v>1495.61</v>
      </c>
      <c r="K4160">
        <v>2</v>
      </c>
      <c r="L4160" s="1" t="s">
        <v>425</v>
      </c>
      <c r="M4160">
        <v>0</v>
      </c>
      <c r="N4160">
        <v>10</v>
      </c>
      <c r="O4160">
        <v>148.080198</v>
      </c>
      <c r="P4160">
        <v>2</v>
      </c>
      <c r="Q4160" s="1" t="s">
        <v>569</v>
      </c>
      <c r="R4160" s="93">
        <v>1495.61</v>
      </c>
      <c r="S4160">
        <v>448.68</v>
      </c>
      <c r="T4160">
        <v>0</v>
      </c>
      <c r="U4160" s="1" t="s">
        <v>1128</v>
      </c>
      <c r="V4160" s="1"/>
      <c r="W4160">
        <v>1495.6075900000001</v>
      </c>
      <c r="X4160">
        <v>0</v>
      </c>
      <c r="Y4160">
        <v>94464</v>
      </c>
    </row>
    <row r="4161" spans="1:25" ht="15" hidden="1" customHeight="1" x14ac:dyDescent="0.25">
      <c r="A4161" s="1" t="s">
        <v>40</v>
      </c>
      <c r="B4161" s="1"/>
      <c r="C4161" s="1" t="s">
        <v>210</v>
      </c>
      <c r="D4161">
        <v>10275</v>
      </c>
      <c r="E4161" s="1"/>
      <c r="F4161" s="1" t="s">
        <v>348</v>
      </c>
      <c r="G4161" s="1" t="s">
        <v>210</v>
      </c>
      <c r="H4161" s="1" t="s">
        <v>1396</v>
      </c>
      <c r="I4161">
        <v>2014</v>
      </c>
      <c r="J4161" s="93">
        <v>10497.57</v>
      </c>
      <c r="K4161">
        <v>12</v>
      </c>
      <c r="L4161" s="1"/>
      <c r="M4161">
        <v>0</v>
      </c>
      <c r="N4161">
        <v>551</v>
      </c>
      <c r="O4161">
        <v>19.048393999999998</v>
      </c>
      <c r="P4161">
        <v>2</v>
      </c>
      <c r="Q4161" s="1" t="s">
        <v>569</v>
      </c>
      <c r="R4161" s="93">
        <v>10497.57</v>
      </c>
      <c r="S4161">
        <v>3149.27</v>
      </c>
      <c r="T4161">
        <v>0</v>
      </c>
      <c r="U4161" s="1" t="s">
        <v>1129</v>
      </c>
      <c r="V4161" s="1" t="s">
        <v>1348</v>
      </c>
      <c r="W4161">
        <v>10497.559300000001</v>
      </c>
      <c r="X4161">
        <v>0</v>
      </c>
      <c r="Y4161">
        <v>92619</v>
      </c>
    </row>
    <row r="4162" spans="1:25" ht="15" hidden="1" customHeight="1" x14ac:dyDescent="0.25">
      <c r="A4162" s="1" t="s">
        <v>40</v>
      </c>
      <c r="B4162" s="1"/>
      <c r="C4162" s="1" t="s">
        <v>210</v>
      </c>
      <c r="D4162">
        <v>10275</v>
      </c>
      <c r="E4162" s="1"/>
      <c r="F4162" s="1" t="s">
        <v>348</v>
      </c>
      <c r="G4162" s="1" t="s">
        <v>210</v>
      </c>
      <c r="H4162" s="1" t="s">
        <v>1396</v>
      </c>
      <c r="I4162">
        <v>2014</v>
      </c>
      <c r="J4162" s="93">
        <v>361.2</v>
      </c>
      <c r="K4162">
        <v>12</v>
      </c>
      <c r="L4162" s="1" t="s">
        <v>457</v>
      </c>
      <c r="M4162">
        <v>0</v>
      </c>
      <c r="N4162">
        <v>551</v>
      </c>
      <c r="O4162">
        <v>0.655416</v>
      </c>
      <c r="P4162">
        <v>3</v>
      </c>
      <c r="Q4162" s="1" t="s">
        <v>560</v>
      </c>
      <c r="R4162" s="93">
        <v>361.2</v>
      </c>
      <c r="S4162">
        <v>288.95999999999998</v>
      </c>
      <c r="T4162">
        <v>0</v>
      </c>
      <c r="U4162" s="1" t="s">
        <v>720</v>
      </c>
      <c r="V4162" s="1"/>
      <c r="W4162">
        <v>361.2</v>
      </c>
      <c r="X4162">
        <v>0</v>
      </c>
      <c r="Y4162">
        <v>77669</v>
      </c>
    </row>
    <row r="4163" spans="1:25" ht="15" hidden="1" customHeight="1" x14ac:dyDescent="0.25">
      <c r="A4163" s="1" t="s">
        <v>40</v>
      </c>
      <c r="B4163" s="1"/>
      <c r="C4163" s="1" t="s">
        <v>210</v>
      </c>
      <c r="D4163">
        <v>10275</v>
      </c>
      <c r="E4163" s="1"/>
      <c r="F4163" s="1" t="s">
        <v>348</v>
      </c>
      <c r="G4163" s="1" t="s">
        <v>210</v>
      </c>
      <c r="H4163" s="1" t="s">
        <v>1396</v>
      </c>
      <c r="I4163">
        <v>2014</v>
      </c>
      <c r="J4163" s="93">
        <v>74784.92</v>
      </c>
      <c r="K4163">
        <v>12</v>
      </c>
      <c r="L4163" s="1" t="s">
        <v>457</v>
      </c>
      <c r="M4163">
        <v>0</v>
      </c>
      <c r="N4163">
        <v>551</v>
      </c>
      <c r="O4163">
        <v>135.701179</v>
      </c>
      <c r="P4163">
        <v>1</v>
      </c>
      <c r="Q4163" s="1" t="s">
        <v>564</v>
      </c>
      <c r="R4163" s="93">
        <v>74784.92</v>
      </c>
      <c r="S4163">
        <v>15815.62</v>
      </c>
      <c r="T4163">
        <v>0</v>
      </c>
      <c r="U4163" s="1" t="s">
        <v>901</v>
      </c>
      <c r="V4163" s="1" t="s">
        <v>1226</v>
      </c>
      <c r="W4163">
        <v>6924.53</v>
      </c>
      <c r="X4163">
        <v>0</v>
      </c>
      <c r="Y4163">
        <v>77675</v>
      </c>
    </row>
    <row r="4164" spans="1:25" ht="15" hidden="1" customHeight="1" x14ac:dyDescent="0.25">
      <c r="A4164" s="1" t="s">
        <v>40</v>
      </c>
      <c r="B4164" s="1"/>
      <c r="C4164" s="1" t="s">
        <v>227</v>
      </c>
      <c r="D4164">
        <v>10276</v>
      </c>
      <c r="E4164" s="1"/>
      <c r="F4164" s="1" t="s">
        <v>367</v>
      </c>
      <c r="G4164" s="1" t="s">
        <v>227</v>
      </c>
      <c r="H4164" s="1" t="s">
        <v>1396</v>
      </c>
      <c r="I4164">
        <v>2014</v>
      </c>
      <c r="J4164" s="93">
        <v>4012.98</v>
      </c>
      <c r="K4164">
        <v>12</v>
      </c>
      <c r="L4164" s="1"/>
      <c r="M4164">
        <v>0</v>
      </c>
      <c r="N4164">
        <v>0</v>
      </c>
      <c r="O4164">
        <v>40129.800000000003</v>
      </c>
      <c r="P4164">
        <v>2</v>
      </c>
      <c r="Q4164" s="1" t="s">
        <v>569</v>
      </c>
      <c r="R4164" s="93">
        <v>4012.98</v>
      </c>
      <c r="S4164">
        <v>1882.1</v>
      </c>
      <c r="T4164">
        <v>0</v>
      </c>
      <c r="U4164" s="1"/>
      <c r="V4164" s="1"/>
      <c r="W4164">
        <v>4012.9987000000001</v>
      </c>
      <c r="X4164">
        <v>0</v>
      </c>
      <c r="Y4164">
        <v>90594</v>
      </c>
    </row>
    <row r="4165" spans="1:25" ht="15" hidden="1" customHeight="1" x14ac:dyDescent="0.25">
      <c r="A4165" s="1" t="s">
        <v>40</v>
      </c>
      <c r="B4165" s="1"/>
      <c r="C4165" s="1" t="s">
        <v>227</v>
      </c>
      <c r="D4165">
        <v>10276</v>
      </c>
      <c r="E4165" s="1"/>
      <c r="F4165" s="1" t="s">
        <v>367</v>
      </c>
      <c r="G4165" s="1" t="s">
        <v>227</v>
      </c>
      <c r="H4165" s="1" t="s">
        <v>1396</v>
      </c>
      <c r="I4165">
        <v>2014</v>
      </c>
      <c r="J4165" s="93">
        <v>11406</v>
      </c>
      <c r="K4165">
        <v>12</v>
      </c>
      <c r="L4165" s="1" t="s">
        <v>457</v>
      </c>
      <c r="M4165">
        <v>0</v>
      </c>
      <c r="N4165">
        <v>0</v>
      </c>
      <c r="O4165">
        <v>114060</v>
      </c>
      <c r="P4165">
        <v>1</v>
      </c>
      <c r="Q4165" s="1" t="s">
        <v>564</v>
      </c>
      <c r="R4165" s="93">
        <v>11406</v>
      </c>
      <c r="S4165">
        <v>2412.16</v>
      </c>
      <c r="T4165">
        <v>0</v>
      </c>
      <c r="U4165" s="1" t="s">
        <v>902</v>
      </c>
      <c r="V4165" s="1" t="s">
        <v>1227</v>
      </c>
      <c r="W4165">
        <v>1056.1099999999999</v>
      </c>
      <c r="X4165">
        <v>0</v>
      </c>
      <c r="Y4165">
        <v>77670</v>
      </c>
    </row>
    <row r="4166" spans="1:25" ht="15" hidden="1" customHeight="1" x14ac:dyDescent="0.25">
      <c r="A4166" s="1" t="s">
        <v>40</v>
      </c>
      <c r="B4166" s="1"/>
      <c r="C4166" s="1" t="s">
        <v>211</v>
      </c>
      <c r="D4166">
        <v>10277</v>
      </c>
      <c r="E4166" s="1"/>
      <c r="F4166" s="1" t="s">
        <v>349</v>
      </c>
      <c r="G4166" s="1" t="s">
        <v>211</v>
      </c>
      <c r="H4166" s="1" t="s">
        <v>1396</v>
      </c>
      <c r="I4166">
        <v>2014</v>
      </c>
      <c r="J4166" s="93">
        <v>81.2</v>
      </c>
      <c r="K4166">
        <v>12</v>
      </c>
      <c r="L4166" s="1" t="s">
        <v>410</v>
      </c>
      <c r="M4166">
        <v>0</v>
      </c>
      <c r="N4166">
        <v>304</v>
      </c>
      <c r="O4166">
        <v>0.267017</v>
      </c>
      <c r="P4166">
        <v>3</v>
      </c>
      <c r="Q4166" s="1" t="s">
        <v>560</v>
      </c>
      <c r="R4166" s="93">
        <v>81.2</v>
      </c>
      <c r="S4166">
        <v>64.959999999999994</v>
      </c>
      <c r="T4166">
        <v>0</v>
      </c>
      <c r="U4166" s="1" t="s">
        <v>721</v>
      </c>
      <c r="V4166" s="1"/>
      <c r="W4166">
        <v>81.2</v>
      </c>
      <c r="X4166">
        <v>0</v>
      </c>
      <c r="Y4166">
        <v>77673</v>
      </c>
    </row>
    <row r="4167" spans="1:25" ht="15" hidden="1" customHeight="1" x14ac:dyDescent="0.25">
      <c r="A4167" s="1" t="s">
        <v>40</v>
      </c>
      <c r="B4167" s="1"/>
      <c r="C4167" s="1" t="s">
        <v>211</v>
      </c>
      <c r="D4167">
        <v>10277</v>
      </c>
      <c r="E4167" s="1"/>
      <c r="F4167" s="1" t="s">
        <v>349</v>
      </c>
      <c r="G4167" s="1" t="s">
        <v>211</v>
      </c>
      <c r="H4167" s="1" t="s">
        <v>1396</v>
      </c>
      <c r="I4167">
        <v>2014</v>
      </c>
      <c r="J4167" s="93">
        <v>6323.73</v>
      </c>
      <c r="K4167">
        <v>12</v>
      </c>
      <c r="L4167" s="1" t="s">
        <v>410</v>
      </c>
      <c r="M4167">
        <v>0</v>
      </c>
      <c r="N4167">
        <v>304</v>
      </c>
      <c r="O4167">
        <v>20.794902</v>
      </c>
      <c r="P4167">
        <v>2</v>
      </c>
      <c r="Q4167" s="1" t="s">
        <v>569</v>
      </c>
      <c r="R4167" s="93">
        <v>6323.73</v>
      </c>
      <c r="S4167">
        <v>1897.13</v>
      </c>
      <c r="T4167">
        <v>0</v>
      </c>
      <c r="U4167" s="1" t="s">
        <v>1131</v>
      </c>
      <c r="V4167" s="1" t="s">
        <v>1349</v>
      </c>
      <c r="W4167">
        <v>6323.7349999999997</v>
      </c>
      <c r="X4167">
        <v>0</v>
      </c>
      <c r="Y4167">
        <v>77671</v>
      </c>
    </row>
    <row r="4168" spans="1:25" ht="15" hidden="1" customHeight="1" x14ac:dyDescent="0.25">
      <c r="A4168" s="1" t="s">
        <v>40</v>
      </c>
      <c r="B4168" s="1"/>
      <c r="C4168" s="1" t="s">
        <v>211</v>
      </c>
      <c r="D4168">
        <v>10277</v>
      </c>
      <c r="E4168" s="1"/>
      <c r="F4168" s="1" t="s">
        <v>349</v>
      </c>
      <c r="G4168" s="1" t="s">
        <v>211</v>
      </c>
      <c r="H4168" s="1" t="s">
        <v>1396</v>
      </c>
      <c r="I4168">
        <v>2014</v>
      </c>
      <c r="J4168" s="93">
        <v>26030.82</v>
      </c>
      <c r="K4168">
        <v>12</v>
      </c>
      <c r="L4168" s="1" t="s">
        <v>410</v>
      </c>
      <c r="M4168">
        <v>0</v>
      </c>
      <c r="N4168">
        <v>304</v>
      </c>
      <c r="O4168">
        <v>85.599538999999993</v>
      </c>
      <c r="P4168">
        <v>1</v>
      </c>
      <c r="Q4168" s="1" t="s">
        <v>566</v>
      </c>
      <c r="R4168" s="93">
        <v>26030.82</v>
      </c>
      <c r="S4168">
        <v>5308.42</v>
      </c>
      <c r="T4168">
        <v>0</v>
      </c>
      <c r="U4168" s="1" t="s">
        <v>903</v>
      </c>
      <c r="V4168" s="1" t="s">
        <v>1228</v>
      </c>
      <c r="W4168">
        <v>2324.1799999999998</v>
      </c>
      <c r="X4168">
        <v>0</v>
      </c>
      <c r="Y4168">
        <v>77672</v>
      </c>
    </row>
    <row r="4169" spans="1:25" ht="15" hidden="1" customHeight="1" x14ac:dyDescent="0.25">
      <c r="A4169" s="1" t="s">
        <v>40</v>
      </c>
      <c r="B4169" s="1"/>
      <c r="C4169" s="1" t="s">
        <v>211</v>
      </c>
      <c r="D4169">
        <v>10277</v>
      </c>
      <c r="E4169" s="1"/>
      <c r="F4169" s="1" t="s">
        <v>349</v>
      </c>
      <c r="G4169" s="1" t="s">
        <v>211</v>
      </c>
      <c r="H4169" s="1" t="s">
        <v>1396</v>
      </c>
      <c r="I4169">
        <v>2015</v>
      </c>
      <c r="J4169" s="93">
        <v>44</v>
      </c>
      <c r="K4169">
        <v>5</v>
      </c>
      <c r="L4169" s="1" t="s">
        <v>410</v>
      </c>
      <c r="M4169">
        <v>0</v>
      </c>
      <c r="N4169">
        <v>304</v>
      </c>
      <c r="O4169">
        <v>0.14468900000000001</v>
      </c>
      <c r="P4169">
        <v>3</v>
      </c>
      <c r="Q4169" s="1" t="s">
        <v>560</v>
      </c>
      <c r="R4169" s="93">
        <v>44</v>
      </c>
      <c r="S4169">
        <v>35.200000000000003</v>
      </c>
      <c r="T4169">
        <v>0</v>
      </c>
      <c r="U4169" s="1" t="s">
        <v>721</v>
      </c>
      <c r="V4169" s="1"/>
      <c r="W4169">
        <v>44</v>
      </c>
      <c r="X4169">
        <v>0</v>
      </c>
      <c r="Y4169">
        <v>77673</v>
      </c>
    </row>
    <row r="4170" spans="1:25" ht="15" hidden="1" customHeight="1" x14ac:dyDescent="0.25">
      <c r="A4170" s="1" t="s">
        <v>40</v>
      </c>
      <c r="B4170" s="1"/>
      <c r="C4170" s="1" t="s">
        <v>211</v>
      </c>
      <c r="D4170">
        <v>10277</v>
      </c>
      <c r="E4170" s="1"/>
      <c r="F4170" s="1" t="s">
        <v>349</v>
      </c>
      <c r="G4170" s="1" t="s">
        <v>211</v>
      </c>
      <c r="H4170" s="1" t="s">
        <v>1396</v>
      </c>
      <c r="I4170">
        <v>2013</v>
      </c>
      <c r="J4170" s="93">
        <v>58.63</v>
      </c>
      <c r="K4170">
        <v>13</v>
      </c>
      <c r="L4170" s="1" t="s">
        <v>410</v>
      </c>
      <c r="M4170">
        <v>0</v>
      </c>
      <c r="N4170">
        <v>304</v>
      </c>
      <c r="O4170">
        <v>0.192798</v>
      </c>
      <c r="P4170">
        <v>3</v>
      </c>
      <c r="Q4170" s="1" t="s">
        <v>560</v>
      </c>
      <c r="R4170" s="93">
        <v>58.63</v>
      </c>
      <c r="S4170">
        <v>46.89</v>
      </c>
      <c r="T4170">
        <v>0</v>
      </c>
      <c r="U4170" s="1" t="s">
        <v>721</v>
      </c>
      <c r="V4170" s="1"/>
      <c r="W4170">
        <v>58.619990000000001</v>
      </c>
      <c r="X4170">
        <v>0</v>
      </c>
      <c r="Y4170">
        <v>77673</v>
      </c>
    </row>
    <row r="4171" spans="1:25" ht="15" hidden="1" customHeight="1" x14ac:dyDescent="0.25">
      <c r="A4171" s="1" t="s">
        <v>40</v>
      </c>
      <c r="B4171" s="1"/>
      <c r="C4171" s="1" t="s">
        <v>211</v>
      </c>
      <c r="D4171">
        <v>10277</v>
      </c>
      <c r="E4171" s="1"/>
      <c r="F4171" s="1" t="s">
        <v>349</v>
      </c>
      <c r="G4171" s="1" t="s">
        <v>211</v>
      </c>
      <c r="H4171" s="1" t="s">
        <v>1396</v>
      </c>
      <c r="I4171">
        <v>2012</v>
      </c>
      <c r="J4171" s="93">
        <v>133.28</v>
      </c>
      <c r="K4171">
        <v>12</v>
      </c>
      <c r="L4171" s="1" t="s">
        <v>410</v>
      </c>
      <c r="M4171">
        <v>0</v>
      </c>
      <c r="N4171">
        <v>304</v>
      </c>
      <c r="O4171">
        <v>0.438276</v>
      </c>
      <c r="P4171">
        <v>3</v>
      </c>
      <c r="Q4171" s="1" t="s">
        <v>560</v>
      </c>
      <c r="R4171" s="93">
        <v>133.28</v>
      </c>
      <c r="S4171">
        <v>106.61</v>
      </c>
      <c r="T4171">
        <v>0</v>
      </c>
      <c r="U4171" s="1" t="s">
        <v>721</v>
      </c>
      <c r="V4171" s="1"/>
      <c r="W4171">
        <v>133.24856</v>
      </c>
      <c r="X4171">
        <v>0</v>
      </c>
      <c r="Y4171">
        <v>77673</v>
      </c>
    </row>
    <row r="4172" spans="1:25" ht="15" hidden="1" customHeight="1" x14ac:dyDescent="0.25">
      <c r="A4172" s="1" t="s">
        <v>40</v>
      </c>
      <c r="B4172" s="1"/>
      <c r="C4172" s="1" t="s">
        <v>211</v>
      </c>
      <c r="D4172">
        <v>10277</v>
      </c>
      <c r="E4172" s="1"/>
      <c r="F4172" s="1" t="s">
        <v>349</v>
      </c>
      <c r="G4172" s="1" t="s">
        <v>211</v>
      </c>
      <c r="H4172" s="1" t="s">
        <v>1396</v>
      </c>
      <c r="I4172">
        <v>2011</v>
      </c>
      <c r="J4172" s="93">
        <v>29.64</v>
      </c>
      <c r="K4172">
        <v>4</v>
      </c>
      <c r="L4172" s="1" t="s">
        <v>410</v>
      </c>
      <c r="M4172">
        <v>0</v>
      </c>
      <c r="N4172">
        <v>304</v>
      </c>
      <c r="O4172">
        <v>9.7466999999999998E-2</v>
      </c>
      <c r="P4172">
        <v>3</v>
      </c>
      <c r="Q4172" s="1" t="s">
        <v>560</v>
      </c>
      <c r="R4172" s="93">
        <v>29.64</v>
      </c>
      <c r="S4172">
        <v>23.71</v>
      </c>
      <c r="T4172">
        <v>0</v>
      </c>
      <c r="U4172" s="1" t="s">
        <v>721</v>
      </c>
      <c r="V4172" s="1"/>
      <c r="W4172">
        <v>29.631440000000001</v>
      </c>
      <c r="X4172">
        <v>0</v>
      </c>
      <c r="Y4172">
        <v>77673</v>
      </c>
    </row>
    <row r="4173" spans="1:25" ht="15" hidden="1" customHeight="1" x14ac:dyDescent="0.25">
      <c r="A4173" s="1" t="s">
        <v>40</v>
      </c>
      <c r="B4173" s="1"/>
      <c r="C4173" s="1" t="s">
        <v>211</v>
      </c>
      <c r="D4173">
        <v>10277</v>
      </c>
      <c r="E4173" s="1"/>
      <c r="F4173" s="1" t="s">
        <v>349</v>
      </c>
      <c r="G4173" s="1" t="s">
        <v>211</v>
      </c>
      <c r="H4173" s="1" t="s">
        <v>1396</v>
      </c>
      <c r="I4173">
        <v>2010</v>
      </c>
      <c r="J4173" s="93">
        <v>36.19</v>
      </c>
      <c r="K4173">
        <v>3</v>
      </c>
      <c r="L4173" s="1" t="s">
        <v>410</v>
      </c>
      <c r="M4173">
        <v>0</v>
      </c>
      <c r="N4173">
        <v>304</v>
      </c>
      <c r="O4173">
        <v>0.119006</v>
      </c>
      <c r="P4173">
        <v>3</v>
      </c>
      <c r="Q4173" s="1" t="s">
        <v>560</v>
      </c>
      <c r="R4173" s="93">
        <v>36.19</v>
      </c>
      <c r="S4173">
        <v>28.96</v>
      </c>
      <c r="T4173">
        <v>0</v>
      </c>
      <c r="U4173" s="1" t="s">
        <v>721</v>
      </c>
      <c r="V4173" s="1"/>
      <c r="W4173">
        <v>36.19999</v>
      </c>
      <c r="X4173">
        <v>0</v>
      </c>
      <c r="Y4173">
        <v>77673</v>
      </c>
    </row>
    <row r="4174" spans="1:25" ht="15" hidden="1" customHeight="1" x14ac:dyDescent="0.25">
      <c r="A4174" s="1" t="s">
        <v>40</v>
      </c>
      <c r="B4174" s="1"/>
      <c r="C4174" s="1" t="s">
        <v>211</v>
      </c>
      <c r="D4174">
        <v>10277</v>
      </c>
      <c r="E4174" s="1"/>
      <c r="F4174" s="1" t="s">
        <v>349</v>
      </c>
      <c r="G4174" s="1" t="s">
        <v>211</v>
      </c>
      <c r="H4174" s="1" t="s">
        <v>1396</v>
      </c>
      <c r="I4174">
        <v>2009</v>
      </c>
      <c r="J4174" s="93">
        <v>35.159999999999997</v>
      </c>
      <c r="K4174">
        <v>2</v>
      </c>
      <c r="L4174" s="1" t="s">
        <v>410</v>
      </c>
      <c r="M4174">
        <v>0</v>
      </c>
      <c r="N4174">
        <v>304</v>
      </c>
      <c r="O4174">
        <v>0.115619</v>
      </c>
      <c r="P4174">
        <v>3</v>
      </c>
      <c r="Q4174" s="1" t="s">
        <v>560</v>
      </c>
      <c r="R4174" s="93">
        <v>35.159999999999997</v>
      </c>
      <c r="S4174">
        <v>28.14</v>
      </c>
      <c r="T4174">
        <v>0</v>
      </c>
      <c r="U4174" s="1" t="s">
        <v>721</v>
      </c>
      <c r="V4174" s="1"/>
      <c r="W4174">
        <v>35.163640000000001</v>
      </c>
      <c r="X4174">
        <v>0</v>
      </c>
      <c r="Y4174">
        <v>77673</v>
      </c>
    </row>
    <row r="4175" spans="1:25" ht="15" hidden="1" customHeight="1" x14ac:dyDescent="0.25">
      <c r="A4175" s="1" t="s">
        <v>40</v>
      </c>
      <c r="B4175" s="1"/>
      <c r="C4175" s="1" t="s">
        <v>211</v>
      </c>
      <c r="D4175">
        <v>10277</v>
      </c>
      <c r="E4175" s="1"/>
      <c r="F4175" s="1" t="s">
        <v>349</v>
      </c>
      <c r="G4175" s="1" t="s">
        <v>211</v>
      </c>
      <c r="H4175" s="1" t="s">
        <v>1396</v>
      </c>
      <c r="I4175">
        <v>2008</v>
      </c>
      <c r="J4175" s="93">
        <v>29.58</v>
      </c>
      <c r="K4175">
        <v>3</v>
      </c>
      <c r="L4175" s="1" t="s">
        <v>410</v>
      </c>
      <c r="M4175">
        <v>0</v>
      </c>
      <c r="N4175">
        <v>304</v>
      </c>
      <c r="O4175">
        <v>9.7269999999999995E-2</v>
      </c>
      <c r="P4175">
        <v>3</v>
      </c>
      <c r="Q4175" s="1" t="s">
        <v>560</v>
      </c>
      <c r="R4175" s="93">
        <v>29.58</v>
      </c>
      <c r="S4175">
        <v>23.64</v>
      </c>
      <c r="T4175">
        <v>0</v>
      </c>
      <c r="U4175" s="1" t="s">
        <v>721</v>
      </c>
      <c r="V4175" s="1"/>
      <c r="W4175">
        <v>29.565370000000001</v>
      </c>
      <c r="X4175">
        <v>0</v>
      </c>
      <c r="Y4175">
        <v>77673</v>
      </c>
    </row>
    <row r="4176" spans="1:25" ht="15" hidden="1" customHeight="1" x14ac:dyDescent="0.25">
      <c r="A4176" s="1" t="s">
        <v>40</v>
      </c>
      <c r="B4176" s="1" t="s">
        <v>85</v>
      </c>
      <c r="C4176" s="1" t="s">
        <v>212</v>
      </c>
      <c r="D4176">
        <v>13360</v>
      </c>
      <c r="E4176" s="1" t="s">
        <v>243</v>
      </c>
      <c r="F4176" s="1" t="s">
        <v>350</v>
      </c>
      <c r="G4176" s="1" t="s">
        <v>212</v>
      </c>
      <c r="H4176" s="1" t="s">
        <v>1396</v>
      </c>
      <c r="I4176">
        <v>2015</v>
      </c>
      <c r="J4176" s="93">
        <v>32.43</v>
      </c>
      <c r="K4176">
        <v>5</v>
      </c>
      <c r="L4176" s="1" t="s">
        <v>410</v>
      </c>
      <c r="M4176">
        <v>0</v>
      </c>
      <c r="N4176">
        <v>317</v>
      </c>
      <c r="O4176">
        <v>0.10227</v>
      </c>
      <c r="P4176">
        <v>3</v>
      </c>
      <c r="Q4176" s="1" t="s">
        <v>560</v>
      </c>
      <c r="R4176" s="93">
        <v>32.43</v>
      </c>
      <c r="S4176">
        <v>25.95</v>
      </c>
      <c r="T4176">
        <v>0</v>
      </c>
      <c r="U4176" s="1" t="s">
        <v>722</v>
      </c>
      <c r="V4176" s="1"/>
      <c r="W4176">
        <v>32.436999999999998</v>
      </c>
      <c r="X4176">
        <v>0</v>
      </c>
      <c r="Y4176">
        <v>89450</v>
      </c>
    </row>
    <row r="4177" spans="1:25" ht="15" hidden="1" customHeight="1" x14ac:dyDescent="0.25">
      <c r="A4177" s="1" t="s">
        <v>40</v>
      </c>
      <c r="B4177" s="1" t="s">
        <v>85</v>
      </c>
      <c r="C4177" s="1" t="s">
        <v>212</v>
      </c>
      <c r="D4177">
        <v>13360</v>
      </c>
      <c r="E4177" s="1" t="s">
        <v>243</v>
      </c>
      <c r="F4177" s="1" t="s">
        <v>350</v>
      </c>
      <c r="G4177" s="1" t="s">
        <v>212</v>
      </c>
      <c r="H4177" s="1" t="s">
        <v>1396</v>
      </c>
      <c r="I4177">
        <v>2013</v>
      </c>
      <c r="J4177" s="93">
        <v>111.08</v>
      </c>
      <c r="K4177">
        <v>13</v>
      </c>
      <c r="L4177" s="1" t="s">
        <v>410</v>
      </c>
      <c r="M4177">
        <v>0</v>
      </c>
      <c r="N4177">
        <v>317</v>
      </c>
      <c r="O4177">
        <v>0.35029900000000003</v>
      </c>
      <c r="P4177">
        <v>3</v>
      </c>
      <c r="Q4177" s="1" t="s">
        <v>560</v>
      </c>
      <c r="R4177" s="93">
        <v>111.08</v>
      </c>
      <c r="S4177">
        <v>88.85</v>
      </c>
      <c r="T4177">
        <v>0</v>
      </c>
      <c r="U4177" s="1" t="s">
        <v>722</v>
      </c>
      <c r="V4177" s="1"/>
      <c r="W4177">
        <v>111.06910999999999</v>
      </c>
      <c r="X4177">
        <v>0</v>
      </c>
      <c r="Y4177">
        <v>89450</v>
      </c>
    </row>
    <row r="4178" spans="1:25" ht="15" hidden="1" customHeight="1" x14ac:dyDescent="0.25">
      <c r="A4178" s="1" t="s">
        <v>40</v>
      </c>
      <c r="B4178" s="1" t="s">
        <v>85</v>
      </c>
      <c r="C4178" s="1" t="s">
        <v>212</v>
      </c>
      <c r="D4178">
        <v>13360</v>
      </c>
      <c r="E4178" s="1" t="s">
        <v>243</v>
      </c>
      <c r="F4178" s="1" t="s">
        <v>350</v>
      </c>
      <c r="G4178" s="1" t="s">
        <v>212</v>
      </c>
      <c r="H4178" s="1" t="s">
        <v>1396</v>
      </c>
      <c r="I4178">
        <v>2012</v>
      </c>
      <c r="J4178" s="93">
        <v>156.22999999999999</v>
      </c>
      <c r="K4178">
        <v>12</v>
      </c>
      <c r="L4178" s="1" t="s">
        <v>410</v>
      </c>
      <c r="M4178">
        <v>0</v>
      </c>
      <c r="N4178">
        <v>317</v>
      </c>
      <c r="O4178">
        <v>0.49268299999999998</v>
      </c>
      <c r="P4178">
        <v>3</v>
      </c>
      <c r="Q4178" s="1" t="s">
        <v>560</v>
      </c>
      <c r="R4178" s="93">
        <v>156.22999999999999</v>
      </c>
      <c r="S4178">
        <v>124.96</v>
      </c>
      <c r="T4178">
        <v>0</v>
      </c>
      <c r="U4178" s="1" t="s">
        <v>722</v>
      </c>
      <c r="V4178" s="1"/>
      <c r="W4178">
        <v>156.22290000000001</v>
      </c>
      <c r="X4178">
        <v>0</v>
      </c>
      <c r="Y4178">
        <v>89450</v>
      </c>
    </row>
    <row r="4179" spans="1:25" ht="15" hidden="1" customHeight="1" x14ac:dyDescent="0.25">
      <c r="A4179" s="1" t="s">
        <v>40</v>
      </c>
      <c r="B4179" s="1" t="s">
        <v>85</v>
      </c>
      <c r="C4179" s="1" t="s">
        <v>212</v>
      </c>
      <c r="D4179">
        <v>13360</v>
      </c>
      <c r="E4179" s="1" t="s">
        <v>243</v>
      </c>
      <c r="F4179" s="1" t="s">
        <v>350</v>
      </c>
      <c r="G4179" s="1" t="s">
        <v>212</v>
      </c>
      <c r="H4179" s="1" t="s">
        <v>1396</v>
      </c>
      <c r="I4179">
        <v>2011</v>
      </c>
      <c r="J4179" s="93">
        <v>75</v>
      </c>
      <c r="K4179">
        <v>5</v>
      </c>
      <c r="L4179" s="1" t="s">
        <v>410</v>
      </c>
      <c r="M4179">
        <v>0</v>
      </c>
      <c r="N4179">
        <v>317</v>
      </c>
      <c r="O4179">
        <v>0.23651800000000001</v>
      </c>
      <c r="P4179">
        <v>3</v>
      </c>
      <c r="Q4179" s="1" t="s">
        <v>560</v>
      </c>
      <c r="R4179" s="93">
        <v>75</v>
      </c>
      <c r="S4179">
        <v>60</v>
      </c>
      <c r="T4179">
        <v>0</v>
      </c>
      <c r="U4179" s="1" t="s">
        <v>722</v>
      </c>
      <c r="V4179" s="1"/>
      <c r="W4179">
        <v>75.01097</v>
      </c>
      <c r="X4179">
        <v>0</v>
      </c>
      <c r="Y4179">
        <v>89450</v>
      </c>
    </row>
    <row r="4180" spans="1:25" ht="15" hidden="1" customHeight="1" x14ac:dyDescent="0.25">
      <c r="A4180" s="1" t="s">
        <v>40</v>
      </c>
      <c r="B4180" s="1"/>
      <c r="C4180" s="1" t="s">
        <v>218</v>
      </c>
      <c r="D4180">
        <v>11035</v>
      </c>
      <c r="E4180" s="1"/>
      <c r="F4180" s="1" t="s">
        <v>353</v>
      </c>
      <c r="G4180" s="1" t="s">
        <v>218</v>
      </c>
      <c r="H4180" s="1" t="s">
        <v>1396</v>
      </c>
      <c r="I4180">
        <v>2015</v>
      </c>
      <c r="J4180" s="93">
        <v>49.59</v>
      </c>
      <c r="K4180">
        <v>5</v>
      </c>
      <c r="L4180" s="1" t="s">
        <v>459</v>
      </c>
      <c r="M4180">
        <v>0</v>
      </c>
      <c r="N4180">
        <v>225</v>
      </c>
      <c r="O4180">
        <v>0.220302</v>
      </c>
      <c r="P4180">
        <v>3</v>
      </c>
      <c r="Q4180" s="1" t="s">
        <v>560</v>
      </c>
      <c r="R4180" s="93">
        <v>49.59</v>
      </c>
      <c r="S4180">
        <v>39.68</v>
      </c>
      <c r="T4180">
        <v>0</v>
      </c>
      <c r="U4180" s="1" t="s">
        <v>739</v>
      </c>
      <c r="V4180" s="1"/>
      <c r="W4180">
        <v>49.585999999999999</v>
      </c>
      <c r="X4180">
        <v>0</v>
      </c>
      <c r="Y4180">
        <v>79963</v>
      </c>
    </row>
    <row r="4181" spans="1:25" ht="15" hidden="1" customHeight="1" x14ac:dyDescent="0.25">
      <c r="A4181" s="1" t="s">
        <v>40</v>
      </c>
      <c r="B4181" s="1"/>
      <c r="C4181" s="1" t="s">
        <v>218</v>
      </c>
      <c r="D4181">
        <v>11035</v>
      </c>
      <c r="E4181" s="1"/>
      <c r="F4181" s="1" t="s">
        <v>353</v>
      </c>
      <c r="G4181" s="1" t="s">
        <v>218</v>
      </c>
      <c r="H4181" s="1" t="s">
        <v>1396</v>
      </c>
      <c r="I4181">
        <v>2013</v>
      </c>
      <c r="J4181" s="93">
        <v>98.62</v>
      </c>
      <c r="K4181">
        <v>12</v>
      </c>
      <c r="L4181" s="1" t="s">
        <v>459</v>
      </c>
      <c r="M4181">
        <v>0</v>
      </c>
      <c r="N4181">
        <v>225</v>
      </c>
      <c r="O4181">
        <v>0.43811600000000001</v>
      </c>
      <c r="P4181">
        <v>3</v>
      </c>
      <c r="Q4181" s="1" t="s">
        <v>560</v>
      </c>
      <c r="R4181" s="93">
        <v>98.62</v>
      </c>
      <c r="S4181">
        <v>78.89</v>
      </c>
      <c r="T4181">
        <v>0</v>
      </c>
      <c r="U4181" s="1" t="s">
        <v>739</v>
      </c>
      <c r="V4181" s="1"/>
      <c r="W4181">
        <v>98.62</v>
      </c>
      <c r="X4181">
        <v>0</v>
      </c>
      <c r="Y4181">
        <v>79963</v>
      </c>
    </row>
    <row r="4182" spans="1:25" ht="15" hidden="1" customHeight="1" x14ac:dyDescent="0.25">
      <c r="A4182" s="1" t="s">
        <v>40</v>
      </c>
      <c r="B4182" s="1"/>
      <c r="C4182" s="1" t="s">
        <v>218</v>
      </c>
      <c r="D4182">
        <v>11035</v>
      </c>
      <c r="E4182" s="1"/>
      <c r="F4182" s="1" t="s">
        <v>353</v>
      </c>
      <c r="G4182" s="1" t="s">
        <v>218</v>
      </c>
      <c r="H4182" s="1" t="s">
        <v>1396</v>
      </c>
      <c r="I4182">
        <v>2012</v>
      </c>
      <c r="J4182" s="93">
        <v>151.33000000000001</v>
      </c>
      <c r="K4182">
        <v>13</v>
      </c>
      <c r="L4182" s="1" t="s">
        <v>459</v>
      </c>
      <c r="M4182">
        <v>0</v>
      </c>
      <c r="N4182">
        <v>225</v>
      </c>
      <c r="O4182">
        <v>0.67227800000000004</v>
      </c>
      <c r="P4182">
        <v>3</v>
      </c>
      <c r="Q4182" s="1" t="s">
        <v>560</v>
      </c>
      <c r="R4182" s="93">
        <v>151.33000000000001</v>
      </c>
      <c r="S4182">
        <v>121.08</v>
      </c>
      <c r="T4182">
        <v>0</v>
      </c>
      <c r="U4182" s="1" t="s">
        <v>739</v>
      </c>
      <c r="V4182" s="1"/>
      <c r="W4182">
        <v>151.35004000000001</v>
      </c>
      <c r="X4182">
        <v>0</v>
      </c>
      <c r="Y4182">
        <v>79963</v>
      </c>
    </row>
    <row r="4183" spans="1:25" ht="15" hidden="1" customHeight="1" x14ac:dyDescent="0.25">
      <c r="A4183" s="1" t="s">
        <v>40</v>
      </c>
      <c r="B4183" s="1"/>
      <c r="C4183" s="1" t="s">
        <v>218</v>
      </c>
      <c r="D4183">
        <v>11035</v>
      </c>
      <c r="E4183" s="1"/>
      <c r="F4183" s="1" t="s">
        <v>353</v>
      </c>
      <c r="G4183" s="1" t="s">
        <v>218</v>
      </c>
      <c r="H4183" s="1" t="s">
        <v>1396</v>
      </c>
      <c r="I4183">
        <v>2011</v>
      </c>
      <c r="J4183" s="93">
        <v>93.48</v>
      </c>
      <c r="K4183">
        <v>6</v>
      </c>
      <c r="L4183" s="1" t="s">
        <v>459</v>
      </c>
      <c r="M4183">
        <v>0</v>
      </c>
      <c r="N4183">
        <v>225</v>
      </c>
      <c r="O4183">
        <v>0.41528199999999998</v>
      </c>
      <c r="P4183">
        <v>3</v>
      </c>
      <c r="Q4183" s="1" t="s">
        <v>560</v>
      </c>
      <c r="R4183" s="93">
        <v>93.48</v>
      </c>
      <c r="S4183">
        <v>74.790000000000006</v>
      </c>
      <c r="T4183">
        <v>0</v>
      </c>
      <c r="U4183" s="1" t="s">
        <v>739</v>
      </c>
      <c r="V4183" s="1"/>
      <c r="W4183">
        <v>93.472430000000003</v>
      </c>
      <c r="X4183">
        <v>0</v>
      </c>
      <c r="Y4183">
        <v>79963</v>
      </c>
    </row>
    <row r="4184" spans="1:25" ht="15" hidden="1" customHeight="1" x14ac:dyDescent="0.25">
      <c r="A4184" s="1" t="s">
        <v>40</v>
      </c>
      <c r="B4184" s="1"/>
      <c r="C4184" s="1" t="s">
        <v>218</v>
      </c>
      <c r="D4184">
        <v>11035</v>
      </c>
      <c r="E4184" s="1"/>
      <c r="F4184" s="1" t="s">
        <v>353</v>
      </c>
      <c r="G4184" s="1" t="s">
        <v>218</v>
      </c>
      <c r="H4184" s="1" t="s">
        <v>1396</v>
      </c>
      <c r="I4184">
        <v>2010</v>
      </c>
      <c r="J4184" s="93">
        <v>152.01</v>
      </c>
      <c r="K4184">
        <v>4</v>
      </c>
      <c r="L4184" s="1" t="s">
        <v>459</v>
      </c>
      <c r="M4184">
        <v>0</v>
      </c>
      <c r="N4184">
        <v>225</v>
      </c>
      <c r="O4184">
        <v>0.67529899999999998</v>
      </c>
      <c r="P4184">
        <v>3</v>
      </c>
      <c r="Q4184" s="1" t="s">
        <v>560</v>
      </c>
      <c r="R4184" s="93">
        <v>152.01</v>
      </c>
      <c r="S4184">
        <v>121.6</v>
      </c>
      <c r="T4184">
        <v>0</v>
      </c>
      <c r="U4184" s="1" t="s">
        <v>739</v>
      </c>
      <c r="V4184" s="1"/>
      <c r="W4184">
        <v>152.00151</v>
      </c>
      <c r="X4184">
        <v>0</v>
      </c>
      <c r="Y4184">
        <v>79963</v>
      </c>
    </row>
    <row r="4185" spans="1:25" ht="15" hidden="1" customHeight="1" x14ac:dyDescent="0.25">
      <c r="A4185" s="1" t="s">
        <v>40</v>
      </c>
      <c r="B4185" s="1"/>
      <c r="C4185" s="1" t="s">
        <v>218</v>
      </c>
      <c r="D4185">
        <v>11035</v>
      </c>
      <c r="E4185" s="1"/>
      <c r="F4185" s="1" t="s">
        <v>353</v>
      </c>
      <c r="G4185" s="1" t="s">
        <v>218</v>
      </c>
      <c r="H4185" s="1" t="s">
        <v>1396</v>
      </c>
      <c r="I4185">
        <v>2009</v>
      </c>
      <c r="J4185" s="93">
        <v>126.25</v>
      </c>
      <c r="K4185">
        <v>2</v>
      </c>
      <c r="L4185" s="1" t="s">
        <v>459</v>
      </c>
      <c r="M4185">
        <v>0</v>
      </c>
      <c r="N4185">
        <v>225</v>
      </c>
      <c r="O4185">
        <v>0.56086100000000005</v>
      </c>
      <c r="P4185">
        <v>3</v>
      </c>
      <c r="Q4185" s="1" t="s">
        <v>560</v>
      </c>
      <c r="R4185" s="93">
        <v>126.25</v>
      </c>
      <c r="S4185">
        <v>101.03</v>
      </c>
      <c r="T4185">
        <v>0</v>
      </c>
      <c r="U4185" s="1" t="s">
        <v>739</v>
      </c>
      <c r="V4185" s="1"/>
      <c r="W4185">
        <v>126.28269</v>
      </c>
      <c r="X4185">
        <v>0</v>
      </c>
      <c r="Y4185">
        <v>79963</v>
      </c>
    </row>
    <row r="4186" spans="1:25" ht="15" hidden="1" customHeight="1" x14ac:dyDescent="0.25">
      <c r="A4186" s="1" t="s">
        <v>40</v>
      </c>
      <c r="B4186" s="1"/>
      <c r="C4186" s="1" t="s">
        <v>218</v>
      </c>
      <c r="D4186">
        <v>11035</v>
      </c>
      <c r="E4186" s="1"/>
      <c r="F4186" s="1" t="s">
        <v>353</v>
      </c>
      <c r="G4186" s="1" t="s">
        <v>218</v>
      </c>
      <c r="H4186" s="1" t="s">
        <v>1396</v>
      </c>
      <c r="I4186">
        <v>2008</v>
      </c>
      <c r="J4186" s="93">
        <v>21.1</v>
      </c>
      <c r="K4186">
        <v>2</v>
      </c>
      <c r="L4186" s="1" t="s">
        <v>459</v>
      </c>
      <c r="M4186">
        <v>0</v>
      </c>
      <c r="N4186">
        <v>225</v>
      </c>
      <c r="O4186">
        <v>9.3736E-2</v>
      </c>
      <c r="P4186">
        <v>3</v>
      </c>
      <c r="Q4186" s="1" t="s">
        <v>560</v>
      </c>
      <c r="R4186" s="93">
        <v>21.1</v>
      </c>
      <c r="S4186">
        <v>16.88</v>
      </c>
      <c r="T4186">
        <v>0</v>
      </c>
      <c r="U4186" s="1" t="s">
        <v>739</v>
      </c>
      <c r="V4186" s="1"/>
      <c r="W4186">
        <v>21.1</v>
      </c>
      <c r="X4186">
        <v>0</v>
      </c>
      <c r="Y4186">
        <v>79963</v>
      </c>
    </row>
    <row r="4187" spans="1:25" ht="15" hidden="1" customHeight="1" x14ac:dyDescent="0.25">
      <c r="A4187" s="1" t="s">
        <v>40</v>
      </c>
      <c r="B4187" s="1" t="s">
        <v>94</v>
      </c>
      <c r="C4187" s="1" t="s">
        <v>224</v>
      </c>
      <c r="D4187">
        <v>5465</v>
      </c>
      <c r="E4187" s="1"/>
      <c r="F4187" s="1" t="s">
        <v>224</v>
      </c>
      <c r="G4187" s="1" t="s">
        <v>224</v>
      </c>
      <c r="H4187" s="1" t="s">
        <v>1396</v>
      </c>
      <c r="I4187">
        <v>2015</v>
      </c>
      <c r="J4187" s="93">
        <v>56.07</v>
      </c>
      <c r="K4187">
        <v>5</v>
      </c>
      <c r="L4187" s="1"/>
      <c r="M4187">
        <v>0</v>
      </c>
      <c r="N4187">
        <v>1384</v>
      </c>
      <c r="O4187">
        <v>4.0509999999999997E-2</v>
      </c>
      <c r="P4187">
        <v>3</v>
      </c>
      <c r="Q4187" s="1" t="s">
        <v>560</v>
      </c>
      <c r="R4187" s="93">
        <v>56.07</v>
      </c>
      <c r="S4187">
        <v>44.86</v>
      </c>
      <c r="T4187">
        <v>0</v>
      </c>
      <c r="U4187" s="1" t="s">
        <v>747</v>
      </c>
      <c r="V4187" s="1"/>
      <c r="W4187">
        <v>56.07</v>
      </c>
      <c r="X4187">
        <v>0</v>
      </c>
      <c r="Y4187">
        <v>57761</v>
      </c>
    </row>
    <row r="4188" spans="1:25" ht="15" hidden="1" customHeight="1" x14ac:dyDescent="0.25">
      <c r="A4188" s="1" t="s">
        <v>40</v>
      </c>
      <c r="B4188" s="1" t="s">
        <v>94</v>
      </c>
      <c r="C4188" s="1" t="s">
        <v>224</v>
      </c>
      <c r="D4188">
        <v>5465</v>
      </c>
      <c r="E4188" s="1"/>
      <c r="F4188" s="1" t="s">
        <v>224</v>
      </c>
      <c r="G4188" s="1" t="s">
        <v>224</v>
      </c>
      <c r="H4188" s="1" t="s">
        <v>1396</v>
      </c>
      <c r="I4188">
        <v>2015</v>
      </c>
      <c r="J4188" s="93">
        <v>12.06</v>
      </c>
      <c r="K4188">
        <v>5</v>
      </c>
      <c r="L4188" s="1"/>
      <c r="M4188">
        <v>0</v>
      </c>
      <c r="N4188">
        <v>1384</v>
      </c>
      <c r="O4188">
        <v>8.7130000000000003E-3</v>
      </c>
      <c r="P4188">
        <v>3</v>
      </c>
      <c r="Q4188" s="1" t="s">
        <v>560</v>
      </c>
      <c r="R4188" s="93">
        <v>12.06</v>
      </c>
      <c r="S4188">
        <v>9.64</v>
      </c>
      <c r="T4188">
        <v>1</v>
      </c>
      <c r="U4188" s="1" t="s">
        <v>748</v>
      </c>
      <c r="V4188" s="1"/>
      <c r="W4188">
        <v>12.06</v>
      </c>
      <c r="X4188">
        <v>0</v>
      </c>
      <c r="Y4188">
        <v>58121</v>
      </c>
    </row>
    <row r="4189" spans="1:25" ht="15" hidden="1" customHeight="1" x14ac:dyDescent="0.25">
      <c r="A4189" s="1" t="s">
        <v>40</v>
      </c>
      <c r="B4189" s="1" t="s">
        <v>94</v>
      </c>
      <c r="C4189" s="1" t="s">
        <v>224</v>
      </c>
      <c r="D4189">
        <v>5465</v>
      </c>
      <c r="E4189" s="1"/>
      <c r="F4189" s="1" t="s">
        <v>224</v>
      </c>
      <c r="G4189" s="1" t="s">
        <v>224</v>
      </c>
      <c r="H4189" s="1" t="s">
        <v>1396</v>
      </c>
      <c r="I4189">
        <v>2013</v>
      </c>
      <c r="J4189" s="93">
        <v>158.62</v>
      </c>
      <c r="K4189">
        <v>12</v>
      </c>
      <c r="L4189" s="1"/>
      <c r="M4189">
        <v>0</v>
      </c>
      <c r="N4189">
        <v>1384</v>
      </c>
      <c r="O4189">
        <v>0.11460099999999999</v>
      </c>
      <c r="P4189">
        <v>3</v>
      </c>
      <c r="Q4189" s="1" t="s">
        <v>560</v>
      </c>
      <c r="R4189" s="93">
        <v>158.62</v>
      </c>
      <c r="S4189">
        <v>126.91</v>
      </c>
      <c r="T4189">
        <v>0</v>
      </c>
      <c r="U4189" s="1" t="s">
        <v>747</v>
      </c>
      <c r="V4189" s="1"/>
      <c r="W4189">
        <v>158.62</v>
      </c>
      <c r="X4189">
        <v>0</v>
      </c>
      <c r="Y4189">
        <v>57761</v>
      </c>
    </row>
    <row r="4190" spans="1:25" ht="15" hidden="1" customHeight="1" x14ac:dyDescent="0.25">
      <c r="A4190" s="1" t="s">
        <v>40</v>
      </c>
      <c r="B4190" s="1" t="s">
        <v>94</v>
      </c>
      <c r="C4190" s="1" t="s">
        <v>224</v>
      </c>
      <c r="D4190">
        <v>5465</v>
      </c>
      <c r="E4190" s="1"/>
      <c r="F4190" s="1" t="s">
        <v>224</v>
      </c>
      <c r="G4190" s="1" t="s">
        <v>224</v>
      </c>
      <c r="H4190" s="1" t="s">
        <v>1396</v>
      </c>
      <c r="I4190">
        <v>2013</v>
      </c>
      <c r="J4190" s="93">
        <v>32.78</v>
      </c>
      <c r="K4190">
        <v>12</v>
      </c>
      <c r="L4190" s="1"/>
      <c r="M4190">
        <v>0</v>
      </c>
      <c r="N4190">
        <v>1384</v>
      </c>
      <c r="O4190">
        <v>2.3682999999999999E-2</v>
      </c>
      <c r="P4190">
        <v>3</v>
      </c>
      <c r="Q4190" s="1" t="s">
        <v>560</v>
      </c>
      <c r="R4190" s="93">
        <v>32.78</v>
      </c>
      <c r="S4190">
        <v>26.21</v>
      </c>
      <c r="T4190">
        <v>1</v>
      </c>
      <c r="U4190" s="1" t="s">
        <v>748</v>
      </c>
      <c r="V4190" s="1"/>
      <c r="W4190">
        <v>32.78</v>
      </c>
      <c r="X4190">
        <v>0</v>
      </c>
      <c r="Y4190">
        <v>58121</v>
      </c>
    </row>
    <row r="4191" spans="1:25" ht="15" hidden="1" customHeight="1" x14ac:dyDescent="0.25">
      <c r="A4191" s="1" t="s">
        <v>40</v>
      </c>
      <c r="B4191" s="1" t="s">
        <v>94</v>
      </c>
      <c r="C4191" s="1" t="s">
        <v>224</v>
      </c>
      <c r="D4191">
        <v>5465</v>
      </c>
      <c r="E4191" s="1"/>
      <c r="F4191" s="1" t="s">
        <v>224</v>
      </c>
      <c r="G4191" s="1" t="s">
        <v>224</v>
      </c>
      <c r="H4191" s="1" t="s">
        <v>1396</v>
      </c>
      <c r="I4191">
        <v>2012</v>
      </c>
      <c r="J4191" s="93">
        <v>164.71</v>
      </c>
      <c r="K4191">
        <v>12</v>
      </c>
      <c r="L4191" s="1"/>
      <c r="M4191">
        <v>0</v>
      </c>
      <c r="N4191">
        <v>1384</v>
      </c>
      <c r="O4191">
        <v>0.119001</v>
      </c>
      <c r="P4191">
        <v>3</v>
      </c>
      <c r="Q4191" s="1" t="s">
        <v>560</v>
      </c>
      <c r="R4191" s="93">
        <v>164.71</v>
      </c>
      <c r="S4191">
        <v>131.78</v>
      </c>
      <c r="T4191">
        <v>0</v>
      </c>
      <c r="U4191" s="1" t="s">
        <v>747</v>
      </c>
      <c r="V4191" s="1"/>
      <c r="W4191">
        <v>164.71</v>
      </c>
      <c r="X4191">
        <v>0</v>
      </c>
      <c r="Y4191">
        <v>57761</v>
      </c>
    </row>
    <row r="4192" spans="1:25" ht="15" hidden="1" customHeight="1" x14ac:dyDescent="0.25">
      <c r="A4192" s="1" t="s">
        <v>40</v>
      </c>
      <c r="B4192" s="1" t="s">
        <v>94</v>
      </c>
      <c r="C4192" s="1" t="s">
        <v>224</v>
      </c>
      <c r="D4192">
        <v>5465</v>
      </c>
      <c r="E4192" s="1"/>
      <c r="F4192" s="1" t="s">
        <v>224</v>
      </c>
      <c r="G4192" s="1" t="s">
        <v>224</v>
      </c>
      <c r="H4192" s="1" t="s">
        <v>1396</v>
      </c>
      <c r="I4192">
        <v>2012</v>
      </c>
      <c r="J4192" s="93">
        <v>34.619999999999997</v>
      </c>
      <c r="K4192">
        <v>12</v>
      </c>
      <c r="L4192" s="1"/>
      <c r="M4192">
        <v>0</v>
      </c>
      <c r="N4192">
        <v>1384</v>
      </c>
      <c r="O4192">
        <v>2.5012E-2</v>
      </c>
      <c r="P4192">
        <v>3</v>
      </c>
      <c r="Q4192" s="1" t="s">
        <v>560</v>
      </c>
      <c r="R4192" s="93">
        <v>34.619999999999997</v>
      </c>
      <c r="S4192">
        <v>27.69</v>
      </c>
      <c r="T4192">
        <v>1</v>
      </c>
      <c r="U4192" s="1" t="s">
        <v>748</v>
      </c>
      <c r="V4192" s="1"/>
      <c r="W4192">
        <v>34.619999999999997</v>
      </c>
      <c r="X4192">
        <v>0</v>
      </c>
      <c r="Y4192">
        <v>58121</v>
      </c>
    </row>
    <row r="4193" spans="1:25" ht="15" hidden="1" customHeight="1" x14ac:dyDescent="0.25">
      <c r="A4193" s="1" t="s">
        <v>40</v>
      </c>
      <c r="B4193" s="1" t="s">
        <v>94</v>
      </c>
      <c r="C4193" s="1" t="s">
        <v>224</v>
      </c>
      <c r="D4193">
        <v>5465</v>
      </c>
      <c r="E4193" s="1"/>
      <c r="F4193" s="1" t="s">
        <v>224</v>
      </c>
      <c r="G4193" s="1" t="s">
        <v>224</v>
      </c>
      <c r="H4193" s="1" t="s">
        <v>1396</v>
      </c>
      <c r="I4193">
        <v>2011</v>
      </c>
      <c r="J4193" s="93">
        <v>184.98</v>
      </c>
      <c r="K4193">
        <v>12</v>
      </c>
      <c r="L4193" s="1"/>
      <c r="M4193">
        <v>0</v>
      </c>
      <c r="N4193">
        <v>1384</v>
      </c>
      <c r="O4193">
        <v>0.13364599999999999</v>
      </c>
      <c r="P4193">
        <v>3</v>
      </c>
      <c r="Q4193" s="1" t="s">
        <v>560</v>
      </c>
      <c r="R4193" s="93">
        <v>184.98</v>
      </c>
      <c r="S4193">
        <v>147.99</v>
      </c>
      <c r="T4193">
        <v>0</v>
      </c>
      <c r="U4193" s="1" t="s">
        <v>747</v>
      </c>
      <c r="V4193" s="1"/>
      <c r="W4193">
        <v>184.98</v>
      </c>
      <c r="X4193">
        <v>0</v>
      </c>
      <c r="Y4193">
        <v>57761</v>
      </c>
    </row>
    <row r="4194" spans="1:25" ht="15" hidden="1" customHeight="1" x14ac:dyDescent="0.25">
      <c r="A4194" s="1" t="s">
        <v>40</v>
      </c>
      <c r="B4194" s="1" t="s">
        <v>94</v>
      </c>
      <c r="C4194" s="1" t="s">
        <v>224</v>
      </c>
      <c r="D4194">
        <v>5465</v>
      </c>
      <c r="E4194" s="1"/>
      <c r="F4194" s="1" t="s">
        <v>224</v>
      </c>
      <c r="G4194" s="1" t="s">
        <v>224</v>
      </c>
      <c r="H4194" s="1" t="s">
        <v>1396</v>
      </c>
      <c r="I4194">
        <v>2011</v>
      </c>
      <c r="J4194" s="93">
        <v>31.31</v>
      </c>
      <c r="K4194">
        <v>12</v>
      </c>
      <c r="L4194" s="1"/>
      <c r="M4194">
        <v>0</v>
      </c>
      <c r="N4194">
        <v>1384</v>
      </c>
      <c r="O4194">
        <v>2.2620999999999999E-2</v>
      </c>
      <c r="P4194">
        <v>3</v>
      </c>
      <c r="Q4194" s="1" t="s">
        <v>560</v>
      </c>
      <c r="R4194" s="93">
        <v>31.31</v>
      </c>
      <c r="S4194">
        <v>25.04</v>
      </c>
      <c r="T4194">
        <v>1</v>
      </c>
      <c r="U4194" s="1" t="s">
        <v>748</v>
      </c>
      <c r="V4194" s="1"/>
      <c r="W4194">
        <v>31.31</v>
      </c>
      <c r="X4194">
        <v>0</v>
      </c>
      <c r="Y4194">
        <v>58121</v>
      </c>
    </row>
    <row r="4195" spans="1:25" ht="15" hidden="1" customHeight="1" x14ac:dyDescent="0.25">
      <c r="A4195" s="1" t="s">
        <v>40</v>
      </c>
      <c r="B4195" s="1" t="s">
        <v>94</v>
      </c>
      <c r="C4195" s="1" t="s">
        <v>224</v>
      </c>
      <c r="D4195">
        <v>5465</v>
      </c>
      <c r="E4195" s="1"/>
      <c r="F4195" s="1" t="s">
        <v>224</v>
      </c>
      <c r="G4195" s="1" t="s">
        <v>224</v>
      </c>
      <c r="H4195" s="1" t="s">
        <v>1396</v>
      </c>
      <c r="I4195">
        <v>2010</v>
      </c>
      <c r="J4195" s="93">
        <v>193.04</v>
      </c>
      <c r="K4195">
        <v>12</v>
      </c>
      <c r="L4195" s="1"/>
      <c r="M4195">
        <v>0</v>
      </c>
      <c r="N4195">
        <v>1384</v>
      </c>
      <c r="O4195">
        <v>0.13946900000000001</v>
      </c>
      <c r="P4195">
        <v>3</v>
      </c>
      <c r="Q4195" s="1" t="s">
        <v>560</v>
      </c>
      <c r="R4195" s="93">
        <v>193.04</v>
      </c>
      <c r="S4195">
        <v>154.43</v>
      </c>
      <c r="T4195">
        <v>0</v>
      </c>
      <c r="U4195" s="1" t="s">
        <v>747</v>
      </c>
      <c r="V4195" s="1"/>
      <c r="W4195">
        <v>193.04</v>
      </c>
      <c r="X4195">
        <v>0</v>
      </c>
      <c r="Y4195">
        <v>57761</v>
      </c>
    </row>
    <row r="4196" spans="1:25" ht="15" hidden="1" customHeight="1" x14ac:dyDescent="0.25">
      <c r="A4196" s="1" t="s">
        <v>40</v>
      </c>
      <c r="B4196" s="1" t="s">
        <v>94</v>
      </c>
      <c r="C4196" s="1" t="s">
        <v>224</v>
      </c>
      <c r="D4196">
        <v>5465</v>
      </c>
      <c r="E4196" s="1"/>
      <c r="F4196" s="1" t="s">
        <v>224</v>
      </c>
      <c r="G4196" s="1" t="s">
        <v>224</v>
      </c>
      <c r="H4196" s="1" t="s">
        <v>1396</v>
      </c>
      <c r="I4196">
        <v>2010</v>
      </c>
      <c r="J4196" s="93">
        <v>36.69</v>
      </c>
      <c r="K4196">
        <v>12</v>
      </c>
      <c r="L4196" s="1"/>
      <c r="M4196">
        <v>0</v>
      </c>
      <c r="N4196">
        <v>1384</v>
      </c>
      <c r="O4196">
        <v>2.6508E-2</v>
      </c>
      <c r="P4196">
        <v>3</v>
      </c>
      <c r="Q4196" s="1" t="s">
        <v>560</v>
      </c>
      <c r="R4196" s="93">
        <v>36.69</v>
      </c>
      <c r="S4196">
        <v>29.35</v>
      </c>
      <c r="T4196">
        <v>1</v>
      </c>
      <c r="U4196" s="1" t="s">
        <v>748</v>
      </c>
      <c r="V4196" s="1"/>
      <c r="W4196">
        <v>36.69</v>
      </c>
      <c r="X4196">
        <v>0</v>
      </c>
      <c r="Y4196">
        <v>58121</v>
      </c>
    </row>
    <row r="4197" spans="1:25" ht="15" hidden="1" customHeight="1" x14ac:dyDescent="0.25">
      <c r="A4197" s="1" t="s">
        <v>40</v>
      </c>
      <c r="B4197" s="1" t="s">
        <v>94</v>
      </c>
      <c r="C4197" s="1" t="s">
        <v>224</v>
      </c>
      <c r="D4197">
        <v>5465</v>
      </c>
      <c r="E4197" s="1"/>
      <c r="F4197" s="1" t="s">
        <v>224</v>
      </c>
      <c r="G4197" s="1" t="s">
        <v>224</v>
      </c>
      <c r="H4197" s="1" t="s">
        <v>1396</v>
      </c>
      <c r="I4197">
        <v>2009</v>
      </c>
      <c r="J4197" s="93">
        <v>138.66999999999999</v>
      </c>
      <c r="K4197">
        <v>12</v>
      </c>
      <c r="L4197" s="1"/>
      <c r="M4197">
        <v>0</v>
      </c>
      <c r="N4197">
        <v>1384</v>
      </c>
      <c r="O4197">
        <v>0.100187</v>
      </c>
      <c r="P4197">
        <v>3</v>
      </c>
      <c r="Q4197" s="1" t="s">
        <v>560</v>
      </c>
      <c r="R4197" s="93">
        <v>138.66999999999999</v>
      </c>
      <c r="S4197">
        <v>110.94</v>
      </c>
      <c r="T4197">
        <v>0</v>
      </c>
      <c r="U4197" s="1" t="s">
        <v>747</v>
      </c>
      <c r="V4197" s="1"/>
      <c r="W4197">
        <v>138.66999999999999</v>
      </c>
      <c r="X4197">
        <v>0</v>
      </c>
      <c r="Y4197">
        <v>57761</v>
      </c>
    </row>
    <row r="4198" spans="1:25" ht="15" hidden="1" customHeight="1" x14ac:dyDescent="0.25">
      <c r="A4198" s="1" t="s">
        <v>40</v>
      </c>
      <c r="B4198" s="1" t="s">
        <v>94</v>
      </c>
      <c r="C4198" s="1" t="s">
        <v>224</v>
      </c>
      <c r="D4198">
        <v>5465</v>
      </c>
      <c r="E4198" s="1"/>
      <c r="F4198" s="1" t="s">
        <v>224</v>
      </c>
      <c r="G4198" s="1" t="s">
        <v>224</v>
      </c>
      <c r="H4198" s="1" t="s">
        <v>1396</v>
      </c>
      <c r="I4198">
        <v>2009</v>
      </c>
      <c r="J4198" s="93">
        <v>27.92</v>
      </c>
      <c r="K4198">
        <v>12</v>
      </c>
      <c r="L4198" s="1"/>
      <c r="M4198">
        <v>0</v>
      </c>
      <c r="N4198">
        <v>1384</v>
      </c>
      <c r="O4198">
        <v>2.0171000000000001E-2</v>
      </c>
      <c r="P4198">
        <v>3</v>
      </c>
      <c r="Q4198" s="1" t="s">
        <v>560</v>
      </c>
      <c r="R4198" s="93">
        <v>27.92</v>
      </c>
      <c r="S4198">
        <v>22.33</v>
      </c>
      <c r="T4198">
        <v>1</v>
      </c>
      <c r="U4198" s="1" t="s">
        <v>748</v>
      </c>
      <c r="V4198" s="1"/>
      <c r="W4198">
        <v>27.92</v>
      </c>
      <c r="X4198">
        <v>0</v>
      </c>
      <c r="Y4198">
        <v>58121</v>
      </c>
    </row>
    <row r="4199" spans="1:25" ht="15" hidden="1" customHeight="1" x14ac:dyDescent="0.25">
      <c r="A4199" s="1" t="s">
        <v>40</v>
      </c>
      <c r="B4199" s="1" t="s">
        <v>94</v>
      </c>
      <c r="C4199" s="1" t="s">
        <v>224</v>
      </c>
      <c r="D4199">
        <v>5465</v>
      </c>
      <c r="E4199" s="1"/>
      <c r="F4199" s="1" t="s">
        <v>224</v>
      </c>
      <c r="G4199" s="1" t="s">
        <v>224</v>
      </c>
      <c r="H4199" s="1" t="s">
        <v>1396</v>
      </c>
      <c r="I4199">
        <v>2008</v>
      </c>
      <c r="J4199" s="93">
        <v>112.81</v>
      </c>
      <c r="K4199">
        <v>12</v>
      </c>
      <c r="L4199" s="1"/>
      <c r="M4199">
        <v>0</v>
      </c>
      <c r="N4199">
        <v>1384</v>
      </c>
      <c r="O4199">
        <v>8.1503999999999993E-2</v>
      </c>
      <c r="P4199">
        <v>3</v>
      </c>
      <c r="Q4199" s="1" t="s">
        <v>560</v>
      </c>
      <c r="R4199" s="93">
        <v>112.81</v>
      </c>
      <c r="S4199">
        <v>90.24</v>
      </c>
      <c r="T4199">
        <v>0</v>
      </c>
      <c r="U4199" s="1" t="s">
        <v>747</v>
      </c>
      <c r="V4199" s="1"/>
      <c r="W4199">
        <v>112.81</v>
      </c>
      <c r="X4199">
        <v>0</v>
      </c>
      <c r="Y4199">
        <v>57761</v>
      </c>
    </row>
    <row r="4200" spans="1:25" ht="15" hidden="1" customHeight="1" x14ac:dyDescent="0.25">
      <c r="A4200" s="1" t="s">
        <v>40</v>
      </c>
      <c r="B4200" s="1" t="s">
        <v>94</v>
      </c>
      <c r="C4200" s="1" t="s">
        <v>224</v>
      </c>
      <c r="D4200">
        <v>5465</v>
      </c>
      <c r="E4200" s="1"/>
      <c r="F4200" s="1" t="s">
        <v>224</v>
      </c>
      <c r="G4200" s="1" t="s">
        <v>224</v>
      </c>
      <c r="H4200" s="1" t="s">
        <v>1396</v>
      </c>
      <c r="I4200">
        <v>2008</v>
      </c>
      <c r="J4200" s="93">
        <v>24.67</v>
      </c>
      <c r="K4200">
        <v>12</v>
      </c>
      <c r="L4200" s="1"/>
      <c r="M4200">
        <v>0</v>
      </c>
      <c r="N4200">
        <v>1384</v>
      </c>
      <c r="O4200">
        <v>1.7822999999999999E-2</v>
      </c>
      <c r="P4200">
        <v>3</v>
      </c>
      <c r="Q4200" s="1" t="s">
        <v>560</v>
      </c>
      <c r="R4200" s="93">
        <v>24.67</v>
      </c>
      <c r="S4200">
        <v>19.75</v>
      </c>
      <c r="T4200">
        <v>1</v>
      </c>
      <c r="U4200" s="1" t="s">
        <v>748</v>
      </c>
      <c r="V4200" s="1"/>
      <c r="W4200">
        <v>24.67</v>
      </c>
      <c r="X4200">
        <v>0</v>
      </c>
      <c r="Y4200">
        <v>58121</v>
      </c>
    </row>
    <row r="4201" spans="1:25" ht="15" hidden="1" customHeight="1" x14ac:dyDescent="0.25">
      <c r="A4201" s="1" t="s">
        <v>40</v>
      </c>
      <c r="B4201" s="1"/>
      <c r="C4201" s="1" t="s">
        <v>225</v>
      </c>
      <c r="D4201">
        <v>13825</v>
      </c>
      <c r="E4201" s="1"/>
      <c r="F4201" s="1" t="s">
        <v>358</v>
      </c>
      <c r="G4201" s="1" t="s">
        <v>225</v>
      </c>
      <c r="H4201" s="1" t="s">
        <v>1396</v>
      </c>
      <c r="I4201">
        <v>2015</v>
      </c>
      <c r="J4201" s="93">
        <v>160.81</v>
      </c>
      <c r="K4201">
        <v>5</v>
      </c>
      <c r="L4201" s="1" t="s">
        <v>462</v>
      </c>
      <c r="M4201">
        <v>0</v>
      </c>
      <c r="N4201">
        <v>739</v>
      </c>
      <c r="O4201">
        <v>0.21757499999999999</v>
      </c>
      <c r="P4201">
        <v>3</v>
      </c>
      <c r="Q4201" s="1" t="s">
        <v>560</v>
      </c>
      <c r="R4201" s="93">
        <v>160.81</v>
      </c>
      <c r="S4201">
        <v>128.65</v>
      </c>
      <c r="T4201">
        <v>0</v>
      </c>
      <c r="U4201" s="1" t="s">
        <v>749</v>
      </c>
      <c r="V4201" s="1"/>
      <c r="W4201">
        <v>160.804</v>
      </c>
      <c r="X4201">
        <v>0</v>
      </c>
      <c r="Y4201">
        <v>91848</v>
      </c>
    </row>
    <row r="4202" spans="1:25" ht="15" hidden="1" customHeight="1" x14ac:dyDescent="0.25">
      <c r="A4202" s="1" t="s">
        <v>40</v>
      </c>
      <c r="B4202" s="1"/>
      <c r="C4202" s="1" t="s">
        <v>225</v>
      </c>
      <c r="D4202">
        <v>13825</v>
      </c>
      <c r="E4202" s="1"/>
      <c r="F4202" s="1" t="s">
        <v>358</v>
      </c>
      <c r="G4202" s="1" t="s">
        <v>225</v>
      </c>
      <c r="H4202" s="1" t="s">
        <v>1396</v>
      </c>
      <c r="I4202">
        <v>2013</v>
      </c>
      <c r="J4202" s="93">
        <v>317.04000000000002</v>
      </c>
      <c r="K4202">
        <v>7</v>
      </c>
      <c r="L4202" s="1" t="s">
        <v>462</v>
      </c>
      <c r="M4202">
        <v>0</v>
      </c>
      <c r="N4202">
        <v>739</v>
      </c>
      <c r="O4202">
        <v>0.428954</v>
      </c>
      <c r="P4202">
        <v>3</v>
      </c>
      <c r="Q4202" s="1" t="s">
        <v>560</v>
      </c>
      <c r="R4202" s="93">
        <v>317.04000000000002</v>
      </c>
      <c r="S4202">
        <v>253.6</v>
      </c>
      <c r="T4202">
        <v>0</v>
      </c>
      <c r="U4202" s="1" t="s">
        <v>749</v>
      </c>
      <c r="V4202" s="1"/>
      <c r="W4202">
        <v>317.03100000000001</v>
      </c>
      <c r="X4202">
        <v>0</v>
      </c>
      <c r="Y4202">
        <v>91848</v>
      </c>
    </row>
    <row r="4203" spans="1:25" ht="15" hidden="1" customHeight="1" x14ac:dyDescent="0.25">
      <c r="A4203" s="1" t="s">
        <v>40</v>
      </c>
      <c r="B4203" s="1" t="s">
        <v>85</v>
      </c>
      <c r="C4203" s="1" t="s">
        <v>212</v>
      </c>
      <c r="D4203">
        <v>13360</v>
      </c>
      <c r="E4203" s="1" t="s">
        <v>243</v>
      </c>
      <c r="F4203" s="1" t="s">
        <v>350</v>
      </c>
      <c r="G4203" s="1" t="s">
        <v>212</v>
      </c>
      <c r="H4203" s="1" t="s">
        <v>1396</v>
      </c>
      <c r="I4203">
        <v>2014</v>
      </c>
      <c r="J4203" s="93">
        <v>94.34</v>
      </c>
      <c r="K4203">
        <v>12</v>
      </c>
      <c r="L4203" s="1" t="s">
        <v>410</v>
      </c>
      <c r="M4203">
        <v>0</v>
      </c>
      <c r="N4203">
        <v>317</v>
      </c>
      <c r="O4203">
        <v>0.29750799999999999</v>
      </c>
      <c r="P4203">
        <v>3</v>
      </c>
      <c r="Q4203" s="1" t="s">
        <v>560</v>
      </c>
      <c r="R4203" s="93">
        <v>94.34</v>
      </c>
      <c r="S4203">
        <v>75.47</v>
      </c>
      <c r="T4203">
        <v>0</v>
      </c>
      <c r="U4203" s="1" t="s">
        <v>722</v>
      </c>
      <c r="V4203" s="1"/>
      <c r="W4203">
        <v>94.328999999999994</v>
      </c>
      <c r="X4203">
        <v>0</v>
      </c>
      <c r="Y4203">
        <v>89450</v>
      </c>
    </row>
    <row r="4204" spans="1:25" ht="15" hidden="1" customHeight="1" x14ac:dyDescent="0.25">
      <c r="A4204" s="1" t="s">
        <v>40</v>
      </c>
      <c r="B4204" s="1" t="s">
        <v>85</v>
      </c>
      <c r="C4204" s="1" t="s">
        <v>212</v>
      </c>
      <c r="D4204">
        <v>13360</v>
      </c>
      <c r="E4204" s="1" t="s">
        <v>243</v>
      </c>
      <c r="F4204" s="1" t="s">
        <v>350</v>
      </c>
      <c r="G4204" s="1" t="s">
        <v>212</v>
      </c>
      <c r="H4204" s="1" t="s">
        <v>1396</v>
      </c>
      <c r="I4204">
        <v>2014</v>
      </c>
      <c r="J4204" s="93">
        <v>25299.73</v>
      </c>
      <c r="K4204">
        <v>12</v>
      </c>
      <c r="L4204" s="1" t="s">
        <v>552</v>
      </c>
      <c r="M4204">
        <v>0</v>
      </c>
      <c r="N4204">
        <v>317</v>
      </c>
      <c r="O4204">
        <v>79.784705000000002</v>
      </c>
      <c r="P4204">
        <v>2</v>
      </c>
      <c r="Q4204" s="1" t="s">
        <v>569</v>
      </c>
      <c r="R4204" s="93">
        <v>25299.73</v>
      </c>
      <c r="S4204">
        <v>7589.91</v>
      </c>
      <c r="T4204">
        <v>0</v>
      </c>
      <c r="U4204" s="1" t="s">
        <v>1132</v>
      </c>
      <c r="V4204" s="1"/>
      <c r="W4204">
        <v>25299.738000000001</v>
      </c>
      <c r="X4204">
        <v>0</v>
      </c>
      <c r="Y4204">
        <v>91052</v>
      </c>
    </row>
    <row r="4205" spans="1:25" ht="15" hidden="1" customHeight="1" x14ac:dyDescent="0.25">
      <c r="A4205" s="1" t="s">
        <v>40</v>
      </c>
      <c r="B4205" s="1" t="s">
        <v>85</v>
      </c>
      <c r="C4205" s="1" t="s">
        <v>212</v>
      </c>
      <c r="D4205">
        <v>13360</v>
      </c>
      <c r="E4205" s="1" t="s">
        <v>243</v>
      </c>
      <c r="F4205" s="1" t="s">
        <v>350</v>
      </c>
      <c r="G4205" s="1" t="s">
        <v>212</v>
      </c>
      <c r="H4205" s="1" t="s">
        <v>1396</v>
      </c>
      <c r="I4205">
        <v>2014</v>
      </c>
      <c r="J4205" s="93">
        <v>29810.58</v>
      </c>
      <c r="K4205">
        <v>12</v>
      </c>
      <c r="L4205" s="1" t="s">
        <v>410</v>
      </c>
      <c r="M4205">
        <v>0</v>
      </c>
      <c r="N4205">
        <v>317</v>
      </c>
      <c r="O4205">
        <v>94.010028000000005</v>
      </c>
      <c r="P4205">
        <v>1</v>
      </c>
      <c r="Q4205" s="1" t="s">
        <v>564</v>
      </c>
      <c r="R4205" s="93">
        <v>35577.86</v>
      </c>
      <c r="S4205">
        <v>7524.06</v>
      </c>
      <c r="T4205">
        <v>0</v>
      </c>
      <c r="U4205" s="1" t="s">
        <v>904</v>
      </c>
      <c r="V4205" s="1"/>
      <c r="W4205">
        <v>2760.2401</v>
      </c>
      <c r="X4205">
        <v>0</v>
      </c>
      <c r="Y4205">
        <v>89468</v>
      </c>
    </row>
    <row r="4206" spans="1:25" ht="15" hidden="1" customHeight="1" x14ac:dyDescent="0.25">
      <c r="A4206" s="1" t="s">
        <v>40</v>
      </c>
      <c r="B4206" s="1" t="s">
        <v>86</v>
      </c>
      <c r="C4206" s="1" t="s">
        <v>213</v>
      </c>
      <c r="D4206">
        <v>6026</v>
      </c>
      <c r="E4206" s="1"/>
      <c r="F4206" s="1" t="s">
        <v>368</v>
      </c>
      <c r="G4206" s="1" t="s">
        <v>213</v>
      </c>
      <c r="H4206" s="1" t="s">
        <v>1396</v>
      </c>
      <c r="I4206">
        <v>2014</v>
      </c>
      <c r="J4206" s="93">
        <v>10886.35</v>
      </c>
      <c r="K4206">
        <v>12</v>
      </c>
      <c r="L4206" s="1" t="s">
        <v>421</v>
      </c>
      <c r="M4206">
        <v>0</v>
      </c>
      <c r="N4206">
        <v>0</v>
      </c>
      <c r="O4206">
        <v>108863.5</v>
      </c>
      <c r="P4206">
        <v>2</v>
      </c>
      <c r="Q4206" s="1" t="s">
        <v>569</v>
      </c>
      <c r="R4206" s="93">
        <v>10886.35</v>
      </c>
      <c r="S4206">
        <v>3265.91</v>
      </c>
      <c r="T4206">
        <v>1</v>
      </c>
      <c r="U4206" s="1" t="s">
        <v>1135</v>
      </c>
      <c r="V4206" s="1"/>
      <c r="W4206">
        <v>10886.35576</v>
      </c>
      <c r="X4206">
        <v>0</v>
      </c>
      <c r="Y4206">
        <v>93455</v>
      </c>
    </row>
    <row r="4207" spans="1:25" ht="15" hidden="1" customHeight="1" x14ac:dyDescent="0.25">
      <c r="A4207" s="1" t="s">
        <v>40</v>
      </c>
      <c r="B4207" s="1" t="s">
        <v>86</v>
      </c>
      <c r="C4207" s="1" t="s">
        <v>213</v>
      </c>
      <c r="D4207">
        <v>6026</v>
      </c>
      <c r="E4207" s="1"/>
      <c r="F4207" s="1" t="s">
        <v>368</v>
      </c>
      <c r="G4207" s="1" t="s">
        <v>213</v>
      </c>
      <c r="H4207" s="1" t="s">
        <v>1396</v>
      </c>
      <c r="I4207">
        <v>2014</v>
      </c>
      <c r="J4207" s="93">
        <v>32150.29</v>
      </c>
      <c r="K4207">
        <v>12</v>
      </c>
      <c r="L4207" s="1" t="s">
        <v>421</v>
      </c>
      <c r="M4207">
        <v>0</v>
      </c>
      <c r="N4207">
        <v>0</v>
      </c>
      <c r="O4207">
        <v>321502.90000000002</v>
      </c>
      <c r="P4207">
        <v>2</v>
      </c>
      <c r="Q4207" s="1" t="s">
        <v>569</v>
      </c>
      <c r="R4207" s="93">
        <v>32150.29</v>
      </c>
      <c r="S4207">
        <v>9645.09</v>
      </c>
      <c r="T4207">
        <v>1</v>
      </c>
      <c r="U4207" s="1" t="s">
        <v>1137</v>
      </c>
      <c r="V4207" s="1"/>
      <c r="W4207">
        <v>32150.2857</v>
      </c>
      <c r="X4207">
        <v>0</v>
      </c>
      <c r="Y4207">
        <v>95436</v>
      </c>
    </row>
    <row r="4208" spans="1:25" ht="15" hidden="1" customHeight="1" x14ac:dyDescent="0.25">
      <c r="A4208" s="1" t="s">
        <v>40</v>
      </c>
      <c r="B4208" s="1" t="s">
        <v>86</v>
      </c>
      <c r="C4208" s="1" t="s">
        <v>213</v>
      </c>
      <c r="D4208">
        <v>6026</v>
      </c>
      <c r="E4208" s="1"/>
      <c r="F4208" s="1" t="s">
        <v>368</v>
      </c>
      <c r="G4208" s="1" t="s">
        <v>213</v>
      </c>
      <c r="H4208" s="1" t="s">
        <v>1396</v>
      </c>
      <c r="I4208">
        <v>2014</v>
      </c>
      <c r="J4208" s="93">
        <v>1646.49</v>
      </c>
      <c r="K4208">
        <v>12</v>
      </c>
      <c r="L4208" s="1" t="s">
        <v>421</v>
      </c>
      <c r="M4208">
        <v>0</v>
      </c>
      <c r="N4208">
        <v>0</v>
      </c>
      <c r="O4208">
        <v>16464.900000000001</v>
      </c>
      <c r="P4208">
        <v>2</v>
      </c>
      <c r="Q4208" s="1" t="s">
        <v>569</v>
      </c>
      <c r="R4208" s="93">
        <v>1646.49</v>
      </c>
      <c r="S4208">
        <v>658.59</v>
      </c>
      <c r="T4208">
        <v>1</v>
      </c>
      <c r="U4208" s="1" t="s">
        <v>1133</v>
      </c>
      <c r="V4208" s="1"/>
      <c r="W4208">
        <v>1646.4728</v>
      </c>
      <c r="X4208">
        <v>0</v>
      </c>
      <c r="Y4208">
        <v>60555</v>
      </c>
    </row>
    <row r="4209" spans="1:25" ht="15" hidden="1" customHeight="1" x14ac:dyDescent="0.25">
      <c r="A4209" s="1" t="s">
        <v>40</v>
      </c>
      <c r="B4209" s="1" t="s">
        <v>86</v>
      </c>
      <c r="C4209" s="1" t="s">
        <v>213</v>
      </c>
      <c r="D4209">
        <v>6026</v>
      </c>
      <c r="E4209" s="1"/>
      <c r="F4209" s="1" t="s">
        <v>368</v>
      </c>
      <c r="G4209" s="1" t="s">
        <v>213</v>
      </c>
      <c r="H4209" s="1" t="s">
        <v>1396</v>
      </c>
      <c r="I4209">
        <v>2014</v>
      </c>
      <c r="J4209" s="93">
        <v>10716.2</v>
      </c>
      <c r="K4209">
        <v>12</v>
      </c>
      <c r="L4209" s="1" t="s">
        <v>421</v>
      </c>
      <c r="M4209">
        <v>0</v>
      </c>
      <c r="N4209">
        <v>0</v>
      </c>
      <c r="O4209">
        <v>107162</v>
      </c>
      <c r="P4209">
        <v>2</v>
      </c>
      <c r="Q4209" s="1" t="s">
        <v>569</v>
      </c>
      <c r="R4209" s="93">
        <v>10716.2</v>
      </c>
      <c r="S4209">
        <v>3214.86</v>
      </c>
      <c r="T4209">
        <v>1</v>
      </c>
      <c r="U4209" s="1" t="s">
        <v>1134</v>
      </c>
      <c r="V4209" s="1"/>
      <c r="W4209">
        <v>10716.210150000001</v>
      </c>
      <c r="X4209">
        <v>0</v>
      </c>
      <c r="Y4209">
        <v>93454</v>
      </c>
    </row>
    <row r="4210" spans="1:25" ht="15" hidden="1" customHeight="1" x14ac:dyDescent="0.25">
      <c r="A4210" s="1" t="s">
        <v>40</v>
      </c>
      <c r="B4210" s="1" t="s">
        <v>86</v>
      </c>
      <c r="C4210" s="1" t="s">
        <v>213</v>
      </c>
      <c r="D4210">
        <v>6026</v>
      </c>
      <c r="E4210" s="1"/>
      <c r="F4210" s="1" t="s">
        <v>368</v>
      </c>
      <c r="G4210" s="1" t="s">
        <v>213</v>
      </c>
      <c r="H4210" s="1" t="s">
        <v>1396</v>
      </c>
      <c r="I4210">
        <v>2014</v>
      </c>
      <c r="J4210" s="93">
        <v>12789.31</v>
      </c>
      <c r="K4210">
        <v>12</v>
      </c>
      <c r="L4210" s="1" t="s">
        <v>421</v>
      </c>
      <c r="M4210">
        <v>0</v>
      </c>
      <c r="N4210">
        <v>0</v>
      </c>
      <c r="O4210">
        <v>127893.1</v>
      </c>
      <c r="P4210">
        <v>2</v>
      </c>
      <c r="Q4210" s="1" t="s">
        <v>569</v>
      </c>
      <c r="R4210" s="93">
        <v>12789.31</v>
      </c>
      <c r="S4210">
        <v>3836.79</v>
      </c>
      <c r="T4210">
        <v>1</v>
      </c>
      <c r="U4210" s="1" t="s">
        <v>1136</v>
      </c>
      <c r="V4210" s="1"/>
      <c r="W4210">
        <v>12789.31429</v>
      </c>
      <c r="X4210">
        <v>0</v>
      </c>
      <c r="Y4210">
        <v>93457</v>
      </c>
    </row>
    <row r="4211" spans="1:25" ht="15" hidden="1" customHeight="1" x14ac:dyDescent="0.25">
      <c r="A4211" s="1" t="s">
        <v>40</v>
      </c>
      <c r="B4211" s="1" t="s">
        <v>86</v>
      </c>
      <c r="C4211" s="1" t="s">
        <v>213</v>
      </c>
      <c r="D4211">
        <v>6027</v>
      </c>
      <c r="E4211" s="1"/>
      <c r="F4211" s="1" t="s">
        <v>351</v>
      </c>
      <c r="G4211" s="1" t="s">
        <v>213</v>
      </c>
      <c r="H4211" s="1" t="s">
        <v>1396</v>
      </c>
      <c r="I4211">
        <v>2014</v>
      </c>
      <c r="J4211" s="93">
        <v>13579.83</v>
      </c>
      <c r="K4211">
        <v>12</v>
      </c>
      <c r="L4211" s="1" t="s">
        <v>421</v>
      </c>
      <c r="M4211">
        <v>0</v>
      </c>
      <c r="N4211">
        <v>0</v>
      </c>
      <c r="O4211">
        <v>135798.29999999999</v>
      </c>
      <c r="P4211">
        <v>2</v>
      </c>
      <c r="Q4211" s="1" t="s">
        <v>569</v>
      </c>
      <c r="R4211" s="93">
        <v>13579.83</v>
      </c>
      <c r="S4211">
        <v>5431.93</v>
      </c>
      <c r="T4211">
        <v>1</v>
      </c>
      <c r="U4211" s="1" t="s">
        <v>1148</v>
      </c>
      <c r="V4211" s="1"/>
      <c r="W4211">
        <v>13579.82764</v>
      </c>
      <c r="X4211">
        <v>0</v>
      </c>
      <c r="Y4211">
        <v>60558</v>
      </c>
    </row>
    <row r="4212" spans="1:25" ht="15" hidden="1" customHeight="1" x14ac:dyDescent="0.25">
      <c r="A4212" s="1" t="s">
        <v>40</v>
      </c>
      <c r="B4212" s="1" t="s">
        <v>86</v>
      </c>
      <c r="C4212" s="1" t="s">
        <v>213</v>
      </c>
      <c r="D4212">
        <v>6027</v>
      </c>
      <c r="E4212" s="1"/>
      <c r="F4212" s="1" t="s">
        <v>351</v>
      </c>
      <c r="G4212" s="1" t="s">
        <v>213</v>
      </c>
      <c r="H4212" s="1" t="s">
        <v>1396</v>
      </c>
      <c r="I4212">
        <v>2014</v>
      </c>
      <c r="J4212" s="93">
        <v>85154.12</v>
      </c>
      <c r="K4212">
        <v>12</v>
      </c>
      <c r="L4212" s="1" t="s">
        <v>421</v>
      </c>
      <c r="M4212">
        <v>0</v>
      </c>
      <c r="N4212">
        <v>0</v>
      </c>
      <c r="O4212">
        <v>851541.2</v>
      </c>
      <c r="P4212">
        <v>2</v>
      </c>
      <c r="Q4212" s="1" t="s">
        <v>569</v>
      </c>
      <c r="R4212" s="93">
        <v>85154.12</v>
      </c>
      <c r="S4212">
        <v>34061.67</v>
      </c>
      <c r="T4212">
        <v>1</v>
      </c>
      <c r="U4212" s="1" t="s">
        <v>1141</v>
      </c>
      <c r="V4212" s="1"/>
      <c r="W4212">
        <v>85154.140109999993</v>
      </c>
      <c r="X4212">
        <v>0</v>
      </c>
      <c r="Y4212">
        <v>60559</v>
      </c>
    </row>
    <row r="4213" spans="1:25" ht="15" hidden="1" customHeight="1" x14ac:dyDescent="0.25">
      <c r="A4213" s="1" t="s">
        <v>40</v>
      </c>
      <c r="B4213" s="1" t="s">
        <v>86</v>
      </c>
      <c r="C4213" s="1" t="s">
        <v>213</v>
      </c>
      <c r="D4213">
        <v>6027</v>
      </c>
      <c r="E4213" s="1"/>
      <c r="F4213" s="1" t="s">
        <v>351</v>
      </c>
      <c r="G4213" s="1" t="s">
        <v>213</v>
      </c>
      <c r="H4213" s="1" t="s">
        <v>1405</v>
      </c>
      <c r="I4213">
        <v>2014</v>
      </c>
      <c r="J4213" s="93">
        <v>40530.65</v>
      </c>
      <c r="K4213">
        <v>12</v>
      </c>
      <c r="L4213" s="1" t="s">
        <v>421</v>
      </c>
      <c r="M4213">
        <v>0</v>
      </c>
      <c r="N4213">
        <v>0</v>
      </c>
      <c r="O4213">
        <v>405306.5</v>
      </c>
      <c r="P4213">
        <v>2</v>
      </c>
      <c r="Q4213" s="1" t="s">
        <v>569</v>
      </c>
      <c r="R4213" s="93">
        <v>40530.65</v>
      </c>
      <c r="S4213">
        <v>16212.27</v>
      </c>
      <c r="T4213">
        <v>1</v>
      </c>
      <c r="U4213" s="1" t="s">
        <v>1142</v>
      </c>
      <c r="V4213" s="1"/>
      <c r="W4213">
        <v>40530.64516</v>
      </c>
      <c r="X4213">
        <v>0</v>
      </c>
      <c r="Y4213">
        <v>60561</v>
      </c>
    </row>
    <row r="4214" spans="1:25" ht="15" hidden="1" customHeight="1" x14ac:dyDescent="0.25">
      <c r="A4214" s="1" t="s">
        <v>40</v>
      </c>
      <c r="B4214" s="1" t="s">
        <v>86</v>
      </c>
      <c r="C4214" s="1" t="s">
        <v>213</v>
      </c>
      <c r="D4214">
        <v>6027</v>
      </c>
      <c r="E4214" s="1"/>
      <c r="F4214" s="1" t="s">
        <v>351</v>
      </c>
      <c r="G4214" s="1" t="s">
        <v>213</v>
      </c>
      <c r="H4214" s="1" t="s">
        <v>1396</v>
      </c>
      <c r="I4214">
        <v>2014</v>
      </c>
      <c r="J4214" s="93">
        <v>1870.62</v>
      </c>
      <c r="K4214">
        <v>12</v>
      </c>
      <c r="L4214" s="1" t="s">
        <v>421</v>
      </c>
      <c r="M4214">
        <v>0</v>
      </c>
      <c r="N4214">
        <v>0</v>
      </c>
      <c r="O4214">
        <v>18706.2</v>
      </c>
      <c r="P4214">
        <v>2</v>
      </c>
      <c r="Q4214" s="1" t="s">
        <v>569</v>
      </c>
      <c r="R4214" s="93">
        <v>1870.62</v>
      </c>
      <c r="S4214">
        <v>561.19000000000005</v>
      </c>
      <c r="T4214">
        <v>1</v>
      </c>
      <c r="U4214" s="1" t="s">
        <v>1144</v>
      </c>
      <c r="V4214" s="1"/>
      <c r="W4214">
        <v>1870.6239599999999</v>
      </c>
      <c r="X4214">
        <v>0</v>
      </c>
      <c r="Y4214">
        <v>71007</v>
      </c>
    </row>
    <row r="4215" spans="1:25" ht="15" hidden="1" customHeight="1" x14ac:dyDescent="0.25">
      <c r="A4215" s="1" t="s">
        <v>40</v>
      </c>
      <c r="B4215" s="1" t="s">
        <v>86</v>
      </c>
      <c r="C4215" s="1" t="s">
        <v>213</v>
      </c>
      <c r="D4215">
        <v>6027</v>
      </c>
      <c r="E4215" s="1"/>
      <c r="F4215" s="1" t="s">
        <v>351</v>
      </c>
      <c r="G4215" s="1" t="s">
        <v>213</v>
      </c>
      <c r="H4215" s="1" t="s">
        <v>1396</v>
      </c>
      <c r="I4215">
        <v>2014</v>
      </c>
      <c r="J4215" s="93">
        <v>3836.54</v>
      </c>
      <c r="K4215">
        <v>12</v>
      </c>
      <c r="L4215" s="1" t="s">
        <v>421</v>
      </c>
      <c r="M4215">
        <v>0</v>
      </c>
      <c r="N4215">
        <v>0</v>
      </c>
      <c r="O4215">
        <v>38365.4</v>
      </c>
      <c r="P4215">
        <v>2</v>
      </c>
      <c r="Q4215" s="1" t="s">
        <v>569</v>
      </c>
      <c r="R4215" s="93">
        <v>3836.54</v>
      </c>
      <c r="S4215">
        <v>1150.95</v>
      </c>
      <c r="T4215">
        <v>1</v>
      </c>
      <c r="U4215" s="1" t="s">
        <v>1145</v>
      </c>
      <c r="V4215" s="1"/>
      <c r="W4215">
        <v>3836.5225799999998</v>
      </c>
      <c r="X4215">
        <v>0</v>
      </c>
      <c r="Y4215">
        <v>92703</v>
      </c>
    </row>
    <row r="4216" spans="1:25" ht="15" hidden="1" customHeight="1" x14ac:dyDescent="0.25">
      <c r="A4216" s="1" t="s">
        <v>40</v>
      </c>
      <c r="B4216" s="1" t="s">
        <v>86</v>
      </c>
      <c r="C4216" s="1" t="s">
        <v>213</v>
      </c>
      <c r="D4216">
        <v>6027</v>
      </c>
      <c r="E4216" s="1"/>
      <c r="F4216" s="1" t="s">
        <v>351</v>
      </c>
      <c r="G4216" s="1" t="s">
        <v>213</v>
      </c>
      <c r="H4216" s="1" t="s">
        <v>1396</v>
      </c>
      <c r="I4216">
        <v>2014</v>
      </c>
      <c r="J4216" s="93">
        <v>28158.080000000002</v>
      </c>
      <c r="K4216">
        <v>0</v>
      </c>
      <c r="L4216" s="1" t="s">
        <v>421</v>
      </c>
      <c r="M4216">
        <v>0</v>
      </c>
      <c r="N4216">
        <v>0</v>
      </c>
      <c r="O4216">
        <v>281580.79999999999</v>
      </c>
      <c r="P4216">
        <v>2</v>
      </c>
      <c r="Q4216" s="1" t="s">
        <v>569</v>
      </c>
      <c r="R4216" s="93">
        <v>28158.080000000002</v>
      </c>
      <c r="S4216">
        <v>8447.41</v>
      </c>
      <c r="T4216">
        <v>1</v>
      </c>
      <c r="U4216" s="1" t="s">
        <v>1146</v>
      </c>
      <c r="V4216" s="1"/>
      <c r="W4216">
        <v>28158.099600000001</v>
      </c>
      <c r="X4216">
        <v>0</v>
      </c>
      <c r="Y4216">
        <v>92732</v>
      </c>
    </row>
    <row r="4217" spans="1:25" ht="15" hidden="1" customHeight="1" x14ac:dyDescent="0.25">
      <c r="A4217" s="1" t="s">
        <v>40</v>
      </c>
      <c r="B4217" s="1" t="s">
        <v>86</v>
      </c>
      <c r="C4217" s="1" t="s">
        <v>213</v>
      </c>
      <c r="D4217">
        <v>6027</v>
      </c>
      <c r="E4217" s="1"/>
      <c r="F4217" s="1" t="s">
        <v>351</v>
      </c>
      <c r="G4217" s="1" t="s">
        <v>213</v>
      </c>
      <c r="H4217" s="1" t="s">
        <v>1396</v>
      </c>
      <c r="I4217">
        <v>2014</v>
      </c>
      <c r="J4217" s="93">
        <v>254318.43</v>
      </c>
      <c r="K4217">
        <v>0</v>
      </c>
      <c r="L4217" s="1" t="s">
        <v>421</v>
      </c>
      <c r="M4217">
        <v>0</v>
      </c>
      <c r="N4217">
        <v>0</v>
      </c>
      <c r="O4217">
        <v>2543184.2999999998</v>
      </c>
      <c r="P4217">
        <v>2</v>
      </c>
      <c r="Q4217" s="1" t="s">
        <v>569</v>
      </c>
      <c r="R4217" s="93">
        <v>254318.43</v>
      </c>
      <c r="S4217">
        <v>76295.520000000004</v>
      </c>
      <c r="T4217">
        <v>1</v>
      </c>
      <c r="U4217" s="1" t="s">
        <v>1151</v>
      </c>
      <c r="V4217" s="1"/>
      <c r="W4217">
        <v>254318.41415</v>
      </c>
      <c r="X4217">
        <v>0</v>
      </c>
      <c r="Y4217">
        <v>92734</v>
      </c>
    </row>
    <row r="4218" spans="1:25" ht="15" hidden="1" customHeight="1" x14ac:dyDescent="0.25">
      <c r="A4218" s="1" t="s">
        <v>40</v>
      </c>
      <c r="B4218" s="1" t="s">
        <v>86</v>
      </c>
      <c r="C4218" s="1" t="s">
        <v>213</v>
      </c>
      <c r="D4218">
        <v>6027</v>
      </c>
      <c r="E4218" s="1"/>
      <c r="F4218" s="1" t="s">
        <v>351</v>
      </c>
      <c r="G4218" s="1" t="s">
        <v>213</v>
      </c>
      <c r="H4218" s="1" t="s">
        <v>1396</v>
      </c>
      <c r="I4218">
        <v>2014</v>
      </c>
      <c r="J4218" s="93">
        <v>8269.0400000000009</v>
      </c>
      <c r="K4218">
        <v>12</v>
      </c>
      <c r="L4218" s="1" t="s">
        <v>421</v>
      </c>
      <c r="M4218">
        <v>0</v>
      </c>
      <c r="N4218">
        <v>0</v>
      </c>
      <c r="O4218">
        <v>82690.399999999994</v>
      </c>
      <c r="P4218">
        <v>2</v>
      </c>
      <c r="Q4218" s="1" t="s">
        <v>569</v>
      </c>
      <c r="R4218" s="93">
        <v>8269.0400000000009</v>
      </c>
      <c r="S4218">
        <v>3307.6</v>
      </c>
      <c r="T4218">
        <v>1</v>
      </c>
      <c r="U4218" s="1" t="s">
        <v>1147</v>
      </c>
      <c r="V4218" s="1"/>
      <c r="W4218">
        <v>8269.0414899999996</v>
      </c>
      <c r="X4218">
        <v>0</v>
      </c>
      <c r="Y4218">
        <v>60557</v>
      </c>
    </row>
    <row r="4219" spans="1:25" ht="15" hidden="1" customHeight="1" x14ac:dyDescent="0.25">
      <c r="A4219" s="1" t="s">
        <v>40</v>
      </c>
      <c r="B4219" s="1" t="s">
        <v>86</v>
      </c>
      <c r="C4219" s="1" t="s">
        <v>213</v>
      </c>
      <c r="D4219">
        <v>6027</v>
      </c>
      <c r="E4219" s="1"/>
      <c r="F4219" s="1" t="s">
        <v>351</v>
      </c>
      <c r="G4219" s="1" t="s">
        <v>213</v>
      </c>
      <c r="H4219" s="1" t="s">
        <v>1396</v>
      </c>
      <c r="I4219">
        <v>2014</v>
      </c>
      <c r="J4219" s="93">
        <v>3267.23</v>
      </c>
      <c r="K4219">
        <v>12</v>
      </c>
      <c r="L4219" s="1" t="s">
        <v>421</v>
      </c>
      <c r="M4219">
        <v>0</v>
      </c>
      <c r="N4219">
        <v>0</v>
      </c>
      <c r="O4219">
        <v>32672.3</v>
      </c>
      <c r="P4219">
        <v>2</v>
      </c>
      <c r="Q4219" s="1" t="s">
        <v>569</v>
      </c>
      <c r="R4219" s="93">
        <v>3267.23</v>
      </c>
      <c r="S4219">
        <v>1306.9000000000001</v>
      </c>
      <c r="T4219">
        <v>1</v>
      </c>
      <c r="U4219" s="1" t="s">
        <v>1149</v>
      </c>
      <c r="V4219" s="1"/>
      <c r="W4219">
        <v>3267.24424</v>
      </c>
      <c r="X4219">
        <v>0</v>
      </c>
      <c r="Y4219">
        <v>60560</v>
      </c>
    </row>
    <row r="4220" spans="1:25" ht="15" hidden="1" customHeight="1" x14ac:dyDescent="0.25">
      <c r="A4220" s="1" t="s">
        <v>40</v>
      </c>
      <c r="B4220" s="1"/>
      <c r="C4220" s="1" t="s">
        <v>227</v>
      </c>
      <c r="D4220">
        <v>10276</v>
      </c>
      <c r="E4220" s="1"/>
      <c r="F4220" s="1" t="s">
        <v>367</v>
      </c>
      <c r="G4220" s="1" t="s">
        <v>227</v>
      </c>
      <c r="H4220" s="1" t="s">
        <v>1396</v>
      </c>
      <c r="I4220">
        <v>2015</v>
      </c>
      <c r="J4220" s="93">
        <v>6652.27</v>
      </c>
      <c r="K4220">
        <v>5</v>
      </c>
      <c r="L4220" s="1" t="s">
        <v>457</v>
      </c>
      <c r="M4220">
        <v>0</v>
      </c>
      <c r="N4220">
        <v>0</v>
      </c>
      <c r="O4220">
        <v>66522.7</v>
      </c>
      <c r="P4220">
        <v>1</v>
      </c>
      <c r="Q4220" s="1" t="s">
        <v>564</v>
      </c>
      <c r="R4220" s="93">
        <v>6652.27</v>
      </c>
      <c r="S4220">
        <v>1406.85</v>
      </c>
      <c r="T4220">
        <v>0</v>
      </c>
      <c r="U4220" s="1" t="s">
        <v>902</v>
      </c>
      <c r="V4220" s="1" t="s">
        <v>1227</v>
      </c>
      <c r="W4220">
        <v>615.95000000000005</v>
      </c>
      <c r="X4220">
        <v>0</v>
      </c>
      <c r="Y4220">
        <v>77670</v>
      </c>
    </row>
    <row r="4221" spans="1:25" ht="15" hidden="1" customHeight="1" x14ac:dyDescent="0.25">
      <c r="A4221" s="1" t="s">
        <v>40</v>
      </c>
      <c r="B4221" s="1" t="s">
        <v>86</v>
      </c>
      <c r="C4221" s="1" t="s">
        <v>213</v>
      </c>
      <c r="D4221">
        <v>6027</v>
      </c>
      <c r="E4221" s="1"/>
      <c r="F4221" s="1" t="s">
        <v>351</v>
      </c>
      <c r="G4221" s="1" t="s">
        <v>213</v>
      </c>
      <c r="H4221" s="1" t="s">
        <v>1396</v>
      </c>
      <c r="I4221">
        <v>2014</v>
      </c>
      <c r="J4221" s="93">
        <v>16578.2</v>
      </c>
      <c r="K4221">
        <v>12</v>
      </c>
      <c r="L4221" s="1" t="s">
        <v>421</v>
      </c>
      <c r="M4221">
        <v>0</v>
      </c>
      <c r="N4221">
        <v>0</v>
      </c>
      <c r="O4221">
        <v>165782</v>
      </c>
      <c r="P4221">
        <v>2</v>
      </c>
      <c r="Q4221" s="1" t="s">
        <v>569</v>
      </c>
      <c r="R4221" s="93">
        <v>16578.2</v>
      </c>
      <c r="S4221">
        <v>6631.29</v>
      </c>
      <c r="T4221">
        <v>1</v>
      </c>
      <c r="U4221" s="1" t="s">
        <v>1143</v>
      </c>
      <c r="V4221" s="1"/>
      <c r="W4221">
        <v>16578.204600000001</v>
      </c>
      <c r="X4221">
        <v>0</v>
      </c>
      <c r="Y4221">
        <v>60562</v>
      </c>
    </row>
    <row r="4222" spans="1:25" ht="15" hidden="1" customHeight="1" x14ac:dyDescent="0.25">
      <c r="A4222" s="1" t="s">
        <v>40</v>
      </c>
      <c r="B4222" s="1" t="s">
        <v>86</v>
      </c>
      <c r="C4222" s="1" t="s">
        <v>213</v>
      </c>
      <c r="D4222">
        <v>6027</v>
      </c>
      <c r="E4222" s="1"/>
      <c r="F4222" s="1" t="s">
        <v>351</v>
      </c>
      <c r="G4222" s="1" t="s">
        <v>213</v>
      </c>
      <c r="H4222" s="1" t="s">
        <v>1396</v>
      </c>
      <c r="I4222">
        <v>2014</v>
      </c>
      <c r="J4222" s="93">
        <v>209.04</v>
      </c>
      <c r="K4222">
        <v>12</v>
      </c>
      <c r="L4222" s="1" t="s">
        <v>421</v>
      </c>
      <c r="M4222">
        <v>0</v>
      </c>
      <c r="N4222">
        <v>0</v>
      </c>
      <c r="O4222">
        <v>2090.4</v>
      </c>
      <c r="P4222">
        <v>2</v>
      </c>
      <c r="Q4222" s="1" t="s">
        <v>569</v>
      </c>
      <c r="R4222" s="93">
        <v>209.04</v>
      </c>
      <c r="S4222">
        <v>83.62</v>
      </c>
      <c r="T4222">
        <v>1</v>
      </c>
      <c r="U4222" s="1" t="s">
        <v>1150</v>
      </c>
      <c r="V4222" s="1"/>
      <c r="W4222">
        <v>209.04792</v>
      </c>
      <c r="X4222">
        <v>0</v>
      </c>
      <c r="Y4222">
        <v>60563</v>
      </c>
    </row>
    <row r="4223" spans="1:25" ht="15" hidden="1" customHeight="1" x14ac:dyDescent="0.25">
      <c r="A4223" s="1" t="s">
        <v>40</v>
      </c>
      <c r="B4223" s="1"/>
      <c r="C4223" s="1" t="s">
        <v>227</v>
      </c>
      <c r="D4223">
        <v>10276</v>
      </c>
      <c r="E4223" s="1"/>
      <c r="F4223" s="1" t="s">
        <v>367</v>
      </c>
      <c r="G4223" s="1" t="s">
        <v>227</v>
      </c>
      <c r="H4223" s="1" t="s">
        <v>1396</v>
      </c>
      <c r="I4223">
        <v>2013</v>
      </c>
      <c r="J4223" s="93">
        <v>12068.03</v>
      </c>
      <c r="K4223">
        <v>12</v>
      </c>
      <c r="L4223" s="1" t="s">
        <v>457</v>
      </c>
      <c r="M4223">
        <v>0</v>
      </c>
      <c r="N4223">
        <v>0</v>
      </c>
      <c r="O4223">
        <v>120680.3</v>
      </c>
      <c r="P4223">
        <v>1</v>
      </c>
      <c r="Q4223" s="1" t="s">
        <v>564</v>
      </c>
      <c r="R4223" s="93">
        <v>12068.03</v>
      </c>
      <c r="S4223">
        <v>2552.19</v>
      </c>
      <c r="T4223">
        <v>0</v>
      </c>
      <c r="U4223" s="1" t="s">
        <v>902</v>
      </c>
      <c r="V4223" s="1" t="s">
        <v>1227</v>
      </c>
      <c r="W4223">
        <v>1117.4100000000001</v>
      </c>
      <c r="X4223">
        <v>0</v>
      </c>
      <c r="Y4223">
        <v>77670</v>
      </c>
    </row>
    <row r="4224" spans="1:25" ht="15" hidden="1" customHeight="1" x14ac:dyDescent="0.25">
      <c r="A4224" s="1" t="s">
        <v>40</v>
      </c>
      <c r="B4224" s="1"/>
      <c r="C4224" s="1" t="s">
        <v>227</v>
      </c>
      <c r="D4224">
        <v>10276</v>
      </c>
      <c r="E4224" s="1"/>
      <c r="F4224" s="1" t="s">
        <v>367</v>
      </c>
      <c r="G4224" s="1" t="s">
        <v>227</v>
      </c>
      <c r="H4224" s="1" t="s">
        <v>1396</v>
      </c>
      <c r="I4224">
        <v>2012</v>
      </c>
      <c r="J4224" s="93">
        <v>10425.129999999999</v>
      </c>
      <c r="K4224">
        <v>12</v>
      </c>
      <c r="L4224" s="1" t="s">
        <v>457</v>
      </c>
      <c r="M4224">
        <v>0</v>
      </c>
      <c r="N4224">
        <v>0</v>
      </c>
      <c r="O4224">
        <v>104251.3</v>
      </c>
      <c r="P4224">
        <v>1</v>
      </c>
      <c r="Q4224" s="1" t="s">
        <v>564</v>
      </c>
      <c r="R4224" s="93">
        <v>10425.129999999999</v>
      </c>
      <c r="S4224">
        <v>2204.73</v>
      </c>
      <c r="T4224">
        <v>0</v>
      </c>
      <c r="U4224" s="1" t="s">
        <v>902</v>
      </c>
      <c r="V4224" s="1" t="s">
        <v>1227</v>
      </c>
      <c r="W4224">
        <v>965.29</v>
      </c>
      <c r="X4224">
        <v>0</v>
      </c>
      <c r="Y4224">
        <v>77670</v>
      </c>
    </row>
    <row r="4225" spans="1:25" ht="15" hidden="1" customHeight="1" x14ac:dyDescent="0.25">
      <c r="A4225" s="1" t="s">
        <v>40</v>
      </c>
      <c r="B4225" s="1"/>
      <c r="C4225" s="1" t="s">
        <v>227</v>
      </c>
      <c r="D4225">
        <v>10276</v>
      </c>
      <c r="E4225" s="1"/>
      <c r="F4225" s="1" t="s">
        <v>367</v>
      </c>
      <c r="G4225" s="1" t="s">
        <v>227</v>
      </c>
      <c r="H4225" s="1" t="s">
        <v>1396</v>
      </c>
      <c r="I4225">
        <v>2011</v>
      </c>
      <c r="J4225" s="93">
        <v>9211.0499999999993</v>
      </c>
      <c r="K4225">
        <v>4</v>
      </c>
      <c r="L4225" s="1" t="s">
        <v>457</v>
      </c>
      <c r="M4225">
        <v>0</v>
      </c>
      <c r="N4225">
        <v>0</v>
      </c>
      <c r="O4225">
        <v>92110.5</v>
      </c>
      <c r="P4225">
        <v>1</v>
      </c>
      <c r="Q4225" s="1" t="s">
        <v>564</v>
      </c>
      <c r="R4225" s="93">
        <v>9211.0499999999993</v>
      </c>
      <c r="S4225">
        <v>1947.98</v>
      </c>
      <c r="T4225">
        <v>0</v>
      </c>
      <c r="U4225" s="1" t="s">
        <v>902</v>
      </c>
      <c r="V4225" s="1" t="s">
        <v>1227</v>
      </c>
      <c r="W4225">
        <v>852.87508000000003</v>
      </c>
      <c r="X4225">
        <v>0</v>
      </c>
      <c r="Y4225">
        <v>77670</v>
      </c>
    </row>
    <row r="4226" spans="1:25" ht="15" hidden="1" customHeight="1" x14ac:dyDescent="0.25">
      <c r="A4226" s="1" t="s">
        <v>40</v>
      </c>
      <c r="B4226" s="1"/>
      <c r="C4226" s="1" t="s">
        <v>227</v>
      </c>
      <c r="D4226">
        <v>10276</v>
      </c>
      <c r="E4226" s="1"/>
      <c r="F4226" s="1" t="s">
        <v>367</v>
      </c>
      <c r="G4226" s="1" t="s">
        <v>227</v>
      </c>
      <c r="H4226" s="1" t="s">
        <v>1396</v>
      </c>
      <c r="I4226">
        <v>2010</v>
      </c>
      <c r="J4226" s="93">
        <v>11373.2</v>
      </c>
      <c r="K4226">
        <v>2</v>
      </c>
      <c r="L4226" s="1" t="s">
        <v>457</v>
      </c>
      <c r="M4226">
        <v>0</v>
      </c>
      <c r="N4226">
        <v>0</v>
      </c>
      <c r="O4226">
        <v>113732</v>
      </c>
      <c r="P4226">
        <v>1</v>
      </c>
      <c r="Q4226" s="1" t="s">
        <v>564</v>
      </c>
      <c r="R4226" s="93">
        <v>11373.2</v>
      </c>
      <c r="S4226">
        <v>2405.2399999999998</v>
      </c>
      <c r="T4226">
        <v>0</v>
      </c>
      <c r="U4226" s="1" t="s">
        <v>902</v>
      </c>
      <c r="V4226" s="1" t="s">
        <v>1227</v>
      </c>
      <c r="W4226">
        <v>1053.0749000000001</v>
      </c>
      <c r="X4226">
        <v>0</v>
      </c>
      <c r="Y4226">
        <v>77670</v>
      </c>
    </row>
    <row r="4227" spans="1:25" ht="15" hidden="1" customHeight="1" x14ac:dyDescent="0.25">
      <c r="A4227" s="1" t="s">
        <v>40</v>
      </c>
      <c r="B4227" s="1"/>
      <c r="C4227" s="1" t="s">
        <v>227</v>
      </c>
      <c r="D4227">
        <v>10276</v>
      </c>
      <c r="E4227" s="1"/>
      <c r="F4227" s="1" t="s">
        <v>367</v>
      </c>
      <c r="G4227" s="1" t="s">
        <v>227</v>
      </c>
      <c r="H4227" s="1" t="s">
        <v>1396</v>
      </c>
      <c r="I4227">
        <v>2009</v>
      </c>
      <c r="J4227" s="93">
        <v>14242.16</v>
      </c>
      <c r="K4227">
        <v>2</v>
      </c>
      <c r="L4227" s="1" t="s">
        <v>457</v>
      </c>
      <c r="M4227">
        <v>0</v>
      </c>
      <c r="N4227">
        <v>0</v>
      </c>
      <c r="O4227">
        <v>142421.6</v>
      </c>
      <c r="P4227">
        <v>1</v>
      </c>
      <c r="Q4227" s="1" t="s">
        <v>564</v>
      </c>
      <c r="R4227" s="93">
        <v>14242.16</v>
      </c>
      <c r="S4227">
        <v>3011.96</v>
      </c>
      <c r="T4227">
        <v>0</v>
      </c>
      <c r="U4227" s="1" t="s">
        <v>902</v>
      </c>
      <c r="V4227" s="1" t="s">
        <v>1227</v>
      </c>
      <c r="W4227">
        <v>1318.7165500000001</v>
      </c>
      <c r="X4227">
        <v>0</v>
      </c>
      <c r="Y4227">
        <v>77670</v>
      </c>
    </row>
    <row r="4228" spans="1:25" ht="15" hidden="1" customHeight="1" x14ac:dyDescent="0.25">
      <c r="A4228" s="1" t="s">
        <v>40</v>
      </c>
      <c r="B4228" s="1"/>
      <c r="C4228" s="1" t="s">
        <v>227</v>
      </c>
      <c r="D4228">
        <v>10276</v>
      </c>
      <c r="E4228" s="1"/>
      <c r="F4228" s="1" t="s">
        <v>367</v>
      </c>
      <c r="G4228" s="1" t="s">
        <v>227</v>
      </c>
      <c r="H4228" s="1" t="s">
        <v>1396</v>
      </c>
      <c r="I4228">
        <v>2008</v>
      </c>
      <c r="J4228" s="93">
        <v>5409.75</v>
      </c>
      <c r="K4228">
        <v>3</v>
      </c>
      <c r="L4228" s="1" t="s">
        <v>457</v>
      </c>
      <c r="M4228">
        <v>0</v>
      </c>
      <c r="N4228">
        <v>0</v>
      </c>
      <c r="O4228">
        <v>54097.5</v>
      </c>
      <c r="P4228">
        <v>1</v>
      </c>
      <c r="Q4228" s="1" t="s">
        <v>564</v>
      </c>
      <c r="R4228" s="93">
        <v>5409.75</v>
      </c>
      <c r="S4228">
        <v>1144.06</v>
      </c>
      <c r="T4228">
        <v>0</v>
      </c>
      <c r="U4228" s="1" t="s">
        <v>902</v>
      </c>
      <c r="V4228" s="1" t="s">
        <v>1227</v>
      </c>
      <c r="W4228">
        <v>500.90345000000002</v>
      </c>
      <c r="X4228">
        <v>0</v>
      </c>
      <c r="Y4228">
        <v>77670</v>
      </c>
    </row>
    <row r="4229" spans="1:25" ht="15" hidden="1" customHeight="1" x14ac:dyDescent="0.25">
      <c r="A4229" s="1" t="s">
        <v>40</v>
      </c>
      <c r="B4229" s="1" t="s">
        <v>86</v>
      </c>
      <c r="C4229" s="1" t="s">
        <v>213</v>
      </c>
      <c r="D4229">
        <v>5468</v>
      </c>
      <c r="E4229" s="1"/>
      <c r="F4229" s="1" t="s">
        <v>213</v>
      </c>
      <c r="G4229" s="1" t="s">
        <v>213</v>
      </c>
      <c r="H4229" s="1" t="s">
        <v>1405</v>
      </c>
      <c r="I4229">
        <v>2014</v>
      </c>
      <c r="J4229" s="93">
        <v>443081.13</v>
      </c>
      <c r="K4229">
        <v>12</v>
      </c>
      <c r="L4229" s="1"/>
      <c r="M4229">
        <v>0</v>
      </c>
      <c r="N4229">
        <v>12237</v>
      </c>
      <c r="O4229">
        <v>36.208016999999998</v>
      </c>
      <c r="P4229">
        <v>2</v>
      </c>
      <c r="Q4229" s="1" t="s">
        <v>569</v>
      </c>
      <c r="R4229" s="93">
        <v>443081.13</v>
      </c>
      <c r="S4229">
        <v>177232.46</v>
      </c>
      <c r="T4229">
        <v>1</v>
      </c>
      <c r="U4229" s="1" t="s">
        <v>1152</v>
      </c>
      <c r="V4229" s="1" t="s">
        <v>1351</v>
      </c>
      <c r="W4229">
        <v>443081.13</v>
      </c>
      <c r="X4229">
        <v>0</v>
      </c>
      <c r="Y4229">
        <v>57824</v>
      </c>
    </row>
    <row r="4230" spans="1:25" ht="15" hidden="1" customHeight="1" x14ac:dyDescent="0.25">
      <c r="A4230" s="1" t="s">
        <v>40</v>
      </c>
      <c r="B4230" s="1"/>
      <c r="C4230" s="1" t="s">
        <v>211</v>
      </c>
      <c r="D4230">
        <v>10277</v>
      </c>
      <c r="E4230" s="1"/>
      <c r="F4230" s="1" t="s">
        <v>349</v>
      </c>
      <c r="G4230" s="1" t="s">
        <v>211</v>
      </c>
      <c r="H4230" s="1" t="s">
        <v>1396</v>
      </c>
      <c r="I4230">
        <v>2015</v>
      </c>
      <c r="J4230" s="93">
        <v>17429.439999999999</v>
      </c>
      <c r="K4230">
        <v>5</v>
      </c>
      <c r="L4230" s="1" t="s">
        <v>410</v>
      </c>
      <c r="M4230">
        <v>0</v>
      </c>
      <c r="N4230">
        <v>304</v>
      </c>
      <c r="O4230">
        <v>57.314830000000001</v>
      </c>
      <c r="P4230">
        <v>1</v>
      </c>
      <c r="Q4230" s="1" t="s">
        <v>566</v>
      </c>
      <c r="R4230" s="93">
        <v>17429.439999999999</v>
      </c>
      <c r="S4230">
        <v>3554.37</v>
      </c>
      <c r="T4230">
        <v>0</v>
      </c>
      <c r="U4230" s="1" t="s">
        <v>903</v>
      </c>
      <c r="V4230" s="1" t="s">
        <v>1228</v>
      </c>
      <c r="W4230">
        <v>1556.2</v>
      </c>
      <c r="X4230">
        <v>0</v>
      </c>
      <c r="Y4230">
        <v>77672</v>
      </c>
    </row>
    <row r="4231" spans="1:25" ht="15" hidden="1" customHeight="1" x14ac:dyDescent="0.25">
      <c r="A4231" s="1" t="s">
        <v>40</v>
      </c>
      <c r="B4231" s="1" t="s">
        <v>86</v>
      </c>
      <c r="C4231" s="1" t="s">
        <v>213</v>
      </c>
      <c r="D4231">
        <v>5468</v>
      </c>
      <c r="E4231" s="1"/>
      <c r="F4231" s="1" t="s">
        <v>213</v>
      </c>
      <c r="G4231" s="1" t="s">
        <v>213</v>
      </c>
      <c r="H4231" s="1" t="s">
        <v>1396</v>
      </c>
      <c r="I4231">
        <v>2014</v>
      </c>
      <c r="J4231" s="93">
        <v>0</v>
      </c>
      <c r="K4231">
        <v>12</v>
      </c>
      <c r="L4231" s="1"/>
      <c r="M4231">
        <v>0</v>
      </c>
      <c r="N4231">
        <v>12237</v>
      </c>
      <c r="O4231">
        <v>0</v>
      </c>
      <c r="P4231">
        <v>2</v>
      </c>
      <c r="Q4231" s="1" t="s">
        <v>569</v>
      </c>
      <c r="R4231" s="93">
        <v>0</v>
      </c>
      <c r="S4231">
        <v>0</v>
      </c>
      <c r="T4231">
        <v>1</v>
      </c>
      <c r="U4231" s="1" t="s">
        <v>1153</v>
      </c>
      <c r="V4231" s="1" t="s">
        <v>1352</v>
      </c>
      <c r="W4231">
        <v>0</v>
      </c>
      <c r="X4231">
        <v>0</v>
      </c>
      <c r="Y4231">
        <v>57820</v>
      </c>
    </row>
    <row r="4232" spans="1:25" ht="15" hidden="1" customHeight="1" x14ac:dyDescent="0.25">
      <c r="A4232" s="1" t="s">
        <v>40</v>
      </c>
      <c r="B4232" s="1"/>
      <c r="C4232" s="1" t="s">
        <v>211</v>
      </c>
      <c r="D4232">
        <v>10277</v>
      </c>
      <c r="E4232" s="1"/>
      <c r="F4232" s="1" t="s">
        <v>349</v>
      </c>
      <c r="G4232" s="1" t="s">
        <v>211</v>
      </c>
      <c r="H4232" s="1" t="s">
        <v>1396</v>
      </c>
      <c r="I4232">
        <v>2013</v>
      </c>
      <c r="J4232" s="93">
        <v>24520.38</v>
      </c>
      <c r="K4232">
        <v>13</v>
      </c>
      <c r="L4232" s="1" t="s">
        <v>410</v>
      </c>
      <c r="M4232">
        <v>0</v>
      </c>
      <c r="N4232">
        <v>304</v>
      </c>
      <c r="O4232">
        <v>80.632620000000003</v>
      </c>
      <c r="P4232">
        <v>1</v>
      </c>
      <c r="Q4232" s="1" t="s">
        <v>566</v>
      </c>
      <c r="R4232" s="93">
        <v>24520.38</v>
      </c>
      <c r="S4232">
        <v>5000.42</v>
      </c>
      <c r="T4232">
        <v>0</v>
      </c>
      <c r="U4232" s="1" t="s">
        <v>903</v>
      </c>
      <c r="V4232" s="1" t="s">
        <v>1228</v>
      </c>
      <c r="W4232">
        <v>2189.3200099999999</v>
      </c>
      <c r="X4232">
        <v>0</v>
      </c>
      <c r="Y4232">
        <v>77672</v>
      </c>
    </row>
    <row r="4233" spans="1:25" ht="15" hidden="1" customHeight="1" x14ac:dyDescent="0.25">
      <c r="A4233" s="1" t="s">
        <v>40</v>
      </c>
      <c r="B4233" s="1"/>
      <c r="C4233" s="1" t="s">
        <v>211</v>
      </c>
      <c r="D4233">
        <v>10277</v>
      </c>
      <c r="E4233" s="1"/>
      <c r="F4233" s="1" t="s">
        <v>349</v>
      </c>
      <c r="G4233" s="1" t="s">
        <v>211</v>
      </c>
      <c r="H4233" s="1" t="s">
        <v>1396</v>
      </c>
      <c r="I4233">
        <v>2012</v>
      </c>
      <c r="J4233" s="93">
        <v>39691.39</v>
      </c>
      <c r="K4233">
        <v>12</v>
      </c>
      <c r="L4233" s="1" t="s">
        <v>410</v>
      </c>
      <c r="M4233">
        <v>0</v>
      </c>
      <c r="N4233">
        <v>304</v>
      </c>
      <c r="O4233">
        <v>130.520848</v>
      </c>
      <c r="P4233">
        <v>1</v>
      </c>
      <c r="Q4233" s="1" t="s">
        <v>566</v>
      </c>
      <c r="R4233" s="93">
        <v>39691.39</v>
      </c>
      <c r="S4233">
        <v>8094.21</v>
      </c>
      <c r="T4233">
        <v>0</v>
      </c>
      <c r="U4233" s="1" t="s">
        <v>903</v>
      </c>
      <c r="V4233" s="1" t="s">
        <v>1228</v>
      </c>
      <c r="W4233">
        <v>3543.8714399999999</v>
      </c>
      <c r="X4233">
        <v>0</v>
      </c>
      <c r="Y4233">
        <v>77672</v>
      </c>
    </row>
    <row r="4234" spans="1:25" ht="15" hidden="1" customHeight="1" x14ac:dyDescent="0.25">
      <c r="A4234" s="1" t="s">
        <v>40</v>
      </c>
      <c r="B4234" s="1"/>
      <c r="C4234" s="1" t="s">
        <v>211</v>
      </c>
      <c r="D4234">
        <v>10277</v>
      </c>
      <c r="E4234" s="1"/>
      <c r="F4234" s="1" t="s">
        <v>349</v>
      </c>
      <c r="G4234" s="1" t="s">
        <v>211</v>
      </c>
      <c r="H4234" s="1" t="s">
        <v>1396</v>
      </c>
      <c r="I4234">
        <v>2011</v>
      </c>
      <c r="J4234" s="93">
        <v>11604.78</v>
      </c>
      <c r="K4234">
        <v>4</v>
      </c>
      <c r="L4234" s="1" t="s">
        <v>410</v>
      </c>
      <c r="M4234">
        <v>0</v>
      </c>
      <c r="N4234">
        <v>304</v>
      </c>
      <c r="O4234">
        <v>38.161065000000001</v>
      </c>
      <c r="P4234">
        <v>1</v>
      </c>
      <c r="Q4234" s="1" t="s">
        <v>566</v>
      </c>
      <c r="R4234" s="93">
        <v>11604.78</v>
      </c>
      <c r="S4234">
        <v>2366.54</v>
      </c>
      <c r="T4234">
        <v>0</v>
      </c>
      <c r="U4234" s="1" t="s">
        <v>903</v>
      </c>
      <c r="V4234" s="1" t="s">
        <v>1228</v>
      </c>
      <c r="W4234">
        <v>1036.1401000000001</v>
      </c>
      <c r="X4234">
        <v>0</v>
      </c>
      <c r="Y4234">
        <v>77672</v>
      </c>
    </row>
    <row r="4235" spans="1:25" ht="15" hidden="1" customHeight="1" x14ac:dyDescent="0.25">
      <c r="A4235" s="1" t="s">
        <v>40</v>
      </c>
      <c r="B4235" s="1"/>
      <c r="C4235" s="1" t="s">
        <v>211</v>
      </c>
      <c r="D4235">
        <v>10277</v>
      </c>
      <c r="E4235" s="1"/>
      <c r="F4235" s="1" t="s">
        <v>349</v>
      </c>
      <c r="G4235" s="1" t="s">
        <v>211</v>
      </c>
      <c r="H4235" s="1" t="s">
        <v>1396</v>
      </c>
      <c r="I4235">
        <v>2010</v>
      </c>
      <c r="J4235" s="93">
        <v>24018.32</v>
      </c>
      <c r="K4235">
        <v>5</v>
      </c>
      <c r="L4235" s="1" t="s">
        <v>410</v>
      </c>
      <c r="M4235">
        <v>0</v>
      </c>
      <c r="N4235">
        <v>304</v>
      </c>
      <c r="O4235">
        <v>78.981650000000002</v>
      </c>
      <c r="P4235">
        <v>1</v>
      </c>
      <c r="Q4235" s="1" t="s">
        <v>566</v>
      </c>
      <c r="R4235" s="93">
        <v>24018.32</v>
      </c>
      <c r="S4235">
        <v>4898</v>
      </c>
      <c r="T4235">
        <v>0</v>
      </c>
      <c r="U4235" s="1" t="s">
        <v>903</v>
      </c>
      <c r="V4235" s="1" t="s">
        <v>1228</v>
      </c>
      <c r="W4235">
        <v>2144.4944500000001</v>
      </c>
      <c r="X4235">
        <v>0</v>
      </c>
      <c r="Y4235">
        <v>77672</v>
      </c>
    </row>
    <row r="4236" spans="1:25" ht="15" hidden="1" customHeight="1" x14ac:dyDescent="0.25">
      <c r="A4236" s="1" t="s">
        <v>40</v>
      </c>
      <c r="B4236" s="1"/>
      <c r="C4236" s="1" t="s">
        <v>211</v>
      </c>
      <c r="D4236">
        <v>10277</v>
      </c>
      <c r="E4236" s="1"/>
      <c r="F4236" s="1" t="s">
        <v>349</v>
      </c>
      <c r="G4236" s="1" t="s">
        <v>211</v>
      </c>
      <c r="H4236" s="1" t="s">
        <v>1396</v>
      </c>
      <c r="I4236">
        <v>2009</v>
      </c>
      <c r="J4236" s="93">
        <v>34427.67</v>
      </c>
      <c r="K4236">
        <v>2</v>
      </c>
      <c r="L4236" s="1" t="s">
        <v>410</v>
      </c>
      <c r="M4236">
        <v>0</v>
      </c>
      <c r="N4236">
        <v>304</v>
      </c>
      <c r="O4236">
        <v>113.211673</v>
      </c>
      <c r="P4236">
        <v>1</v>
      </c>
      <c r="Q4236" s="1" t="s">
        <v>566</v>
      </c>
      <c r="R4236" s="93">
        <v>34427.67</v>
      </c>
      <c r="S4236">
        <v>7020.76</v>
      </c>
      <c r="T4236">
        <v>0</v>
      </c>
      <c r="U4236" s="1" t="s">
        <v>903</v>
      </c>
      <c r="V4236" s="1" t="s">
        <v>1228</v>
      </c>
      <c r="W4236">
        <v>3073.8991700000001</v>
      </c>
      <c r="X4236">
        <v>0</v>
      </c>
      <c r="Y4236">
        <v>77672</v>
      </c>
    </row>
    <row r="4237" spans="1:25" ht="15" hidden="1" customHeight="1" x14ac:dyDescent="0.25">
      <c r="A4237" s="1" t="s">
        <v>40</v>
      </c>
      <c r="B4237" s="1" t="s">
        <v>86</v>
      </c>
      <c r="C4237" s="1" t="s">
        <v>213</v>
      </c>
      <c r="D4237">
        <v>5468</v>
      </c>
      <c r="E4237" s="1"/>
      <c r="F4237" s="1" t="s">
        <v>213</v>
      </c>
      <c r="G4237" s="1" t="s">
        <v>213</v>
      </c>
      <c r="H4237" s="1" t="s">
        <v>1396</v>
      </c>
      <c r="I4237">
        <v>2014</v>
      </c>
      <c r="J4237" s="93">
        <v>422.65</v>
      </c>
      <c r="K4237">
        <v>12</v>
      </c>
      <c r="L4237" s="1" t="s">
        <v>421</v>
      </c>
      <c r="M4237">
        <v>0</v>
      </c>
      <c r="N4237">
        <v>12237</v>
      </c>
      <c r="O4237">
        <v>3.4537999999999999E-2</v>
      </c>
      <c r="P4237">
        <v>2</v>
      </c>
      <c r="Q4237" s="1" t="s">
        <v>569</v>
      </c>
      <c r="R4237" s="93">
        <v>422.65</v>
      </c>
      <c r="S4237">
        <v>126.81</v>
      </c>
      <c r="T4237">
        <v>1</v>
      </c>
      <c r="U4237" s="1" t="s">
        <v>1154</v>
      </c>
      <c r="V4237" s="1"/>
      <c r="W4237">
        <v>422.64424000000002</v>
      </c>
      <c r="X4237">
        <v>0</v>
      </c>
      <c r="Y4237">
        <v>92978</v>
      </c>
    </row>
    <row r="4238" spans="1:25" ht="15" hidden="1" customHeight="1" x14ac:dyDescent="0.25">
      <c r="A4238" s="1" t="s">
        <v>40</v>
      </c>
      <c r="B4238" s="1"/>
      <c r="C4238" s="1" t="s">
        <v>211</v>
      </c>
      <c r="D4238">
        <v>10277</v>
      </c>
      <c r="E4238" s="1"/>
      <c r="F4238" s="1" t="s">
        <v>349</v>
      </c>
      <c r="G4238" s="1" t="s">
        <v>211</v>
      </c>
      <c r="H4238" s="1" t="s">
        <v>1396</v>
      </c>
      <c r="I4238">
        <v>2008</v>
      </c>
      <c r="J4238" s="93">
        <v>24517.19</v>
      </c>
      <c r="K4238">
        <v>3</v>
      </c>
      <c r="L4238" s="1" t="s">
        <v>410</v>
      </c>
      <c r="M4238">
        <v>0</v>
      </c>
      <c r="N4238">
        <v>304</v>
      </c>
      <c r="O4238">
        <v>80.622129999999999</v>
      </c>
      <c r="P4238">
        <v>1</v>
      </c>
      <c r="Q4238" s="1" t="s">
        <v>566</v>
      </c>
      <c r="R4238" s="93">
        <v>24517.19</v>
      </c>
      <c r="S4238">
        <v>4999.7700000000004</v>
      </c>
      <c r="T4238">
        <v>0</v>
      </c>
      <c r="U4238" s="1" t="s">
        <v>903</v>
      </c>
      <c r="V4238" s="1" t="s">
        <v>1228</v>
      </c>
      <c r="W4238">
        <v>2189.0359600000002</v>
      </c>
      <c r="X4238">
        <v>0</v>
      </c>
      <c r="Y4238">
        <v>77672</v>
      </c>
    </row>
    <row r="4239" spans="1:25" ht="15" hidden="1" customHeight="1" x14ac:dyDescent="0.25">
      <c r="A4239" s="1" t="s">
        <v>40</v>
      </c>
      <c r="B4239" s="1" t="s">
        <v>85</v>
      </c>
      <c r="C4239" s="1" t="s">
        <v>212</v>
      </c>
      <c r="D4239">
        <v>13360</v>
      </c>
      <c r="E4239" s="1" t="s">
        <v>243</v>
      </c>
      <c r="F4239" s="1" t="s">
        <v>350</v>
      </c>
      <c r="G4239" s="1" t="s">
        <v>212</v>
      </c>
      <c r="H4239" s="1" t="s">
        <v>1396</v>
      </c>
      <c r="I4239">
        <v>2015</v>
      </c>
      <c r="J4239" s="93">
        <v>17958.349999999999</v>
      </c>
      <c r="K4239">
        <v>5</v>
      </c>
      <c r="L4239" s="1" t="s">
        <v>410</v>
      </c>
      <c r="M4239">
        <v>0</v>
      </c>
      <c r="N4239">
        <v>317</v>
      </c>
      <c r="O4239">
        <v>56.633080999999997</v>
      </c>
      <c r="P4239">
        <v>1</v>
      </c>
      <c r="Q4239" s="1" t="s">
        <v>564</v>
      </c>
      <c r="R4239" s="93">
        <v>20100.849999999999</v>
      </c>
      <c r="S4239">
        <v>4250.96</v>
      </c>
      <c r="T4239">
        <v>0</v>
      </c>
      <c r="U4239" s="1" t="s">
        <v>904</v>
      </c>
      <c r="V4239" s="1"/>
      <c r="W4239">
        <v>1662.81</v>
      </c>
      <c r="X4239">
        <v>0</v>
      </c>
      <c r="Y4239">
        <v>89468</v>
      </c>
    </row>
    <row r="4240" spans="1:25" ht="15" hidden="1" customHeight="1" x14ac:dyDescent="0.25">
      <c r="A4240" s="1" t="s">
        <v>40</v>
      </c>
      <c r="B4240" s="1" t="s">
        <v>86</v>
      </c>
      <c r="C4240" s="1" t="s">
        <v>213</v>
      </c>
      <c r="D4240">
        <v>6027</v>
      </c>
      <c r="E4240" s="1"/>
      <c r="F4240" s="1" t="s">
        <v>351</v>
      </c>
      <c r="G4240" s="1" t="s">
        <v>213</v>
      </c>
      <c r="H4240" s="1" t="s">
        <v>1396</v>
      </c>
      <c r="I4240">
        <v>2014</v>
      </c>
      <c r="J4240" s="93">
        <v>21.04</v>
      </c>
      <c r="K4240">
        <v>12</v>
      </c>
      <c r="L4240" s="1" t="s">
        <v>421</v>
      </c>
      <c r="M4240">
        <v>0</v>
      </c>
      <c r="N4240">
        <v>0</v>
      </c>
      <c r="O4240">
        <v>210.4</v>
      </c>
      <c r="P4240">
        <v>3</v>
      </c>
      <c r="Q4240" s="1" t="s">
        <v>560</v>
      </c>
      <c r="R4240" s="93">
        <v>21.04</v>
      </c>
      <c r="S4240">
        <v>16.84</v>
      </c>
      <c r="T4240">
        <v>1</v>
      </c>
      <c r="U4240" s="1" t="s">
        <v>723</v>
      </c>
      <c r="V4240" s="1"/>
      <c r="W4240">
        <v>21.032240000000002</v>
      </c>
      <c r="X4240">
        <v>0</v>
      </c>
      <c r="Y4240">
        <v>60568</v>
      </c>
    </row>
    <row r="4241" spans="1:25" ht="15" hidden="1" customHeight="1" x14ac:dyDescent="0.25">
      <c r="A4241" s="1" t="s">
        <v>40</v>
      </c>
      <c r="B4241" s="1" t="s">
        <v>85</v>
      </c>
      <c r="C4241" s="1" t="s">
        <v>212</v>
      </c>
      <c r="D4241">
        <v>13360</v>
      </c>
      <c r="E4241" s="1" t="s">
        <v>243</v>
      </c>
      <c r="F4241" s="1" t="s">
        <v>350</v>
      </c>
      <c r="G4241" s="1" t="s">
        <v>212</v>
      </c>
      <c r="H4241" s="1" t="s">
        <v>1396</v>
      </c>
      <c r="I4241">
        <v>2013</v>
      </c>
      <c r="J4241" s="93">
        <v>43988.1</v>
      </c>
      <c r="K4241">
        <v>13</v>
      </c>
      <c r="L4241" s="1" t="s">
        <v>410</v>
      </c>
      <c r="M4241">
        <v>0</v>
      </c>
      <c r="N4241">
        <v>317</v>
      </c>
      <c r="O4241">
        <v>138.71996200000001</v>
      </c>
      <c r="P4241">
        <v>1</v>
      </c>
      <c r="Q4241" s="1" t="s">
        <v>564</v>
      </c>
      <c r="R4241" s="93">
        <v>46465.08</v>
      </c>
      <c r="S4241">
        <v>9826.5</v>
      </c>
      <c r="T4241">
        <v>0</v>
      </c>
      <c r="U4241" s="1" t="s">
        <v>904</v>
      </c>
      <c r="V4241" s="1"/>
      <c r="W4241">
        <v>4072.97334</v>
      </c>
      <c r="X4241">
        <v>0</v>
      </c>
      <c r="Y4241">
        <v>89468</v>
      </c>
    </row>
    <row r="4242" spans="1:25" ht="15" hidden="1" customHeight="1" x14ac:dyDescent="0.25">
      <c r="A4242" s="1" t="s">
        <v>40</v>
      </c>
      <c r="B4242" s="1" t="s">
        <v>85</v>
      </c>
      <c r="C4242" s="1" t="s">
        <v>212</v>
      </c>
      <c r="D4242">
        <v>13360</v>
      </c>
      <c r="E4242" s="1" t="s">
        <v>243</v>
      </c>
      <c r="F4242" s="1" t="s">
        <v>350</v>
      </c>
      <c r="G4242" s="1" t="s">
        <v>212</v>
      </c>
      <c r="H4242" s="1" t="s">
        <v>1396</v>
      </c>
      <c r="I4242">
        <v>2012</v>
      </c>
      <c r="J4242" s="93">
        <v>67610.89</v>
      </c>
      <c r="K4242">
        <v>12</v>
      </c>
      <c r="L4242" s="1" t="s">
        <v>410</v>
      </c>
      <c r="M4242">
        <v>0</v>
      </c>
      <c r="N4242">
        <v>317</v>
      </c>
      <c r="O4242">
        <v>213.21630400000001</v>
      </c>
      <c r="P4242">
        <v>1</v>
      </c>
      <c r="Q4242" s="1" t="s">
        <v>564</v>
      </c>
      <c r="R4242" s="93">
        <v>73563.98</v>
      </c>
      <c r="S4242">
        <v>15557.41</v>
      </c>
      <c r="T4242">
        <v>0</v>
      </c>
      <c r="U4242" s="1" t="s">
        <v>904</v>
      </c>
      <c r="V4242" s="1"/>
      <c r="W4242">
        <v>6260.2645599999996</v>
      </c>
      <c r="X4242">
        <v>0</v>
      </c>
      <c r="Y4242">
        <v>89468</v>
      </c>
    </row>
    <row r="4243" spans="1:25" ht="15" hidden="1" customHeight="1" x14ac:dyDescent="0.25">
      <c r="A4243" s="1" t="s">
        <v>40</v>
      </c>
      <c r="B4243" s="1" t="s">
        <v>85</v>
      </c>
      <c r="C4243" s="1" t="s">
        <v>212</v>
      </c>
      <c r="D4243">
        <v>13360</v>
      </c>
      <c r="E4243" s="1" t="s">
        <v>243</v>
      </c>
      <c r="F4243" s="1" t="s">
        <v>350</v>
      </c>
      <c r="G4243" s="1" t="s">
        <v>212</v>
      </c>
      <c r="H4243" s="1" t="s">
        <v>1396</v>
      </c>
      <c r="I4243">
        <v>2011</v>
      </c>
      <c r="J4243" s="93">
        <v>31334.959999999999</v>
      </c>
      <c r="K4243">
        <v>4</v>
      </c>
      <c r="L4243" s="1" t="s">
        <v>410</v>
      </c>
      <c r="M4243">
        <v>0</v>
      </c>
      <c r="N4243">
        <v>317</v>
      </c>
      <c r="O4243">
        <v>98.817280999999994</v>
      </c>
      <c r="P4243">
        <v>1</v>
      </c>
      <c r="Q4243" s="1" t="s">
        <v>564</v>
      </c>
      <c r="R4243" s="93">
        <v>35015.26</v>
      </c>
      <c r="S4243">
        <v>7405.07</v>
      </c>
      <c r="T4243">
        <v>0</v>
      </c>
      <c r="U4243" s="1" t="s">
        <v>904</v>
      </c>
      <c r="V4243" s="1"/>
      <c r="W4243">
        <v>2901.3856099999998</v>
      </c>
      <c r="X4243">
        <v>0</v>
      </c>
      <c r="Y4243">
        <v>89468</v>
      </c>
    </row>
    <row r="4244" spans="1:25" ht="15" hidden="1" customHeight="1" x14ac:dyDescent="0.25">
      <c r="A4244" s="1" t="s">
        <v>40</v>
      </c>
      <c r="B4244" s="1" t="s">
        <v>85</v>
      </c>
      <c r="C4244" s="1" t="s">
        <v>212</v>
      </c>
      <c r="D4244">
        <v>13360</v>
      </c>
      <c r="E4244" s="1" t="s">
        <v>243</v>
      </c>
      <c r="F4244" s="1" t="s">
        <v>350</v>
      </c>
      <c r="G4244" s="1" t="s">
        <v>212</v>
      </c>
      <c r="H4244" s="1" t="s">
        <v>1396</v>
      </c>
      <c r="I4244">
        <v>2010</v>
      </c>
      <c r="J4244" s="93">
        <v>48481.9</v>
      </c>
      <c r="K4244">
        <v>1</v>
      </c>
      <c r="L4244" s="1" t="s">
        <v>410</v>
      </c>
      <c r="M4244">
        <v>0</v>
      </c>
      <c r="N4244">
        <v>317</v>
      </c>
      <c r="O4244">
        <v>152.891516</v>
      </c>
      <c r="P4244">
        <v>1</v>
      </c>
      <c r="Q4244" s="1" t="s">
        <v>564</v>
      </c>
      <c r="R4244" s="93">
        <v>61311.71</v>
      </c>
      <c r="S4244">
        <v>12966.31</v>
      </c>
      <c r="T4244">
        <v>0</v>
      </c>
      <c r="U4244" s="1" t="s">
        <v>904</v>
      </c>
      <c r="V4244" s="1"/>
      <c r="W4244">
        <v>4489.06495</v>
      </c>
      <c r="X4244">
        <v>0</v>
      </c>
      <c r="Y4244">
        <v>89468</v>
      </c>
    </row>
    <row r="4245" spans="1:25" ht="15" hidden="1" customHeight="1" x14ac:dyDescent="0.25">
      <c r="A4245" s="1" t="s">
        <v>40</v>
      </c>
      <c r="B4245" s="1" t="s">
        <v>85</v>
      </c>
      <c r="C4245" s="1" t="s">
        <v>212</v>
      </c>
      <c r="D4245">
        <v>13360</v>
      </c>
      <c r="E4245" s="1" t="s">
        <v>243</v>
      </c>
      <c r="F4245" s="1" t="s">
        <v>350</v>
      </c>
      <c r="G4245" s="1" t="s">
        <v>212</v>
      </c>
      <c r="H4245" s="1" t="s">
        <v>1396</v>
      </c>
      <c r="I4245">
        <v>2009</v>
      </c>
      <c r="J4245" s="93">
        <v>27989.42</v>
      </c>
      <c r="K4245">
        <v>4</v>
      </c>
      <c r="L4245" s="1" t="s">
        <v>410</v>
      </c>
      <c r="M4245">
        <v>0</v>
      </c>
      <c r="N4245">
        <v>317</v>
      </c>
      <c r="O4245">
        <v>88.266855000000007</v>
      </c>
      <c r="P4245">
        <v>1</v>
      </c>
      <c r="Q4245" s="1" t="s">
        <v>564</v>
      </c>
      <c r="R4245" s="93">
        <v>28819.599999999999</v>
      </c>
      <c r="S4245">
        <v>6094.83</v>
      </c>
      <c r="T4245">
        <v>0</v>
      </c>
      <c r="U4245" s="1" t="s">
        <v>904</v>
      </c>
      <c r="V4245" s="1"/>
      <c r="W4245">
        <v>2591.6122300000002</v>
      </c>
      <c r="X4245">
        <v>0</v>
      </c>
      <c r="Y4245">
        <v>89468</v>
      </c>
    </row>
    <row r="4246" spans="1:25" ht="15" hidden="1" customHeight="1" x14ac:dyDescent="0.25">
      <c r="A4246" s="1" t="s">
        <v>40</v>
      </c>
      <c r="B4246" s="1" t="s">
        <v>85</v>
      </c>
      <c r="C4246" s="1" t="s">
        <v>212</v>
      </c>
      <c r="D4246">
        <v>13360</v>
      </c>
      <c r="E4246" s="1" t="s">
        <v>243</v>
      </c>
      <c r="F4246" s="1" t="s">
        <v>350</v>
      </c>
      <c r="G4246" s="1" t="s">
        <v>212</v>
      </c>
      <c r="H4246" s="1" t="s">
        <v>1396</v>
      </c>
      <c r="I4246">
        <v>2008</v>
      </c>
      <c r="J4246" s="93">
        <v>54709.46</v>
      </c>
      <c r="K4246">
        <v>1</v>
      </c>
      <c r="L4246" s="1" t="s">
        <v>410</v>
      </c>
      <c r="M4246">
        <v>0</v>
      </c>
      <c r="N4246">
        <v>317</v>
      </c>
      <c r="O4246">
        <v>172.530621</v>
      </c>
      <c r="P4246">
        <v>1</v>
      </c>
      <c r="Q4246" s="1" t="s">
        <v>564</v>
      </c>
      <c r="R4246" s="93">
        <v>69983.11</v>
      </c>
      <c r="S4246">
        <v>14800.15</v>
      </c>
      <c r="T4246">
        <v>0</v>
      </c>
      <c r="U4246" s="1" t="s">
        <v>904</v>
      </c>
      <c r="V4246" s="1"/>
      <c r="W4246">
        <v>5065.6925700000002</v>
      </c>
      <c r="X4246">
        <v>0</v>
      </c>
      <c r="Y4246">
        <v>89468</v>
      </c>
    </row>
    <row r="4247" spans="1:25" ht="15" hidden="1" customHeight="1" x14ac:dyDescent="0.25">
      <c r="A4247" s="1" t="s">
        <v>40</v>
      </c>
      <c r="B4247" s="1"/>
      <c r="C4247" s="1" t="s">
        <v>218</v>
      </c>
      <c r="D4247">
        <v>11035</v>
      </c>
      <c r="E4247" s="1"/>
      <c r="F4247" s="1" t="s">
        <v>353</v>
      </c>
      <c r="G4247" s="1" t="s">
        <v>218</v>
      </c>
      <c r="H4247" s="1" t="s">
        <v>1396</v>
      </c>
      <c r="I4247">
        <v>2015</v>
      </c>
      <c r="J4247" s="93">
        <v>16242.87</v>
      </c>
      <c r="K4247">
        <v>5</v>
      </c>
      <c r="L4247" s="1" t="s">
        <v>459</v>
      </c>
      <c r="M4247">
        <v>0</v>
      </c>
      <c r="N4247">
        <v>225</v>
      </c>
      <c r="O4247">
        <v>72.158462</v>
      </c>
      <c r="P4247">
        <v>1</v>
      </c>
      <c r="Q4247" s="1" t="s">
        <v>562</v>
      </c>
      <c r="R4247" s="93">
        <v>18518.310000000001</v>
      </c>
      <c r="S4247">
        <v>1185.1600000000001</v>
      </c>
      <c r="T4247">
        <v>0</v>
      </c>
      <c r="U4247" s="1" t="s">
        <v>915</v>
      </c>
      <c r="V4247" s="1"/>
      <c r="W4247">
        <v>16242.87</v>
      </c>
      <c r="X4247">
        <v>0</v>
      </c>
      <c r="Y4247">
        <v>79964</v>
      </c>
    </row>
    <row r="4248" spans="1:25" ht="15" hidden="1" customHeight="1" x14ac:dyDescent="0.25">
      <c r="A4248" s="1" t="s">
        <v>40</v>
      </c>
      <c r="B4248" s="1" t="s">
        <v>86</v>
      </c>
      <c r="C4248" s="1" t="s">
        <v>213</v>
      </c>
      <c r="D4248">
        <v>6027</v>
      </c>
      <c r="E4248" s="1"/>
      <c r="F4248" s="1" t="s">
        <v>351</v>
      </c>
      <c r="G4248" s="1" t="s">
        <v>213</v>
      </c>
      <c r="H4248" s="1" t="s">
        <v>1396</v>
      </c>
      <c r="I4248">
        <v>2014</v>
      </c>
      <c r="J4248" s="93">
        <v>81.06</v>
      </c>
      <c r="K4248">
        <v>12</v>
      </c>
      <c r="L4248" s="1" t="s">
        <v>421</v>
      </c>
      <c r="M4248">
        <v>0</v>
      </c>
      <c r="N4248">
        <v>0</v>
      </c>
      <c r="O4248">
        <v>810.6</v>
      </c>
      <c r="P4248">
        <v>3</v>
      </c>
      <c r="Q4248" s="1" t="s">
        <v>560</v>
      </c>
      <c r="R4248" s="93">
        <v>81.06</v>
      </c>
      <c r="S4248">
        <v>64.849999999999994</v>
      </c>
      <c r="T4248">
        <v>1</v>
      </c>
      <c r="U4248" s="1" t="s">
        <v>724</v>
      </c>
      <c r="V4248" s="1"/>
      <c r="W4248">
        <v>81.046999999999997</v>
      </c>
      <c r="X4248">
        <v>0</v>
      </c>
      <c r="Y4248">
        <v>60570</v>
      </c>
    </row>
    <row r="4249" spans="1:25" ht="15" hidden="1" customHeight="1" x14ac:dyDescent="0.25">
      <c r="A4249" s="1" t="s">
        <v>40</v>
      </c>
      <c r="B4249" s="1" t="s">
        <v>86</v>
      </c>
      <c r="C4249" s="1" t="s">
        <v>213</v>
      </c>
      <c r="D4249">
        <v>6027</v>
      </c>
      <c r="E4249" s="1"/>
      <c r="F4249" s="1" t="s">
        <v>351</v>
      </c>
      <c r="G4249" s="1" t="s">
        <v>213</v>
      </c>
      <c r="H4249" s="1" t="s">
        <v>1396</v>
      </c>
      <c r="I4249">
        <v>2014</v>
      </c>
      <c r="J4249" s="93">
        <v>62.98</v>
      </c>
      <c r="K4249">
        <v>12</v>
      </c>
      <c r="L4249" s="1" t="s">
        <v>421</v>
      </c>
      <c r="M4249">
        <v>0</v>
      </c>
      <c r="N4249">
        <v>0</v>
      </c>
      <c r="O4249">
        <v>629.79999999999995</v>
      </c>
      <c r="P4249">
        <v>3</v>
      </c>
      <c r="Q4249" s="1" t="s">
        <v>560</v>
      </c>
      <c r="R4249" s="93">
        <v>62.98</v>
      </c>
      <c r="S4249">
        <v>50.39</v>
      </c>
      <c r="T4249">
        <v>1</v>
      </c>
      <c r="U4249" s="1" t="s">
        <v>725</v>
      </c>
      <c r="V4249" s="1"/>
      <c r="W4249">
        <v>62.982469999999999</v>
      </c>
      <c r="X4249">
        <v>0</v>
      </c>
      <c r="Y4249">
        <v>60571</v>
      </c>
    </row>
    <row r="4250" spans="1:25" ht="15" hidden="1" customHeight="1" x14ac:dyDescent="0.25">
      <c r="A4250" s="1" t="s">
        <v>40</v>
      </c>
      <c r="B4250" s="1" t="s">
        <v>86</v>
      </c>
      <c r="C4250" s="1" t="s">
        <v>213</v>
      </c>
      <c r="D4250">
        <v>6027</v>
      </c>
      <c r="E4250" s="1"/>
      <c r="F4250" s="1" t="s">
        <v>351</v>
      </c>
      <c r="G4250" s="1" t="s">
        <v>213</v>
      </c>
      <c r="H4250" s="1" t="s">
        <v>1396</v>
      </c>
      <c r="I4250">
        <v>2014</v>
      </c>
      <c r="J4250" s="93">
        <v>0</v>
      </c>
      <c r="K4250">
        <v>12</v>
      </c>
      <c r="L4250" s="1" t="s">
        <v>421</v>
      </c>
      <c r="M4250">
        <v>0</v>
      </c>
      <c r="N4250">
        <v>0</v>
      </c>
      <c r="O4250">
        <v>0</v>
      </c>
      <c r="P4250">
        <v>3</v>
      </c>
      <c r="Q4250" s="1" t="s">
        <v>560</v>
      </c>
      <c r="R4250" s="93">
        <v>0</v>
      </c>
      <c r="S4250">
        <v>0</v>
      </c>
      <c r="T4250">
        <v>1</v>
      </c>
      <c r="U4250" s="1" t="s">
        <v>726</v>
      </c>
      <c r="V4250" s="1"/>
      <c r="W4250">
        <v>0</v>
      </c>
      <c r="X4250">
        <v>0</v>
      </c>
      <c r="Y4250">
        <v>60572</v>
      </c>
    </row>
    <row r="4251" spans="1:25" ht="15" hidden="1" customHeight="1" x14ac:dyDescent="0.25">
      <c r="A4251" s="1" t="s">
        <v>40</v>
      </c>
      <c r="B4251" s="1" t="s">
        <v>86</v>
      </c>
      <c r="C4251" s="1" t="s">
        <v>213</v>
      </c>
      <c r="D4251">
        <v>6027</v>
      </c>
      <c r="E4251" s="1"/>
      <c r="F4251" s="1" t="s">
        <v>351</v>
      </c>
      <c r="G4251" s="1" t="s">
        <v>213</v>
      </c>
      <c r="H4251" s="1" t="s">
        <v>1396</v>
      </c>
      <c r="I4251">
        <v>2014</v>
      </c>
      <c r="J4251" s="93">
        <v>0.03</v>
      </c>
      <c r="K4251">
        <v>12</v>
      </c>
      <c r="L4251" s="1" t="s">
        <v>421</v>
      </c>
      <c r="M4251">
        <v>0</v>
      </c>
      <c r="N4251">
        <v>0</v>
      </c>
      <c r="O4251">
        <v>0.3</v>
      </c>
      <c r="P4251">
        <v>3</v>
      </c>
      <c r="Q4251" s="1" t="s">
        <v>560</v>
      </c>
      <c r="R4251" s="93">
        <v>0.03</v>
      </c>
      <c r="S4251">
        <v>0.03</v>
      </c>
      <c r="T4251">
        <v>1</v>
      </c>
      <c r="U4251" s="1" t="s">
        <v>727</v>
      </c>
      <c r="V4251" s="1"/>
      <c r="W4251">
        <v>3.2259999999999997E-2</v>
      </c>
      <c r="X4251">
        <v>0</v>
      </c>
      <c r="Y4251">
        <v>60573</v>
      </c>
    </row>
    <row r="4252" spans="1:25" ht="15" hidden="1" customHeight="1" x14ac:dyDescent="0.25">
      <c r="A4252" s="1" t="s">
        <v>40</v>
      </c>
      <c r="B4252" s="1"/>
      <c r="C4252" s="1" t="s">
        <v>218</v>
      </c>
      <c r="D4252">
        <v>11035</v>
      </c>
      <c r="E4252" s="1"/>
      <c r="F4252" s="1" t="s">
        <v>353</v>
      </c>
      <c r="G4252" s="1" t="s">
        <v>218</v>
      </c>
      <c r="H4252" s="1" t="s">
        <v>1396</v>
      </c>
      <c r="I4252">
        <v>2013</v>
      </c>
      <c r="J4252" s="93">
        <v>33051.03</v>
      </c>
      <c r="K4252">
        <v>12</v>
      </c>
      <c r="L4252" s="1" t="s">
        <v>459</v>
      </c>
      <c r="M4252">
        <v>0</v>
      </c>
      <c r="N4252">
        <v>225</v>
      </c>
      <c r="O4252">
        <v>146.82820899999999</v>
      </c>
      <c r="P4252">
        <v>1</v>
      </c>
      <c r="Q4252" s="1" t="s">
        <v>562</v>
      </c>
      <c r="R4252" s="93">
        <v>34546.65</v>
      </c>
      <c r="S4252">
        <v>2210.98</v>
      </c>
      <c r="T4252">
        <v>0</v>
      </c>
      <c r="U4252" s="1" t="s">
        <v>915</v>
      </c>
      <c r="V4252" s="1"/>
      <c r="W4252">
        <v>33051.027999999998</v>
      </c>
      <c r="X4252">
        <v>0</v>
      </c>
      <c r="Y4252">
        <v>79964</v>
      </c>
    </row>
    <row r="4253" spans="1:25" ht="15" hidden="1" customHeight="1" x14ac:dyDescent="0.25">
      <c r="A4253" s="1" t="s">
        <v>40</v>
      </c>
      <c r="B4253" s="1"/>
      <c r="C4253" s="1" t="s">
        <v>218</v>
      </c>
      <c r="D4253">
        <v>11035</v>
      </c>
      <c r="E4253" s="1"/>
      <c r="F4253" s="1" t="s">
        <v>353</v>
      </c>
      <c r="G4253" s="1" t="s">
        <v>218</v>
      </c>
      <c r="H4253" s="1" t="s">
        <v>1396</v>
      </c>
      <c r="I4253">
        <v>2012</v>
      </c>
      <c r="J4253" s="93">
        <v>30715.26</v>
      </c>
      <c r="K4253">
        <v>13</v>
      </c>
      <c r="L4253" s="1" t="s">
        <v>459</v>
      </c>
      <c r="M4253">
        <v>0</v>
      </c>
      <c r="N4253">
        <v>225</v>
      </c>
      <c r="O4253">
        <v>136.45162099999999</v>
      </c>
      <c r="P4253">
        <v>1</v>
      </c>
      <c r="Q4253" s="1" t="s">
        <v>562</v>
      </c>
      <c r="R4253" s="93">
        <v>32143.1</v>
      </c>
      <c r="S4253">
        <v>5946.48</v>
      </c>
      <c r="T4253">
        <v>0</v>
      </c>
      <c r="U4253" s="1" t="s">
        <v>915</v>
      </c>
      <c r="V4253" s="1"/>
      <c r="W4253">
        <v>30715.265500000001</v>
      </c>
      <c r="X4253">
        <v>0</v>
      </c>
      <c r="Y4253">
        <v>79964</v>
      </c>
    </row>
    <row r="4254" spans="1:25" ht="15" hidden="1" customHeight="1" x14ac:dyDescent="0.25">
      <c r="A4254" s="1" t="s">
        <v>40</v>
      </c>
      <c r="B4254" s="1" t="s">
        <v>86</v>
      </c>
      <c r="C4254" s="1" t="s">
        <v>213</v>
      </c>
      <c r="D4254">
        <v>6027</v>
      </c>
      <c r="E4254" s="1"/>
      <c r="F4254" s="1" t="s">
        <v>351</v>
      </c>
      <c r="G4254" s="1" t="s">
        <v>213</v>
      </c>
      <c r="H4254" s="1" t="s">
        <v>1396</v>
      </c>
      <c r="I4254">
        <v>2014</v>
      </c>
      <c r="J4254" s="93">
        <v>0</v>
      </c>
      <c r="K4254">
        <v>12</v>
      </c>
      <c r="L4254" s="1" t="s">
        <v>421</v>
      </c>
      <c r="M4254">
        <v>0</v>
      </c>
      <c r="N4254">
        <v>0</v>
      </c>
      <c r="O4254">
        <v>0</v>
      </c>
      <c r="P4254">
        <v>3</v>
      </c>
      <c r="Q4254" s="1" t="s">
        <v>560</v>
      </c>
      <c r="R4254" s="93">
        <v>0</v>
      </c>
      <c r="S4254">
        <v>0</v>
      </c>
      <c r="T4254">
        <v>1</v>
      </c>
      <c r="U4254" s="1" t="s">
        <v>728</v>
      </c>
      <c r="V4254" s="1"/>
      <c r="W4254">
        <v>0</v>
      </c>
      <c r="X4254">
        <v>0</v>
      </c>
      <c r="Y4254">
        <v>60574</v>
      </c>
    </row>
    <row r="4255" spans="1:25" ht="15" hidden="1" customHeight="1" x14ac:dyDescent="0.25">
      <c r="A4255" s="1" t="s">
        <v>40</v>
      </c>
      <c r="B4255" s="1"/>
      <c r="C4255" s="1" t="s">
        <v>218</v>
      </c>
      <c r="D4255">
        <v>11035</v>
      </c>
      <c r="E4255" s="1"/>
      <c r="F4255" s="1" t="s">
        <v>353</v>
      </c>
      <c r="G4255" s="1" t="s">
        <v>218</v>
      </c>
      <c r="H4255" s="1" t="s">
        <v>1396</v>
      </c>
      <c r="I4255">
        <v>2011</v>
      </c>
      <c r="J4255" s="93">
        <v>31745.03</v>
      </c>
      <c r="K4255">
        <v>6</v>
      </c>
      <c r="L4255" s="1" t="s">
        <v>459</v>
      </c>
      <c r="M4255">
        <v>0</v>
      </c>
      <c r="N4255">
        <v>225</v>
      </c>
      <c r="O4255">
        <v>141.026343</v>
      </c>
      <c r="P4255">
        <v>1</v>
      </c>
      <c r="Q4255" s="1" t="s">
        <v>562</v>
      </c>
      <c r="R4255" s="93">
        <v>35073.56</v>
      </c>
      <c r="S4255">
        <v>6488.61</v>
      </c>
      <c r="T4255">
        <v>0</v>
      </c>
      <c r="U4255" s="1" t="s">
        <v>915</v>
      </c>
      <c r="V4255" s="1"/>
      <c r="W4255">
        <v>31745.03141</v>
      </c>
      <c r="X4255">
        <v>0</v>
      </c>
      <c r="Y4255">
        <v>79964</v>
      </c>
    </row>
    <row r="4256" spans="1:25" ht="15" hidden="1" customHeight="1" x14ac:dyDescent="0.25">
      <c r="A4256" s="1" t="s">
        <v>40</v>
      </c>
      <c r="B4256" s="1"/>
      <c r="C4256" s="1" t="s">
        <v>218</v>
      </c>
      <c r="D4256">
        <v>11035</v>
      </c>
      <c r="E4256" s="1"/>
      <c r="F4256" s="1" t="s">
        <v>353</v>
      </c>
      <c r="G4256" s="1" t="s">
        <v>218</v>
      </c>
      <c r="H4256" s="1" t="s">
        <v>1396</v>
      </c>
      <c r="I4256">
        <v>2010</v>
      </c>
      <c r="J4256" s="93">
        <v>32093.33</v>
      </c>
      <c r="K4256">
        <v>4</v>
      </c>
      <c r="L4256" s="1" t="s">
        <v>459</v>
      </c>
      <c r="M4256">
        <v>0</v>
      </c>
      <c r="N4256">
        <v>225</v>
      </c>
      <c r="O4256">
        <v>142.573656</v>
      </c>
      <c r="P4256">
        <v>1</v>
      </c>
      <c r="Q4256" s="1" t="s">
        <v>562</v>
      </c>
      <c r="R4256" s="93">
        <v>37769.65</v>
      </c>
      <c r="S4256">
        <v>6987.38</v>
      </c>
      <c r="T4256">
        <v>0</v>
      </c>
      <c r="U4256" s="1" t="s">
        <v>915</v>
      </c>
      <c r="V4256" s="1"/>
      <c r="W4256">
        <v>32093.345659999999</v>
      </c>
      <c r="X4256">
        <v>0</v>
      </c>
      <c r="Y4256">
        <v>79964</v>
      </c>
    </row>
    <row r="4257" spans="1:25" ht="15" hidden="1" customHeight="1" x14ac:dyDescent="0.25">
      <c r="A4257" s="1" t="s">
        <v>40</v>
      </c>
      <c r="B4257" s="1"/>
      <c r="C4257" s="1" t="s">
        <v>218</v>
      </c>
      <c r="D4257">
        <v>11035</v>
      </c>
      <c r="E4257" s="1"/>
      <c r="F4257" s="1" t="s">
        <v>353</v>
      </c>
      <c r="G4257" s="1" t="s">
        <v>218</v>
      </c>
      <c r="H4257" s="1" t="s">
        <v>1396</v>
      </c>
      <c r="I4257">
        <v>2009</v>
      </c>
      <c r="J4257" s="93">
        <v>35798.800000000003</v>
      </c>
      <c r="K4257">
        <v>2</v>
      </c>
      <c r="L4257" s="1" t="s">
        <v>459</v>
      </c>
      <c r="M4257">
        <v>0</v>
      </c>
      <c r="N4257">
        <v>225</v>
      </c>
      <c r="O4257">
        <v>159.03509500000001</v>
      </c>
      <c r="P4257">
        <v>1</v>
      </c>
      <c r="Q4257" s="1" t="s">
        <v>562</v>
      </c>
      <c r="R4257" s="93">
        <v>49379.98</v>
      </c>
      <c r="S4257">
        <v>9135.2900000000009</v>
      </c>
      <c r="T4257">
        <v>0</v>
      </c>
      <c r="U4257" s="1" t="s">
        <v>915</v>
      </c>
      <c r="V4257" s="1"/>
      <c r="W4257">
        <v>35798.796479999997</v>
      </c>
      <c r="X4257">
        <v>0</v>
      </c>
      <c r="Y4257">
        <v>79964</v>
      </c>
    </row>
    <row r="4258" spans="1:25" ht="15" hidden="1" customHeight="1" x14ac:dyDescent="0.25">
      <c r="A4258" s="1" t="s">
        <v>40</v>
      </c>
      <c r="B4258" s="1"/>
      <c r="C4258" s="1" t="s">
        <v>218</v>
      </c>
      <c r="D4258">
        <v>11035</v>
      </c>
      <c r="E4258" s="1"/>
      <c r="F4258" s="1" t="s">
        <v>353</v>
      </c>
      <c r="G4258" s="1" t="s">
        <v>218</v>
      </c>
      <c r="H4258" s="1" t="s">
        <v>1396</v>
      </c>
      <c r="I4258">
        <v>2008</v>
      </c>
      <c r="J4258" s="93">
        <v>8521.2000000000007</v>
      </c>
      <c r="K4258">
        <v>2</v>
      </c>
      <c r="L4258" s="1" t="s">
        <v>459</v>
      </c>
      <c r="M4258">
        <v>0</v>
      </c>
      <c r="N4258">
        <v>225</v>
      </c>
      <c r="O4258">
        <v>37.855175000000003</v>
      </c>
      <c r="P4258">
        <v>1</v>
      </c>
      <c r="Q4258" s="1" t="s">
        <v>562</v>
      </c>
      <c r="R4258" s="93">
        <v>9050.94</v>
      </c>
      <c r="S4258">
        <v>1674.42</v>
      </c>
      <c r="T4258">
        <v>0</v>
      </c>
      <c r="U4258" s="1" t="s">
        <v>915</v>
      </c>
      <c r="V4258" s="1"/>
      <c r="W4258">
        <v>8521.2000000000007</v>
      </c>
      <c r="X4258">
        <v>0</v>
      </c>
      <c r="Y4258">
        <v>79964</v>
      </c>
    </row>
    <row r="4259" spans="1:25" ht="15" hidden="1" customHeight="1" x14ac:dyDescent="0.25">
      <c r="A4259" s="1" t="s">
        <v>40</v>
      </c>
      <c r="B4259" s="1" t="s">
        <v>86</v>
      </c>
      <c r="C4259" s="1" t="s">
        <v>213</v>
      </c>
      <c r="D4259">
        <v>6027</v>
      </c>
      <c r="E4259" s="1"/>
      <c r="F4259" s="1" t="s">
        <v>351</v>
      </c>
      <c r="G4259" s="1" t="s">
        <v>213</v>
      </c>
      <c r="H4259" s="1" t="s">
        <v>1396</v>
      </c>
      <c r="I4259">
        <v>2014</v>
      </c>
      <c r="J4259" s="93">
        <v>176.02</v>
      </c>
      <c r="K4259">
        <v>12</v>
      </c>
      <c r="L4259" s="1" t="s">
        <v>421</v>
      </c>
      <c r="M4259">
        <v>0</v>
      </c>
      <c r="N4259">
        <v>0</v>
      </c>
      <c r="O4259">
        <v>1760.2</v>
      </c>
      <c r="P4259">
        <v>3</v>
      </c>
      <c r="Q4259" s="1" t="s">
        <v>560</v>
      </c>
      <c r="R4259" s="93">
        <v>176.02</v>
      </c>
      <c r="S4259">
        <v>140.82</v>
      </c>
      <c r="T4259">
        <v>1</v>
      </c>
      <c r="U4259" s="1" t="s">
        <v>729</v>
      </c>
      <c r="V4259" s="1"/>
      <c r="W4259">
        <v>176.01936000000001</v>
      </c>
      <c r="X4259">
        <v>0</v>
      </c>
      <c r="Y4259">
        <v>60575</v>
      </c>
    </row>
    <row r="4260" spans="1:25" ht="15" hidden="1" customHeight="1" x14ac:dyDescent="0.25">
      <c r="A4260" s="1" t="s">
        <v>40</v>
      </c>
      <c r="B4260" s="1"/>
      <c r="C4260" s="1" t="s">
        <v>228</v>
      </c>
      <c r="D4260">
        <v>13988</v>
      </c>
      <c r="E4260" s="1" t="s">
        <v>243</v>
      </c>
      <c r="F4260" s="1" t="s">
        <v>228</v>
      </c>
      <c r="G4260" s="1" t="s">
        <v>228</v>
      </c>
      <c r="H4260" s="1" t="s">
        <v>1396</v>
      </c>
      <c r="I4260">
        <v>2013</v>
      </c>
      <c r="J4260" s="93">
        <v>14726.12</v>
      </c>
      <c r="K4260">
        <v>3</v>
      </c>
      <c r="L4260" s="1" t="s">
        <v>502</v>
      </c>
      <c r="M4260">
        <v>0</v>
      </c>
      <c r="N4260">
        <v>0</v>
      </c>
      <c r="O4260">
        <v>147261.20000000001</v>
      </c>
      <c r="P4260">
        <v>1</v>
      </c>
      <c r="Q4260" s="1" t="s">
        <v>565</v>
      </c>
      <c r="R4260" s="93">
        <v>21749.34</v>
      </c>
      <c r="S4260">
        <v>4.04</v>
      </c>
      <c r="T4260">
        <v>0</v>
      </c>
      <c r="U4260" s="1" t="s">
        <v>917</v>
      </c>
      <c r="V4260" s="1"/>
      <c r="W4260">
        <v>14.72612</v>
      </c>
      <c r="X4260">
        <v>0</v>
      </c>
      <c r="Y4260">
        <v>94860</v>
      </c>
    </row>
    <row r="4261" spans="1:25" ht="15" hidden="1" customHeight="1" x14ac:dyDescent="0.25">
      <c r="A4261" s="1" t="s">
        <v>40</v>
      </c>
      <c r="B4261" s="1" t="s">
        <v>94</v>
      </c>
      <c r="C4261" s="1" t="s">
        <v>224</v>
      </c>
      <c r="D4261">
        <v>5465</v>
      </c>
      <c r="E4261" s="1"/>
      <c r="F4261" s="1" t="s">
        <v>224</v>
      </c>
      <c r="G4261" s="1" t="s">
        <v>224</v>
      </c>
      <c r="H4261" s="1" t="s">
        <v>1396</v>
      </c>
      <c r="I4261">
        <v>2015</v>
      </c>
      <c r="J4261" s="93">
        <v>56474.41</v>
      </c>
      <c r="K4261">
        <v>5</v>
      </c>
      <c r="L4261" s="1"/>
      <c r="M4261">
        <v>0</v>
      </c>
      <c r="N4261">
        <v>1384</v>
      </c>
      <c r="O4261">
        <v>40.802261000000001</v>
      </c>
      <c r="P4261">
        <v>1</v>
      </c>
      <c r="Q4261" s="1" t="s">
        <v>562</v>
      </c>
      <c r="R4261" s="93">
        <v>64281.07</v>
      </c>
      <c r="S4261">
        <v>11891997.949999999</v>
      </c>
      <c r="T4261">
        <v>0</v>
      </c>
      <c r="U4261" s="1" t="s">
        <v>926</v>
      </c>
      <c r="V4261" s="1"/>
      <c r="W4261">
        <v>56474.40625</v>
      </c>
      <c r="X4261">
        <v>0</v>
      </c>
      <c r="Y4261">
        <v>57760</v>
      </c>
    </row>
    <row r="4262" spans="1:25" ht="15" hidden="1" customHeight="1" x14ac:dyDescent="0.25">
      <c r="A4262" s="1" t="s">
        <v>40</v>
      </c>
      <c r="B4262" s="1" t="s">
        <v>94</v>
      </c>
      <c r="C4262" s="1" t="s">
        <v>224</v>
      </c>
      <c r="D4262">
        <v>5465</v>
      </c>
      <c r="E4262" s="1"/>
      <c r="F4262" s="1" t="s">
        <v>224</v>
      </c>
      <c r="G4262" s="1" t="s">
        <v>224</v>
      </c>
      <c r="H4262" s="1" t="s">
        <v>1396</v>
      </c>
      <c r="I4262">
        <v>2015</v>
      </c>
      <c r="J4262" s="93">
        <v>1107.5899999999999</v>
      </c>
      <c r="K4262">
        <v>5</v>
      </c>
      <c r="L4262" s="1" t="s">
        <v>421</v>
      </c>
      <c r="M4262">
        <v>0</v>
      </c>
      <c r="N4262">
        <v>1384</v>
      </c>
      <c r="O4262">
        <v>0.80022300000000002</v>
      </c>
      <c r="P4262">
        <v>1</v>
      </c>
      <c r="Q4262" s="1" t="s">
        <v>562</v>
      </c>
      <c r="R4262" s="93">
        <v>1213.28</v>
      </c>
      <c r="S4262">
        <v>224456.8</v>
      </c>
      <c r="T4262">
        <v>1</v>
      </c>
      <c r="U4262" s="1" t="s">
        <v>927</v>
      </c>
      <c r="V4262" s="1"/>
      <c r="W4262">
        <v>1107.59375</v>
      </c>
      <c r="X4262">
        <v>0</v>
      </c>
      <c r="Y4262">
        <v>57767</v>
      </c>
    </row>
    <row r="4263" spans="1:25" ht="15" hidden="1" customHeight="1" x14ac:dyDescent="0.25">
      <c r="A4263" s="1" t="s">
        <v>40</v>
      </c>
      <c r="B4263" s="1" t="s">
        <v>94</v>
      </c>
      <c r="C4263" s="1" t="s">
        <v>224</v>
      </c>
      <c r="D4263">
        <v>5465</v>
      </c>
      <c r="E4263" s="1"/>
      <c r="F4263" s="1" t="s">
        <v>224</v>
      </c>
      <c r="G4263" s="1" t="s">
        <v>224</v>
      </c>
      <c r="H4263" s="1" t="s">
        <v>1396</v>
      </c>
      <c r="I4263">
        <v>2015</v>
      </c>
      <c r="J4263" s="93">
        <v>2875.07</v>
      </c>
      <c r="K4263">
        <v>5</v>
      </c>
      <c r="L4263" s="1" t="s">
        <v>421</v>
      </c>
      <c r="M4263">
        <v>0</v>
      </c>
      <c r="N4263">
        <v>1384</v>
      </c>
      <c r="O4263">
        <v>2.0772119999999998</v>
      </c>
      <c r="P4263">
        <v>1</v>
      </c>
      <c r="Q4263" s="1" t="s">
        <v>562</v>
      </c>
      <c r="R4263" s="93">
        <v>3200.43</v>
      </c>
      <c r="S4263">
        <v>592079.55000000005</v>
      </c>
      <c r="T4263">
        <v>1</v>
      </c>
      <c r="U4263" s="1" t="s">
        <v>928</v>
      </c>
      <c r="V4263" s="1"/>
      <c r="W4263">
        <v>2875.0624899999998</v>
      </c>
      <c r="X4263">
        <v>0</v>
      </c>
      <c r="Y4263">
        <v>57775</v>
      </c>
    </row>
    <row r="4264" spans="1:25" ht="15" hidden="1" customHeight="1" x14ac:dyDescent="0.25">
      <c r="A4264" s="1" t="s">
        <v>40</v>
      </c>
      <c r="B4264" s="1" t="s">
        <v>94</v>
      </c>
      <c r="C4264" s="1" t="s">
        <v>224</v>
      </c>
      <c r="D4264">
        <v>5465</v>
      </c>
      <c r="E4264" s="1"/>
      <c r="F4264" s="1" t="s">
        <v>224</v>
      </c>
      <c r="G4264" s="1" t="s">
        <v>224</v>
      </c>
      <c r="H4264" s="1" t="s">
        <v>1396</v>
      </c>
      <c r="I4264">
        <v>2015</v>
      </c>
      <c r="J4264" s="93">
        <v>40300.74</v>
      </c>
      <c r="K4264">
        <v>5</v>
      </c>
      <c r="L4264" s="1" t="s">
        <v>421</v>
      </c>
      <c r="M4264">
        <v>0</v>
      </c>
      <c r="N4264">
        <v>1384</v>
      </c>
      <c r="O4264">
        <v>29.116927</v>
      </c>
      <c r="P4264">
        <v>1</v>
      </c>
      <c r="Q4264" s="1" t="s">
        <v>562</v>
      </c>
      <c r="R4264" s="93">
        <v>46056.93</v>
      </c>
      <c r="S4264">
        <v>8520532.0500000007</v>
      </c>
      <c r="T4264">
        <v>1</v>
      </c>
      <c r="U4264" s="1" t="s">
        <v>930</v>
      </c>
      <c r="V4264" s="1"/>
      <c r="W4264">
        <v>40300.75</v>
      </c>
      <c r="X4264">
        <v>0</v>
      </c>
      <c r="Y4264">
        <v>57777</v>
      </c>
    </row>
    <row r="4265" spans="1:25" ht="15" hidden="1" customHeight="1" x14ac:dyDescent="0.25">
      <c r="A4265" s="1" t="s">
        <v>40</v>
      </c>
      <c r="B4265" s="1" t="s">
        <v>94</v>
      </c>
      <c r="C4265" s="1" t="s">
        <v>224</v>
      </c>
      <c r="D4265">
        <v>5465</v>
      </c>
      <c r="E4265" s="1"/>
      <c r="F4265" s="1" t="s">
        <v>224</v>
      </c>
      <c r="G4265" s="1" t="s">
        <v>224</v>
      </c>
      <c r="H4265" s="1" t="s">
        <v>1396</v>
      </c>
      <c r="I4265">
        <v>2013</v>
      </c>
      <c r="J4265" s="93">
        <v>1369.88</v>
      </c>
      <c r="K4265">
        <v>12</v>
      </c>
      <c r="L4265" s="1" t="s">
        <v>421</v>
      </c>
      <c r="M4265">
        <v>0</v>
      </c>
      <c r="N4265">
        <v>1384</v>
      </c>
      <c r="O4265">
        <v>0.98972599999999999</v>
      </c>
      <c r="P4265">
        <v>1</v>
      </c>
      <c r="Q4265" s="1" t="s">
        <v>562</v>
      </c>
      <c r="R4265" s="93">
        <v>1559</v>
      </c>
      <c r="S4265">
        <v>288.42</v>
      </c>
      <c r="T4265">
        <v>1</v>
      </c>
      <c r="U4265" s="1" t="s">
        <v>927</v>
      </c>
      <c r="V4265" s="1"/>
      <c r="W4265">
        <v>1369.88804</v>
      </c>
      <c r="X4265">
        <v>0</v>
      </c>
      <c r="Y4265">
        <v>57767</v>
      </c>
    </row>
    <row r="4266" spans="1:25" ht="15" hidden="1" customHeight="1" x14ac:dyDescent="0.25">
      <c r="A4266" s="1" t="s">
        <v>40</v>
      </c>
      <c r="B4266" s="1" t="s">
        <v>94</v>
      </c>
      <c r="C4266" s="1" t="s">
        <v>224</v>
      </c>
      <c r="D4266">
        <v>5465</v>
      </c>
      <c r="E4266" s="1"/>
      <c r="F4266" s="1" t="s">
        <v>224</v>
      </c>
      <c r="G4266" s="1" t="s">
        <v>224</v>
      </c>
      <c r="H4266" s="1" t="s">
        <v>1396</v>
      </c>
      <c r="I4266">
        <v>2013</v>
      </c>
      <c r="J4266" s="93">
        <v>8521.07</v>
      </c>
      <c r="K4266">
        <v>12</v>
      </c>
      <c r="L4266" s="1" t="s">
        <v>421</v>
      </c>
      <c r="M4266">
        <v>0</v>
      </c>
      <c r="N4266">
        <v>1384</v>
      </c>
      <c r="O4266">
        <v>6.1563970000000001</v>
      </c>
      <c r="P4266">
        <v>1</v>
      </c>
      <c r="Q4266" s="1" t="s">
        <v>562</v>
      </c>
      <c r="R4266" s="93">
        <v>11720.29</v>
      </c>
      <c r="S4266">
        <v>2168.2399999999998</v>
      </c>
      <c r="T4266">
        <v>1</v>
      </c>
      <c r="U4266" s="1" t="s">
        <v>928</v>
      </c>
      <c r="V4266" s="1"/>
      <c r="W4266">
        <v>8521.0502699999997</v>
      </c>
      <c r="X4266">
        <v>0</v>
      </c>
      <c r="Y4266">
        <v>57775</v>
      </c>
    </row>
    <row r="4267" spans="1:25" ht="15" hidden="1" customHeight="1" x14ac:dyDescent="0.25">
      <c r="A4267" s="1" t="s">
        <v>40</v>
      </c>
      <c r="B4267" s="1" t="s">
        <v>94</v>
      </c>
      <c r="C4267" s="1" t="s">
        <v>224</v>
      </c>
      <c r="D4267">
        <v>5465</v>
      </c>
      <c r="E4267" s="1"/>
      <c r="F4267" s="1" t="s">
        <v>224</v>
      </c>
      <c r="G4267" s="1" t="s">
        <v>224</v>
      </c>
      <c r="H4267" s="1" t="s">
        <v>1396</v>
      </c>
      <c r="I4267">
        <v>2013</v>
      </c>
      <c r="J4267" s="93">
        <v>72562.66</v>
      </c>
      <c r="K4267">
        <v>12</v>
      </c>
      <c r="L4267" s="1" t="s">
        <v>421</v>
      </c>
      <c r="M4267">
        <v>0</v>
      </c>
      <c r="N4267">
        <v>1384</v>
      </c>
      <c r="O4267">
        <v>52.425879000000002</v>
      </c>
      <c r="P4267">
        <v>1</v>
      </c>
      <c r="Q4267" s="1" t="s">
        <v>562</v>
      </c>
      <c r="R4267" s="93">
        <v>75778.11</v>
      </c>
      <c r="S4267">
        <v>14018.95</v>
      </c>
      <c r="T4267">
        <v>1</v>
      </c>
      <c r="U4267" s="1" t="s">
        <v>930</v>
      </c>
      <c r="V4267" s="1"/>
      <c r="W4267">
        <v>72562.657500000001</v>
      </c>
      <c r="X4267">
        <v>0</v>
      </c>
      <c r="Y4267">
        <v>57777</v>
      </c>
    </row>
    <row r="4268" spans="1:25" ht="15" hidden="1" customHeight="1" x14ac:dyDescent="0.25">
      <c r="A4268" s="1" t="s">
        <v>40</v>
      </c>
      <c r="B4268" s="1" t="s">
        <v>94</v>
      </c>
      <c r="C4268" s="1" t="s">
        <v>224</v>
      </c>
      <c r="D4268">
        <v>5465</v>
      </c>
      <c r="E4268" s="1"/>
      <c r="F4268" s="1" t="s">
        <v>224</v>
      </c>
      <c r="G4268" s="1" t="s">
        <v>224</v>
      </c>
      <c r="H4268" s="1" t="s">
        <v>1396</v>
      </c>
      <c r="I4268">
        <v>2013</v>
      </c>
      <c r="J4268" s="93">
        <v>96520.13</v>
      </c>
      <c r="K4268">
        <v>12</v>
      </c>
      <c r="L4268" s="1"/>
      <c r="M4268">
        <v>0</v>
      </c>
      <c r="N4268">
        <v>1384</v>
      </c>
      <c r="O4268">
        <v>69.734938999999997</v>
      </c>
      <c r="P4268">
        <v>1</v>
      </c>
      <c r="Q4268" s="1" t="s">
        <v>562</v>
      </c>
      <c r="R4268" s="93">
        <v>99264.83</v>
      </c>
      <c r="S4268">
        <v>18363.990000000002</v>
      </c>
      <c r="T4268">
        <v>0</v>
      </c>
      <c r="U4268" s="1" t="s">
        <v>926</v>
      </c>
      <c r="V4268" s="1"/>
      <c r="W4268">
        <v>96520.132830000002</v>
      </c>
      <c r="X4268">
        <v>0</v>
      </c>
      <c r="Y4268">
        <v>57760</v>
      </c>
    </row>
    <row r="4269" spans="1:25" ht="15" hidden="1" customHeight="1" x14ac:dyDescent="0.25">
      <c r="A4269" s="1" t="s">
        <v>40</v>
      </c>
      <c r="B4269" s="1" t="s">
        <v>94</v>
      </c>
      <c r="C4269" s="1" t="s">
        <v>224</v>
      </c>
      <c r="D4269">
        <v>5465</v>
      </c>
      <c r="E4269" s="1"/>
      <c r="F4269" s="1" t="s">
        <v>224</v>
      </c>
      <c r="G4269" s="1" t="s">
        <v>224</v>
      </c>
      <c r="H4269" s="1" t="s">
        <v>1396</v>
      </c>
      <c r="I4269">
        <v>2012</v>
      </c>
      <c r="J4269" s="93">
        <v>3131.83</v>
      </c>
      <c r="K4269">
        <v>12</v>
      </c>
      <c r="L4269" s="1" t="s">
        <v>421</v>
      </c>
      <c r="M4269">
        <v>0</v>
      </c>
      <c r="N4269">
        <v>1384</v>
      </c>
      <c r="O4269">
        <v>2.2627190000000001</v>
      </c>
      <c r="P4269">
        <v>1</v>
      </c>
      <c r="Q4269" s="1" t="s">
        <v>562</v>
      </c>
      <c r="R4269" s="93">
        <v>3136.86</v>
      </c>
      <c r="S4269">
        <v>580.32000000000005</v>
      </c>
      <c r="T4269">
        <v>1</v>
      </c>
      <c r="U4269" s="1" t="s">
        <v>927</v>
      </c>
      <c r="V4269" s="1"/>
      <c r="W4269">
        <v>3131.8128200000001</v>
      </c>
      <c r="X4269">
        <v>0</v>
      </c>
      <c r="Y4269">
        <v>57767</v>
      </c>
    </row>
    <row r="4270" spans="1:25" ht="15" hidden="1" customHeight="1" x14ac:dyDescent="0.25">
      <c r="A4270" s="1" t="s">
        <v>40</v>
      </c>
      <c r="B4270" s="1" t="s">
        <v>94</v>
      </c>
      <c r="C4270" s="1" t="s">
        <v>224</v>
      </c>
      <c r="D4270">
        <v>5465</v>
      </c>
      <c r="E4270" s="1"/>
      <c r="F4270" s="1" t="s">
        <v>224</v>
      </c>
      <c r="G4270" s="1" t="s">
        <v>224</v>
      </c>
      <c r="H4270" s="1" t="s">
        <v>1396</v>
      </c>
      <c r="I4270">
        <v>2012</v>
      </c>
      <c r="J4270" s="93">
        <v>8747.4599999999991</v>
      </c>
      <c r="K4270">
        <v>12</v>
      </c>
      <c r="L4270" s="1" t="s">
        <v>421</v>
      </c>
      <c r="M4270">
        <v>0</v>
      </c>
      <c r="N4270">
        <v>1384</v>
      </c>
      <c r="O4270">
        <v>6.3199620000000003</v>
      </c>
      <c r="P4270">
        <v>1</v>
      </c>
      <c r="Q4270" s="1" t="s">
        <v>562</v>
      </c>
      <c r="R4270" s="93">
        <v>9655.59</v>
      </c>
      <c r="S4270">
        <v>1786.29</v>
      </c>
      <c r="T4270">
        <v>1</v>
      </c>
      <c r="U4270" s="1" t="s">
        <v>928</v>
      </c>
      <c r="V4270" s="1"/>
      <c r="W4270">
        <v>8747.4590000000007</v>
      </c>
      <c r="X4270">
        <v>0</v>
      </c>
      <c r="Y4270">
        <v>57775</v>
      </c>
    </row>
    <row r="4271" spans="1:25" ht="15" hidden="1" customHeight="1" x14ac:dyDescent="0.25">
      <c r="A4271" s="1" t="s">
        <v>40</v>
      </c>
      <c r="B4271" s="1" t="s">
        <v>94</v>
      </c>
      <c r="C4271" s="1" t="s">
        <v>224</v>
      </c>
      <c r="D4271">
        <v>5465</v>
      </c>
      <c r="E4271" s="1"/>
      <c r="F4271" s="1" t="s">
        <v>224</v>
      </c>
      <c r="G4271" s="1" t="s">
        <v>224</v>
      </c>
      <c r="H4271" s="1" t="s">
        <v>1396</v>
      </c>
      <c r="I4271">
        <v>2012</v>
      </c>
      <c r="J4271" s="93">
        <v>71815.41</v>
      </c>
      <c r="K4271">
        <v>12</v>
      </c>
      <c r="L4271" s="1" t="s">
        <v>421</v>
      </c>
      <c r="M4271">
        <v>0</v>
      </c>
      <c r="N4271">
        <v>1384</v>
      </c>
      <c r="O4271">
        <v>51.885998000000001</v>
      </c>
      <c r="P4271">
        <v>1</v>
      </c>
      <c r="Q4271" s="1" t="s">
        <v>562</v>
      </c>
      <c r="R4271" s="93">
        <v>75745.47</v>
      </c>
      <c r="S4271">
        <v>14012.92</v>
      </c>
      <c r="T4271">
        <v>1</v>
      </c>
      <c r="U4271" s="1" t="s">
        <v>930</v>
      </c>
      <c r="V4271" s="1"/>
      <c r="W4271">
        <v>71815.400179999997</v>
      </c>
      <c r="X4271">
        <v>0</v>
      </c>
      <c r="Y4271">
        <v>57777</v>
      </c>
    </row>
    <row r="4272" spans="1:25" ht="15" hidden="1" customHeight="1" x14ac:dyDescent="0.25">
      <c r="A4272" s="1" t="s">
        <v>40</v>
      </c>
      <c r="B4272" s="1" t="s">
        <v>94</v>
      </c>
      <c r="C4272" s="1" t="s">
        <v>224</v>
      </c>
      <c r="D4272">
        <v>5465</v>
      </c>
      <c r="E4272" s="1"/>
      <c r="F4272" s="1" t="s">
        <v>224</v>
      </c>
      <c r="G4272" s="1" t="s">
        <v>224</v>
      </c>
      <c r="H4272" s="1" t="s">
        <v>1396</v>
      </c>
      <c r="I4272">
        <v>2012</v>
      </c>
      <c r="J4272" s="93">
        <v>101460.41</v>
      </c>
      <c r="K4272">
        <v>12</v>
      </c>
      <c r="L4272" s="1"/>
      <c r="M4272">
        <v>0</v>
      </c>
      <c r="N4272">
        <v>1384</v>
      </c>
      <c r="O4272">
        <v>73.304248000000001</v>
      </c>
      <c r="P4272">
        <v>1</v>
      </c>
      <c r="Q4272" s="1" t="s">
        <v>562</v>
      </c>
      <c r="R4272" s="93">
        <v>107483.21</v>
      </c>
      <c r="S4272">
        <v>19884.39</v>
      </c>
      <c r="T4272">
        <v>0</v>
      </c>
      <c r="U4272" s="1" t="s">
        <v>926</v>
      </c>
      <c r="V4272" s="1"/>
      <c r="W4272">
        <v>101460.40286</v>
      </c>
      <c r="X4272">
        <v>0</v>
      </c>
      <c r="Y4272">
        <v>57760</v>
      </c>
    </row>
    <row r="4273" spans="1:25" ht="15" hidden="1" customHeight="1" x14ac:dyDescent="0.25">
      <c r="A4273" s="1" t="s">
        <v>40</v>
      </c>
      <c r="B4273" s="1" t="s">
        <v>94</v>
      </c>
      <c r="C4273" s="1" t="s">
        <v>224</v>
      </c>
      <c r="D4273">
        <v>5465</v>
      </c>
      <c r="E4273" s="1"/>
      <c r="F4273" s="1" t="s">
        <v>224</v>
      </c>
      <c r="G4273" s="1" t="s">
        <v>224</v>
      </c>
      <c r="H4273" s="1" t="s">
        <v>1396</v>
      </c>
      <c r="I4273">
        <v>2011</v>
      </c>
      <c r="J4273" s="93">
        <v>7164.95</v>
      </c>
      <c r="K4273">
        <v>12</v>
      </c>
      <c r="L4273" s="1" t="s">
        <v>421</v>
      </c>
      <c r="M4273">
        <v>0</v>
      </c>
      <c r="N4273">
        <v>1384</v>
      </c>
      <c r="O4273">
        <v>5.1766120000000004</v>
      </c>
      <c r="P4273">
        <v>1</v>
      </c>
      <c r="Q4273" s="1" t="s">
        <v>562</v>
      </c>
      <c r="R4273" s="93">
        <v>8356.2900000000009</v>
      </c>
      <c r="S4273">
        <v>1545.91</v>
      </c>
      <c r="T4273">
        <v>1</v>
      </c>
      <c r="U4273" s="1" t="s">
        <v>927</v>
      </c>
      <c r="V4273" s="1"/>
      <c r="W4273">
        <v>7164.9393899999995</v>
      </c>
      <c r="X4273">
        <v>0</v>
      </c>
      <c r="Y4273">
        <v>57767</v>
      </c>
    </row>
    <row r="4274" spans="1:25" ht="15" hidden="1" customHeight="1" x14ac:dyDescent="0.25">
      <c r="A4274" s="1" t="s">
        <v>40</v>
      </c>
      <c r="B4274" s="1" t="s">
        <v>94</v>
      </c>
      <c r="C4274" s="1" t="s">
        <v>224</v>
      </c>
      <c r="D4274">
        <v>5465</v>
      </c>
      <c r="E4274" s="1"/>
      <c r="F4274" s="1" t="s">
        <v>224</v>
      </c>
      <c r="G4274" s="1" t="s">
        <v>224</v>
      </c>
      <c r="H4274" s="1" t="s">
        <v>1396</v>
      </c>
      <c r="I4274">
        <v>2011</v>
      </c>
      <c r="J4274" s="93">
        <v>70066.789999999994</v>
      </c>
      <c r="K4274">
        <v>12</v>
      </c>
      <c r="L4274" s="1" t="s">
        <v>421</v>
      </c>
      <c r="M4274">
        <v>0</v>
      </c>
      <c r="N4274">
        <v>1384</v>
      </c>
      <c r="O4274">
        <v>50.622635000000002</v>
      </c>
      <c r="P4274">
        <v>1</v>
      </c>
      <c r="Q4274" s="1" t="s">
        <v>562</v>
      </c>
      <c r="R4274" s="93">
        <v>76289.460000000006</v>
      </c>
      <c r="S4274">
        <v>14113.54</v>
      </c>
      <c r="T4274">
        <v>1</v>
      </c>
      <c r="U4274" s="1" t="s">
        <v>930</v>
      </c>
      <c r="V4274" s="1"/>
      <c r="W4274">
        <v>70066.78787</v>
      </c>
      <c r="X4274">
        <v>0</v>
      </c>
      <c r="Y4274">
        <v>57777</v>
      </c>
    </row>
    <row r="4275" spans="1:25" ht="15" hidden="1" customHeight="1" x14ac:dyDescent="0.25">
      <c r="A4275" s="1" t="s">
        <v>40</v>
      </c>
      <c r="B4275" s="1" t="s">
        <v>94</v>
      </c>
      <c r="C4275" s="1" t="s">
        <v>224</v>
      </c>
      <c r="D4275">
        <v>5465</v>
      </c>
      <c r="E4275" s="1"/>
      <c r="F4275" s="1" t="s">
        <v>224</v>
      </c>
      <c r="G4275" s="1" t="s">
        <v>224</v>
      </c>
      <c r="H4275" s="1" t="s">
        <v>1396</v>
      </c>
      <c r="I4275">
        <v>2011</v>
      </c>
      <c r="J4275" s="93">
        <v>100708.03</v>
      </c>
      <c r="K4275">
        <v>12</v>
      </c>
      <c r="L4275" s="1"/>
      <c r="M4275">
        <v>0</v>
      </c>
      <c r="N4275">
        <v>1384</v>
      </c>
      <c r="O4275">
        <v>72.760660000000001</v>
      </c>
      <c r="P4275">
        <v>1</v>
      </c>
      <c r="Q4275" s="1" t="s">
        <v>562</v>
      </c>
      <c r="R4275" s="93">
        <v>108764.39</v>
      </c>
      <c r="S4275">
        <v>20121.43</v>
      </c>
      <c r="T4275">
        <v>0</v>
      </c>
      <c r="U4275" s="1" t="s">
        <v>926</v>
      </c>
      <c r="V4275" s="1"/>
      <c r="W4275">
        <v>100708.03031</v>
      </c>
      <c r="X4275">
        <v>0</v>
      </c>
      <c r="Y4275">
        <v>57760</v>
      </c>
    </row>
    <row r="4276" spans="1:25" ht="15" hidden="1" customHeight="1" x14ac:dyDescent="0.25">
      <c r="A4276" s="1" t="s">
        <v>40</v>
      </c>
      <c r="B4276" s="1" t="s">
        <v>94</v>
      </c>
      <c r="C4276" s="1" t="s">
        <v>224</v>
      </c>
      <c r="D4276">
        <v>5465</v>
      </c>
      <c r="E4276" s="1"/>
      <c r="F4276" s="1" t="s">
        <v>224</v>
      </c>
      <c r="G4276" s="1" t="s">
        <v>224</v>
      </c>
      <c r="H4276" s="1" t="s">
        <v>1396</v>
      </c>
      <c r="I4276">
        <v>2011</v>
      </c>
      <c r="J4276" s="93">
        <v>8624.2000000000007</v>
      </c>
      <c r="K4276">
        <v>12</v>
      </c>
      <c r="L4276" s="1" t="s">
        <v>421</v>
      </c>
      <c r="M4276">
        <v>0</v>
      </c>
      <c r="N4276">
        <v>1384</v>
      </c>
      <c r="O4276">
        <v>6.2309080000000003</v>
      </c>
      <c r="P4276">
        <v>1</v>
      </c>
      <c r="Q4276" s="1" t="s">
        <v>562</v>
      </c>
      <c r="R4276" s="93">
        <v>10075.01</v>
      </c>
      <c r="S4276">
        <v>1863.89</v>
      </c>
      <c r="T4276">
        <v>1</v>
      </c>
      <c r="U4276" s="1" t="s">
        <v>928</v>
      </c>
      <c r="V4276" s="1"/>
      <c r="W4276">
        <v>8624.2121299999999</v>
      </c>
      <c r="X4276">
        <v>0</v>
      </c>
      <c r="Y4276">
        <v>57775</v>
      </c>
    </row>
    <row r="4277" spans="1:25" ht="15" hidden="1" customHeight="1" x14ac:dyDescent="0.25">
      <c r="A4277" s="1" t="s">
        <v>40</v>
      </c>
      <c r="B4277" s="1" t="s">
        <v>94</v>
      </c>
      <c r="C4277" s="1" t="s">
        <v>224</v>
      </c>
      <c r="D4277">
        <v>5465</v>
      </c>
      <c r="E4277" s="1"/>
      <c r="F4277" s="1" t="s">
        <v>224</v>
      </c>
      <c r="G4277" s="1" t="s">
        <v>224</v>
      </c>
      <c r="H4277" s="1" t="s">
        <v>1396</v>
      </c>
      <c r="I4277">
        <v>2010</v>
      </c>
      <c r="J4277" s="93">
        <v>81263.66</v>
      </c>
      <c r="K4277">
        <v>12</v>
      </c>
      <c r="L4277" s="1" t="s">
        <v>421</v>
      </c>
      <c r="M4277">
        <v>0</v>
      </c>
      <c r="N4277">
        <v>1384</v>
      </c>
      <c r="O4277">
        <v>58.712274999999998</v>
      </c>
      <c r="P4277">
        <v>1</v>
      </c>
      <c r="Q4277" s="1" t="s">
        <v>562</v>
      </c>
      <c r="R4277" s="93">
        <v>73268.639999999999</v>
      </c>
      <c r="S4277">
        <v>13554.69</v>
      </c>
      <c r="T4277">
        <v>1</v>
      </c>
      <c r="U4277" s="1" t="s">
        <v>930</v>
      </c>
      <c r="V4277" s="1"/>
      <c r="W4277">
        <v>81263.664879999997</v>
      </c>
      <c r="X4277">
        <v>0</v>
      </c>
      <c r="Y4277">
        <v>57777</v>
      </c>
    </row>
    <row r="4278" spans="1:25" ht="15" hidden="1" customHeight="1" x14ac:dyDescent="0.25">
      <c r="A4278" s="1" t="s">
        <v>40</v>
      </c>
      <c r="B4278" s="1" t="s">
        <v>94</v>
      </c>
      <c r="C4278" s="1" t="s">
        <v>224</v>
      </c>
      <c r="D4278">
        <v>5465</v>
      </c>
      <c r="E4278" s="1"/>
      <c r="F4278" s="1" t="s">
        <v>224</v>
      </c>
      <c r="G4278" s="1" t="s">
        <v>224</v>
      </c>
      <c r="H4278" s="1" t="s">
        <v>1396</v>
      </c>
      <c r="I4278">
        <v>2010</v>
      </c>
      <c r="J4278" s="93">
        <v>122977.46</v>
      </c>
      <c r="K4278">
        <v>12</v>
      </c>
      <c r="L4278" s="1"/>
      <c r="M4278">
        <v>0</v>
      </c>
      <c r="N4278">
        <v>1384</v>
      </c>
      <c r="O4278">
        <v>88.850126000000003</v>
      </c>
      <c r="P4278">
        <v>1</v>
      </c>
      <c r="Q4278" s="1" t="s">
        <v>562</v>
      </c>
      <c r="R4278" s="93">
        <v>110484</v>
      </c>
      <c r="S4278">
        <v>20439.54</v>
      </c>
      <c r="T4278">
        <v>0</v>
      </c>
      <c r="U4278" s="1" t="s">
        <v>926</v>
      </c>
      <c r="V4278" s="1"/>
      <c r="W4278">
        <v>122977.44919</v>
      </c>
      <c r="X4278">
        <v>0</v>
      </c>
      <c r="Y4278">
        <v>57760</v>
      </c>
    </row>
    <row r="4279" spans="1:25" ht="15" hidden="1" customHeight="1" x14ac:dyDescent="0.25">
      <c r="A4279" s="1" t="s">
        <v>40</v>
      </c>
      <c r="B4279" s="1" t="s">
        <v>94</v>
      </c>
      <c r="C4279" s="1" t="s">
        <v>224</v>
      </c>
      <c r="D4279">
        <v>5465</v>
      </c>
      <c r="E4279" s="1"/>
      <c r="F4279" s="1" t="s">
        <v>224</v>
      </c>
      <c r="G4279" s="1" t="s">
        <v>224</v>
      </c>
      <c r="H4279" s="1" t="s">
        <v>1396</v>
      </c>
      <c r="I4279">
        <v>2010</v>
      </c>
      <c r="J4279" s="93">
        <v>4780.49</v>
      </c>
      <c r="K4279">
        <v>11</v>
      </c>
      <c r="L4279" s="1" t="s">
        <v>421</v>
      </c>
      <c r="M4279">
        <v>0</v>
      </c>
      <c r="N4279">
        <v>1384</v>
      </c>
      <c r="O4279">
        <v>3.4538609999999998</v>
      </c>
      <c r="P4279">
        <v>1</v>
      </c>
      <c r="Q4279" s="1" t="s">
        <v>562</v>
      </c>
      <c r="R4279" s="93">
        <v>4039.75</v>
      </c>
      <c r="S4279">
        <v>747.35</v>
      </c>
      <c r="T4279">
        <v>1</v>
      </c>
      <c r="U4279" s="1" t="s">
        <v>927</v>
      </c>
      <c r="V4279" s="1"/>
      <c r="W4279">
        <v>4780.4830700000002</v>
      </c>
      <c r="X4279">
        <v>0</v>
      </c>
      <c r="Y4279">
        <v>57767</v>
      </c>
    </row>
    <row r="4280" spans="1:25" ht="15" hidden="1" customHeight="1" x14ac:dyDescent="0.25">
      <c r="A4280" s="1" t="s">
        <v>40</v>
      </c>
      <c r="B4280" s="1" t="s">
        <v>94</v>
      </c>
      <c r="C4280" s="1" t="s">
        <v>224</v>
      </c>
      <c r="D4280">
        <v>5465</v>
      </c>
      <c r="E4280" s="1"/>
      <c r="F4280" s="1" t="s">
        <v>224</v>
      </c>
      <c r="G4280" s="1" t="s">
        <v>224</v>
      </c>
      <c r="H4280" s="1" t="s">
        <v>1396</v>
      </c>
      <c r="I4280">
        <v>2010</v>
      </c>
      <c r="J4280" s="93">
        <v>8880.74</v>
      </c>
      <c r="K4280">
        <v>12</v>
      </c>
      <c r="L4280" s="1" t="s">
        <v>421</v>
      </c>
      <c r="M4280">
        <v>0</v>
      </c>
      <c r="N4280">
        <v>1384</v>
      </c>
      <c r="O4280">
        <v>6.4162559999999997</v>
      </c>
      <c r="P4280">
        <v>1</v>
      </c>
      <c r="Q4280" s="1" t="s">
        <v>562</v>
      </c>
      <c r="R4280" s="93">
        <v>10809.78</v>
      </c>
      <c r="S4280">
        <v>1999.81</v>
      </c>
      <c r="T4280">
        <v>1</v>
      </c>
      <c r="U4280" s="1" t="s">
        <v>928</v>
      </c>
      <c r="V4280" s="1"/>
      <c r="W4280">
        <v>8880.7406300000002</v>
      </c>
      <c r="X4280">
        <v>0</v>
      </c>
      <c r="Y4280">
        <v>57775</v>
      </c>
    </row>
    <row r="4281" spans="1:25" ht="15" hidden="1" customHeight="1" x14ac:dyDescent="0.25">
      <c r="A4281" s="1" t="s">
        <v>40</v>
      </c>
      <c r="B4281" s="1" t="s">
        <v>94</v>
      </c>
      <c r="C4281" s="1" t="s">
        <v>224</v>
      </c>
      <c r="D4281">
        <v>5465</v>
      </c>
      <c r="E4281" s="1"/>
      <c r="F4281" s="1" t="s">
        <v>224</v>
      </c>
      <c r="G4281" s="1" t="s">
        <v>224</v>
      </c>
      <c r="H4281" s="1" t="s">
        <v>1396</v>
      </c>
      <c r="I4281">
        <v>2009</v>
      </c>
      <c r="J4281" s="93">
        <v>106341.78</v>
      </c>
      <c r="K4281">
        <v>12</v>
      </c>
      <c r="L4281" s="1"/>
      <c r="M4281">
        <v>0</v>
      </c>
      <c r="N4281">
        <v>1384</v>
      </c>
      <c r="O4281">
        <v>76.830994000000004</v>
      </c>
      <c r="P4281">
        <v>1</v>
      </c>
      <c r="Q4281" s="1" t="s">
        <v>562</v>
      </c>
      <c r="R4281" s="93">
        <v>112714.46</v>
      </c>
      <c r="S4281">
        <v>20852.18</v>
      </c>
      <c r="T4281">
        <v>0</v>
      </c>
      <c r="U4281" s="1" t="s">
        <v>926</v>
      </c>
      <c r="V4281" s="1"/>
      <c r="W4281">
        <v>106341.79227000001</v>
      </c>
      <c r="X4281">
        <v>0</v>
      </c>
      <c r="Y4281">
        <v>57760</v>
      </c>
    </row>
    <row r="4282" spans="1:25" ht="15" hidden="1" customHeight="1" x14ac:dyDescent="0.25">
      <c r="A4282" s="1" t="s">
        <v>40</v>
      </c>
      <c r="B4282" s="1" t="s">
        <v>94</v>
      </c>
      <c r="C4282" s="1" t="s">
        <v>224</v>
      </c>
      <c r="D4282">
        <v>5465</v>
      </c>
      <c r="E4282" s="1"/>
      <c r="F4282" s="1" t="s">
        <v>224</v>
      </c>
      <c r="G4282" s="1" t="s">
        <v>224</v>
      </c>
      <c r="H4282" s="1" t="s">
        <v>1396</v>
      </c>
      <c r="I4282">
        <v>2009</v>
      </c>
      <c r="J4282" s="93">
        <v>6561.11</v>
      </c>
      <c r="K4282">
        <v>12</v>
      </c>
      <c r="L4282" s="1" t="s">
        <v>421</v>
      </c>
      <c r="M4282">
        <v>0</v>
      </c>
      <c r="N4282">
        <v>1384</v>
      </c>
      <c r="O4282">
        <v>4.7403430000000002</v>
      </c>
      <c r="P4282">
        <v>1</v>
      </c>
      <c r="Q4282" s="1" t="s">
        <v>562</v>
      </c>
      <c r="R4282" s="93">
        <v>9349.01</v>
      </c>
      <c r="S4282">
        <v>1729.57</v>
      </c>
      <c r="T4282">
        <v>1</v>
      </c>
      <c r="U4282" s="1" t="s">
        <v>927</v>
      </c>
      <c r="V4282" s="1"/>
      <c r="W4282">
        <v>6561.0974200000001</v>
      </c>
      <c r="X4282">
        <v>0</v>
      </c>
      <c r="Y4282">
        <v>57767</v>
      </c>
    </row>
    <row r="4283" spans="1:25" ht="15" hidden="1" customHeight="1" x14ac:dyDescent="0.25">
      <c r="A4283" s="1" t="s">
        <v>40</v>
      </c>
      <c r="B4283" s="1" t="s">
        <v>94</v>
      </c>
      <c r="C4283" s="1" t="s">
        <v>224</v>
      </c>
      <c r="D4283">
        <v>5465</v>
      </c>
      <c r="E4283" s="1"/>
      <c r="F4283" s="1" t="s">
        <v>224</v>
      </c>
      <c r="G4283" s="1" t="s">
        <v>224</v>
      </c>
      <c r="H4283" s="1" t="s">
        <v>1396</v>
      </c>
      <c r="I4283">
        <v>2009</v>
      </c>
      <c r="J4283" s="93">
        <v>8429.1200000000008</v>
      </c>
      <c r="K4283">
        <v>12</v>
      </c>
      <c r="L4283" s="1" t="s">
        <v>421</v>
      </c>
      <c r="M4283">
        <v>0</v>
      </c>
      <c r="N4283">
        <v>1384</v>
      </c>
      <c r="O4283">
        <v>6.0899640000000002</v>
      </c>
      <c r="P4283">
        <v>1</v>
      </c>
      <c r="Q4283" s="1" t="s">
        <v>562</v>
      </c>
      <c r="R4283" s="93">
        <v>11815.38</v>
      </c>
      <c r="S4283">
        <v>2185.85</v>
      </c>
      <c r="T4283">
        <v>1</v>
      </c>
      <c r="U4283" s="1" t="s">
        <v>928</v>
      </c>
      <c r="V4283" s="1"/>
      <c r="W4283">
        <v>8429.1286799999998</v>
      </c>
      <c r="X4283">
        <v>0</v>
      </c>
      <c r="Y4283">
        <v>57775</v>
      </c>
    </row>
    <row r="4284" spans="1:25" ht="15" hidden="1" customHeight="1" x14ac:dyDescent="0.25">
      <c r="A4284" s="1" t="s">
        <v>40</v>
      </c>
      <c r="B4284" s="1" t="s">
        <v>94</v>
      </c>
      <c r="C4284" s="1" t="s">
        <v>224</v>
      </c>
      <c r="D4284">
        <v>5465</v>
      </c>
      <c r="E4284" s="1"/>
      <c r="F4284" s="1" t="s">
        <v>224</v>
      </c>
      <c r="G4284" s="1" t="s">
        <v>224</v>
      </c>
      <c r="H4284" s="1" t="s">
        <v>1396</v>
      </c>
      <c r="I4284">
        <v>2009</v>
      </c>
      <c r="J4284" s="93">
        <v>68690.19</v>
      </c>
      <c r="K4284">
        <v>12</v>
      </c>
      <c r="L4284" s="1" t="s">
        <v>421</v>
      </c>
      <c r="M4284">
        <v>0</v>
      </c>
      <c r="N4284">
        <v>1384</v>
      </c>
      <c r="O4284">
        <v>49.628053999999999</v>
      </c>
      <c r="P4284">
        <v>1</v>
      </c>
      <c r="Q4284" s="1" t="s">
        <v>562</v>
      </c>
      <c r="R4284" s="93">
        <v>72472.12</v>
      </c>
      <c r="S4284">
        <v>13407.34</v>
      </c>
      <c r="T4284">
        <v>1</v>
      </c>
      <c r="U4284" s="1" t="s">
        <v>930</v>
      </c>
      <c r="V4284" s="1"/>
      <c r="W4284">
        <v>68690.191189999998</v>
      </c>
      <c r="X4284">
        <v>0</v>
      </c>
      <c r="Y4284">
        <v>57777</v>
      </c>
    </row>
    <row r="4285" spans="1:25" ht="15" hidden="1" customHeight="1" x14ac:dyDescent="0.25">
      <c r="A4285" s="1" t="s">
        <v>40</v>
      </c>
      <c r="B4285" s="1" t="s">
        <v>94</v>
      </c>
      <c r="C4285" s="1" t="s">
        <v>224</v>
      </c>
      <c r="D4285">
        <v>5465</v>
      </c>
      <c r="E4285" s="1"/>
      <c r="F4285" s="1" t="s">
        <v>224</v>
      </c>
      <c r="G4285" s="1" t="s">
        <v>224</v>
      </c>
      <c r="H4285" s="1" t="s">
        <v>1396</v>
      </c>
      <c r="I4285">
        <v>2008</v>
      </c>
      <c r="J4285" s="93">
        <v>99750.24</v>
      </c>
      <c r="K4285">
        <v>12</v>
      </c>
      <c r="L4285" s="1"/>
      <c r="M4285">
        <v>0</v>
      </c>
      <c r="N4285">
        <v>1384</v>
      </c>
      <c r="O4285">
        <v>72.068664999999996</v>
      </c>
      <c r="P4285">
        <v>1</v>
      </c>
      <c r="Q4285" s="1" t="s">
        <v>562</v>
      </c>
      <c r="R4285" s="93">
        <v>115949.61</v>
      </c>
      <c r="S4285">
        <v>21450.7</v>
      </c>
      <c r="T4285">
        <v>0</v>
      </c>
      <c r="U4285" s="1" t="s">
        <v>926</v>
      </c>
      <c r="V4285" s="1"/>
      <c r="W4285">
        <v>99750.24037</v>
      </c>
      <c r="X4285">
        <v>0</v>
      </c>
      <c r="Y4285">
        <v>57760</v>
      </c>
    </row>
    <row r="4286" spans="1:25" ht="15" hidden="1" customHeight="1" x14ac:dyDescent="0.25">
      <c r="A4286" s="1" t="s">
        <v>40</v>
      </c>
      <c r="B4286" s="1" t="s">
        <v>94</v>
      </c>
      <c r="C4286" s="1" t="s">
        <v>224</v>
      </c>
      <c r="D4286">
        <v>5465</v>
      </c>
      <c r="E4286" s="1"/>
      <c r="F4286" s="1" t="s">
        <v>224</v>
      </c>
      <c r="G4286" s="1" t="s">
        <v>224</v>
      </c>
      <c r="H4286" s="1" t="s">
        <v>1396</v>
      </c>
      <c r="I4286">
        <v>2008</v>
      </c>
      <c r="J4286" s="93">
        <v>6351.28</v>
      </c>
      <c r="K4286">
        <v>12</v>
      </c>
      <c r="L4286" s="1" t="s">
        <v>421</v>
      </c>
      <c r="M4286">
        <v>0</v>
      </c>
      <c r="N4286">
        <v>1384</v>
      </c>
      <c r="O4286">
        <v>4.588743</v>
      </c>
      <c r="P4286">
        <v>1</v>
      </c>
      <c r="Q4286" s="1" t="s">
        <v>562</v>
      </c>
      <c r="R4286" s="93">
        <v>7994.54</v>
      </c>
      <c r="S4286">
        <v>1478.99</v>
      </c>
      <c r="T4286">
        <v>1</v>
      </c>
      <c r="U4286" s="1" t="s">
        <v>927</v>
      </c>
      <c r="V4286" s="1"/>
      <c r="W4286">
        <v>6351.2982899999997</v>
      </c>
      <c r="X4286">
        <v>0</v>
      </c>
      <c r="Y4286">
        <v>57767</v>
      </c>
    </row>
    <row r="4287" spans="1:25" ht="15" hidden="1" customHeight="1" x14ac:dyDescent="0.25">
      <c r="A4287" s="1" t="s">
        <v>40</v>
      </c>
      <c r="B4287" s="1" t="s">
        <v>94</v>
      </c>
      <c r="C4287" s="1" t="s">
        <v>224</v>
      </c>
      <c r="D4287">
        <v>5465</v>
      </c>
      <c r="E4287" s="1"/>
      <c r="F4287" s="1" t="s">
        <v>224</v>
      </c>
      <c r="G4287" s="1" t="s">
        <v>224</v>
      </c>
      <c r="H4287" s="1" t="s">
        <v>1396</v>
      </c>
      <c r="I4287">
        <v>2008</v>
      </c>
      <c r="J4287" s="93">
        <v>8489.2000000000007</v>
      </c>
      <c r="K4287">
        <v>12</v>
      </c>
      <c r="L4287" s="1" t="s">
        <v>421</v>
      </c>
      <c r="M4287">
        <v>0</v>
      </c>
      <c r="N4287">
        <v>1384</v>
      </c>
      <c r="O4287">
        <v>6.1333710000000004</v>
      </c>
      <c r="P4287">
        <v>1</v>
      </c>
      <c r="Q4287" s="1" t="s">
        <v>562</v>
      </c>
      <c r="R4287" s="93">
        <v>10636.7</v>
      </c>
      <c r="S4287">
        <v>1967.79</v>
      </c>
      <c r="T4287">
        <v>1</v>
      </c>
      <c r="U4287" s="1" t="s">
        <v>928</v>
      </c>
      <c r="V4287" s="1"/>
      <c r="W4287">
        <v>8489.1912900000007</v>
      </c>
      <c r="X4287">
        <v>0</v>
      </c>
      <c r="Y4287">
        <v>57775</v>
      </c>
    </row>
    <row r="4288" spans="1:25" ht="15" hidden="1" customHeight="1" x14ac:dyDescent="0.25">
      <c r="A4288" s="1" t="s">
        <v>40</v>
      </c>
      <c r="B4288" s="1" t="s">
        <v>94</v>
      </c>
      <c r="C4288" s="1" t="s">
        <v>224</v>
      </c>
      <c r="D4288">
        <v>5465</v>
      </c>
      <c r="E4288" s="1"/>
      <c r="F4288" s="1" t="s">
        <v>224</v>
      </c>
      <c r="G4288" s="1" t="s">
        <v>224</v>
      </c>
      <c r="H4288" s="1" t="s">
        <v>1396</v>
      </c>
      <c r="I4288">
        <v>2008</v>
      </c>
      <c r="J4288" s="93">
        <v>63125.78</v>
      </c>
      <c r="K4288">
        <v>12</v>
      </c>
      <c r="L4288" s="1" t="s">
        <v>421</v>
      </c>
      <c r="M4288">
        <v>0</v>
      </c>
      <c r="N4288">
        <v>1384</v>
      </c>
      <c r="O4288">
        <v>45.607816999999997</v>
      </c>
      <c r="P4288">
        <v>1</v>
      </c>
      <c r="Q4288" s="1" t="s">
        <v>562</v>
      </c>
      <c r="R4288" s="93">
        <v>72781.58</v>
      </c>
      <c r="S4288">
        <v>13464.59</v>
      </c>
      <c r="T4288">
        <v>1</v>
      </c>
      <c r="U4288" s="1" t="s">
        <v>930</v>
      </c>
      <c r="V4288" s="1"/>
      <c r="W4288">
        <v>63125.780299999999</v>
      </c>
      <c r="X4288">
        <v>0</v>
      </c>
      <c r="Y4288">
        <v>57777</v>
      </c>
    </row>
    <row r="4289" spans="1:25" ht="15" hidden="1" customHeight="1" x14ac:dyDescent="0.25">
      <c r="A4289" s="1" t="s">
        <v>40</v>
      </c>
      <c r="B4289" s="1" t="s">
        <v>94</v>
      </c>
      <c r="C4289" s="1" t="s">
        <v>224</v>
      </c>
      <c r="D4289">
        <v>5539</v>
      </c>
      <c r="E4289" s="1"/>
      <c r="F4289" s="1" t="s">
        <v>370</v>
      </c>
      <c r="G4289" s="1" t="s">
        <v>224</v>
      </c>
      <c r="H4289" s="1" t="s">
        <v>1396</v>
      </c>
      <c r="I4289">
        <v>2015</v>
      </c>
      <c r="J4289" s="93">
        <v>3895.59</v>
      </c>
      <c r="K4289">
        <v>4</v>
      </c>
      <c r="L4289" s="1" t="s">
        <v>421</v>
      </c>
      <c r="M4289">
        <v>0</v>
      </c>
      <c r="N4289">
        <v>1480</v>
      </c>
      <c r="O4289">
        <v>2.631977</v>
      </c>
      <c r="P4289">
        <v>1</v>
      </c>
      <c r="Q4289" s="1" t="s">
        <v>562</v>
      </c>
      <c r="R4289" s="93">
        <v>4456.63</v>
      </c>
      <c r="S4289">
        <v>824476.55</v>
      </c>
      <c r="T4289">
        <v>0</v>
      </c>
      <c r="U4289" s="1" t="s">
        <v>931</v>
      </c>
      <c r="V4289" s="1"/>
      <c r="W4289">
        <v>3895.59375</v>
      </c>
      <c r="X4289">
        <v>0</v>
      </c>
      <c r="Y4289">
        <v>58289</v>
      </c>
    </row>
    <row r="4290" spans="1:25" ht="15" hidden="1" customHeight="1" x14ac:dyDescent="0.25">
      <c r="A4290" s="1" t="s">
        <v>40</v>
      </c>
      <c r="B4290" s="1" t="s">
        <v>94</v>
      </c>
      <c r="C4290" s="1" t="s">
        <v>224</v>
      </c>
      <c r="D4290">
        <v>5539</v>
      </c>
      <c r="E4290" s="1"/>
      <c r="F4290" s="1" t="s">
        <v>370</v>
      </c>
      <c r="G4290" s="1" t="s">
        <v>224</v>
      </c>
      <c r="H4290" s="1" t="s">
        <v>1396</v>
      </c>
      <c r="I4290">
        <v>2013</v>
      </c>
      <c r="J4290" s="93">
        <v>12899.87</v>
      </c>
      <c r="K4290">
        <v>12</v>
      </c>
      <c r="L4290" s="1" t="s">
        <v>421</v>
      </c>
      <c r="M4290">
        <v>0</v>
      </c>
      <c r="N4290">
        <v>1480</v>
      </c>
      <c r="O4290">
        <v>8.7155389999999997</v>
      </c>
      <c r="P4290">
        <v>1</v>
      </c>
      <c r="Q4290" s="1" t="s">
        <v>562</v>
      </c>
      <c r="R4290" s="93">
        <v>13226.75</v>
      </c>
      <c r="S4290">
        <v>2446.96</v>
      </c>
      <c r="T4290">
        <v>0</v>
      </c>
      <c r="U4290" s="1" t="s">
        <v>931</v>
      </c>
      <c r="V4290" s="1"/>
      <c r="W4290">
        <v>12899.86717</v>
      </c>
      <c r="X4290">
        <v>0</v>
      </c>
      <c r="Y4290">
        <v>58289</v>
      </c>
    </row>
    <row r="4291" spans="1:25" ht="15" hidden="1" customHeight="1" x14ac:dyDescent="0.25">
      <c r="A4291" s="1" t="s">
        <v>40</v>
      </c>
      <c r="B4291" s="1" t="s">
        <v>94</v>
      </c>
      <c r="C4291" s="1" t="s">
        <v>224</v>
      </c>
      <c r="D4291">
        <v>5539</v>
      </c>
      <c r="E4291" s="1"/>
      <c r="F4291" s="1" t="s">
        <v>370</v>
      </c>
      <c r="G4291" s="1" t="s">
        <v>224</v>
      </c>
      <c r="H4291" s="1" t="s">
        <v>1396</v>
      </c>
      <c r="I4291">
        <v>2012</v>
      </c>
      <c r="J4291" s="93">
        <v>12009.59</v>
      </c>
      <c r="K4291">
        <v>12</v>
      </c>
      <c r="L4291" s="1" t="s">
        <v>421</v>
      </c>
      <c r="M4291">
        <v>0</v>
      </c>
      <c r="N4291">
        <v>1480</v>
      </c>
      <c r="O4291">
        <v>8.114039</v>
      </c>
      <c r="P4291">
        <v>1</v>
      </c>
      <c r="Q4291" s="1" t="s">
        <v>562</v>
      </c>
      <c r="R4291" s="93">
        <v>12962.79</v>
      </c>
      <c r="S4291">
        <v>2398.11</v>
      </c>
      <c r="T4291">
        <v>0</v>
      </c>
      <c r="U4291" s="1" t="s">
        <v>931</v>
      </c>
      <c r="V4291" s="1"/>
      <c r="W4291">
        <v>12009.59714</v>
      </c>
      <c r="X4291">
        <v>0</v>
      </c>
      <c r="Y4291">
        <v>58289</v>
      </c>
    </row>
    <row r="4292" spans="1:25" ht="15" hidden="1" customHeight="1" x14ac:dyDescent="0.25">
      <c r="A4292" s="1" t="s">
        <v>40</v>
      </c>
      <c r="B4292" s="1" t="s">
        <v>94</v>
      </c>
      <c r="C4292" s="1" t="s">
        <v>224</v>
      </c>
      <c r="D4292">
        <v>5539</v>
      </c>
      <c r="E4292" s="1"/>
      <c r="F4292" s="1" t="s">
        <v>370</v>
      </c>
      <c r="G4292" s="1" t="s">
        <v>224</v>
      </c>
      <c r="H4292" s="1" t="s">
        <v>1396</v>
      </c>
      <c r="I4292">
        <v>2011</v>
      </c>
      <c r="J4292" s="93">
        <v>15671.97</v>
      </c>
      <c r="K4292">
        <v>12</v>
      </c>
      <c r="L4292" s="1" t="s">
        <v>421</v>
      </c>
      <c r="M4292">
        <v>0</v>
      </c>
      <c r="N4292">
        <v>1480</v>
      </c>
      <c r="O4292">
        <v>10.588452999999999</v>
      </c>
      <c r="P4292">
        <v>1</v>
      </c>
      <c r="Q4292" s="1" t="s">
        <v>562</v>
      </c>
      <c r="R4292" s="93">
        <v>16597.87</v>
      </c>
      <c r="S4292">
        <v>3070.62</v>
      </c>
      <c r="T4292">
        <v>0</v>
      </c>
      <c r="U4292" s="1" t="s">
        <v>931</v>
      </c>
      <c r="V4292" s="1"/>
      <c r="W4292">
        <v>15671.96969</v>
      </c>
      <c r="X4292">
        <v>0</v>
      </c>
      <c r="Y4292">
        <v>58289</v>
      </c>
    </row>
    <row r="4293" spans="1:25" ht="15" hidden="1" customHeight="1" x14ac:dyDescent="0.25">
      <c r="A4293" s="1" t="s">
        <v>40</v>
      </c>
      <c r="B4293" s="1" t="s">
        <v>94</v>
      </c>
      <c r="C4293" s="1" t="s">
        <v>224</v>
      </c>
      <c r="D4293">
        <v>5539</v>
      </c>
      <c r="E4293" s="1"/>
      <c r="F4293" s="1" t="s">
        <v>370</v>
      </c>
      <c r="G4293" s="1" t="s">
        <v>224</v>
      </c>
      <c r="H4293" s="1" t="s">
        <v>1396</v>
      </c>
      <c r="I4293">
        <v>2010</v>
      </c>
      <c r="J4293" s="93">
        <v>23702.54</v>
      </c>
      <c r="K4293">
        <v>12</v>
      </c>
      <c r="L4293" s="1" t="s">
        <v>421</v>
      </c>
      <c r="M4293">
        <v>0</v>
      </c>
      <c r="N4293">
        <v>1480</v>
      </c>
      <c r="O4293">
        <v>16.014147000000001</v>
      </c>
      <c r="P4293">
        <v>1</v>
      </c>
      <c r="Q4293" s="1" t="s">
        <v>562</v>
      </c>
      <c r="R4293" s="93">
        <v>21746.06</v>
      </c>
      <c r="S4293">
        <v>4023.03</v>
      </c>
      <c r="T4293">
        <v>0</v>
      </c>
      <c r="U4293" s="1" t="s">
        <v>931</v>
      </c>
      <c r="V4293" s="1"/>
      <c r="W4293">
        <v>23702.550810000001</v>
      </c>
      <c r="X4293">
        <v>0</v>
      </c>
      <c r="Y4293">
        <v>58289</v>
      </c>
    </row>
    <row r="4294" spans="1:25" ht="15" hidden="1" customHeight="1" x14ac:dyDescent="0.25">
      <c r="A4294" s="1" t="s">
        <v>40</v>
      </c>
      <c r="B4294" s="1" t="s">
        <v>94</v>
      </c>
      <c r="C4294" s="1" t="s">
        <v>224</v>
      </c>
      <c r="D4294">
        <v>5539</v>
      </c>
      <c r="E4294" s="1"/>
      <c r="F4294" s="1" t="s">
        <v>370</v>
      </c>
      <c r="G4294" s="1" t="s">
        <v>224</v>
      </c>
      <c r="H4294" s="1" t="s">
        <v>1396</v>
      </c>
      <c r="I4294">
        <v>2009</v>
      </c>
      <c r="J4294" s="93">
        <v>18488.22</v>
      </c>
      <c r="K4294">
        <v>12</v>
      </c>
      <c r="L4294" s="1" t="s">
        <v>421</v>
      </c>
      <c r="M4294">
        <v>0</v>
      </c>
      <c r="N4294">
        <v>1480</v>
      </c>
      <c r="O4294">
        <v>12.491196</v>
      </c>
      <c r="P4294">
        <v>1</v>
      </c>
      <c r="Q4294" s="1" t="s">
        <v>562</v>
      </c>
      <c r="R4294" s="93">
        <v>19558.12</v>
      </c>
      <c r="S4294">
        <v>3618.27</v>
      </c>
      <c r="T4294">
        <v>0</v>
      </c>
      <c r="U4294" s="1" t="s">
        <v>931</v>
      </c>
      <c r="V4294" s="1"/>
      <c r="W4294">
        <v>18488.207729999998</v>
      </c>
      <c r="X4294">
        <v>0</v>
      </c>
      <c r="Y4294">
        <v>58289</v>
      </c>
    </row>
    <row r="4295" spans="1:25" ht="15" hidden="1" customHeight="1" x14ac:dyDescent="0.25">
      <c r="A4295" s="1" t="s">
        <v>40</v>
      </c>
      <c r="B4295" s="1" t="s">
        <v>94</v>
      </c>
      <c r="C4295" s="1" t="s">
        <v>224</v>
      </c>
      <c r="D4295">
        <v>5539</v>
      </c>
      <c r="E4295" s="1"/>
      <c r="F4295" s="1" t="s">
        <v>370</v>
      </c>
      <c r="G4295" s="1" t="s">
        <v>224</v>
      </c>
      <c r="H4295" s="1" t="s">
        <v>1396</v>
      </c>
      <c r="I4295">
        <v>2008</v>
      </c>
      <c r="J4295" s="93">
        <v>15449.76</v>
      </c>
      <c r="K4295">
        <v>12</v>
      </c>
      <c r="L4295" s="1" t="s">
        <v>421</v>
      </c>
      <c r="M4295">
        <v>0</v>
      </c>
      <c r="N4295">
        <v>1480</v>
      </c>
      <c r="O4295">
        <v>10.438321</v>
      </c>
      <c r="P4295">
        <v>1</v>
      </c>
      <c r="Q4295" s="1" t="s">
        <v>562</v>
      </c>
      <c r="R4295" s="93">
        <v>17909.68</v>
      </c>
      <c r="S4295">
        <v>3313.29</v>
      </c>
      <c r="T4295">
        <v>0</v>
      </c>
      <c r="U4295" s="1" t="s">
        <v>931</v>
      </c>
      <c r="V4295" s="1"/>
      <c r="W4295">
        <v>15449.75663</v>
      </c>
      <c r="X4295">
        <v>0</v>
      </c>
      <c r="Y4295">
        <v>58289</v>
      </c>
    </row>
    <row r="4296" spans="1:25" ht="15" hidden="1" customHeight="1" x14ac:dyDescent="0.25">
      <c r="A4296" s="1" t="s">
        <v>40</v>
      </c>
      <c r="B4296" s="1" t="s">
        <v>86</v>
      </c>
      <c r="C4296" s="1" t="s">
        <v>213</v>
      </c>
      <c r="D4296">
        <v>5468</v>
      </c>
      <c r="E4296" s="1"/>
      <c r="F4296" s="1" t="s">
        <v>213</v>
      </c>
      <c r="G4296" s="1" t="s">
        <v>213</v>
      </c>
      <c r="H4296" s="1" t="s">
        <v>1396</v>
      </c>
      <c r="I4296">
        <v>2008</v>
      </c>
      <c r="J4296" s="93">
        <v>2163.91</v>
      </c>
      <c r="K4296">
        <v>12</v>
      </c>
      <c r="L4296" s="1"/>
      <c r="M4296">
        <v>0</v>
      </c>
      <c r="N4296">
        <v>12237</v>
      </c>
      <c r="O4296">
        <v>0.17683099999999999</v>
      </c>
      <c r="P4296">
        <v>3</v>
      </c>
      <c r="Q4296" s="1" t="s">
        <v>560</v>
      </c>
      <c r="R4296" s="93">
        <v>2163.91</v>
      </c>
      <c r="S4296">
        <v>1731.13</v>
      </c>
      <c r="T4296">
        <v>0</v>
      </c>
      <c r="U4296" s="1" t="s">
        <v>732</v>
      </c>
      <c r="V4296" s="1"/>
      <c r="W4296">
        <v>2163.9160000000002</v>
      </c>
      <c r="X4296">
        <v>0</v>
      </c>
      <c r="Y4296">
        <v>58260</v>
      </c>
    </row>
    <row r="4297" spans="1:25" ht="15" hidden="1" customHeight="1" x14ac:dyDescent="0.25">
      <c r="A4297" s="1" t="s">
        <v>40</v>
      </c>
      <c r="B4297" s="1" t="s">
        <v>86</v>
      </c>
      <c r="C4297" s="1" t="s">
        <v>213</v>
      </c>
      <c r="D4297">
        <v>5468</v>
      </c>
      <c r="E4297" s="1"/>
      <c r="F4297" s="1" t="s">
        <v>213</v>
      </c>
      <c r="G4297" s="1" t="s">
        <v>213</v>
      </c>
      <c r="H4297" s="1" t="s">
        <v>1396</v>
      </c>
      <c r="I4297">
        <v>2008</v>
      </c>
      <c r="J4297" s="93">
        <v>969</v>
      </c>
      <c r="K4297">
        <v>5</v>
      </c>
      <c r="L4297" s="1" t="s">
        <v>455</v>
      </c>
      <c r="M4297">
        <v>0</v>
      </c>
      <c r="N4297">
        <v>12237</v>
      </c>
      <c r="O4297">
        <v>7.9185000000000005E-2</v>
      </c>
      <c r="P4297">
        <v>3</v>
      </c>
      <c r="Q4297" s="1" t="s">
        <v>560</v>
      </c>
      <c r="R4297" s="93">
        <v>969</v>
      </c>
      <c r="S4297">
        <v>775.2</v>
      </c>
      <c r="T4297">
        <v>0</v>
      </c>
      <c r="U4297" s="1" t="s">
        <v>732</v>
      </c>
      <c r="V4297" s="1"/>
      <c r="W4297">
        <v>969</v>
      </c>
      <c r="X4297">
        <v>0</v>
      </c>
      <c r="Y4297">
        <v>57826</v>
      </c>
    </row>
    <row r="4298" spans="1:25" ht="15" hidden="1" customHeight="1" x14ac:dyDescent="0.25">
      <c r="A4298" s="1" t="s">
        <v>40</v>
      </c>
      <c r="B4298" s="1" t="s">
        <v>86</v>
      </c>
      <c r="C4298" s="1" t="s">
        <v>213</v>
      </c>
      <c r="D4298">
        <v>5468</v>
      </c>
      <c r="E4298" s="1"/>
      <c r="F4298" s="1" t="s">
        <v>213</v>
      </c>
      <c r="G4298" s="1" t="s">
        <v>213</v>
      </c>
      <c r="H4298" s="1" t="s">
        <v>1396</v>
      </c>
      <c r="I4298">
        <v>2008</v>
      </c>
      <c r="J4298" s="93">
        <v>308.88</v>
      </c>
      <c r="K4298">
        <v>12</v>
      </c>
      <c r="L4298" s="1"/>
      <c r="M4298">
        <v>0</v>
      </c>
      <c r="N4298">
        <v>12237</v>
      </c>
      <c r="O4298">
        <v>2.5241E-2</v>
      </c>
      <c r="P4298">
        <v>3</v>
      </c>
      <c r="Q4298" s="1" t="s">
        <v>560</v>
      </c>
      <c r="R4298" s="93">
        <v>308.88</v>
      </c>
      <c r="S4298">
        <v>247.09</v>
      </c>
      <c r="T4298">
        <v>1</v>
      </c>
      <c r="U4298" s="1" t="s">
        <v>730</v>
      </c>
      <c r="V4298" s="1"/>
      <c r="W4298">
        <v>308.875</v>
      </c>
      <c r="X4298">
        <v>0</v>
      </c>
      <c r="Y4298">
        <v>57827</v>
      </c>
    </row>
    <row r="4299" spans="1:25" ht="15" hidden="1" customHeight="1" x14ac:dyDescent="0.25">
      <c r="A4299" s="1" t="s">
        <v>40</v>
      </c>
      <c r="B4299" s="1" t="s">
        <v>86</v>
      </c>
      <c r="C4299" s="1" t="s">
        <v>213</v>
      </c>
      <c r="D4299">
        <v>5468</v>
      </c>
      <c r="E4299" s="1"/>
      <c r="F4299" s="1" t="s">
        <v>213</v>
      </c>
      <c r="G4299" s="1" t="s">
        <v>213</v>
      </c>
      <c r="H4299" s="1" t="s">
        <v>1396</v>
      </c>
      <c r="I4299">
        <v>2008</v>
      </c>
      <c r="J4299" s="93">
        <v>93.33</v>
      </c>
      <c r="K4299">
        <v>12</v>
      </c>
      <c r="L4299" s="1"/>
      <c r="M4299">
        <v>0</v>
      </c>
      <c r="N4299">
        <v>12237</v>
      </c>
      <c r="O4299">
        <v>7.626E-3</v>
      </c>
      <c r="P4299">
        <v>3</v>
      </c>
      <c r="Q4299" s="1" t="s">
        <v>560</v>
      </c>
      <c r="R4299" s="93">
        <v>93.33</v>
      </c>
      <c r="S4299">
        <v>74.650000000000006</v>
      </c>
      <c r="T4299">
        <v>1</v>
      </c>
      <c r="U4299" s="1" t="s">
        <v>731</v>
      </c>
      <c r="V4299" s="1"/>
      <c r="W4299">
        <v>93.33</v>
      </c>
      <c r="X4299">
        <v>0</v>
      </c>
      <c r="Y4299">
        <v>57829</v>
      </c>
    </row>
    <row r="4300" spans="1:25" ht="15" hidden="1" customHeight="1" x14ac:dyDescent="0.25">
      <c r="A4300" s="1" t="s">
        <v>40</v>
      </c>
      <c r="B4300" s="1" t="s">
        <v>86</v>
      </c>
      <c r="C4300" s="1" t="s">
        <v>213</v>
      </c>
      <c r="D4300">
        <v>6026</v>
      </c>
      <c r="E4300" s="1"/>
      <c r="F4300" s="1" t="s">
        <v>368</v>
      </c>
      <c r="G4300" s="1" t="s">
        <v>213</v>
      </c>
      <c r="H4300" s="1" t="s">
        <v>1396</v>
      </c>
      <c r="I4300">
        <v>2014</v>
      </c>
      <c r="J4300" s="93">
        <v>187630.49</v>
      </c>
      <c r="K4300">
        <v>11</v>
      </c>
      <c r="L4300" s="1" t="s">
        <v>421</v>
      </c>
      <c r="M4300">
        <v>0</v>
      </c>
      <c r="N4300">
        <v>0</v>
      </c>
      <c r="O4300">
        <v>1876304.9</v>
      </c>
      <c r="P4300">
        <v>1</v>
      </c>
      <c r="Q4300" s="1" t="s">
        <v>562</v>
      </c>
      <c r="R4300" s="93">
        <v>229628.17</v>
      </c>
      <c r="S4300">
        <v>14373065.890000001</v>
      </c>
      <c r="T4300">
        <v>1</v>
      </c>
      <c r="U4300" s="1" t="s">
        <v>905</v>
      </c>
      <c r="V4300" s="1"/>
      <c r="W4300">
        <v>187630.48663</v>
      </c>
      <c r="X4300">
        <v>0</v>
      </c>
      <c r="Y4300">
        <v>60556</v>
      </c>
    </row>
    <row r="4301" spans="1:25" ht="15" hidden="1" customHeight="1" x14ac:dyDescent="0.25">
      <c r="A4301" s="1" t="s">
        <v>40</v>
      </c>
      <c r="B4301" s="1" t="s">
        <v>86</v>
      </c>
      <c r="C4301" s="1" t="s">
        <v>213</v>
      </c>
      <c r="D4301">
        <v>6027</v>
      </c>
      <c r="E4301" s="1"/>
      <c r="F4301" s="1" t="s">
        <v>351</v>
      </c>
      <c r="G4301" s="1" t="s">
        <v>213</v>
      </c>
      <c r="H4301" s="1" t="s">
        <v>1396</v>
      </c>
      <c r="I4301">
        <v>2014</v>
      </c>
      <c r="J4301" s="93">
        <v>1630.21</v>
      </c>
      <c r="K4301">
        <v>1</v>
      </c>
      <c r="L4301" s="1" t="s">
        <v>501</v>
      </c>
      <c r="M4301">
        <v>0</v>
      </c>
      <c r="N4301">
        <v>0</v>
      </c>
      <c r="O4301">
        <v>16302.1</v>
      </c>
      <c r="P4301">
        <v>1</v>
      </c>
      <c r="Q4301" s="1" t="s">
        <v>562</v>
      </c>
      <c r="R4301" s="93">
        <v>1767.29</v>
      </c>
      <c r="S4301">
        <v>326.95</v>
      </c>
      <c r="T4301">
        <v>1</v>
      </c>
      <c r="U4301" s="1" t="s">
        <v>907</v>
      </c>
      <c r="V4301" s="1"/>
      <c r="W4301">
        <v>1630.20759</v>
      </c>
      <c r="X4301">
        <v>0</v>
      </c>
      <c r="Y4301">
        <v>60564</v>
      </c>
    </row>
    <row r="4302" spans="1:25" ht="15" hidden="1" customHeight="1" x14ac:dyDescent="0.25">
      <c r="A4302" s="1" t="s">
        <v>40</v>
      </c>
      <c r="B4302" s="1" t="s">
        <v>86</v>
      </c>
      <c r="C4302" s="1" t="s">
        <v>213</v>
      </c>
      <c r="D4302">
        <v>6027</v>
      </c>
      <c r="E4302" s="1"/>
      <c r="F4302" s="1" t="s">
        <v>351</v>
      </c>
      <c r="G4302" s="1" t="s">
        <v>213</v>
      </c>
      <c r="H4302" s="1" t="s">
        <v>1396</v>
      </c>
      <c r="I4302">
        <v>2014</v>
      </c>
      <c r="J4302" s="93">
        <v>1652.18</v>
      </c>
      <c r="K4302">
        <v>1</v>
      </c>
      <c r="L4302" s="1" t="s">
        <v>501</v>
      </c>
      <c r="M4302">
        <v>0</v>
      </c>
      <c r="N4302">
        <v>0</v>
      </c>
      <c r="O4302">
        <v>16521.8</v>
      </c>
      <c r="P4302">
        <v>1</v>
      </c>
      <c r="Q4302" s="1" t="s">
        <v>562</v>
      </c>
      <c r="R4302" s="93">
        <v>1790.14</v>
      </c>
      <c r="S4302">
        <v>331.18</v>
      </c>
      <c r="T4302">
        <v>1</v>
      </c>
      <c r="U4302" s="1" t="s">
        <v>908</v>
      </c>
      <c r="V4302" s="1"/>
      <c r="W4302">
        <v>1652.18228</v>
      </c>
      <c r="X4302">
        <v>0</v>
      </c>
      <c r="Y4302">
        <v>60565</v>
      </c>
    </row>
    <row r="4303" spans="1:25" ht="15" hidden="1" customHeight="1" x14ac:dyDescent="0.25">
      <c r="A4303" s="1" t="s">
        <v>40</v>
      </c>
      <c r="B4303" s="1" t="s">
        <v>86</v>
      </c>
      <c r="C4303" s="1" t="s">
        <v>213</v>
      </c>
      <c r="D4303">
        <v>6027</v>
      </c>
      <c r="E4303" s="1"/>
      <c r="F4303" s="1" t="s">
        <v>351</v>
      </c>
      <c r="G4303" s="1" t="s">
        <v>213</v>
      </c>
      <c r="H4303" s="1" t="s">
        <v>1396</v>
      </c>
      <c r="I4303">
        <v>2014</v>
      </c>
      <c r="J4303" s="93">
        <v>63839.18</v>
      </c>
      <c r="K4303">
        <v>12</v>
      </c>
      <c r="L4303" s="1" t="s">
        <v>421</v>
      </c>
      <c r="M4303">
        <v>0</v>
      </c>
      <c r="N4303">
        <v>0</v>
      </c>
      <c r="O4303">
        <v>638391.80000000005</v>
      </c>
      <c r="P4303">
        <v>1</v>
      </c>
      <c r="Q4303" s="1" t="s">
        <v>562</v>
      </c>
      <c r="R4303" s="93">
        <v>78649.320000000007</v>
      </c>
      <c r="S4303">
        <v>5221315.4000000004</v>
      </c>
      <c r="T4303">
        <v>1</v>
      </c>
      <c r="U4303" s="1" t="s">
        <v>906</v>
      </c>
      <c r="V4303" s="1"/>
      <c r="W4303">
        <v>63839.168660000003</v>
      </c>
      <c r="X4303">
        <v>0</v>
      </c>
      <c r="Y4303">
        <v>60567</v>
      </c>
    </row>
    <row r="4304" spans="1:25" ht="15" hidden="1" customHeight="1" x14ac:dyDescent="0.25">
      <c r="A4304" s="1" t="s">
        <v>40</v>
      </c>
      <c r="B4304" s="1" t="s">
        <v>86</v>
      </c>
      <c r="C4304" s="1" t="s">
        <v>213</v>
      </c>
      <c r="D4304">
        <v>5468</v>
      </c>
      <c r="E4304" s="1"/>
      <c r="F4304" s="1" t="s">
        <v>213</v>
      </c>
      <c r="G4304" s="1" t="s">
        <v>213</v>
      </c>
      <c r="H4304" s="1" t="s">
        <v>1405</v>
      </c>
      <c r="I4304">
        <v>2014</v>
      </c>
      <c r="J4304" s="93">
        <v>205950</v>
      </c>
      <c r="K4304">
        <v>12</v>
      </c>
      <c r="L4304" s="1"/>
      <c r="M4304">
        <v>0</v>
      </c>
      <c r="N4304">
        <v>12237</v>
      </c>
      <c r="O4304">
        <v>16.829967</v>
      </c>
      <c r="P4304">
        <v>1</v>
      </c>
      <c r="Q4304" s="1" t="s">
        <v>562</v>
      </c>
      <c r="R4304" s="93">
        <v>247667.78</v>
      </c>
      <c r="S4304">
        <v>24135720.079999998</v>
      </c>
      <c r="T4304">
        <v>0</v>
      </c>
      <c r="U4304" s="1" t="s">
        <v>909</v>
      </c>
      <c r="V4304" s="1"/>
      <c r="W4304">
        <v>205950</v>
      </c>
      <c r="X4304">
        <v>0</v>
      </c>
      <c r="Y4304">
        <v>57821</v>
      </c>
    </row>
    <row r="4305" spans="1:25" ht="15" hidden="1" customHeight="1" x14ac:dyDescent="0.25">
      <c r="A4305" s="1" t="s">
        <v>40</v>
      </c>
      <c r="B4305" s="1" t="s">
        <v>86</v>
      </c>
      <c r="C4305" s="1" t="s">
        <v>213</v>
      </c>
      <c r="D4305">
        <v>5468</v>
      </c>
      <c r="E4305" s="1"/>
      <c r="F4305" s="1" t="s">
        <v>213</v>
      </c>
      <c r="G4305" s="1" t="s">
        <v>213</v>
      </c>
      <c r="H4305" s="1" t="s">
        <v>1396</v>
      </c>
      <c r="I4305">
        <v>2014</v>
      </c>
      <c r="J4305" s="93">
        <v>278680</v>
      </c>
      <c r="K4305">
        <v>12</v>
      </c>
      <c r="L4305" s="1"/>
      <c r="M4305">
        <v>0</v>
      </c>
      <c r="N4305">
        <v>12237</v>
      </c>
      <c r="O4305">
        <v>22.773368999999999</v>
      </c>
      <c r="P4305">
        <v>1</v>
      </c>
      <c r="Q4305" s="1" t="s">
        <v>562</v>
      </c>
      <c r="R4305" s="93">
        <v>331923.23</v>
      </c>
      <c r="S4305">
        <v>21528187.379999999</v>
      </c>
      <c r="T4305">
        <v>0</v>
      </c>
      <c r="U4305" s="1" t="s">
        <v>910</v>
      </c>
      <c r="V4305" s="1"/>
      <c r="W4305">
        <v>278680</v>
      </c>
      <c r="X4305">
        <v>0</v>
      </c>
      <c r="Y4305">
        <v>57834</v>
      </c>
    </row>
    <row r="4306" spans="1:25" ht="15" hidden="1" customHeight="1" x14ac:dyDescent="0.25">
      <c r="A4306" s="1" t="s">
        <v>40</v>
      </c>
      <c r="B4306" s="1" t="s">
        <v>86</v>
      </c>
      <c r="C4306" s="1" t="s">
        <v>213</v>
      </c>
      <c r="D4306">
        <v>5468</v>
      </c>
      <c r="E4306" s="1"/>
      <c r="F4306" s="1" t="s">
        <v>213</v>
      </c>
      <c r="G4306" s="1" t="s">
        <v>213</v>
      </c>
      <c r="H4306" s="1" t="s">
        <v>1396</v>
      </c>
      <c r="I4306">
        <v>2014</v>
      </c>
      <c r="J4306" s="93">
        <v>21111.94</v>
      </c>
      <c r="K4306">
        <v>12</v>
      </c>
      <c r="L4306" s="1"/>
      <c r="M4306">
        <v>0</v>
      </c>
      <c r="N4306">
        <v>12237</v>
      </c>
      <c r="O4306">
        <v>1.7252400000000001</v>
      </c>
      <c r="P4306">
        <v>1</v>
      </c>
      <c r="Q4306" s="1" t="s">
        <v>563</v>
      </c>
      <c r="R4306" s="93">
        <v>23392.23</v>
      </c>
      <c r="S4306">
        <v>124.03</v>
      </c>
      <c r="T4306">
        <v>1</v>
      </c>
      <c r="U4306" s="1" t="s">
        <v>909</v>
      </c>
      <c r="V4306" s="1"/>
      <c r="W4306">
        <v>605.1</v>
      </c>
      <c r="X4306">
        <v>57821</v>
      </c>
      <c r="Y4306">
        <v>57832</v>
      </c>
    </row>
    <row r="4307" spans="1:25" ht="15" hidden="1" customHeight="1" x14ac:dyDescent="0.25">
      <c r="A4307" s="1" t="s">
        <v>40</v>
      </c>
      <c r="B4307" s="1" t="s">
        <v>86</v>
      </c>
      <c r="C4307" s="1" t="s">
        <v>213</v>
      </c>
      <c r="D4307">
        <v>5468</v>
      </c>
      <c r="E4307" s="1"/>
      <c r="F4307" s="1" t="s">
        <v>213</v>
      </c>
      <c r="G4307" s="1" t="s">
        <v>213</v>
      </c>
      <c r="H4307" s="1" t="s">
        <v>1396</v>
      </c>
      <c r="I4307">
        <v>2014</v>
      </c>
      <c r="J4307" s="93">
        <v>212267.27</v>
      </c>
      <c r="K4307">
        <v>12</v>
      </c>
      <c r="L4307" s="1"/>
      <c r="M4307">
        <v>0</v>
      </c>
      <c r="N4307">
        <v>12237</v>
      </c>
      <c r="O4307">
        <v>17.346207</v>
      </c>
      <c r="P4307">
        <v>1</v>
      </c>
      <c r="Q4307" s="1" t="s">
        <v>563</v>
      </c>
      <c r="R4307" s="93">
        <v>252523.21</v>
      </c>
      <c r="S4307">
        <v>466101.97</v>
      </c>
      <c r="T4307">
        <v>1</v>
      </c>
      <c r="U4307" s="1" t="s">
        <v>910</v>
      </c>
      <c r="V4307" s="1"/>
      <c r="W4307">
        <v>6083.9</v>
      </c>
      <c r="X4307">
        <v>57834</v>
      </c>
      <c r="Y4307">
        <v>57835</v>
      </c>
    </row>
    <row r="4308" spans="1:25" ht="15" hidden="1" customHeight="1" x14ac:dyDescent="0.25">
      <c r="A4308" s="1" t="s">
        <v>40</v>
      </c>
      <c r="B4308" s="1"/>
      <c r="C4308" s="1" t="s">
        <v>225</v>
      </c>
      <c r="D4308">
        <v>13825</v>
      </c>
      <c r="E4308" s="1"/>
      <c r="F4308" s="1" t="s">
        <v>358</v>
      </c>
      <c r="G4308" s="1" t="s">
        <v>225</v>
      </c>
      <c r="H4308" s="1" t="s">
        <v>1396</v>
      </c>
      <c r="I4308">
        <v>2015</v>
      </c>
      <c r="J4308" s="93">
        <v>4913</v>
      </c>
      <c r="K4308">
        <v>5</v>
      </c>
      <c r="L4308" s="1" t="s">
        <v>471</v>
      </c>
      <c r="M4308">
        <v>0</v>
      </c>
      <c r="N4308">
        <v>739</v>
      </c>
      <c r="O4308">
        <v>6.6472730000000002</v>
      </c>
      <c r="P4308">
        <v>1</v>
      </c>
      <c r="Q4308" s="1" t="s">
        <v>562</v>
      </c>
      <c r="R4308" s="93">
        <v>5568.24</v>
      </c>
      <c r="S4308">
        <v>356.36</v>
      </c>
      <c r="T4308">
        <v>0</v>
      </c>
      <c r="U4308" s="1" t="s">
        <v>932</v>
      </c>
      <c r="V4308" s="1"/>
      <c r="W4308">
        <v>4913</v>
      </c>
      <c r="X4308">
        <v>0</v>
      </c>
      <c r="Y4308">
        <v>94197</v>
      </c>
    </row>
    <row r="4309" spans="1:25" ht="15" hidden="1" customHeight="1" x14ac:dyDescent="0.25">
      <c r="A4309" s="1" t="s">
        <v>40</v>
      </c>
      <c r="B4309" s="1"/>
      <c r="C4309" s="1" t="s">
        <v>225</v>
      </c>
      <c r="D4309">
        <v>13825</v>
      </c>
      <c r="E4309" s="1"/>
      <c r="F4309" s="1" t="s">
        <v>358</v>
      </c>
      <c r="G4309" s="1" t="s">
        <v>225</v>
      </c>
      <c r="H4309" s="1" t="s">
        <v>1396</v>
      </c>
      <c r="I4309">
        <v>2015</v>
      </c>
      <c r="J4309" s="93">
        <v>60181</v>
      </c>
      <c r="K4309">
        <v>5</v>
      </c>
      <c r="L4309" s="1" t="s">
        <v>471</v>
      </c>
      <c r="M4309">
        <v>0</v>
      </c>
      <c r="N4309">
        <v>739</v>
      </c>
      <c r="O4309">
        <v>81.424705000000003</v>
      </c>
      <c r="P4309">
        <v>1</v>
      </c>
      <c r="Q4309" s="1" t="s">
        <v>562</v>
      </c>
      <c r="R4309" s="93">
        <v>67898.83</v>
      </c>
      <c r="S4309">
        <v>4345.5200000000004</v>
      </c>
      <c r="T4309">
        <v>0</v>
      </c>
      <c r="U4309" s="1" t="s">
        <v>933</v>
      </c>
      <c r="V4309" s="1"/>
      <c r="W4309">
        <v>60181</v>
      </c>
      <c r="X4309">
        <v>0</v>
      </c>
      <c r="Y4309">
        <v>94055</v>
      </c>
    </row>
    <row r="4310" spans="1:25" ht="15" hidden="1" customHeight="1" x14ac:dyDescent="0.25">
      <c r="A4310" s="1" t="s">
        <v>40</v>
      </c>
      <c r="B4310" s="1"/>
      <c r="C4310" s="1" t="s">
        <v>225</v>
      </c>
      <c r="D4310">
        <v>13825</v>
      </c>
      <c r="E4310" s="1"/>
      <c r="F4310" s="1" t="s">
        <v>358</v>
      </c>
      <c r="G4310" s="1" t="s">
        <v>225</v>
      </c>
      <c r="H4310" s="1" t="s">
        <v>1396</v>
      </c>
      <c r="I4310">
        <v>2013</v>
      </c>
      <c r="J4310" s="93">
        <v>11187.93</v>
      </c>
      <c r="K4310">
        <v>5</v>
      </c>
      <c r="L4310" s="1" t="s">
        <v>471</v>
      </c>
      <c r="M4310">
        <v>0</v>
      </c>
      <c r="N4310">
        <v>739</v>
      </c>
      <c r="O4310">
        <v>15.137233999999999</v>
      </c>
      <c r="P4310">
        <v>1</v>
      </c>
      <c r="Q4310" s="1" t="s">
        <v>562</v>
      </c>
      <c r="R4310" s="93">
        <v>12103.55</v>
      </c>
      <c r="S4310">
        <v>774.63</v>
      </c>
      <c r="T4310">
        <v>0</v>
      </c>
      <c r="U4310" s="1" t="s">
        <v>932</v>
      </c>
      <c r="V4310" s="1"/>
      <c r="W4310">
        <v>11187.9256</v>
      </c>
      <c r="X4310">
        <v>0</v>
      </c>
      <c r="Y4310">
        <v>94197</v>
      </c>
    </row>
    <row r="4311" spans="1:25" ht="15" hidden="1" customHeight="1" x14ac:dyDescent="0.25">
      <c r="A4311" s="1" t="s">
        <v>40</v>
      </c>
      <c r="B4311" s="1"/>
      <c r="C4311" s="1" t="s">
        <v>225</v>
      </c>
      <c r="D4311">
        <v>13825</v>
      </c>
      <c r="E4311" s="1"/>
      <c r="F4311" s="1" t="s">
        <v>358</v>
      </c>
      <c r="G4311" s="1" t="s">
        <v>225</v>
      </c>
      <c r="H4311" s="1" t="s">
        <v>1396</v>
      </c>
      <c r="I4311">
        <v>2013</v>
      </c>
      <c r="J4311" s="93">
        <v>38247.15</v>
      </c>
      <c r="K4311">
        <v>4</v>
      </c>
      <c r="L4311" s="1" t="s">
        <v>505</v>
      </c>
      <c r="M4311">
        <v>0</v>
      </c>
      <c r="N4311">
        <v>739</v>
      </c>
      <c r="O4311">
        <v>51.748274000000002</v>
      </c>
      <c r="P4311">
        <v>1</v>
      </c>
      <c r="Q4311" s="1" t="s">
        <v>565</v>
      </c>
      <c r="R4311" s="93">
        <v>46035.3</v>
      </c>
      <c r="S4311">
        <v>2946.25</v>
      </c>
      <c r="T4311">
        <v>1</v>
      </c>
      <c r="U4311" s="1" t="s">
        <v>934</v>
      </c>
      <c r="V4311" s="1"/>
      <c r="W4311">
        <v>38.247149999999998</v>
      </c>
      <c r="X4311">
        <v>0</v>
      </c>
      <c r="Y4311">
        <v>94054</v>
      </c>
    </row>
    <row r="4312" spans="1:25" ht="15" hidden="1" customHeight="1" x14ac:dyDescent="0.25">
      <c r="A4312" s="1" t="s">
        <v>40</v>
      </c>
      <c r="B4312" s="1"/>
      <c r="C4312" s="1" t="s">
        <v>225</v>
      </c>
      <c r="D4312">
        <v>13825</v>
      </c>
      <c r="E4312" s="1"/>
      <c r="F4312" s="1" t="s">
        <v>358</v>
      </c>
      <c r="G4312" s="1" t="s">
        <v>225</v>
      </c>
      <c r="H4312" s="1" t="s">
        <v>1396</v>
      </c>
      <c r="I4312">
        <v>2013</v>
      </c>
      <c r="J4312" s="93">
        <v>108594.16</v>
      </c>
      <c r="K4312">
        <v>4</v>
      </c>
      <c r="L4312" s="1" t="s">
        <v>471</v>
      </c>
      <c r="M4312">
        <v>0</v>
      </c>
      <c r="N4312">
        <v>739</v>
      </c>
      <c r="O4312">
        <v>146.92756</v>
      </c>
      <c r="P4312">
        <v>1</v>
      </c>
      <c r="Q4312" s="1" t="s">
        <v>562</v>
      </c>
      <c r="R4312" s="93">
        <v>120238.57</v>
      </c>
      <c r="S4312">
        <v>7695.25</v>
      </c>
      <c r="T4312">
        <v>0</v>
      </c>
      <c r="U4312" s="1" t="s">
        <v>933</v>
      </c>
      <c r="V4312" s="1"/>
      <c r="W4312">
        <v>108594.17675</v>
      </c>
      <c r="X4312">
        <v>0</v>
      </c>
      <c r="Y4312">
        <v>94055</v>
      </c>
    </row>
    <row r="4313" spans="1:25" ht="15" hidden="1" customHeight="1" x14ac:dyDescent="0.25">
      <c r="A4313" s="1" t="s">
        <v>40</v>
      </c>
      <c r="B4313" s="1"/>
      <c r="C4313" s="1" t="s">
        <v>225</v>
      </c>
      <c r="D4313">
        <v>13825</v>
      </c>
      <c r="E4313" s="1"/>
      <c r="F4313" s="1" t="s">
        <v>358</v>
      </c>
      <c r="G4313" s="1" t="s">
        <v>225</v>
      </c>
      <c r="H4313" s="1" t="s">
        <v>1396</v>
      </c>
      <c r="I4313">
        <v>2012</v>
      </c>
      <c r="J4313" s="93">
        <v>134419.34</v>
      </c>
      <c r="K4313">
        <v>1</v>
      </c>
      <c r="L4313" s="1" t="s">
        <v>471</v>
      </c>
      <c r="M4313">
        <v>0</v>
      </c>
      <c r="N4313">
        <v>739</v>
      </c>
      <c r="O4313">
        <v>181.86894799999999</v>
      </c>
      <c r="P4313">
        <v>1</v>
      </c>
      <c r="Q4313" s="1" t="s">
        <v>562</v>
      </c>
      <c r="R4313" s="93">
        <v>147376.46</v>
      </c>
      <c r="S4313">
        <v>27264.65</v>
      </c>
      <c r="T4313">
        <v>0</v>
      </c>
      <c r="U4313" s="1" t="s">
        <v>933</v>
      </c>
      <c r="V4313" s="1"/>
      <c r="W4313">
        <v>134419.36463</v>
      </c>
      <c r="X4313">
        <v>0</v>
      </c>
      <c r="Y4313">
        <v>94055</v>
      </c>
    </row>
    <row r="4314" spans="1:25" ht="15" hidden="1" customHeight="1" x14ac:dyDescent="0.25">
      <c r="A4314" s="1" t="s">
        <v>40</v>
      </c>
      <c r="B4314" s="1"/>
      <c r="C4314" s="1" t="s">
        <v>225</v>
      </c>
      <c r="D4314">
        <v>13825</v>
      </c>
      <c r="E4314" s="1"/>
      <c r="F4314" s="1" t="s">
        <v>358</v>
      </c>
      <c r="G4314" s="1" t="s">
        <v>225</v>
      </c>
      <c r="H4314" s="1" t="s">
        <v>1396</v>
      </c>
      <c r="I4314">
        <v>2012</v>
      </c>
      <c r="J4314" s="93">
        <v>14133.09</v>
      </c>
      <c r="K4314">
        <v>1</v>
      </c>
      <c r="L4314" s="1" t="s">
        <v>471</v>
      </c>
      <c r="M4314">
        <v>0</v>
      </c>
      <c r="N4314">
        <v>739</v>
      </c>
      <c r="O4314">
        <v>19.122026000000002</v>
      </c>
      <c r="P4314">
        <v>1</v>
      </c>
      <c r="Q4314" s="1" t="s">
        <v>562</v>
      </c>
      <c r="R4314" s="93">
        <v>15587.21</v>
      </c>
      <c r="S4314">
        <v>2883.63</v>
      </c>
      <c r="T4314">
        <v>0</v>
      </c>
      <c r="U4314" s="1" t="s">
        <v>932</v>
      </c>
      <c r="V4314" s="1"/>
      <c r="W4314">
        <v>14133.110479999999</v>
      </c>
      <c r="X4314">
        <v>0</v>
      </c>
      <c r="Y4314">
        <v>94197</v>
      </c>
    </row>
    <row r="4315" spans="1:25" ht="15" hidden="1" customHeight="1" x14ac:dyDescent="0.25">
      <c r="A4315" s="1" t="s">
        <v>40</v>
      </c>
      <c r="B4315" s="1"/>
      <c r="C4315" s="1" t="s">
        <v>225</v>
      </c>
      <c r="D4315">
        <v>13825</v>
      </c>
      <c r="E4315" s="1"/>
      <c r="F4315" s="1" t="s">
        <v>358</v>
      </c>
      <c r="G4315" s="1" t="s">
        <v>225</v>
      </c>
      <c r="H4315" s="1" t="s">
        <v>1396</v>
      </c>
      <c r="I4315">
        <v>2011</v>
      </c>
      <c r="J4315" s="93">
        <v>125900.35</v>
      </c>
      <c r="K4315">
        <v>1</v>
      </c>
      <c r="L4315" s="1" t="s">
        <v>471</v>
      </c>
      <c r="M4315">
        <v>0</v>
      </c>
      <c r="N4315">
        <v>739</v>
      </c>
      <c r="O4315">
        <v>170.342781</v>
      </c>
      <c r="P4315">
        <v>1</v>
      </c>
      <c r="Q4315" s="1" t="s">
        <v>562</v>
      </c>
      <c r="R4315" s="93">
        <v>149837.09</v>
      </c>
      <c r="S4315">
        <v>27719.85</v>
      </c>
      <c r="T4315">
        <v>0</v>
      </c>
      <c r="U4315" s="1" t="s">
        <v>933</v>
      </c>
      <c r="V4315" s="1"/>
      <c r="W4315">
        <v>125900.36571</v>
      </c>
      <c r="X4315">
        <v>0</v>
      </c>
      <c r="Y4315">
        <v>94055</v>
      </c>
    </row>
    <row r="4316" spans="1:25" ht="15" hidden="1" customHeight="1" x14ac:dyDescent="0.25">
      <c r="A4316" s="1" t="s">
        <v>40</v>
      </c>
      <c r="B4316" s="1"/>
      <c r="C4316" s="1" t="s">
        <v>225</v>
      </c>
      <c r="D4316">
        <v>13825</v>
      </c>
      <c r="E4316" s="1"/>
      <c r="F4316" s="1" t="s">
        <v>358</v>
      </c>
      <c r="G4316" s="1" t="s">
        <v>225</v>
      </c>
      <c r="H4316" s="1" t="s">
        <v>1396</v>
      </c>
      <c r="I4316">
        <v>2011</v>
      </c>
      <c r="J4316" s="93">
        <v>12777.59</v>
      </c>
      <c r="K4316">
        <v>1</v>
      </c>
      <c r="L4316" s="1" t="s">
        <v>471</v>
      </c>
      <c r="M4316">
        <v>0</v>
      </c>
      <c r="N4316">
        <v>739</v>
      </c>
      <c r="O4316">
        <v>17.288039000000001</v>
      </c>
      <c r="P4316">
        <v>1</v>
      </c>
      <c r="Q4316" s="1" t="s">
        <v>562</v>
      </c>
      <c r="R4316" s="93">
        <v>15176.83</v>
      </c>
      <c r="S4316">
        <v>2807.71</v>
      </c>
      <c r="T4316">
        <v>0</v>
      </c>
      <c r="U4316" s="1" t="s">
        <v>932</v>
      </c>
      <c r="V4316" s="1"/>
      <c r="W4316">
        <v>12777.6026</v>
      </c>
      <c r="X4316">
        <v>0</v>
      </c>
      <c r="Y4316">
        <v>94197</v>
      </c>
    </row>
    <row r="4317" spans="1:25" ht="15" hidden="1" customHeight="1" x14ac:dyDescent="0.25">
      <c r="A4317" s="1" t="s">
        <v>40</v>
      </c>
      <c r="B4317" s="1"/>
      <c r="C4317" s="1" t="s">
        <v>225</v>
      </c>
      <c r="D4317">
        <v>13825</v>
      </c>
      <c r="E4317" s="1"/>
      <c r="F4317" s="1" t="s">
        <v>358</v>
      </c>
      <c r="G4317" s="1" t="s">
        <v>225</v>
      </c>
      <c r="H4317" s="1" t="s">
        <v>1396</v>
      </c>
      <c r="I4317">
        <v>2010</v>
      </c>
      <c r="J4317" s="93">
        <v>114513.68</v>
      </c>
      <c r="K4317">
        <v>1</v>
      </c>
      <c r="L4317" s="1" t="s">
        <v>471</v>
      </c>
      <c r="M4317">
        <v>0</v>
      </c>
      <c r="N4317">
        <v>739</v>
      </c>
      <c r="O4317">
        <v>154.93665200000001</v>
      </c>
      <c r="P4317">
        <v>1</v>
      </c>
      <c r="Q4317" s="1" t="s">
        <v>562</v>
      </c>
      <c r="R4317" s="93">
        <v>151012.76</v>
      </c>
      <c r="S4317">
        <v>27937.35</v>
      </c>
      <c r="T4317">
        <v>0</v>
      </c>
      <c r="U4317" s="1" t="s">
        <v>933</v>
      </c>
      <c r="V4317" s="1"/>
      <c r="W4317">
        <v>114513.66574</v>
      </c>
      <c r="X4317">
        <v>0</v>
      </c>
      <c r="Y4317">
        <v>94055</v>
      </c>
    </row>
    <row r="4318" spans="1:25" ht="15" hidden="1" customHeight="1" x14ac:dyDescent="0.25">
      <c r="A4318" s="1" t="s">
        <v>40</v>
      </c>
      <c r="B4318" s="1"/>
      <c r="C4318" s="1" t="s">
        <v>225</v>
      </c>
      <c r="D4318">
        <v>13825</v>
      </c>
      <c r="E4318" s="1"/>
      <c r="F4318" s="1" t="s">
        <v>358</v>
      </c>
      <c r="G4318" s="1" t="s">
        <v>225</v>
      </c>
      <c r="H4318" s="1" t="s">
        <v>1396</v>
      </c>
      <c r="I4318">
        <v>2010</v>
      </c>
      <c r="J4318" s="93">
        <v>10175.719999999999</v>
      </c>
      <c r="K4318">
        <v>1</v>
      </c>
      <c r="L4318" s="1" t="s">
        <v>471</v>
      </c>
      <c r="M4318">
        <v>0</v>
      </c>
      <c r="N4318">
        <v>739</v>
      </c>
      <c r="O4318">
        <v>13.767716999999999</v>
      </c>
      <c r="P4318">
        <v>1</v>
      </c>
      <c r="Q4318" s="1" t="s">
        <v>562</v>
      </c>
      <c r="R4318" s="93">
        <v>13141.63</v>
      </c>
      <c r="S4318">
        <v>2431.2199999999998</v>
      </c>
      <c r="T4318">
        <v>0</v>
      </c>
      <c r="U4318" s="1" t="s">
        <v>932</v>
      </c>
      <c r="V4318" s="1"/>
      <c r="W4318">
        <v>10175.73695</v>
      </c>
      <c r="X4318">
        <v>0</v>
      </c>
      <c r="Y4318">
        <v>94197</v>
      </c>
    </row>
    <row r="4319" spans="1:25" ht="15" hidden="1" customHeight="1" x14ac:dyDescent="0.25">
      <c r="A4319" s="1" t="s">
        <v>40</v>
      </c>
      <c r="B4319" s="1"/>
      <c r="C4319" s="1" t="s">
        <v>225</v>
      </c>
      <c r="D4319">
        <v>13825</v>
      </c>
      <c r="E4319" s="1"/>
      <c r="F4319" s="1" t="s">
        <v>358</v>
      </c>
      <c r="G4319" s="1" t="s">
        <v>225</v>
      </c>
      <c r="H4319" s="1" t="s">
        <v>1396</v>
      </c>
      <c r="I4319">
        <v>2009</v>
      </c>
      <c r="J4319" s="93">
        <v>100796.38</v>
      </c>
      <c r="K4319">
        <v>1</v>
      </c>
      <c r="L4319" s="1" t="s">
        <v>471</v>
      </c>
      <c r="M4319">
        <v>0</v>
      </c>
      <c r="N4319">
        <v>739</v>
      </c>
      <c r="O4319">
        <v>136.37718799999999</v>
      </c>
      <c r="P4319">
        <v>1</v>
      </c>
      <c r="Q4319" s="1" t="s">
        <v>562</v>
      </c>
      <c r="R4319" s="93">
        <v>147831.71</v>
      </c>
      <c r="S4319">
        <v>27348.86</v>
      </c>
      <c r="T4319">
        <v>0</v>
      </c>
      <c r="U4319" s="1" t="s">
        <v>933</v>
      </c>
      <c r="V4319" s="1"/>
      <c r="W4319">
        <v>100796.38082999999</v>
      </c>
      <c r="X4319">
        <v>0</v>
      </c>
      <c r="Y4319">
        <v>94055</v>
      </c>
    </row>
    <row r="4320" spans="1:25" ht="15" hidden="1" customHeight="1" x14ac:dyDescent="0.25">
      <c r="A4320" s="1" t="s">
        <v>40</v>
      </c>
      <c r="B4320" s="1"/>
      <c r="C4320" s="1" t="s">
        <v>225</v>
      </c>
      <c r="D4320">
        <v>13825</v>
      </c>
      <c r="E4320" s="1"/>
      <c r="F4320" s="1" t="s">
        <v>358</v>
      </c>
      <c r="G4320" s="1" t="s">
        <v>225</v>
      </c>
      <c r="H4320" s="1" t="s">
        <v>1396</v>
      </c>
      <c r="I4320">
        <v>2009</v>
      </c>
      <c r="J4320" s="93">
        <v>8044.88</v>
      </c>
      <c r="K4320">
        <v>1</v>
      </c>
      <c r="L4320" s="1" t="s">
        <v>471</v>
      </c>
      <c r="M4320">
        <v>0</v>
      </c>
      <c r="N4320">
        <v>739</v>
      </c>
      <c r="O4320">
        <v>10.884696999999999</v>
      </c>
      <c r="P4320">
        <v>1</v>
      </c>
      <c r="Q4320" s="1" t="s">
        <v>562</v>
      </c>
      <c r="R4320" s="93">
        <v>11687.97</v>
      </c>
      <c r="S4320">
        <v>2162.27</v>
      </c>
      <c r="T4320">
        <v>0</v>
      </c>
      <c r="U4320" s="1" t="s">
        <v>932</v>
      </c>
      <c r="V4320" s="1"/>
      <c r="W4320">
        <v>8044.9013699999996</v>
      </c>
      <c r="X4320">
        <v>0</v>
      </c>
      <c r="Y4320">
        <v>94197</v>
      </c>
    </row>
    <row r="4321" spans="1:25" ht="15" hidden="1" customHeight="1" x14ac:dyDescent="0.25">
      <c r="A4321" s="1" t="s">
        <v>40</v>
      </c>
      <c r="B4321" s="1"/>
      <c r="C4321" s="1" t="s">
        <v>225</v>
      </c>
      <c r="D4321">
        <v>13825</v>
      </c>
      <c r="E4321" s="1"/>
      <c r="F4321" s="1" t="s">
        <v>358</v>
      </c>
      <c r="G4321" s="1" t="s">
        <v>225</v>
      </c>
      <c r="H4321" s="1" t="s">
        <v>1396</v>
      </c>
      <c r="I4321">
        <v>2008</v>
      </c>
      <c r="J4321" s="93">
        <v>97806.68</v>
      </c>
      <c r="K4321">
        <v>1</v>
      </c>
      <c r="L4321" s="1" t="s">
        <v>471</v>
      </c>
      <c r="M4321">
        <v>0</v>
      </c>
      <c r="N4321">
        <v>739</v>
      </c>
      <c r="O4321">
        <v>132.332133</v>
      </c>
      <c r="P4321">
        <v>1</v>
      </c>
      <c r="Q4321" s="1" t="s">
        <v>562</v>
      </c>
      <c r="R4321" s="93">
        <v>126843.8</v>
      </c>
      <c r="S4321">
        <v>23466.1</v>
      </c>
      <c r="T4321">
        <v>0</v>
      </c>
      <c r="U4321" s="1" t="s">
        <v>933</v>
      </c>
      <c r="V4321" s="1"/>
      <c r="W4321">
        <v>97806.669670000003</v>
      </c>
      <c r="X4321">
        <v>0</v>
      </c>
      <c r="Y4321">
        <v>94055</v>
      </c>
    </row>
    <row r="4322" spans="1:25" ht="15" hidden="1" customHeight="1" x14ac:dyDescent="0.25">
      <c r="A4322" s="1" t="s">
        <v>40</v>
      </c>
      <c r="B4322" s="1"/>
      <c r="C4322" s="1" t="s">
        <v>225</v>
      </c>
      <c r="D4322">
        <v>13825</v>
      </c>
      <c r="E4322" s="1"/>
      <c r="F4322" s="1" t="s">
        <v>358</v>
      </c>
      <c r="G4322" s="1" t="s">
        <v>225</v>
      </c>
      <c r="H4322" s="1" t="s">
        <v>1396</v>
      </c>
      <c r="I4322">
        <v>2008</v>
      </c>
      <c r="J4322" s="93">
        <v>7534.82</v>
      </c>
      <c r="K4322">
        <v>1</v>
      </c>
      <c r="L4322" s="1" t="s">
        <v>471</v>
      </c>
      <c r="M4322">
        <v>0</v>
      </c>
      <c r="N4322">
        <v>739</v>
      </c>
      <c r="O4322">
        <v>10.194588</v>
      </c>
      <c r="P4322">
        <v>1</v>
      </c>
      <c r="Q4322" s="1" t="s">
        <v>562</v>
      </c>
      <c r="R4322" s="93">
        <v>9762.44</v>
      </c>
      <c r="S4322">
        <v>1806.07</v>
      </c>
      <c r="T4322">
        <v>0</v>
      </c>
      <c r="U4322" s="1" t="s">
        <v>932</v>
      </c>
      <c r="V4322" s="1"/>
      <c r="W4322">
        <v>7534.8328000000001</v>
      </c>
      <c r="X4322">
        <v>0</v>
      </c>
      <c r="Y4322">
        <v>94197</v>
      </c>
    </row>
    <row r="4323" spans="1:25" ht="15" hidden="1" customHeight="1" x14ac:dyDescent="0.25">
      <c r="A4323" s="1" t="s">
        <v>40</v>
      </c>
      <c r="B4323" s="1" t="s">
        <v>94</v>
      </c>
      <c r="C4323" s="1" t="s">
        <v>224</v>
      </c>
      <c r="D4323">
        <v>5465</v>
      </c>
      <c r="E4323" s="1"/>
      <c r="F4323" s="1" t="s">
        <v>224</v>
      </c>
      <c r="G4323" s="1" t="s">
        <v>224</v>
      </c>
      <c r="H4323" s="1" t="s">
        <v>1396</v>
      </c>
      <c r="I4323">
        <v>2015</v>
      </c>
      <c r="J4323" s="93">
        <v>6286.13</v>
      </c>
      <c r="K4323">
        <v>4</v>
      </c>
      <c r="L4323" s="1" t="s">
        <v>421</v>
      </c>
      <c r="M4323">
        <v>0</v>
      </c>
      <c r="N4323">
        <v>1384</v>
      </c>
      <c r="O4323">
        <v>4.5416730000000003</v>
      </c>
      <c r="P4323">
        <v>2</v>
      </c>
      <c r="Q4323" s="1" t="s">
        <v>569</v>
      </c>
      <c r="R4323" s="93">
        <v>6286.13</v>
      </c>
      <c r="S4323">
        <v>2514.4499999999998</v>
      </c>
      <c r="T4323">
        <v>1</v>
      </c>
      <c r="U4323" s="1" t="s">
        <v>1171</v>
      </c>
      <c r="V4323" s="1"/>
      <c r="W4323">
        <v>6286.1250099999997</v>
      </c>
      <c r="X4323">
        <v>0</v>
      </c>
      <c r="Y4323">
        <v>57770</v>
      </c>
    </row>
    <row r="4324" spans="1:25" ht="15" hidden="1" customHeight="1" x14ac:dyDescent="0.25">
      <c r="A4324" s="1" t="s">
        <v>40</v>
      </c>
      <c r="B4324" s="1" t="s">
        <v>94</v>
      </c>
      <c r="C4324" s="1" t="s">
        <v>224</v>
      </c>
      <c r="D4324">
        <v>5465</v>
      </c>
      <c r="E4324" s="1"/>
      <c r="F4324" s="1" t="s">
        <v>224</v>
      </c>
      <c r="G4324" s="1" t="s">
        <v>224</v>
      </c>
      <c r="H4324" s="1" t="s">
        <v>1396</v>
      </c>
      <c r="I4324">
        <v>2015</v>
      </c>
      <c r="J4324" s="93">
        <v>25666</v>
      </c>
      <c r="K4324">
        <v>5</v>
      </c>
      <c r="L4324" s="1"/>
      <c r="M4324">
        <v>0</v>
      </c>
      <c r="N4324">
        <v>1384</v>
      </c>
      <c r="O4324">
        <v>18.543457</v>
      </c>
      <c r="P4324">
        <v>2</v>
      </c>
      <c r="Q4324" s="1" t="s">
        <v>569</v>
      </c>
      <c r="R4324" s="93">
        <v>25666</v>
      </c>
      <c r="S4324">
        <v>10266.41</v>
      </c>
      <c r="T4324">
        <v>0</v>
      </c>
      <c r="U4324" s="1" t="s">
        <v>1172</v>
      </c>
      <c r="V4324" s="1" t="s">
        <v>1360</v>
      </c>
      <c r="W4324">
        <v>25666.000499999998</v>
      </c>
      <c r="X4324">
        <v>0</v>
      </c>
      <c r="Y4324">
        <v>58297</v>
      </c>
    </row>
    <row r="4325" spans="1:25" ht="15" hidden="1" customHeight="1" x14ac:dyDescent="0.25">
      <c r="A4325" s="1" t="s">
        <v>40</v>
      </c>
      <c r="B4325" s="1" t="s">
        <v>94</v>
      </c>
      <c r="C4325" s="1" t="s">
        <v>224</v>
      </c>
      <c r="D4325">
        <v>5465</v>
      </c>
      <c r="E4325" s="1"/>
      <c r="F4325" s="1" t="s">
        <v>224</v>
      </c>
      <c r="G4325" s="1" t="s">
        <v>224</v>
      </c>
      <c r="H4325" s="1" t="s">
        <v>1396</v>
      </c>
      <c r="I4325">
        <v>2015</v>
      </c>
      <c r="J4325" s="93">
        <v>619.03</v>
      </c>
      <c r="K4325">
        <v>5</v>
      </c>
      <c r="L4325" s="1" t="s">
        <v>421</v>
      </c>
      <c r="M4325">
        <v>0</v>
      </c>
      <c r="N4325">
        <v>1384</v>
      </c>
      <c r="O4325">
        <v>0.447243</v>
      </c>
      <c r="P4325">
        <v>2</v>
      </c>
      <c r="Q4325" s="1" t="s">
        <v>569</v>
      </c>
      <c r="R4325" s="93">
        <v>619.03</v>
      </c>
      <c r="S4325">
        <v>185.7</v>
      </c>
      <c r="T4325">
        <v>1</v>
      </c>
      <c r="U4325" s="1" t="s">
        <v>1173</v>
      </c>
      <c r="V4325" s="1"/>
      <c r="W4325">
        <v>619.03125</v>
      </c>
      <c r="X4325">
        <v>0</v>
      </c>
      <c r="Y4325">
        <v>90264</v>
      </c>
    </row>
    <row r="4326" spans="1:25" ht="15" hidden="1" customHeight="1" x14ac:dyDescent="0.25">
      <c r="A4326" s="1" t="s">
        <v>40</v>
      </c>
      <c r="B4326" s="1" t="s">
        <v>94</v>
      </c>
      <c r="C4326" s="1" t="s">
        <v>224</v>
      </c>
      <c r="D4326">
        <v>5465</v>
      </c>
      <c r="E4326" s="1"/>
      <c r="F4326" s="1" t="s">
        <v>224</v>
      </c>
      <c r="G4326" s="1" t="s">
        <v>224</v>
      </c>
      <c r="H4326" s="1" t="s">
        <v>1396</v>
      </c>
      <c r="I4326">
        <v>2015</v>
      </c>
      <c r="J4326" s="93">
        <v>210.22</v>
      </c>
      <c r="K4326">
        <v>5</v>
      </c>
      <c r="L4326" s="1" t="s">
        <v>421</v>
      </c>
      <c r="M4326">
        <v>0</v>
      </c>
      <c r="N4326">
        <v>1384</v>
      </c>
      <c r="O4326">
        <v>0.15188199999999999</v>
      </c>
      <c r="P4326">
        <v>2</v>
      </c>
      <c r="Q4326" s="1" t="s">
        <v>569</v>
      </c>
      <c r="R4326" s="93">
        <v>210.22</v>
      </c>
      <c r="S4326">
        <v>63.07</v>
      </c>
      <c r="T4326">
        <v>1</v>
      </c>
      <c r="U4326" s="1" t="s">
        <v>1174</v>
      </c>
      <c r="V4326" s="1"/>
      <c r="W4326">
        <v>210.21875</v>
      </c>
      <c r="X4326">
        <v>0</v>
      </c>
      <c r="Y4326">
        <v>90266</v>
      </c>
    </row>
    <row r="4327" spans="1:25" ht="15" hidden="1" customHeight="1" x14ac:dyDescent="0.25">
      <c r="A4327" s="1" t="s">
        <v>40</v>
      </c>
      <c r="B4327" s="1" t="s">
        <v>94</v>
      </c>
      <c r="C4327" s="1" t="s">
        <v>224</v>
      </c>
      <c r="D4327">
        <v>5465</v>
      </c>
      <c r="E4327" s="1"/>
      <c r="F4327" s="1" t="s">
        <v>224</v>
      </c>
      <c r="G4327" s="1" t="s">
        <v>224</v>
      </c>
      <c r="H4327" s="1" t="s">
        <v>1396</v>
      </c>
      <c r="I4327">
        <v>2015</v>
      </c>
      <c r="J4327" s="93">
        <v>33.06</v>
      </c>
      <c r="K4327">
        <v>5</v>
      </c>
      <c r="L4327" s="1" t="s">
        <v>421</v>
      </c>
      <c r="M4327">
        <v>0</v>
      </c>
      <c r="N4327">
        <v>1384</v>
      </c>
      <c r="O4327">
        <v>2.3885E-2</v>
      </c>
      <c r="P4327">
        <v>2</v>
      </c>
      <c r="Q4327" s="1" t="s">
        <v>569</v>
      </c>
      <c r="R4327" s="93">
        <v>33.06</v>
      </c>
      <c r="S4327">
        <v>9.91</v>
      </c>
      <c r="T4327">
        <v>1</v>
      </c>
      <c r="U4327" s="1" t="s">
        <v>1175</v>
      </c>
      <c r="V4327" s="1"/>
      <c r="W4327">
        <v>33.0625</v>
      </c>
      <c r="X4327">
        <v>0</v>
      </c>
      <c r="Y4327">
        <v>90265</v>
      </c>
    </row>
    <row r="4328" spans="1:25" ht="15" hidden="1" customHeight="1" x14ac:dyDescent="0.25">
      <c r="A4328" s="1" t="s">
        <v>40</v>
      </c>
      <c r="B4328" s="1" t="s">
        <v>94</v>
      </c>
      <c r="C4328" s="1" t="s">
        <v>224</v>
      </c>
      <c r="D4328">
        <v>5465</v>
      </c>
      <c r="E4328" s="1"/>
      <c r="F4328" s="1" t="s">
        <v>224</v>
      </c>
      <c r="G4328" s="1" t="s">
        <v>224</v>
      </c>
      <c r="H4328" s="1" t="s">
        <v>1396</v>
      </c>
      <c r="I4328">
        <v>2015</v>
      </c>
      <c r="J4328" s="93">
        <v>2466.16</v>
      </c>
      <c r="K4328">
        <v>5</v>
      </c>
      <c r="L4328" s="1" t="s">
        <v>421</v>
      </c>
      <c r="M4328">
        <v>0</v>
      </c>
      <c r="N4328">
        <v>1384</v>
      </c>
      <c r="O4328">
        <v>1.7817780000000001</v>
      </c>
      <c r="P4328">
        <v>2</v>
      </c>
      <c r="Q4328" s="1" t="s">
        <v>569</v>
      </c>
      <c r="R4328" s="93">
        <v>2466.16</v>
      </c>
      <c r="S4328">
        <v>739.85</v>
      </c>
      <c r="T4328">
        <v>1</v>
      </c>
      <c r="U4328" s="1" t="s">
        <v>1176</v>
      </c>
      <c r="V4328" s="1"/>
      <c r="W4328">
        <v>2466.15625</v>
      </c>
      <c r="X4328">
        <v>0</v>
      </c>
      <c r="Y4328">
        <v>90267</v>
      </c>
    </row>
    <row r="4329" spans="1:25" ht="15" hidden="1" customHeight="1" x14ac:dyDescent="0.25">
      <c r="A4329" s="1" t="s">
        <v>40</v>
      </c>
      <c r="B4329" s="1" t="s">
        <v>94</v>
      </c>
      <c r="C4329" s="1" t="s">
        <v>224</v>
      </c>
      <c r="D4329">
        <v>5465</v>
      </c>
      <c r="E4329" s="1"/>
      <c r="F4329" s="1" t="s">
        <v>224</v>
      </c>
      <c r="G4329" s="1" t="s">
        <v>224</v>
      </c>
      <c r="H4329" s="1" t="s">
        <v>1396</v>
      </c>
      <c r="I4329">
        <v>2015</v>
      </c>
      <c r="J4329" s="93">
        <v>4871.3999999999996</v>
      </c>
      <c r="K4329">
        <v>5</v>
      </c>
      <c r="L4329" s="1" t="s">
        <v>421</v>
      </c>
      <c r="M4329">
        <v>0</v>
      </c>
      <c r="N4329">
        <v>1384</v>
      </c>
      <c r="O4329">
        <v>3.5195430000000001</v>
      </c>
      <c r="P4329">
        <v>2</v>
      </c>
      <c r="Q4329" s="1" t="s">
        <v>569</v>
      </c>
      <c r="R4329" s="93">
        <v>4871.3999999999996</v>
      </c>
      <c r="S4329">
        <v>1461.42</v>
      </c>
      <c r="T4329">
        <v>1</v>
      </c>
      <c r="U4329" s="1" t="s">
        <v>1177</v>
      </c>
      <c r="V4329" s="1"/>
      <c r="W4329">
        <v>4871.4062599999997</v>
      </c>
      <c r="X4329">
        <v>0</v>
      </c>
      <c r="Y4329">
        <v>90268</v>
      </c>
    </row>
    <row r="4330" spans="1:25" ht="15" hidden="1" customHeight="1" x14ac:dyDescent="0.25">
      <c r="A4330" s="1" t="s">
        <v>40</v>
      </c>
      <c r="B4330" s="1" t="s">
        <v>94</v>
      </c>
      <c r="C4330" s="1" t="s">
        <v>224</v>
      </c>
      <c r="D4330">
        <v>5465</v>
      </c>
      <c r="E4330" s="1"/>
      <c r="F4330" s="1" t="s">
        <v>224</v>
      </c>
      <c r="G4330" s="1" t="s">
        <v>224</v>
      </c>
      <c r="H4330" s="1" t="s">
        <v>1396</v>
      </c>
      <c r="I4330">
        <v>2013</v>
      </c>
      <c r="J4330" s="93">
        <v>704.08</v>
      </c>
      <c r="K4330">
        <v>12</v>
      </c>
      <c r="L4330" s="1" t="s">
        <v>421</v>
      </c>
      <c r="M4330">
        <v>0</v>
      </c>
      <c r="N4330">
        <v>1384</v>
      </c>
      <c r="O4330">
        <v>0.508691</v>
      </c>
      <c r="P4330">
        <v>2</v>
      </c>
      <c r="Q4330" s="1" t="s">
        <v>569</v>
      </c>
      <c r="R4330" s="93">
        <v>704.08</v>
      </c>
      <c r="S4330">
        <v>211.21</v>
      </c>
      <c r="T4330">
        <v>1</v>
      </c>
      <c r="U4330" s="1" t="s">
        <v>1175</v>
      </c>
      <c r="V4330" s="1"/>
      <c r="W4330">
        <v>704.08825000000002</v>
      </c>
      <c r="X4330">
        <v>0</v>
      </c>
      <c r="Y4330">
        <v>90265</v>
      </c>
    </row>
    <row r="4331" spans="1:25" ht="15" hidden="1" customHeight="1" x14ac:dyDescent="0.25">
      <c r="A4331" s="1" t="s">
        <v>40</v>
      </c>
      <c r="B4331" s="1"/>
      <c r="C4331" s="1" t="s">
        <v>227</v>
      </c>
      <c r="D4331">
        <v>10276</v>
      </c>
      <c r="E4331" s="1"/>
      <c r="F4331" s="1" t="s">
        <v>367</v>
      </c>
      <c r="G4331" s="1" t="s">
        <v>227</v>
      </c>
      <c r="H4331" s="1" t="s">
        <v>1396</v>
      </c>
      <c r="I4331">
        <v>2015</v>
      </c>
      <c r="J4331" s="93">
        <v>1894.93</v>
      </c>
      <c r="K4331">
        <v>5</v>
      </c>
      <c r="L4331" s="1"/>
      <c r="M4331">
        <v>0</v>
      </c>
      <c r="N4331">
        <v>0</v>
      </c>
      <c r="O4331">
        <v>18949.3</v>
      </c>
      <c r="P4331">
        <v>2</v>
      </c>
      <c r="Q4331" s="1" t="s">
        <v>569</v>
      </c>
      <c r="R4331" s="93">
        <v>1894.93</v>
      </c>
      <c r="S4331">
        <v>888.73</v>
      </c>
      <c r="T4331">
        <v>0</v>
      </c>
      <c r="U4331" s="1"/>
      <c r="V4331" s="1"/>
      <c r="W4331">
        <v>1894.9163000000001</v>
      </c>
      <c r="X4331">
        <v>0</v>
      </c>
      <c r="Y4331">
        <v>90594</v>
      </c>
    </row>
    <row r="4332" spans="1:25" ht="15" hidden="1" customHeight="1" x14ac:dyDescent="0.25">
      <c r="A4332" s="1" t="s">
        <v>40</v>
      </c>
      <c r="B4332" s="1"/>
      <c r="C4332" s="1" t="s">
        <v>227</v>
      </c>
      <c r="D4332">
        <v>10276</v>
      </c>
      <c r="E4332" s="1"/>
      <c r="F4332" s="1" t="s">
        <v>367</v>
      </c>
      <c r="G4332" s="1" t="s">
        <v>227</v>
      </c>
      <c r="H4332" s="1" t="s">
        <v>1396</v>
      </c>
      <c r="I4332">
        <v>2013</v>
      </c>
      <c r="J4332" s="93">
        <v>2759.33</v>
      </c>
      <c r="K4332">
        <v>12</v>
      </c>
      <c r="L4332" s="1"/>
      <c r="M4332">
        <v>0</v>
      </c>
      <c r="N4332">
        <v>0</v>
      </c>
      <c r="O4332">
        <v>27593.3</v>
      </c>
      <c r="P4332">
        <v>2</v>
      </c>
      <c r="Q4332" s="1" t="s">
        <v>569</v>
      </c>
      <c r="R4332" s="93">
        <v>2759.33</v>
      </c>
      <c r="S4332">
        <v>1294.1099999999999</v>
      </c>
      <c r="T4332">
        <v>0</v>
      </c>
      <c r="U4332" s="1"/>
      <c r="V4332" s="1"/>
      <c r="W4332">
        <v>2759.3262</v>
      </c>
      <c r="X4332">
        <v>0</v>
      </c>
      <c r="Y4332">
        <v>90594</v>
      </c>
    </row>
    <row r="4333" spans="1:25" ht="15" hidden="1" customHeight="1" x14ac:dyDescent="0.25">
      <c r="A4333" s="1" t="s">
        <v>40</v>
      </c>
      <c r="B4333" s="1"/>
      <c r="C4333" s="1" t="s">
        <v>227</v>
      </c>
      <c r="D4333">
        <v>10276</v>
      </c>
      <c r="E4333" s="1"/>
      <c r="F4333" s="1" t="s">
        <v>367</v>
      </c>
      <c r="G4333" s="1" t="s">
        <v>227</v>
      </c>
      <c r="H4333" s="1" t="s">
        <v>1396</v>
      </c>
      <c r="I4333">
        <v>2012</v>
      </c>
      <c r="J4333" s="93">
        <v>5428.67</v>
      </c>
      <c r="K4333">
        <v>12</v>
      </c>
      <c r="L4333" s="1"/>
      <c r="M4333">
        <v>0</v>
      </c>
      <c r="N4333">
        <v>0</v>
      </c>
      <c r="O4333">
        <v>54286.7</v>
      </c>
      <c r="P4333">
        <v>2</v>
      </c>
      <c r="Q4333" s="1" t="s">
        <v>569</v>
      </c>
      <c r="R4333" s="93">
        <v>5428.67</v>
      </c>
      <c r="S4333">
        <v>2546.0500000000002</v>
      </c>
      <c r="T4333">
        <v>0</v>
      </c>
      <c r="U4333" s="1"/>
      <c r="V4333" s="1"/>
      <c r="W4333">
        <v>5428.6736000000001</v>
      </c>
      <c r="X4333">
        <v>0</v>
      </c>
      <c r="Y4333">
        <v>90594</v>
      </c>
    </row>
    <row r="4334" spans="1:25" ht="15" hidden="1" customHeight="1" x14ac:dyDescent="0.25">
      <c r="A4334" s="1" t="s">
        <v>40</v>
      </c>
      <c r="B4334" s="1"/>
      <c r="C4334" s="1" t="s">
        <v>227</v>
      </c>
      <c r="D4334">
        <v>10276</v>
      </c>
      <c r="E4334" s="1"/>
      <c r="F4334" s="1" t="s">
        <v>367</v>
      </c>
      <c r="G4334" s="1" t="s">
        <v>227</v>
      </c>
      <c r="H4334" s="1" t="s">
        <v>1396</v>
      </c>
      <c r="I4334">
        <v>2011</v>
      </c>
      <c r="J4334" s="93">
        <v>277.14999999999998</v>
      </c>
      <c r="K4334">
        <v>1</v>
      </c>
      <c r="L4334" s="1"/>
      <c r="M4334">
        <v>0</v>
      </c>
      <c r="N4334">
        <v>0</v>
      </c>
      <c r="O4334">
        <v>2771.5</v>
      </c>
      <c r="P4334">
        <v>2</v>
      </c>
      <c r="Q4334" s="1" t="s">
        <v>569</v>
      </c>
      <c r="R4334" s="93">
        <v>277.14999999999998</v>
      </c>
      <c r="S4334">
        <v>129.99</v>
      </c>
      <c r="T4334">
        <v>0</v>
      </c>
      <c r="U4334" s="1"/>
      <c r="V4334" s="1"/>
      <c r="W4334">
        <v>277.15370000000001</v>
      </c>
      <c r="X4334">
        <v>0</v>
      </c>
      <c r="Y4334">
        <v>90594</v>
      </c>
    </row>
    <row r="4335" spans="1:25" ht="15" hidden="1" customHeight="1" x14ac:dyDescent="0.25">
      <c r="A4335" s="1" t="s">
        <v>40</v>
      </c>
      <c r="B4335" s="1"/>
      <c r="C4335" s="1" t="s">
        <v>211</v>
      </c>
      <c r="D4335">
        <v>10277</v>
      </c>
      <c r="E4335" s="1"/>
      <c r="F4335" s="1" t="s">
        <v>349</v>
      </c>
      <c r="G4335" s="1" t="s">
        <v>211</v>
      </c>
      <c r="H4335" s="1" t="s">
        <v>1396</v>
      </c>
      <c r="I4335">
        <v>2015</v>
      </c>
      <c r="J4335" s="93">
        <v>4738.24</v>
      </c>
      <c r="K4335">
        <v>5</v>
      </c>
      <c r="L4335" s="1" t="s">
        <v>410</v>
      </c>
      <c r="M4335">
        <v>0</v>
      </c>
      <c r="N4335">
        <v>304</v>
      </c>
      <c r="O4335">
        <v>15.581189999999999</v>
      </c>
      <c r="P4335">
        <v>2</v>
      </c>
      <c r="Q4335" s="1" t="s">
        <v>569</v>
      </c>
      <c r="R4335" s="93">
        <v>4738.24</v>
      </c>
      <c r="S4335">
        <v>1421.47</v>
      </c>
      <c r="T4335">
        <v>0</v>
      </c>
      <c r="U4335" s="1" t="s">
        <v>1131</v>
      </c>
      <c r="V4335" s="1" t="s">
        <v>1349</v>
      </c>
      <c r="W4335">
        <v>4738.2349999999997</v>
      </c>
      <c r="X4335">
        <v>0</v>
      </c>
      <c r="Y4335">
        <v>77671</v>
      </c>
    </row>
    <row r="4336" spans="1:25" ht="15" hidden="1" customHeight="1" x14ac:dyDescent="0.25">
      <c r="A4336" s="1" t="s">
        <v>40</v>
      </c>
      <c r="B4336" s="1"/>
      <c r="C4336" s="1" t="s">
        <v>211</v>
      </c>
      <c r="D4336">
        <v>10277</v>
      </c>
      <c r="E4336" s="1"/>
      <c r="F4336" s="1" t="s">
        <v>349</v>
      </c>
      <c r="G4336" s="1" t="s">
        <v>211</v>
      </c>
      <c r="H4336" s="1" t="s">
        <v>1396</v>
      </c>
      <c r="I4336">
        <v>2013</v>
      </c>
      <c r="J4336" s="93">
        <v>5140.1400000000003</v>
      </c>
      <c r="K4336">
        <v>13</v>
      </c>
      <c r="L4336" s="1" t="s">
        <v>410</v>
      </c>
      <c r="M4336">
        <v>0</v>
      </c>
      <c r="N4336">
        <v>304</v>
      </c>
      <c r="O4336">
        <v>16.902795000000001</v>
      </c>
      <c r="P4336">
        <v>2</v>
      </c>
      <c r="Q4336" s="1" t="s">
        <v>569</v>
      </c>
      <c r="R4336" s="93">
        <v>5140.1400000000003</v>
      </c>
      <c r="S4336">
        <v>1542.05</v>
      </c>
      <c r="T4336">
        <v>0</v>
      </c>
      <c r="U4336" s="1" t="s">
        <v>1131</v>
      </c>
      <c r="V4336" s="1" t="s">
        <v>1349</v>
      </c>
      <c r="W4336">
        <v>5140.1309899999997</v>
      </c>
      <c r="X4336">
        <v>0</v>
      </c>
      <c r="Y4336">
        <v>77671</v>
      </c>
    </row>
    <row r="4337" spans="1:25" ht="15" hidden="1" customHeight="1" x14ac:dyDescent="0.25">
      <c r="A4337" s="1" t="s">
        <v>40</v>
      </c>
      <c r="B4337" s="1"/>
      <c r="C4337" s="1" t="s">
        <v>211</v>
      </c>
      <c r="D4337">
        <v>10277</v>
      </c>
      <c r="E4337" s="1"/>
      <c r="F4337" s="1" t="s">
        <v>349</v>
      </c>
      <c r="G4337" s="1" t="s">
        <v>211</v>
      </c>
      <c r="H4337" s="1" t="s">
        <v>1396</v>
      </c>
      <c r="I4337">
        <v>2012</v>
      </c>
      <c r="J4337" s="93">
        <v>13415.42</v>
      </c>
      <c r="K4337">
        <v>12</v>
      </c>
      <c r="L4337" s="1" t="s">
        <v>410</v>
      </c>
      <c r="M4337">
        <v>0</v>
      </c>
      <c r="N4337">
        <v>304</v>
      </c>
      <c r="O4337">
        <v>44.115158999999998</v>
      </c>
      <c r="P4337">
        <v>2</v>
      </c>
      <c r="Q4337" s="1" t="s">
        <v>569</v>
      </c>
      <c r="R4337" s="93">
        <v>13415.42</v>
      </c>
      <c r="S4337">
        <v>5366.09</v>
      </c>
      <c r="T4337">
        <v>0</v>
      </c>
      <c r="U4337" s="1" t="s">
        <v>1131</v>
      </c>
      <c r="V4337" s="1" t="s">
        <v>1349</v>
      </c>
      <c r="W4337">
        <v>13415.3791</v>
      </c>
      <c r="X4337">
        <v>0</v>
      </c>
      <c r="Y4337">
        <v>77671</v>
      </c>
    </row>
    <row r="4338" spans="1:25" ht="15" hidden="1" customHeight="1" x14ac:dyDescent="0.25">
      <c r="A4338" s="1" t="s">
        <v>40</v>
      </c>
      <c r="B4338" s="1"/>
      <c r="C4338" s="1" t="s">
        <v>211</v>
      </c>
      <c r="D4338">
        <v>10277</v>
      </c>
      <c r="E4338" s="1"/>
      <c r="F4338" s="1" t="s">
        <v>349</v>
      </c>
      <c r="G4338" s="1" t="s">
        <v>211</v>
      </c>
      <c r="H4338" s="1" t="s">
        <v>1396</v>
      </c>
      <c r="I4338">
        <v>2011</v>
      </c>
      <c r="J4338" s="93">
        <v>2556.14</v>
      </c>
      <c r="K4338">
        <v>3</v>
      </c>
      <c r="L4338" s="1" t="s">
        <v>410</v>
      </c>
      <c r="M4338">
        <v>0</v>
      </c>
      <c r="N4338">
        <v>304</v>
      </c>
      <c r="O4338">
        <v>8.4055900000000001</v>
      </c>
      <c r="P4338">
        <v>2</v>
      </c>
      <c r="Q4338" s="1" t="s">
        <v>569</v>
      </c>
      <c r="R4338" s="93">
        <v>2556.14</v>
      </c>
      <c r="S4338">
        <v>1198.8399999999999</v>
      </c>
      <c r="T4338">
        <v>0</v>
      </c>
      <c r="U4338" s="1" t="s">
        <v>1131</v>
      </c>
      <c r="V4338" s="1" t="s">
        <v>1349</v>
      </c>
      <c r="W4338">
        <v>2556.1228900000001</v>
      </c>
      <c r="X4338">
        <v>0</v>
      </c>
      <c r="Y4338">
        <v>77671</v>
      </c>
    </row>
    <row r="4339" spans="1:25" ht="15" hidden="1" customHeight="1" x14ac:dyDescent="0.25">
      <c r="A4339" s="1" t="s">
        <v>40</v>
      </c>
      <c r="B4339" s="1"/>
      <c r="C4339" s="1" t="s">
        <v>211</v>
      </c>
      <c r="D4339">
        <v>10277</v>
      </c>
      <c r="E4339" s="1"/>
      <c r="F4339" s="1" t="s">
        <v>349</v>
      </c>
      <c r="G4339" s="1" t="s">
        <v>211</v>
      </c>
      <c r="H4339" s="1" t="s">
        <v>1396</v>
      </c>
      <c r="I4339">
        <v>2010</v>
      </c>
      <c r="J4339" s="93">
        <v>3935.94</v>
      </c>
      <c r="K4339">
        <v>3</v>
      </c>
      <c r="L4339" s="1" t="s">
        <v>410</v>
      </c>
      <c r="M4339">
        <v>0</v>
      </c>
      <c r="N4339">
        <v>304</v>
      </c>
      <c r="O4339">
        <v>12.942913000000001</v>
      </c>
      <c r="P4339">
        <v>2</v>
      </c>
      <c r="Q4339" s="1" t="s">
        <v>569</v>
      </c>
      <c r="R4339" s="93">
        <v>3935.94</v>
      </c>
      <c r="S4339">
        <v>1845.96</v>
      </c>
      <c r="T4339">
        <v>0</v>
      </c>
      <c r="U4339" s="1" t="s">
        <v>1131</v>
      </c>
      <c r="V4339" s="1" t="s">
        <v>1349</v>
      </c>
      <c r="W4339">
        <v>3935.9627399999999</v>
      </c>
      <c r="X4339">
        <v>0</v>
      </c>
      <c r="Y4339">
        <v>77671</v>
      </c>
    </row>
    <row r="4340" spans="1:25" ht="15" hidden="1" customHeight="1" x14ac:dyDescent="0.25">
      <c r="A4340" s="1" t="s">
        <v>40</v>
      </c>
      <c r="B4340" s="1"/>
      <c r="C4340" s="1" t="s">
        <v>211</v>
      </c>
      <c r="D4340">
        <v>10277</v>
      </c>
      <c r="E4340" s="1"/>
      <c r="F4340" s="1" t="s">
        <v>349</v>
      </c>
      <c r="G4340" s="1" t="s">
        <v>211</v>
      </c>
      <c r="H4340" s="1" t="s">
        <v>1396</v>
      </c>
      <c r="I4340">
        <v>2009</v>
      </c>
      <c r="J4340" s="93">
        <v>4248.1099999999997</v>
      </c>
      <c r="K4340">
        <v>4</v>
      </c>
      <c r="L4340" s="1" t="s">
        <v>410</v>
      </c>
      <c r="M4340">
        <v>0</v>
      </c>
      <c r="N4340">
        <v>304</v>
      </c>
      <c r="O4340">
        <v>13.96945</v>
      </c>
      <c r="P4340">
        <v>2</v>
      </c>
      <c r="Q4340" s="1" t="s">
        <v>569</v>
      </c>
      <c r="R4340" s="93">
        <v>4248.1099999999997</v>
      </c>
      <c r="S4340">
        <v>1992.37</v>
      </c>
      <c r="T4340">
        <v>0</v>
      </c>
      <c r="U4340" s="1" t="s">
        <v>1131</v>
      </c>
      <c r="V4340" s="1" t="s">
        <v>1349</v>
      </c>
      <c r="W4340">
        <v>4248.1281499999996</v>
      </c>
      <c r="X4340">
        <v>0</v>
      </c>
      <c r="Y4340">
        <v>77671</v>
      </c>
    </row>
    <row r="4341" spans="1:25" ht="15" hidden="1" customHeight="1" x14ac:dyDescent="0.25">
      <c r="A4341" s="1" t="s">
        <v>40</v>
      </c>
      <c r="B4341" s="1"/>
      <c r="C4341" s="1" t="s">
        <v>211</v>
      </c>
      <c r="D4341">
        <v>10277</v>
      </c>
      <c r="E4341" s="1"/>
      <c r="F4341" s="1" t="s">
        <v>349</v>
      </c>
      <c r="G4341" s="1" t="s">
        <v>211</v>
      </c>
      <c r="H4341" s="1" t="s">
        <v>1396</v>
      </c>
      <c r="I4341">
        <v>2008</v>
      </c>
      <c r="J4341" s="93">
        <v>4419.3900000000003</v>
      </c>
      <c r="K4341">
        <v>4</v>
      </c>
      <c r="L4341" s="1" t="s">
        <v>410</v>
      </c>
      <c r="M4341">
        <v>0</v>
      </c>
      <c r="N4341">
        <v>304</v>
      </c>
      <c r="O4341">
        <v>14.532686</v>
      </c>
      <c r="P4341">
        <v>2</v>
      </c>
      <c r="Q4341" s="1" t="s">
        <v>569</v>
      </c>
      <c r="R4341" s="93">
        <v>4419.3900000000003</v>
      </c>
      <c r="S4341">
        <v>2072.7199999999998</v>
      </c>
      <c r="T4341">
        <v>0</v>
      </c>
      <c r="U4341" s="1" t="s">
        <v>1131</v>
      </c>
      <c r="V4341" s="1" t="s">
        <v>1349</v>
      </c>
      <c r="W4341">
        <v>4419.41795</v>
      </c>
      <c r="X4341">
        <v>0</v>
      </c>
      <c r="Y4341">
        <v>77671</v>
      </c>
    </row>
    <row r="4342" spans="1:25" ht="15" hidden="1" customHeight="1" x14ac:dyDescent="0.25">
      <c r="A4342" s="1" t="s">
        <v>40</v>
      </c>
      <c r="B4342" s="1" t="s">
        <v>85</v>
      </c>
      <c r="C4342" s="1" t="s">
        <v>212</v>
      </c>
      <c r="D4342">
        <v>13360</v>
      </c>
      <c r="E4342" s="1" t="s">
        <v>243</v>
      </c>
      <c r="F4342" s="1" t="s">
        <v>350</v>
      </c>
      <c r="G4342" s="1" t="s">
        <v>212</v>
      </c>
      <c r="H4342" s="1" t="s">
        <v>1396</v>
      </c>
      <c r="I4342">
        <v>2015</v>
      </c>
      <c r="J4342" s="93">
        <v>11046.88</v>
      </c>
      <c r="K4342">
        <v>5</v>
      </c>
      <c r="L4342" s="1" t="s">
        <v>552</v>
      </c>
      <c r="M4342">
        <v>0</v>
      </c>
      <c r="N4342">
        <v>317</v>
      </c>
      <c r="O4342">
        <v>34.837212000000001</v>
      </c>
      <c r="P4342">
        <v>2</v>
      </c>
      <c r="Q4342" s="1" t="s">
        <v>569</v>
      </c>
      <c r="R4342" s="93">
        <v>11046.88</v>
      </c>
      <c r="S4342">
        <v>3314.07</v>
      </c>
      <c r="T4342">
        <v>0</v>
      </c>
      <c r="U4342" s="1" t="s">
        <v>1132</v>
      </c>
      <c r="V4342" s="1"/>
      <c r="W4342">
        <v>11046.882</v>
      </c>
      <c r="X4342">
        <v>0</v>
      </c>
      <c r="Y4342">
        <v>91052</v>
      </c>
    </row>
    <row r="4343" spans="1:25" ht="15" hidden="1" customHeight="1" x14ac:dyDescent="0.25">
      <c r="A4343" s="1" t="s">
        <v>40</v>
      </c>
      <c r="B4343" s="1" t="s">
        <v>85</v>
      </c>
      <c r="C4343" s="1" t="s">
        <v>212</v>
      </c>
      <c r="D4343">
        <v>13360</v>
      </c>
      <c r="E4343" s="1" t="s">
        <v>243</v>
      </c>
      <c r="F4343" s="1" t="s">
        <v>350</v>
      </c>
      <c r="G4343" s="1" t="s">
        <v>212</v>
      </c>
      <c r="H4343" s="1" t="s">
        <v>1396</v>
      </c>
      <c r="I4343">
        <v>2013</v>
      </c>
      <c r="J4343" s="93">
        <v>25328.19</v>
      </c>
      <c r="K4343">
        <v>12</v>
      </c>
      <c r="L4343" s="1" t="s">
        <v>552</v>
      </c>
      <c r="M4343">
        <v>0</v>
      </c>
      <c r="N4343">
        <v>317</v>
      </c>
      <c r="O4343">
        <v>79.874455999999995</v>
      </c>
      <c r="P4343">
        <v>2</v>
      </c>
      <c r="Q4343" s="1" t="s">
        <v>569</v>
      </c>
      <c r="R4343" s="93">
        <v>25328.19</v>
      </c>
      <c r="S4343">
        <v>7598.46</v>
      </c>
      <c r="T4343">
        <v>0</v>
      </c>
      <c r="U4343" s="1" t="s">
        <v>1132</v>
      </c>
      <c r="V4343" s="1"/>
      <c r="W4343">
        <v>25328.194</v>
      </c>
      <c r="X4343">
        <v>0</v>
      </c>
      <c r="Y4343">
        <v>91052</v>
      </c>
    </row>
    <row r="4344" spans="1:25" ht="15" hidden="1" customHeight="1" x14ac:dyDescent="0.25">
      <c r="A4344" s="1" t="s">
        <v>40</v>
      </c>
      <c r="B4344" s="1" t="s">
        <v>85</v>
      </c>
      <c r="C4344" s="1" t="s">
        <v>212</v>
      </c>
      <c r="D4344">
        <v>13360</v>
      </c>
      <c r="E4344" s="1" t="s">
        <v>243</v>
      </c>
      <c r="F4344" s="1" t="s">
        <v>350</v>
      </c>
      <c r="G4344" s="1" t="s">
        <v>212</v>
      </c>
      <c r="H4344" s="1" t="s">
        <v>1396</v>
      </c>
      <c r="I4344">
        <v>2012</v>
      </c>
      <c r="J4344" s="93">
        <v>22467.32</v>
      </c>
      <c r="K4344">
        <v>13</v>
      </c>
      <c r="L4344" s="1" t="s">
        <v>552</v>
      </c>
      <c r="M4344">
        <v>0</v>
      </c>
      <c r="N4344">
        <v>317</v>
      </c>
      <c r="O4344">
        <v>70.852474999999998</v>
      </c>
      <c r="P4344">
        <v>2</v>
      </c>
      <c r="Q4344" s="1" t="s">
        <v>569</v>
      </c>
      <c r="R4344" s="93">
        <v>22467.32</v>
      </c>
      <c r="S4344">
        <v>8986.9500000000007</v>
      </c>
      <c r="T4344">
        <v>0</v>
      </c>
      <c r="U4344" s="1" t="s">
        <v>1132</v>
      </c>
      <c r="V4344" s="1"/>
      <c r="W4344">
        <v>22467.348999999998</v>
      </c>
      <c r="X4344">
        <v>0</v>
      </c>
      <c r="Y4344">
        <v>91052</v>
      </c>
    </row>
    <row r="4345" spans="1:25" ht="15" hidden="1" customHeight="1" x14ac:dyDescent="0.25">
      <c r="A4345" s="1" t="s">
        <v>40</v>
      </c>
      <c r="B4345" s="1" t="s">
        <v>85</v>
      </c>
      <c r="C4345" s="1" t="s">
        <v>212</v>
      </c>
      <c r="D4345">
        <v>13360</v>
      </c>
      <c r="E4345" s="1" t="s">
        <v>243</v>
      </c>
      <c r="F4345" s="1" t="s">
        <v>350</v>
      </c>
      <c r="G4345" s="1" t="s">
        <v>212</v>
      </c>
      <c r="H4345" s="1" t="s">
        <v>1396</v>
      </c>
      <c r="I4345">
        <v>2012</v>
      </c>
      <c r="J4345" s="93">
        <v>2127.21</v>
      </c>
      <c r="K4345">
        <v>2</v>
      </c>
      <c r="L4345" s="1" t="s">
        <v>553</v>
      </c>
      <c r="M4345">
        <v>0</v>
      </c>
      <c r="N4345">
        <v>317</v>
      </c>
      <c r="O4345">
        <v>6.7083250000000003</v>
      </c>
      <c r="P4345">
        <v>2</v>
      </c>
      <c r="Q4345" s="1" t="s">
        <v>569</v>
      </c>
      <c r="R4345" s="93">
        <v>2127.21</v>
      </c>
      <c r="S4345">
        <v>850.89</v>
      </c>
      <c r="T4345">
        <v>0</v>
      </c>
      <c r="U4345" s="1" t="s">
        <v>810</v>
      </c>
      <c r="V4345" s="1" t="s">
        <v>1350</v>
      </c>
      <c r="W4345">
        <v>2127.2142899999999</v>
      </c>
      <c r="X4345">
        <v>0</v>
      </c>
      <c r="Y4345">
        <v>89449</v>
      </c>
    </row>
    <row r="4346" spans="1:25" ht="15" hidden="1" customHeight="1" x14ac:dyDescent="0.25">
      <c r="A4346" s="1" t="s">
        <v>40</v>
      </c>
      <c r="B4346" s="1" t="s">
        <v>85</v>
      </c>
      <c r="C4346" s="1" t="s">
        <v>212</v>
      </c>
      <c r="D4346">
        <v>13360</v>
      </c>
      <c r="E4346" s="1" t="s">
        <v>243</v>
      </c>
      <c r="F4346" s="1" t="s">
        <v>350</v>
      </c>
      <c r="G4346" s="1" t="s">
        <v>212</v>
      </c>
      <c r="H4346" s="1" t="s">
        <v>1396</v>
      </c>
      <c r="I4346">
        <v>2011</v>
      </c>
      <c r="J4346" s="93">
        <v>27121.77</v>
      </c>
      <c r="K4346">
        <v>4</v>
      </c>
      <c r="L4346" s="1" t="s">
        <v>553</v>
      </c>
      <c r="M4346">
        <v>0</v>
      </c>
      <c r="N4346">
        <v>317</v>
      </c>
      <c r="O4346">
        <v>85.530652000000003</v>
      </c>
      <c r="P4346">
        <v>2</v>
      </c>
      <c r="Q4346" s="1" t="s">
        <v>569</v>
      </c>
      <c r="R4346" s="93">
        <v>27121.77</v>
      </c>
      <c r="S4346">
        <v>12720.11</v>
      </c>
      <c r="T4346">
        <v>0</v>
      </c>
      <c r="U4346" s="1" t="s">
        <v>810</v>
      </c>
      <c r="V4346" s="1" t="s">
        <v>1350</v>
      </c>
      <c r="W4346">
        <v>27121.766540000001</v>
      </c>
      <c r="X4346">
        <v>0</v>
      </c>
      <c r="Y4346">
        <v>89449</v>
      </c>
    </row>
    <row r="4347" spans="1:25" ht="15" hidden="1" customHeight="1" x14ac:dyDescent="0.25">
      <c r="A4347" s="1" t="s">
        <v>40</v>
      </c>
      <c r="B4347" s="1" t="s">
        <v>85</v>
      </c>
      <c r="C4347" s="1" t="s">
        <v>212</v>
      </c>
      <c r="D4347">
        <v>13360</v>
      </c>
      <c r="E4347" s="1" t="s">
        <v>243</v>
      </c>
      <c r="F4347" s="1" t="s">
        <v>350</v>
      </c>
      <c r="G4347" s="1" t="s">
        <v>212</v>
      </c>
      <c r="H4347" s="1" t="s">
        <v>1396</v>
      </c>
      <c r="I4347">
        <v>2010</v>
      </c>
      <c r="J4347" s="93">
        <v>25069.89</v>
      </c>
      <c r="K4347">
        <v>1</v>
      </c>
      <c r="L4347" s="1" t="s">
        <v>553</v>
      </c>
      <c r="M4347">
        <v>0</v>
      </c>
      <c r="N4347">
        <v>317</v>
      </c>
      <c r="O4347">
        <v>79.059886000000006</v>
      </c>
      <c r="P4347">
        <v>2</v>
      </c>
      <c r="Q4347" s="1" t="s">
        <v>569</v>
      </c>
      <c r="R4347" s="93">
        <v>25069.89</v>
      </c>
      <c r="S4347">
        <v>11757.76</v>
      </c>
      <c r="T4347">
        <v>0</v>
      </c>
      <c r="U4347" s="1" t="s">
        <v>810</v>
      </c>
      <c r="V4347" s="1" t="s">
        <v>1350</v>
      </c>
      <c r="W4347">
        <v>25069.857540000001</v>
      </c>
      <c r="X4347">
        <v>0</v>
      </c>
      <c r="Y4347">
        <v>89449</v>
      </c>
    </row>
    <row r="4348" spans="1:25" ht="15" hidden="1" customHeight="1" x14ac:dyDescent="0.25">
      <c r="A4348" s="1" t="s">
        <v>40</v>
      </c>
      <c r="B4348" s="1" t="s">
        <v>85</v>
      </c>
      <c r="C4348" s="1" t="s">
        <v>212</v>
      </c>
      <c r="D4348">
        <v>13360</v>
      </c>
      <c r="E4348" s="1" t="s">
        <v>243</v>
      </c>
      <c r="F4348" s="1" t="s">
        <v>350</v>
      </c>
      <c r="G4348" s="1" t="s">
        <v>212</v>
      </c>
      <c r="H4348" s="1" t="s">
        <v>1396</v>
      </c>
      <c r="I4348">
        <v>2009</v>
      </c>
      <c r="J4348" s="93">
        <v>21356.92</v>
      </c>
      <c r="K4348">
        <v>1</v>
      </c>
      <c r="L4348" s="1" t="s">
        <v>553</v>
      </c>
      <c r="M4348">
        <v>0</v>
      </c>
      <c r="N4348">
        <v>317</v>
      </c>
      <c r="O4348">
        <v>67.350740999999999</v>
      </c>
      <c r="P4348">
        <v>2</v>
      </c>
      <c r="Q4348" s="1" t="s">
        <v>569</v>
      </c>
      <c r="R4348" s="93">
        <v>21356.92</v>
      </c>
      <c r="S4348">
        <v>10016.4</v>
      </c>
      <c r="T4348">
        <v>0</v>
      </c>
      <c r="U4348" s="1" t="s">
        <v>810</v>
      </c>
      <c r="V4348" s="1" t="s">
        <v>1350</v>
      </c>
      <c r="W4348">
        <v>21356.91576</v>
      </c>
      <c r="X4348">
        <v>0</v>
      </c>
      <c r="Y4348">
        <v>89449</v>
      </c>
    </row>
    <row r="4349" spans="1:25" ht="15" hidden="1" customHeight="1" x14ac:dyDescent="0.25">
      <c r="A4349" s="1" t="s">
        <v>40</v>
      </c>
      <c r="B4349" s="1" t="s">
        <v>85</v>
      </c>
      <c r="C4349" s="1" t="s">
        <v>212</v>
      </c>
      <c r="D4349">
        <v>13360</v>
      </c>
      <c r="E4349" s="1" t="s">
        <v>243</v>
      </c>
      <c r="F4349" s="1" t="s">
        <v>350</v>
      </c>
      <c r="G4349" s="1" t="s">
        <v>212</v>
      </c>
      <c r="H4349" s="1" t="s">
        <v>1396</v>
      </c>
      <c r="I4349">
        <v>2008</v>
      </c>
      <c r="J4349" s="93">
        <v>25727.79</v>
      </c>
      <c r="K4349">
        <v>1</v>
      </c>
      <c r="L4349" s="1" t="s">
        <v>553</v>
      </c>
      <c r="M4349">
        <v>0</v>
      </c>
      <c r="N4349">
        <v>317</v>
      </c>
      <c r="O4349">
        <v>81.134625999999997</v>
      </c>
      <c r="P4349">
        <v>2</v>
      </c>
      <c r="Q4349" s="1" t="s">
        <v>569</v>
      </c>
      <c r="R4349" s="93">
        <v>25727.79</v>
      </c>
      <c r="S4349">
        <v>12066.3</v>
      </c>
      <c r="T4349">
        <v>0</v>
      </c>
      <c r="U4349" s="1" t="s">
        <v>810</v>
      </c>
      <c r="V4349" s="1" t="s">
        <v>1350</v>
      </c>
      <c r="W4349">
        <v>25727.788359999999</v>
      </c>
      <c r="X4349">
        <v>0</v>
      </c>
      <c r="Y4349">
        <v>89449</v>
      </c>
    </row>
    <row r="4350" spans="1:25" ht="15" hidden="1" customHeight="1" x14ac:dyDescent="0.25">
      <c r="A4350" s="1" t="s">
        <v>40</v>
      </c>
      <c r="B4350" s="1" t="s">
        <v>97</v>
      </c>
      <c r="C4350" s="1" t="s">
        <v>242</v>
      </c>
      <c r="D4350">
        <v>13512</v>
      </c>
      <c r="E4350" s="1" t="s">
        <v>243</v>
      </c>
      <c r="F4350" s="1" t="s">
        <v>392</v>
      </c>
      <c r="G4350" s="1" t="s">
        <v>242</v>
      </c>
      <c r="H4350" s="1" t="s">
        <v>1396</v>
      </c>
      <c r="I4350">
        <v>2013</v>
      </c>
      <c r="J4350" s="93">
        <v>2515.34</v>
      </c>
      <c r="K4350">
        <v>5</v>
      </c>
      <c r="L4350" s="1" t="s">
        <v>556</v>
      </c>
      <c r="M4350">
        <v>0</v>
      </c>
      <c r="N4350">
        <v>1</v>
      </c>
      <c r="O4350">
        <v>2286.6727270000001</v>
      </c>
      <c r="P4350">
        <v>2</v>
      </c>
      <c r="Q4350" s="1" t="s">
        <v>569</v>
      </c>
      <c r="R4350" s="93">
        <v>2515.34</v>
      </c>
      <c r="S4350">
        <v>754.62</v>
      </c>
      <c r="T4350">
        <v>0</v>
      </c>
      <c r="U4350" s="1" t="s">
        <v>1159</v>
      </c>
      <c r="V4350" s="1" t="s">
        <v>1354</v>
      </c>
      <c r="W4350">
        <v>2515.3387299999999</v>
      </c>
      <c r="X4350">
        <v>0</v>
      </c>
      <c r="Y4350">
        <v>90398</v>
      </c>
    </row>
    <row r="4351" spans="1:25" ht="15" hidden="1" customHeight="1" x14ac:dyDescent="0.25">
      <c r="A4351" s="1" t="s">
        <v>40</v>
      </c>
      <c r="B4351" s="1" t="s">
        <v>97</v>
      </c>
      <c r="C4351" s="1" t="s">
        <v>242</v>
      </c>
      <c r="D4351">
        <v>13512</v>
      </c>
      <c r="E4351" s="1" t="s">
        <v>243</v>
      </c>
      <c r="F4351" s="1" t="s">
        <v>392</v>
      </c>
      <c r="G4351" s="1" t="s">
        <v>242</v>
      </c>
      <c r="H4351" s="1" t="s">
        <v>1396</v>
      </c>
      <c r="I4351">
        <v>2012</v>
      </c>
      <c r="J4351" s="93">
        <v>2619.65</v>
      </c>
      <c r="K4351">
        <v>2</v>
      </c>
      <c r="L4351" s="1" t="s">
        <v>556</v>
      </c>
      <c r="M4351">
        <v>0</v>
      </c>
      <c r="N4351">
        <v>1</v>
      </c>
      <c r="O4351">
        <v>2381.5</v>
      </c>
      <c r="P4351">
        <v>2</v>
      </c>
      <c r="Q4351" s="1" t="s">
        <v>569</v>
      </c>
      <c r="R4351" s="93">
        <v>2619.65</v>
      </c>
      <c r="S4351">
        <v>1047.8499999999999</v>
      </c>
      <c r="T4351">
        <v>0</v>
      </c>
      <c r="U4351" s="1" t="s">
        <v>1159</v>
      </c>
      <c r="V4351" s="1" t="s">
        <v>1354</v>
      </c>
      <c r="W4351">
        <v>2619.63553</v>
      </c>
      <c r="X4351">
        <v>0</v>
      </c>
      <c r="Y4351">
        <v>90398</v>
      </c>
    </row>
    <row r="4352" spans="1:25" ht="15" hidden="1" customHeight="1" x14ac:dyDescent="0.25">
      <c r="A4352" s="1" t="s">
        <v>40</v>
      </c>
      <c r="B4352" s="1" t="s">
        <v>97</v>
      </c>
      <c r="C4352" s="1" t="s">
        <v>242</v>
      </c>
      <c r="D4352">
        <v>13512</v>
      </c>
      <c r="E4352" s="1" t="s">
        <v>243</v>
      </c>
      <c r="F4352" s="1" t="s">
        <v>392</v>
      </c>
      <c r="G4352" s="1" t="s">
        <v>242</v>
      </c>
      <c r="H4352" s="1" t="s">
        <v>1396</v>
      </c>
      <c r="I4352">
        <v>2011</v>
      </c>
      <c r="J4352" s="93">
        <v>2872.78</v>
      </c>
      <c r="K4352">
        <v>1</v>
      </c>
      <c r="L4352" s="1" t="s">
        <v>556</v>
      </c>
      <c r="M4352">
        <v>0</v>
      </c>
      <c r="N4352">
        <v>1</v>
      </c>
      <c r="O4352">
        <v>2611.6181809999998</v>
      </c>
      <c r="P4352">
        <v>2</v>
      </c>
      <c r="Q4352" s="1" t="s">
        <v>569</v>
      </c>
      <c r="R4352" s="93">
        <v>2872.78</v>
      </c>
      <c r="S4352">
        <v>1347.34</v>
      </c>
      <c r="T4352">
        <v>0</v>
      </c>
      <c r="U4352" s="1" t="s">
        <v>1159</v>
      </c>
      <c r="V4352" s="1" t="s">
        <v>1354</v>
      </c>
      <c r="W4352">
        <v>2872.7587600000002</v>
      </c>
      <c r="X4352">
        <v>0</v>
      </c>
      <c r="Y4352">
        <v>90398</v>
      </c>
    </row>
    <row r="4353" spans="1:25" ht="15" hidden="1" customHeight="1" x14ac:dyDescent="0.25">
      <c r="A4353" s="1" t="s">
        <v>40</v>
      </c>
      <c r="B4353" s="1" t="s">
        <v>97</v>
      </c>
      <c r="C4353" s="1" t="s">
        <v>242</v>
      </c>
      <c r="D4353">
        <v>13512</v>
      </c>
      <c r="E4353" s="1" t="s">
        <v>243</v>
      </c>
      <c r="F4353" s="1" t="s">
        <v>392</v>
      </c>
      <c r="G4353" s="1" t="s">
        <v>242</v>
      </c>
      <c r="H4353" s="1" t="s">
        <v>1396</v>
      </c>
      <c r="I4353">
        <v>2010</v>
      </c>
      <c r="J4353" s="93">
        <v>2810.63</v>
      </c>
      <c r="K4353">
        <v>1</v>
      </c>
      <c r="L4353" s="1" t="s">
        <v>556</v>
      </c>
      <c r="M4353">
        <v>0</v>
      </c>
      <c r="N4353">
        <v>1</v>
      </c>
      <c r="O4353">
        <v>2555.1181809999998</v>
      </c>
      <c r="P4353">
        <v>2</v>
      </c>
      <c r="Q4353" s="1" t="s">
        <v>569</v>
      </c>
      <c r="R4353" s="93">
        <v>2810.63</v>
      </c>
      <c r="S4353">
        <v>1318.2</v>
      </c>
      <c r="T4353">
        <v>0</v>
      </c>
      <c r="U4353" s="1" t="s">
        <v>1159</v>
      </c>
      <c r="V4353" s="1" t="s">
        <v>1354</v>
      </c>
      <c r="W4353">
        <v>2810.6495</v>
      </c>
      <c r="X4353">
        <v>0</v>
      </c>
      <c r="Y4353">
        <v>90398</v>
      </c>
    </row>
    <row r="4354" spans="1:25" ht="15" hidden="1" customHeight="1" x14ac:dyDescent="0.25">
      <c r="A4354" s="1" t="s">
        <v>40</v>
      </c>
      <c r="B4354" s="1" t="s">
        <v>97</v>
      </c>
      <c r="C4354" s="1" t="s">
        <v>242</v>
      </c>
      <c r="D4354">
        <v>13512</v>
      </c>
      <c r="E4354" s="1" t="s">
        <v>243</v>
      </c>
      <c r="F4354" s="1" t="s">
        <v>392</v>
      </c>
      <c r="G4354" s="1" t="s">
        <v>242</v>
      </c>
      <c r="H4354" s="1" t="s">
        <v>1396</v>
      </c>
      <c r="I4354">
        <v>2009</v>
      </c>
      <c r="J4354" s="93">
        <v>2709.45</v>
      </c>
      <c r="K4354">
        <v>1</v>
      </c>
      <c r="L4354" s="1" t="s">
        <v>556</v>
      </c>
      <c r="M4354">
        <v>0</v>
      </c>
      <c r="N4354">
        <v>1</v>
      </c>
      <c r="O4354">
        <v>2463.1363630000001</v>
      </c>
      <c r="P4354">
        <v>2</v>
      </c>
      <c r="Q4354" s="1" t="s">
        <v>569</v>
      </c>
      <c r="R4354" s="93">
        <v>2709.45</v>
      </c>
      <c r="S4354">
        <v>1270.76</v>
      </c>
      <c r="T4354">
        <v>0</v>
      </c>
      <c r="U4354" s="1" t="s">
        <v>1159</v>
      </c>
      <c r="V4354" s="1" t="s">
        <v>1354</v>
      </c>
      <c r="W4354">
        <v>2709.4533299999998</v>
      </c>
      <c r="X4354">
        <v>0</v>
      </c>
      <c r="Y4354">
        <v>90398</v>
      </c>
    </row>
    <row r="4355" spans="1:25" ht="15" hidden="1" customHeight="1" x14ac:dyDescent="0.25">
      <c r="A4355" s="1" t="s">
        <v>40</v>
      </c>
      <c r="B4355" s="1" t="s">
        <v>97</v>
      </c>
      <c r="C4355" s="1" t="s">
        <v>242</v>
      </c>
      <c r="D4355">
        <v>13512</v>
      </c>
      <c r="E4355" s="1" t="s">
        <v>243</v>
      </c>
      <c r="F4355" s="1" t="s">
        <v>392</v>
      </c>
      <c r="G4355" s="1" t="s">
        <v>242</v>
      </c>
      <c r="H4355" s="1" t="s">
        <v>1396</v>
      </c>
      <c r="I4355">
        <v>2008</v>
      </c>
      <c r="J4355" s="93">
        <v>2207.4499999999998</v>
      </c>
      <c r="K4355">
        <v>1</v>
      </c>
      <c r="L4355" s="1" t="s">
        <v>556</v>
      </c>
      <c r="M4355">
        <v>0</v>
      </c>
      <c r="N4355">
        <v>1</v>
      </c>
      <c r="O4355">
        <v>2006.772727</v>
      </c>
      <c r="P4355">
        <v>2</v>
      </c>
      <c r="Q4355" s="1" t="s">
        <v>569</v>
      </c>
      <c r="R4355" s="93">
        <v>2207.4499999999998</v>
      </c>
      <c r="S4355">
        <v>1035.31</v>
      </c>
      <c r="T4355">
        <v>0</v>
      </c>
      <c r="U4355" s="1" t="s">
        <v>1159</v>
      </c>
      <c r="V4355" s="1" t="s">
        <v>1354</v>
      </c>
      <c r="W4355">
        <v>2207.44841</v>
      </c>
      <c r="X4355">
        <v>0</v>
      </c>
      <c r="Y4355">
        <v>90398</v>
      </c>
    </row>
    <row r="4356" spans="1:25" ht="15" hidden="1" customHeight="1" x14ac:dyDescent="0.25">
      <c r="A4356" s="1" t="s">
        <v>40</v>
      </c>
      <c r="B4356" s="1"/>
      <c r="C4356" s="1" t="s">
        <v>218</v>
      </c>
      <c r="D4356">
        <v>11035</v>
      </c>
      <c r="E4356" s="1"/>
      <c r="F4356" s="1" t="s">
        <v>353</v>
      </c>
      <c r="G4356" s="1" t="s">
        <v>218</v>
      </c>
      <c r="H4356" s="1" t="s">
        <v>1396</v>
      </c>
      <c r="I4356">
        <v>2015</v>
      </c>
      <c r="J4356" s="93">
        <v>1034.1400000000001</v>
      </c>
      <c r="K4356">
        <v>5</v>
      </c>
      <c r="L4356" s="1" t="s">
        <v>459</v>
      </c>
      <c r="M4356">
        <v>0</v>
      </c>
      <c r="N4356">
        <v>225</v>
      </c>
      <c r="O4356">
        <v>4.5941349999999996</v>
      </c>
      <c r="P4356">
        <v>2</v>
      </c>
      <c r="Q4356" s="1" t="s">
        <v>569</v>
      </c>
      <c r="R4356" s="93">
        <v>1034.1400000000001</v>
      </c>
      <c r="S4356">
        <v>310.25</v>
      </c>
      <c r="T4356">
        <v>0</v>
      </c>
      <c r="U4356" s="1" t="s">
        <v>1162</v>
      </c>
      <c r="V4356" s="1" t="s">
        <v>1351</v>
      </c>
      <c r="W4356">
        <v>1034.146</v>
      </c>
      <c r="X4356">
        <v>0</v>
      </c>
      <c r="Y4356">
        <v>79962</v>
      </c>
    </row>
    <row r="4357" spans="1:25" ht="15" hidden="1" customHeight="1" x14ac:dyDescent="0.25">
      <c r="A4357" s="1" t="s">
        <v>40</v>
      </c>
      <c r="B4357" s="1"/>
      <c r="C4357" s="1" t="s">
        <v>218</v>
      </c>
      <c r="D4357">
        <v>11035</v>
      </c>
      <c r="E4357" s="1"/>
      <c r="F4357" s="1" t="s">
        <v>353</v>
      </c>
      <c r="G4357" s="1" t="s">
        <v>218</v>
      </c>
      <c r="H4357" s="1" t="s">
        <v>1396</v>
      </c>
      <c r="I4357">
        <v>2013</v>
      </c>
      <c r="J4357" s="93">
        <v>3306</v>
      </c>
      <c r="K4357">
        <v>12</v>
      </c>
      <c r="L4357" s="1" t="s">
        <v>459</v>
      </c>
      <c r="M4357">
        <v>0</v>
      </c>
      <c r="N4357">
        <v>225</v>
      </c>
      <c r="O4357">
        <v>14.686805</v>
      </c>
      <c r="P4357">
        <v>2</v>
      </c>
      <c r="Q4357" s="1" t="s">
        <v>569</v>
      </c>
      <c r="R4357" s="93">
        <v>3306</v>
      </c>
      <c r="S4357">
        <v>991.81</v>
      </c>
      <c r="T4357">
        <v>0</v>
      </c>
      <c r="U4357" s="1" t="s">
        <v>1162</v>
      </c>
      <c r="V4357" s="1" t="s">
        <v>1351</v>
      </c>
      <c r="W4357">
        <v>3305.9933000000001</v>
      </c>
      <c r="X4357">
        <v>0</v>
      </c>
      <c r="Y4357">
        <v>79962</v>
      </c>
    </row>
    <row r="4358" spans="1:25" ht="15" hidden="1" customHeight="1" x14ac:dyDescent="0.25">
      <c r="A4358" s="1" t="s">
        <v>40</v>
      </c>
      <c r="B4358" s="1"/>
      <c r="C4358" s="1" t="s">
        <v>218</v>
      </c>
      <c r="D4358">
        <v>11035</v>
      </c>
      <c r="E4358" s="1"/>
      <c r="F4358" s="1" t="s">
        <v>353</v>
      </c>
      <c r="G4358" s="1" t="s">
        <v>218</v>
      </c>
      <c r="H4358" s="1" t="s">
        <v>1396</v>
      </c>
      <c r="I4358">
        <v>2012</v>
      </c>
      <c r="J4358" s="93">
        <v>3597.62</v>
      </c>
      <c r="K4358">
        <v>13</v>
      </c>
      <c r="L4358" s="1" t="s">
        <v>459</v>
      </c>
      <c r="M4358">
        <v>0</v>
      </c>
      <c r="N4358">
        <v>225</v>
      </c>
      <c r="O4358">
        <v>15.982317999999999</v>
      </c>
      <c r="P4358">
        <v>2</v>
      </c>
      <c r="Q4358" s="1" t="s">
        <v>569</v>
      </c>
      <c r="R4358" s="93">
        <v>3597.62</v>
      </c>
      <c r="S4358">
        <v>1439.05</v>
      </c>
      <c r="T4358">
        <v>0</v>
      </c>
      <c r="U4358" s="1" t="s">
        <v>1162</v>
      </c>
      <c r="V4358" s="1" t="s">
        <v>1351</v>
      </c>
      <c r="W4358">
        <v>3597.6420499999999</v>
      </c>
      <c r="X4358">
        <v>0</v>
      </c>
      <c r="Y4358">
        <v>79962</v>
      </c>
    </row>
    <row r="4359" spans="1:25" ht="15" hidden="1" customHeight="1" x14ac:dyDescent="0.25">
      <c r="A4359" s="1" t="s">
        <v>40</v>
      </c>
      <c r="B4359" s="1"/>
      <c r="C4359" s="1" t="s">
        <v>218</v>
      </c>
      <c r="D4359">
        <v>11035</v>
      </c>
      <c r="E4359" s="1"/>
      <c r="F4359" s="1" t="s">
        <v>353</v>
      </c>
      <c r="G4359" s="1" t="s">
        <v>218</v>
      </c>
      <c r="H4359" s="1" t="s">
        <v>1396</v>
      </c>
      <c r="I4359">
        <v>2011</v>
      </c>
      <c r="J4359" s="93">
        <v>8019.74</v>
      </c>
      <c r="K4359">
        <v>6</v>
      </c>
      <c r="L4359" s="1" t="s">
        <v>459</v>
      </c>
      <c r="M4359">
        <v>0</v>
      </c>
      <c r="N4359">
        <v>225</v>
      </c>
      <c r="O4359">
        <v>35.627454</v>
      </c>
      <c r="P4359">
        <v>2</v>
      </c>
      <c r="Q4359" s="1" t="s">
        <v>569</v>
      </c>
      <c r="R4359" s="93">
        <v>8019.74</v>
      </c>
      <c r="S4359">
        <v>3761.25</v>
      </c>
      <c r="T4359">
        <v>0</v>
      </c>
      <c r="U4359" s="1" t="s">
        <v>1162</v>
      </c>
      <c r="V4359" s="1" t="s">
        <v>1351</v>
      </c>
      <c r="W4359">
        <v>8019.7320799999998</v>
      </c>
      <c r="X4359">
        <v>0</v>
      </c>
      <c r="Y4359">
        <v>79962</v>
      </c>
    </row>
    <row r="4360" spans="1:25" ht="15" hidden="1" customHeight="1" x14ac:dyDescent="0.25">
      <c r="A4360" s="1" t="s">
        <v>40</v>
      </c>
      <c r="B4360" s="1"/>
      <c r="C4360" s="1" t="s">
        <v>218</v>
      </c>
      <c r="D4360">
        <v>11035</v>
      </c>
      <c r="E4360" s="1"/>
      <c r="F4360" s="1" t="s">
        <v>353</v>
      </c>
      <c r="G4360" s="1" t="s">
        <v>218</v>
      </c>
      <c r="H4360" s="1" t="s">
        <v>1396</v>
      </c>
      <c r="I4360">
        <v>2010</v>
      </c>
      <c r="J4360" s="93">
        <v>10618.7</v>
      </c>
      <c r="K4360">
        <v>4</v>
      </c>
      <c r="L4360" s="1" t="s">
        <v>459</v>
      </c>
      <c r="M4360">
        <v>0</v>
      </c>
      <c r="N4360">
        <v>225</v>
      </c>
      <c r="O4360">
        <v>47.173256000000002</v>
      </c>
      <c r="P4360">
        <v>2</v>
      </c>
      <c r="Q4360" s="1" t="s">
        <v>569</v>
      </c>
      <c r="R4360" s="93">
        <v>10618.7</v>
      </c>
      <c r="S4360">
        <v>4980.18</v>
      </c>
      <c r="T4360">
        <v>0</v>
      </c>
      <c r="U4360" s="1" t="s">
        <v>1162</v>
      </c>
      <c r="V4360" s="1" t="s">
        <v>1351</v>
      </c>
      <c r="W4360">
        <v>10618.70421</v>
      </c>
      <c r="X4360">
        <v>0</v>
      </c>
      <c r="Y4360">
        <v>79962</v>
      </c>
    </row>
    <row r="4361" spans="1:25" ht="15" hidden="1" customHeight="1" x14ac:dyDescent="0.25">
      <c r="A4361" s="1" t="s">
        <v>40</v>
      </c>
      <c r="B4361" s="1"/>
      <c r="C4361" s="1" t="s">
        <v>218</v>
      </c>
      <c r="D4361">
        <v>11035</v>
      </c>
      <c r="E4361" s="1"/>
      <c r="F4361" s="1" t="s">
        <v>353</v>
      </c>
      <c r="G4361" s="1" t="s">
        <v>218</v>
      </c>
      <c r="H4361" s="1" t="s">
        <v>1396</v>
      </c>
      <c r="I4361">
        <v>2009</v>
      </c>
      <c r="J4361" s="93">
        <v>11087.89</v>
      </c>
      <c r="K4361">
        <v>2</v>
      </c>
      <c r="L4361" s="1" t="s">
        <v>459</v>
      </c>
      <c r="M4361">
        <v>0</v>
      </c>
      <c r="N4361">
        <v>225</v>
      </c>
      <c r="O4361">
        <v>49.257618000000001</v>
      </c>
      <c r="P4361">
        <v>2</v>
      </c>
      <c r="Q4361" s="1" t="s">
        <v>569</v>
      </c>
      <c r="R4361" s="93">
        <v>11087.89</v>
      </c>
      <c r="S4361">
        <v>5200.25</v>
      </c>
      <c r="T4361">
        <v>0</v>
      </c>
      <c r="U4361" s="1" t="s">
        <v>1162</v>
      </c>
      <c r="V4361" s="1" t="s">
        <v>1351</v>
      </c>
      <c r="W4361">
        <v>11087.901089999999</v>
      </c>
      <c r="X4361">
        <v>0</v>
      </c>
      <c r="Y4361">
        <v>79962</v>
      </c>
    </row>
    <row r="4362" spans="1:25" ht="15" hidden="1" customHeight="1" x14ac:dyDescent="0.25">
      <c r="A4362" s="1" t="s">
        <v>40</v>
      </c>
      <c r="B4362" s="1"/>
      <c r="C4362" s="1" t="s">
        <v>218</v>
      </c>
      <c r="D4362">
        <v>11035</v>
      </c>
      <c r="E4362" s="1"/>
      <c r="F4362" s="1" t="s">
        <v>353</v>
      </c>
      <c r="G4362" s="1" t="s">
        <v>218</v>
      </c>
      <c r="H4362" s="1" t="s">
        <v>1396</v>
      </c>
      <c r="I4362">
        <v>2008</v>
      </c>
      <c r="J4362" s="93">
        <v>9861.27</v>
      </c>
      <c r="K4362">
        <v>3</v>
      </c>
      <c r="L4362" s="1" t="s">
        <v>459</v>
      </c>
      <c r="M4362">
        <v>0</v>
      </c>
      <c r="N4362">
        <v>225</v>
      </c>
      <c r="O4362">
        <v>43.808396000000002</v>
      </c>
      <c r="P4362">
        <v>2</v>
      </c>
      <c r="Q4362" s="1" t="s">
        <v>569</v>
      </c>
      <c r="R4362" s="93">
        <v>9861.27</v>
      </c>
      <c r="S4362">
        <v>4624.91</v>
      </c>
      <c r="T4362">
        <v>0</v>
      </c>
      <c r="U4362" s="1" t="s">
        <v>1162</v>
      </c>
      <c r="V4362" s="1" t="s">
        <v>1351</v>
      </c>
      <c r="W4362">
        <v>9861.2520700000005</v>
      </c>
      <c r="X4362">
        <v>0</v>
      </c>
      <c r="Y4362">
        <v>79962</v>
      </c>
    </row>
    <row r="4363" spans="1:25" ht="15" hidden="1" customHeight="1" x14ac:dyDescent="0.25">
      <c r="A4363" s="1" t="s">
        <v>40</v>
      </c>
      <c r="B4363" s="1"/>
      <c r="C4363" s="1" t="s">
        <v>228</v>
      </c>
      <c r="D4363">
        <v>13988</v>
      </c>
      <c r="E4363" s="1" t="s">
        <v>243</v>
      </c>
      <c r="F4363" s="1" t="s">
        <v>228</v>
      </c>
      <c r="G4363" s="1" t="s">
        <v>228</v>
      </c>
      <c r="H4363" s="1" t="s">
        <v>1396</v>
      </c>
      <c r="I4363">
        <v>2013</v>
      </c>
      <c r="J4363" s="93">
        <v>6322.03</v>
      </c>
      <c r="K4363">
        <v>3</v>
      </c>
      <c r="L4363" s="1" t="s">
        <v>502</v>
      </c>
      <c r="M4363">
        <v>0</v>
      </c>
      <c r="N4363">
        <v>0</v>
      </c>
      <c r="O4363">
        <v>63220.3</v>
      </c>
      <c r="P4363">
        <v>2</v>
      </c>
      <c r="Q4363" s="1" t="s">
        <v>569</v>
      </c>
      <c r="R4363" s="93">
        <v>6322.03</v>
      </c>
      <c r="S4363">
        <v>1896.62</v>
      </c>
      <c r="T4363">
        <v>0</v>
      </c>
      <c r="U4363" s="1" t="s">
        <v>1167</v>
      </c>
      <c r="V4363" s="1" t="s">
        <v>1359</v>
      </c>
      <c r="W4363">
        <v>6322.0458600000002</v>
      </c>
      <c r="X4363">
        <v>0</v>
      </c>
      <c r="Y4363">
        <v>92749</v>
      </c>
    </row>
    <row r="4364" spans="1:25" ht="15" hidden="1" customHeight="1" x14ac:dyDescent="0.25">
      <c r="A4364" s="1" t="s">
        <v>40</v>
      </c>
      <c r="B4364" s="1"/>
      <c r="C4364" s="1" t="s">
        <v>228</v>
      </c>
      <c r="D4364">
        <v>13988</v>
      </c>
      <c r="E4364" s="1" t="s">
        <v>243</v>
      </c>
      <c r="F4364" s="1" t="s">
        <v>228</v>
      </c>
      <c r="G4364" s="1" t="s">
        <v>228</v>
      </c>
      <c r="H4364" s="1" t="s">
        <v>1396</v>
      </c>
      <c r="I4364">
        <v>2012</v>
      </c>
      <c r="J4364" s="93">
        <v>5988.97</v>
      </c>
      <c r="K4364">
        <v>1</v>
      </c>
      <c r="L4364" s="1" t="s">
        <v>502</v>
      </c>
      <c r="M4364">
        <v>0</v>
      </c>
      <c r="N4364">
        <v>0</v>
      </c>
      <c r="O4364">
        <v>59889.7</v>
      </c>
      <c r="P4364">
        <v>2</v>
      </c>
      <c r="Q4364" s="1" t="s">
        <v>569</v>
      </c>
      <c r="R4364" s="93">
        <v>5988.97</v>
      </c>
      <c r="S4364">
        <v>2395.59</v>
      </c>
      <c r="T4364">
        <v>0</v>
      </c>
      <c r="U4364" s="1" t="s">
        <v>1167</v>
      </c>
      <c r="V4364" s="1" t="s">
        <v>1359</v>
      </c>
      <c r="W4364">
        <v>5988.9813899999999</v>
      </c>
      <c r="X4364">
        <v>0</v>
      </c>
      <c r="Y4364">
        <v>92749</v>
      </c>
    </row>
    <row r="4365" spans="1:25" ht="15" hidden="1" customHeight="1" x14ac:dyDescent="0.25">
      <c r="A4365" s="1" t="s">
        <v>40</v>
      </c>
      <c r="B4365" s="1"/>
      <c r="C4365" s="1" t="s">
        <v>228</v>
      </c>
      <c r="D4365">
        <v>13988</v>
      </c>
      <c r="E4365" s="1" t="s">
        <v>243</v>
      </c>
      <c r="F4365" s="1" t="s">
        <v>228</v>
      </c>
      <c r="G4365" s="1" t="s">
        <v>228</v>
      </c>
      <c r="H4365" s="1" t="s">
        <v>1396</v>
      </c>
      <c r="I4365">
        <v>2011</v>
      </c>
      <c r="J4365" s="93">
        <v>5941.84</v>
      </c>
      <c r="K4365">
        <v>0</v>
      </c>
      <c r="L4365" s="1" t="s">
        <v>502</v>
      </c>
      <c r="M4365">
        <v>0</v>
      </c>
      <c r="N4365">
        <v>0</v>
      </c>
      <c r="O4365">
        <v>59418.400000000001</v>
      </c>
      <c r="P4365">
        <v>2</v>
      </c>
      <c r="Q4365" s="1" t="s">
        <v>569</v>
      </c>
      <c r="R4365" s="93">
        <v>5941.84</v>
      </c>
      <c r="S4365">
        <v>2786.74</v>
      </c>
      <c r="T4365">
        <v>0</v>
      </c>
      <c r="U4365" s="1" t="s">
        <v>1167</v>
      </c>
      <c r="V4365" s="1" t="s">
        <v>1359</v>
      </c>
      <c r="W4365">
        <v>5941.8604299999997</v>
      </c>
      <c r="X4365">
        <v>0</v>
      </c>
      <c r="Y4365">
        <v>92749</v>
      </c>
    </row>
    <row r="4366" spans="1:25" ht="15" hidden="1" customHeight="1" x14ac:dyDescent="0.25">
      <c r="A4366" s="1" t="s">
        <v>40</v>
      </c>
      <c r="B4366" s="1"/>
      <c r="C4366" s="1" t="s">
        <v>228</v>
      </c>
      <c r="D4366">
        <v>13988</v>
      </c>
      <c r="E4366" s="1" t="s">
        <v>243</v>
      </c>
      <c r="F4366" s="1" t="s">
        <v>228</v>
      </c>
      <c r="G4366" s="1" t="s">
        <v>228</v>
      </c>
      <c r="H4366" s="1" t="s">
        <v>1396</v>
      </c>
      <c r="I4366">
        <v>2010</v>
      </c>
      <c r="J4366" s="93">
        <v>5974.6</v>
      </c>
      <c r="K4366">
        <v>1</v>
      </c>
      <c r="L4366" s="1" t="s">
        <v>502</v>
      </c>
      <c r="M4366">
        <v>0</v>
      </c>
      <c r="N4366">
        <v>0</v>
      </c>
      <c r="O4366">
        <v>59746</v>
      </c>
      <c r="P4366">
        <v>2</v>
      </c>
      <c r="Q4366" s="1" t="s">
        <v>569</v>
      </c>
      <c r="R4366" s="93">
        <v>5974.6</v>
      </c>
      <c r="S4366">
        <v>2802.08</v>
      </c>
      <c r="T4366">
        <v>0</v>
      </c>
      <c r="U4366" s="1" t="s">
        <v>1167</v>
      </c>
      <c r="V4366" s="1" t="s">
        <v>1359</v>
      </c>
      <c r="W4366">
        <v>5974.5892400000002</v>
      </c>
      <c r="X4366">
        <v>0</v>
      </c>
      <c r="Y4366">
        <v>92749</v>
      </c>
    </row>
    <row r="4367" spans="1:25" ht="15" hidden="1" customHeight="1" x14ac:dyDescent="0.25">
      <c r="A4367" s="1" t="s">
        <v>40</v>
      </c>
      <c r="B4367" s="1"/>
      <c r="C4367" s="1" t="s">
        <v>228</v>
      </c>
      <c r="D4367">
        <v>13988</v>
      </c>
      <c r="E4367" s="1" t="s">
        <v>243</v>
      </c>
      <c r="F4367" s="1" t="s">
        <v>228</v>
      </c>
      <c r="G4367" s="1" t="s">
        <v>228</v>
      </c>
      <c r="H4367" s="1" t="s">
        <v>1396</v>
      </c>
      <c r="I4367">
        <v>2009</v>
      </c>
      <c r="J4367" s="93">
        <v>5986.79</v>
      </c>
      <c r="K4367">
        <v>0</v>
      </c>
      <c r="L4367" s="1" t="s">
        <v>502</v>
      </c>
      <c r="M4367">
        <v>0</v>
      </c>
      <c r="N4367">
        <v>0</v>
      </c>
      <c r="O4367">
        <v>59867.9</v>
      </c>
      <c r="P4367">
        <v>2</v>
      </c>
      <c r="Q4367" s="1" t="s">
        <v>569</v>
      </c>
      <c r="R4367" s="93">
        <v>5986.79</v>
      </c>
      <c r="S4367">
        <v>2807.8</v>
      </c>
      <c r="T4367">
        <v>0</v>
      </c>
      <c r="U4367" s="1" t="s">
        <v>1167</v>
      </c>
      <c r="V4367" s="1" t="s">
        <v>1359</v>
      </c>
      <c r="W4367">
        <v>5986.77027</v>
      </c>
      <c r="X4367">
        <v>0</v>
      </c>
      <c r="Y4367">
        <v>92749</v>
      </c>
    </row>
    <row r="4368" spans="1:25" ht="15" hidden="1" customHeight="1" x14ac:dyDescent="0.25">
      <c r="A4368" s="1" t="s">
        <v>40</v>
      </c>
      <c r="B4368" s="1"/>
      <c r="C4368" s="1" t="s">
        <v>228</v>
      </c>
      <c r="D4368">
        <v>13988</v>
      </c>
      <c r="E4368" s="1" t="s">
        <v>243</v>
      </c>
      <c r="F4368" s="1" t="s">
        <v>228</v>
      </c>
      <c r="G4368" s="1" t="s">
        <v>228</v>
      </c>
      <c r="H4368" s="1" t="s">
        <v>1396</v>
      </c>
      <c r="I4368">
        <v>2008</v>
      </c>
      <c r="J4368" s="93">
        <v>3641.28</v>
      </c>
      <c r="K4368">
        <v>1</v>
      </c>
      <c r="L4368" s="1" t="s">
        <v>502</v>
      </c>
      <c r="M4368">
        <v>0</v>
      </c>
      <c r="N4368">
        <v>0</v>
      </c>
      <c r="O4368">
        <v>36412.800000000003</v>
      </c>
      <c r="P4368">
        <v>2</v>
      </c>
      <c r="Q4368" s="1" t="s">
        <v>569</v>
      </c>
      <c r="R4368" s="93">
        <v>3641.28</v>
      </c>
      <c r="S4368">
        <v>1707.76</v>
      </c>
      <c r="T4368">
        <v>0</v>
      </c>
      <c r="U4368" s="1" t="s">
        <v>1167</v>
      </c>
      <c r="V4368" s="1" t="s">
        <v>1359</v>
      </c>
      <c r="W4368">
        <v>3641.2684899999999</v>
      </c>
      <c r="X4368">
        <v>0</v>
      </c>
      <c r="Y4368">
        <v>92749</v>
      </c>
    </row>
    <row r="4369" spans="1:25" ht="15" hidden="1" customHeight="1" x14ac:dyDescent="0.25">
      <c r="A4369" s="1" t="s">
        <v>40</v>
      </c>
      <c r="B4369" s="1" t="s">
        <v>94</v>
      </c>
      <c r="C4369" s="1" t="s">
        <v>224</v>
      </c>
      <c r="D4369">
        <v>5465</v>
      </c>
      <c r="E4369" s="1"/>
      <c r="F4369" s="1" t="s">
        <v>224</v>
      </c>
      <c r="G4369" s="1" t="s">
        <v>224</v>
      </c>
      <c r="H4369" s="1" t="s">
        <v>1396</v>
      </c>
      <c r="I4369">
        <v>2013</v>
      </c>
      <c r="J4369" s="93">
        <v>554</v>
      </c>
      <c r="K4369">
        <v>12</v>
      </c>
      <c r="L4369" s="1" t="s">
        <v>421</v>
      </c>
      <c r="M4369">
        <v>0</v>
      </c>
      <c r="N4369">
        <v>1384</v>
      </c>
      <c r="O4369">
        <v>0.40026</v>
      </c>
      <c r="P4369">
        <v>2</v>
      </c>
      <c r="Q4369" s="1" t="s">
        <v>569</v>
      </c>
      <c r="R4369" s="93">
        <v>554</v>
      </c>
      <c r="S4369">
        <v>166.19</v>
      </c>
      <c r="T4369">
        <v>1</v>
      </c>
      <c r="U4369" s="1" t="s">
        <v>1174</v>
      </c>
      <c r="V4369" s="1"/>
      <c r="W4369">
        <v>554.00284999999997</v>
      </c>
      <c r="X4369">
        <v>0</v>
      </c>
      <c r="Y4369">
        <v>90266</v>
      </c>
    </row>
    <row r="4370" spans="1:25" ht="15" hidden="1" customHeight="1" x14ac:dyDescent="0.25">
      <c r="A4370" s="1" t="s">
        <v>40</v>
      </c>
      <c r="B4370" s="1" t="s">
        <v>94</v>
      </c>
      <c r="C4370" s="1" t="s">
        <v>224</v>
      </c>
      <c r="D4370">
        <v>5465</v>
      </c>
      <c r="E4370" s="1"/>
      <c r="F4370" s="1" t="s">
        <v>224</v>
      </c>
      <c r="G4370" s="1" t="s">
        <v>224</v>
      </c>
      <c r="H4370" s="1" t="s">
        <v>1396</v>
      </c>
      <c r="I4370">
        <v>2013</v>
      </c>
      <c r="J4370" s="93">
        <v>15090.88</v>
      </c>
      <c r="K4370">
        <v>12</v>
      </c>
      <c r="L4370" s="1" t="s">
        <v>421</v>
      </c>
      <c r="M4370">
        <v>0</v>
      </c>
      <c r="N4370">
        <v>1384</v>
      </c>
      <c r="O4370">
        <v>10.903027</v>
      </c>
      <c r="P4370">
        <v>2</v>
      </c>
      <c r="Q4370" s="1" t="s">
        <v>569</v>
      </c>
      <c r="R4370" s="93">
        <v>15090.88</v>
      </c>
      <c r="S4370">
        <v>4527.26</v>
      </c>
      <c r="T4370">
        <v>1</v>
      </c>
      <c r="U4370" s="1" t="s">
        <v>1177</v>
      </c>
      <c r="V4370" s="1"/>
      <c r="W4370">
        <v>15090.87002</v>
      </c>
      <c r="X4370">
        <v>0</v>
      </c>
      <c r="Y4370">
        <v>90268</v>
      </c>
    </row>
    <row r="4371" spans="1:25" ht="15" hidden="1" customHeight="1" x14ac:dyDescent="0.25">
      <c r="A4371" s="1" t="s">
        <v>40</v>
      </c>
      <c r="B4371" s="1" t="s">
        <v>94</v>
      </c>
      <c r="C4371" s="1" t="s">
        <v>224</v>
      </c>
      <c r="D4371">
        <v>5465</v>
      </c>
      <c r="E4371" s="1"/>
      <c r="F4371" s="1" t="s">
        <v>224</v>
      </c>
      <c r="G4371" s="1" t="s">
        <v>224</v>
      </c>
      <c r="H4371" s="1" t="s">
        <v>1396</v>
      </c>
      <c r="I4371">
        <v>2013</v>
      </c>
      <c r="J4371" s="93">
        <v>19865.080000000002</v>
      </c>
      <c r="K4371">
        <v>11</v>
      </c>
      <c r="L4371" s="1" t="s">
        <v>421</v>
      </c>
      <c r="M4371">
        <v>0</v>
      </c>
      <c r="N4371">
        <v>1384</v>
      </c>
      <c r="O4371">
        <v>14.352344</v>
      </c>
      <c r="P4371">
        <v>2</v>
      </c>
      <c r="Q4371" s="1" t="s">
        <v>569</v>
      </c>
      <c r="R4371" s="93">
        <v>19865.080000000002</v>
      </c>
      <c r="S4371">
        <v>7946.03</v>
      </c>
      <c r="T4371">
        <v>1</v>
      </c>
      <c r="U4371" s="1" t="s">
        <v>1171</v>
      </c>
      <c r="V4371" s="1"/>
      <c r="W4371">
        <v>19865.0759</v>
      </c>
      <c r="X4371">
        <v>0</v>
      </c>
      <c r="Y4371">
        <v>57770</v>
      </c>
    </row>
    <row r="4372" spans="1:25" ht="15" hidden="1" customHeight="1" x14ac:dyDescent="0.25">
      <c r="A4372" s="1" t="s">
        <v>40</v>
      </c>
      <c r="B4372" s="1" t="s">
        <v>94</v>
      </c>
      <c r="C4372" s="1" t="s">
        <v>224</v>
      </c>
      <c r="D4372">
        <v>5465</v>
      </c>
      <c r="E4372" s="1"/>
      <c r="F4372" s="1" t="s">
        <v>224</v>
      </c>
      <c r="G4372" s="1" t="s">
        <v>224</v>
      </c>
      <c r="H4372" s="1" t="s">
        <v>1396</v>
      </c>
      <c r="I4372">
        <v>2013</v>
      </c>
      <c r="J4372" s="93">
        <v>69264.039999999994</v>
      </c>
      <c r="K4372">
        <v>12</v>
      </c>
      <c r="L4372" s="1"/>
      <c r="M4372">
        <v>0</v>
      </c>
      <c r="N4372">
        <v>1384</v>
      </c>
      <c r="O4372">
        <v>50.042655000000003</v>
      </c>
      <c r="P4372">
        <v>2</v>
      </c>
      <c r="Q4372" s="1" t="s">
        <v>569</v>
      </c>
      <c r="R4372" s="93">
        <v>69264.039999999994</v>
      </c>
      <c r="S4372">
        <v>27705.61</v>
      </c>
      <c r="T4372">
        <v>0</v>
      </c>
      <c r="U4372" s="1" t="s">
        <v>1172</v>
      </c>
      <c r="V4372" s="1" t="s">
        <v>1360</v>
      </c>
      <c r="W4372">
        <v>69264.049859999999</v>
      </c>
      <c r="X4372">
        <v>0</v>
      </c>
      <c r="Y4372">
        <v>58297</v>
      </c>
    </row>
    <row r="4373" spans="1:25" ht="15" hidden="1" customHeight="1" x14ac:dyDescent="0.25">
      <c r="A4373" s="1" t="s">
        <v>40</v>
      </c>
      <c r="B4373" s="1" t="s">
        <v>94</v>
      </c>
      <c r="C4373" s="1" t="s">
        <v>224</v>
      </c>
      <c r="D4373">
        <v>5465</v>
      </c>
      <c r="E4373" s="1"/>
      <c r="F4373" s="1" t="s">
        <v>224</v>
      </c>
      <c r="G4373" s="1" t="s">
        <v>224</v>
      </c>
      <c r="H4373" s="1" t="s">
        <v>1396</v>
      </c>
      <c r="I4373">
        <v>2013</v>
      </c>
      <c r="J4373" s="93">
        <v>1529.54</v>
      </c>
      <c r="K4373">
        <v>12</v>
      </c>
      <c r="L4373" s="1" t="s">
        <v>421</v>
      </c>
      <c r="M4373">
        <v>0</v>
      </c>
      <c r="N4373">
        <v>1384</v>
      </c>
      <c r="O4373">
        <v>1.1050789999999999</v>
      </c>
      <c r="P4373">
        <v>2</v>
      </c>
      <c r="Q4373" s="1" t="s">
        <v>569</v>
      </c>
      <c r="R4373" s="93">
        <v>1529.54</v>
      </c>
      <c r="S4373">
        <v>458.86</v>
      </c>
      <c r="T4373">
        <v>1</v>
      </c>
      <c r="U4373" s="1" t="s">
        <v>1173</v>
      </c>
      <c r="V4373" s="1"/>
      <c r="W4373">
        <v>1529.5445999999999</v>
      </c>
      <c r="X4373">
        <v>0</v>
      </c>
      <c r="Y4373">
        <v>90264</v>
      </c>
    </row>
    <row r="4374" spans="1:25" ht="15" hidden="1" customHeight="1" x14ac:dyDescent="0.25">
      <c r="A4374" s="1" t="s">
        <v>40</v>
      </c>
      <c r="B4374" s="1" t="s">
        <v>94</v>
      </c>
      <c r="C4374" s="1" t="s">
        <v>224</v>
      </c>
      <c r="D4374">
        <v>5465</v>
      </c>
      <c r="E4374" s="1"/>
      <c r="F4374" s="1" t="s">
        <v>224</v>
      </c>
      <c r="G4374" s="1" t="s">
        <v>224</v>
      </c>
      <c r="H4374" s="1" t="s">
        <v>1396</v>
      </c>
      <c r="I4374">
        <v>2013</v>
      </c>
      <c r="J4374" s="93">
        <v>6769.71</v>
      </c>
      <c r="K4374">
        <v>12</v>
      </c>
      <c r="L4374" s="1" t="s">
        <v>421</v>
      </c>
      <c r="M4374">
        <v>0</v>
      </c>
      <c r="N4374">
        <v>1384</v>
      </c>
      <c r="O4374">
        <v>4.8910549999999997</v>
      </c>
      <c r="P4374">
        <v>2</v>
      </c>
      <c r="Q4374" s="1" t="s">
        <v>569</v>
      </c>
      <c r="R4374" s="93">
        <v>6769.71</v>
      </c>
      <c r="S4374">
        <v>2030.92</v>
      </c>
      <c r="T4374">
        <v>1</v>
      </c>
      <c r="U4374" s="1" t="s">
        <v>1176</v>
      </c>
      <c r="V4374" s="1"/>
      <c r="W4374">
        <v>6769.7011400000001</v>
      </c>
      <c r="X4374">
        <v>0</v>
      </c>
      <c r="Y4374">
        <v>90267</v>
      </c>
    </row>
    <row r="4375" spans="1:25" ht="15" hidden="1" customHeight="1" x14ac:dyDescent="0.25">
      <c r="A4375" s="1" t="s">
        <v>40</v>
      </c>
      <c r="B4375" s="1" t="s">
        <v>94</v>
      </c>
      <c r="C4375" s="1" t="s">
        <v>224</v>
      </c>
      <c r="D4375">
        <v>5465</v>
      </c>
      <c r="E4375" s="1"/>
      <c r="F4375" s="1" t="s">
        <v>224</v>
      </c>
      <c r="G4375" s="1" t="s">
        <v>224</v>
      </c>
      <c r="H4375" s="1" t="s">
        <v>1396</v>
      </c>
      <c r="I4375">
        <v>2012</v>
      </c>
      <c r="J4375" s="93">
        <v>358.28</v>
      </c>
      <c r="K4375">
        <v>13</v>
      </c>
      <c r="L4375" s="1" t="s">
        <v>421</v>
      </c>
      <c r="M4375">
        <v>0</v>
      </c>
      <c r="N4375">
        <v>1384</v>
      </c>
      <c r="O4375">
        <v>0.25885399999999997</v>
      </c>
      <c r="P4375">
        <v>2</v>
      </c>
      <c r="Q4375" s="1" t="s">
        <v>569</v>
      </c>
      <c r="R4375" s="93">
        <v>358.28</v>
      </c>
      <c r="S4375">
        <v>143.30000000000001</v>
      </c>
      <c r="T4375">
        <v>1</v>
      </c>
      <c r="U4375" s="1" t="s">
        <v>1175</v>
      </c>
      <c r="V4375" s="1"/>
      <c r="W4375">
        <v>358.27541000000002</v>
      </c>
      <c r="X4375">
        <v>0</v>
      </c>
      <c r="Y4375">
        <v>90265</v>
      </c>
    </row>
    <row r="4376" spans="1:25" ht="15" hidden="1" customHeight="1" x14ac:dyDescent="0.25">
      <c r="A4376" s="1" t="s">
        <v>40</v>
      </c>
      <c r="B4376" s="1" t="s">
        <v>94</v>
      </c>
      <c r="C4376" s="1" t="s">
        <v>224</v>
      </c>
      <c r="D4376">
        <v>5465</v>
      </c>
      <c r="E4376" s="1"/>
      <c r="F4376" s="1" t="s">
        <v>224</v>
      </c>
      <c r="G4376" s="1" t="s">
        <v>224</v>
      </c>
      <c r="H4376" s="1" t="s">
        <v>1396</v>
      </c>
      <c r="I4376">
        <v>2012</v>
      </c>
      <c r="J4376" s="93">
        <v>14615.74</v>
      </c>
      <c r="K4376">
        <v>13</v>
      </c>
      <c r="L4376" s="1" t="s">
        <v>421</v>
      </c>
      <c r="M4376">
        <v>0</v>
      </c>
      <c r="N4376">
        <v>1384</v>
      </c>
      <c r="O4376">
        <v>10.559742</v>
      </c>
      <c r="P4376">
        <v>2</v>
      </c>
      <c r="Q4376" s="1" t="s">
        <v>569</v>
      </c>
      <c r="R4376" s="93">
        <v>14615.74</v>
      </c>
      <c r="S4376">
        <v>5846.3</v>
      </c>
      <c r="T4376">
        <v>1</v>
      </c>
      <c r="U4376" s="1" t="s">
        <v>1177</v>
      </c>
      <c r="V4376" s="1"/>
      <c r="W4376">
        <v>14615.74777</v>
      </c>
      <c r="X4376">
        <v>0</v>
      </c>
      <c r="Y4376">
        <v>90268</v>
      </c>
    </row>
    <row r="4377" spans="1:25" ht="15" hidden="1" customHeight="1" x14ac:dyDescent="0.25">
      <c r="A4377" s="1" t="s">
        <v>40</v>
      </c>
      <c r="B4377" s="1" t="s">
        <v>94</v>
      </c>
      <c r="C4377" s="1" t="s">
        <v>224</v>
      </c>
      <c r="D4377">
        <v>5465</v>
      </c>
      <c r="E4377" s="1"/>
      <c r="F4377" s="1" t="s">
        <v>224</v>
      </c>
      <c r="G4377" s="1" t="s">
        <v>224</v>
      </c>
      <c r="H4377" s="1" t="s">
        <v>1396</v>
      </c>
      <c r="I4377">
        <v>2012</v>
      </c>
      <c r="J4377" s="93">
        <v>18681.21</v>
      </c>
      <c r="K4377">
        <v>12</v>
      </c>
      <c r="L4377" s="1" t="s">
        <v>421</v>
      </c>
      <c r="M4377">
        <v>0</v>
      </c>
      <c r="N4377">
        <v>1384</v>
      </c>
      <c r="O4377">
        <v>13.497007999999999</v>
      </c>
      <c r="P4377">
        <v>2</v>
      </c>
      <c r="Q4377" s="1" t="s">
        <v>569</v>
      </c>
      <c r="R4377" s="93">
        <v>18681.21</v>
      </c>
      <c r="S4377">
        <v>7472.5</v>
      </c>
      <c r="T4377">
        <v>1</v>
      </c>
      <c r="U4377" s="1" t="s">
        <v>1171</v>
      </c>
      <c r="V4377" s="1"/>
      <c r="W4377">
        <v>18681.208559999999</v>
      </c>
      <c r="X4377">
        <v>0</v>
      </c>
      <c r="Y4377">
        <v>57770</v>
      </c>
    </row>
    <row r="4378" spans="1:25" ht="15" hidden="1" customHeight="1" x14ac:dyDescent="0.25">
      <c r="A4378" s="1" t="s">
        <v>40</v>
      </c>
      <c r="B4378" s="1" t="s">
        <v>94</v>
      </c>
      <c r="C4378" s="1" t="s">
        <v>224</v>
      </c>
      <c r="D4378">
        <v>5465</v>
      </c>
      <c r="E4378" s="1"/>
      <c r="F4378" s="1" t="s">
        <v>224</v>
      </c>
      <c r="G4378" s="1" t="s">
        <v>224</v>
      </c>
      <c r="H4378" s="1" t="s">
        <v>1396</v>
      </c>
      <c r="I4378">
        <v>2012</v>
      </c>
      <c r="J4378" s="93">
        <v>67477.34</v>
      </c>
      <c r="K4378">
        <v>12</v>
      </c>
      <c r="L4378" s="1"/>
      <c r="M4378">
        <v>0</v>
      </c>
      <c r="N4378">
        <v>1384</v>
      </c>
      <c r="O4378">
        <v>48.751779999999997</v>
      </c>
      <c r="P4378">
        <v>2</v>
      </c>
      <c r="Q4378" s="1" t="s">
        <v>569</v>
      </c>
      <c r="R4378" s="93">
        <v>67477.34</v>
      </c>
      <c r="S4378">
        <v>26990.94</v>
      </c>
      <c r="T4378">
        <v>0</v>
      </c>
      <c r="U4378" s="1" t="s">
        <v>1172</v>
      </c>
      <c r="V4378" s="1" t="s">
        <v>1360</v>
      </c>
      <c r="W4378">
        <v>67477.339760000003</v>
      </c>
      <c r="X4378">
        <v>0</v>
      </c>
      <c r="Y4378">
        <v>58297</v>
      </c>
    </row>
    <row r="4379" spans="1:25" ht="15" hidden="1" customHeight="1" x14ac:dyDescent="0.25">
      <c r="A4379" s="1" t="s">
        <v>40</v>
      </c>
      <c r="B4379" s="1" t="s">
        <v>94</v>
      </c>
      <c r="C4379" s="1" t="s">
        <v>224</v>
      </c>
      <c r="D4379">
        <v>5465</v>
      </c>
      <c r="E4379" s="1"/>
      <c r="F4379" s="1" t="s">
        <v>224</v>
      </c>
      <c r="G4379" s="1" t="s">
        <v>224</v>
      </c>
      <c r="H4379" s="1" t="s">
        <v>1396</v>
      </c>
      <c r="I4379">
        <v>2012</v>
      </c>
      <c r="J4379" s="93">
        <v>1632.84</v>
      </c>
      <c r="K4379">
        <v>13</v>
      </c>
      <c r="L4379" s="1" t="s">
        <v>421</v>
      </c>
      <c r="M4379">
        <v>0</v>
      </c>
      <c r="N4379">
        <v>1384</v>
      </c>
      <c r="O4379">
        <v>1.1797120000000001</v>
      </c>
      <c r="P4379">
        <v>2</v>
      </c>
      <c r="Q4379" s="1" t="s">
        <v>569</v>
      </c>
      <c r="R4379" s="93">
        <v>1632.84</v>
      </c>
      <c r="S4379">
        <v>653.13</v>
      </c>
      <c r="T4379">
        <v>1</v>
      </c>
      <c r="U4379" s="1" t="s">
        <v>1173</v>
      </c>
      <c r="V4379" s="1"/>
      <c r="W4379">
        <v>1632.8395700000001</v>
      </c>
      <c r="X4379">
        <v>0</v>
      </c>
      <c r="Y4379">
        <v>90264</v>
      </c>
    </row>
    <row r="4380" spans="1:25" ht="15" hidden="1" customHeight="1" x14ac:dyDescent="0.25">
      <c r="A4380" s="1" t="s">
        <v>40</v>
      </c>
      <c r="B4380" s="1" t="s">
        <v>94</v>
      </c>
      <c r="C4380" s="1" t="s">
        <v>224</v>
      </c>
      <c r="D4380">
        <v>5465</v>
      </c>
      <c r="E4380" s="1"/>
      <c r="F4380" s="1" t="s">
        <v>224</v>
      </c>
      <c r="G4380" s="1" t="s">
        <v>224</v>
      </c>
      <c r="H4380" s="1" t="s">
        <v>1396</v>
      </c>
      <c r="I4380">
        <v>2012</v>
      </c>
      <c r="J4380" s="93">
        <v>645.61</v>
      </c>
      <c r="K4380">
        <v>12</v>
      </c>
      <c r="L4380" s="1" t="s">
        <v>421</v>
      </c>
      <c r="M4380">
        <v>0</v>
      </c>
      <c r="N4380">
        <v>1384</v>
      </c>
      <c r="O4380">
        <v>0.466447</v>
      </c>
      <c r="P4380">
        <v>2</v>
      </c>
      <c r="Q4380" s="1" t="s">
        <v>569</v>
      </c>
      <c r="R4380" s="93">
        <v>645.61</v>
      </c>
      <c r="S4380">
        <v>258.27</v>
      </c>
      <c r="T4380">
        <v>1</v>
      </c>
      <c r="U4380" s="1" t="s">
        <v>1174</v>
      </c>
      <c r="V4380" s="1"/>
      <c r="W4380">
        <v>645.60518000000002</v>
      </c>
      <c r="X4380">
        <v>0</v>
      </c>
      <c r="Y4380">
        <v>90266</v>
      </c>
    </row>
    <row r="4381" spans="1:25" ht="15" hidden="1" customHeight="1" x14ac:dyDescent="0.25">
      <c r="A4381" s="1" t="s">
        <v>40</v>
      </c>
      <c r="B4381" s="1" t="s">
        <v>94</v>
      </c>
      <c r="C4381" s="1" t="s">
        <v>224</v>
      </c>
      <c r="D4381">
        <v>5465</v>
      </c>
      <c r="E4381" s="1"/>
      <c r="F4381" s="1" t="s">
        <v>224</v>
      </c>
      <c r="G4381" s="1" t="s">
        <v>224</v>
      </c>
      <c r="H4381" s="1" t="s">
        <v>1396</v>
      </c>
      <c r="I4381">
        <v>2012</v>
      </c>
      <c r="J4381" s="93">
        <v>6870.48</v>
      </c>
      <c r="K4381">
        <v>13</v>
      </c>
      <c r="L4381" s="1" t="s">
        <v>421</v>
      </c>
      <c r="M4381">
        <v>0</v>
      </c>
      <c r="N4381">
        <v>1384</v>
      </c>
      <c r="O4381">
        <v>4.9638600000000004</v>
      </c>
      <c r="P4381">
        <v>2</v>
      </c>
      <c r="Q4381" s="1" t="s">
        <v>569</v>
      </c>
      <c r="R4381" s="93">
        <v>6870.48</v>
      </c>
      <c r="S4381">
        <v>2748.18</v>
      </c>
      <c r="T4381">
        <v>1</v>
      </c>
      <c r="U4381" s="1" t="s">
        <v>1176</v>
      </c>
      <c r="V4381" s="1"/>
      <c r="W4381">
        <v>6870.4572099999996</v>
      </c>
      <c r="X4381">
        <v>0</v>
      </c>
      <c r="Y4381">
        <v>90267</v>
      </c>
    </row>
    <row r="4382" spans="1:25" ht="15" hidden="1" customHeight="1" x14ac:dyDescent="0.25">
      <c r="A4382" s="1" t="s">
        <v>40</v>
      </c>
      <c r="B4382" s="1" t="s">
        <v>94</v>
      </c>
      <c r="C4382" s="1" t="s">
        <v>224</v>
      </c>
      <c r="D4382">
        <v>5465</v>
      </c>
      <c r="E4382" s="1"/>
      <c r="F4382" s="1" t="s">
        <v>224</v>
      </c>
      <c r="G4382" s="1" t="s">
        <v>224</v>
      </c>
      <c r="H4382" s="1" t="s">
        <v>1396</v>
      </c>
      <c r="I4382">
        <v>2011</v>
      </c>
      <c r="J4382" s="93">
        <v>127.64</v>
      </c>
      <c r="K4382">
        <v>3</v>
      </c>
      <c r="L4382" s="1" t="s">
        <v>421</v>
      </c>
      <c r="M4382">
        <v>0</v>
      </c>
      <c r="N4382">
        <v>1384</v>
      </c>
      <c r="O4382">
        <v>9.2217999999999994E-2</v>
      </c>
      <c r="P4382">
        <v>2</v>
      </c>
      <c r="Q4382" s="1" t="s">
        <v>569</v>
      </c>
      <c r="R4382" s="93">
        <v>127.64</v>
      </c>
      <c r="S4382">
        <v>59.87</v>
      </c>
      <c r="T4382">
        <v>1</v>
      </c>
      <c r="U4382" s="1" t="s">
        <v>1175</v>
      </c>
      <c r="V4382" s="1"/>
      <c r="W4382">
        <v>127.63637</v>
      </c>
      <c r="X4382">
        <v>0</v>
      </c>
      <c r="Y4382">
        <v>90265</v>
      </c>
    </row>
    <row r="4383" spans="1:25" ht="15" hidden="1" customHeight="1" x14ac:dyDescent="0.25">
      <c r="A4383" s="1" t="s">
        <v>40</v>
      </c>
      <c r="B4383" s="1" t="s">
        <v>94</v>
      </c>
      <c r="C4383" s="1" t="s">
        <v>224</v>
      </c>
      <c r="D4383">
        <v>5465</v>
      </c>
      <c r="E4383" s="1"/>
      <c r="F4383" s="1" t="s">
        <v>224</v>
      </c>
      <c r="G4383" s="1" t="s">
        <v>224</v>
      </c>
      <c r="H4383" s="1" t="s">
        <v>1396</v>
      </c>
      <c r="I4383">
        <v>2011</v>
      </c>
      <c r="J4383" s="93">
        <v>1468.45</v>
      </c>
      <c r="K4383">
        <v>3</v>
      </c>
      <c r="L4383" s="1" t="s">
        <v>421</v>
      </c>
      <c r="M4383">
        <v>0</v>
      </c>
      <c r="N4383">
        <v>1384</v>
      </c>
      <c r="O4383">
        <v>1.0609420000000001</v>
      </c>
      <c r="P4383">
        <v>2</v>
      </c>
      <c r="Q4383" s="1" t="s">
        <v>569</v>
      </c>
      <c r="R4383" s="93">
        <v>1468.45</v>
      </c>
      <c r="S4383">
        <v>688.71</v>
      </c>
      <c r="T4383">
        <v>1</v>
      </c>
      <c r="U4383" s="1" t="s">
        <v>1176</v>
      </c>
      <c r="V4383" s="1"/>
      <c r="W4383">
        <v>1468.45454</v>
      </c>
      <c r="X4383">
        <v>0</v>
      </c>
      <c r="Y4383">
        <v>90267</v>
      </c>
    </row>
    <row r="4384" spans="1:25" ht="15" hidden="1" customHeight="1" x14ac:dyDescent="0.25">
      <c r="A4384" s="1" t="s">
        <v>40</v>
      </c>
      <c r="B4384" s="1" t="s">
        <v>94</v>
      </c>
      <c r="C4384" s="1" t="s">
        <v>224</v>
      </c>
      <c r="D4384">
        <v>5465</v>
      </c>
      <c r="E4384" s="1"/>
      <c r="F4384" s="1" t="s">
        <v>224</v>
      </c>
      <c r="G4384" s="1" t="s">
        <v>224</v>
      </c>
      <c r="H4384" s="1" t="s">
        <v>1396</v>
      </c>
      <c r="I4384">
        <v>2011</v>
      </c>
      <c r="J4384" s="93">
        <v>3329.57</v>
      </c>
      <c r="K4384">
        <v>3</v>
      </c>
      <c r="L4384" s="1" t="s">
        <v>421</v>
      </c>
      <c r="M4384">
        <v>0</v>
      </c>
      <c r="N4384">
        <v>1384</v>
      </c>
      <c r="O4384">
        <v>2.4055840000000002</v>
      </c>
      <c r="P4384">
        <v>2</v>
      </c>
      <c r="Q4384" s="1" t="s">
        <v>569</v>
      </c>
      <c r="R4384" s="93">
        <v>3329.57</v>
      </c>
      <c r="S4384">
        <v>1561.58</v>
      </c>
      <c r="T4384">
        <v>1</v>
      </c>
      <c r="U4384" s="1" t="s">
        <v>1177</v>
      </c>
      <c r="V4384" s="1"/>
      <c r="W4384">
        <v>3329.5757600000002</v>
      </c>
      <c r="X4384">
        <v>0</v>
      </c>
      <c r="Y4384">
        <v>90268</v>
      </c>
    </row>
    <row r="4385" spans="1:25" ht="15" hidden="1" customHeight="1" x14ac:dyDescent="0.25">
      <c r="A4385" s="1" t="s">
        <v>40</v>
      </c>
      <c r="B4385" s="1" t="s">
        <v>94</v>
      </c>
      <c r="C4385" s="1" t="s">
        <v>224</v>
      </c>
      <c r="D4385">
        <v>5465</v>
      </c>
      <c r="E4385" s="1"/>
      <c r="F4385" s="1" t="s">
        <v>224</v>
      </c>
      <c r="G4385" s="1" t="s">
        <v>224</v>
      </c>
      <c r="H4385" s="1" t="s">
        <v>1396</v>
      </c>
      <c r="I4385">
        <v>2011</v>
      </c>
      <c r="J4385" s="93">
        <v>16463.2</v>
      </c>
      <c r="K4385">
        <v>12</v>
      </c>
      <c r="L4385" s="1" t="s">
        <v>421</v>
      </c>
      <c r="M4385">
        <v>0</v>
      </c>
      <c r="N4385">
        <v>1384</v>
      </c>
      <c r="O4385">
        <v>11.894515999999999</v>
      </c>
      <c r="P4385">
        <v>2</v>
      </c>
      <c r="Q4385" s="1" t="s">
        <v>569</v>
      </c>
      <c r="R4385" s="93">
        <v>16463.2</v>
      </c>
      <c r="S4385">
        <v>7721.24</v>
      </c>
      <c r="T4385">
        <v>1</v>
      </c>
      <c r="U4385" s="1" t="s">
        <v>1171</v>
      </c>
      <c r="V4385" s="1"/>
      <c r="W4385">
        <v>16463.181820000002</v>
      </c>
      <c r="X4385">
        <v>0</v>
      </c>
      <c r="Y4385">
        <v>57770</v>
      </c>
    </row>
    <row r="4386" spans="1:25" ht="15" hidden="1" customHeight="1" x14ac:dyDescent="0.25">
      <c r="A4386" s="1" t="s">
        <v>40</v>
      </c>
      <c r="B4386" s="1" t="s">
        <v>94</v>
      </c>
      <c r="C4386" s="1" t="s">
        <v>224</v>
      </c>
      <c r="D4386">
        <v>5465</v>
      </c>
      <c r="E4386" s="1"/>
      <c r="F4386" s="1" t="s">
        <v>224</v>
      </c>
      <c r="G4386" s="1" t="s">
        <v>224</v>
      </c>
      <c r="H4386" s="1" t="s">
        <v>1396</v>
      </c>
      <c r="I4386">
        <v>2011</v>
      </c>
      <c r="J4386" s="93">
        <v>62448.95</v>
      </c>
      <c r="K4386">
        <v>12</v>
      </c>
      <c r="L4386" s="1"/>
      <c r="M4386">
        <v>0</v>
      </c>
      <c r="N4386">
        <v>1384</v>
      </c>
      <c r="O4386">
        <v>45.118813000000003</v>
      </c>
      <c r="P4386">
        <v>2</v>
      </c>
      <c r="Q4386" s="1" t="s">
        <v>569</v>
      </c>
      <c r="R4386" s="93">
        <v>62448.95</v>
      </c>
      <c r="S4386">
        <v>29288.54</v>
      </c>
      <c r="T4386">
        <v>0</v>
      </c>
      <c r="U4386" s="1" t="s">
        <v>1172</v>
      </c>
      <c r="V4386" s="1" t="s">
        <v>1360</v>
      </c>
      <c r="W4386">
        <v>62448.974139999998</v>
      </c>
      <c r="X4386">
        <v>0</v>
      </c>
      <c r="Y4386">
        <v>58297</v>
      </c>
    </row>
    <row r="4387" spans="1:25" ht="15" hidden="1" customHeight="1" x14ac:dyDescent="0.25">
      <c r="A4387" s="1" t="s">
        <v>40</v>
      </c>
      <c r="B4387" s="1" t="s">
        <v>94</v>
      </c>
      <c r="C4387" s="1" t="s">
        <v>224</v>
      </c>
      <c r="D4387">
        <v>5465</v>
      </c>
      <c r="E4387" s="1"/>
      <c r="F4387" s="1" t="s">
        <v>224</v>
      </c>
      <c r="G4387" s="1" t="s">
        <v>224</v>
      </c>
      <c r="H4387" s="1" t="s">
        <v>1396</v>
      </c>
      <c r="I4387">
        <v>2011</v>
      </c>
      <c r="J4387" s="93">
        <v>392.45</v>
      </c>
      <c r="K4387">
        <v>3</v>
      </c>
      <c r="L4387" s="1" t="s">
        <v>421</v>
      </c>
      <c r="M4387">
        <v>0</v>
      </c>
      <c r="N4387">
        <v>1384</v>
      </c>
      <c r="O4387">
        <v>0.28354099999999999</v>
      </c>
      <c r="P4387">
        <v>2</v>
      </c>
      <c r="Q4387" s="1" t="s">
        <v>569</v>
      </c>
      <c r="R4387" s="93">
        <v>392.45</v>
      </c>
      <c r="S4387">
        <v>184.07</v>
      </c>
      <c r="T4387">
        <v>1</v>
      </c>
      <c r="U4387" s="1" t="s">
        <v>1173</v>
      </c>
      <c r="V4387" s="1"/>
      <c r="W4387">
        <v>392.45454000000001</v>
      </c>
      <c r="X4387">
        <v>0</v>
      </c>
      <c r="Y4387">
        <v>90264</v>
      </c>
    </row>
    <row r="4388" spans="1:25" ht="15" hidden="1" customHeight="1" x14ac:dyDescent="0.25">
      <c r="A4388" s="1" t="s">
        <v>40</v>
      </c>
      <c r="B4388" s="1" t="s">
        <v>94</v>
      </c>
      <c r="C4388" s="1" t="s">
        <v>224</v>
      </c>
      <c r="D4388">
        <v>5465</v>
      </c>
      <c r="E4388" s="1"/>
      <c r="F4388" s="1" t="s">
        <v>224</v>
      </c>
      <c r="G4388" s="1" t="s">
        <v>224</v>
      </c>
      <c r="H4388" s="1" t="s">
        <v>1396</v>
      </c>
      <c r="I4388">
        <v>2011</v>
      </c>
      <c r="J4388" s="93">
        <v>176.43</v>
      </c>
      <c r="K4388">
        <v>3</v>
      </c>
      <c r="L4388" s="1" t="s">
        <v>421</v>
      </c>
      <c r="M4388">
        <v>0</v>
      </c>
      <c r="N4388">
        <v>1384</v>
      </c>
      <c r="O4388">
        <v>0.127469</v>
      </c>
      <c r="P4388">
        <v>2</v>
      </c>
      <c r="Q4388" s="1" t="s">
        <v>569</v>
      </c>
      <c r="R4388" s="93">
        <v>176.43</v>
      </c>
      <c r="S4388">
        <v>82.74</v>
      </c>
      <c r="T4388">
        <v>1</v>
      </c>
      <c r="U4388" s="1" t="s">
        <v>1174</v>
      </c>
      <c r="V4388" s="1"/>
      <c r="W4388">
        <v>176.42424</v>
      </c>
      <c r="X4388">
        <v>0</v>
      </c>
      <c r="Y4388">
        <v>90266</v>
      </c>
    </row>
    <row r="4389" spans="1:25" ht="15" hidden="1" customHeight="1" x14ac:dyDescent="0.25">
      <c r="A4389" s="1" t="s">
        <v>40</v>
      </c>
      <c r="B4389" s="1" t="s">
        <v>94</v>
      </c>
      <c r="C4389" s="1" t="s">
        <v>224</v>
      </c>
      <c r="D4389">
        <v>5465</v>
      </c>
      <c r="E4389" s="1"/>
      <c r="F4389" s="1" t="s">
        <v>224</v>
      </c>
      <c r="G4389" s="1" t="s">
        <v>224</v>
      </c>
      <c r="H4389" s="1" t="s">
        <v>1396</v>
      </c>
      <c r="I4389">
        <v>2010</v>
      </c>
      <c r="J4389" s="93">
        <v>18553.490000000002</v>
      </c>
      <c r="K4389">
        <v>11</v>
      </c>
      <c r="L4389" s="1" t="s">
        <v>421</v>
      </c>
      <c r="M4389">
        <v>0</v>
      </c>
      <c r="N4389">
        <v>1384</v>
      </c>
      <c r="O4389">
        <v>13.404731999999999</v>
      </c>
      <c r="P4389">
        <v>2</v>
      </c>
      <c r="Q4389" s="1" t="s">
        <v>569</v>
      </c>
      <c r="R4389" s="93">
        <v>18553.490000000002</v>
      </c>
      <c r="S4389">
        <v>8701.58</v>
      </c>
      <c r="T4389">
        <v>1</v>
      </c>
      <c r="U4389" s="1" t="s">
        <v>1171</v>
      </c>
      <c r="V4389" s="1"/>
      <c r="W4389">
        <v>18553.491979999999</v>
      </c>
      <c r="X4389">
        <v>0</v>
      </c>
      <c r="Y4389">
        <v>57770</v>
      </c>
    </row>
    <row r="4390" spans="1:25" ht="15" hidden="1" customHeight="1" x14ac:dyDescent="0.25">
      <c r="A4390" s="1" t="s">
        <v>40</v>
      </c>
      <c r="B4390" s="1" t="s">
        <v>94</v>
      </c>
      <c r="C4390" s="1" t="s">
        <v>224</v>
      </c>
      <c r="D4390">
        <v>5465</v>
      </c>
      <c r="E4390" s="1"/>
      <c r="F4390" s="1" t="s">
        <v>224</v>
      </c>
      <c r="G4390" s="1" t="s">
        <v>224</v>
      </c>
      <c r="H4390" s="1" t="s">
        <v>1396</v>
      </c>
      <c r="I4390">
        <v>2010</v>
      </c>
      <c r="J4390" s="93">
        <v>70345.039999999994</v>
      </c>
      <c r="K4390">
        <v>12</v>
      </c>
      <c r="L4390" s="1"/>
      <c r="M4390">
        <v>0</v>
      </c>
      <c r="N4390">
        <v>1384</v>
      </c>
      <c r="O4390">
        <v>50.823667999999998</v>
      </c>
      <c r="P4390">
        <v>2</v>
      </c>
      <c r="Q4390" s="1" t="s">
        <v>569</v>
      </c>
      <c r="R4390" s="93">
        <v>70345.039999999994</v>
      </c>
      <c r="S4390">
        <v>32991.86</v>
      </c>
      <c r="T4390">
        <v>0</v>
      </c>
      <c r="U4390" s="1" t="s">
        <v>1172</v>
      </c>
      <c r="V4390" s="1" t="s">
        <v>1360</v>
      </c>
      <c r="W4390">
        <v>70345.050289999999</v>
      </c>
      <c r="X4390">
        <v>0</v>
      </c>
      <c r="Y4390">
        <v>58297</v>
      </c>
    </row>
    <row r="4391" spans="1:25" ht="15" hidden="1" customHeight="1" x14ac:dyDescent="0.25">
      <c r="A4391" s="1" t="s">
        <v>40</v>
      </c>
      <c r="B4391" s="1" t="s">
        <v>94</v>
      </c>
      <c r="C4391" s="1" t="s">
        <v>224</v>
      </c>
      <c r="D4391">
        <v>5465</v>
      </c>
      <c r="E4391" s="1"/>
      <c r="F4391" s="1" t="s">
        <v>224</v>
      </c>
      <c r="G4391" s="1" t="s">
        <v>224</v>
      </c>
      <c r="H4391" s="1" t="s">
        <v>1396</v>
      </c>
      <c r="I4391">
        <v>2009</v>
      </c>
      <c r="J4391" s="93">
        <v>13629.53</v>
      </c>
      <c r="K4391">
        <v>12</v>
      </c>
      <c r="L4391" s="1" t="s">
        <v>421</v>
      </c>
      <c r="M4391">
        <v>0</v>
      </c>
      <c r="N4391">
        <v>1384</v>
      </c>
      <c r="O4391">
        <v>9.8472139999999992</v>
      </c>
      <c r="P4391">
        <v>2</v>
      </c>
      <c r="Q4391" s="1" t="s">
        <v>569</v>
      </c>
      <c r="R4391" s="93">
        <v>13629.53</v>
      </c>
      <c r="S4391">
        <v>6392.24</v>
      </c>
      <c r="T4391">
        <v>1</v>
      </c>
      <c r="U4391" s="1" t="s">
        <v>1171</v>
      </c>
      <c r="V4391" s="1"/>
      <c r="W4391">
        <v>13629.516540000001</v>
      </c>
      <c r="X4391">
        <v>0</v>
      </c>
      <c r="Y4391">
        <v>57770</v>
      </c>
    </row>
    <row r="4392" spans="1:25" ht="15" hidden="1" customHeight="1" x14ac:dyDescent="0.25">
      <c r="A4392" s="1" t="s">
        <v>40</v>
      </c>
      <c r="B4392" s="1" t="s">
        <v>94</v>
      </c>
      <c r="C4392" s="1" t="s">
        <v>224</v>
      </c>
      <c r="D4392">
        <v>5465</v>
      </c>
      <c r="E4392" s="1"/>
      <c r="F4392" s="1" t="s">
        <v>224</v>
      </c>
      <c r="G4392" s="1" t="s">
        <v>224</v>
      </c>
      <c r="H4392" s="1" t="s">
        <v>1396</v>
      </c>
      <c r="I4392">
        <v>2009</v>
      </c>
      <c r="J4392" s="93">
        <v>63207.28</v>
      </c>
      <c r="K4392">
        <v>12</v>
      </c>
      <c r="L4392" s="1"/>
      <c r="M4392">
        <v>0</v>
      </c>
      <c r="N4392">
        <v>1384</v>
      </c>
      <c r="O4392">
        <v>45.666699999999999</v>
      </c>
      <c r="P4392">
        <v>2</v>
      </c>
      <c r="Q4392" s="1" t="s">
        <v>569</v>
      </c>
      <c r="R4392" s="93">
        <v>63207.28</v>
      </c>
      <c r="S4392">
        <v>29644.22</v>
      </c>
      <c r="T4392">
        <v>0</v>
      </c>
      <c r="U4392" s="1" t="s">
        <v>1172</v>
      </c>
      <c r="V4392" s="1" t="s">
        <v>1360</v>
      </c>
      <c r="W4392">
        <v>63207.29206</v>
      </c>
      <c r="X4392">
        <v>0</v>
      </c>
      <c r="Y4392">
        <v>58297</v>
      </c>
    </row>
    <row r="4393" spans="1:25" ht="15" hidden="1" customHeight="1" x14ac:dyDescent="0.25">
      <c r="A4393" s="1" t="s">
        <v>40</v>
      </c>
      <c r="B4393" s="1" t="s">
        <v>94</v>
      </c>
      <c r="C4393" s="1" t="s">
        <v>224</v>
      </c>
      <c r="D4393">
        <v>5465</v>
      </c>
      <c r="E4393" s="1"/>
      <c r="F4393" s="1" t="s">
        <v>224</v>
      </c>
      <c r="G4393" s="1" t="s">
        <v>224</v>
      </c>
      <c r="H4393" s="1" t="s">
        <v>1396</v>
      </c>
      <c r="I4393">
        <v>2008</v>
      </c>
      <c r="J4393" s="93">
        <v>11289</v>
      </c>
      <c r="K4393">
        <v>12</v>
      </c>
      <c r="L4393" s="1" t="s">
        <v>421</v>
      </c>
      <c r="M4393">
        <v>0</v>
      </c>
      <c r="N4393">
        <v>1384</v>
      </c>
      <c r="O4393">
        <v>8.1562020000000004</v>
      </c>
      <c r="P4393">
        <v>2</v>
      </c>
      <c r="Q4393" s="1" t="s">
        <v>569</v>
      </c>
      <c r="R4393" s="93">
        <v>11289</v>
      </c>
      <c r="S4393">
        <v>5294.52</v>
      </c>
      <c r="T4393">
        <v>1</v>
      </c>
      <c r="U4393" s="1" t="s">
        <v>1171</v>
      </c>
      <c r="V4393" s="1"/>
      <c r="W4393">
        <v>11288.991470000001</v>
      </c>
      <c r="X4393">
        <v>0</v>
      </c>
      <c r="Y4393">
        <v>57770</v>
      </c>
    </row>
    <row r="4394" spans="1:25" ht="15" hidden="1" customHeight="1" x14ac:dyDescent="0.25">
      <c r="A4394" s="1" t="s">
        <v>40</v>
      </c>
      <c r="B4394" s="1" t="s">
        <v>94</v>
      </c>
      <c r="C4394" s="1" t="s">
        <v>224</v>
      </c>
      <c r="D4394">
        <v>5465</v>
      </c>
      <c r="E4394" s="1"/>
      <c r="F4394" s="1" t="s">
        <v>224</v>
      </c>
      <c r="G4394" s="1" t="s">
        <v>224</v>
      </c>
      <c r="H4394" s="1" t="s">
        <v>1396</v>
      </c>
      <c r="I4394">
        <v>2008</v>
      </c>
      <c r="J4394" s="93">
        <v>67291.899999999994</v>
      </c>
      <c r="K4394">
        <v>12</v>
      </c>
      <c r="L4394" s="1"/>
      <c r="M4394">
        <v>0</v>
      </c>
      <c r="N4394">
        <v>1384</v>
      </c>
      <c r="O4394">
        <v>48.617801999999998</v>
      </c>
      <c r="P4394">
        <v>2</v>
      </c>
      <c r="Q4394" s="1" t="s">
        <v>569</v>
      </c>
      <c r="R4394" s="93">
        <v>67291.899999999994</v>
      </c>
      <c r="S4394">
        <v>31559.9</v>
      </c>
      <c r="T4394">
        <v>0</v>
      </c>
      <c r="U4394" s="1" t="s">
        <v>1172</v>
      </c>
      <c r="V4394" s="1" t="s">
        <v>1360</v>
      </c>
      <c r="W4394">
        <v>67291.899269999994</v>
      </c>
      <c r="X4394">
        <v>0</v>
      </c>
      <c r="Y4394">
        <v>58297</v>
      </c>
    </row>
    <row r="4395" spans="1:25" ht="15" hidden="1" customHeight="1" x14ac:dyDescent="0.25">
      <c r="A4395" s="1" t="s">
        <v>40</v>
      </c>
      <c r="B4395" s="1" t="s">
        <v>94</v>
      </c>
      <c r="C4395" s="1" t="s">
        <v>224</v>
      </c>
      <c r="D4395">
        <v>5539</v>
      </c>
      <c r="E4395" s="1"/>
      <c r="F4395" s="1" t="s">
        <v>370</v>
      </c>
      <c r="G4395" s="1" t="s">
        <v>224</v>
      </c>
      <c r="H4395" s="1" t="s">
        <v>1396</v>
      </c>
      <c r="I4395">
        <v>2015</v>
      </c>
      <c r="J4395" s="93">
        <v>16871.78</v>
      </c>
      <c r="K4395">
        <v>5</v>
      </c>
      <c r="L4395" s="1" t="s">
        <v>421</v>
      </c>
      <c r="M4395">
        <v>0</v>
      </c>
      <c r="N4395">
        <v>1480</v>
      </c>
      <c r="O4395">
        <v>11.399081000000001</v>
      </c>
      <c r="P4395">
        <v>2</v>
      </c>
      <c r="Q4395" s="1" t="s">
        <v>569</v>
      </c>
      <c r="R4395" s="93">
        <v>16871.78</v>
      </c>
      <c r="S4395">
        <v>6748.71</v>
      </c>
      <c r="T4395">
        <v>0</v>
      </c>
      <c r="U4395" s="1" t="s">
        <v>1178</v>
      </c>
      <c r="V4395" s="1"/>
      <c r="W4395">
        <v>16871.78125</v>
      </c>
      <c r="X4395">
        <v>0</v>
      </c>
      <c r="Y4395">
        <v>58286</v>
      </c>
    </row>
    <row r="4396" spans="1:25" ht="15" hidden="1" customHeight="1" x14ac:dyDescent="0.25">
      <c r="A4396" s="1" t="s">
        <v>40</v>
      </c>
      <c r="B4396" s="1" t="s">
        <v>94</v>
      </c>
      <c r="C4396" s="1" t="s">
        <v>224</v>
      </c>
      <c r="D4396">
        <v>5539</v>
      </c>
      <c r="E4396" s="1"/>
      <c r="F4396" s="1" t="s">
        <v>370</v>
      </c>
      <c r="G4396" s="1" t="s">
        <v>224</v>
      </c>
      <c r="H4396" s="1" t="s">
        <v>1396</v>
      </c>
      <c r="I4396">
        <v>2015</v>
      </c>
      <c r="J4396" s="93">
        <v>3852.4</v>
      </c>
      <c r="K4396">
        <v>5</v>
      </c>
      <c r="L4396" s="1" t="s">
        <v>421</v>
      </c>
      <c r="M4396">
        <v>0</v>
      </c>
      <c r="N4396">
        <v>1480</v>
      </c>
      <c r="O4396">
        <v>2.6027969999999998</v>
      </c>
      <c r="P4396">
        <v>2</v>
      </c>
      <c r="Q4396" s="1" t="s">
        <v>569</v>
      </c>
      <c r="R4396" s="93">
        <v>3852.4</v>
      </c>
      <c r="S4396">
        <v>1540.96</v>
      </c>
      <c r="T4396">
        <v>0</v>
      </c>
      <c r="U4396" s="1" t="s">
        <v>1179</v>
      </c>
      <c r="V4396" s="1"/>
      <c r="W4396">
        <v>3852.40625</v>
      </c>
      <c r="X4396">
        <v>0</v>
      </c>
      <c r="Y4396">
        <v>58287</v>
      </c>
    </row>
    <row r="4397" spans="1:25" ht="15" hidden="1" customHeight="1" x14ac:dyDescent="0.25">
      <c r="A4397" s="1" t="s">
        <v>40</v>
      </c>
      <c r="B4397" s="1" t="s">
        <v>94</v>
      </c>
      <c r="C4397" s="1" t="s">
        <v>224</v>
      </c>
      <c r="D4397">
        <v>5539</v>
      </c>
      <c r="E4397" s="1"/>
      <c r="F4397" s="1" t="s">
        <v>370</v>
      </c>
      <c r="G4397" s="1" t="s">
        <v>224</v>
      </c>
      <c r="H4397" s="1" t="s">
        <v>1396</v>
      </c>
      <c r="I4397">
        <v>2013</v>
      </c>
      <c r="J4397" s="93">
        <v>36990.54</v>
      </c>
      <c r="K4397">
        <v>12</v>
      </c>
      <c r="L4397" s="1" t="s">
        <v>421</v>
      </c>
      <c r="M4397">
        <v>0</v>
      </c>
      <c r="N4397">
        <v>1480</v>
      </c>
      <c r="O4397">
        <v>24.991918999999999</v>
      </c>
      <c r="P4397">
        <v>2</v>
      </c>
      <c r="Q4397" s="1" t="s">
        <v>569</v>
      </c>
      <c r="R4397" s="93">
        <v>36990.54</v>
      </c>
      <c r="S4397">
        <v>14796.22</v>
      </c>
      <c r="T4397">
        <v>0</v>
      </c>
      <c r="U4397" s="1" t="s">
        <v>1178</v>
      </c>
      <c r="V4397" s="1"/>
      <c r="W4397">
        <v>36990.535109999997</v>
      </c>
      <c r="X4397">
        <v>0</v>
      </c>
      <c r="Y4397">
        <v>58286</v>
      </c>
    </row>
    <row r="4398" spans="1:25" ht="15" hidden="1" customHeight="1" x14ac:dyDescent="0.25">
      <c r="A4398" s="1" t="s">
        <v>40</v>
      </c>
      <c r="B4398" s="1" t="s">
        <v>94</v>
      </c>
      <c r="C4398" s="1" t="s">
        <v>224</v>
      </c>
      <c r="D4398">
        <v>5539</v>
      </c>
      <c r="E4398" s="1"/>
      <c r="F4398" s="1" t="s">
        <v>370</v>
      </c>
      <c r="G4398" s="1" t="s">
        <v>224</v>
      </c>
      <c r="H4398" s="1" t="s">
        <v>1396</v>
      </c>
      <c r="I4398">
        <v>2013</v>
      </c>
      <c r="J4398" s="93">
        <v>6976.49</v>
      </c>
      <c r="K4398">
        <v>12</v>
      </c>
      <c r="L4398" s="1" t="s">
        <v>421</v>
      </c>
      <c r="M4398">
        <v>0</v>
      </c>
      <c r="N4398">
        <v>1480</v>
      </c>
      <c r="O4398">
        <v>4.7135259999999999</v>
      </c>
      <c r="P4398">
        <v>2</v>
      </c>
      <c r="Q4398" s="1" t="s">
        <v>569</v>
      </c>
      <c r="R4398" s="93">
        <v>6976.49</v>
      </c>
      <c r="S4398">
        <v>2790.59</v>
      </c>
      <c r="T4398">
        <v>0</v>
      </c>
      <c r="U4398" s="1" t="s">
        <v>1179</v>
      </c>
      <c r="V4398" s="1"/>
      <c r="W4398">
        <v>6976.4810299999999</v>
      </c>
      <c r="X4398">
        <v>0</v>
      </c>
      <c r="Y4398">
        <v>58287</v>
      </c>
    </row>
    <row r="4399" spans="1:25" ht="15" hidden="1" customHeight="1" x14ac:dyDescent="0.25">
      <c r="A4399" s="1" t="s">
        <v>40</v>
      </c>
      <c r="B4399" s="1" t="s">
        <v>94</v>
      </c>
      <c r="C4399" s="1" t="s">
        <v>224</v>
      </c>
      <c r="D4399">
        <v>5539</v>
      </c>
      <c r="E4399" s="1"/>
      <c r="F4399" s="1" t="s">
        <v>370</v>
      </c>
      <c r="G4399" s="1" t="s">
        <v>224</v>
      </c>
      <c r="H4399" s="1" t="s">
        <v>1396</v>
      </c>
      <c r="I4399">
        <v>2012</v>
      </c>
      <c r="J4399" s="93">
        <v>11917.73</v>
      </c>
      <c r="K4399">
        <v>12</v>
      </c>
      <c r="L4399" s="1" t="s">
        <v>421</v>
      </c>
      <c r="M4399">
        <v>0</v>
      </c>
      <c r="N4399">
        <v>1480</v>
      </c>
      <c r="O4399">
        <v>8.0519759999999998</v>
      </c>
      <c r="P4399">
        <v>2</v>
      </c>
      <c r="Q4399" s="1" t="s">
        <v>569</v>
      </c>
      <c r="R4399" s="93">
        <v>11917.73</v>
      </c>
      <c r="S4399">
        <v>4767.07</v>
      </c>
      <c r="T4399">
        <v>0</v>
      </c>
      <c r="U4399" s="1" t="s">
        <v>1179</v>
      </c>
      <c r="V4399" s="1"/>
      <c r="W4399">
        <v>11917.728160000001</v>
      </c>
      <c r="X4399">
        <v>0</v>
      </c>
      <c r="Y4399">
        <v>58287</v>
      </c>
    </row>
    <row r="4400" spans="1:25" ht="15" hidden="1" customHeight="1" x14ac:dyDescent="0.25">
      <c r="A4400" s="1" t="s">
        <v>40</v>
      </c>
      <c r="B4400" s="1" t="s">
        <v>94</v>
      </c>
      <c r="C4400" s="1" t="s">
        <v>224</v>
      </c>
      <c r="D4400">
        <v>5539</v>
      </c>
      <c r="E4400" s="1"/>
      <c r="F4400" s="1" t="s">
        <v>370</v>
      </c>
      <c r="G4400" s="1" t="s">
        <v>224</v>
      </c>
      <c r="H4400" s="1" t="s">
        <v>1396</v>
      </c>
      <c r="I4400">
        <v>2012</v>
      </c>
      <c r="J4400" s="93">
        <v>34503.19</v>
      </c>
      <c r="K4400">
        <v>11</v>
      </c>
      <c r="L4400" s="1" t="s">
        <v>421</v>
      </c>
      <c r="M4400">
        <v>0</v>
      </c>
      <c r="N4400">
        <v>1480</v>
      </c>
      <c r="O4400">
        <v>23.311391</v>
      </c>
      <c r="P4400">
        <v>2</v>
      </c>
      <c r="Q4400" s="1" t="s">
        <v>569</v>
      </c>
      <c r="R4400" s="93">
        <v>34503.19</v>
      </c>
      <c r="S4400">
        <v>13801.29</v>
      </c>
      <c r="T4400">
        <v>0</v>
      </c>
      <c r="U4400" s="1" t="s">
        <v>1178</v>
      </c>
      <c r="V4400" s="1"/>
      <c r="W4400">
        <v>34503.196080000002</v>
      </c>
      <c r="X4400">
        <v>0</v>
      </c>
      <c r="Y4400">
        <v>58286</v>
      </c>
    </row>
    <row r="4401" spans="1:25" ht="15" hidden="1" customHeight="1" x14ac:dyDescent="0.25">
      <c r="A4401" s="1" t="s">
        <v>40</v>
      </c>
      <c r="B4401" s="1" t="s">
        <v>94</v>
      </c>
      <c r="C4401" s="1" t="s">
        <v>224</v>
      </c>
      <c r="D4401">
        <v>5539</v>
      </c>
      <c r="E4401" s="1"/>
      <c r="F4401" s="1" t="s">
        <v>370</v>
      </c>
      <c r="G4401" s="1" t="s">
        <v>224</v>
      </c>
      <c r="H4401" s="1" t="s">
        <v>1396</v>
      </c>
      <c r="I4401">
        <v>2011</v>
      </c>
      <c r="J4401" s="93">
        <v>29935.55</v>
      </c>
      <c r="K4401">
        <v>12</v>
      </c>
      <c r="L4401" s="1" t="s">
        <v>421</v>
      </c>
      <c r="M4401">
        <v>0</v>
      </c>
      <c r="N4401">
        <v>1480</v>
      </c>
      <c r="O4401">
        <v>20.225356000000001</v>
      </c>
      <c r="P4401">
        <v>2</v>
      </c>
      <c r="Q4401" s="1" t="s">
        <v>569</v>
      </c>
      <c r="R4401" s="93">
        <v>29935.55</v>
      </c>
      <c r="S4401">
        <v>14039.78</v>
      </c>
      <c r="T4401">
        <v>0</v>
      </c>
      <c r="U4401" s="1" t="s">
        <v>1179</v>
      </c>
      <c r="V4401" s="1"/>
      <c r="W4401">
        <v>29935.545460000001</v>
      </c>
      <c r="X4401">
        <v>0</v>
      </c>
      <c r="Y4401">
        <v>58287</v>
      </c>
    </row>
    <row r="4402" spans="1:25" ht="15" hidden="1" customHeight="1" x14ac:dyDescent="0.25">
      <c r="A4402" s="1" t="s">
        <v>40</v>
      </c>
      <c r="B4402" s="1" t="s">
        <v>94</v>
      </c>
      <c r="C4402" s="1" t="s">
        <v>224</v>
      </c>
      <c r="D4402">
        <v>5539</v>
      </c>
      <c r="E4402" s="1"/>
      <c r="F4402" s="1" t="s">
        <v>370</v>
      </c>
      <c r="G4402" s="1" t="s">
        <v>224</v>
      </c>
      <c r="H4402" s="1" t="s">
        <v>1396</v>
      </c>
      <c r="I4402">
        <v>2011</v>
      </c>
      <c r="J4402" s="93">
        <v>34942.959999999999</v>
      </c>
      <c r="K4402">
        <v>12</v>
      </c>
      <c r="L4402" s="1" t="s">
        <v>421</v>
      </c>
      <c r="M4402">
        <v>0</v>
      </c>
      <c r="N4402">
        <v>1480</v>
      </c>
      <c r="O4402">
        <v>23.608512000000001</v>
      </c>
      <c r="P4402">
        <v>2</v>
      </c>
      <c r="Q4402" s="1" t="s">
        <v>569</v>
      </c>
      <c r="R4402" s="93">
        <v>34942.959999999999</v>
      </c>
      <c r="S4402">
        <v>16388.25</v>
      </c>
      <c r="T4402">
        <v>0</v>
      </c>
      <c r="U4402" s="1" t="s">
        <v>1178</v>
      </c>
      <c r="V4402" s="1"/>
      <c r="W4402">
        <v>34942.939400000003</v>
      </c>
      <c r="X4402">
        <v>0</v>
      </c>
      <c r="Y4402">
        <v>58286</v>
      </c>
    </row>
    <row r="4403" spans="1:25" ht="15" hidden="1" customHeight="1" x14ac:dyDescent="0.25">
      <c r="A4403" s="1" t="s">
        <v>40</v>
      </c>
      <c r="B4403" s="1" t="s">
        <v>94</v>
      </c>
      <c r="C4403" s="1" t="s">
        <v>224</v>
      </c>
      <c r="D4403">
        <v>5539</v>
      </c>
      <c r="E4403" s="1"/>
      <c r="F4403" s="1" t="s">
        <v>370</v>
      </c>
      <c r="G4403" s="1" t="s">
        <v>224</v>
      </c>
      <c r="H4403" s="1" t="s">
        <v>1396</v>
      </c>
      <c r="I4403">
        <v>2010</v>
      </c>
      <c r="J4403" s="93">
        <v>19145.95</v>
      </c>
      <c r="K4403">
        <v>12</v>
      </c>
      <c r="L4403" s="1" t="s">
        <v>421</v>
      </c>
      <c r="M4403">
        <v>0</v>
      </c>
      <c r="N4403">
        <v>1480</v>
      </c>
      <c r="O4403">
        <v>12.935578</v>
      </c>
      <c r="P4403">
        <v>2</v>
      </c>
      <c r="Q4403" s="1" t="s">
        <v>569</v>
      </c>
      <c r="R4403" s="93">
        <v>19145.95</v>
      </c>
      <c r="S4403">
        <v>8979.42</v>
      </c>
      <c r="T4403">
        <v>0</v>
      </c>
      <c r="U4403" s="1" t="s">
        <v>1179</v>
      </c>
      <c r="V4403" s="1"/>
      <c r="W4403">
        <v>19145.932250000002</v>
      </c>
      <c r="X4403">
        <v>0</v>
      </c>
      <c r="Y4403">
        <v>58287</v>
      </c>
    </row>
    <row r="4404" spans="1:25" ht="15" hidden="1" customHeight="1" x14ac:dyDescent="0.25">
      <c r="A4404" s="1" t="s">
        <v>40</v>
      </c>
      <c r="B4404" s="1" t="s">
        <v>87</v>
      </c>
      <c r="C4404" s="1" t="s">
        <v>214</v>
      </c>
      <c r="D4404">
        <v>5954</v>
      </c>
      <c r="E4404" s="1"/>
      <c r="F4404" s="1" t="s">
        <v>352</v>
      </c>
      <c r="G4404" s="1" t="s">
        <v>214</v>
      </c>
      <c r="H4404" s="1" t="s">
        <v>1396</v>
      </c>
      <c r="I4404">
        <v>2014</v>
      </c>
      <c r="J4404" s="93">
        <v>17287.990000000002</v>
      </c>
      <c r="K4404">
        <v>12</v>
      </c>
      <c r="L4404" s="1" t="s">
        <v>426</v>
      </c>
      <c r="M4404">
        <v>0</v>
      </c>
      <c r="N4404">
        <v>475</v>
      </c>
      <c r="O4404">
        <v>36.388106999999998</v>
      </c>
      <c r="P4404">
        <v>2</v>
      </c>
      <c r="Q4404" s="1" t="s">
        <v>569</v>
      </c>
      <c r="R4404" s="93">
        <v>17287.990000000002</v>
      </c>
      <c r="S4404">
        <v>6915.19</v>
      </c>
      <c r="T4404">
        <v>0</v>
      </c>
      <c r="U4404" s="1" t="s">
        <v>1156</v>
      </c>
      <c r="V4404" s="1"/>
      <c r="W4404">
        <v>17287.991999999998</v>
      </c>
      <c r="X4404">
        <v>0</v>
      </c>
      <c r="Y4404">
        <v>59980</v>
      </c>
    </row>
    <row r="4405" spans="1:25" ht="15" hidden="1" customHeight="1" x14ac:dyDescent="0.25">
      <c r="A4405" s="1" t="s">
        <v>40</v>
      </c>
      <c r="B4405" s="1" t="s">
        <v>87</v>
      </c>
      <c r="C4405" s="1" t="s">
        <v>214</v>
      </c>
      <c r="D4405">
        <v>5954</v>
      </c>
      <c r="E4405" s="1"/>
      <c r="F4405" s="1" t="s">
        <v>352</v>
      </c>
      <c r="G4405" s="1" t="s">
        <v>214</v>
      </c>
      <c r="H4405" s="1" t="s">
        <v>1396</v>
      </c>
      <c r="I4405">
        <v>2014</v>
      </c>
      <c r="J4405" s="93">
        <v>173.93</v>
      </c>
      <c r="K4405">
        <v>12</v>
      </c>
      <c r="L4405" s="1" t="s">
        <v>426</v>
      </c>
      <c r="M4405">
        <v>0</v>
      </c>
      <c r="N4405">
        <v>475</v>
      </c>
      <c r="O4405">
        <v>0.366091</v>
      </c>
      <c r="P4405">
        <v>3</v>
      </c>
      <c r="Q4405" s="1" t="s">
        <v>560</v>
      </c>
      <c r="R4405" s="93">
        <v>173.93</v>
      </c>
      <c r="S4405">
        <v>139.15</v>
      </c>
      <c r="T4405">
        <v>0</v>
      </c>
      <c r="U4405" s="1" t="s">
        <v>735</v>
      </c>
      <c r="V4405" s="1"/>
      <c r="W4405">
        <v>173.935</v>
      </c>
      <c r="X4405">
        <v>0</v>
      </c>
      <c r="Y4405">
        <v>59982</v>
      </c>
    </row>
    <row r="4406" spans="1:25" ht="15" hidden="1" customHeight="1" x14ac:dyDescent="0.25">
      <c r="A4406" s="1" t="s">
        <v>40</v>
      </c>
      <c r="B4406" s="1" t="s">
        <v>87</v>
      </c>
      <c r="C4406" s="1" t="s">
        <v>214</v>
      </c>
      <c r="D4406">
        <v>5954</v>
      </c>
      <c r="E4406" s="1"/>
      <c r="F4406" s="1" t="s">
        <v>352</v>
      </c>
      <c r="G4406" s="1" t="s">
        <v>214</v>
      </c>
      <c r="H4406" s="1" t="s">
        <v>1396</v>
      </c>
      <c r="I4406">
        <v>2014</v>
      </c>
      <c r="J4406" s="93">
        <v>66378.14</v>
      </c>
      <c r="K4406">
        <v>12</v>
      </c>
      <c r="L4406" s="1" t="s">
        <v>482</v>
      </c>
      <c r="M4406">
        <v>0</v>
      </c>
      <c r="N4406">
        <v>475</v>
      </c>
      <c r="O4406">
        <v>139.71403900000001</v>
      </c>
      <c r="P4406">
        <v>1</v>
      </c>
      <c r="Q4406" s="1" t="s">
        <v>564</v>
      </c>
      <c r="R4406" s="93">
        <v>78967.5</v>
      </c>
      <c r="S4406">
        <v>16700.18</v>
      </c>
      <c r="T4406">
        <v>0</v>
      </c>
      <c r="U4406" s="1" t="s">
        <v>911</v>
      </c>
      <c r="V4406" s="1" t="s">
        <v>1229</v>
      </c>
      <c r="W4406">
        <v>6146.125</v>
      </c>
      <c r="X4406">
        <v>0</v>
      </c>
      <c r="Y4406">
        <v>59981</v>
      </c>
    </row>
    <row r="4407" spans="1:25" ht="15" hidden="1" customHeight="1" x14ac:dyDescent="0.25">
      <c r="A4407" s="1" t="s">
        <v>40</v>
      </c>
      <c r="B4407" s="1" t="s">
        <v>88</v>
      </c>
      <c r="C4407" s="1" t="s">
        <v>215</v>
      </c>
      <c r="D4407">
        <v>5429</v>
      </c>
      <c r="E4407" s="1"/>
      <c r="F4407" s="1" t="s">
        <v>215</v>
      </c>
      <c r="G4407" s="1" t="s">
        <v>215</v>
      </c>
      <c r="H4407" s="1" t="s">
        <v>1396</v>
      </c>
      <c r="I4407">
        <v>2014</v>
      </c>
      <c r="J4407" s="93">
        <v>41464.589999999997</v>
      </c>
      <c r="K4407">
        <v>12</v>
      </c>
      <c r="L4407" s="1" t="s">
        <v>472</v>
      </c>
      <c r="M4407">
        <v>0</v>
      </c>
      <c r="N4407">
        <v>1747</v>
      </c>
      <c r="O4407">
        <v>23.733381000000001</v>
      </c>
      <c r="P4407">
        <v>2</v>
      </c>
      <c r="Q4407" s="1" t="s">
        <v>569</v>
      </c>
      <c r="R4407" s="93">
        <v>41464.589999999997</v>
      </c>
      <c r="S4407">
        <v>16585.830000000002</v>
      </c>
      <c r="T4407">
        <v>0</v>
      </c>
      <c r="U4407" s="1" t="s">
        <v>1157</v>
      </c>
      <c r="V4407" s="1" t="s">
        <v>1353</v>
      </c>
      <c r="W4407">
        <v>41464.58</v>
      </c>
      <c r="X4407">
        <v>0</v>
      </c>
      <c r="Y4407">
        <v>57408</v>
      </c>
    </row>
    <row r="4408" spans="1:25" ht="15" hidden="1" customHeight="1" x14ac:dyDescent="0.25">
      <c r="A4408" s="1" t="s">
        <v>40</v>
      </c>
      <c r="B4408" s="1" t="s">
        <v>88</v>
      </c>
      <c r="C4408" s="1" t="s">
        <v>215</v>
      </c>
      <c r="D4408">
        <v>5431</v>
      </c>
      <c r="E4408" s="1"/>
      <c r="F4408" s="1" t="s">
        <v>391</v>
      </c>
      <c r="G4408" s="1" t="s">
        <v>215</v>
      </c>
      <c r="H4408" s="1" t="s">
        <v>1396</v>
      </c>
      <c r="I4408">
        <v>2014</v>
      </c>
      <c r="J4408" s="93">
        <v>17341.77</v>
      </c>
      <c r="K4408">
        <v>4</v>
      </c>
      <c r="L4408" s="1" t="s">
        <v>555</v>
      </c>
      <c r="M4408">
        <v>0</v>
      </c>
      <c r="N4408">
        <v>640</v>
      </c>
      <c r="O4408">
        <v>27.092282000000001</v>
      </c>
      <c r="P4408">
        <v>2</v>
      </c>
      <c r="Q4408" s="1" t="s">
        <v>569</v>
      </c>
      <c r="R4408" s="93">
        <v>17341.77</v>
      </c>
      <c r="S4408">
        <v>6936.72</v>
      </c>
      <c r="T4408">
        <v>0</v>
      </c>
      <c r="U4408" s="1" t="s">
        <v>1158</v>
      </c>
      <c r="V4408" s="1"/>
      <c r="W4408">
        <v>17341.78314</v>
      </c>
      <c r="X4408">
        <v>0</v>
      </c>
      <c r="Y4408">
        <v>57417</v>
      </c>
    </row>
    <row r="4409" spans="1:25" ht="15" hidden="1" customHeight="1" x14ac:dyDescent="0.25">
      <c r="A4409" s="1" t="s">
        <v>40</v>
      </c>
      <c r="B4409" s="1" t="s">
        <v>88</v>
      </c>
      <c r="C4409" s="1" t="s">
        <v>215</v>
      </c>
      <c r="D4409">
        <v>5429</v>
      </c>
      <c r="E4409" s="1"/>
      <c r="F4409" s="1" t="s">
        <v>215</v>
      </c>
      <c r="G4409" s="1" t="s">
        <v>215</v>
      </c>
      <c r="H4409" s="1" t="s">
        <v>1396</v>
      </c>
      <c r="I4409">
        <v>2014</v>
      </c>
      <c r="J4409" s="93">
        <v>453.99</v>
      </c>
      <c r="K4409">
        <v>12</v>
      </c>
      <c r="L4409" s="1"/>
      <c r="M4409">
        <v>0</v>
      </c>
      <c r="N4409">
        <v>1747</v>
      </c>
      <c r="O4409">
        <v>0.259853</v>
      </c>
      <c r="P4409">
        <v>3</v>
      </c>
      <c r="Q4409" s="1" t="s">
        <v>560</v>
      </c>
      <c r="R4409" s="93">
        <v>453.99</v>
      </c>
      <c r="S4409">
        <v>363.18</v>
      </c>
      <c r="T4409">
        <v>0</v>
      </c>
      <c r="U4409" s="1" t="s">
        <v>736</v>
      </c>
      <c r="V4409" s="1"/>
      <c r="W4409">
        <v>453.988</v>
      </c>
      <c r="X4409">
        <v>0</v>
      </c>
      <c r="Y4409">
        <v>57410</v>
      </c>
    </row>
    <row r="4410" spans="1:25" ht="15" hidden="1" customHeight="1" x14ac:dyDescent="0.25">
      <c r="A4410" s="1" t="s">
        <v>40</v>
      </c>
      <c r="B4410" s="1" t="s">
        <v>88</v>
      </c>
      <c r="C4410" s="1" t="s">
        <v>215</v>
      </c>
      <c r="D4410">
        <v>5429</v>
      </c>
      <c r="E4410" s="1"/>
      <c r="F4410" s="1" t="s">
        <v>215</v>
      </c>
      <c r="G4410" s="1" t="s">
        <v>215</v>
      </c>
      <c r="H4410" s="1" t="s">
        <v>1396</v>
      </c>
      <c r="I4410">
        <v>2014</v>
      </c>
      <c r="J4410" s="93">
        <v>92634.29</v>
      </c>
      <c r="K4410">
        <v>12</v>
      </c>
      <c r="L4410" s="1" t="s">
        <v>472</v>
      </c>
      <c r="M4410">
        <v>0</v>
      </c>
      <c r="N4410">
        <v>1747</v>
      </c>
      <c r="O4410">
        <v>53.021743999999998</v>
      </c>
      <c r="P4410">
        <v>1</v>
      </c>
      <c r="Q4410" s="1" t="s">
        <v>564</v>
      </c>
      <c r="R4410" s="93">
        <v>110498.32</v>
      </c>
      <c r="S4410">
        <v>23368.34</v>
      </c>
      <c r="T4410">
        <v>0</v>
      </c>
      <c r="U4410" s="1" t="s">
        <v>912</v>
      </c>
      <c r="V4410" s="1" t="s">
        <v>1230</v>
      </c>
      <c r="W4410">
        <v>8577.25</v>
      </c>
      <c r="X4410">
        <v>0</v>
      </c>
      <c r="Y4410">
        <v>57409</v>
      </c>
    </row>
    <row r="4411" spans="1:25" ht="15" hidden="1" customHeight="1" x14ac:dyDescent="0.25">
      <c r="A4411" s="1" t="s">
        <v>40</v>
      </c>
      <c r="B4411" s="1" t="s">
        <v>97</v>
      </c>
      <c r="C4411" s="1" t="s">
        <v>242</v>
      </c>
      <c r="D4411">
        <v>13512</v>
      </c>
      <c r="E4411" s="1" t="s">
        <v>243</v>
      </c>
      <c r="F4411" s="1" t="s">
        <v>392</v>
      </c>
      <c r="G4411" s="1" t="s">
        <v>242</v>
      </c>
      <c r="H4411" s="1" t="s">
        <v>1396</v>
      </c>
      <c r="I4411">
        <v>2014</v>
      </c>
      <c r="J4411" s="93">
        <v>2256.81</v>
      </c>
      <c r="K4411">
        <v>4</v>
      </c>
      <c r="L4411" s="1" t="s">
        <v>556</v>
      </c>
      <c r="M4411">
        <v>0</v>
      </c>
      <c r="N4411">
        <v>1</v>
      </c>
      <c r="O4411">
        <v>2051.645454</v>
      </c>
      <c r="P4411">
        <v>2</v>
      </c>
      <c r="Q4411" s="1" t="s">
        <v>569</v>
      </c>
      <c r="R4411" s="93">
        <v>2256.81</v>
      </c>
      <c r="S4411">
        <v>677.06</v>
      </c>
      <c r="T4411">
        <v>0</v>
      </c>
      <c r="U4411" s="1" t="s">
        <v>1159</v>
      </c>
      <c r="V4411" s="1" t="s">
        <v>1354</v>
      </c>
      <c r="W4411">
        <v>2256.8041400000002</v>
      </c>
      <c r="X4411">
        <v>0</v>
      </c>
      <c r="Y4411">
        <v>90398</v>
      </c>
    </row>
    <row r="4412" spans="1:25" ht="15" hidden="1" customHeight="1" x14ac:dyDescent="0.25">
      <c r="A4412" s="1" t="s">
        <v>40</v>
      </c>
      <c r="B4412" s="1" t="s">
        <v>89</v>
      </c>
      <c r="C4412" s="1" t="s">
        <v>216</v>
      </c>
      <c r="D4412">
        <v>5265</v>
      </c>
      <c r="E4412" s="1"/>
      <c r="F4412" s="1" t="s">
        <v>216</v>
      </c>
      <c r="G4412" s="1" t="s">
        <v>216</v>
      </c>
      <c r="H4412" s="1" t="s">
        <v>1396</v>
      </c>
      <c r="I4412">
        <v>2014</v>
      </c>
      <c r="J4412" s="93">
        <v>22484.39</v>
      </c>
      <c r="K4412">
        <v>12</v>
      </c>
      <c r="L4412" s="1" t="s">
        <v>404</v>
      </c>
      <c r="M4412">
        <v>0</v>
      </c>
      <c r="N4412">
        <v>585</v>
      </c>
      <c r="O4412">
        <v>38.428285000000002</v>
      </c>
      <c r="P4412">
        <v>2</v>
      </c>
      <c r="Q4412" s="1" t="s">
        <v>569</v>
      </c>
      <c r="R4412" s="93">
        <v>22484.39</v>
      </c>
      <c r="S4412">
        <v>8993.75</v>
      </c>
      <c r="T4412">
        <v>0</v>
      </c>
      <c r="U4412" s="1" t="s">
        <v>1160</v>
      </c>
      <c r="V4412" s="1" t="s">
        <v>1355</v>
      </c>
      <c r="W4412">
        <v>22484.366000000002</v>
      </c>
      <c r="X4412">
        <v>0</v>
      </c>
      <c r="Y4412">
        <v>56773</v>
      </c>
    </row>
    <row r="4413" spans="1:25" ht="15" hidden="1" customHeight="1" x14ac:dyDescent="0.25">
      <c r="A4413" s="1" t="s">
        <v>40</v>
      </c>
      <c r="B4413" s="1" t="s">
        <v>89</v>
      </c>
      <c r="C4413" s="1" t="s">
        <v>216</v>
      </c>
      <c r="D4413">
        <v>5265</v>
      </c>
      <c r="E4413" s="1"/>
      <c r="F4413" s="1" t="s">
        <v>216</v>
      </c>
      <c r="G4413" s="1" t="s">
        <v>216</v>
      </c>
      <c r="H4413" s="1" t="s">
        <v>1396</v>
      </c>
      <c r="I4413">
        <v>2014</v>
      </c>
      <c r="J4413" s="93">
        <v>155.56</v>
      </c>
      <c r="K4413">
        <v>12</v>
      </c>
      <c r="L4413" s="1" t="s">
        <v>404</v>
      </c>
      <c r="M4413">
        <v>0</v>
      </c>
      <c r="N4413">
        <v>585</v>
      </c>
      <c r="O4413">
        <v>0.26586900000000002</v>
      </c>
      <c r="P4413">
        <v>3</v>
      </c>
      <c r="Q4413" s="1" t="s">
        <v>560</v>
      </c>
      <c r="R4413" s="93">
        <v>155.56</v>
      </c>
      <c r="S4413">
        <v>124.43</v>
      </c>
      <c r="T4413">
        <v>0</v>
      </c>
      <c r="U4413" s="1" t="s">
        <v>737</v>
      </c>
      <c r="V4413" s="1"/>
      <c r="W4413">
        <v>155.55199999999999</v>
      </c>
      <c r="X4413">
        <v>0</v>
      </c>
      <c r="Y4413">
        <v>56775</v>
      </c>
    </row>
    <row r="4414" spans="1:25" ht="15" hidden="1" customHeight="1" x14ac:dyDescent="0.25">
      <c r="A4414" s="1" t="s">
        <v>40</v>
      </c>
      <c r="B4414" s="1" t="s">
        <v>89</v>
      </c>
      <c r="C4414" s="1" t="s">
        <v>216</v>
      </c>
      <c r="D4414">
        <v>5265</v>
      </c>
      <c r="E4414" s="1"/>
      <c r="F4414" s="1" t="s">
        <v>216</v>
      </c>
      <c r="G4414" s="1" t="s">
        <v>216</v>
      </c>
      <c r="H4414" s="1" t="s">
        <v>1396</v>
      </c>
      <c r="I4414">
        <v>2014</v>
      </c>
      <c r="J4414" s="93">
        <v>58965</v>
      </c>
      <c r="K4414">
        <v>12</v>
      </c>
      <c r="L4414" s="1" t="s">
        <v>469</v>
      </c>
      <c r="M4414">
        <v>0</v>
      </c>
      <c r="N4414">
        <v>585</v>
      </c>
      <c r="O4414">
        <v>100.777644</v>
      </c>
      <c r="P4414">
        <v>1</v>
      </c>
      <c r="Q4414" s="1" t="s">
        <v>562</v>
      </c>
      <c r="R4414" s="93">
        <v>70960.67</v>
      </c>
      <c r="S4414">
        <v>2992813.11</v>
      </c>
      <c r="T4414">
        <v>0</v>
      </c>
      <c r="U4414" s="1" t="s">
        <v>913</v>
      </c>
      <c r="V4414" s="1"/>
      <c r="W4414">
        <v>58965</v>
      </c>
      <c r="X4414">
        <v>0</v>
      </c>
      <c r="Y4414">
        <v>56774</v>
      </c>
    </row>
    <row r="4415" spans="1:25" ht="15" hidden="1" customHeight="1" x14ac:dyDescent="0.25">
      <c r="A4415" s="1" t="s">
        <v>40</v>
      </c>
      <c r="B4415" s="1" t="s">
        <v>89</v>
      </c>
      <c r="C4415" s="1" t="s">
        <v>216</v>
      </c>
      <c r="D4415">
        <v>5265</v>
      </c>
      <c r="E4415" s="1"/>
      <c r="F4415" s="1" t="s">
        <v>216</v>
      </c>
      <c r="G4415" s="1" t="s">
        <v>216</v>
      </c>
      <c r="H4415" s="1" t="s">
        <v>1396</v>
      </c>
      <c r="I4415">
        <v>2014</v>
      </c>
      <c r="J4415" s="93">
        <v>52978.36</v>
      </c>
      <c r="K4415">
        <v>12</v>
      </c>
      <c r="L4415" s="1" t="s">
        <v>469</v>
      </c>
      <c r="M4415">
        <v>0</v>
      </c>
      <c r="N4415">
        <v>585</v>
      </c>
      <c r="O4415">
        <v>90.545821000000004</v>
      </c>
      <c r="P4415">
        <v>1</v>
      </c>
      <c r="Q4415" s="1" t="s">
        <v>563</v>
      </c>
      <c r="R4415" s="93">
        <v>63340.55</v>
      </c>
      <c r="S4415">
        <v>83231.570000000007</v>
      </c>
      <c r="T4415">
        <v>1</v>
      </c>
      <c r="U4415" s="1" t="s">
        <v>913</v>
      </c>
      <c r="V4415" s="1"/>
      <c r="W4415">
        <v>1518.44</v>
      </c>
      <c r="X4415">
        <v>0</v>
      </c>
      <c r="Y4415">
        <v>56999</v>
      </c>
    </row>
    <row r="4416" spans="1:25" ht="15" hidden="1" customHeight="1" x14ac:dyDescent="0.25">
      <c r="A4416" s="1" t="s">
        <v>40</v>
      </c>
      <c r="B4416" s="1" t="s">
        <v>90</v>
      </c>
      <c r="C4416" s="1" t="s">
        <v>217</v>
      </c>
      <c r="D4416">
        <v>5266</v>
      </c>
      <c r="E4416" s="1"/>
      <c r="F4416" s="1" t="s">
        <v>217</v>
      </c>
      <c r="G4416" s="1" t="s">
        <v>217</v>
      </c>
      <c r="H4416" s="1" t="s">
        <v>1396</v>
      </c>
      <c r="I4416">
        <v>2014</v>
      </c>
      <c r="J4416" s="93">
        <v>31512.98</v>
      </c>
      <c r="K4416">
        <v>12</v>
      </c>
      <c r="L4416" s="1" t="s">
        <v>404</v>
      </c>
      <c r="M4416">
        <v>0</v>
      </c>
      <c r="N4416">
        <v>585</v>
      </c>
      <c r="O4416">
        <v>53.859135000000002</v>
      </c>
      <c r="P4416">
        <v>2</v>
      </c>
      <c r="Q4416" s="1" t="s">
        <v>569</v>
      </c>
      <c r="R4416" s="93">
        <v>31512.98</v>
      </c>
      <c r="S4416">
        <v>12605.19</v>
      </c>
      <c r="T4416">
        <v>0</v>
      </c>
      <c r="U4416" s="1" t="s">
        <v>1161</v>
      </c>
      <c r="V4416" s="1"/>
      <c r="W4416">
        <v>31512.959999999999</v>
      </c>
      <c r="X4416">
        <v>0</v>
      </c>
      <c r="Y4416">
        <v>56782</v>
      </c>
    </row>
    <row r="4417" spans="1:25" ht="15" hidden="1" customHeight="1" x14ac:dyDescent="0.25">
      <c r="A4417" s="1" t="s">
        <v>40</v>
      </c>
      <c r="B4417" s="1" t="s">
        <v>90</v>
      </c>
      <c r="C4417" s="1" t="s">
        <v>217</v>
      </c>
      <c r="D4417">
        <v>5266</v>
      </c>
      <c r="E4417" s="1"/>
      <c r="F4417" s="1" t="s">
        <v>217</v>
      </c>
      <c r="G4417" s="1" t="s">
        <v>217</v>
      </c>
      <c r="H4417" s="1" t="s">
        <v>1396</v>
      </c>
      <c r="I4417">
        <v>2014</v>
      </c>
      <c r="J4417" s="93">
        <v>161.05000000000001</v>
      </c>
      <c r="K4417">
        <v>12</v>
      </c>
      <c r="L4417" s="1" t="s">
        <v>404</v>
      </c>
      <c r="M4417">
        <v>0</v>
      </c>
      <c r="N4417">
        <v>585</v>
      </c>
      <c r="O4417">
        <v>0.275252</v>
      </c>
      <c r="P4417">
        <v>3</v>
      </c>
      <c r="Q4417" s="1" t="s">
        <v>560</v>
      </c>
      <c r="R4417" s="93">
        <v>161.05000000000001</v>
      </c>
      <c r="S4417">
        <v>128.83000000000001</v>
      </c>
      <c r="T4417">
        <v>0</v>
      </c>
      <c r="U4417" s="1" t="s">
        <v>738</v>
      </c>
      <c r="V4417" s="1"/>
      <c r="W4417">
        <v>161.04</v>
      </c>
      <c r="X4417">
        <v>0</v>
      </c>
      <c r="Y4417">
        <v>56781</v>
      </c>
    </row>
    <row r="4418" spans="1:25" ht="15" hidden="1" customHeight="1" x14ac:dyDescent="0.25">
      <c r="A4418" s="1" t="s">
        <v>40</v>
      </c>
      <c r="B4418" s="1" t="s">
        <v>90</v>
      </c>
      <c r="C4418" s="1" t="s">
        <v>217</v>
      </c>
      <c r="D4418">
        <v>5266</v>
      </c>
      <c r="E4418" s="1"/>
      <c r="F4418" s="1" t="s">
        <v>217</v>
      </c>
      <c r="G4418" s="1" t="s">
        <v>217</v>
      </c>
      <c r="H4418" s="1" t="s">
        <v>1396</v>
      </c>
      <c r="I4418">
        <v>2014</v>
      </c>
      <c r="J4418" s="93">
        <v>51188</v>
      </c>
      <c r="K4418">
        <v>12</v>
      </c>
      <c r="L4418" s="1" t="s">
        <v>469</v>
      </c>
      <c r="M4418">
        <v>0</v>
      </c>
      <c r="N4418">
        <v>585</v>
      </c>
      <c r="O4418">
        <v>87.485899000000003</v>
      </c>
      <c r="P4418">
        <v>1</v>
      </c>
      <c r="Q4418" s="1" t="s">
        <v>562</v>
      </c>
      <c r="R4418" s="93">
        <v>60807.37</v>
      </c>
      <c r="S4418">
        <v>5483179.7999999998</v>
      </c>
      <c r="T4418">
        <v>0</v>
      </c>
      <c r="U4418" s="1" t="s">
        <v>914</v>
      </c>
      <c r="V4418" s="1"/>
      <c r="W4418">
        <v>51188</v>
      </c>
      <c r="X4418">
        <v>0</v>
      </c>
      <c r="Y4418">
        <v>56780</v>
      </c>
    </row>
    <row r="4419" spans="1:25" ht="15" hidden="1" customHeight="1" x14ac:dyDescent="0.25">
      <c r="A4419" s="1" t="s">
        <v>40</v>
      </c>
      <c r="B4419" s="1" t="s">
        <v>90</v>
      </c>
      <c r="C4419" s="1" t="s">
        <v>217</v>
      </c>
      <c r="D4419">
        <v>5266</v>
      </c>
      <c r="E4419" s="1"/>
      <c r="F4419" s="1" t="s">
        <v>217</v>
      </c>
      <c r="G4419" s="1" t="s">
        <v>217</v>
      </c>
      <c r="H4419" s="1" t="s">
        <v>1396</v>
      </c>
      <c r="I4419">
        <v>2014</v>
      </c>
      <c r="J4419" s="93">
        <v>41208.559999999998</v>
      </c>
      <c r="K4419">
        <v>12</v>
      </c>
      <c r="L4419" s="1" t="s">
        <v>469</v>
      </c>
      <c r="M4419">
        <v>0</v>
      </c>
      <c r="N4419">
        <v>585</v>
      </c>
      <c r="O4419">
        <v>70.429942999999994</v>
      </c>
      <c r="P4419">
        <v>1</v>
      </c>
      <c r="Q4419" s="1" t="s">
        <v>563</v>
      </c>
      <c r="R4419" s="93">
        <v>48643.99</v>
      </c>
      <c r="S4419">
        <v>130009.13</v>
      </c>
      <c r="T4419">
        <v>1</v>
      </c>
      <c r="U4419" s="1" t="s">
        <v>914</v>
      </c>
      <c r="V4419" s="1"/>
      <c r="W4419">
        <v>1181.0999999999999</v>
      </c>
      <c r="X4419">
        <v>0</v>
      </c>
      <c r="Y4419">
        <v>57000</v>
      </c>
    </row>
    <row r="4420" spans="1:25" ht="15" hidden="1" customHeight="1" x14ac:dyDescent="0.25">
      <c r="A4420" s="1" t="s">
        <v>40</v>
      </c>
      <c r="B4420" s="1" t="s">
        <v>94</v>
      </c>
      <c r="C4420" s="1" t="s">
        <v>224</v>
      </c>
      <c r="D4420">
        <v>5539</v>
      </c>
      <c r="E4420" s="1"/>
      <c r="F4420" s="1" t="s">
        <v>370</v>
      </c>
      <c r="G4420" s="1" t="s">
        <v>224</v>
      </c>
      <c r="H4420" s="1" t="s">
        <v>1396</v>
      </c>
      <c r="I4420">
        <v>2010</v>
      </c>
      <c r="J4420" s="93">
        <v>38249.71</v>
      </c>
      <c r="K4420">
        <v>12</v>
      </c>
      <c r="L4420" s="1" t="s">
        <v>421</v>
      </c>
      <c r="M4420">
        <v>0</v>
      </c>
      <c r="N4420">
        <v>1480</v>
      </c>
      <c r="O4420">
        <v>25.842652000000001</v>
      </c>
      <c r="P4420">
        <v>2</v>
      </c>
      <c r="Q4420" s="1" t="s">
        <v>569</v>
      </c>
      <c r="R4420" s="93">
        <v>38249.71</v>
      </c>
      <c r="S4420">
        <v>17939.099999999999</v>
      </c>
      <c r="T4420">
        <v>0</v>
      </c>
      <c r="U4420" s="1" t="s">
        <v>1178</v>
      </c>
      <c r="V4420" s="1"/>
      <c r="W4420">
        <v>38249.71746</v>
      </c>
      <c r="X4420">
        <v>0</v>
      </c>
      <c r="Y4420">
        <v>58286</v>
      </c>
    </row>
    <row r="4421" spans="1:25" ht="15" hidden="1" customHeight="1" x14ac:dyDescent="0.25">
      <c r="A4421" s="1" t="s">
        <v>40</v>
      </c>
      <c r="B4421" s="1" t="s">
        <v>94</v>
      </c>
      <c r="C4421" s="1" t="s">
        <v>224</v>
      </c>
      <c r="D4421">
        <v>5539</v>
      </c>
      <c r="E4421" s="1"/>
      <c r="F4421" s="1" t="s">
        <v>370</v>
      </c>
      <c r="G4421" s="1" t="s">
        <v>224</v>
      </c>
      <c r="H4421" s="1" t="s">
        <v>1396</v>
      </c>
      <c r="I4421">
        <v>2009</v>
      </c>
      <c r="J4421" s="93">
        <v>35035.47</v>
      </c>
      <c r="K4421">
        <v>12</v>
      </c>
      <c r="L4421" s="1" t="s">
        <v>421</v>
      </c>
      <c r="M4421">
        <v>0</v>
      </c>
      <c r="N4421">
        <v>1480</v>
      </c>
      <c r="O4421">
        <v>23.671015000000001</v>
      </c>
      <c r="P4421">
        <v>2</v>
      </c>
      <c r="Q4421" s="1" t="s">
        <v>569</v>
      </c>
      <c r="R4421" s="93">
        <v>35035.47</v>
      </c>
      <c r="S4421">
        <v>16431.62</v>
      </c>
      <c r="T4421">
        <v>0</v>
      </c>
      <c r="U4421" s="1" t="s">
        <v>1178</v>
      </c>
      <c r="V4421" s="1"/>
      <c r="W4421">
        <v>35035.457730000002</v>
      </c>
      <c r="X4421">
        <v>0</v>
      </c>
      <c r="Y4421">
        <v>58286</v>
      </c>
    </row>
    <row r="4422" spans="1:25" ht="15" hidden="1" customHeight="1" x14ac:dyDescent="0.25">
      <c r="A4422" s="1" t="s">
        <v>40</v>
      </c>
      <c r="B4422" s="1" t="s">
        <v>94</v>
      </c>
      <c r="C4422" s="1" t="s">
        <v>224</v>
      </c>
      <c r="D4422">
        <v>5539</v>
      </c>
      <c r="E4422" s="1"/>
      <c r="F4422" s="1" t="s">
        <v>370</v>
      </c>
      <c r="G4422" s="1" t="s">
        <v>224</v>
      </c>
      <c r="H4422" s="1" t="s">
        <v>1396</v>
      </c>
      <c r="I4422">
        <v>2009</v>
      </c>
      <c r="J4422" s="93">
        <v>27410.58</v>
      </c>
      <c r="K4422">
        <v>12</v>
      </c>
      <c r="L4422" s="1" t="s">
        <v>421</v>
      </c>
      <c r="M4422">
        <v>0</v>
      </c>
      <c r="N4422">
        <v>1480</v>
      </c>
      <c r="O4422">
        <v>18.519410000000001</v>
      </c>
      <c r="P4422">
        <v>2</v>
      </c>
      <c r="Q4422" s="1" t="s">
        <v>569</v>
      </c>
      <c r="R4422" s="93">
        <v>27410.58</v>
      </c>
      <c r="S4422">
        <v>12855.56</v>
      </c>
      <c r="T4422">
        <v>0</v>
      </c>
      <c r="U4422" s="1" t="s">
        <v>1179</v>
      </c>
      <c r="V4422" s="1"/>
      <c r="W4422">
        <v>27410.577209999999</v>
      </c>
      <c r="X4422">
        <v>0</v>
      </c>
      <c r="Y4422">
        <v>58287</v>
      </c>
    </row>
    <row r="4423" spans="1:25" ht="15" hidden="1" customHeight="1" x14ac:dyDescent="0.25">
      <c r="A4423" s="1" t="s">
        <v>40</v>
      </c>
      <c r="B4423" s="1" t="s">
        <v>94</v>
      </c>
      <c r="C4423" s="1" t="s">
        <v>224</v>
      </c>
      <c r="D4423">
        <v>5539</v>
      </c>
      <c r="E4423" s="1"/>
      <c r="F4423" s="1" t="s">
        <v>370</v>
      </c>
      <c r="G4423" s="1" t="s">
        <v>224</v>
      </c>
      <c r="H4423" s="1" t="s">
        <v>1396</v>
      </c>
      <c r="I4423">
        <v>2008</v>
      </c>
      <c r="J4423" s="93">
        <v>13338.28</v>
      </c>
      <c r="K4423">
        <v>12</v>
      </c>
      <c r="L4423" s="1" t="s">
        <v>421</v>
      </c>
      <c r="M4423">
        <v>0</v>
      </c>
      <c r="N4423">
        <v>1480</v>
      </c>
      <c r="O4423">
        <v>9.0117419999999999</v>
      </c>
      <c r="P4423">
        <v>2</v>
      </c>
      <c r="Q4423" s="1" t="s">
        <v>569</v>
      </c>
      <c r="R4423" s="93">
        <v>13338.28</v>
      </c>
      <c r="S4423">
        <v>6255.66</v>
      </c>
      <c r="T4423">
        <v>0</v>
      </c>
      <c r="U4423" s="1" t="s">
        <v>1179</v>
      </c>
      <c r="V4423" s="1"/>
      <c r="W4423">
        <v>13338.278399999999</v>
      </c>
      <c r="X4423">
        <v>0</v>
      </c>
      <c r="Y4423">
        <v>58287</v>
      </c>
    </row>
    <row r="4424" spans="1:25" ht="15" hidden="1" customHeight="1" x14ac:dyDescent="0.25">
      <c r="A4424" s="1" t="s">
        <v>40</v>
      </c>
      <c r="B4424" s="1" t="s">
        <v>94</v>
      </c>
      <c r="C4424" s="1" t="s">
        <v>224</v>
      </c>
      <c r="D4424">
        <v>5539</v>
      </c>
      <c r="E4424" s="1"/>
      <c r="F4424" s="1" t="s">
        <v>370</v>
      </c>
      <c r="G4424" s="1" t="s">
        <v>224</v>
      </c>
      <c r="H4424" s="1" t="s">
        <v>1396</v>
      </c>
      <c r="I4424">
        <v>2008</v>
      </c>
      <c r="J4424" s="93">
        <v>34261.980000000003</v>
      </c>
      <c r="K4424">
        <v>12</v>
      </c>
      <c r="L4424" s="1" t="s">
        <v>421</v>
      </c>
      <c r="M4424">
        <v>0</v>
      </c>
      <c r="N4424">
        <v>1480</v>
      </c>
      <c r="O4424">
        <v>23.148422</v>
      </c>
      <c r="P4424">
        <v>2</v>
      </c>
      <c r="Q4424" s="1" t="s">
        <v>569</v>
      </c>
      <c r="R4424" s="93">
        <v>34261.980000000003</v>
      </c>
      <c r="S4424">
        <v>16068.85</v>
      </c>
      <c r="T4424">
        <v>0</v>
      </c>
      <c r="U4424" s="1" t="s">
        <v>1178</v>
      </c>
      <c r="V4424" s="1"/>
      <c r="W4424">
        <v>34261.976329999998</v>
      </c>
      <c r="X4424">
        <v>0</v>
      </c>
      <c r="Y4424">
        <v>58286</v>
      </c>
    </row>
    <row r="4425" spans="1:25" ht="15" hidden="1" customHeight="1" x14ac:dyDescent="0.25">
      <c r="A4425" s="1" t="s">
        <v>40</v>
      </c>
      <c r="B4425" s="1"/>
      <c r="C4425" s="1" t="s">
        <v>225</v>
      </c>
      <c r="D4425">
        <v>13825</v>
      </c>
      <c r="E4425" s="1"/>
      <c r="F4425" s="1" t="s">
        <v>358</v>
      </c>
      <c r="G4425" s="1" t="s">
        <v>225</v>
      </c>
      <c r="H4425" s="1" t="s">
        <v>1396</v>
      </c>
      <c r="I4425">
        <v>2015</v>
      </c>
      <c r="J4425" s="93">
        <v>26852.39</v>
      </c>
      <c r="K4425">
        <v>5</v>
      </c>
      <c r="L4425" s="1" t="s">
        <v>462</v>
      </c>
      <c r="M4425">
        <v>0</v>
      </c>
      <c r="N4425">
        <v>739</v>
      </c>
      <c r="O4425">
        <v>36.331200000000003</v>
      </c>
      <c r="P4425">
        <v>2</v>
      </c>
      <c r="Q4425" s="1" t="s">
        <v>569</v>
      </c>
      <c r="R4425" s="93">
        <v>26852.39</v>
      </c>
      <c r="S4425">
        <v>8055.72</v>
      </c>
      <c r="T4425">
        <v>0</v>
      </c>
      <c r="U4425" s="1" t="s">
        <v>1180</v>
      </c>
      <c r="V4425" s="1" t="s">
        <v>1361</v>
      </c>
      <c r="W4425">
        <v>26852.384999999998</v>
      </c>
      <c r="X4425">
        <v>0</v>
      </c>
      <c r="Y4425">
        <v>91847</v>
      </c>
    </row>
    <row r="4426" spans="1:25" ht="15" hidden="1" customHeight="1" x14ac:dyDescent="0.25">
      <c r="A4426" s="1" t="s">
        <v>40</v>
      </c>
      <c r="B4426" s="1"/>
      <c r="C4426" s="1" t="s">
        <v>218</v>
      </c>
      <c r="D4426">
        <v>11035</v>
      </c>
      <c r="E4426" s="1"/>
      <c r="F4426" s="1" t="s">
        <v>353</v>
      </c>
      <c r="G4426" s="1" t="s">
        <v>218</v>
      </c>
      <c r="H4426" s="1" t="s">
        <v>1396</v>
      </c>
      <c r="I4426">
        <v>2014</v>
      </c>
      <c r="J4426" s="93">
        <v>101.05</v>
      </c>
      <c r="K4426">
        <v>12</v>
      </c>
      <c r="L4426" s="1" t="s">
        <v>459</v>
      </c>
      <c r="M4426">
        <v>0</v>
      </c>
      <c r="N4426">
        <v>225</v>
      </c>
      <c r="O4426">
        <v>0.448911</v>
      </c>
      <c r="P4426">
        <v>3</v>
      </c>
      <c r="Q4426" s="1" t="s">
        <v>560</v>
      </c>
      <c r="R4426" s="93">
        <v>101.05</v>
      </c>
      <c r="S4426">
        <v>80.849999999999994</v>
      </c>
      <c r="T4426">
        <v>0</v>
      </c>
      <c r="U4426" s="1" t="s">
        <v>739</v>
      </c>
      <c r="V4426" s="1"/>
      <c r="W4426">
        <v>101.06599</v>
      </c>
      <c r="X4426">
        <v>0</v>
      </c>
      <c r="Y4426">
        <v>79963</v>
      </c>
    </row>
    <row r="4427" spans="1:25" ht="15" hidden="1" customHeight="1" x14ac:dyDescent="0.25">
      <c r="A4427" s="1" t="s">
        <v>40</v>
      </c>
      <c r="B4427" s="1"/>
      <c r="C4427" s="1" t="s">
        <v>218</v>
      </c>
      <c r="D4427">
        <v>11035</v>
      </c>
      <c r="E4427" s="1"/>
      <c r="F4427" s="1" t="s">
        <v>353</v>
      </c>
      <c r="G4427" s="1" t="s">
        <v>218</v>
      </c>
      <c r="H4427" s="1" t="s">
        <v>1396</v>
      </c>
      <c r="I4427">
        <v>2014</v>
      </c>
      <c r="J4427" s="93">
        <v>30148.01</v>
      </c>
      <c r="K4427">
        <v>12</v>
      </c>
      <c r="L4427" s="1" t="s">
        <v>459</v>
      </c>
      <c r="M4427">
        <v>0</v>
      </c>
      <c r="N4427">
        <v>225</v>
      </c>
      <c r="O4427">
        <v>133.93163000000001</v>
      </c>
      <c r="P4427">
        <v>1</v>
      </c>
      <c r="Q4427" s="1" t="s">
        <v>562</v>
      </c>
      <c r="R4427" s="93">
        <v>36059.839999999997</v>
      </c>
      <c r="S4427">
        <v>2307.84</v>
      </c>
      <c r="T4427">
        <v>0</v>
      </c>
      <c r="U4427" s="1" t="s">
        <v>915</v>
      </c>
      <c r="V4427" s="1"/>
      <c r="W4427">
        <v>30148</v>
      </c>
      <c r="X4427">
        <v>0</v>
      </c>
      <c r="Y4427">
        <v>79964</v>
      </c>
    </row>
    <row r="4428" spans="1:25" ht="15" hidden="1" customHeight="1" x14ac:dyDescent="0.25">
      <c r="A4428" s="1" t="s">
        <v>40</v>
      </c>
      <c r="B4428" s="1"/>
      <c r="C4428" s="1" t="s">
        <v>218</v>
      </c>
      <c r="D4428">
        <v>11035</v>
      </c>
      <c r="E4428" s="1"/>
      <c r="F4428" s="1" t="s">
        <v>353</v>
      </c>
      <c r="G4428" s="1" t="s">
        <v>218</v>
      </c>
      <c r="H4428" s="1" t="s">
        <v>1396</v>
      </c>
      <c r="I4428">
        <v>2014</v>
      </c>
      <c r="J4428" s="93">
        <v>3395.44</v>
      </c>
      <c r="K4428">
        <v>12</v>
      </c>
      <c r="L4428" s="1" t="s">
        <v>459</v>
      </c>
      <c r="M4428">
        <v>0</v>
      </c>
      <c r="N4428">
        <v>225</v>
      </c>
      <c r="O4428">
        <v>15.08414</v>
      </c>
      <c r="P4428">
        <v>2</v>
      </c>
      <c r="Q4428" s="1" t="s">
        <v>569</v>
      </c>
      <c r="R4428" s="93">
        <v>3395.44</v>
      </c>
      <c r="S4428">
        <v>1018.64</v>
      </c>
      <c r="T4428">
        <v>0</v>
      </c>
      <c r="U4428" s="1" t="s">
        <v>1162</v>
      </c>
      <c r="V4428" s="1" t="s">
        <v>1351</v>
      </c>
      <c r="W4428">
        <v>3395.4379199999998</v>
      </c>
      <c r="X4428">
        <v>0</v>
      </c>
      <c r="Y4428">
        <v>79962</v>
      </c>
    </row>
    <row r="4429" spans="1:25" ht="15" hidden="1" customHeight="1" x14ac:dyDescent="0.25">
      <c r="A4429" s="1" t="s">
        <v>40</v>
      </c>
      <c r="B4429" s="1" t="s">
        <v>91</v>
      </c>
      <c r="C4429" s="1" t="s">
        <v>219</v>
      </c>
      <c r="D4429">
        <v>13666</v>
      </c>
      <c r="E4429" s="1" t="s">
        <v>243</v>
      </c>
      <c r="F4429" s="1" t="s">
        <v>354</v>
      </c>
      <c r="G4429" s="1" t="s">
        <v>219</v>
      </c>
      <c r="H4429" s="1" t="s">
        <v>1396</v>
      </c>
      <c r="I4429">
        <v>2014</v>
      </c>
      <c r="J4429" s="93">
        <v>284.04000000000002</v>
      </c>
      <c r="K4429">
        <v>1</v>
      </c>
      <c r="L4429" s="1" t="s">
        <v>557</v>
      </c>
      <c r="M4429">
        <v>0</v>
      </c>
      <c r="N4429">
        <v>1155</v>
      </c>
      <c r="O4429">
        <v>0.24590000000000001</v>
      </c>
      <c r="P4429">
        <v>2</v>
      </c>
      <c r="Q4429" s="1" t="s">
        <v>569</v>
      </c>
      <c r="R4429" s="93">
        <v>284.04000000000002</v>
      </c>
      <c r="S4429">
        <v>85.21</v>
      </c>
      <c r="T4429">
        <v>0</v>
      </c>
      <c r="U4429" s="1" t="s">
        <v>1164</v>
      </c>
      <c r="V4429" s="1" t="s">
        <v>1356</v>
      </c>
      <c r="W4429">
        <v>284.03669000000002</v>
      </c>
      <c r="X4429">
        <v>0</v>
      </c>
      <c r="Y4429">
        <v>91259</v>
      </c>
    </row>
    <row r="4430" spans="1:25" ht="15" hidden="1" customHeight="1" x14ac:dyDescent="0.25">
      <c r="A4430" s="1" t="s">
        <v>40</v>
      </c>
      <c r="B4430" s="1" t="s">
        <v>91</v>
      </c>
      <c r="C4430" s="1" t="s">
        <v>219</v>
      </c>
      <c r="D4430">
        <v>13666</v>
      </c>
      <c r="E4430" s="1" t="s">
        <v>243</v>
      </c>
      <c r="F4430" s="1" t="s">
        <v>354</v>
      </c>
      <c r="G4430" s="1" t="s">
        <v>219</v>
      </c>
      <c r="H4430" s="1" t="s">
        <v>1396</v>
      </c>
      <c r="I4430">
        <v>2014</v>
      </c>
      <c r="J4430" s="93">
        <v>12797.45</v>
      </c>
      <c r="K4430">
        <v>2</v>
      </c>
      <c r="L4430" s="1" t="s">
        <v>558</v>
      </c>
      <c r="M4430">
        <v>0</v>
      </c>
      <c r="N4430">
        <v>1155</v>
      </c>
      <c r="O4430">
        <v>11.079084</v>
      </c>
      <c r="P4430">
        <v>2</v>
      </c>
      <c r="Q4430" s="1" t="s">
        <v>569</v>
      </c>
      <c r="R4430" s="93">
        <v>12797.45</v>
      </c>
      <c r="S4430">
        <v>3839.24</v>
      </c>
      <c r="T4430">
        <v>0</v>
      </c>
      <c r="U4430" s="1" t="s">
        <v>1165</v>
      </c>
      <c r="V4430" s="1" t="s">
        <v>1357</v>
      </c>
      <c r="W4430">
        <v>12797.44954</v>
      </c>
      <c r="X4430">
        <v>0</v>
      </c>
      <c r="Y4430">
        <v>91264</v>
      </c>
    </row>
    <row r="4431" spans="1:25" ht="15" hidden="1" customHeight="1" x14ac:dyDescent="0.25">
      <c r="A4431" s="1" t="s">
        <v>40</v>
      </c>
      <c r="B4431" s="1" t="s">
        <v>91</v>
      </c>
      <c r="C4431" s="1" t="s">
        <v>219</v>
      </c>
      <c r="D4431">
        <v>13666</v>
      </c>
      <c r="E4431" s="1" t="s">
        <v>243</v>
      </c>
      <c r="F4431" s="1" t="s">
        <v>354</v>
      </c>
      <c r="G4431" s="1" t="s">
        <v>219</v>
      </c>
      <c r="H4431" s="1" t="s">
        <v>1396</v>
      </c>
      <c r="I4431">
        <v>2014</v>
      </c>
      <c r="J4431" s="93">
        <v>14479.16</v>
      </c>
      <c r="K4431">
        <v>9</v>
      </c>
      <c r="L4431" s="1"/>
      <c r="M4431">
        <v>0</v>
      </c>
      <c r="N4431">
        <v>1155</v>
      </c>
      <c r="O4431">
        <v>12.534983</v>
      </c>
      <c r="P4431">
        <v>2</v>
      </c>
      <c r="Q4431" s="1" t="s">
        <v>569</v>
      </c>
      <c r="R4431" s="93">
        <v>14479.16</v>
      </c>
      <c r="S4431">
        <v>4343.74</v>
      </c>
      <c r="T4431">
        <v>0</v>
      </c>
      <c r="U4431" s="1" t="s">
        <v>1163</v>
      </c>
      <c r="V4431" s="1"/>
      <c r="W4431">
        <v>14479.152</v>
      </c>
      <c r="X4431">
        <v>0</v>
      </c>
      <c r="Y4431">
        <v>96149</v>
      </c>
    </row>
    <row r="4432" spans="1:25" ht="15" hidden="1" customHeight="1" x14ac:dyDescent="0.25">
      <c r="A4432" s="1" t="s">
        <v>40</v>
      </c>
      <c r="B4432" s="1" t="s">
        <v>91</v>
      </c>
      <c r="C4432" s="1" t="s">
        <v>219</v>
      </c>
      <c r="D4432">
        <v>13666</v>
      </c>
      <c r="E4432" s="1" t="s">
        <v>243</v>
      </c>
      <c r="F4432" s="1" t="s">
        <v>354</v>
      </c>
      <c r="G4432" s="1" t="s">
        <v>219</v>
      </c>
      <c r="H4432" s="1" t="s">
        <v>1396</v>
      </c>
      <c r="I4432">
        <v>2014</v>
      </c>
      <c r="J4432" s="93">
        <v>240</v>
      </c>
      <c r="K4432">
        <v>2</v>
      </c>
      <c r="L4432" s="1" t="s">
        <v>559</v>
      </c>
      <c r="M4432">
        <v>0</v>
      </c>
      <c r="N4432">
        <v>1155</v>
      </c>
      <c r="O4432">
        <v>0.20777399999999999</v>
      </c>
      <c r="P4432">
        <v>2</v>
      </c>
      <c r="Q4432" s="1" t="s">
        <v>569</v>
      </c>
      <c r="R4432" s="93">
        <v>240</v>
      </c>
      <c r="S4432">
        <v>72</v>
      </c>
      <c r="T4432">
        <v>0</v>
      </c>
      <c r="U4432" s="1" t="s">
        <v>1163</v>
      </c>
      <c r="V4432" s="1"/>
      <c r="W4432">
        <v>240</v>
      </c>
      <c r="X4432">
        <v>0</v>
      </c>
      <c r="Y4432">
        <v>96084</v>
      </c>
    </row>
    <row r="4433" spans="1:25" ht="15" hidden="1" customHeight="1" x14ac:dyDescent="0.25">
      <c r="A4433" s="1" t="s">
        <v>40</v>
      </c>
      <c r="B4433" s="1" t="s">
        <v>91</v>
      </c>
      <c r="C4433" s="1" t="s">
        <v>219</v>
      </c>
      <c r="D4433">
        <v>13666</v>
      </c>
      <c r="E4433" s="1" t="s">
        <v>243</v>
      </c>
      <c r="F4433" s="1" t="s">
        <v>354</v>
      </c>
      <c r="G4433" s="1" t="s">
        <v>219</v>
      </c>
      <c r="H4433" s="1" t="s">
        <v>1396</v>
      </c>
      <c r="I4433">
        <v>2014</v>
      </c>
      <c r="J4433" s="93">
        <v>394.14</v>
      </c>
      <c r="K4433">
        <v>9</v>
      </c>
      <c r="L4433" s="1"/>
      <c r="M4433">
        <v>0</v>
      </c>
      <c r="N4433">
        <v>1155</v>
      </c>
      <c r="O4433">
        <v>0.34121699999999999</v>
      </c>
      <c r="P4433">
        <v>2</v>
      </c>
      <c r="Q4433" s="1" t="s">
        <v>569</v>
      </c>
      <c r="R4433" s="93">
        <v>394.14</v>
      </c>
      <c r="S4433">
        <v>118.24</v>
      </c>
      <c r="T4433">
        <v>0</v>
      </c>
      <c r="U4433" s="1" t="s">
        <v>1164</v>
      </c>
      <c r="V4433" s="1" t="s">
        <v>1356</v>
      </c>
      <c r="W4433">
        <v>394.14598000000001</v>
      </c>
      <c r="X4433">
        <v>0</v>
      </c>
      <c r="Y4433">
        <v>96150</v>
      </c>
    </row>
    <row r="4434" spans="1:25" ht="15" hidden="1" customHeight="1" x14ac:dyDescent="0.25">
      <c r="A4434" s="1" t="s">
        <v>40</v>
      </c>
      <c r="B4434" s="1" t="s">
        <v>91</v>
      </c>
      <c r="C4434" s="1" t="s">
        <v>219</v>
      </c>
      <c r="D4434">
        <v>13666</v>
      </c>
      <c r="E4434" s="1" t="s">
        <v>243</v>
      </c>
      <c r="F4434" s="1" t="s">
        <v>354</v>
      </c>
      <c r="G4434" s="1" t="s">
        <v>219</v>
      </c>
      <c r="H4434" s="1" t="s">
        <v>1396</v>
      </c>
      <c r="I4434">
        <v>2014</v>
      </c>
      <c r="J4434" s="93">
        <v>128.91</v>
      </c>
      <c r="K4434">
        <v>4</v>
      </c>
      <c r="L4434" s="1" t="s">
        <v>414</v>
      </c>
      <c r="M4434">
        <v>0</v>
      </c>
      <c r="N4434">
        <v>1155</v>
      </c>
      <c r="O4434">
        <v>0.1116</v>
      </c>
      <c r="P4434">
        <v>3</v>
      </c>
      <c r="Q4434" s="1" t="s">
        <v>560</v>
      </c>
      <c r="R4434" s="93">
        <v>128.91</v>
      </c>
      <c r="S4434">
        <v>103.14</v>
      </c>
      <c r="T4434">
        <v>0</v>
      </c>
      <c r="U4434" s="1" t="s">
        <v>740</v>
      </c>
      <c r="V4434" s="1"/>
      <c r="W4434">
        <v>128.90290999999999</v>
      </c>
      <c r="X4434">
        <v>0</v>
      </c>
      <c r="Y4434">
        <v>91260</v>
      </c>
    </row>
    <row r="4435" spans="1:25" ht="15" hidden="1" customHeight="1" x14ac:dyDescent="0.25">
      <c r="A4435" s="1" t="s">
        <v>40</v>
      </c>
      <c r="B4435" s="1" t="s">
        <v>92</v>
      </c>
      <c r="C4435" s="1" t="s">
        <v>220</v>
      </c>
      <c r="D4435">
        <v>13868</v>
      </c>
      <c r="E4435" s="1" t="s">
        <v>243</v>
      </c>
      <c r="F4435" s="1" t="s">
        <v>355</v>
      </c>
      <c r="G4435" s="1" t="s">
        <v>220</v>
      </c>
      <c r="H4435" s="1" t="s">
        <v>1396</v>
      </c>
      <c r="I4435">
        <v>2014</v>
      </c>
      <c r="J4435" s="93">
        <v>12100.11</v>
      </c>
      <c r="K4435">
        <v>11</v>
      </c>
      <c r="L4435" s="1" t="s">
        <v>460</v>
      </c>
      <c r="M4435">
        <v>0</v>
      </c>
      <c r="N4435">
        <v>867</v>
      </c>
      <c r="O4435">
        <v>13.954688000000001</v>
      </c>
      <c r="P4435">
        <v>2</v>
      </c>
      <c r="Q4435" s="1" t="s">
        <v>569</v>
      </c>
      <c r="R4435" s="93">
        <v>12100.11</v>
      </c>
      <c r="S4435">
        <v>3630.03</v>
      </c>
      <c r="T4435">
        <v>0</v>
      </c>
      <c r="U4435" s="1" t="s">
        <v>1166</v>
      </c>
      <c r="V4435" s="1" t="s">
        <v>1358</v>
      </c>
      <c r="W4435">
        <v>12100.096820000001</v>
      </c>
      <c r="X4435">
        <v>0</v>
      </c>
      <c r="Y4435">
        <v>92216</v>
      </c>
    </row>
    <row r="4436" spans="1:25" ht="15" hidden="1" customHeight="1" x14ac:dyDescent="0.25">
      <c r="A4436" s="1" t="s">
        <v>40</v>
      </c>
      <c r="B4436" s="1" t="s">
        <v>92</v>
      </c>
      <c r="C4436" s="1" t="s">
        <v>220</v>
      </c>
      <c r="D4436">
        <v>13868</v>
      </c>
      <c r="E4436" s="1" t="s">
        <v>243</v>
      </c>
      <c r="F4436" s="1" t="s">
        <v>355</v>
      </c>
      <c r="G4436" s="1" t="s">
        <v>220</v>
      </c>
      <c r="H4436" s="1" t="s">
        <v>1396</v>
      </c>
      <c r="I4436">
        <v>2014</v>
      </c>
      <c r="J4436" s="93">
        <v>320.97000000000003</v>
      </c>
      <c r="K4436">
        <v>11</v>
      </c>
      <c r="L4436" s="1" t="s">
        <v>460</v>
      </c>
      <c r="M4436">
        <v>0</v>
      </c>
      <c r="N4436">
        <v>867</v>
      </c>
      <c r="O4436">
        <v>0.37016399999999999</v>
      </c>
      <c r="P4436">
        <v>3</v>
      </c>
      <c r="Q4436" s="1" t="s">
        <v>560</v>
      </c>
      <c r="R4436" s="93">
        <v>320.97000000000003</v>
      </c>
      <c r="S4436">
        <v>256.8</v>
      </c>
      <c r="T4436">
        <v>0</v>
      </c>
      <c r="U4436" s="1" t="s">
        <v>741</v>
      </c>
      <c r="V4436" s="1"/>
      <c r="W4436">
        <v>320.98516999999998</v>
      </c>
      <c r="X4436">
        <v>0</v>
      </c>
      <c r="Y4436">
        <v>92217</v>
      </c>
    </row>
    <row r="4437" spans="1:25" ht="15" hidden="1" customHeight="1" x14ac:dyDescent="0.25">
      <c r="A4437" s="1" t="s">
        <v>40</v>
      </c>
      <c r="B4437" s="1" t="s">
        <v>92</v>
      </c>
      <c r="C4437" s="1" t="s">
        <v>220</v>
      </c>
      <c r="D4437">
        <v>13868</v>
      </c>
      <c r="E4437" s="1" t="s">
        <v>243</v>
      </c>
      <c r="F4437" s="1" t="s">
        <v>355</v>
      </c>
      <c r="G4437" s="1" t="s">
        <v>220</v>
      </c>
      <c r="H4437" s="1" t="s">
        <v>1396</v>
      </c>
      <c r="I4437">
        <v>2014</v>
      </c>
      <c r="J4437" s="93">
        <v>142359.57</v>
      </c>
      <c r="K4437">
        <v>12</v>
      </c>
      <c r="L4437" s="1" t="s">
        <v>481</v>
      </c>
      <c r="M4437">
        <v>0</v>
      </c>
      <c r="N4437">
        <v>867</v>
      </c>
      <c r="O4437">
        <v>164.17895200000001</v>
      </c>
      <c r="P4437">
        <v>1</v>
      </c>
      <c r="Q4437" s="1" t="s">
        <v>564</v>
      </c>
      <c r="R4437" s="93">
        <v>168913.63</v>
      </c>
      <c r="S4437">
        <v>35722.1</v>
      </c>
      <c r="T4437">
        <v>0</v>
      </c>
      <c r="U4437" s="1" t="s">
        <v>916</v>
      </c>
      <c r="V4437" s="1"/>
      <c r="W4437">
        <v>13181.44</v>
      </c>
      <c r="X4437">
        <v>0</v>
      </c>
      <c r="Y4437">
        <v>92670</v>
      </c>
    </row>
    <row r="4438" spans="1:25" ht="15" hidden="1" customHeight="1" x14ac:dyDescent="0.25">
      <c r="A4438" s="1" t="s">
        <v>40</v>
      </c>
      <c r="B4438" s="1"/>
      <c r="C4438" s="1" t="s">
        <v>225</v>
      </c>
      <c r="D4438">
        <v>13825</v>
      </c>
      <c r="E4438" s="1"/>
      <c r="F4438" s="1" t="s">
        <v>358</v>
      </c>
      <c r="G4438" s="1" t="s">
        <v>225</v>
      </c>
      <c r="H4438" s="1" t="s">
        <v>1396</v>
      </c>
      <c r="I4438">
        <v>2015</v>
      </c>
      <c r="J4438" s="93">
        <v>11276.33</v>
      </c>
      <c r="K4438">
        <v>5</v>
      </c>
      <c r="L4438" s="1" t="s">
        <v>462</v>
      </c>
      <c r="M4438">
        <v>0</v>
      </c>
      <c r="N4438">
        <v>739</v>
      </c>
      <c r="O4438">
        <v>15.256838999999999</v>
      </c>
      <c r="P4438">
        <v>2</v>
      </c>
      <c r="Q4438" s="1" t="s">
        <v>569</v>
      </c>
      <c r="R4438" s="93">
        <v>11276.33</v>
      </c>
      <c r="S4438">
        <v>3382.9</v>
      </c>
      <c r="T4438">
        <v>0</v>
      </c>
      <c r="U4438" s="1" t="s">
        <v>1181</v>
      </c>
      <c r="V4438" s="1" t="s">
        <v>1362</v>
      </c>
      <c r="W4438">
        <v>11276.331</v>
      </c>
      <c r="X4438">
        <v>0</v>
      </c>
      <c r="Y4438">
        <v>94053</v>
      </c>
    </row>
    <row r="4439" spans="1:25" ht="15" hidden="1" customHeight="1" x14ac:dyDescent="0.25">
      <c r="A4439" s="1" t="s">
        <v>40</v>
      </c>
      <c r="B4439" s="1"/>
      <c r="C4439" s="1" t="s">
        <v>225</v>
      </c>
      <c r="D4439">
        <v>13825</v>
      </c>
      <c r="E4439" s="1"/>
      <c r="F4439" s="1" t="s">
        <v>358</v>
      </c>
      <c r="G4439" s="1" t="s">
        <v>225</v>
      </c>
      <c r="H4439" s="1" t="s">
        <v>1396</v>
      </c>
      <c r="I4439">
        <v>2013</v>
      </c>
      <c r="J4439" s="93">
        <v>72954.58</v>
      </c>
      <c r="K4439">
        <v>8</v>
      </c>
      <c r="L4439" s="1" t="s">
        <v>462</v>
      </c>
      <c r="M4439">
        <v>0</v>
      </c>
      <c r="N4439">
        <v>739</v>
      </c>
      <c r="O4439">
        <v>98.707318999999998</v>
      </c>
      <c r="P4439">
        <v>2</v>
      </c>
      <c r="Q4439" s="1" t="s">
        <v>569</v>
      </c>
      <c r="R4439" s="93">
        <v>72954.58</v>
      </c>
      <c r="S4439">
        <v>21886.38</v>
      </c>
      <c r="T4439">
        <v>0</v>
      </c>
      <c r="U4439" s="1" t="s">
        <v>1180</v>
      </c>
      <c r="V4439" s="1" t="s">
        <v>1361</v>
      </c>
      <c r="W4439">
        <v>72954.59143</v>
      </c>
      <c r="X4439">
        <v>0</v>
      </c>
      <c r="Y4439">
        <v>91847</v>
      </c>
    </row>
    <row r="4440" spans="1:25" ht="15" hidden="1" customHeight="1" x14ac:dyDescent="0.25">
      <c r="A4440" s="1" t="s">
        <v>40</v>
      </c>
      <c r="B4440" s="1"/>
      <c r="C4440" s="1" t="s">
        <v>225</v>
      </c>
      <c r="D4440">
        <v>13825</v>
      </c>
      <c r="E4440" s="1"/>
      <c r="F4440" s="1" t="s">
        <v>358</v>
      </c>
      <c r="G4440" s="1" t="s">
        <v>225</v>
      </c>
      <c r="H4440" s="1" t="s">
        <v>1396</v>
      </c>
      <c r="I4440">
        <v>2013</v>
      </c>
      <c r="J4440" s="93">
        <v>26799.919999999998</v>
      </c>
      <c r="K4440">
        <v>9</v>
      </c>
      <c r="L4440" s="1" t="s">
        <v>462</v>
      </c>
      <c r="M4440">
        <v>0</v>
      </c>
      <c r="N4440">
        <v>739</v>
      </c>
      <c r="O4440">
        <v>36.260207999999999</v>
      </c>
      <c r="P4440">
        <v>2</v>
      </c>
      <c r="Q4440" s="1" t="s">
        <v>569</v>
      </c>
      <c r="R4440" s="93">
        <v>26799.919999999998</v>
      </c>
      <c r="S4440">
        <v>8039.96</v>
      </c>
      <c r="T4440">
        <v>0</v>
      </c>
      <c r="U4440" s="1" t="s">
        <v>1181</v>
      </c>
      <c r="V4440" s="1" t="s">
        <v>1362</v>
      </c>
      <c r="W4440">
        <v>26799.924620000002</v>
      </c>
      <c r="X4440">
        <v>0</v>
      </c>
      <c r="Y4440">
        <v>94053</v>
      </c>
    </row>
    <row r="4441" spans="1:25" ht="15" hidden="1" customHeight="1" x14ac:dyDescent="0.25">
      <c r="A4441" s="1" t="s">
        <v>40</v>
      </c>
      <c r="B4441" s="1"/>
      <c r="C4441" s="1" t="s">
        <v>225</v>
      </c>
      <c r="D4441">
        <v>13825</v>
      </c>
      <c r="E4441" s="1"/>
      <c r="F4441" s="1" t="s">
        <v>358</v>
      </c>
      <c r="G4441" s="1" t="s">
        <v>225</v>
      </c>
      <c r="H4441" s="1" t="s">
        <v>1396</v>
      </c>
      <c r="I4441">
        <v>2012</v>
      </c>
      <c r="J4441" s="93">
        <v>62409.3</v>
      </c>
      <c r="K4441">
        <v>2</v>
      </c>
      <c r="L4441" s="1" t="s">
        <v>462</v>
      </c>
      <c r="M4441">
        <v>0</v>
      </c>
      <c r="N4441">
        <v>739</v>
      </c>
      <c r="O4441">
        <v>84.439588000000001</v>
      </c>
      <c r="P4441">
        <v>2</v>
      </c>
      <c r="Q4441" s="1" t="s">
        <v>569</v>
      </c>
      <c r="R4441" s="93">
        <v>62409.3</v>
      </c>
      <c r="S4441">
        <v>24963.73</v>
      </c>
      <c r="T4441">
        <v>0</v>
      </c>
      <c r="U4441" s="1" t="s">
        <v>1180</v>
      </c>
      <c r="V4441" s="1" t="s">
        <v>1361</v>
      </c>
      <c r="W4441">
        <v>62409.305</v>
      </c>
      <c r="X4441">
        <v>0</v>
      </c>
      <c r="Y4441">
        <v>91847</v>
      </c>
    </row>
    <row r="4442" spans="1:25" ht="15" hidden="1" customHeight="1" x14ac:dyDescent="0.25">
      <c r="A4442" s="1" t="s">
        <v>40</v>
      </c>
      <c r="B4442" s="1"/>
      <c r="C4442" s="1" t="s">
        <v>225</v>
      </c>
      <c r="D4442">
        <v>13825</v>
      </c>
      <c r="E4442" s="1"/>
      <c r="F4442" s="1" t="s">
        <v>358</v>
      </c>
      <c r="G4442" s="1" t="s">
        <v>225</v>
      </c>
      <c r="H4442" s="1" t="s">
        <v>1396</v>
      </c>
      <c r="I4442">
        <v>2012</v>
      </c>
      <c r="J4442" s="93">
        <v>27479.83</v>
      </c>
      <c r="K4442">
        <v>1</v>
      </c>
      <c r="L4442" s="1" t="s">
        <v>462</v>
      </c>
      <c r="M4442">
        <v>0</v>
      </c>
      <c r="N4442">
        <v>739</v>
      </c>
      <c r="O4442">
        <v>37.180123999999999</v>
      </c>
      <c r="P4442">
        <v>2</v>
      </c>
      <c r="Q4442" s="1" t="s">
        <v>569</v>
      </c>
      <c r="R4442" s="93">
        <v>27479.83</v>
      </c>
      <c r="S4442">
        <v>10991.95</v>
      </c>
      <c r="T4442">
        <v>0</v>
      </c>
      <c r="U4442" s="1" t="s">
        <v>1181</v>
      </c>
      <c r="V4442" s="1" t="s">
        <v>1362</v>
      </c>
      <c r="W4442">
        <v>27479.844130000001</v>
      </c>
      <c r="X4442">
        <v>0</v>
      </c>
      <c r="Y4442">
        <v>94053</v>
      </c>
    </row>
    <row r="4443" spans="1:25" ht="15" hidden="1" customHeight="1" x14ac:dyDescent="0.25">
      <c r="A4443" s="1" t="s">
        <v>40</v>
      </c>
      <c r="B4443" s="1"/>
      <c r="C4443" s="1" t="s">
        <v>225</v>
      </c>
      <c r="D4443">
        <v>13825</v>
      </c>
      <c r="E4443" s="1"/>
      <c r="F4443" s="1" t="s">
        <v>358</v>
      </c>
      <c r="G4443" s="1" t="s">
        <v>225</v>
      </c>
      <c r="H4443" s="1" t="s">
        <v>1396</v>
      </c>
      <c r="I4443">
        <v>2011</v>
      </c>
      <c r="J4443" s="93">
        <v>62308.24</v>
      </c>
      <c r="K4443">
        <v>0</v>
      </c>
      <c r="L4443" s="1" t="s">
        <v>462</v>
      </c>
      <c r="M4443">
        <v>0</v>
      </c>
      <c r="N4443">
        <v>739</v>
      </c>
      <c r="O4443">
        <v>84.302853999999996</v>
      </c>
      <c r="P4443">
        <v>2</v>
      </c>
      <c r="Q4443" s="1" t="s">
        <v>569</v>
      </c>
      <c r="R4443" s="93">
        <v>62308.24</v>
      </c>
      <c r="S4443">
        <v>29222.61</v>
      </c>
      <c r="T4443">
        <v>0</v>
      </c>
      <c r="U4443" s="1" t="s">
        <v>1180</v>
      </c>
      <c r="V4443" s="1" t="s">
        <v>1361</v>
      </c>
      <c r="W4443">
        <v>62308.263720000003</v>
      </c>
      <c r="X4443">
        <v>0</v>
      </c>
      <c r="Y4443">
        <v>91847</v>
      </c>
    </row>
    <row r="4444" spans="1:25" ht="15" hidden="1" customHeight="1" x14ac:dyDescent="0.25">
      <c r="A4444" s="1" t="s">
        <v>40</v>
      </c>
      <c r="B4444" s="1"/>
      <c r="C4444" s="1" t="s">
        <v>225</v>
      </c>
      <c r="D4444">
        <v>13825</v>
      </c>
      <c r="E4444" s="1"/>
      <c r="F4444" s="1" t="s">
        <v>358</v>
      </c>
      <c r="G4444" s="1" t="s">
        <v>225</v>
      </c>
      <c r="H4444" s="1" t="s">
        <v>1396</v>
      </c>
      <c r="I4444">
        <v>2011</v>
      </c>
      <c r="J4444" s="93">
        <v>27137.15</v>
      </c>
      <c r="K4444">
        <v>0</v>
      </c>
      <c r="L4444" s="1" t="s">
        <v>462</v>
      </c>
      <c r="M4444">
        <v>0</v>
      </c>
      <c r="N4444">
        <v>739</v>
      </c>
      <c r="O4444">
        <v>36.716479</v>
      </c>
      <c r="P4444">
        <v>2</v>
      </c>
      <c r="Q4444" s="1" t="s">
        <v>569</v>
      </c>
      <c r="R4444" s="93">
        <v>27137.15</v>
      </c>
      <c r="S4444">
        <v>12727.31</v>
      </c>
      <c r="T4444">
        <v>0</v>
      </c>
      <c r="U4444" s="1" t="s">
        <v>1181</v>
      </c>
      <c r="V4444" s="1" t="s">
        <v>1362</v>
      </c>
      <c r="W4444">
        <v>27137.12399</v>
      </c>
      <c r="X4444">
        <v>0</v>
      </c>
      <c r="Y4444">
        <v>94053</v>
      </c>
    </row>
    <row r="4445" spans="1:25" ht="15" hidden="1" customHeight="1" x14ac:dyDescent="0.25">
      <c r="A4445" s="1" t="s">
        <v>40</v>
      </c>
      <c r="B4445" s="1"/>
      <c r="C4445" s="1" t="s">
        <v>225</v>
      </c>
      <c r="D4445">
        <v>13825</v>
      </c>
      <c r="E4445" s="1"/>
      <c r="F4445" s="1" t="s">
        <v>358</v>
      </c>
      <c r="G4445" s="1" t="s">
        <v>225</v>
      </c>
      <c r="H4445" s="1" t="s">
        <v>1396</v>
      </c>
      <c r="I4445">
        <v>2010</v>
      </c>
      <c r="J4445" s="93">
        <v>65743.3</v>
      </c>
      <c r="K4445">
        <v>1</v>
      </c>
      <c r="L4445" s="1" t="s">
        <v>462</v>
      </c>
      <c r="M4445">
        <v>0</v>
      </c>
      <c r="N4445">
        <v>739</v>
      </c>
      <c r="O4445">
        <v>88.950479999999999</v>
      </c>
      <c r="P4445">
        <v>2</v>
      </c>
      <c r="Q4445" s="1" t="s">
        <v>569</v>
      </c>
      <c r="R4445" s="93">
        <v>65743.3</v>
      </c>
      <c r="S4445">
        <v>30833.58</v>
      </c>
      <c r="T4445">
        <v>0</v>
      </c>
      <c r="U4445" s="1" t="s">
        <v>1180</v>
      </c>
      <c r="V4445" s="1" t="s">
        <v>1361</v>
      </c>
      <c r="W4445">
        <v>65743.293950000007</v>
      </c>
      <c r="X4445">
        <v>0</v>
      </c>
      <c r="Y4445">
        <v>91847</v>
      </c>
    </row>
    <row r="4446" spans="1:25" ht="15" hidden="1" customHeight="1" x14ac:dyDescent="0.25">
      <c r="A4446" s="1" t="s">
        <v>40</v>
      </c>
      <c r="B4446" s="1"/>
      <c r="C4446" s="1" t="s">
        <v>225</v>
      </c>
      <c r="D4446">
        <v>13825</v>
      </c>
      <c r="E4446" s="1"/>
      <c r="F4446" s="1" t="s">
        <v>358</v>
      </c>
      <c r="G4446" s="1" t="s">
        <v>225</v>
      </c>
      <c r="H4446" s="1" t="s">
        <v>1396</v>
      </c>
      <c r="I4446">
        <v>2010</v>
      </c>
      <c r="J4446" s="93">
        <v>23279.59</v>
      </c>
      <c r="K4446">
        <v>1</v>
      </c>
      <c r="L4446" s="1" t="s">
        <v>462</v>
      </c>
      <c r="M4446">
        <v>0</v>
      </c>
      <c r="N4446">
        <v>739</v>
      </c>
      <c r="O4446">
        <v>31.497212000000001</v>
      </c>
      <c r="P4446">
        <v>2</v>
      </c>
      <c r="Q4446" s="1" t="s">
        <v>569</v>
      </c>
      <c r="R4446" s="93">
        <v>23279.59</v>
      </c>
      <c r="S4446">
        <v>10918.11</v>
      </c>
      <c r="T4446">
        <v>0</v>
      </c>
      <c r="U4446" s="1" t="s">
        <v>1181</v>
      </c>
      <c r="V4446" s="1" t="s">
        <v>1362</v>
      </c>
      <c r="W4446">
        <v>23279.597590000001</v>
      </c>
      <c r="X4446">
        <v>0</v>
      </c>
      <c r="Y4446">
        <v>94053</v>
      </c>
    </row>
    <row r="4447" spans="1:25" ht="15" hidden="1" customHeight="1" x14ac:dyDescent="0.25">
      <c r="A4447" s="1" t="s">
        <v>40</v>
      </c>
      <c r="B4447" s="1"/>
      <c r="C4447" s="1" t="s">
        <v>225</v>
      </c>
      <c r="D4447">
        <v>13825</v>
      </c>
      <c r="E4447" s="1"/>
      <c r="F4447" s="1" t="s">
        <v>358</v>
      </c>
      <c r="G4447" s="1" t="s">
        <v>225</v>
      </c>
      <c r="H4447" s="1" t="s">
        <v>1396</v>
      </c>
      <c r="I4447">
        <v>2009</v>
      </c>
      <c r="J4447" s="93">
        <v>56229.919999999998</v>
      </c>
      <c r="K4447">
        <v>4</v>
      </c>
      <c r="L4447" s="1" t="s">
        <v>462</v>
      </c>
      <c r="M4447">
        <v>0</v>
      </c>
      <c r="N4447">
        <v>739</v>
      </c>
      <c r="O4447">
        <v>76.078906000000003</v>
      </c>
      <c r="P4447">
        <v>2</v>
      </c>
      <c r="Q4447" s="1" t="s">
        <v>569</v>
      </c>
      <c r="R4447" s="93">
        <v>56229.919999999998</v>
      </c>
      <c r="S4447">
        <v>26371.83</v>
      </c>
      <c r="T4447">
        <v>0</v>
      </c>
      <c r="U4447" s="1" t="s">
        <v>1180</v>
      </c>
      <c r="V4447" s="1" t="s">
        <v>1361</v>
      </c>
      <c r="W4447">
        <v>56229.926449999999</v>
      </c>
      <c r="X4447">
        <v>0</v>
      </c>
      <c r="Y4447">
        <v>91847</v>
      </c>
    </row>
    <row r="4448" spans="1:25" ht="15" hidden="1" customHeight="1" x14ac:dyDescent="0.25">
      <c r="A4448" s="1" t="s">
        <v>40</v>
      </c>
      <c r="B4448" s="1"/>
      <c r="C4448" s="1" t="s">
        <v>225</v>
      </c>
      <c r="D4448">
        <v>13825</v>
      </c>
      <c r="E4448" s="1"/>
      <c r="F4448" s="1" t="s">
        <v>358</v>
      </c>
      <c r="G4448" s="1" t="s">
        <v>225</v>
      </c>
      <c r="H4448" s="1" t="s">
        <v>1396</v>
      </c>
      <c r="I4448">
        <v>2009</v>
      </c>
      <c r="J4448" s="93">
        <v>20774.400000000001</v>
      </c>
      <c r="K4448">
        <v>1</v>
      </c>
      <c r="L4448" s="1" t="s">
        <v>462</v>
      </c>
      <c r="M4448">
        <v>0</v>
      </c>
      <c r="N4448">
        <v>739</v>
      </c>
      <c r="O4448">
        <v>28.107697999999999</v>
      </c>
      <c r="P4448">
        <v>2</v>
      </c>
      <c r="Q4448" s="1" t="s">
        <v>569</v>
      </c>
      <c r="R4448" s="93">
        <v>20774.400000000001</v>
      </c>
      <c r="S4448">
        <v>9743.2099999999991</v>
      </c>
      <c r="T4448">
        <v>0</v>
      </c>
      <c r="U4448" s="1" t="s">
        <v>1181</v>
      </c>
      <c r="V4448" s="1" t="s">
        <v>1362</v>
      </c>
      <c r="W4448">
        <v>20774.404589999998</v>
      </c>
      <c r="X4448">
        <v>0</v>
      </c>
      <c r="Y4448">
        <v>94053</v>
      </c>
    </row>
    <row r="4449" spans="1:25" ht="15" hidden="1" customHeight="1" x14ac:dyDescent="0.25">
      <c r="A4449" s="1" t="s">
        <v>40</v>
      </c>
      <c r="B4449" s="1"/>
      <c r="C4449" s="1" t="s">
        <v>225</v>
      </c>
      <c r="D4449">
        <v>13825</v>
      </c>
      <c r="E4449" s="1"/>
      <c r="F4449" s="1" t="s">
        <v>358</v>
      </c>
      <c r="G4449" s="1" t="s">
        <v>225</v>
      </c>
      <c r="H4449" s="1" t="s">
        <v>1396</v>
      </c>
      <c r="I4449">
        <v>2008</v>
      </c>
      <c r="J4449" s="93">
        <v>56253.599999999999</v>
      </c>
      <c r="K4449">
        <v>0</v>
      </c>
      <c r="L4449" s="1" t="s">
        <v>462</v>
      </c>
      <c r="M4449">
        <v>0</v>
      </c>
      <c r="N4449">
        <v>739</v>
      </c>
      <c r="O4449">
        <v>76.110945000000001</v>
      </c>
      <c r="P4449">
        <v>2</v>
      </c>
      <c r="Q4449" s="1" t="s">
        <v>569</v>
      </c>
      <c r="R4449" s="93">
        <v>56253.599999999999</v>
      </c>
      <c r="S4449">
        <v>26382.95</v>
      </c>
      <c r="T4449">
        <v>0</v>
      </c>
      <c r="U4449" s="1" t="s">
        <v>1180</v>
      </c>
      <c r="V4449" s="1" t="s">
        <v>1361</v>
      </c>
      <c r="W4449">
        <v>56253.619019999998</v>
      </c>
      <c r="X4449">
        <v>0</v>
      </c>
      <c r="Y4449">
        <v>91847</v>
      </c>
    </row>
    <row r="4450" spans="1:25" ht="15" hidden="1" customHeight="1" x14ac:dyDescent="0.25">
      <c r="A4450" s="1" t="s">
        <v>40</v>
      </c>
      <c r="B4450" s="1"/>
      <c r="C4450" s="1" t="s">
        <v>225</v>
      </c>
      <c r="D4450">
        <v>13825</v>
      </c>
      <c r="E4450" s="1"/>
      <c r="F4450" s="1" t="s">
        <v>358</v>
      </c>
      <c r="G4450" s="1" t="s">
        <v>225</v>
      </c>
      <c r="H4450" s="1" t="s">
        <v>1396</v>
      </c>
      <c r="I4450">
        <v>2008</v>
      </c>
      <c r="J4450" s="93">
        <v>20824.439999999999</v>
      </c>
      <c r="K4450">
        <v>0</v>
      </c>
      <c r="L4450" s="1" t="s">
        <v>462</v>
      </c>
      <c r="M4450">
        <v>0</v>
      </c>
      <c r="N4450">
        <v>739</v>
      </c>
      <c r="O4450">
        <v>28.175401999999998</v>
      </c>
      <c r="P4450">
        <v>2</v>
      </c>
      <c r="Q4450" s="1" t="s">
        <v>569</v>
      </c>
      <c r="R4450" s="93">
        <v>20824.439999999999</v>
      </c>
      <c r="S4450">
        <v>9766.67</v>
      </c>
      <c r="T4450">
        <v>0</v>
      </c>
      <c r="U4450" s="1" t="s">
        <v>1181</v>
      </c>
      <c r="V4450" s="1" t="s">
        <v>1362</v>
      </c>
      <c r="W4450">
        <v>20824.448710000001</v>
      </c>
      <c r="X4450">
        <v>0</v>
      </c>
      <c r="Y4450">
        <v>94053</v>
      </c>
    </row>
    <row r="4451" spans="1:25" ht="15" hidden="1" customHeight="1" x14ac:dyDescent="0.25">
      <c r="A4451" s="1" t="s">
        <v>40</v>
      </c>
      <c r="B4451" s="1"/>
      <c r="C4451" s="1" t="s">
        <v>210</v>
      </c>
      <c r="D4451">
        <v>10275</v>
      </c>
      <c r="E4451" s="1"/>
      <c r="F4451" s="1" t="s">
        <v>348</v>
      </c>
      <c r="G4451" s="1" t="s">
        <v>210</v>
      </c>
      <c r="H4451" s="1" t="s">
        <v>1396</v>
      </c>
      <c r="I4451">
        <v>2015</v>
      </c>
      <c r="J4451" s="93">
        <v>171.7</v>
      </c>
      <c r="K4451">
        <v>5</v>
      </c>
      <c r="L4451" s="1" t="s">
        <v>457</v>
      </c>
      <c r="M4451">
        <v>0</v>
      </c>
      <c r="N4451">
        <v>551</v>
      </c>
      <c r="O4451">
        <v>0.311558</v>
      </c>
      <c r="P4451">
        <v>3</v>
      </c>
      <c r="Q4451" s="1" t="s">
        <v>560</v>
      </c>
      <c r="R4451" s="93">
        <v>171.7</v>
      </c>
      <c r="S4451">
        <v>137.36000000000001</v>
      </c>
      <c r="T4451">
        <v>0</v>
      </c>
      <c r="U4451" s="1" t="s">
        <v>720</v>
      </c>
      <c r="V4451" s="1"/>
      <c r="W4451">
        <v>171.7</v>
      </c>
      <c r="X4451">
        <v>0</v>
      </c>
      <c r="Y4451">
        <v>77669</v>
      </c>
    </row>
    <row r="4452" spans="1:25" ht="15" hidden="1" customHeight="1" x14ac:dyDescent="0.25">
      <c r="A4452" s="1" t="s">
        <v>40</v>
      </c>
      <c r="B4452" s="1"/>
      <c r="C4452" s="1" t="s">
        <v>210</v>
      </c>
      <c r="D4452">
        <v>10275</v>
      </c>
      <c r="E4452" s="1"/>
      <c r="F4452" s="1" t="s">
        <v>348</v>
      </c>
      <c r="G4452" s="1" t="s">
        <v>210</v>
      </c>
      <c r="H4452" s="1" t="s">
        <v>1396</v>
      </c>
      <c r="I4452">
        <v>2013</v>
      </c>
      <c r="J4452" s="93">
        <v>271</v>
      </c>
      <c r="K4452">
        <v>12</v>
      </c>
      <c r="L4452" s="1" t="s">
        <v>457</v>
      </c>
      <c r="M4452">
        <v>0</v>
      </c>
      <c r="N4452">
        <v>551</v>
      </c>
      <c r="O4452">
        <v>0.49174299999999999</v>
      </c>
      <c r="P4452">
        <v>3</v>
      </c>
      <c r="Q4452" s="1" t="s">
        <v>560</v>
      </c>
      <c r="R4452" s="93">
        <v>271</v>
      </c>
      <c r="S4452">
        <v>216.8</v>
      </c>
      <c r="T4452">
        <v>0</v>
      </c>
      <c r="U4452" s="1" t="s">
        <v>720</v>
      </c>
      <c r="V4452" s="1"/>
      <c r="W4452">
        <v>271</v>
      </c>
      <c r="X4452">
        <v>0</v>
      </c>
      <c r="Y4452">
        <v>77669</v>
      </c>
    </row>
    <row r="4453" spans="1:25" ht="15" hidden="1" customHeight="1" x14ac:dyDescent="0.25">
      <c r="A4453" s="1" t="s">
        <v>40</v>
      </c>
      <c r="B4453" s="1"/>
      <c r="C4453" s="1" t="s">
        <v>210</v>
      </c>
      <c r="D4453">
        <v>10275</v>
      </c>
      <c r="E4453" s="1"/>
      <c r="F4453" s="1" t="s">
        <v>348</v>
      </c>
      <c r="G4453" s="1" t="s">
        <v>210</v>
      </c>
      <c r="H4453" s="1" t="s">
        <v>1396</v>
      </c>
      <c r="I4453">
        <v>2012</v>
      </c>
      <c r="J4453" s="93">
        <v>318.89999999999998</v>
      </c>
      <c r="K4453">
        <v>12</v>
      </c>
      <c r="L4453" s="1" t="s">
        <v>457</v>
      </c>
      <c r="M4453">
        <v>0</v>
      </c>
      <c r="N4453">
        <v>551</v>
      </c>
      <c r="O4453">
        <v>0.57865999999999995</v>
      </c>
      <c r="P4453">
        <v>3</v>
      </c>
      <c r="Q4453" s="1" t="s">
        <v>560</v>
      </c>
      <c r="R4453" s="93">
        <v>318.89999999999998</v>
      </c>
      <c r="S4453">
        <v>255.12</v>
      </c>
      <c r="T4453">
        <v>0</v>
      </c>
      <c r="U4453" s="1" t="s">
        <v>720</v>
      </c>
      <c r="V4453" s="1"/>
      <c r="W4453">
        <v>318.89999999999998</v>
      </c>
      <c r="X4453">
        <v>0</v>
      </c>
      <c r="Y4453">
        <v>77669</v>
      </c>
    </row>
    <row r="4454" spans="1:25" ht="15" hidden="1" customHeight="1" x14ac:dyDescent="0.25">
      <c r="A4454" s="1" t="s">
        <v>40</v>
      </c>
      <c r="B4454" s="1"/>
      <c r="C4454" s="1" t="s">
        <v>210</v>
      </c>
      <c r="D4454">
        <v>10275</v>
      </c>
      <c r="E4454" s="1"/>
      <c r="F4454" s="1" t="s">
        <v>348</v>
      </c>
      <c r="G4454" s="1" t="s">
        <v>210</v>
      </c>
      <c r="H4454" s="1" t="s">
        <v>1396</v>
      </c>
      <c r="I4454">
        <v>2011</v>
      </c>
      <c r="J4454" s="93">
        <v>597.48</v>
      </c>
      <c r="K4454">
        <v>5</v>
      </c>
      <c r="L4454" s="1" t="s">
        <v>457</v>
      </c>
      <c r="M4454">
        <v>0</v>
      </c>
      <c r="N4454">
        <v>551</v>
      </c>
      <c r="O4454">
        <v>1.084158</v>
      </c>
      <c r="P4454">
        <v>3</v>
      </c>
      <c r="Q4454" s="1" t="s">
        <v>560</v>
      </c>
      <c r="R4454" s="93">
        <v>597.48</v>
      </c>
      <c r="S4454">
        <v>477.98</v>
      </c>
      <c r="T4454">
        <v>0</v>
      </c>
      <c r="U4454" s="1" t="s">
        <v>720</v>
      </c>
      <c r="V4454" s="1"/>
      <c r="W4454">
        <v>597.50000999999997</v>
      </c>
      <c r="X4454">
        <v>0</v>
      </c>
      <c r="Y4454">
        <v>77669</v>
      </c>
    </row>
    <row r="4455" spans="1:25" ht="15" hidden="1" customHeight="1" x14ac:dyDescent="0.25">
      <c r="A4455" s="1" t="s">
        <v>40</v>
      </c>
      <c r="B4455" s="1"/>
      <c r="C4455" s="1" t="s">
        <v>210</v>
      </c>
      <c r="D4455">
        <v>10275</v>
      </c>
      <c r="E4455" s="1"/>
      <c r="F4455" s="1" t="s">
        <v>348</v>
      </c>
      <c r="G4455" s="1" t="s">
        <v>210</v>
      </c>
      <c r="H4455" s="1" t="s">
        <v>1396</v>
      </c>
      <c r="I4455">
        <v>2010</v>
      </c>
      <c r="J4455" s="93">
        <v>639.63</v>
      </c>
      <c r="K4455">
        <v>3</v>
      </c>
      <c r="L4455" s="1" t="s">
        <v>457</v>
      </c>
      <c r="M4455">
        <v>0</v>
      </c>
      <c r="N4455">
        <v>551</v>
      </c>
      <c r="O4455">
        <v>1.160642</v>
      </c>
      <c r="P4455">
        <v>3</v>
      </c>
      <c r="Q4455" s="1" t="s">
        <v>560</v>
      </c>
      <c r="R4455" s="93">
        <v>639.63</v>
      </c>
      <c r="S4455">
        <v>511.73</v>
      </c>
      <c r="T4455">
        <v>0</v>
      </c>
      <c r="U4455" s="1" t="s">
        <v>720</v>
      </c>
      <c r="V4455" s="1"/>
      <c r="W4455">
        <v>639.63999000000001</v>
      </c>
      <c r="X4455">
        <v>0</v>
      </c>
      <c r="Y4455">
        <v>77669</v>
      </c>
    </row>
    <row r="4456" spans="1:25" ht="15" hidden="1" customHeight="1" x14ac:dyDescent="0.25">
      <c r="A4456" s="1" t="s">
        <v>40</v>
      </c>
      <c r="B4456" s="1"/>
      <c r="C4456" s="1" t="s">
        <v>210</v>
      </c>
      <c r="D4456">
        <v>10275</v>
      </c>
      <c r="E4456" s="1"/>
      <c r="F4456" s="1" t="s">
        <v>348</v>
      </c>
      <c r="G4456" s="1" t="s">
        <v>210</v>
      </c>
      <c r="H4456" s="1" t="s">
        <v>1396</v>
      </c>
      <c r="I4456">
        <v>2009</v>
      </c>
      <c r="J4456" s="93">
        <v>632.91</v>
      </c>
      <c r="K4456">
        <v>2</v>
      </c>
      <c r="L4456" s="1" t="s">
        <v>457</v>
      </c>
      <c r="M4456">
        <v>0</v>
      </c>
      <c r="N4456">
        <v>551</v>
      </c>
      <c r="O4456">
        <v>1.1484479999999999</v>
      </c>
      <c r="P4456">
        <v>3</v>
      </c>
      <c r="Q4456" s="1" t="s">
        <v>560</v>
      </c>
      <c r="R4456" s="93">
        <v>632.91</v>
      </c>
      <c r="S4456">
        <v>506.34</v>
      </c>
      <c r="T4456">
        <v>0</v>
      </c>
      <c r="U4456" s="1" t="s">
        <v>720</v>
      </c>
      <c r="V4456" s="1"/>
      <c r="W4456">
        <v>632.90545999999995</v>
      </c>
      <c r="X4456">
        <v>0</v>
      </c>
      <c r="Y4456">
        <v>77669</v>
      </c>
    </row>
    <row r="4457" spans="1:25" ht="15" hidden="1" customHeight="1" x14ac:dyDescent="0.25">
      <c r="A4457" s="1" t="s">
        <v>40</v>
      </c>
      <c r="B4457" s="1"/>
      <c r="C4457" s="1" t="s">
        <v>210</v>
      </c>
      <c r="D4457">
        <v>10275</v>
      </c>
      <c r="E4457" s="1"/>
      <c r="F4457" s="1" t="s">
        <v>348</v>
      </c>
      <c r="G4457" s="1" t="s">
        <v>210</v>
      </c>
      <c r="H4457" s="1" t="s">
        <v>1396</v>
      </c>
      <c r="I4457">
        <v>2008</v>
      </c>
      <c r="J4457" s="93">
        <v>666.09</v>
      </c>
      <c r="K4457">
        <v>3</v>
      </c>
      <c r="L4457" s="1" t="s">
        <v>457</v>
      </c>
      <c r="M4457">
        <v>0</v>
      </c>
      <c r="N4457">
        <v>551</v>
      </c>
      <c r="O4457">
        <v>1.208655</v>
      </c>
      <c r="P4457">
        <v>3</v>
      </c>
      <c r="Q4457" s="1" t="s">
        <v>560</v>
      </c>
      <c r="R4457" s="93">
        <v>666.09</v>
      </c>
      <c r="S4457">
        <v>532.89</v>
      </c>
      <c r="T4457">
        <v>0</v>
      </c>
      <c r="U4457" s="1" t="s">
        <v>720</v>
      </c>
      <c r="V4457" s="1"/>
      <c r="W4457">
        <v>666.09559000000002</v>
      </c>
      <c r="X4457">
        <v>0</v>
      </c>
      <c r="Y4457">
        <v>77669</v>
      </c>
    </row>
    <row r="4458" spans="1:25" ht="15" hidden="1" customHeight="1" x14ac:dyDescent="0.25">
      <c r="A4458" s="1" t="s">
        <v>40</v>
      </c>
      <c r="B4458" s="1" t="s">
        <v>86</v>
      </c>
      <c r="C4458" s="1" t="s">
        <v>213</v>
      </c>
      <c r="D4458">
        <v>6027</v>
      </c>
      <c r="E4458" s="1"/>
      <c r="F4458" s="1" t="s">
        <v>351</v>
      </c>
      <c r="G4458" s="1" t="s">
        <v>213</v>
      </c>
      <c r="H4458" s="1" t="s">
        <v>1396</v>
      </c>
      <c r="I4458">
        <v>2015</v>
      </c>
      <c r="J4458" s="93">
        <v>4.01</v>
      </c>
      <c r="K4458">
        <v>5</v>
      </c>
      <c r="L4458" s="1" t="s">
        <v>421</v>
      </c>
      <c r="M4458">
        <v>0</v>
      </c>
      <c r="N4458">
        <v>0</v>
      </c>
      <c r="O4458">
        <v>40.1</v>
      </c>
      <c r="P4458">
        <v>3</v>
      </c>
      <c r="Q4458" s="1" t="s">
        <v>560</v>
      </c>
      <c r="R4458" s="93">
        <v>4.01</v>
      </c>
      <c r="S4458">
        <v>3.2</v>
      </c>
      <c r="T4458">
        <v>1</v>
      </c>
      <c r="U4458" s="1" t="s">
        <v>723</v>
      </c>
      <c r="V4458" s="1"/>
      <c r="W4458">
        <v>3.9999899999999999</v>
      </c>
      <c r="X4458">
        <v>0</v>
      </c>
      <c r="Y4458">
        <v>60568</v>
      </c>
    </row>
    <row r="4459" spans="1:25" ht="15" hidden="1" customHeight="1" x14ac:dyDescent="0.25">
      <c r="A4459" s="1" t="s">
        <v>40</v>
      </c>
      <c r="B4459" s="1" t="s">
        <v>86</v>
      </c>
      <c r="C4459" s="1" t="s">
        <v>213</v>
      </c>
      <c r="D4459">
        <v>6027</v>
      </c>
      <c r="E4459" s="1"/>
      <c r="F4459" s="1" t="s">
        <v>351</v>
      </c>
      <c r="G4459" s="1" t="s">
        <v>213</v>
      </c>
      <c r="H4459" s="1" t="s">
        <v>1396</v>
      </c>
      <c r="I4459">
        <v>2015</v>
      </c>
      <c r="J4459" s="93">
        <v>12.12</v>
      </c>
      <c r="K4459">
        <v>5</v>
      </c>
      <c r="L4459" s="1" t="s">
        <v>421</v>
      </c>
      <c r="M4459">
        <v>0</v>
      </c>
      <c r="N4459">
        <v>0</v>
      </c>
      <c r="O4459">
        <v>121.2</v>
      </c>
      <c r="P4459">
        <v>3</v>
      </c>
      <c r="Q4459" s="1" t="s">
        <v>560</v>
      </c>
      <c r="R4459" s="93">
        <v>12.12</v>
      </c>
      <c r="S4459">
        <v>9.6999999999999993</v>
      </c>
      <c r="T4459">
        <v>1</v>
      </c>
      <c r="U4459" s="1" t="s">
        <v>724</v>
      </c>
      <c r="V4459" s="1"/>
      <c r="W4459">
        <v>12.114280000000001</v>
      </c>
      <c r="X4459">
        <v>0</v>
      </c>
      <c r="Y4459">
        <v>60570</v>
      </c>
    </row>
    <row r="4460" spans="1:25" ht="15" hidden="1" customHeight="1" x14ac:dyDescent="0.25">
      <c r="A4460" s="1" t="s">
        <v>40</v>
      </c>
      <c r="B4460" s="1" t="s">
        <v>86</v>
      </c>
      <c r="C4460" s="1" t="s">
        <v>213</v>
      </c>
      <c r="D4460">
        <v>6027</v>
      </c>
      <c r="E4460" s="1"/>
      <c r="F4460" s="1" t="s">
        <v>351</v>
      </c>
      <c r="G4460" s="1" t="s">
        <v>213</v>
      </c>
      <c r="H4460" s="1" t="s">
        <v>1396</v>
      </c>
      <c r="I4460">
        <v>2015</v>
      </c>
      <c r="J4460" s="93">
        <v>6.12</v>
      </c>
      <c r="K4460">
        <v>5</v>
      </c>
      <c r="L4460" s="1" t="s">
        <v>421</v>
      </c>
      <c r="M4460">
        <v>0</v>
      </c>
      <c r="N4460">
        <v>0</v>
      </c>
      <c r="O4460">
        <v>61.2</v>
      </c>
      <c r="P4460">
        <v>3</v>
      </c>
      <c r="Q4460" s="1" t="s">
        <v>560</v>
      </c>
      <c r="R4460" s="93">
        <v>6.12</v>
      </c>
      <c r="S4460">
        <v>4.8899999999999997</v>
      </c>
      <c r="T4460">
        <v>1</v>
      </c>
      <c r="U4460" s="1" t="s">
        <v>725</v>
      </c>
      <c r="V4460" s="1"/>
      <c r="W4460">
        <v>6.1142799999999999</v>
      </c>
      <c r="X4460">
        <v>0</v>
      </c>
      <c r="Y4460">
        <v>60571</v>
      </c>
    </row>
    <row r="4461" spans="1:25" ht="15" hidden="1" customHeight="1" x14ac:dyDescent="0.25">
      <c r="A4461" s="1" t="s">
        <v>40</v>
      </c>
      <c r="B4461" s="1" t="s">
        <v>86</v>
      </c>
      <c r="C4461" s="1" t="s">
        <v>213</v>
      </c>
      <c r="D4461">
        <v>6027</v>
      </c>
      <c r="E4461" s="1"/>
      <c r="F4461" s="1" t="s">
        <v>351</v>
      </c>
      <c r="G4461" s="1" t="s">
        <v>213</v>
      </c>
      <c r="H4461" s="1" t="s">
        <v>1396</v>
      </c>
      <c r="I4461">
        <v>2015</v>
      </c>
      <c r="J4461" s="93">
        <v>0</v>
      </c>
      <c r="K4461">
        <v>5</v>
      </c>
      <c r="L4461" s="1" t="s">
        <v>421</v>
      </c>
      <c r="M4461">
        <v>0</v>
      </c>
      <c r="N4461">
        <v>0</v>
      </c>
      <c r="O4461">
        <v>0</v>
      </c>
      <c r="P4461">
        <v>3</v>
      </c>
      <c r="Q4461" s="1" t="s">
        <v>560</v>
      </c>
      <c r="R4461" s="93">
        <v>0</v>
      </c>
      <c r="S4461">
        <v>0</v>
      </c>
      <c r="T4461">
        <v>1</v>
      </c>
      <c r="U4461" s="1" t="s">
        <v>726</v>
      </c>
      <c r="V4461" s="1"/>
      <c r="W4461">
        <v>0</v>
      </c>
      <c r="X4461">
        <v>0</v>
      </c>
      <c r="Y4461">
        <v>60572</v>
      </c>
    </row>
    <row r="4462" spans="1:25" ht="15" hidden="1" customHeight="1" x14ac:dyDescent="0.25">
      <c r="A4462" s="1" t="s">
        <v>40</v>
      </c>
      <c r="B4462" s="1" t="s">
        <v>86</v>
      </c>
      <c r="C4462" s="1" t="s">
        <v>213</v>
      </c>
      <c r="D4462">
        <v>6027</v>
      </c>
      <c r="E4462" s="1"/>
      <c r="F4462" s="1" t="s">
        <v>351</v>
      </c>
      <c r="G4462" s="1" t="s">
        <v>213</v>
      </c>
      <c r="H4462" s="1" t="s">
        <v>1396</v>
      </c>
      <c r="I4462">
        <v>2015</v>
      </c>
      <c r="J4462" s="93">
        <v>0.28999999999999998</v>
      </c>
      <c r="K4462">
        <v>5</v>
      </c>
      <c r="L4462" s="1" t="s">
        <v>421</v>
      </c>
      <c r="M4462">
        <v>0</v>
      </c>
      <c r="N4462">
        <v>0</v>
      </c>
      <c r="O4462">
        <v>2.9</v>
      </c>
      <c r="P4462">
        <v>3</v>
      </c>
      <c r="Q4462" s="1" t="s">
        <v>560</v>
      </c>
      <c r="R4462" s="93">
        <v>0.28999999999999998</v>
      </c>
      <c r="S4462">
        <v>0.23</v>
      </c>
      <c r="T4462">
        <v>1</v>
      </c>
      <c r="U4462" s="1" t="s">
        <v>727</v>
      </c>
      <c r="V4462" s="1"/>
      <c r="W4462">
        <v>0.3</v>
      </c>
      <c r="X4462">
        <v>0</v>
      </c>
      <c r="Y4462">
        <v>60573</v>
      </c>
    </row>
    <row r="4463" spans="1:25" ht="15" hidden="1" customHeight="1" x14ac:dyDescent="0.25">
      <c r="A4463" s="1" t="s">
        <v>40</v>
      </c>
      <c r="B4463" s="1" t="s">
        <v>86</v>
      </c>
      <c r="C4463" s="1" t="s">
        <v>213</v>
      </c>
      <c r="D4463">
        <v>6027</v>
      </c>
      <c r="E4463" s="1"/>
      <c r="F4463" s="1" t="s">
        <v>351</v>
      </c>
      <c r="G4463" s="1" t="s">
        <v>213</v>
      </c>
      <c r="H4463" s="1" t="s">
        <v>1396</v>
      </c>
      <c r="I4463">
        <v>2015</v>
      </c>
      <c r="J4463" s="93">
        <v>1.99</v>
      </c>
      <c r="K4463">
        <v>5</v>
      </c>
      <c r="L4463" s="1" t="s">
        <v>421</v>
      </c>
      <c r="M4463">
        <v>0</v>
      </c>
      <c r="N4463">
        <v>0</v>
      </c>
      <c r="O4463">
        <v>19.899999999999999</v>
      </c>
      <c r="P4463">
        <v>3</v>
      </c>
      <c r="Q4463" s="1" t="s">
        <v>560</v>
      </c>
      <c r="R4463" s="93">
        <v>1.99</v>
      </c>
      <c r="S4463">
        <v>1.6</v>
      </c>
      <c r="T4463">
        <v>1</v>
      </c>
      <c r="U4463" s="1" t="s">
        <v>728</v>
      </c>
      <c r="V4463" s="1"/>
      <c r="W4463">
        <v>2</v>
      </c>
      <c r="X4463">
        <v>0</v>
      </c>
      <c r="Y4463">
        <v>60574</v>
      </c>
    </row>
    <row r="4464" spans="1:25" ht="15" hidden="1" customHeight="1" x14ac:dyDescent="0.25">
      <c r="A4464" s="1" t="s">
        <v>40</v>
      </c>
      <c r="B4464" s="1" t="s">
        <v>86</v>
      </c>
      <c r="C4464" s="1" t="s">
        <v>213</v>
      </c>
      <c r="D4464">
        <v>6027</v>
      </c>
      <c r="E4464" s="1"/>
      <c r="F4464" s="1" t="s">
        <v>351</v>
      </c>
      <c r="G4464" s="1" t="s">
        <v>213</v>
      </c>
      <c r="H4464" s="1" t="s">
        <v>1396</v>
      </c>
      <c r="I4464">
        <v>2015</v>
      </c>
      <c r="J4464" s="93">
        <v>60.39</v>
      </c>
      <c r="K4464">
        <v>5</v>
      </c>
      <c r="L4464" s="1" t="s">
        <v>421</v>
      </c>
      <c r="M4464">
        <v>0</v>
      </c>
      <c r="N4464">
        <v>0</v>
      </c>
      <c r="O4464">
        <v>603.9</v>
      </c>
      <c r="P4464">
        <v>3</v>
      </c>
      <c r="Q4464" s="1" t="s">
        <v>560</v>
      </c>
      <c r="R4464" s="93">
        <v>60.39</v>
      </c>
      <c r="S4464">
        <v>48.32</v>
      </c>
      <c r="T4464">
        <v>1</v>
      </c>
      <c r="U4464" s="1" t="s">
        <v>729</v>
      </c>
      <c r="V4464" s="1"/>
      <c r="W4464">
        <v>60.400010000000002</v>
      </c>
      <c r="X4464">
        <v>0</v>
      </c>
      <c r="Y4464">
        <v>60575</v>
      </c>
    </row>
    <row r="4465" spans="1:25" ht="15" hidden="1" customHeight="1" x14ac:dyDescent="0.25">
      <c r="A4465" s="1" t="s">
        <v>40</v>
      </c>
      <c r="B4465" s="1" t="s">
        <v>86</v>
      </c>
      <c r="C4465" s="1" t="s">
        <v>213</v>
      </c>
      <c r="D4465">
        <v>6027</v>
      </c>
      <c r="E4465" s="1"/>
      <c r="F4465" s="1" t="s">
        <v>351</v>
      </c>
      <c r="G4465" s="1" t="s">
        <v>213</v>
      </c>
      <c r="H4465" s="1" t="s">
        <v>1396</v>
      </c>
      <c r="I4465">
        <v>2013</v>
      </c>
      <c r="J4465" s="93">
        <v>36.06</v>
      </c>
      <c r="K4465">
        <v>12</v>
      </c>
      <c r="L4465" s="1" t="s">
        <v>421</v>
      </c>
      <c r="M4465">
        <v>0</v>
      </c>
      <c r="N4465">
        <v>0</v>
      </c>
      <c r="O4465">
        <v>360.6</v>
      </c>
      <c r="P4465">
        <v>3</v>
      </c>
      <c r="Q4465" s="1" t="s">
        <v>560</v>
      </c>
      <c r="R4465" s="93">
        <v>36.06</v>
      </c>
      <c r="S4465">
        <v>28.84</v>
      </c>
      <c r="T4465">
        <v>1</v>
      </c>
      <c r="U4465" s="1" t="s">
        <v>723</v>
      </c>
      <c r="V4465" s="1"/>
      <c r="W4465">
        <v>36.055970000000002</v>
      </c>
      <c r="X4465">
        <v>0</v>
      </c>
      <c r="Y4465">
        <v>60568</v>
      </c>
    </row>
    <row r="4466" spans="1:25" ht="15" hidden="1" customHeight="1" x14ac:dyDescent="0.25">
      <c r="A4466" s="1" t="s">
        <v>40</v>
      </c>
      <c r="B4466" s="1" t="s">
        <v>86</v>
      </c>
      <c r="C4466" s="1" t="s">
        <v>213</v>
      </c>
      <c r="D4466">
        <v>6027</v>
      </c>
      <c r="E4466" s="1"/>
      <c r="F4466" s="1" t="s">
        <v>351</v>
      </c>
      <c r="G4466" s="1" t="s">
        <v>213</v>
      </c>
      <c r="H4466" s="1" t="s">
        <v>1396</v>
      </c>
      <c r="I4466">
        <v>2013</v>
      </c>
      <c r="J4466" s="93">
        <v>171.51</v>
      </c>
      <c r="K4466">
        <v>12</v>
      </c>
      <c r="L4466" s="1" t="s">
        <v>421</v>
      </c>
      <c r="M4466">
        <v>0</v>
      </c>
      <c r="N4466">
        <v>0</v>
      </c>
      <c r="O4466">
        <v>1715.1</v>
      </c>
      <c r="P4466">
        <v>3</v>
      </c>
      <c r="Q4466" s="1" t="s">
        <v>560</v>
      </c>
      <c r="R4466" s="93">
        <v>171.51</v>
      </c>
      <c r="S4466">
        <v>137.21</v>
      </c>
      <c r="T4466">
        <v>1</v>
      </c>
      <c r="U4466" s="1" t="s">
        <v>724</v>
      </c>
      <c r="V4466" s="1"/>
      <c r="W4466">
        <v>171.51519999999999</v>
      </c>
      <c r="X4466">
        <v>0</v>
      </c>
      <c r="Y4466">
        <v>60570</v>
      </c>
    </row>
    <row r="4467" spans="1:25" ht="15" hidden="1" customHeight="1" x14ac:dyDescent="0.25">
      <c r="A4467" s="1" t="s">
        <v>40</v>
      </c>
      <c r="B4467" s="1" t="s">
        <v>86</v>
      </c>
      <c r="C4467" s="1" t="s">
        <v>213</v>
      </c>
      <c r="D4467">
        <v>6027</v>
      </c>
      <c r="E4467" s="1"/>
      <c r="F4467" s="1" t="s">
        <v>351</v>
      </c>
      <c r="G4467" s="1" t="s">
        <v>213</v>
      </c>
      <c r="H4467" s="1" t="s">
        <v>1396</v>
      </c>
      <c r="I4467">
        <v>2013</v>
      </c>
      <c r="J4467" s="93">
        <v>54.98</v>
      </c>
      <c r="K4467">
        <v>12</v>
      </c>
      <c r="L4467" s="1" t="s">
        <v>421</v>
      </c>
      <c r="M4467">
        <v>0</v>
      </c>
      <c r="N4467">
        <v>0</v>
      </c>
      <c r="O4467">
        <v>549.79999999999995</v>
      </c>
      <c r="P4467">
        <v>3</v>
      </c>
      <c r="Q4467" s="1" t="s">
        <v>560</v>
      </c>
      <c r="R4467" s="93">
        <v>54.98</v>
      </c>
      <c r="S4467">
        <v>44.01</v>
      </c>
      <c r="T4467">
        <v>1</v>
      </c>
      <c r="U4467" s="1" t="s">
        <v>725</v>
      </c>
      <c r="V4467" s="1"/>
      <c r="W4467">
        <v>54.99145</v>
      </c>
      <c r="X4467">
        <v>0</v>
      </c>
      <c r="Y4467">
        <v>60571</v>
      </c>
    </row>
    <row r="4468" spans="1:25" ht="15" hidden="1" customHeight="1" x14ac:dyDescent="0.25">
      <c r="A4468" s="1" t="s">
        <v>40</v>
      </c>
      <c r="B4468" s="1" t="s">
        <v>86</v>
      </c>
      <c r="C4468" s="1" t="s">
        <v>213</v>
      </c>
      <c r="D4468">
        <v>6027</v>
      </c>
      <c r="E4468" s="1"/>
      <c r="F4468" s="1" t="s">
        <v>351</v>
      </c>
      <c r="G4468" s="1" t="s">
        <v>213</v>
      </c>
      <c r="H4468" s="1" t="s">
        <v>1396</v>
      </c>
      <c r="I4468">
        <v>2013</v>
      </c>
      <c r="J4468" s="93">
        <v>0</v>
      </c>
      <c r="K4468">
        <v>12</v>
      </c>
      <c r="L4468" s="1" t="s">
        <v>421</v>
      </c>
      <c r="M4468">
        <v>0</v>
      </c>
      <c r="N4468">
        <v>0</v>
      </c>
      <c r="O4468">
        <v>0</v>
      </c>
      <c r="P4468">
        <v>3</v>
      </c>
      <c r="Q4468" s="1" t="s">
        <v>560</v>
      </c>
      <c r="R4468" s="93">
        <v>0</v>
      </c>
      <c r="S4468">
        <v>0</v>
      </c>
      <c r="T4468">
        <v>1</v>
      </c>
      <c r="U4468" s="1" t="s">
        <v>726</v>
      </c>
      <c r="V4468" s="1"/>
      <c r="W4468">
        <v>0</v>
      </c>
      <c r="X4468">
        <v>0</v>
      </c>
      <c r="Y4468">
        <v>60572</v>
      </c>
    </row>
    <row r="4469" spans="1:25" ht="15" hidden="1" customHeight="1" x14ac:dyDescent="0.25">
      <c r="A4469" s="1" t="s">
        <v>40</v>
      </c>
      <c r="B4469" s="1" t="s">
        <v>86</v>
      </c>
      <c r="C4469" s="1" t="s">
        <v>213</v>
      </c>
      <c r="D4469">
        <v>6027</v>
      </c>
      <c r="E4469" s="1"/>
      <c r="F4469" s="1" t="s">
        <v>351</v>
      </c>
      <c r="G4469" s="1" t="s">
        <v>213</v>
      </c>
      <c r="H4469" s="1" t="s">
        <v>1396</v>
      </c>
      <c r="I4469">
        <v>2013</v>
      </c>
      <c r="J4469" s="93">
        <v>0.97</v>
      </c>
      <c r="K4469">
        <v>12</v>
      </c>
      <c r="L4469" s="1" t="s">
        <v>421</v>
      </c>
      <c r="M4469">
        <v>0</v>
      </c>
      <c r="N4469">
        <v>0</v>
      </c>
      <c r="O4469">
        <v>9.6999999999999993</v>
      </c>
      <c r="P4469">
        <v>3</v>
      </c>
      <c r="Q4469" s="1" t="s">
        <v>560</v>
      </c>
      <c r="R4469" s="93">
        <v>0.97</v>
      </c>
      <c r="S4469">
        <v>0.77</v>
      </c>
      <c r="T4469">
        <v>1</v>
      </c>
      <c r="U4469" s="1" t="s">
        <v>727</v>
      </c>
      <c r="V4469" s="1"/>
      <c r="W4469">
        <v>0.96774000000000004</v>
      </c>
      <c r="X4469">
        <v>0</v>
      </c>
      <c r="Y4469">
        <v>60573</v>
      </c>
    </row>
    <row r="4470" spans="1:25" ht="15" hidden="1" customHeight="1" x14ac:dyDescent="0.25">
      <c r="A4470" s="1" t="s">
        <v>40</v>
      </c>
      <c r="B4470" s="1" t="s">
        <v>86</v>
      </c>
      <c r="C4470" s="1" t="s">
        <v>213</v>
      </c>
      <c r="D4470">
        <v>6027</v>
      </c>
      <c r="E4470" s="1"/>
      <c r="F4470" s="1" t="s">
        <v>351</v>
      </c>
      <c r="G4470" s="1" t="s">
        <v>213</v>
      </c>
      <c r="H4470" s="1" t="s">
        <v>1396</v>
      </c>
      <c r="I4470">
        <v>2013</v>
      </c>
      <c r="J4470" s="93">
        <v>10</v>
      </c>
      <c r="K4470">
        <v>12</v>
      </c>
      <c r="L4470" s="1" t="s">
        <v>421</v>
      </c>
      <c r="M4470">
        <v>0</v>
      </c>
      <c r="N4470">
        <v>0</v>
      </c>
      <c r="O4470">
        <v>100</v>
      </c>
      <c r="P4470">
        <v>3</v>
      </c>
      <c r="Q4470" s="1" t="s">
        <v>560</v>
      </c>
      <c r="R4470" s="93">
        <v>10</v>
      </c>
      <c r="S4470">
        <v>8</v>
      </c>
      <c r="T4470">
        <v>1</v>
      </c>
      <c r="U4470" s="1" t="s">
        <v>728</v>
      </c>
      <c r="V4470" s="1"/>
      <c r="W4470">
        <v>10</v>
      </c>
      <c r="X4470">
        <v>0</v>
      </c>
      <c r="Y4470">
        <v>60574</v>
      </c>
    </row>
    <row r="4471" spans="1:25" ht="15" hidden="1" customHeight="1" x14ac:dyDescent="0.25">
      <c r="A4471" s="1" t="s">
        <v>40</v>
      </c>
      <c r="B4471" s="1" t="s">
        <v>86</v>
      </c>
      <c r="C4471" s="1" t="s">
        <v>213</v>
      </c>
      <c r="D4471">
        <v>6027</v>
      </c>
      <c r="E4471" s="1"/>
      <c r="F4471" s="1" t="s">
        <v>351</v>
      </c>
      <c r="G4471" s="1" t="s">
        <v>213</v>
      </c>
      <c r="H4471" s="1" t="s">
        <v>1396</v>
      </c>
      <c r="I4471">
        <v>2013</v>
      </c>
      <c r="J4471" s="93">
        <v>190.78</v>
      </c>
      <c r="K4471">
        <v>12</v>
      </c>
      <c r="L4471" s="1" t="s">
        <v>421</v>
      </c>
      <c r="M4471">
        <v>0</v>
      </c>
      <c r="N4471">
        <v>0</v>
      </c>
      <c r="O4471">
        <v>1907.8</v>
      </c>
      <c r="P4471">
        <v>3</v>
      </c>
      <c r="Q4471" s="1" t="s">
        <v>560</v>
      </c>
      <c r="R4471" s="93">
        <v>190.78</v>
      </c>
      <c r="S4471">
        <v>152.6</v>
      </c>
      <c r="T4471">
        <v>1</v>
      </c>
      <c r="U4471" s="1" t="s">
        <v>729</v>
      </c>
      <c r="V4471" s="1"/>
      <c r="W4471">
        <v>190.75711000000001</v>
      </c>
      <c r="X4471">
        <v>0</v>
      </c>
      <c r="Y4471">
        <v>60575</v>
      </c>
    </row>
    <row r="4472" spans="1:25" ht="15" hidden="1" customHeight="1" x14ac:dyDescent="0.25">
      <c r="A4472" s="1" t="s">
        <v>40</v>
      </c>
      <c r="B4472" s="1" t="s">
        <v>86</v>
      </c>
      <c r="C4472" s="1" t="s">
        <v>213</v>
      </c>
      <c r="D4472">
        <v>6027</v>
      </c>
      <c r="E4472" s="1"/>
      <c r="F4472" s="1" t="s">
        <v>351</v>
      </c>
      <c r="G4472" s="1" t="s">
        <v>213</v>
      </c>
      <c r="H4472" s="1" t="s">
        <v>1396</v>
      </c>
      <c r="I4472">
        <v>2012</v>
      </c>
      <c r="J4472" s="93">
        <v>30.01</v>
      </c>
      <c r="K4472">
        <v>12</v>
      </c>
      <c r="L4472" s="1" t="s">
        <v>421</v>
      </c>
      <c r="M4472">
        <v>0</v>
      </c>
      <c r="N4472">
        <v>0</v>
      </c>
      <c r="O4472">
        <v>300.10000000000002</v>
      </c>
      <c r="P4472">
        <v>3</v>
      </c>
      <c r="Q4472" s="1" t="s">
        <v>560</v>
      </c>
      <c r="R4472" s="93">
        <v>30.01</v>
      </c>
      <c r="S4472">
        <v>24.01</v>
      </c>
      <c r="T4472">
        <v>1</v>
      </c>
      <c r="U4472" s="1" t="s">
        <v>723</v>
      </c>
      <c r="V4472" s="1"/>
      <c r="W4472">
        <v>30.002680000000002</v>
      </c>
      <c r="X4472">
        <v>0</v>
      </c>
      <c r="Y4472">
        <v>60568</v>
      </c>
    </row>
    <row r="4473" spans="1:25" ht="15" hidden="1" customHeight="1" x14ac:dyDescent="0.25">
      <c r="A4473" s="1" t="s">
        <v>40</v>
      </c>
      <c r="B4473" s="1" t="s">
        <v>86</v>
      </c>
      <c r="C4473" s="1" t="s">
        <v>213</v>
      </c>
      <c r="D4473">
        <v>6027</v>
      </c>
      <c r="E4473" s="1"/>
      <c r="F4473" s="1" t="s">
        <v>351</v>
      </c>
      <c r="G4473" s="1" t="s">
        <v>213</v>
      </c>
      <c r="H4473" s="1" t="s">
        <v>1396</v>
      </c>
      <c r="I4473">
        <v>2012</v>
      </c>
      <c r="J4473" s="93">
        <v>217.44</v>
      </c>
      <c r="K4473">
        <v>12</v>
      </c>
      <c r="L4473" s="1" t="s">
        <v>421</v>
      </c>
      <c r="M4473">
        <v>0</v>
      </c>
      <c r="N4473">
        <v>0</v>
      </c>
      <c r="O4473">
        <v>2174.4</v>
      </c>
      <c r="P4473">
        <v>3</v>
      </c>
      <c r="Q4473" s="1" t="s">
        <v>560</v>
      </c>
      <c r="R4473" s="93">
        <v>217.44</v>
      </c>
      <c r="S4473">
        <v>173.96</v>
      </c>
      <c r="T4473">
        <v>1</v>
      </c>
      <c r="U4473" s="1" t="s">
        <v>724</v>
      </c>
      <c r="V4473" s="1"/>
      <c r="W4473">
        <v>217.44474</v>
      </c>
      <c r="X4473">
        <v>0</v>
      </c>
      <c r="Y4473">
        <v>60570</v>
      </c>
    </row>
    <row r="4474" spans="1:25" ht="15" hidden="1" customHeight="1" x14ac:dyDescent="0.25">
      <c r="A4474" s="1" t="s">
        <v>40</v>
      </c>
      <c r="B4474" s="1" t="s">
        <v>86</v>
      </c>
      <c r="C4474" s="1" t="s">
        <v>213</v>
      </c>
      <c r="D4474">
        <v>6027</v>
      </c>
      <c r="E4474" s="1"/>
      <c r="F4474" s="1" t="s">
        <v>351</v>
      </c>
      <c r="G4474" s="1" t="s">
        <v>213</v>
      </c>
      <c r="H4474" s="1" t="s">
        <v>1396</v>
      </c>
      <c r="I4474">
        <v>2012</v>
      </c>
      <c r="J4474" s="93">
        <v>40.950000000000003</v>
      </c>
      <c r="K4474">
        <v>12</v>
      </c>
      <c r="L4474" s="1" t="s">
        <v>421</v>
      </c>
      <c r="M4474">
        <v>0</v>
      </c>
      <c r="N4474">
        <v>0</v>
      </c>
      <c r="O4474">
        <v>409.5</v>
      </c>
      <c r="P4474">
        <v>3</v>
      </c>
      <c r="Q4474" s="1" t="s">
        <v>560</v>
      </c>
      <c r="R4474" s="93">
        <v>40.950000000000003</v>
      </c>
      <c r="S4474">
        <v>32.75</v>
      </c>
      <c r="T4474">
        <v>1</v>
      </c>
      <c r="U4474" s="1" t="s">
        <v>725</v>
      </c>
      <c r="V4474" s="1"/>
      <c r="W4474">
        <v>40.942059999999998</v>
      </c>
      <c r="X4474">
        <v>0</v>
      </c>
      <c r="Y4474">
        <v>60571</v>
      </c>
    </row>
    <row r="4475" spans="1:25" ht="15" hidden="1" customHeight="1" x14ac:dyDescent="0.25">
      <c r="A4475" s="1" t="s">
        <v>40</v>
      </c>
      <c r="B4475" s="1" t="s">
        <v>86</v>
      </c>
      <c r="C4475" s="1" t="s">
        <v>213</v>
      </c>
      <c r="D4475">
        <v>6027</v>
      </c>
      <c r="E4475" s="1"/>
      <c r="F4475" s="1" t="s">
        <v>351</v>
      </c>
      <c r="G4475" s="1" t="s">
        <v>213</v>
      </c>
      <c r="H4475" s="1" t="s">
        <v>1396</v>
      </c>
      <c r="I4475">
        <v>2012</v>
      </c>
      <c r="J4475" s="93">
        <v>0</v>
      </c>
      <c r="K4475">
        <v>12</v>
      </c>
      <c r="L4475" s="1" t="s">
        <v>421</v>
      </c>
      <c r="M4475">
        <v>0</v>
      </c>
      <c r="N4475">
        <v>0</v>
      </c>
      <c r="O4475">
        <v>0</v>
      </c>
      <c r="P4475">
        <v>3</v>
      </c>
      <c r="Q4475" s="1" t="s">
        <v>560</v>
      </c>
      <c r="R4475" s="93">
        <v>0</v>
      </c>
      <c r="S4475">
        <v>0</v>
      </c>
      <c r="T4475">
        <v>1</v>
      </c>
      <c r="U4475" s="1" t="s">
        <v>726</v>
      </c>
      <c r="V4475" s="1"/>
      <c r="W4475">
        <v>0</v>
      </c>
      <c r="X4475">
        <v>0</v>
      </c>
      <c r="Y4475">
        <v>60572</v>
      </c>
    </row>
    <row r="4476" spans="1:25" ht="15" hidden="1" customHeight="1" x14ac:dyDescent="0.25">
      <c r="A4476" s="1" t="s">
        <v>40</v>
      </c>
      <c r="B4476" s="1" t="s">
        <v>86</v>
      </c>
      <c r="C4476" s="1" t="s">
        <v>213</v>
      </c>
      <c r="D4476">
        <v>6027</v>
      </c>
      <c r="E4476" s="1"/>
      <c r="F4476" s="1" t="s">
        <v>351</v>
      </c>
      <c r="G4476" s="1" t="s">
        <v>213</v>
      </c>
      <c r="H4476" s="1" t="s">
        <v>1396</v>
      </c>
      <c r="I4476">
        <v>2012</v>
      </c>
      <c r="J4476" s="93">
        <v>1</v>
      </c>
      <c r="K4476">
        <v>12</v>
      </c>
      <c r="L4476" s="1" t="s">
        <v>421</v>
      </c>
      <c r="M4476">
        <v>0</v>
      </c>
      <c r="N4476">
        <v>0</v>
      </c>
      <c r="O4476">
        <v>10</v>
      </c>
      <c r="P4476">
        <v>3</v>
      </c>
      <c r="Q4476" s="1" t="s">
        <v>560</v>
      </c>
      <c r="R4476" s="93">
        <v>1</v>
      </c>
      <c r="S4476">
        <v>0.81</v>
      </c>
      <c r="T4476">
        <v>1</v>
      </c>
      <c r="U4476" s="1" t="s">
        <v>727</v>
      </c>
      <c r="V4476" s="1"/>
      <c r="W4476">
        <v>1</v>
      </c>
      <c r="X4476">
        <v>0</v>
      </c>
      <c r="Y4476">
        <v>60573</v>
      </c>
    </row>
    <row r="4477" spans="1:25" ht="15" hidden="1" customHeight="1" x14ac:dyDescent="0.25">
      <c r="A4477" s="1" t="s">
        <v>40</v>
      </c>
      <c r="B4477" s="1" t="s">
        <v>86</v>
      </c>
      <c r="C4477" s="1" t="s">
        <v>213</v>
      </c>
      <c r="D4477">
        <v>6027</v>
      </c>
      <c r="E4477" s="1"/>
      <c r="F4477" s="1" t="s">
        <v>351</v>
      </c>
      <c r="G4477" s="1" t="s">
        <v>213</v>
      </c>
      <c r="H4477" s="1" t="s">
        <v>1396</v>
      </c>
      <c r="I4477">
        <v>2012</v>
      </c>
      <c r="J4477" s="93">
        <v>1</v>
      </c>
      <c r="K4477">
        <v>12</v>
      </c>
      <c r="L4477" s="1" t="s">
        <v>421</v>
      </c>
      <c r="M4477">
        <v>0</v>
      </c>
      <c r="N4477">
        <v>0</v>
      </c>
      <c r="O4477">
        <v>10</v>
      </c>
      <c r="P4477">
        <v>3</v>
      </c>
      <c r="Q4477" s="1" t="s">
        <v>560</v>
      </c>
      <c r="R4477" s="93">
        <v>1</v>
      </c>
      <c r="S4477">
        <v>0.8</v>
      </c>
      <c r="T4477">
        <v>1</v>
      </c>
      <c r="U4477" s="1" t="s">
        <v>728</v>
      </c>
      <c r="V4477" s="1"/>
      <c r="W4477">
        <v>1</v>
      </c>
      <c r="X4477">
        <v>0</v>
      </c>
      <c r="Y4477">
        <v>60574</v>
      </c>
    </row>
    <row r="4478" spans="1:25" ht="15" hidden="1" customHeight="1" x14ac:dyDescent="0.25">
      <c r="A4478" s="1" t="s">
        <v>40</v>
      </c>
      <c r="B4478" s="1" t="s">
        <v>86</v>
      </c>
      <c r="C4478" s="1" t="s">
        <v>213</v>
      </c>
      <c r="D4478">
        <v>6027</v>
      </c>
      <c r="E4478" s="1"/>
      <c r="F4478" s="1" t="s">
        <v>351</v>
      </c>
      <c r="G4478" s="1" t="s">
        <v>213</v>
      </c>
      <c r="H4478" s="1" t="s">
        <v>1396</v>
      </c>
      <c r="I4478">
        <v>2012</v>
      </c>
      <c r="J4478" s="93">
        <v>112.98</v>
      </c>
      <c r="K4478">
        <v>12</v>
      </c>
      <c r="L4478" s="1" t="s">
        <v>421</v>
      </c>
      <c r="M4478">
        <v>0</v>
      </c>
      <c r="N4478">
        <v>0</v>
      </c>
      <c r="O4478">
        <v>1129.8</v>
      </c>
      <c r="P4478">
        <v>3</v>
      </c>
      <c r="Q4478" s="1" t="s">
        <v>560</v>
      </c>
      <c r="R4478" s="93">
        <v>112.98</v>
      </c>
      <c r="S4478">
        <v>90.39</v>
      </c>
      <c r="T4478">
        <v>1</v>
      </c>
      <c r="U4478" s="1" t="s">
        <v>729</v>
      </c>
      <c r="V4478" s="1"/>
      <c r="W4478">
        <v>112.97504000000001</v>
      </c>
      <c r="X4478">
        <v>0</v>
      </c>
      <c r="Y4478">
        <v>60575</v>
      </c>
    </row>
    <row r="4479" spans="1:25" ht="15" hidden="1" customHeight="1" x14ac:dyDescent="0.25">
      <c r="A4479" s="1" t="s">
        <v>40</v>
      </c>
      <c r="B4479" s="1" t="s">
        <v>86</v>
      </c>
      <c r="C4479" s="1" t="s">
        <v>213</v>
      </c>
      <c r="D4479">
        <v>6027</v>
      </c>
      <c r="E4479" s="1"/>
      <c r="F4479" s="1" t="s">
        <v>351</v>
      </c>
      <c r="G4479" s="1" t="s">
        <v>213</v>
      </c>
      <c r="H4479" s="1" t="s">
        <v>1396</v>
      </c>
      <c r="I4479">
        <v>2011</v>
      </c>
      <c r="J4479" s="93">
        <v>37.96</v>
      </c>
      <c r="K4479">
        <v>12</v>
      </c>
      <c r="L4479" s="1" t="s">
        <v>421</v>
      </c>
      <c r="M4479">
        <v>0</v>
      </c>
      <c r="N4479">
        <v>0</v>
      </c>
      <c r="O4479">
        <v>379.6</v>
      </c>
      <c r="P4479">
        <v>3</v>
      </c>
      <c r="Q4479" s="1" t="s">
        <v>560</v>
      </c>
      <c r="R4479" s="93">
        <v>37.96</v>
      </c>
      <c r="S4479">
        <v>30.37</v>
      </c>
      <c r="T4479">
        <v>1</v>
      </c>
      <c r="U4479" s="1" t="s">
        <v>723</v>
      </c>
      <c r="V4479" s="1"/>
      <c r="W4479">
        <v>37.96969</v>
      </c>
      <c r="X4479">
        <v>0</v>
      </c>
      <c r="Y4479">
        <v>60568</v>
      </c>
    </row>
    <row r="4480" spans="1:25" ht="15" hidden="1" customHeight="1" x14ac:dyDescent="0.25">
      <c r="A4480" s="1" t="s">
        <v>40</v>
      </c>
      <c r="B4480" s="1" t="s">
        <v>86</v>
      </c>
      <c r="C4480" s="1" t="s">
        <v>213</v>
      </c>
      <c r="D4480">
        <v>6027</v>
      </c>
      <c r="E4480" s="1"/>
      <c r="F4480" s="1" t="s">
        <v>351</v>
      </c>
      <c r="G4480" s="1" t="s">
        <v>213</v>
      </c>
      <c r="H4480" s="1" t="s">
        <v>1396</v>
      </c>
      <c r="I4480">
        <v>2011</v>
      </c>
      <c r="J4480" s="93">
        <v>125</v>
      </c>
      <c r="K4480">
        <v>12</v>
      </c>
      <c r="L4480" s="1" t="s">
        <v>421</v>
      </c>
      <c r="M4480">
        <v>0</v>
      </c>
      <c r="N4480">
        <v>0</v>
      </c>
      <c r="O4480">
        <v>1250</v>
      </c>
      <c r="P4480">
        <v>3</v>
      </c>
      <c r="Q4480" s="1" t="s">
        <v>560</v>
      </c>
      <c r="R4480" s="93">
        <v>125</v>
      </c>
      <c r="S4480">
        <v>100.02</v>
      </c>
      <c r="T4480">
        <v>1</v>
      </c>
      <c r="U4480" s="1" t="s">
        <v>724</v>
      </c>
      <c r="V4480" s="1"/>
      <c r="W4480">
        <v>124.99999</v>
      </c>
      <c r="X4480">
        <v>0</v>
      </c>
      <c r="Y4480">
        <v>60570</v>
      </c>
    </row>
    <row r="4481" spans="1:25" ht="15" hidden="1" customHeight="1" x14ac:dyDescent="0.25">
      <c r="A4481" s="1" t="s">
        <v>40</v>
      </c>
      <c r="B4481" s="1" t="s">
        <v>86</v>
      </c>
      <c r="C4481" s="1" t="s">
        <v>213</v>
      </c>
      <c r="D4481">
        <v>6027</v>
      </c>
      <c r="E4481" s="1"/>
      <c r="F4481" s="1" t="s">
        <v>351</v>
      </c>
      <c r="G4481" s="1" t="s">
        <v>213</v>
      </c>
      <c r="H4481" s="1" t="s">
        <v>1396</v>
      </c>
      <c r="I4481">
        <v>2011</v>
      </c>
      <c r="J4481" s="93">
        <v>36.04</v>
      </c>
      <c r="K4481">
        <v>12</v>
      </c>
      <c r="L4481" s="1" t="s">
        <v>421</v>
      </c>
      <c r="M4481">
        <v>0</v>
      </c>
      <c r="N4481">
        <v>0</v>
      </c>
      <c r="O4481">
        <v>360.4</v>
      </c>
      <c r="P4481">
        <v>3</v>
      </c>
      <c r="Q4481" s="1" t="s">
        <v>560</v>
      </c>
      <c r="R4481" s="93">
        <v>36.04</v>
      </c>
      <c r="S4481">
        <v>28.81</v>
      </c>
      <c r="T4481">
        <v>1</v>
      </c>
      <c r="U4481" s="1" t="s">
        <v>725</v>
      </c>
      <c r="V4481" s="1"/>
      <c r="W4481">
        <v>36.030290000000001</v>
      </c>
      <c r="X4481">
        <v>0</v>
      </c>
      <c r="Y4481">
        <v>60571</v>
      </c>
    </row>
    <row r="4482" spans="1:25" ht="15" hidden="1" customHeight="1" x14ac:dyDescent="0.25">
      <c r="A4482" s="1" t="s">
        <v>40</v>
      </c>
      <c r="B4482" s="1" t="s">
        <v>86</v>
      </c>
      <c r="C4482" s="1" t="s">
        <v>213</v>
      </c>
      <c r="D4482">
        <v>6027</v>
      </c>
      <c r="E4482" s="1"/>
      <c r="F4482" s="1" t="s">
        <v>351</v>
      </c>
      <c r="G4482" s="1" t="s">
        <v>213</v>
      </c>
      <c r="H4482" s="1" t="s">
        <v>1396</v>
      </c>
      <c r="I4482">
        <v>2011</v>
      </c>
      <c r="J4482" s="93">
        <v>0</v>
      </c>
      <c r="K4482">
        <v>12</v>
      </c>
      <c r="L4482" s="1" t="s">
        <v>421</v>
      </c>
      <c r="M4482">
        <v>0</v>
      </c>
      <c r="N4482">
        <v>0</v>
      </c>
      <c r="O4482">
        <v>0</v>
      </c>
      <c r="P4482">
        <v>3</v>
      </c>
      <c r="Q4482" s="1" t="s">
        <v>560</v>
      </c>
      <c r="R4482" s="93">
        <v>0</v>
      </c>
      <c r="S4482">
        <v>0</v>
      </c>
      <c r="T4482">
        <v>1</v>
      </c>
      <c r="U4482" s="1" t="s">
        <v>726</v>
      </c>
      <c r="V4482" s="1"/>
      <c r="W4482">
        <v>0</v>
      </c>
      <c r="X4482">
        <v>0</v>
      </c>
      <c r="Y4482">
        <v>60572</v>
      </c>
    </row>
    <row r="4483" spans="1:25" ht="15" hidden="1" customHeight="1" x14ac:dyDescent="0.25">
      <c r="A4483" s="1" t="s">
        <v>40</v>
      </c>
      <c r="B4483" s="1" t="s">
        <v>86</v>
      </c>
      <c r="C4483" s="1" t="s">
        <v>213</v>
      </c>
      <c r="D4483">
        <v>6027</v>
      </c>
      <c r="E4483" s="1"/>
      <c r="F4483" s="1" t="s">
        <v>351</v>
      </c>
      <c r="G4483" s="1" t="s">
        <v>213</v>
      </c>
      <c r="H4483" s="1" t="s">
        <v>1396</v>
      </c>
      <c r="I4483">
        <v>2011</v>
      </c>
      <c r="J4483" s="93">
        <v>0</v>
      </c>
      <c r="K4483">
        <v>12</v>
      </c>
      <c r="L4483" s="1" t="s">
        <v>421</v>
      </c>
      <c r="M4483">
        <v>0</v>
      </c>
      <c r="N4483">
        <v>0</v>
      </c>
      <c r="O4483">
        <v>0</v>
      </c>
      <c r="P4483">
        <v>3</v>
      </c>
      <c r="Q4483" s="1" t="s">
        <v>560</v>
      </c>
      <c r="R4483" s="93">
        <v>0</v>
      </c>
      <c r="S4483">
        <v>0</v>
      </c>
      <c r="T4483">
        <v>1</v>
      </c>
      <c r="U4483" s="1" t="s">
        <v>727</v>
      </c>
      <c r="V4483" s="1"/>
      <c r="W4483">
        <v>0</v>
      </c>
      <c r="X4483">
        <v>0</v>
      </c>
      <c r="Y4483">
        <v>60573</v>
      </c>
    </row>
    <row r="4484" spans="1:25" ht="15" hidden="1" customHeight="1" x14ac:dyDescent="0.25">
      <c r="A4484" s="1" t="s">
        <v>40</v>
      </c>
      <c r="B4484" s="1" t="s">
        <v>86</v>
      </c>
      <c r="C4484" s="1" t="s">
        <v>213</v>
      </c>
      <c r="D4484">
        <v>6027</v>
      </c>
      <c r="E4484" s="1"/>
      <c r="F4484" s="1" t="s">
        <v>351</v>
      </c>
      <c r="G4484" s="1" t="s">
        <v>213</v>
      </c>
      <c r="H4484" s="1" t="s">
        <v>1396</v>
      </c>
      <c r="I4484">
        <v>2011</v>
      </c>
      <c r="J4484" s="93">
        <v>1</v>
      </c>
      <c r="K4484">
        <v>12</v>
      </c>
      <c r="L4484" s="1" t="s">
        <v>421</v>
      </c>
      <c r="M4484">
        <v>0</v>
      </c>
      <c r="N4484">
        <v>0</v>
      </c>
      <c r="O4484">
        <v>10</v>
      </c>
      <c r="P4484">
        <v>3</v>
      </c>
      <c r="Q4484" s="1" t="s">
        <v>560</v>
      </c>
      <c r="R4484" s="93">
        <v>1</v>
      </c>
      <c r="S4484">
        <v>0.8</v>
      </c>
      <c r="T4484">
        <v>1</v>
      </c>
      <c r="U4484" s="1" t="s">
        <v>728</v>
      </c>
      <c r="V4484" s="1"/>
      <c r="W4484">
        <v>1</v>
      </c>
      <c r="X4484">
        <v>0</v>
      </c>
      <c r="Y4484">
        <v>60574</v>
      </c>
    </row>
    <row r="4485" spans="1:25" ht="15" hidden="1" customHeight="1" x14ac:dyDescent="0.25">
      <c r="A4485" s="1" t="s">
        <v>40</v>
      </c>
      <c r="B4485" s="1" t="s">
        <v>86</v>
      </c>
      <c r="C4485" s="1" t="s">
        <v>213</v>
      </c>
      <c r="D4485">
        <v>6027</v>
      </c>
      <c r="E4485" s="1"/>
      <c r="F4485" s="1" t="s">
        <v>351</v>
      </c>
      <c r="G4485" s="1" t="s">
        <v>213</v>
      </c>
      <c r="H4485" s="1" t="s">
        <v>1396</v>
      </c>
      <c r="I4485">
        <v>2011</v>
      </c>
      <c r="J4485" s="93">
        <v>159.1</v>
      </c>
      <c r="K4485">
        <v>12</v>
      </c>
      <c r="L4485" s="1" t="s">
        <v>421</v>
      </c>
      <c r="M4485">
        <v>0</v>
      </c>
      <c r="N4485">
        <v>0</v>
      </c>
      <c r="O4485">
        <v>1591</v>
      </c>
      <c r="P4485">
        <v>3</v>
      </c>
      <c r="Q4485" s="1" t="s">
        <v>560</v>
      </c>
      <c r="R4485" s="93">
        <v>159.1</v>
      </c>
      <c r="S4485">
        <v>127.28</v>
      </c>
      <c r="T4485">
        <v>1</v>
      </c>
      <c r="U4485" s="1" t="s">
        <v>729</v>
      </c>
      <c r="V4485" s="1"/>
      <c r="W4485">
        <v>159.09091000000001</v>
      </c>
      <c r="X4485">
        <v>0</v>
      </c>
      <c r="Y4485">
        <v>60575</v>
      </c>
    </row>
    <row r="4486" spans="1:25" ht="15" hidden="1" customHeight="1" x14ac:dyDescent="0.25">
      <c r="A4486" s="1" t="s">
        <v>40</v>
      </c>
      <c r="B4486" s="1" t="s">
        <v>86</v>
      </c>
      <c r="C4486" s="1" t="s">
        <v>213</v>
      </c>
      <c r="D4486">
        <v>6027</v>
      </c>
      <c r="E4486" s="1"/>
      <c r="F4486" s="1" t="s">
        <v>351</v>
      </c>
      <c r="G4486" s="1" t="s">
        <v>213</v>
      </c>
      <c r="H4486" s="1" t="s">
        <v>1396</v>
      </c>
      <c r="I4486">
        <v>2010</v>
      </c>
      <c r="J4486" s="93">
        <v>33.47</v>
      </c>
      <c r="K4486">
        <v>12</v>
      </c>
      <c r="L4486" s="1" t="s">
        <v>421</v>
      </c>
      <c r="M4486">
        <v>0</v>
      </c>
      <c r="N4486">
        <v>0</v>
      </c>
      <c r="O4486">
        <v>334.7</v>
      </c>
      <c r="P4486">
        <v>3</v>
      </c>
      <c r="Q4486" s="1" t="s">
        <v>560</v>
      </c>
      <c r="R4486" s="93">
        <v>33.47</v>
      </c>
      <c r="S4486">
        <v>26.76</v>
      </c>
      <c r="T4486">
        <v>1</v>
      </c>
      <c r="U4486" s="1" t="s">
        <v>723</v>
      </c>
      <c r="V4486" s="1"/>
      <c r="W4486">
        <v>33.468800000000002</v>
      </c>
      <c r="X4486">
        <v>0</v>
      </c>
      <c r="Y4486">
        <v>60568</v>
      </c>
    </row>
    <row r="4487" spans="1:25" ht="15" hidden="1" customHeight="1" x14ac:dyDescent="0.25">
      <c r="A4487" s="1" t="s">
        <v>40</v>
      </c>
      <c r="B4487" s="1" t="s">
        <v>86</v>
      </c>
      <c r="C4487" s="1" t="s">
        <v>213</v>
      </c>
      <c r="D4487">
        <v>6027</v>
      </c>
      <c r="E4487" s="1"/>
      <c r="F4487" s="1" t="s">
        <v>351</v>
      </c>
      <c r="G4487" s="1" t="s">
        <v>213</v>
      </c>
      <c r="H4487" s="1" t="s">
        <v>1396</v>
      </c>
      <c r="I4487">
        <v>2010</v>
      </c>
      <c r="J4487" s="93">
        <v>49.33</v>
      </c>
      <c r="K4487">
        <v>12</v>
      </c>
      <c r="L4487" s="1" t="s">
        <v>421</v>
      </c>
      <c r="M4487">
        <v>0</v>
      </c>
      <c r="N4487">
        <v>0</v>
      </c>
      <c r="O4487">
        <v>493.3</v>
      </c>
      <c r="P4487">
        <v>3</v>
      </c>
      <c r="Q4487" s="1" t="s">
        <v>560</v>
      </c>
      <c r="R4487" s="93">
        <v>49.33</v>
      </c>
      <c r="S4487">
        <v>39.46</v>
      </c>
      <c r="T4487">
        <v>1</v>
      </c>
      <c r="U4487" s="1" t="s">
        <v>724</v>
      </c>
      <c r="V4487" s="1"/>
      <c r="W4487">
        <v>49.319969999999998</v>
      </c>
      <c r="X4487">
        <v>0</v>
      </c>
      <c r="Y4487">
        <v>60570</v>
      </c>
    </row>
    <row r="4488" spans="1:25" ht="15" hidden="1" customHeight="1" x14ac:dyDescent="0.25">
      <c r="A4488" s="1" t="s">
        <v>40</v>
      </c>
      <c r="B4488" s="1" t="s">
        <v>86</v>
      </c>
      <c r="C4488" s="1" t="s">
        <v>213</v>
      </c>
      <c r="D4488">
        <v>6027</v>
      </c>
      <c r="E4488" s="1"/>
      <c r="F4488" s="1" t="s">
        <v>351</v>
      </c>
      <c r="G4488" s="1" t="s">
        <v>213</v>
      </c>
      <c r="H4488" s="1" t="s">
        <v>1396</v>
      </c>
      <c r="I4488">
        <v>2010</v>
      </c>
      <c r="J4488" s="93">
        <v>34.28</v>
      </c>
      <c r="K4488">
        <v>12</v>
      </c>
      <c r="L4488" s="1" t="s">
        <v>421</v>
      </c>
      <c r="M4488">
        <v>0</v>
      </c>
      <c r="N4488">
        <v>0</v>
      </c>
      <c r="O4488">
        <v>342.8</v>
      </c>
      <c r="P4488">
        <v>3</v>
      </c>
      <c r="Q4488" s="1" t="s">
        <v>560</v>
      </c>
      <c r="R4488" s="93">
        <v>34.28</v>
      </c>
      <c r="S4488">
        <v>27.43</v>
      </c>
      <c r="T4488">
        <v>1</v>
      </c>
      <c r="U4488" s="1" t="s">
        <v>725</v>
      </c>
      <c r="V4488" s="1"/>
      <c r="W4488">
        <v>34.292340000000003</v>
      </c>
      <c r="X4488">
        <v>0</v>
      </c>
      <c r="Y4488">
        <v>60571</v>
      </c>
    </row>
    <row r="4489" spans="1:25" ht="15" hidden="1" customHeight="1" x14ac:dyDescent="0.25">
      <c r="A4489" s="1" t="s">
        <v>40</v>
      </c>
      <c r="B4489" s="1" t="s">
        <v>86</v>
      </c>
      <c r="C4489" s="1" t="s">
        <v>213</v>
      </c>
      <c r="D4489">
        <v>6027</v>
      </c>
      <c r="E4489" s="1"/>
      <c r="F4489" s="1" t="s">
        <v>351</v>
      </c>
      <c r="G4489" s="1" t="s">
        <v>213</v>
      </c>
      <c r="H4489" s="1" t="s">
        <v>1396</v>
      </c>
      <c r="I4489">
        <v>2010</v>
      </c>
      <c r="J4489" s="93">
        <v>0</v>
      </c>
      <c r="K4489">
        <v>12</v>
      </c>
      <c r="L4489" s="1" t="s">
        <v>421</v>
      </c>
      <c r="M4489">
        <v>0</v>
      </c>
      <c r="N4489">
        <v>0</v>
      </c>
      <c r="O4489">
        <v>0</v>
      </c>
      <c r="P4489">
        <v>3</v>
      </c>
      <c r="Q4489" s="1" t="s">
        <v>560</v>
      </c>
      <c r="R4489" s="93">
        <v>0</v>
      </c>
      <c r="S4489">
        <v>0</v>
      </c>
      <c r="T4489">
        <v>1</v>
      </c>
      <c r="U4489" s="1" t="s">
        <v>726</v>
      </c>
      <c r="V4489" s="1"/>
      <c r="W4489">
        <v>0</v>
      </c>
      <c r="X4489">
        <v>0</v>
      </c>
      <c r="Y4489">
        <v>60572</v>
      </c>
    </row>
    <row r="4490" spans="1:25" ht="15" hidden="1" customHeight="1" x14ac:dyDescent="0.25">
      <c r="A4490" s="1" t="s">
        <v>40</v>
      </c>
      <c r="B4490" s="1" t="s">
        <v>86</v>
      </c>
      <c r="C4490" s="1" t="s">
        <v>213</v>
      </c>
      <c r="D4490">
        <v>6027</v>
      </c>
      <c r="E4490" s="1"/>
      <c r="F4490" s="1" t="s">
        <v>351</v>
      </c>
      <c r="G4490" s="1" t="s">
        <v>213</v>
      </c>
      <c r="H4490" s="1" t="s">
        <v>1396</v>
      </c>
      <c r="I4490">
        <v>2010</v>
      </c>
      <c r="J4490" s="93">
        <v>1</v>
      </c>
      <c r="K4490">
        <v>12</v>
      </c>
      <c r="L4490" s="1" t="s">
        <v>421</v>
      </c>
      <c r="M4490">
        <v>0</v>
      </c>
      <c r="N4490">
        <v>0</v>
      </c>
      <c r="O4490">
        <v>10</v>
      </c>
      <c r="P4490">
        <v>3</v>
      </c>
      <c r="Q4490" s="1" t="s">
        <v>560</v>
      </c>
      <c r="R4490" s="93">
        <v>1</v>
      </c>
      <c r="S4490">
        <v>0.8</v>
      </c>
      <c r="T4490">
        <v>1</v>
      </c>
      <c r="U4490" s="1" t="s">
        <v>727</v>
      </c>
      <c r="V4490" s="1"/>
      <c r="W4490">
        <v>1</v>
      </c>
      <c r="X4490">
        <v>0</v>
      </c>
      <c r="Y4490">
        <v>60573</v>
      </c>
    </row>
    <row r="4491" spans="1:25" ht="15" hidden="1" customHeight="1" x14ac:dyDescent="0.25">
      <c r="A4491" s="1" t="s">
        <v>40</v>
      </c>
      <c r="B4491" s="1" t="s">
        <v>86</v>
      </c>
      <c r="C4491" s="1" t="s">
        <v>213</v>
      </c>
      <c r="D4491">
        <v>6027</v>
      </c>
      <c r="E4491" s="1"/>
      <c r="F4491" s="1" t="s">
        <v>351</v>
      </c>
      <c r="G4491" s="1" t="s">
        <v>213</v>
      </c>
      <c r="H4491" s="1" t="s">
        <v>1396</v>
      </c>
      <c r="I4491">
        <v>2010</v>
      </c>
      <c r="J4491" s="93">
        <v>1</v>
      </c>
      <c r="K4491">
        <v>12</v>
      </c>
      <c r="L4491" s="1" t="s">
        <v>421</v>
      </c>
      <c r="M4491">
        <v>0</v>
      </c>
      <c r="N4491">
        <v>0</v>
      </c>
      <c r="O4491">
        <v>10</v>
      </c>
      <c r="P4491">
        <v>3</v>
      </c>
      <c r="Q4491" s="1" t="s">
        <v>560</v>
      </c>
      <c r="R4491" s="93">
        <v>1</v>
      </c>
      <c r="S4491">
        <v>0.8</v>
      </c>
      <c r="T4491">
        <v>1</v>
      </c>
      <c r="U4491" s="1" t="s">
        <v>728</v>
      </c>
      <c r="V4491" s="1"/>
      <c r="W4491">
        <v>1</v>
      </c>
      <c r="X4491">
        <v>0</v>
      </c>
      <c r="Y4491">
        <v>60574</v>
      </c>
    </row>
    <row r="4492" spans="1:25" ht="15" hidden="1" customHeight="1" x14ac:dyDescent="0.25">
      <c r="A4492" s="1" t="s">
        <v>40</v>
      </c>
      <c r="B4492" s="1" t="s">
        <v>86</v>
      </c>
      <c r="C4492" s="1" t="s">
        <v>213</v>
      </c>
      <c r="D4492">
        <v>6027</v>
      </c>
      <c r="E4492" s="1"/>
      <c r="F4492" s="1" t="s">
        <v>351</v>
      </c>
      <c r="G4492" s="1" t="s">
        <v>213</v>
      </c>
      <c r="H4492" s="1" t="s">
        <v>1396</v>
      </c>
      <c r="I4492">
        <v>2010</v>
      </c>
      <c r="J4492" s="93">
        <v>155.81</v>
      </c>
      <c r="K4492">
        <v>12</v>
      </c>
      <c r="L4492" s="1" t="s">
        <v>421</v>
      </c>
      <c r="M4492">
        <v>0</v>
      </c>
      <c r="N4492">
        <v>0</v>
      </c>
      <c r="O4492">
        <v>1558.1</v>
      </c>
      <c r="P4492">
        <v>3</v>
      </c>
      <c r="Q4492" s="1" t="s">
        <v>560</v>
      </c>
      <c r="R4492" s="93">
        <v>155.81</v>
      </c>
      <c r="S4492">
        <v>124.66</v>
      </c>
      <c r="T4492">
        <v>1</v>
      </c>
      <c r="U4492" s="1" t="s">
        <v>729</v>
      </c>
      <c r="V4492" s="1"/>
      <c r="W4492">
        <v>155.81640999999999</v>
      </c>
      <c r="X4492">
        <v>0</v>
      </c>
      <c r="Y4492">
        <v>60575</v>
      </c>
    </row>
    <row r="4493" spans="1:25" ht="15" hidden="1" customHeight="1" x14ac:dyDescent="0.25">
      <c r="A4493" s="1" t="s">
        <v>40</v>
      </c>
      <c r="B4493" s="1" t="s">
        <v>86</v>
      </c>
      <c r="C4493" s="1" t="s">
        <v>213</v>
      </c>
      <c r="D4493">
        <v>6027</v>
      </c>
      <c r="E4493" s="1"/>
      <c r="F4493" s="1" t="s">
        <v>351</v>
      </c>
      <c r="G4493" s="1" t="s">
        <v>213</v>
      </c>
      <c r="H4493" s="1" t="s">
        <v>1396</v>
      </c>
      <c r="I4493">
        <v>2009</v>
      </c>
      <c r="J4493" s="93">
        <v>51.59</v>
      </c>
      <c r="K4493">
        <v>12</v>
      </c>
      <c r="L4493" s="1" t="s">
        <v>421</v>
      </c>
      <c r="M4493">
        <v>0</v>
      </c>
      <c r="N4493">
        <v>0</v>
      </c>
      <c r="O4493">
        <v>515.9</v>
      </c>
      <c r="P4493">
        <v>3</v>
      </c>
      <c r="Q4493" s="1" t="s">
        <v>560</v>
      </c>
      <c r="R4493" s="93">
        <v>51.59</v>
      </c>
      <c r="S4493">
        <v>41.25</v>
      </c>
      <c r="T4493">
        <v>1</v>
      </c>
      <c r="U4493" s="1" t="s">
        <v>723</v>
      </c>
      <c r="V4493" s="1"/>
      <c r="W4493">
        <v>51.564329999999998</v>
      </c>
      <c r="X4493">
        <v>0</v>
      </c>
      <c r="Y4493">
        <v>60568</v>
      </c>
    </row>
    <row r="4494" spans="1:25" ht="15" hidden="1" customHeight="1" x14ac:dyDescent="0.25">
      <c r="A4494" s="1" t="s">
        <v>40</v>
      </c>
      <c r="B4494" s="1" t="s">
        <v>86</v>
      </c>
      <c r="C4494" s="1" t="s">
        <v>213</v>
      </c>
      <c r="D4494">
        <v>6027</v>
      </c>
      <c r="E4494" s="1"/>
      <c r="F4494" s="1" t="s">
        <v>351</v>
      </c>
      <c r="G4494" s="1" t="s">
        <v>213</v>
      </c>
      <c r="H4494" s="1" t="s">
        <v>1396</v>
      </c>
      <c r="I4494">
        <v>2009</v>
      </c>
      <c r="J4494" s="93">
        <v>60.63</v>
      </c>
      <c r="K4494">
        <v>12</v>
      </c>
      <c r="L4494" s="1" t="s">
        <v>421</v>
      </c>
      <c r="M4494">
        <v>0</v>
      </c>
      <c r="N4494">
        <v>0</v>
      </c>
      <c r="O4494">
        <v>606.29999999999995</v>
      </c>
      <c r="P4494">
        <v>3</v>
      </c>
      <c r="Q4494" s="1" t="s">
        <v>560</v>
      </c>
      <c r="R4494" s="93">
        <v>60.63</v>
      </c>
      <c r="S4494">
        <v>48.5</v>
      </c>
      <c r="T4494">
        <v>1</v>
      </c>
      <c r="U4494" s="1" t="s">
        <v>724</v>
      </c>
      <c r="V4494" s="1"/>
      <c r="W4494">
        <v>60.62133</v>
      </c>
      <c r="X4494">
        <v>0</v>
      </c>
      <c r="Y4494">
        <v>60570</v>
      </c>
    </row>
    <row r="4495" spans="1:25" ht="15" hidden="1" customHeight="1" x14ac:dyDescent="0.25">
      <c r="A4495" s="1" t="s">
        <v>40</v>
      </c>
      <c r="B4495" s="1" t="s">
        <v>86</v>
      </c>
      <c r="C4495" s="1" t="s">
        <v>213</v>
      </c>
      <c r="D4495">
        <v>6027</v>
      </c>
      <c r="E4495" s="1"/>
      <c r="F4495" s="1" t="s">
        <v>351</v>
      </c>
      <c r="G4495" s="1" t="s">
        <v>213</v>
      </c>
      <c r="H4495" s="1" t="s">
        <v>1396</v>
      </c>
      <c r="I4495">
        <v>2009</v>
      </c>
      <c r="J4495" s="93">
        <v>29.7</v>
      </c>
      <c r="K4495">
        <v>12</v>
      </c>
      <c r="L4495" s="1" t="s">
        <v>421</v>
      </c>
      <c r="M4495">
        <v>0</v>
      </c>
      <c r="N4495">
        <v>0</v>
      </c>
      <c r="O4495">
        <v>297</v>
      </c>
      <c r="P4495">
        <v>3</v>
      </c>
      <c r="Q4495" s="1" t="s">
        <v>560</v>
      </c>
      <c r="R4495" s="93">
        <v>29.7</v>
      </c>
      <c r="S4495">
        <v>23.75</v>
      </c>
      <c r="T4495">
        <v>1</v>
      </c>
      <c r="U4495" s="1" t="s">
        <v>725</v>
      </c>
      <c r="V4495" s="1"/>
      <c r="W4495">
        <v>29.70956</v>
      </c>
      <c r="X4495">
        <v>0</v>
      </c>
      <c r="Y4495">
        <v>60571</v>
      </c>
    </row>
    <row r="4496" spans="1:25" ht="15" hidden="1" customHeight="1" x14ac:dyDescent="0.25">
      <c r="A4496" s="1" t="s">
        <v>40</v>
      </c>
      <c r="B4496" s="1" t="s">
        <v>86</v>
      </c>
      <c r="C4496" s="1" t="s">
        <v>213</v>
      </c>
      <c r="D4496">
        <v>6027</v>
      </c>
      <c r="E4496" s="1"/>
      <c r="F4496" s="1" t="s">
        <v>351</v>
      </c>
      <c r="G4496" s="1" t="s">
        <v>213</v>
      </c>
      <c r="H4496" s="1" t="s">
        <v>1396</v>
      </c>
      <c r="I4496">
        <v>2009</v>
      </c>
      <c r="J4496" s="93">
        <v>141</v>
      </c>
      <c r="K4496">
        <v>12</v>
      </c>
      <c r="L4496" s="1" t="s">
        <v>421</v>
      </c>
      <c r="M4496">
        <v>0</v>
      </c>
      <c r="N4496">
        <v>0</v>
      </c>
      <c r="O4496">
        <v>1410</v>
      </c>
      <c r="P4496">
        <v>3</v>
      </c>
      <c r="Q4496" s="1" t="s">
        <v>560</v>
      </c>
      <c r="R4496" s="93">
        <v>141</v>
      </c>
      <c r="S4496">
        <v>112.8</v>
      </c>
      <c r="T4496">
        <v>1</v>
      </c>
      <c r="U4496" s="1" t="s">
        <v>726</v>
      </c>
      <c r="V4496" s="1"/>
      <c r="W4496">
        <v>141</v>
      </c>
      <c r="X4496">
        <v>0</v>
      </c>
      <c r="Y4496">
        <v>60572</v>
      </c>
    </row>
    <row r="4497" spans="1:25" ht="15" hidden="1" customHeight="1" x14ac:dyDescent="0.25">
      <c r="A4497" s="1" t="s">
        <v>40</v>
      </c>
      <c r="B4497" s="1" t="s">
        <v>86</v>
      </c>
      <c r="C4497" s="1" t="s">
        <v>213</v>
      </c>
      <c r="D4497">
        <v>6027</v>
      </c>
      <c r="E4497" s="1"/>
      <c r="F4497" s="1" t="s">
        <v>351</v>
      </c>
      <c r="G4497" s="1" t="s">
        <v>213</v>
      </c>
      <c r="H4497" s="1" t="s">
        <v>1396</v>
      </c>
      <c r="I4497">
        <v>2009</v>
      </c>
      <c r="J4497" s="93">
        <v>0</v>
      </c>
      <c r="K4497">
        <v>12</v>
      </c>
      <c r="L4497" s="1" t="s">
        <v>421</v>
      </c>
      <c r="M4497">
        <v>0</v>
      </c>
      <c r="N4497">
        <v>0</v>
      </c>
      <c r="O4497">
        <v>0</v>
      </c>
      <c r="P4497">
        <v>3</v>
      </c>
      <c r="Q4497" s="1" t="s">
        <v>560</v>
      </c>
      <c r="R4497" s="93">
        <v>0</v>
      </c>
      <c r="S4497">
        <v>0</v>
      </c>
      <c r="T4497">
        <v>1</v>
      </c>
      <c r="U4497" s="1" t="s">
        <v>727</v>
      </c>
      <c r="V4497" s="1"/>
      <c r="W4497">
        <v>0</v>
      </c>
      <c r="X4497">
        <v>0</v>
      </c>
      <c r="Y4497">
        <v>60573</v>
      </c>
    </row>
    <row r="4498" spans="1:25" ht="15" hidden="1" customHeight="1" x14ac:dyDescent="0.25">
      <c r="A4498" s="1" t="s">
        <v>40</v>
      </c>
      <c r="B4498" s="1" t="s">
        <v>86</v>
      </c>
      <c r="C4498" s="1" t="s">
        <v>213</v>
      </c>
      <c r="D4498">
        <v>6027</v>
      </c>
      <c r="E4498" s="1"/>
      <c r="F4498" s="1" t="s">
        <v>351</v>
      </c>
      <c r="G4498" s="1" t="s">
        <v>213</v>
      </c>
      <c r="H4498" s="1" t="s">
        <v>1396</v>
      </c>
      <c r="I4498">
        <v>2009</v>
      </c>
      <c r="J4498" s="93">
        <v>2</v>
      </c>
      <c r="K4498">
        <v>11</v>
      </c>
      <c r="L4498" s="1" t="s">
        <v>421</v>
      </c>
      <c r="M4498">
        <v>0</v>
      </c>
      <c r="N4498">
        <v>0</v>
      </c>
      <c r="O4498">
        <v>20</v>
      </c>
      <c r="P4498">
        <v>3</v>
      </c>
      <c r="Q4498" s="1" t="s">
        <v>560</v>
      </c>
      <c r="R4498" s="93">
        <v>2</v>
      </c>
      <c r="S4498">
        <v>1.6</v>
      </c>
      <c r="T4498">
        <v>1</v>
      </c>
      <c r="U4498" s="1" t="s">
        <v>728</v>
      </c>
      <c r="V4498" s="1"/>
      <c r="W4498">
        <v>2</v>
      </c>
      <c r="X4498">
        <v>0</v>
      </c>
      <c r="Y4498">
        <v>60574</v>
      </c>
    </row>
    <row r="4499" spans="1:25" ht="15" hidden="1" customHeight="1" x14ac:dyDescent="0.25">
      <c r="A4499" s="1" t="s">
        <v>40</v>
      </c>
      <c r="B4499" s="1" t="s">
        <v>86</v>
      </c>
      <c r="C4499" s="1" t="s">
        <v>213</v>
      </c>
      <c r="D4499">
        <v>6027</v>
      </c>
      <c r="E4499" s="1"/>
      <c r="F4499" s="1" t="s">
        <v>351</v>
      </c>
      <c r="G4499" s="1" t="s">
        <v>213</v>
      </c>
      <c r="H4499" s="1" t="s">
        <v>1396</v>
      </c>
      <c r="I4499">
        <v>2009</v>
      </c>
      <c r="J4499" s="93">
        <v>181.32</v>
      </c>
      <c r="K4499">
        <v>12</v>
      </c>
      <c r="L4499" s="1" t="s">
        <v>421</v>
      </c>
      <c r="M4499">
        <v>0</v>
      </c>
      <c r="N4499">
        <v>0</v>
      </c>
      <c r="O4499">
        <v>1813.2</v>
      </c>
      <c r="P4499">
        <v>3</v>
      </c>
      <c r="Q4499" s="1" t="s">
        <v>560</v>
      </c>
      <c r="R4499" s="93">
        <v>181.32</v>
      </c>
      <c r="S4499">
        <v>145.06</v>
      </c>
      <c r="T4499">
        <v>1</v>
      </c>
      <c r="U4499" s="1" t="s">
        <v>729</v>
      </c>
      <c r="V4499" s="1"/>
      <c r="W4499">
        <v>181.31619000000001</v>
      </c>
      <c r="X4499">
        <v>0</v>
      </c>
      <c r="Y4499">
        <v>60575</v>
      </c>
    </row>
    <row r="4500" spans="1:25" ht="15" hidden="1" customHeight="1" x14ac:dyDescent="0.25">
      <c r="A4500" s="1" t="s">
        <v>40</v>
      </c>
      <c r="B4500" s="1" t="s">
        <v>86</v>
      </c>
      <c r="C4500" s="1" t="s">
        <v>213</v>
      </c>
      <c r="D4500">
        <v>6027</v>
      </c>
      <c r="E4500" s="1"/>
      <c r="F4500" s="1" t="s">
        <v>351</v>
      </c>
      <c r="G4500" s="1" t="s">
        <v>213</v>
      </c>
      <c r="H4500" s="1" t="s">
        <v>1396</v>
      </c>
      <c r="I4500">
        <v>2008</v>
      </c>
      <c r="J4500" s="93">
        <v>67.010000000000005</v>
      </c>
      <c r="K4500">
        <v>11</v>
      </c>
      <c r="L4500" s="1" t="s">
        <v>421</v>
      </c>
      <c r="M4500">
        <v>0</v>
      </c>
      <c r="N4500">
        <v>0</v>
      </c>
      <c r="O4500">
        <v>670.1</v>
      </c>
      <c r="P4500">
        <v>3</v>
      </c>
      <c r="Q4500" s="1" t="s">
        <v>560</v>
      </c>
      <c r="R4500" s="93">
        <v>67.010000000000005</v>
      </c>
      <c r="S4500">
        <v>53.62</v>
      </c>
      <c r="T4500">
        <v>1</v>
      </c>
      <c r="U4500" s="1" t="s">
        <v>723</v>
      </c>
      <c r="V4500" s="1"/>
      <c r="W4500">
        <v>66.997159999999994</v>
      </c>
      <c r="X4500">
        <v>0</v>
      </c>
      <c r="Y4500">
        <v>60568</v>
      </c>
    </row>
    <row r="4501" spans="1:25" ht="15" hidden="1" customHeight="1" x14ac:dyDescent="0.25">
      <c r="A4501" s="1" t="s">
        <v>40</v>
      </c>
      <c r="B4501" s="1" t="s">
        <v>86</v>
      </c>
      <c r="C4501" s="1" t="s">
        <v>213</v>
      </c>
      <c r="D4501">
        <v>6027</v>
      </c>
      <c r="E4501" s="1"/>
      <c r="F4501" s="1" t="s">
        <v>351</v>
      </c>
      <c r="G4501" s="1" t="s">
        <v>213</v>
      </c>
      <c r="H4501" s="1" t="s">
        <v>1396</v>
      </c>
      <c r="I4501">
        <v>2008</v>
      </c>
      <c r="J4501" s="93">
        <v>462.02</v>
      </c>
      <c r="K4501">
        <v>11</v>
      </c>
      <c r="L4501" s="1" t="s">
        <v>421</v>
      </c>
      <c r="M4501">
        <v>0</v>
      </c>
      <c r="N4501">
        <v>0</v>
      </c>
      <c r="O4501">
        <v>4620.2</v>
      </c>
      <c r="P4501">
        <v>3</v>
      </c>
      <c r="Q4501" s="1" t="s">
        <v>560</v>
      </c>
      <c r="R4501" s="93">
        <v>462.02</v>
      </c>
      <c r="S4501">
        <v>369.63</v>
      </c>
      <c r="T4501">
        <v>1</v>
      </c>
      <c r="U4501" s="1" t="s">
        <v>724</v>
      </c>
      <c r="V4501" s="1"/>
      <c r="W4501">
        <v>462.02841000000001</v>
      </c>
      <c r="X4501">
        <v>0</v>
      </c>
      <c r="Y4501">
        <v>60570</v>
      </c>
    </row>
    <row r="4502" spans="1:25" ht="15" hidden="1" customHeight="1" x14ac:dyDescent="0.25">
      <c r="A4502" s="1" t="s">
        <v>40</v>
      </c>
      <c r="B4502" s="1" t="s">
        <v>86</v>
      </c>
      <c r="C4502" s="1" t="s">
        <v>213</v>
      </c>
      <c r="D4502">
        <v>6027</v>
      </c>
      <c r="E4502" s="1"/>
      <c r="F4502" s="1" t="s">
        <v>351</v>
      </c>
      <c r="G4502" s="1" t="s">
        <v>213</v>
      </c>
      <c r="H4502" s="1" t="s">
        <v>1396</v>
      </c>
      <c r="I4502">
        <v>2008</v>
      </c>
      <c r="J4502" s="93">
        <v>56.03</v>
      </c>
      <c r="K4502">
        <v>11</v>
      </c>
      <c r="L4502" s="1" t="s">
        <v>421</v>
      </c>
      <c r="M4502">
        <v>0</v>
      </c>
      <c r="N4502">
        <v>0</v>
      </c>
      <c r="O4502">
        <v>560.29999999999995</v>
      </c>
      <c r="P4502">
        <v>3</v>
      </c>
      <c r="Q4502" s="1" t="s">
        <v>560</v>
      </c>
      <c r="R4502" s="93">
        <v>56.03</v>
      </c>
      <c r="S4502">
        <v>44.83</v>
      </c>
      <c r="T4502">
        <v>1</v>
      </c>
      <c r="U4502" s="1" t="s">
        <v>725</v>
      </c>
      <c r="V4502" s="1"/>
      <c r="W4502">
        <v>56.028410000000001</v>
      </c>
      <c r="X4502">
        <v>0</v>
      </c>
      <c r="Y4502">
        <v>60571</v>
      </c>
    </row>
    <row r="4503" spans="1:25" ht="15" hidden="1" customHeight="1" x14ac:dyDescent="0.25">
      <c r="A4503" s="1" t="s">
        <v>40</v>
      </c>
      <c r="B4503" s="1" t="s">
        <v>86</v>
      </c>
      <c r="C4503" s="1" t="s">
        <v>213</v>
      </c>
      <c r="D4503">
        <v>6027</v>
      </c>
      <c r="E4503" s="1"/>
      <c r="F4503" s="1" t="s">
        <v>351</v>
      </c>
      <c r="G4503" s="1" t="s">
        <v>213</v>
      </c>
      <c r="H4503" s="1" t="s">
        <v>1396</v>
      </c>
      <c r="I4503">
        <v>2008</v>
      </c>
      <c r="J4503" s="93">
        <v>484</v>
      </c>
      <c r="K4503">
        <v>11</v>
      </c>
      <c r="L4503" s="1" t="s">
        <v>421</v>
      </c>
      <c r="M4503">
        <v>0</v>
      </c>
      <c r="N4503">
        <v>0</v>
      </c>
      <c r="O4503">
        <v>4840</v>
      </c>
      <c r="P4503">
        <v>3</v>
      </c>
      <c r="Q4503" s="1" t="s">
        <v>560</v>
      </c>
      <c r="R4503" s="93">
        <v>484</v>
      </c>
      <c r="S4503">
        <v>387.2</v>
      </c>
      <c r="T4503">
        <v>1</v>
      </c>
      <c r="U4503" s="1" t="s">
        <v>726</v>
      </c>
      <c r="V4503" s="1"/>
      <c r="W4503">
        <v>484</v>
      </c>
      <c r="X4503">
        <v>0</v>
      </c>
      <c r="Y4503">
        <v>60572</v>
      </c>
    </row>
    <row r="4504" spans="1:25" ht="15" hidden="1" customHeight="1" x14ac:dyDescent="0.25">
      <c r="A4504" s="1" t="s">
        <v>40</v>
      </c>
      <c r="B4504" s="1" t="s">
        <v>86</v>
      </c>
      <c r="C4504" s="1" t="s">
        <v>213</v>
      </c>
      <c r="D4504">
        <v>6027</v>
      </c>
      <c r="E4504" s="1"/>
      <c r="F4504" s="1" t="s">
        <v>351</v>
      </c>
      <c r="G4504" s="1" t="s">
        <v>213</v>
      </c>
      <c r="H4504" s="1" t="s">
        <v>1396</v>
      </c>
      <c r="I4504">
        <v>2008</v>
      </c>
      <c r="J4504" s="93">
        <v>1</v>
      </c>
      <c r="K4504">
        <v>11</v>
      </c>
      <c r="L4504" s="1" t="s">
        <v>421</v>
      </c>
      <c r="M4504">
        <v>0</v>
      </c>
      <c r="N4504">
        <v>0</v>
      </c>
      <c r="O4504">
        <v>10</v>
      </c>
      <c r="P4504">
        <v>3</v>
      </c>
      <c r="Q4504" s="1" t="s">
        <v>560</v>
      </c>
      <c r="R4504" s="93">
        <v>1</v>
      </c>
      <c r="S4504">
        <v>0.8</v>
      </c>
      <c r="T4504">
        <v>1</v>
      </c>
      <c r="U4504" s="1" t="s">
        <v>727</v>
      </c>
      <c r="V4504" s="1"/>
      <c r="W4504">
        <v>1</v>
      </c>
      <c r="X4504">
        <v>0</v>
      </c>
      <c r="Y4504">
        <v>60573</v>
      </c>
    </row>
    <row r="4505" spans="1:25" ht="15" hidden="1" customHeight="1" x14ac:dyDescent="0.25">
      <c r="A4505" s="1" t="s">
        <v>40</v>
      </c>
      <c r="B4505" s="1" t="s">
        <v>86</v>
      </c>
      <c r="C4505" s="1" t="s">
        <v>213</v>
      </c>
      <c r="D4505">
        <v>6027</v>
      </c>
      <c r="E4505" s="1"/>
      <c r="F4505" s="1" t="s">
        <v>351</v>
      </c>
      <c r="G4505" s="1" t="s">
        <v>213</v>
      </c>
      <c r="H4505" s="1" t="s">
        <v>1396</v>
      </c>
      <c r="I4505">
        <v>2008</v>
      </c>
      <c r="J4505" s="93">
        <v>0</v>
      </c>
      <c r="K4505">
        <v>11</v>
      </c>
      <c r="L4505" s="1" t="s">
        <v>421</v>
      </c>
      <c r="M4505">
        <v>0</v>
      </c>
      <c r="N4505">
        <v>0</v>
      </c>
      <c r="O4505">
        <v>0</v>
      </c>
      <c r="P4505">
        <v>3</v>
      </c>
      <c r="Q4505" s="1" t="s">
        <v>560</v>
      </c>
      <c r="R4505" s="93">
        <v>0</v>
      </c>
      <c r="S4505">
        <v>0</v>
      </c>
      <c r="T4505">
        <v>1</v>
      </c>
      <c r="U4505" s="1" t="s">
        <v>728</v>
      </c>
      <c r="V4505" s="1"/>
      <c r="W4505">
        <v>0</v>
      </c>
      <c r="X4505">
        <v>0</v>
      </c>
      <c r="Y4505">
        <v>60574</v>
      </c>
    </row>
    <row r="4506" spans="1:25" ht="15" hidden="1" customHeight="1" x14ac:dyDescent="0.25">
      <c r="A4506" s="1" t="s">
        <v>40</v>
      </c>
      <c r="B4506" s="1" t="s">
        <v>86</v>
      </c>
      <c r="C4506" s="1" t="s">
        <v>213</v>
      </c>
      <c r="D4506">
        <v>6027</v>
      </c>
      <c r="E4506" s="1"/>
      <c r="F4506" s="1" t="s">
        <v>351</v>
      </c>
      <c r="G4506" s="1" t="s">
        <v>213</v>
      </c>
      <c r="H4506" s="1" t="s">
        <v>1396</v>
      </c>
      <c r="I4506">
        <v>2008</v>
      </c>
      <c r="J4506" s="93">
        <v>338.05</v>
      </c>
      <c r="K4506">
        <v>11</v>
      </c>
      <c r="L4506" s="1" t="s">
        <v>421</v>
      </c>
      <c r="M4506">
        <v>0</v>
      </c>
      <c r="N4506">
        <v>0</v>
      </c>
      <c r="O4506">
        <v>3380.5</v>
      </c>
      <c r="P4506">
        <v>3</v>
      </c>
      <c r="Q4506" s="1" t="s">
        <v>560</v>
      </c>
      <c r="R4506" s="93">
        <v>338.05</v>
      </c>
      <c r="S4506">
        <v>270.45</v>
      </c>
      <c r="T4506">
        <v>1</v>
      </c>
      <c r="U4506" s="1" t="s">
        <v>729</v>
      </c>
      <c r="V4506" s="1"/>
      <c r="W4506">
        <v>338.04924999999997</v>
      </c>
      <c r="X4506">
        <v>0</v>
      </c>
      <c r="Y4506">
        <v>60575</v>
      </c>
    </row>
    <row r="4507" spans="1:25" ht="15" hidden="1" customHeight="1" x14ac:dyDescent="0.25">
      <c r="A4507" s="1" t="s">
        <v>40</v>
      </c>
      <c r="B4507" s="1" t="s">
        <v>86</v>
      </c>
      <c r="C4507" s="1" t="s">
        <v>213</v>
      </c>
      <c r="D4507">
        <v>5468</v>
      </c>
      <c r="E4507" s="1"/>
      <c r="F4507" s="1" t="s">
        <v>213</v>
      </c>
      <c r="G4507" s="1" t="s">
        <v>213</v>
      </c>
      <c r="H4507" s="1" t="s">
        <v>1405</v>
      </c>
      <c r="I4507">
        <v>2008</v>
      </c>
      <c r="J4507" s="93">
        <f>SUM(J4296:J4297)-J4298-J4299-J4508</f>
        <v>2695.7</v>
      </c>
      <c r="L4507" s="1"/>
      <c r="M4507">
        <v>0</v>
      </c>
      <c r="N4507">
        <v>12237</v>
      </c>
      <c r="O4507">
        <v>2.8600000000000001E-3</v>
      </c>
      <c r="P4507">
        <v>3</v>
      </c>
      <c r="Q4507" s="1" t="s">
        <v>560</v>
      </c>
      <c r="R4507" s="93">
        <f>SUM(R4296:R4297)-R4298-R4299-R4508</f>
        <v>2695.7</v>
      </c>
      <c r="T4507">
        <v>1</v>
      </c>
      <c r="U4507" s="1"/>
      <c r="V4507" s="1"/>
      <c r="X4507">
        <v>0</v>
      </c>
    </row>
    <row r="4508" spans="1:25" ht="15" hidden="1" customHeight="1" x14ac:dyDescent="0.25">
      <c r="A4508" s="1" t="s">
        <v>40</v>
      </c>
      <c r="B4508" s="1" t="s">
        <v>86</v>
      </c>
      <c r="C4508" s="1" t="s">
        <v>213</v>
      </c>
      <c r="D4508">
        <v>5468</v>
      </c>
      <c r="E4508" s="1"/>
      <c r="F4508" s="1" t="s">
        <v>213</v>
      </c>
      <c r="G4508" s="1" t="s">
        <v>213</v>
      </c>
      <c r="H4508" s="1" t="s">
        <v>1396</v>
      </c>
      <c r="I4508">
        <v>2008</v>
      </c>
      <c r="J4508" s="93">
        <v>35</v>
      </c>
      <c r="K4508">
        <v>5</v>
      </c>
      <c r="L4508" s="1" t="s">
        <v>455</v>
      </c>
      <c r="M4508">
        <v>0</v>
      </c>
      <c r="N4508">
        <v>12237</v>
      </c>
      <c r="O4508">
        <v>2.8600000000000001E-3</v>
      </c>
      <c r="P4508">
        <v>3</v>
      </c>
      <c r="Q4508" s="1" t="s">
        <v>560</v>
      </c>
      <c r="R4508" s="93">
        <v>35</v>
      </c>
      <c r="S4508">
        <v>28</v>
      </c>
      <c r="T4508">
        <v>1</v>
      </c>
      <c r="U4508" s="1" t="s">
        <v>731</v>
      </c>
      <c r="V4508" s="1"/>
      <c r="W4508">
        <v>35</v>
      </c>
      <c r="X4508">
        <v>0</v>
      </c>
      <c r="Y4508">
        <v>57830</v>
      </c>
    </row>
    <row r="4509" spans="1:25" ht="15" hidden="1" customHeight="1" x14ac:dyDescent="0.25">
      <c r="A4509" s="1" t="s">
        <v>40</v>
      </c>
      <c r="B4509" s="1" t="s">
        <v>86</v>
      </c>
      <c r="C4509" s="1" t="s">
        <v>213</v>
      </c>
      <c r="D4509">
        <v>5468</v>
      </c>
      <c r="E4509" s="1"/>
      <c r="F4509" s="1" t="s">
        <v>213</v>
      </c>
      <c r="G4509" s="1" t="s">
        <v>213</v>
      </c>
      <c r="H4509" s="1" t="s">
        <v>1396</v>
      </c>
      <c r="I4509">
        <v>2009</v>
      </c>
      <c r="J4509" s="93">
        <v>2642.78</v>
      </c>
      <c r="K4509">
        <v>12</v>
      </c>
      <c r="L4509" s="1"/>
      <c r="M4509">
        <v>0</v>
      </c>
      <c r="N4509">
        <v>12237</v>
      </c>
      <c r="O4509">
        <v>0.21596399999999999</v>
      </c>
      <c r="P4509">
        <v>3</v>
      </c>
      <c r="Q4509" s="1" t="s">
        <v>560</v>
      </c>
      <c r="R4509" s="93">
        <v>2642.78</v>
      </c>
      <c r="S4509">
        <v>2114.2199999999998</v>
      </c>
      <c r="T4509">
        <v>0</v>
      </c>
      <c r="U4509" s="1" t="s">
        <v>732</v>
      </c>
      <c r="V4509" s="1"/>
      <c r="W4509">
        <v>2642.779</v>
      </c>
      <c r="X4509">
        <v>0</v>
      </c>
      <c r="Y4509">
        <v>58260</v>
      </c>
    </row>
    <row r="4510" spans="1:25" ht="15" hidden="1" customHeight="1" x14ac:dyDescent="0.25">
      <c r="A4510" s="1" t="s">
        <v>40</v>
      </c>
      <c r="B4510" s="1" t="s">
        <v>86</v>
      </c>
      <c r="C4510" s="1" t="s">
        <v>213</v>
      </c>
      <c r="D4510">
        <v>5468</v>
      </c>
      <c r="E4510" s="1"/>
      <c r="F4510" s="1" t="s">
        <v>213</v>
      </c>
      <c r="G4510" s="1" t="s">
        <v>213</v>
      </c>
      <c r="H4510" s="1" t="s">
        <v>1396</v>
      </c>
      <c r="I4510">
        <v>2009</v>
      </c>
      <c r="J4510" s="93">
        <v>488.12</v>
      </c>
      <c r="K4510">
        <v>12</v>
      </c>
      <c r="L4510" s="1"/>
      <c r="M4510">
        <v>0</v>
      </c>
      <c r="N4510">
        <v>12237</v>
      </c>
      <c r="O4510">
        <v>3.9888E-2</v>
      </c>
      <c r="P4510">
        <v>3</v>
      </c>
      <c r="Q4510" s="1" t="s">
        <v>560</v>
      </c>
      <c r="R4510" s="93">
        <v>488.12</v>
      </c>
      <c r="S4510">
        <v>390.5</v>
      </c>
      <c r="T4510">
        <v>1</v>
      </c>
      <c r="U4510" s="1" t="s">
        <v>730</v>
      </c>
      <c r="V4510" s="1"/>
      <c r="W4510">
        <v>488.12700000000001</v>
      </c>
      <c r="X4510">
        <v>0</v>
      </c>
      <c r="Y4510">
        <v>57827</v>
      </c>
    </row>
    <row r="4511" spans="1:25" ht="15" hidden="1" customHeight="1" x14ac:dyDescent="0.25">
      <c r="A4511" s="1" t="s">
        <v>40</v>
      </c>
      <c r="B4511" s="1" t="s">
        <v>86</v>
      </c>
      <c r="C4511" s="1" t="s">
        <v>213</v>
      </c>
      <c r="D4511">
        <v>5468</v>
      </c>
      <c r="E4511" s="1"/>
      <c r="F4511" s="1" t="s">
        <v>213</v>
      </c>
      <c r="G4511" s="1" t="s">
        <v>213</v>
      </c>
      <c r="H4511" s="1" t="s">
        <v>1396</v>
      </c>
      <c r="I4511">
        <v>2009</v>
      </c>
      <c r="J4511" s="93">
        <v>85.88</v>
      </c>
      <c r="K4511">
        <v>12</v>
      </c>
      <c r="L4511" s="1"/>
      <c r="M4511">
        <v>0</v>
      </c>
      <c r="N4511">
        <v>12237</v>
      </c>
      <c r="O4511">
        <v>7.0179999999999999E-3</v>
      </c>
      <c r="P4511">
        <v>3</v>
      </c>
      <c r="Q4511" s="1" t="s">
        <v>560</v>
      </c>
      <c r="R4511" s="93">
        <v>85.88</v>
      </c>
      <c r="S4511">
        <v>68.709999999999994</v>
      </c>
      <c r="T4511">
        <v>1</v>
      </c>
      <c r="U4511" s="1" t="s">
        <v>731</v>
      </c>
      <c r="V4511" s="1"/>
      <c r="W4511">
        <v>85.88</v>
      </c>
      <c r="X4511">
        <v>0</v>
      </c>
      <c r="Y4511">
        <v>57829</v>
      </c>
    </row>
    <row r="4512" spans="1:25" ht="15" hidden="1" customHeight="1" x14ac:dyDescent="0.25">
      <c r="A4512" s="1" t="s">
        <v>40</v>
      </c>
      <c r="B4512" s="1" t="s">
        <v>86</v>
      </c>
      <c r="C4512" s="1" t="s">
        <v>213</v>
      </c>
      <c r="D4512">
        <v>5468</v>
      </c>
      <c r="E4512" s="1"/>
      <c r="F4512" s="1" t="s">
        <v>213</v>
      </c>
      <c r="G4512" s="1" t="s">
        <v>213</v>
      </c>
      <c r="H4512" s="1" t="s">
        <v>1405</v>
      </c>
      <c r="I4512">
        <v>2009</v>
      </c>
      <c r="J4512" s="93">
        <f>J4509-J4510-J4511</f>
        <v>2068.7800000000002</v>
      </c>
      <c r="K4512">
        <v>12</v>
      </c>
      <c r="L4512" s="1"/>
      <c r="M4512">
        <v>0</v>
      </c>
      <c r="N4512">
        <v>12237</v>
      </c>
      <c r="P4512">
        <v>3</v>
      </c>
      <c r="Q4512" s="1" t="s">
        <v>560</v>
      </c>
      <c r="R4512" s="93">
        <f>R4509-R4510-R4511</f>
        <v>2068.7800000000002</v>
      </c>
      <c r="U4512" s="1"/>
      <c r="V4512" s="1"/>
      <c r="X4512">
        <v>0</v>
      </c>
      <c r="Y4512">
        <v>57829</v>
      </c>
    </row>
    <row r="4513" spans="1:25" ht="15" hidden="1" customHeight="1" x14ac:dyDescent="0.25">
      <c r="A4513" s="1" t="s">
        <v>40</v>
      </c>
      <c r="B4513" s="1" t="s">
        <v>86</v>
      </c>
      <c r="C4513" s="1" t="s">
        <v>213</v>
      </c>
      <c r="D4513">
        <v>5468</v>
      </c>
      <c r="E4513" s="1"/>
      <c r="F4513" s="1" t="s">
        <v>213</v>
      </c>
      <c r="G4513" s="1" t="s">
        <v>213</v>
      </c>
      <c r="H4513" s="1" t="s">
        <v>1396</v>
      </c>
      <c r="I4513">
        <v>2010</v>
      </c>
      <c r="J4513" s="93">
        <v>2711.19</v>
      </c>
      <c r="K4513">
        <v>12</v>
      </c>
      <c r="L4513" s="1"/>
      <c r="M4513">
        <v>0</v>
      </c>
      <c r="N4513">
        <v>12237</v>
      </c>
      <c r="O4513">
        <v>0.221554</v>
      </c>
      <c r="P4513">
        <v>3</v>
      </c>
      <c r="Q4513" s="1" t="s">
        <v>560</v>
      </c>
      <c r="R4513" s="93">
        <v>2711.19</v>
      </c>
      <c r="S4513">
        <v>2168.94</v>
      </c>
      <c r="T4513">
        <v>0</v>
      </c>
      <c r="U4513" s="1" t="s">
        <v>732</v>
      </c>
      <c r="V4513" s="1"/>
      <c r="W4513">
        <v>2711.1869999999999</v>
      </c>
      <c r="X4513">
        <v>0</v>
      </c>
      <c r="Y4513">
        <v>58260</v>
      </c>
    </row>
    <row r="4514" spans="1:25" ht="15" hidden="1" customHeight="1" x14ac:dyDescent="0.25">
      <c r="A4514" s="1" t="s">
        <v>40</v>
      </c>
      <c r="B4514" s="1" t="s">
        <v>86</v>
      </c>
      <c r="C4514" s="1" t="s">
        <v>213</v>
      </c>
      <c r="D4514">
        <v>5468</v>
      </c>
      <c r="E4514" s="1"/>
      <c r="F4514" s="1" t="s">
        <v>213</v>
      </c>
      <c r="G4514" s="1" t="s">
        <v>213</v>
      </c>
      <c r="H4514" s="1" t="s">
        <v>1396</v>
      </c>
      <c r="I4514">
        <v>2010</v>
      </c>
      <c r="J4514" s="93">
        <v>492.75</v>
      </c>
      <c r="K4514">
        <v>12</v>
      </c>
      <c r="L4514" s="1"/>
      <c r="M4514">
        <v>0</v>
      </c>
      <c r="N4514">
        <v>12237</v>
      </c>
      <c r="O4514">
        <v>4.0266000000000003E-2</v>
      </c>
      <c r="P4514">
        <v>3</v>
      </c>
      <c r="Q4514" s="1" t="s">
        <v>560</v>
      </c>
      <c r="R4514" s="93">
        <v>492.75</v>
      </c>
      <c r="S4514">
        <v>394.2</v>
      </c>
      <c r="T4514">
        <v>1</v>
      </c>
      <c r="U4514" s="1" t="s">
        <v>730</v>
      </c>
      <c r="V4514" s="1"/>
      <c r="W4514">
        <v>492.74299999999999</v>
      </c>
      <c r="X4514">
        <v>0</v>
      </c>
      <c r="Y4514">
        <v>57827</v>
      </c>
    </row>
    <row r="4515" spans="1:25" ht="15" hidden="1" customHeight="1" x14ac:dyDescent="0.25">
      <c r="A4515" s="1" t="s">
        <v>40</v>
      </c>
      <c r="B4515" s="1" t="s">
        <v>86</v>
      </c>
      <c r="C4515" s="1" t="s">
        <v>213</v>
      </c>
      <c r="D4515">
        <v>5468</v>
      </c>
      <c r="E4515" s="1"/>
      <c r="F4515" s="1" t="s">
        <v>213</v>
      </c>
      <c r="G4515" s="1" t="s">
        <v>213</v>
      </c>
      <c r="H4515" s="1" t="s">
        <v>1396</v>
      </c>
      <c r="I4515">
        <v>2010</v>
      </c>
      <c r="J4515" s="93">
        <v>70.73</v>
      </c>
      <c r="K4515">
        <v>12</v>
      </c>
      <c r="L4515" s="1"/>
      <c r="M4515">
        <v>0</v>
      </c>
      <c r="N4515">
        <v>12237</v>
      </c>
      <c r="O4515">
        <v>5.7790000000000003E-3</v>
      </c>
      <c r="P4515">
        <v>3</v>
      </c>
      <c r="Q4515" s="1" t="s">
        <v>560</v>
      </c>
      <c r="R4515" s="93">
        <v>70.73</v>
      </c>
      <c r="S4515">
        <v>56.57</v>
      </c>
      <c r="T4515">
        <v>1</v>
      </c>
      <c r="U4515" s="1" t="s">
        <v>731</v>
      </c>
      <c r="V4515" s="1"/>
      <c r="W4515">
        <v>70.73</v>
      </c>
      <c r="X4515">
        <v>0</v>
      </c>
      <c r="Y4515">
        <v>57829</v>
      </c>
    </row>
    <row r="4516" spans="1:25" ht="15" hidden="1" customHeight="1" x14ac:dyDescent="0.25">
      <c r="A4516" s="1" t="s">
        <v>40</v>
      </c>
      <c r="B4516" s="1" t="s">
        <v>86</v>
      </c>
      <c r="C4516" s="1" t="s">
        <v>213</v>
      </c>
      <c r="D4516">
        <v>5468</v>
      </c>
      <c r="E4516" s="1"/>
      <c r="F4516" s="1" t="s">
        <v>213</v>
      </c>
      <c r="G4516" s="1" t="s">
        <v>213</v>
      </c>
      <c r="H4516" s="1" t="s">
        <v>1396</v>
      </c>
      <c r="I4516">
        <v>2012</v>
      </c>
      <c r="J4516" s="93">
        <v>0</v>
      </c>
      <c r="K4516">
        <v>3</v>
      </c>
      <c r="L4516" s="1" t="s">
        <v>421</v>
      </c>
      <c r="M4516">
        <v>0</v>
      </c>
      <c r="N4516">
        <v>12237</v>
      </c>
      <c r="O4516">
        <v>0</v>
      </c>
      <c r="P4516">
        <v>3</v>
      </c>
      <c r="Q4516" s="1" t="s">
        <v>560</v>
      </c>
      <c r="R4516" s="93">
        <v>0</v>
      </c>
      <c r="S4516">
        <v>0</v>
      </c>
      <c r="T4516">
        <v>0</v>
      </c>
      <c r="U4516" s="1" t="s">
        <v>733</v>
      </c>
      <c r="V4516" s="1"/>
      <c r="W4516">
        <v>0</v>
      </c>
      <c r="X4516">
        <v>0</v>
      </c>
      <c r="Y4516">
        <v>92976</v>
      </c>
    </row>
    <row r="4517" spans="1:25" ht="15" hidden="1" customHeight="1" x14ac:dyDescent="0.25">
      <c r="A4517" s="1" t="s">
        <v>40</v>
      </c>
      <c r="B4517" s="1" t="s">
        <v>86</v>
      </c>
      <c r="C4517" s="1" t="s">
        <v>213</v>
      </c>
      <c r="D4517">
        <v>5468</v>
      </c>
      <c r="E4517" s="1"/>
      <c r="F4517" s="1" t="s">
        <v>213</v>
      </c>
      <c r="G4517" s="1" t="s">
        <v>213</v>
      </c>
      <c r="H4517" s="1" t="s">
        <v>1405</v>
      </c>
      <c r="I4517">
        <v>2010</v>
      </c>
      <c r="J4517" s="93">
        <f>J4513-J4514-J4515</f>
        <v>2147.71</v>
      </c>
      <c r="K4517">
        <v>12</v>
      </c>
      <c r="L4517" s="1"/>
      <c r="M4517">
        <v>0</v>
      </c>
      <c r="N4517">
        <v>12237</v>
      </c>
      <c r="P4517">
        <v>3</v>
      </c>
      <c r="Q4517" s="1" t="s">
        <v>560</v>
      </c>
      <c r="R4517" s="93">
        <f>R4513-R4514-R4515</f>
        <v>2147.71</v>
      </c>
      <c r="U4517" s="1"/>
      <c r="V4517" s="1"/>
      <c r="X4517">
        <v>0</v>
      </c>
      <c r="Y4517">
        <v>57829</v>
      </c>
    </row>
    <row r="4518" spans="1:25" ht="15" hidden="1" customHeight="1" x14ac:dyDescent="0.25">
      <c r="A4518" s="1" t="s">
        <v>40</v>
      </c>
      <c r="B4518" s="1" t="s">
        <v>86</v>
      </c>
      <c r="C4518" s="1" t="s">
        <v>213</v>
      </c>
      <c r="D4518">
        <v>5468</v>
      </c>
      <c r="E4518" s="1"/>
      <c r="F4518" s="1" t="s">
        <v>213</v>
      </c>
      <c r="G4518" s="1" t="s">
        <v>213</v>
      </c>
      <c r="H4518" s="1" t="s">
        <v>1396</v>
      </c>
      <c r="I4518">
        <v>2011</v>
      </c>
      <c r="J4518" s="93">
        <v>3451.01</v>
      </c>
      <c r="K4518">
        <v>12</v>
      </c>
      <c r="L4518" s="1"/>
      <c r="M4518">
        <v>0</v>
      </c>
      <c r="N4518">
        <v>12237</v>
      </c>
      <c r="O4518">
        <v>0.28201199999999998</v>
      </c>
      <c r="P4518">
        <v>3</v>
      </c>
      <c r="Q4518" s="1" t="s">
        <v>560</v>
      </c>
      <c r="R4518" s="93">
        <v>3451.01</v>
      </c>
      <c r="S4518">
        <v>2760.81</v>
      </c>
      <c r="T4518">
        <v>0</v>
      </c>
      <c r="U4518" s="1" t="s">
        <v>732</v>
      </c>
      <c r="V4518" s="1"/>
      <c r="W4518">
        <v>3451.0010000000002</v>
      </c>
      <c r="X4518">
        <v>0</v>
      </c>
      <c r="Y4518">
        <v>58260</v>
      </c>
    </row>
    <row r="4519" spans="1:25" ht="15" hidden="1" customHeight="1" x14ac:dyDescent="0.25">
      <c r="A4519" s="1" t="s">
        <v>40</v>
      </c>
      <c r="B4519" s="1" t="s">
        <v>86</v>
      </c>
      <c r="C4519" s="1" t="s">
        <v>213</v>
      </c>
      <c r="D4519">
        <v>5468</v>
      </c>
      <c r="E4519" s="1"/>
      <c r="F4519" s="1" t="s">
        <v>213</v>
      </c>
      <c r="G4519" s="1" t="s">
        <v>213</v>
      </c>
      <c r="H4519" s="1" t="s">
        <v>1396</v>
      </c>
      <c r="I4519">
        <v>2011</v>
      </c>
      <c r="J4519" s="93">
        <v>548.84</v>
      </c>
      <c r="K4519">
        <v>12</v>
      </c>
      <c r="L4519" s="1"/>
      <c r="M4519">
        <v>0</v>
      </c>
      <c r="N4519">
        <v>12237</v>
      </c>
      <c r="O4519">
        <v>4.4850000000000001E-2</v>
      </c>
      <c r="P4519">
        <v>3</v>
      </c>
      <c r="Q4519" s="1" t="s">
        <v>560</v>
      </c>
      <c r="R4519" s="93">
        <v>548.84</v>
      </c>
      <c r="S4519">
        <v>439.07</v>
      </c>
      <c r="T4519">
        <v>1</v>
      </c>
      <c r="U4519" s="1" t="s">
        <v>730</v>
      </c>
      <c r="V4519" s="1"/>
      <c r="W4519">
        <v>548.83900000000006</v>
      </c>
      <c r="X4519">
        <v>0</v>
      </c>
      <c r="Y4519">
        <v>57827</v>
      </c>
    </row>
    <row r="4520" spans="1:25" ht="15" hidden="1" customHeight="1" x14ac:dyDescent="0.25">
      <c r="A4520" s="1" t="s">
        <v>40</v>
      </c>
      <c r="B4520" s="1" t="s">
        <v>86</v>
      </c>
      <c r="C4520" s="1" t="s">
        <v>213</v>
      </c>
      <c r="D4520">
        <v>5468</v>
      </c>
      <c r="E4520" s="1"/>
      <c r="F4520" s="1" t="s">
        <v>213</v>
      </c>
      <c r="G4520" s="1" t="s">
        <v>213</v>
      </c>
      <c r="H4520" s="1" t="s">
        <v>1396</v>
      </c>
      <c r="I4520">
        <v>2011</v>
      </c>
      <c r="J4520" s="93">
        <v>77.8</v>
      </c>
      <c r="K4520">
        <v>12</v>
      </c>
      <c r="L4520" s="1"/>
      <c r="M4520">
        <v>0</v>
      </c>
      <c r="N4520">
        <v>12237</v>
      </c>
      <c r="O4520">
        <v>6.3569999999999998E-3</v>
      </c>
      <c r="P4520">
        <v>3</v>
      </c>
      <c r="Q4520" s="1" t="s">
        <v>560</v>
      </c>
      <c r="R4520" s="93">
        <v>77.8</v>
      </c>
      <c r="S4520">
        <v>62.24</v>
      </c>
      <c r="T4520">
        <v>1</v>
      </c>
      <c r="U4520" s="1" t="s">
        <v>731</v>
      </c>
      <c r="V4520" s="1"/>
      <c r="W4520">
        <v>77.8</v>
      </c>
      <c r="X4520">
        <v>0</v>
      </c>
      <c r="Y4520">
        <v>57829</v>
      </c>
    </row>
    <row r="4521" spans="1:25" ht="15" hidden="1" customHeight="1" x14ac:dyDescent="0.25">
      <c r="A4521" s="1" t="s">
        <v>40</v>
      </c>
      <c r="B4521" s="1" t="s">
        <v>86</v>
      </c>
      <c r="C4521" s="1" t="s">
        <v>213</v>
      </c>
      <c r="D4521">
        <v>5468</v>
      </c>
      <c r="E4521" s="1"/>
      <c r="F4521" s="1" t="s">
        <v>213</v>
      </c>
      <c r="G4521" s="1" t="s">
        <v>213</v>
      </c>
      <c r="H4521" s="1" t="s">
        <v>1396</v>
      </c>
      <c r="I4521">
        <v>2012</v>
      </c>
      <c r="J4521" s="93">
        <v>157</v>
      </c>
      <c r="K4521">
        <v>8</v>
      </c>
      <c r="L4521" s="1" t="s">
        <v>458</v>
      </c>
      <c r="M4521">
        <v>0</v>
      </c>
      <c r="N4521">
        <v>12237</v>
      </c>
      <c r="O4521">
        <v>1.2829E-2</v>
      </c>
      <c r="P4521">
        <v>3</v>
      </c>
      <c r="Q4521" s="1" t="s">
        <v>560</v>
      </c>
      <c r="R4521" s="93">
        <v>157</v>
      </c>
      <c r="S4521">
        <v>125.61</v>
      </c>
      <c r="T4521">
        <v>0</v>
      </c>
      <c r="U4521" s="1" t="s">
        <v>734</v>
      </c>
      <c r="V4521" s="1"/>
      <c r="W4521">
        <v>157</v>
      </c>
      <c r="X4521">
        <v>0</v>
      </c>
      <c r="Y4521">
        <v>85967</v>
      </c>
    </row>
    <row r="4522" spans="1:25" ht="15" hidden="1" customHeight="1" x14ac:dyDescent="0.25">
      <c r="A4522" s="1" t="s">
        <v>40</v>
      </c>
      <c r="B4522" s="1" t="s">
        <v>86</v>
      </c>
      <c r="C4522" s="1" t="s">
        <v>213</v>
      </c>
      <c r="D4522">
        <v>5468</v>
      </c>
      <c r="E4522" s="1"/>
      <c r="F4522" s="1" t="s">
        <v>213</v>
      </c>
      <c r="G4522" s="1" t="s">
        <v>213</v>
      </c>
      <c r="H4522" s="1" t="s">
        <v>1396</v>
      </c>
      <c r="I4522">
        <v>2013</v>
      </c>
      <c r="J4522" s="93">
        <v>5676.01</v>
      </c>
      <c r="K4522">
        <v>9</v>
      </c>
      <c r="L4522" s="1" t="s">
        <v>421</v>
      </c>
      <c r="M4522">
        <v>0</v>
      </c>
      <c r="N4522">
        <v>12237</v>
      </c>
      <c r="O4522">
        <v>0.46383600000000003</v>
      </c>
      <c r="P4522">
        <v>3</v>
      </c>
      <c r="Q4522" s="1" t="s">
        <v>560</v>
      </c>
      <c r="R4522" s="93">
        <v>5676.01</v>
      </c>
      <c r="S4522">
        <v>4540.8</v>
      </c>
      <c r="T4522">
        <v>0</v>
      </c>
      <c r="U4522" s="1" t="s">
        <v>733</v>
      </c>
      <c r="V4522" s="1"/>
      <c r="W4522">
        <v>5676.0000099999997</v>
      </c>
      <c r="X4522">
        <v>0</v>
      </c>
      <c r="Y4522">
        <v>92976</v>
      </c>
    </row>
    <row r="4523" spans="1:25" ht="15" hidden="1" customHeight="1" x14ac:dyDescent="0.25">
      <c r="A4523" s="1" t="s">
        <v>40</v>
      </c>
      <c r="B4523" s="1" t="s">
        <v>86</v>
      </c>
      <c r="C4523" s="1" t="s">
        <v>213</v>
      </c>
      <c r="D4523">
        <v>5468</v>
      </c>
      <c r="E4523" s="1"/>
      <c r="F4523" s="1" t="s">
        <v>213</v>
      </c>
      <c r="G4523" s="1" t="s">
        <v>213</v>
      </c>
      <c r="H4523" s="1" t="s">
        <v>1405</v>
      </c>
      <c r="I4523">
        <v>2011</v>
      </c>
      <c r="J4523" s="93">
        <f>J4518-J4519-J4520</f>
        <v>2824.37</v>
      </c>
      <c r="K4523">
        <v>12</v>
      </c>
      <c r="L4523" s="1"/>
      <c r="M4523">
        <v>0</v>
      </c>
      <c r="N4523">
        <v>12237</v>
      </c>
      <c r="P4523">
        <v>3</v>
      </c>
      <c r="Q4523" s="1" t="s">
        <v>560</v>
      </c>
      <c r="R4523" s="93">
        <f>R4518-R4519-R4520</f>
        <v>2824.37</v>
      </c>
      <c r="U4523" s="1"/>
      <c r="V4523" s="1"/>
      <c r="X4523">
        <v>0</v>
      </c>
      <c r="Y4523">
        <v>57829</v>
      </c>
    </row>
    <row r="4524" spans="1:25" ht="15" hidden="1" customHeight="1" x14ac:dyDescent="0.25">
      <c r="A4524" s="1" t="s">
        <v>40</v>
      </c>
      <c r="B4524" s="1" t="s">
        <v>86</v>
      </c>
      <c r="C4524" s="1" t="s">
        <v>213</v>
      </c>
      <c r="D4524">
        <v>5468</v>
      </c>
      <c r="E4524" s="1"/>
      <c r="F4524" s="1" t="s">
        <v>213</v>
      </c>
      <c r="G4524" s="1" t="s">
        <v>213</v>
      </c>
      <c r="H4524" s="1" t="s">
        <v>1396</v>
      </c>
      <c r="I4524">
        <v>2012</v>
      </c>
      <c r="J4524" s="93">
        <v>3244.6</v>
      </c>
      <c r="K4524">
        <v>12</v>
      </c>
      <c r="L4524" s="1"/>
      <c r="M4524">
        <v>0</v>
      </c>
      <c r="N4524">
        <v>12237</v>
      </c>
      <c r="O4524">
        <v>0.26514399999999999</v>
      </c>
      <c r="P4524">
        <v>3</v>
      </c>
      <c r="Q4524" s="1" t="s">
        <v>560</v>
      </c>
      <c r="R4524" s="93">
        <v>3244.6</v>
      </c>
      <c r="S4524">
        <v>2595.67</v>
      </c>
      <c r="T4524">
        <v>0</v>
      </c>
      <c r="U4524" s="1" t="s">
        <v>732</v>
      </c>
      <c r="V4524" s="1"/>
      <c r="W4524">
        <v>3244.5940000000001</v>
      </c>
      <c r="X4524">
        <v>0</v>
      </c>
      <c r="Y4524">
        <v>58260</v>
      </c>
    </row>
    <row r="4525" spans="1:25" ht="15" hidden="1" customHeight="1" x14ac:dyDescent="0.25">
      <c r="A4525" s="1" t="s">
        <v>40</v>
      </c>
      <c r="B4525" s="1" t="s">
        <v>86</v>
      </c>
      <c r="C4525" s="1" t="s">
        <v>213</v>
      </c>
      <c r="D4525">
        <v>5468</v>
      </c>
      <c r="E4525" s="1"/>
      <c r="F4525" s="1" t="s">
        <v>213</v>
      </c>
      <c r="G4525" s="1" t="s">
        <v>213</v>
      </c>
      <c r="H4525" s="1" t="s">
        <v>1396</v>
      </c>
      <c r="I4525">
        <v>2012</v>
      </c>
      <c r="J4525" s="93">
        <v>585.70000000000005</v>
      </c>
      <c r="K4525">
        <v>12</v>
      </c>
      <c r="L4525" s="1"/>
      <c r="M4525">
        <v>0</v>
      </c>
      <c r="N4525">
        <v>12237</v>
      </c>
      <c r="O4525">
        <v>4.7862000000000002E-2</v>
      </c>
      <c r="P4525">
        <v>3</v>
      </c>
      <c r="Q4525" s="1" t="s">
        <v>560</v>
      </c>
      <c r="R4525" s="93">
        <v>585.70000000000005</v>
      </c>
      <c r="S4525">
        <v>468.56</v>
      </c>
      <c r="T4525">
        <v>1</v>
      </c>
      <c r="U4525" s="1" t="s">
        <v>730</v>
      </c>
      <c r="V4525" s="1"/>
      <c r="W4525">
        <v>585.69600000000003</v>
      </c>
      <c r="X4525">
        <v>0</v>
      </c>
      <c r="Y4525">
        <v>57827</v>
      </c>
    </row>
    <row r="4526" spans="1:25" ht="15" hidden="1" customHeight="1" x14ac:dyDescent="0.25">
      <c r="A4526" s="1" t="s">
        <v>40</v>
      </c>
      <c r="B4526" s="1" t="s">
        <v>86</v>
      </c>
      <c r="C4526" s="1" t="s">
        <v>213</v>
      </c>
      <c r="D4526">
        <v>5468</v>
      </c>
      <c r="E4526" s="1"/>
      <c r="F4526" s="1" t="s">
        <v>213</v>
      </c>
      <c r="G4526" s="1" t="s">
        <v>213</v>
      </c>
      <c r="H4526" s="1" t="s">
        <v>1396</v>
      </c>
      <c r="I4526">
        <v>2012</v>
      </c>
      <c r="J4526" s="93">
        <v>66.77</v>
      </c>
      <c r="K4526">
        <v>12</v>
      </c>
      <c r="L4526" s="1"/>
      <c r="M4526">
        <v>0</v>
      </c>
      <c r="N4526">
        <v>12237</v>
      </c>
      <c r="O4526">
        <v>5.4559999999999999E-3</v>
      </c>
      <c r="P4526">
        <v>3</v>
      </c>
      <c r="Q4526" s="1" t="s">
        <v>560</v>
      </c>
      <c r="R4526" s="93">
        <v>66.77</v>
      </c>
      <c r="S4526">
        <v>53.42</v>
      </c>
      <c r="T4526">
        <v>1</v>
      </c>
      <c r="U4526" s="1" t="s">
        <v>731</v>
      </c>
      <c r="V4526" s="1"/>
      <c r="W4526">
        <v>66.77</v>
      </c>
      <c r="X4526">
        <v>0</v>
      </c>
      <c r="Y4526">
        <v>57829</v>
      </c>
    </row>
    <row r="4527" spans="1:25" ht="15" hidden="1" customHeight="1" x14ac:dyDescent="0.25">
      <c r="A4527" s="1" t="s">
        <v>40</v>
      </c>
      <c r="B4527" s="1" t="s">
        <v>86</v>
      </c>
      <c r="C4527" s="1" t="s">
        <v>213</v>
      </c>
      <c r="D4527">
        <v>5468</v>
      </c>
      <c r="E4527" s="1"/>
      <c r="F4527" s="1" t="s">
        <v>213</v>
      </c>
      <c r="G4527" s="1" t="s">
        <v>213</v>
      </c>
      <c r="H4527" s="1" t="s">
        <v>1396</v>
      </c>
      <c r="I4527">
        <v>2011</v>
      </c>
      <c r="J4527" s="93">
        <v>250</v>
      </c>
      <c r="K4527">
        <v>13</v>
      </c>
      <c r="L4527" s="1" t="s">
        <v>458</v>
      </c>
      <c r="M4527">
        <v>0</v>
      </c>
      <c r="N4527">
        <v>12237</v>
      </c>
      <c r="O4527">
        <v>2.0428999999999999E-2</v>
      </c>
      <c r="P4527">
        <v>3</v>
      </c>
      <c r="Q4527" s="1" t="s">
        <v>560</v>
      </c>
      <c r="R4527" s="93">
        <v>250</v>
      </c>
      <c r="S4527">
        <v>200</v>
      </c>
      <c r="T4527">
        <v>0</v>
      </c>
      <c r="U4527" s="1" t="s">
        <v>734</v>
      </c>
      <c r="V4527" s="1"/>
      <c r="W4527">
        <v>250</v>
      </c>
      <c r="X4527">
        <v>0</v>
      </c>
      <c r="Y4527">
        <v>85967</v>
      </c>
    </row>
    <row r="4528" spans="1:25" ht="15" hidden="1" customHeight="1" x14ac:dyDescent="0.25">
      <c r="A4528" s="1" t="s">
        <v>40</v>
      </c>
      <c r="B4528" s="1" t="s">
        <v>86</v>
      </c>
      <c r="C4528" s="1" t="s">
        <v>213</v>
      </c>
      <c r="D4528">
        <v>5468</v>
      </c>
      <c r="E4528" s="1"/>
      <c r="F4528" s="1" t="s">
        <v>213</v>
      </c>
      <c r="G4528" s="1" t="s">
        <v>213</v>
      </c>
      <c r="H4528" s="1" t="s">
        <v>1405</v>
      </c>
      <c r="I4528">
        <v>2012</v>
      </c>
      <c r="J4528" s="93">
        <f>J4524-J4525-J4526</f>
        <v>2592.1299999999997</v>
      </c>
      <c r="K4528">
        <v>12</v>
      </c>
      <c r="L4528" s="1"/>
      <c r="M4528">
        <v>0</v>
      </c>
      <c r="N4528">
        <v>12237</v>
      </c>
      <c r="P4528">
        <v>3</v>
      </c>
      <c r="Q4528" s="1" t="s">
        <v>560</v>
      </c>
      <c r="R4528" s="93">
        <f>R4524-R4525-R4526</f>
        <v>2592.1299999999997</v>
      </c>
      <c r="T4528">
        <v>1</v>
      </c>
      <c r="U4528" s="1"/>
      <c r="V4528" s="1"/>
      <c r="X4528">
        <v>0</v>
      </c>
      <c r="Y4528">
        <v>57829</v>
      </c>
    </row>
    <row r="4529" spans="1:25" ht="15" hidden="1" customHeight="1" x14ac:dyDescent="0.25">
      <c r="A4529" s="1" t="s">
        <v>40</v>
      </c>
      <c r="B4529" s="1" t="s">
        <v>86</v>
      </c>
      <c r="C4529" s="1" t="s">
        <v>213</v>
      </c>
      <c r="D4529">
        <v>5468</v>
      </c>
      <c r="E4529" s="1"/>
      <c r="F4529" s="1" t="s">
        <v>213</v>
      </c>
      <c r="G4529" s="1" t="s">
        <v>213</v>
      </c>
      <c r="H4529" s="1" t="s">
        <v>1396</v>
      </c>
      <c r="I4529">
        <v>2013</v>
      </c>
      <c r="J4529" s="93">
        <v>575.54</v>
      </c>
      <c r="K4529">
        <v>12</v>
      </c>
      <c r="L4529" s="1"/>
      <c r="M4529">
        <v>0</v>
      </c>
      <c r="N4529">
        <v>12237</v>
      </c>
      <c r="O4529">
        <v>4.7031999999999997E-2</v>
      </c>
      <c r="P4529">
        <v>3</v>
      </c>
      <c r="Q4529" s="1" t="s">
        <v>560</v>
      </c>
      <c r="R4529" s="93">
        <v>575.54</v>
      </c>
      <c r="S4529">
        <v>460.43</v>
      </c>
      <c r="T4529">
        <v>1</v>
      </c>
      <c r="U4529" s="1" t="s">
        <v>730</v>
      </c>
      <c r="V4529" s="1"/>
      <c r="W4529">
        <v>575.53200000000004</v>
      </c>
      <c r="X4529">
        <v>0</v>
      </c>
      <c r="Y4529">
        <v>57827</v>
      </c>
    </row>
    <row r="4530" spans="1:25" ht="15" hidden="1" customHeight="1" x14ac:dyDescent="0.25">
      <c r="A4530" s="1" t="s">
        <v>40</v>
      </c>
      <c r="B4530" s="1" t="s">
        <v>86</v>
      </c>
      <c r="C4530" s="1" t="s">
        <v>213</v>
      </c>
      <c r="D4530">
        <v>5468</v>
      </c>
      <c r="E4530" s="1"/>
      <c r="F4530" s="1" t="s">
        <v>213</v>
      </c>
      <c r="G4530" s="1" t="s">
        <v>213</v>
      </c>
      <c r="H4530" s="1" t="s">
        <v>1396</v>
      </c>
      <c r="I4530">
        <v>2013</v>
      </c>
      <c r="J4530" s="93">
        <v>95.85</v>
      </c>
      <c r="K4530">
        <v>12</v>
      </c>
      <c r="L4530" s="1"/>
      <c r="M4530">
        <v>0</v>
      </c>
      <c r="N4530">
        <v>12237</v>
      </c>
      <c r="O4530">
        <v>7.8320000000000004E-3</v>
      </c>
      <c r="P4530">
        <v>3</v>
      </c>
      <c r="Q4530" s="1" t="s">
        <v>560</v>
      </c>
      <c r="R4530" s="93">
        <v>95.85</v>
      </c>
      <c r="S4530">
        <v>76.69</v>
      </c>
      <c r="T4530">
        <v>1</v>
      </c>
      <c r="U4530" s="1" t="s">
        <v>731</v>
      </c>
      <c r="V4530" s="1"/>
      <c r="W4530">
        <v>95.85</v>
      </c>
      <c r="X4530">
        <v>0</v>
      </c>
      <c r="Y4530">
        <v>57829</v>
      </c>
    </row>
    <row r="4531" spans="1:25" ht="15" hidden="1" customHeight="1" x14ac:dyDescent="0.25">
      <c r="A4531" s="1" t="s">
        <v>40</v>
      </c>
      <c r="B4531" s="1" t="s">
        <v>86</v>
      </c>
      <c r="C4531" s="1" t="s">
        <v>213</v>
      </c>
      <c r="D4531">
        <v>5468</v>
      </c>
      <c r="E4531" s="1"/>
      <c r="F4531" s="1" t="s">
        <v>213</v>
      </c>
      <c r="G4531" s="1" t="s">
        <v>213</v>
      </c>
      <c r="H4531" s="1" t="s">
        <v>1396</v>
      </c>
      <c r="I4531">
        <v>2014</v>
      </c>
      <c r="J4531" s="93">
        <v>8641</v>
      </c>
      <c r="K4531">
        <v>12</v>
      </c>
      <c r="L4531" s="1" t="s">
        <v>421</v>
      </c>
      <c r="M4531">
        <v>0</v>
      </c>
      <c r="N4531">
        <v>12237</v>
      </c>
      <c r="O4531">
        <v>0.70613099999999995</v>
      </c>
      <c r="P4531">
        <v>3</v>
      </c>
      <c r="Q4531" s="1" t="s">
        <v>560</v>
      </c>
      <c r="R4531" s="93">
        <v>8641</v>
      </c>
      <c r="S4531">
        <v>6912.79</v>
      </c>
      <c r="T4531">
        <v>0</v>
      </c>
      <c r="U4531" s="1" t="s">
        <v>733</v>
      </c>
      <c r="V4531" s="1"/>
      <c r="W4531">
        <v>8640.9999900000003</v>
      </c>
      <c r="X4531">
        <v>0</v>
      </c>
      <c r="Y4531">
        <v>92976</v>
      </c>
    </row>
    <row r="4532" spans="1:25" ht="15" hidden="1" customHeight="1" x14ac:dyDescent="0.25">
      <c r="A4532" s="1" t="s">
        <v>40</v>
      </c>
      <c r="B4532" s="1" t="s">
        <v>86</v>
      </c>
      <c r="C4532" s="1" t="s">
        <v>213</v>
      </c>
      <c r="D4532">
        <v>5468</v>
      </c>
      <c r="E4532" s="1"/>
      <c r="F4532" s="1" t="s">
        <v>213</v>
      </c>
      <c r="G4532" s="1" t="s">
        <v>213</v>
      </c>
      <c r="H4532" s="1" t="s">
        <v>1396</v>
      </c>
      <c r="I4532">
        <v>2010</v>
      </c>
      <c r="J4532" s="93">
        <v>93.01</v>
      </c>
      <c r="K4532">
        <v>5</v>
      </c>
      <c r="L4532" s="1" t="s">
        <v>458</v>
      </c>
      <c r="M4532">
        <v>0</v>
      </c>
      <c r="N4532">
        <v>12237</v>
      </c>
      <c r="O4532">
        <v>7.6E-3</v>
      </c>
      <c r="P4532">
        <v>3</v>
      </c>
      <c r="Q4532" s="1" t="s">
        <v>560</v>
      </c>
      <c r="R4532" s="93">
        <v>93.01</v>
      </c>
      <c r="S4532">
        <v>74.400000000000006</v>
      </c>
      <c r="T4532">
        <v>0</v>
      </c>
      <c r="U4532" s="1" t="s">
        <v>734</v>
      </c>
      <c r="V4532" s="1"/>
      <c r="W4532">
        <v>92.999989999999997</v>
      </c>
      <c r="X4532">
        <v>0</v>
      </c>
      <c r="Y4532">
        <v>85967</v>
      </c>
    </row>
    <row r="4533" spans="1:25" ht="15" hidden="1" customHeight="1" x14ac:dyDescent="0.25">
      <c r="A4533" s="1" t="s">
        <v>40</v>
      </c>
      <c r="B4533" s="1" t="s">
        <v>86</v>
      </c>
      <c r="C4533" s="1" t="s">
        <v>213</v>
      </c>
      <c r="D4533">
        <v>5468</v>
      </c>
      <c r="E4533" s="1"/>
      <c r="F4533" s="1" t="s">
        <v>213</v>
      </c>
      <c r="G4533" s="1" t="s">
        <v>213</v>
      </c>
      <c r="H4533" s="1" t="s">
        <v>1396</v>
      </c>
      <c r="I4533">
        <v>2013</v>
      </c>
      <c r="J4533" s="93">
        <v>3016.05</v>
      </c>
      <c r="K4533">
        <v>12</v>
      </c>
      <c r="L4533" s="1"/>
      <c r="M4533">
        <v>0</v>
      </c>
      <c r="N4533">
        <v>12237</v>
      </c>
      <c r="O4533">
        <v>0.24646699999999999</v>
      </c>
      <c r="P4533">
        <v>3</v>
      </c>
      <c r="Q4533" s="1" t="s">
        <v>560</v>
      </c>
      <c r="R4533" s="93">
        <v>3016.05</v>
      </c>
      <c r="S4533">
        <v>2412.85</v>
      </c>
      <c r="T4533">
        <v>0</v>
      </c>
      <c r="U4533" s="1" t="s">
        <v>732</v>
      </c>
      <c r="V4533" s="1"/>
      <c r="W4533">
        <v>3016.0569999999998</v>
      </c>
      <c r="X4533">
        <v>0</v>
      </c>
      <c r="Y4533">
        <v>58260</v>
      </c>
    </row>
    <row r="4534" spans="1:25" ht="15" hidden="1" customHeight="1" x14ac:dyDescent="0.25">
      <c r="A4534" s="1" t="s">
        <v>40</v>
      </c>
      <c r="B4534" s="1" t="s">
        <v>86</v>
      </c>
      <c r="C4534" s="1" t="s">
        <v>213</v>
      </c>
      <c r="D4534">
        <v>5468</v>
      </c>
      <c r="E4534" s="1"/>
      <c r="F4534" s="1" t="s">
        <v>213</v>
      </c>
      <c r="G4534" s="1" t="s">
        <v>213</v>
      </c>
      <c r="H4534" s="1" t="s">
        <v>1405</v>
      </c>
      <c r="I4534">
        <v>2013</v>
      </c>
      <c r="J4534" s="93">
        <f>J4533-J4530-J4529</f>
        <v>2344.6600000000003</v>
      </c>
      <c r="K4534">
        <v>12</v>
      </c>
      <c r="L4534" s="1"/>
      <c r="M4534">
        <v>0</v>
      </c>
      <c r="N4534">
        <v>12237</v>
      </c>
      <c r="P4534">
        <v>3</v>
      </c>
      <c r="Q4534" s="1" t="s">
        <v>560</v>
      </c>
      <c r="R4534" s="93">
        <f>R4533-R4530-R4529</f>
        <v>2344.6600000000003</v>
      </c>
      <c r="T4534">
        <v>0</v>
      </c>
      <c r="U4534" s="1"/>
      <c r="V4534" s="1"/>
      <c r="Y4534">
        <v>58260</v>
      </c>
    </row>
    <row r="4535" spans="1:25" ht="15" hidden="1" customHeight="1" x14ac:dyDescent="0.25">
      <c r="A4535" s="1" t="s">
        <v>40</v>
      </c>
      <c r="B4535" s="1" t="s">
        <v>86</v>
      </c>
      <c r="C4535" s="1" t="s">
        <v>213</v>
      </c>
      <c r="D4535">
        <v>5468</v>
      </c>
      <c r="E4535" s="1"/>
      <c r="F4535" s="1" t="s">
        <v>213</v>
      </c>
      <c r="G4535" s="1" t="s">
        <v>213</v>
      </c>
      <c r="H4535" s="1" t="s">
        <v>1396</v>
      </c>
      <c r="I4535">
        <v>2014</v>
      </c>
      <c r="J4535" s="93">
        <v>653.9</v>
      </c>
      <c r="K4535">
        <v>12</v>
      </c>
      <c r="L4535" s="1"/>
      <c r="M4535">
        <v>0</v>
      </c>
      <c r="N4535">
        <v>12237</v>
      </c>
      <c r="O4535">
        <v>5.3435000000000003E-2</v>
      </c>
      <c r="P4535">
        <v>3</v>
      </c>
      <c r="Q4535" s="1" t="s">
        <v>560</v>
      </c>
      <c r="R4535" s="93">
        <v>653.9</v>
      </c>
      <c r="S4535">
        <v>523.13</v>
      </c>
      <c r="T4535">
        <v>1</v>
      </c>
      <c r="U4535" s="1" t="s">
        <v>730</v>
      </c>
      <c r="V4535" s="1"/>
      <c r="W4535">
        <v>653.91</v>
      </c>
      <c r="X4535">
        <v>0</v>
      </c>
      <c r="Y4535">
        <v>57827</v>
      </c>
    </row>
    <row r="4536" spans="1:25" ht="15" hidden="1" customHeight="1" x14ac:dyDescent="0.25">
      <c r="A4536" s="1" t="s">
        <v>40</v>
      </c>
      <c r="B4536" s="1" t="s">
        <v>86</v>
      </c>
      <c r="C4536" s="1" t="s">
        <v>213</v>
      </c>
      <c r="D4536">
        <v>5468</v>
      </c>
      <c r="E4536" s="1"/>
      <c r="F4536" s="1" t="s">
        <v>213</v>
      </c>
      <c r="G4536" s="1" t="s">
        <v>213</v>
      </c>
      <c r="H4536" s="1" t="s">
        <v>1396</v>
      </c>
      <c r="I4536">
        <v>2014</v>
      </c>
      <c r="J4536" s="93">
        <v>92.58</v>
      </c>
      <c r="K4536">
        <v>12</v>
      </c>
      <c r="L4536" s="1"/>
      <c r="M4536">
        <v>0</v>
      </c>
      <c r="N4536">
        <v>12237</v>
      </c>
      <c r="O4536">
        <v>7.5649999999999997E-3</v>
      </c>
      <c r="P4536">
        <v>3</v>
      </c>
      <c r="Q4536" s="1" t="s">
        <v>560</v>
      </c>
      <c r="R4536" s="93">
        <v>92.58</v>
      </c>
      <c r="S4536">
        <v>74.06</v>
      </c>
      <c r="T4536">
        <v>1</v>
      </c>
      <c r="U4536" s="1" t="s">
        <v>731</v>
      </c>
      <c r="V4536" s="1"/>
      <c r="W4536">
        <v>92.58</v>
      </c>
      <c r="X4536">
        <v>0</v>
      </c>
      <c r="Y4536">
        <v>57829</v>
      </c>
    </row>
    <row r="4537" spans="1:25" ht="15" hidden="1" customHeight="1" x14ac:dyDescent="0.25">
      <c r="A4537" s="1" t="s">
        <v>40</v>
      </c>
      <c r="B4537" s="1" t="s">
        <v>86</v>
      </c>
      <c r="C4537" s="1" t="s">
        <v>213</v>
      </c>
      <c r="D4537">
        <v>5468</v>
      </c>
      <c r="E4537" s="1"/>
      <c r="F4537" s="1" t="s">
        <v>213</v>
      </c>
      <c r="G4537" s="1" t="s">
        <v>213</v>
      </c>
      <c r="H4537" s="1" t="s">
        <v>1396</v>
      </c>
      <c r="I4537">
        <v>2014</v>
      </c>
      <c r="J4537" s="93">
        <v>3352.8</v>
      </c>
      <c r="K4537">
        <v>12</v>
      </c>
      <c r="L4537" s="1"/>
      <c r="M4537">
        <v>0</v>
      </c>
      <c r="N4537">
        <v>12237</v>
      </c>
      <c r="O4537">
        <v>0.27398600000000001</v>
      </c>
      <c r="P4537">
        <v>3</v>
      </c>
      <c r="Q4537" s="1" t="s">
        <v>560</v>
      </c>
      <c r="R4537" s="93">
        <v>3352.8</v>
      </c>
      <c r="S4537">
        <v>2682.23</v>
      </c>
      <c r="T4537">
        <v>0</v>
      </c>
      <c r="U4537" s="1" t="s">
        <v>732</v>
      </c>
      <c r="V4537" s="1"/>
      <c r="W4537">
        <v>3352.7860000000001</v>
      </c>
      <c r="X4537">
        <v>0</v>
      </c>
      <c r="Y4537">
        <v>58260</v>
      </c>
    </row>
    <row r="4538" spans="1:25" ht="15" hidden="1" customHeight="1" x14ac:dyDescent="0.25">
      <c r="A4538" s="1" t="s">
        <v>40</v>
      </c>
      <c r="B4538" s="1" t="s">
        <v>86</v>
      </c>
      <c r="C4538" s="1" t="s">
        <v>213</v>
      </c>
      <c r="D4538">
        <v>5468</v>
      </c>
      <c r="E4538" s="1"/>
      <c r="F4538" s="1" t="s">
        <v>213</v>
      </c>
      <c r="G4538" s="1" t="s">
        <v>213</v>
      </c>
      <c r="H4538" s="1" t="s">
        <v>1405</v>
      </c>
      <c r="I4538">
        <v>2014</v>
      </c>
      <c r="J4538" s="93">
        <f>J4537-J4536-J4535</f>
        <v>2606.3200000000002</v>
      </c>
      <c r="K4538">
        <v>12</v>
      </c>
      <c r="L4538" s="1"/>
      <c r="M4538">
        <v>0</v>
      </c>
      <c r="N4538">
        <v>12237</v>
      </c>
      <c r="P4538">
        <v>3</v>
      </c>
      <c r="Q4538" s="1" t="s">
        <v>560</v>
      </c>
      <c r="R4538" s="93">
        <f>R4537-R4536-R4535</f>
        <v>2606.3200000000002</v>
      </c>
      <c r="T4538">
        <v>0</v>
      </c>
      <c r="U4538" s="1"/>
      <c r="V4538" s="1"/>
      <c r="X4538">
        <v>0</v>
      </c>
      <c r="Y4538">
        <v>58260</v>
      </c>
    </row>
    <row r="4539" spans="1:25" ht="15" hidden="1" customHeight="1" x14ac:dyDescent="0.25">
      <c r="A4539" s="1" t="s">
        <v>40</v>
      </c>
      <c r="B4539" s="1" t="s">
        <v>86</v>
      </c>
      <c r="C4539" s="1" t="s">
        <v>213</v>
      </c>
      <c r="D4539">
        <v>5468</v>
      </c>
      <c r="E4539" s="1"/>
      <c r="F4539" s="1" t="s">
        <v>213</v>
      </c>
      <c r="G4539" s="1" t="s">
        <v>213</v>
      </c>
      <c r="H4539" s="1" t="s">
        <v>1396</v>
      </c>
      <c r="I4539">
        <v>2015</v>
      </c>
      <c r="J4539" s="93">
        <v>663</v>
      </c>
      <c r="K4539">
        <v>5</v>
      </c>
      <c r="L4539" s="1"/>
      <c r="M4539">
        <v>0</v>
      </c>
      <c r="N4539">
        <v>12237</v>
      </c>
      <c r="O4539">
        <v>2.3909E-2</v>
      </c>
      <c r="P4539">
        <v>3</v>
      </c>
      <c r="Q4539" s="1" t="s">
        <v>560</v>
      </c>
      <c r="R4539" s="93">
        <v>292.58</v>
      </c>
      <c r="S4539" s="93">
        <v>663</v>
      </c>
      <c r="T4539">
        <v>1</v>
      </c>
      <c r="U4539" s="1" t="s">
        <v>730</v>
      </c>
      <c r="V4539" s="1"/>
      <c r="W4539">
        <v>292.58600000000001</v>
      </c>
      <c r="X4539">
        <v>0</v>
      </c>
      <c r="Y4539">
        <v>57827</v>
      </c>
    </row>
    <row r="4540" spans="1:25" ht="15" hidden="1" customHeight="1" x14ac:dyDescent="0.25">
      <c r="A4540" s="1" t="s">
        <v>40</v>
      </c>
      <c r="B4540" s="1" t="s">
        <v>86</v>
      </c>
      <c r="C4540" s="1" t="s">
        <v>213</v>
      </c>
      <c r="D4540">
        <v>5468</v>
      </c>
      <c r="E4540" s="1"/>
      <c r="F4540" s="1" t="s">
        <v>213</v>
      </c>
      <c r="G4540" s="1" t="s">
        <v>213</v>
      </c>
      <c r="H4540" s="1" t="s">
        <v>1396</v>
      </c>
      <c r="I4540">
        <v>2015</v>
      </c>
      <c r="J4540" s="93">
        <v>46</v>
      </c>
      <c r="K4540">
        <v>5</v>
      </c>
      <c r="L4540" s="1"/>
      <c r="M4540">
        <v>0</v>
      </c>
      <c r="N4540">
        <v>12237</v>
      </c>
      <c r="O4540">
        <v>9.4700000000000003E-4</v>
      </c>
      <c r="P4540">
        <v>3</v>
      </c>
      <c r="Q4540" s="1" t="s">
        <v>560</v>
      </c>
      <c r="R4540" s="93">
        <v>11.59</v>
      </c>
      <c r="S4540" s="93">
        <v>46</v>
      </c>
      <c r="T4540">
        <v>1</v>
      </c>
      <c r="U4540" s="1" t="s">
        <v>731</v>
      </c>
      <c r="V4540" s="1"/>
      <c r="W4540">
        <v>11.59</v>
      </c>
      <c r="X4540">
        <v>0</v>
      </c>
      <c r="Y4540">
        <v>57829</v>
      </c>
    </row>
    <row r="4541" spans="1:25" ht="15" hidden="1" customHeight="1" x14ac:dyDescent="0.25">
      <c r="A4541" s="1" t="s">
        <v>40</v>
      </c>
      <c r="B4541" s="1" t="s">
        <v>86</v>
      </c>
      <c r="C4541" s="1" t="s">
        <v>213</v>
      </c>
      <c r="D4541">
        <v>5468</v>
      </c>
      <c r="E4541" s="1"/>
      <c r="F4541" s="1" t="s">
        <v>213</v>
      </c>
      <c r="G4541" s="1" t="s">
        <v>213</v>
      </c>
      <c r="H4541" s="1" t="s">
        <v>1396</v>
      </c>
      <c r="I4541">
        <v>2015</v>
      </c>
      <c r="J4541" s="93">
        <v>2693</v>
      </c>
      <c r="K4541">
        <v>5</v>
      </c>
      <c r="L4541" s="1"/>
      <c r="M4541">
        <v>0</v>
      </c>
      <c r="N4541">
        <v>12237</v>
      </c>
      <c r="O4541">
        <v>9.2108999999999996E-2</v>
      </c>
      <c r="P4541">
        <v>3</v>
      </c>
      <c r="Q4541" s="1" t="s">
        <v>560</v>
      </c>
      <c r="R4541" s="93">
        <v>1127.1500000000001</v>
      </c>
      <c r="S4541" s="93">
        <v>2693</v>
      </c>
      <c r="T4541">
        <v>0</v>
      </c>
      <c r="U4541" s="1" t="s">
        <v>732</v>
      </c>
      <c r="V4541" s="1"/>
      <c r="W4541">
        <v>1127.146</v>
      </c>
      <c r="X4541">
        <v>0</v>
      </c>
      <c r="Y4541">
        <v>58260</v>
      </c>
    </row>
    <row r="4542" spans="1:25" ht="15" hidden="1" customHeight="1" x14ac:dyDescent="0.25">
      <c r="A4542" s="1" t="s">
        <v>40</v>
      </c>
      <c r="B4542" s="1" t="s">
        <v>86</v>
      </c>
      <c r="C4542" s="1" t="s">
        <v>213</v>
      </c>
      <c r="D4542">
        <v>5468</v>
      </c>
      <c r="E4542" s="1"/>
      <c r="F4542" s="1" t="s">
        <v>213</v>
      </c>
      <c r="G4542" s="1" t="s">
        <v>213</v>
      </c>
      <c r="H4542" s="1" t="s">
        <v>1405</v>
      </c>
      <c r="I4542">
        <v>2015</v>
      </c>
      <c r="J4542" s="93">
        <f>J4541-J4540-J4539</f>
        <v>1984</v>
      </c>
      <c r="K4542">
        <v>5</v>
      </c>
      <c r="L4542" s="1"/>
      <c r="M4542">
        <v>0</v>
      </c>
      <c r="N4542">
        <v>12237</v>
      </c>
      <c r="O4542">
        <v>9.2108999999999996E-2</v>
      </c>
      <c r="P4542">
        <v>3</v>
      </c>
      <c r="Q4542" s="1" t="s">
        <v>560</v>
      </c>
      <c r="R4542" s="93">
        <v>1127.1500000000001</v>
      </c>
      <c r="S4542" s="93">
        <f>S4541-S4540-S4539</f>
        <v>1984</v>
      </c>
      <c r="T4542">
        <v>0</v>
      </c>
      <c r="U4542" s="1"/>
      <c r="V4542" s="1"/>
      <c r="X4542">
        <v>0</v>
      </c>
      <c r="Y4542">
        <v>58260</v>
      </c>
    </row>
    <row r="4543" spans="1:25" ht="15" hidden="1" customHeight="1" x14ac:dyDescent="0.25">
      <c r="A4543" s="1" t="s">
        <v>40</v>
      </c>
      <c r="B4543" s="1" t="s">
        <v>86</v>
      </c>
      <c r="C4543" s="1" t="s">
        <v>213</v>
      </c>
      <c r="D4543">
        <v>5468</v>
      </c>
      <c r="E4543" s="1"/>
      <c r="F4543" s="1" t="s">
        <v>213</v>
      </c>
      <c r="G4543" s="1" t="s">
        <v>213</v>
      </c>
      <c r="H4543" s="1" t="s">
        <v>1396</v>
      </c>
      <c r="I4543">
        <v>2015</v>
      </c>
      <c r="J4543" s="93">
        <v>0</v>
      </c>
      <c r="K4543">
        <v>5</v>
      </c>
      <c r="L4543" s="1" t="s">
        <v>421</v>
      </c>
      <c r="M4543">
        <v>0</v>
      </c>
      <c r="N4543">
        <v>12237</v>
      </c>
      <c r="O4543">
        <v>0</v>
      </c>
      <c r="P4543">
        <v>3</v>
      </c>
      <c r="Q4543" s="1" t="s">
        <v>560</v>
      </c>
      <c r="R4543" s="93">
        <v>0</v>
      </c>
      <c r="S4543">
        <v>0</v>
      </c>
      <c r="T4543">
        <v>0</v>
      </c>
      <c r="U4543" s="1" t="s">
        <v>733</v>
      </c>
      <c r="V4543" s="1"/>
      <c r="W4543">
        <v>0</v>
      </c>
      <c r="X4543">
        <v>0</v>
      </c>
      <c r="Y4543">
        <v>92976</v>
      </c>
    </row>
    <row r="4544" spans="1:25" ht="15" hidden="1" customHeight="1" x14ac:dyDescent="0.25">
      <c r="A4544" s="1" t="s">
        <v>40</v>
      </c>
      <c r="B4544" s="1" t="s">
        <v>87</v>
      </c>
      <c r="C4544" s="1" t="s">
        <v>214</v>
      </c>
      <c r="D4544">
        <v>5954</v>
      </c>
      <c r="E4544" s="1"/>
      <c r="F4544" s="1" t="s">
        <v>352</v>
      </c>
      <c r="G4544" s="1" t="s">
        <v>214</v>
      </c>
      <c r="H4544" s="1" t="s">
        <v>1396</v>
      </c>
      <c r="I4544">
        <v>2015</v>
      </c>
      <c r="J4544" s="93">
        <v>50.37</v>
      </c>
      <c r="K4544">
        <v>5</v>
      </c>
      <c r="L4544" s="1" t="s">
        <v>426</v>
      </c>
      <c r="M4544">
        <v>0</v>
      </c>
      <c r="N4544">
        <v>475</v>
      </c>
      <c r="O4544">
        <v>0.106019</v>
      </c>
      <c r="P4544">
        <v>3</v>
      </c>
      <c r="Q4544" s="1" t="s">
        <v>560</v>
      </c>
      <c r="R4544" s="93">
        <v>50.37</v>
      </c>
      <c r="S4544">
        <v>40.299999999999997</v>
      </c>
      <c r="T4544">
        <v>0</v>
      </c>
      <c r="U4544" s="1" t="s">
        <v>735</v>
      </c>
      <c r="V4544" s="1"/>
      <c r="W4544">
        <v>50.372999999999998</v>
      </c>
      <c r="X4544">
        <v>0</v>
      </c>
      <c r="Y4544">
        <v>59982</v>
      </c>
    </row>
    <row r="4545" spans="1:25" ht="15" hidden="1" customHeight="1" x14ac:dyDescent="0.25">
      <c r="A4545" s="1" t="s">
        <v>40</v>
      </c>
      <c r="B4545" s="1" t="s">
        <v>87</v>
      </c>
      <c r="C4545" s="1" t="s">
        <v>214</v>
      </c>
      <c r="D4545">
        <v>5954</v>
      </c>
      <c r="E4545" s="1"/>
      <c r="F4545" s="1" t="s">
        <v>352</v>
      </c>
      <c r="G4545" s="1" t="s">
        <v>214</v>
      </c>
      <c r="H4545" s="1" t="s">
        <v>1396</v>
      </c>
      <c r="I4545">
        <v>2013</v>
      </c>
      <c r="J4545" s="93">
        <v>203.36</v>
      </c>
      <c r="K4545">
        <v>12</v>
      </c>
      <c r="L4545" s="1" t="s">
        <v>426</v>
      </c>
      <c r="M4545">
        <v>0</v>
      </c>
      <c r="N4545">
        <v>475</v>
      </c>
      <c r="O4545">
        <v>0.42803600000000003</v>
      </c>
      <c r="P4545">
        <v>3</v>
      </c>
      <c r="Q4545" s="1" t="s">
        <v>560</v>
      </c>
      <c r="R4545" s="93">
        <v>203.36</v>
      </c>
      <c r="S4545">
        <v>162.68</v>
      </c>
      <c r="T4545">
        <v>0</v>
      </c>
      <c r="U4545" s="1" t="s">
        <v>735</v>
      </c>
      <c r="V4545" s="1"/>
      <c r="W4545">
        <v>203.37</v>
      </c>
      <c r="X4545">
        <v>0</v>
      </c>
      <c r="Y4545">
        <v>59982</v>
      </c>
    </row>
    <row r="4546" spans="1:25" ht="15" hidden="1" customHeight="1" x14ac:dyDescent="0.25">
      <c r="A4546" s="1" t="s">
        <v>40</v>
      </c>
      <c r="B4546" s="1" t="s">
        <v>87</v>
      </c>
      <c r="C4546" s="1" t="s">
        <v>214</v>
      </c>
      <c r="D4546">
        <v>5954</v>
      </c>
      <c r="E4546" s="1"/>
      <c r="F4546" s="1" t="s">
        <v>352</v>
      </c>
      <c r="G4546" s="1" t="s">
        <v>214</v>
      </c>
      <c r="H4546" s="1" t="s">
        <v>1396</v>
      </c>
      <c r="I4546">
        <v>2012</v>
      </c>
      <c r="J4546" s="93">
        <v>247.37</v>
      </c>
      <c r="K4546">
        <v>12</v>
      </c>
      <c r="L4546" s="1" t="s">
        <v>426</v>
      </c>
      <c r="M4546">
        <v>0</v>
      </c>
      <c r="N4546">
        <v>475</v>
      </c>
      <c r="O4546">
        <v>0.52066900000000005</v>
      </c>
      <c r="P4546">
        <v>3</v>
      </c>
      <c r="Q4546" s="1" t="s">
        <v>560</v>
      </c>
      <c r="R4546" s="93">
        <v>247.37</v>
      </c>
      <c r="S4546">
        <v>197.9</v>
      </c>
      <c r="T4546">
        <v>0</v>
      </c>
      <c r="U4546" s="1" t="s">
        <v>735</v>
      </c>
      <c r="V4546" s="1"/>
      <c r="W4546">
        <v>247.36743000000001</v>
      </c>
      <c r="X4546">
        <v>0</v>
      </c>
      <c r="Y4546">
        <v>59982</v>
      </c>
    </row>
    <row r="4547" spans="1:25" ht="15" hidden="1" customHeight="1" x14ac:dyDescent="0.25">
      <c r="A4547" s="1" t="s">
        <v>40</v>
      </c>
      <c r="B4547" s="1" t="s">
        <v>87</v>
      </c>
      <c r="C4547" s="1" t="s">
        <v>214</v>
      </c>
      <c r="D4547">
        <v>5954</v>
      </c>
      <c r="E4547" s="1"/>
      <c r="F4547" s="1" t="s">
        <v>352</v>
      </c>
      <c r="G4547" s="1" t="s">
        <v>214</v>
      </c>
      <c r="H4547" s="1" t="s">
        <v>1396</v>
      </c>
      <c r="I4547">
        <v>2011</v>
      </c>
      <c r="J4547" s="93">
        <v>223.19</v>
      </c>
      <c r="K4547">
        <v>12</v>
      </c>
      <c r="L4547" s="1" t="s">
        <v>426</v>
      </c>
      <c r="M4547">
        <v>0</v>
      </c>
      <c r="N4547">
        <v>475</v>
      </c>
      <c r="O4547">
        <v>0.46977400000000002</v>
      </c>
      <c r="P4547">
        <v>3</v>
      </c>
      <c r="Q4547" s="1" t="s">
        <v>560</v>
      </c>
      <c r="R4547" s="93">
        <v>223.19</v>
      </c>
      <c r="S4547">
        <v>178.55</v>
      </c>
      <c r="T4547">
        <v>0</v>
      </c>
      <c r="U4547" s="1" t="s">
        <v>735</v>
      </c>
      <c r="V4547" s="1"/>
      <c r="W4547">
        <v>223.18672000000001</v>
      </c>
      <c r="X4547">
        <v>0</v>
      </c>
      <c r="Y4547">
        <v>59982</v>
      </c>
    </row>
    <row r="4548" spans="1:25" ht="15" hidden="1" customHeight="1" x14ac:dyDescent="0.25">
      <c r="A4548" s="1" t="s">
        <v>40</v>
      </c>
      <c r="B4548" s="1" t="s">
        <v>87</v>
      </c>
      <c r="C4548" s="1" t="s">
        <v>214</v>
      </c>
      <c r="D4548">
        <v>5954</v>
      </c>
      <c r="E4548" s="1"/>
      <c r="F4548" s="1" t="s">
        <v>352</v>
      </c>
      <c r="G4548" s="1" t="s">
        <v>214</v>
      </c>
      <c r="H4548" s="1" t="s">
        <v>1396</v>
      </c>
      <c r="I4548">
        <v>2010</v>
      </c>
      <c r="J4548" s="93">
        <v>352.01</v>
      </c>
      <c r="K4548">
        <v>11</v>
      </c>
      <c r="L4548" s="1" t="s">
        <v>426</v>
      </c>
      <c r="M4548">
        <v>0</v>
      </c>
      <c r="N4548">
        <v>475</v>
      </c>
      <c r="O4548">
        <v>0.74091700000000005</v>
      </c>
      <c r="P4548">
        <v>3</v>
      </c>
      <c r="Q4548" s="1" t="s">
        <v>560</v>
      </c>
      <c r="R4548" s="93">
        <v>352.01</v>
      </c>
      <c r="S4548">
        <v>281.64</v>
      </c>
      <c r="T4548">
        <v>0</v>
      </c>
      <c r="U4548" s="1" t="s">
        <v>735</v>
      </c>
      <c r="V4548" s="1"/>
      <c r="W4548">
        <v>352.02656000000002</v>
      </c>
      <c r="X4548">
        <v>0</v>
      </c>
      <c r="Y4548">
        <v>59982</v>
      </c>
    </row>
    <row r="4549" spans="1:25" ht="15" hidden="1" customHeight="1" x14ac:dyDescent="0.25">
      <c r="A4549" s="1" t="s">
        <v>40</v>
      </c>
      <c r="B4549" s="1" t="s">
        <v>87</v>
      </c>
      <c r="C4549" s="1" t="s">
        <v>214</v>
      </c>
      <c r="D4549">
        <v>5954</v>
      </c>
      <c r="E4549" s="1"/>
      <c r="F4549" s="1" t="s">
        <v>352</v>
      </c>
      <c r="G4549" s="1" t="s">
        <v>214</v>
      </c>
      <c r="H4549" s="1" t="s">
        <v>1396</v>
      </c>
      <c r="I4549">
        <v>2009</v>
      </c>
      <c r="J4549" s="93">
        <v>240.17</v>
      </c>
      <c r="K4549">
        <v>11</v>
      </c>
      <c r="L4549" s="1" t="s">
        <v>426</v>
      </c>
      <c r="M4549">
        <v>0</v>
      </c>
      <c r="N4549">
        <v>475</v>
      </c>
      <c r="O4549">
        <v>0.50551400000000002</v>
      </c>
      <c r="P4549">
        <v>3</v>
      </c>
      <c r="Q4549" s="1" t="s">
        <v>560</v>
      </c>
      <c r="R4549" s="93">
        <v>240.17</v>
      </c>
      <c r="S4549">
        <v>192.15</v>
      </c>
      <c r="T4549">
        <v>0</v>
      </c>
      <c r="U4549" s="1" t="s">
        <v>735</v>
      </c>
      <c r="V4549" s="1"/>
      <c r="W4549">
        <v>240.17122000000001</v>
      </c>
      <c r="X4549">
        <v>0</v>
      </c>
      <c r="Y4549">
        <v>59982</v>
      </c>
    </row>
    <row r="4550" spans="1:25" ht="15" hidden="1" customHeight="1" x14ac:dyDescent="0.25">
      <c r="A4550" s="1" t="s">
        <v>40</v>
      </c>
      <c r="B4550" s="1" t="s">
        <v>87</v>
      </c>
      <c r="C4550" s="1" t="s">
        <v>214</v>
      </c>
      <c r="D4550">
        <v>5954</v>
      </c>
      <c r="E4550" s="1"/>
      <c r="F4550" s="1" t="s">
        <v>352</v>
      </c>
      <c r="G4550" s="1" t="s">
        <v>214</v>
      </c>
      <c r="H4550" s="1" t="s">
        <v>1396</v>
      </c>
      <c r="I4550">
        <v>2008</v>
      </c>
      <c r="J4550" s="93">
        <v>196.73</v>
      </c>
      <c r="K4550">
        <v>12</v>
      </c>
      <c r="L4550" s="1" t="s">
        <v>426</v>
      </c>
      <c r="M4550">
        <v>0</v>
      </c>
      <c r="N4550">
        <v>475</v>
      </c>
      <c r="O4550">
        <v>0.41408099999999998</v>
      </c>
      <c r="P4550">
        <v>3</v>
      </c>
      <c r="Q4550" s="1" t="s">
        <v>560</v>
      </c>
      <c r="R4550" s="93">
        <v>196.73</v>
      </c>
      <c r="S4550">
        <v>157.38</v>
      </c>
      <c r="T4550">
        <v>0</v>
      </c>
      <c r="U4550" s="1" t="s">
        <v>735</v>
      </c>
      <c r="V4550" s="1"/>
      <c r="W4550">
        <v>196.73255</v>
      </c>
      <c r="X4550">
        <v>0</v>
      </c>
      <c r="Y4550">
        <v>59982</v>
      </c>
    </row>
    <row r="4551" spans="1:25" ht="15" hidden="1" customHeight="1" x14ac:dyDescent="0.25">
      <c r="A4551" s="1" t="s">
        <v>40</v>
      </c>
      <c r="B4551" s="1" t="s">
        <v>88</v>
      </c>
      <c r="C4551" s="1" t="s">
        <v>215</v>
      </c>
      <c r="D4551">
        <v>5429</v>
      </c>
      <c r="E4551" s="1"/>
      <c r="F4551" s="1" t="s">
        <v>215</v>
      </c>
      <c r="G4551" s="1" t="s">
        <v>215</v>
      </c>
      <c r="H4551" s="1" t="s">
        <v>1396</v>
      </c>
      <c r="I4551">
        <v>2015</v>
      </c>
      <c r="J4551" s="93">
        <v>91.3</v>
      </c>
      <c r="K4551">
        <v>5</v>
      </c>
      <c r="L4551" s="1"/>
      <c r="M4551">
        <v>0</v>
      </c>
      <c r="N4551">
        <v>1747</v>
      </c>
      <c r="O4551">
        <v>5.2257999999999999E-2</v>
      </c>
      <c r="P4551">
        <v>3</v>
      </c>
      <c r="Q4551" s="1" t="s">
        <v>560</v>
      </c>
      <c r="R4551" s="93">
        <v>91.3</v>
      </c>
      <c r="S4551">
        <v>73.03</v>
      </c>
      <c r="T4551">
        <v>0</v>
      </c>
      <c r="U4551" s="1" t="s">
        <v>736</v>
      </c>
      <c r="V4551" s="1"/>
      <c r="W4551">
        <v>91.298000000000002</v>
      </c>
      <c r="X4551">
        <v>0</v>
      </c>
      <c r="Y4551">
        <v>57410</v>
      </c>
    </row>
    <row r="4552" spans="1:25" ht="15" hidden="1" customHeight="1" x14ac:dyDescent="0.25">
      <c r="A4552" s="1" t="s">
        <v>40</v>
      </c>
      <c r="B4552" s="1" t="s">
        <v>88</v>
      </c>
      <c r="C4552" s="1" t="s">
        <v>215</v>
      </c>
      <c r="D4552">
        <v>5429</v>
      </c>
      <c r="E4552" s="1"/>
      <c r="F4552" s="1" t="s">
        <v>215</v>
      </c>
      <c r="G4552" s="1" t="s">
        <v>215</v>
      </c>
      <c r="H4552" s="1" t="s">
        <v>1396</v>
      </c>
      <c r="I4552">
        <v>2013</v>
      </c>
      <c r="J4552" s="93">
        <v>385.16</v>
      </c>
      <c r="K4552">
        <v>12</v>
      </c>
      <c r="L4552" s="1"/>
      <c r="M4552">
        <v>0</v>
      </c>
      <c r="N4552">
        <v>1747</v>
      </c>
      <c r="O4552">
        <v>0.22045600000000001</v>
      </c>
      <c r="P4552">
        <v>3</v>
      </c>
      <c r="Q4552" s="1" t="s">
        <v>560</v>
      </c>
      <c r="R4552" s="93">
        <v>385.16</v>
      </c>
      <c r="S4552">
        <v>308.12</v>
      </c>
      <c r="T4552">
        <v>0</v>
      </c>
      <c r="U4552" s="1" t="s">
        <v>736</v>
      </c>
      <c r="V4552" s="1"/>
      <c r="W4552">
        <v>385.15800000000002</v>
      </c>
      <c r="X4552">
        <v>0</v>
      </c>
      <c r="Y4552">
        <v>57410</v>
      </c>
    </row>
    <row r="4553" spans="1:25" ht="15" hidden="1" customHeight="1" x14ac:dyDescent="0.25">
      <c r="A4553" s="1" t="s">
        <v>40</v>
      </c>
      <c r="B4553" s="1" t="s">
        <v>88</v>
      </c>
      <c r="C4553" s="1" t="s">
        <v>215</v>
      </c>
      <c r="D4553">
        <v>5429</v>
      </c>
      <c r="E4553" s="1"/>
      <c r="F4553" s="1" t="s">
        <v>215</v>
      </c>
      <c r="G4553" s="1" t="s">
        <v>215</v>
      </c>
      <c r="H4553" s="1" t="s">
        <v>1396</v>
      </c>
      <c r="I4553">
        <v>2012</v>
      </c>
      <c r="J4553" s="93">
        <v>417.53</v>
      </c>
      <c r="K4553">
        <v>12</v>
      </c>
      <c r="L4553" s="1"/>
      <c r="M4553">
        <v>0</v>
      </c>
      <c r="N4553">
        <v>1747</v>
      </c>
      <c r="O4553">
        <v>0.238984</v>
      </c>
      <c r="P4553">
        <v>3</v>
      </c>
      <c r="Q4553" s="1" t="s">
        <v>560</v>
      </c>
      <c r="R4553" s="93">
        <v>417.53</v>
      </c>
      <c r="S4553">
        <v>334.03</v>
      </c>
      <c r="T4553">
        <v>0</v>
      </c>
      <c r="U4553" s="1" t="s">
        <v>736</v>
      </c>
      <c r="V4553" s="1"/>
      <c r="W4553">
        <v>417.54199999999997</v>
      </c>
      <c r="X4553">
        <v>0</v>
      </c>
      <c r="Y4553">
        <v>57410</v>
      </c>
    </row>
    <row r="4554" spans="1:25" ht="15" hidden="1" customHeight="1" x14ac:dyDescent="0.25">
      <c r="A4554" s="1" t="s">
        <v>40</v>
      </c>
      <c r="B4554" s="1"/>
      <c r="C4554" s="1" t="s">
        <v>228</v>
      </c>
      <c r="D4554">
        <v>13988</v>
      </c>
      <c r="E4554" s="1" t="s">
        <v>243</v>
      </c>
      <c r="F4554" s="1" t="s">
        <v>228</v>
      </c>
      <c r="G4554" s="1" t="s">
        <v>228</v>
      </c>
      <c r="H4554" s="1" t="s">
        <v>1396</v>
      </c>
      <c r="I4554">
        <v>2014</v>
      </c>
      <c r="J4554" s="93">
        <v>11823.91</v>
      </c>
      <c r="K4554">
        <v>3</v>
      </c>
      <c r="L4554" s="1" t="s">
        <v>502</v>
      </c>
      <c r="M4554">
        <v>0</v>
      </c>
      <c r="N4554">
        <v>0</v>
      </c>
      <c r="O4554">
        <v>118239.1</v>
      </c>
      <c r="P4554">
        <v>1</v>
      </c>
      <c r="Q4554" s="1" t="s">
        <v>565</v>
      </c>
      <c r="R4554" s="93">
        <v>14388.53</v>
      </c>
      <c r="S4554">
        <v>630.11</v>
      </c>
      <c r="T4554">
        <v>0</v>
      </c>
      <c r="U4554" s="1" t="s">
        <v>917</v>
      </c>
      <c r="V4554" s="1"/>
      <c r="W4554">
        <v>11.82391</v>
      </c>
      <c r="X4554">
        <v>0</v>
      </c>
      <c r="Y4554">
        <v>94860</v>
      </c>
    </row>
    <row r="4555" spans="1:25" ht="15" hidden="1" customHeight="1" x14ac:dyDescent="0.25">
      <c r="A4555" s="1" t="s">
        <v>40</v>
      </c>
      <c r="B4555" s="1" t="s">
        <v>88</v>
      </c>
      <c r="C4555" s="1" t="s">
        <v>215</v>
      </c>
      <c r="D4555">
        <v>5429</v>
      </c>
      <c r="E4555" s="1"/>
      <c r="F4555" s="1" t="s">
        <v>215</v>
      </c>
      <c r="G4555" s="1" t="s">
        <v>215</v>
      </c>
      <c r="H4555" s="1" t="s">
        <v>1396</v>
      </c>
      <c r="I4555">
        <v>2011</v>
      </c>
      <c r="J4555" s="93">
        <v>612.1</v>
      </c>
      <c r="K4555">
        <v>12</v>
      </c>
      <c r="L4555" s="1"/>
      <c r="M4555">
        <v>0</v>
      </c>
      <c r="N4555">
        <v>1747</v>
      </c>
      <c r="O4555">
        <v>0.350352</v>
      </c>
      <c r="P4555">
        <v>3</v>
      </c>
      <c r="Q4555" s="1" t="s">
        <v>560</v>
      </c>
      <c r="R4555" s="93">
        <v>612.1</v>
      </c>
      <c r="S4555">
        <v>489.71</v>
      </c>
      <c r="T4555">
        <v>0</v>
      </c>
      <c r="U4555" s="1" t="s">
        <v>736</v>
      </c>
      <c r="V4555" s="1"/>
      <c r="W4555">
        <v>612.11546999999996</v>
      </c>
      <c r="X4555">
        <v>0</v>
      </c>
      <c r="Y4555">
        <v>57410</v>
      </c>
    </row>
    <row r="4556" spans="1:25" ht="15" hidden="1" customHeight="1" x14ac:dyDescent="0.25">
      <c r="A4556" s="1" t="s">
        <v>40</v>
      </c>
      <c r="B4556" s="1" t="s">
        <v>88</v>
      </c>
      <c r="C4556" s="1" t="s">
        <v>215</v>
      </c>
      <c r="D4556">
        <v>5429</v>
      </c>
      <c r="E4556" s="1"/>
      <c r="F4556" s="1" t="s">
        <v>215</v>
      </c>
      <c r="G4556" s="1" t="s">
        <v>215</v>
      </c>
      <c r="H4556" s="1" t="s">
        <v>1396</v>
      </c>
      <c r="I4556">
        <v>2010</v>
      </c>
      <c r="J4556" s="93">
        <v>531.07000000000005</v>
      </c>
      <c r="K4556">
        <v>12</v>
      </c>
      <c r="L4556" s="1"/>
      <c r="M4556">
        <v>0</v>
      </c>
      <c r="N4556">
        <v>1747</v>
      </c>
      <c r="O4556">
        <v>0.30397200000000002</v>
      </c>
      <c r="P4556">
        <v>3</v>
      </c>
      <c r="Q4556" s="1" t="s">
        <v>560</v>
      </c>
      <c r="R4556" s="93">
        <v>531.07000000000005</v>
      </c>
      <c r="S4556">
        <v>424.85</v>
      </c>
      <c r="T4556">
        <v>0</v>
      </c>
      <c r="U4556" s="1" t="s">
        <v>736</v>
      </c>
      <c r="V4556" s="1"/>
      <c r="W4556">
        <v>531.07351000000006</v>
      </c>
      <c r="X4556">
        <v>0</v>
      </c>
      <c r="Y4556">
        <v>57410</v>
      </c>
    </row>
    <row r="4557" spans="1:25" ht="15" hidden="1" customHeight="1" x14ac:dyDescent="0.25">
      <c r="A4557" s="1" t="s">
        <v>40</v>
      </c>
      <c r="B4557" s="1" t="s">
        <v>88</v>
      </c>
      <c r="C4557" s="1" t="s">
        <v>215</v>
      </c>
      <c r="D4557">
        <v>5429</v>
      </c>
      <c r="E4557" s="1"/>
      <c r="F4557" s="1" t="s">
        <v>215</v>
      </c>
      <c r="G4557" s="1" t="s">
        <v>215</v>
      </c>
      <c r="H4557" s="1" t="s">
        <v>1396</v>
      </c>
      <c r="I4557">
        <v>2009</v>
      </c>
      <c r="J4557" s="93">
        <v>359.24</v>
      </c>
      <c r="K4557">
        <v>12</v>
      </c>
      <c r="L4557" s="1"/>
      <c r="M4557">
        <v>0</v>
      </c>
      <c r="N4557">
        <v>1747</v>
      </c>
      <c r="O4557">
        <v>0.20562</v>
      </c>
      <c r="P4557">
        <v>3</v>
      </c>
      <c r="Q4557" s="1" t="s">
        <v>560</v>
      </c>
      <c r="R4557" s="93">
        <v>359.24</v>
      </c>
      <c r="S4557">
        <v>287.43</v>
      </c>
      <c r="T4557">
        <v>0</v>
      </c>
      <c r="U4557" s="1" t="s">
        <v>736</v>
      </c>
      <c r="V4557" s="1"/>
      <c r="W4557">
        <v>359.274</v>
      </c>
      <c r="X4557">
        <v>0</v>
      </c>
      <c r="Y4557">
        <v>57410</v>
      </c>
    </row>
    <row r="4558" spans="1:25" ht="15" hidden="1" customHeight="1" x14ac:dyDescent="0.25">
      <c r="A4558" s="1" t="s">
        <v>40</v>
      </c>
      <c r="B4558" s="1" t="s">
        <v>88</v>
      </c>
      <c r="C4558" s="1" t="s">
        <v>215</v>
      </c>
      <c r="D4558">
        <v>5429</v>
      </c>
      <c r="E4558" s="1"/>
      <c r="F4558" s="1" t="s">
        <v>215</v>
      </c>
      <c r="G4558" s="1" t="s">
        <v>215</v>
      </c>
      <c r="H4558" s="1" t="s">
        <v>1396</v>
      </c>
      <c r="I4558">
        <v>2008</v>
      </c>
      <c r="J4558" s="93">
        <v>406.32</v>
      </c>
      <c r="K4558">
        <v>12</v>
      </c>
      <c r="L4558" s="1"/>
      <c r="M4558">
        <v>0</v>
      </c>
      <c r="N4558">
        <v>1747</v>
      </c>
      <c r="O4558">
        <v>0.232568</v>
      </c>
      <c r="P4558">
        <v>3</v>
      </c>
      <c r="Q4558" s="1" t="s">
        <v>560</v>
      </c>
      <c r="R4558" s="93">
        <v>406.32</v>
      </c>
      <c r="S4558">
        <v>325.06</v>
      </c>
      <c r="T4558">
        <v>0</v>
      </c>
      <c r="U4558" s="1" t="s">
        <v>736</v>
      </c>
      <c r="V4558" s="1"/>
      <c r="W4558">
        <v>406.31900000000002</v>
      </c>
      <c r="X4558">
        <v>0</v>
      </c>
      <c r="Y4558">
        <v>57410</v>
      </c>
    </row>
    <row r="4559" spans="1:25" ht="15" hidden="1" customHeight="1" x14ac:dyDescent="0.25">
      <c r="A4559" s="1" t="s">
        <v>40</v>
      </c>
      <c r="B4559" s="1" t="s">
        <v>89</v>
      </c>
      <c r="C4559" s="1" t="s">
        <v>216</v>
      </c>
      <c r="D4559">
        <v>5265</v>
      </c>
      <c r="E4559" s="1"/>
      <c r="F4559" s="1" t="s">
        <v>216</v>
      </c>
      <c r="G4559" s="1" t="s">
        <v>216</v>
      </c>
      <c r="H4559" s="1" t="s">
        <v>1396</v>
      </c>
      <c r="I4559">
        <v>2015</v>
      </c>
      <c r="J4559" s="93">
        <v>52.13</v>
      </c>
      <c r="K4559">
        <v>5</v>
      </c>
      <c r="L4559" s="1" t="s">
        <v>404</v>
      </c>
      <c r="M4559">
        <v>0</v>
      </c>
      <c r="N4559">
        <v>585</v>
      </c>
      <c r="O4559">
        <v>8.9094999999999994E-2</v>
      </c>
      <c r="P4559">
        <v>3</v>
      </c>
      <c r="Q4559" s="1" t="s">
        <v>560</v>
      </c>
      <c r="R4559" s="93">
        <v>52.13</v>
      </c>
      <c r="S4559">
        <v>41.71</v>
      </c>
      <c r="T4559">
        <v>0</v>
      </c>
      <c r="U4559" s="1" t="s">
        <v>737</v>
      </c>
      <c r="V4559" s="1"/>
      <c r="W4559">
        <v>52.137999999999998</v>
      </c>
      <c r="X4559">
        <v>0</v>
      </c>
      <c r="Y4559">
        <v>56775</v>
      </c>
    </row>
    <row r="4560" spans="1:25" ht="15" hidden="1" customHeight="1" x14ac:dyDescent="0.25">
      <c r="A4560" s="1" t="s">
        <v>40</v>
      </c>
      <c r="B4560" s="1" t="s">
        <v>89</v>
      </c>
      <c r="C4560" s="1" t="s">
        <v>216</v>
      </c>
      <c r="D4560">
        <v>5265</v>
      </c>
      <c r="E4560" s="1"/>
      <c r="F4560" s="1" t="s">
        <v>216</v>
      </c>
      <c r="G4560" s="1" t="s">
        <v>216</v>
      </c>
      <c r="H4560" s="1" t="s">
        <v>1396</v>
      </c>
      <c r="I4560">
        <v>2013</v>
      </c>
      <c r="J4560" s="93">
        <v>136.71</v>
      </c>
      <c r="K4560">
        <v>12</v>
      </c>
      <c r="L4560" s="1" t="s">
        <v>404</v>
      </c>
      <c r="M4560">
        <v>0</v>
      </c>
      <c r="N4560">
        <v>585</v>
      </c>
      <c r="O4560">
        <v>0.233652</v>
      </c>
      <c r="P4560">
        <v>3</v>
      </c>
      <c r="Q4560" s="1" t="s">
        <v>560</v>
      </c>
      <c r="R4560" s="93">
        <v>136.71</v>
      </c>
      <c r="S4560">
        <v>109.38</v>
      </c>
      <c r="T4560">
        <v>0</v>
      </c>
      <c r="U4560" s="1" t="s">
        <v>737</v>
      </c>
      <c r="V4560" s="1"/>
      <c r="W4560">
        <v>136.715</v>
      </c>
      <c r="X4560">
        <v>0</v>
      </c>
      <c r="Y4560">
        <v>56775</v>
      </c>
    </row>
    <row r="4561" spans="1:25" ht="15" hidden="1" customHeight="1" x14ac:dyDescent="0.25">
      <c r="A4561" s="1" t="s">
        <v>40</v>
      </c>
      <c r="B4561" s="1" t="s">
        <v>89</v>
      </c>
      <c r="C4561" s="1" t="s">
        <v>216</v>
      </c>
      <c r="D4561">
        <v>5265</v>
      </c>
      <c r="E4561" s="1"/>
      <c r="F4561" s="1" t="s">
        <v>216</v>
      </c>
      <c r="G4561" s="1" t="s">
        <v>216</v>
      </c>
      <c r="H4561" s="1" t="s">
        <v>1396</v>
      </c>
      <c r="I4561">
        <v>2012</v>
      </c>
      <c r="J4561" s="93">
        <v>129.1</v>
      </c>
      <c r="K4561">
        <v>12</v>
      </c>
      <c r="L4561" s="1" t="s">
        <v>404</v>
      </c>
      <c r="M4561">
        <v>0</v>
      </c>
      <c r="N4561">
        <v>585</v>
      </c>
      <c r="O4561">
        <v>0.22064600000000001</v>
      </c>
      <c r="P4561">
        <v>3</v>
      </c>
      <c r="Q4561" s="1" t="s">
        <v>560</v>
      </c>
      <c r="R4561" s="93">
        <v>129.1</v>
      </c>
      <c r="S4561">
        <v>103.28</v>
      </c>
      <c r="T4561">
        <v>0</v>
      </c>
      <c r="U4561" s="1" t="s">
        <v>737</v>
      </c>
      <c r="V4561" s="1"/>
      <c r="W4561">
        <v>129.101</v>
      </c>
      <c r="X4561">
        <v>0</v>
      </c>
      <c r="Y4561">
        <v>56775</v>
      </c>
    </row>
    <row r="4562" spans="1:25" ht="15" hidden="1" customHeight="1" x14ac:dyDescent="0.25">
      <c r="A4562" s="1" t="s">
        <v>40</v>
      </c>
      <c r="B4562" s="1" t="s">
        <v>89</v>
      </c>
      <c r="C4562" s="1" t="s">
        <v>216</v>
      </c>
      <c r="D4562">
        <v>5265</v>
      </c>
      <c r="E4562" s="1"/>
      <c r="F4562" s="1" t="s">
        <v>216</v>
      </c>
      <c r="G4562" s="1" t="s">
        <v>216</v>
      </c>
      <c r="H4562" s="1" t="s">
        <v>1396</v>
      </c>
      <c r="I4562">
        <v>2011</v>
      </c>
      <c r="J4562" s="93">
        <v>151.59</v>
      </c>
      <c r="K4562">
        <v>12</v>
      </c>
      <c r="L4562" s="1" t="s">
        <v>404</v>
      </c>
      <c r="M4562">
        <v>0</v>
      </c>
      <c r="N4562">
        <v>585</v>
      </c>
      <c r="O4562">
        <v>0.25908300000000001</v>
      </c>
      <c r="P4562">
        <v>3</v>
      </c>
      <c r="Q4562" s="1" t="s">
        <v>560</v>
      </c>
      <c r="R4562" s="93">
        <v>151.59</v>
      </c>
      <c r="S4562">
        <v>121.28</v>
      </c>
      <c r="T4562">
        <v>0</v>
      </c>
      <c r="U4562" s="1" t="s">
        <v>737</v>
      </c>
      <c r="V4562" s="1"/>
      <c r="W4562">
        <v>151.59</v>
      </c>
      <c r="X4562">
        <v>0</v>
      </c>
      <c r="Y4562">
        <v>56775</v>
      </c>
    </row>
    <row r="4563" spans="1:25" ht="15" hidden="1" customHeight="1" x14ac:dyDescent="0.25">
      <c r="A4563" s="1" t="s">
        <v>40</v>
      </c>
      <c r="B4563" s="1" t="s">
        <v>89</v>
      </c>
      <c r="C4563" s="1" t="s">
        <v>216</v>
      </c>
      <c r="D4563">
        <v>5265</v>
      </c>
      <c r="E4563" s="1"/>
      <c r="F4563" s="1" t="s">
        <v>216</v>
      </c>
      <c r="G4563" s="1" t="s">
        <v>216</v>
      </c>
      <c r="H4563" s="1" t="s">
        <v>1396</v>
      </c>
      <c r="I4563">
        <v>2010</v>
      </c>
      <c r="J4563" s="93">
        <v>162.44</v>
      </c>
      <c r="K4563">
        <v>12</v>
      </c>
      <c r="L4563" s="1" t="s">
        <v>404</v>
      </c>
      <c r="M4563">
        <v>0</v>
      </c>
      <c r="N4563">
        <v>585</v>
      </c>
      <c r="O4563">
        <v>0.27762700000000001</v>
      </c>
      <c r="P4563">
        <v>3</v>
      </c>
      <c r="Q4563" s="1" t="s">
        <v>560</v>
      </c>
      <c r="R4563" s="93">
        <v>162.44</v>
      </c>
      <c r="S4563">
        <v>129.96</v>
      </c>
      <c r="T4563">
        <v>0</v>
      </c>
      <c r="U4563" s="1" t="s">
        <v>737</v>
      </c>
      <c r="V4563" s="1"/>
      <c r="W4563">
        <v>162.44999999999999</v>
      </c>
      <c r="X4563">
        <v>0</v>
      </c>
      <c r="Y4563">
        <v>56775</v>
      </c>
    </row>
    <row r="4564" spans="1:25" ht="15" hidden="1" customHeight="1" x14ac:dyDescent="0.25">
      <c r="A4564" s="1" t="s">
        <v>40</v>
      </c>
      <c r="B4564" s="1" t="s">
        <v>89</v>
      </c>
      <c r="C4564" s="1" t="s">
        <v>216</v>
      </c>
      <c r="D4564">
        <v>5265</v>
      </c>
      <c r="E4564" s="1"/>
      <c r="F4564" s="1" t="s">
        <v>216</v>
      </c>
      <c r="G4564" s="1" t="s">
        <v>216</v>
      </c>
      <c r="H4564" s="1" t="s">
        <v>1396</v>
      </c>
      <c r="I4564">
        <v>2009</v>
      </c>
      <c r="J4564" s="93">
        <v>150.57</v>
      </c>
      <c r="K4564">
        <v>12</v>
      </c>
      <c r="L4564" s="1" t="s">
        <v>404</v>
      </c>
      <c r="M4564">
        <v>0</v>
      </c>
      <c r="N4564">
        <v>585</v>
      </c>
      <c r="O4564">
        <v>0.25734000000000001</v>
      </c>
      <c r="P4564">
        <v>3</v>
      </c>
      <c r="Q4564" s="1" t="s">
        <v>560</v>
      </c>
      <c r="R4564" s="93">
        <v>150.57</v>
      </c>
      <c r="S4564">
        <v>120.48</v>
      </c>
      <c r="T4564">
        <v>0</v>
      </c>
      <c r="U4564" s="1" t="s">
        <v>737</v>
      </c>
      <c r="V4564" s="1"/>
      <c r="W4564">
        <v>150.58199999999999</v>
      </c>
      <c r="X4564">
        <v>0</v>
      </c>
      <c r="Y4564">
        <v>56775</v>
      </c>
    </row>
    <row r="4565" spans="1:25" ht="15" hidden="1" customHeight="1" x14ac:dyDescent="0.25">
      <c r="A4565" s="1" t="s">
        <v>40</v>
      </c>
      <c r="B4565" s="1" t="s">
        <v>89</v>
      </c>
      <c r="C4565" s="1" t="s">
        <v>216</v>
      </c>
      <c r="D4565">
        <v>5265</v>
      </c>
      <c r="E4565" s="1"/>
      <c r="F4565" s="1" t="s">
        <v>216</v>
      </c>
      <c r="G4565" s="1" t="s">
        <v>216</v>
      </c>
      <c r="H4565" s="1" t="s">
        <v>1396</v>
      </c>
      <c r="I4565">
        <v>2008</v>
      </c>
      <c r="J4565" s="93">
        <v>170.8</v>
      </c>
      <c r="K4565">
        <v>12</v>
      </c>
      <c r="L4565" s="1" t="s">
        <v>404</v>
      </c>
      <c r="M4565">
        <v>0</v>
      </c>
      <c r="N4565">
        <v>585</v>
      </c>
      <c r="O4565">
        <v>0.29191499999999998</v>
      </c>
      <c r="P4565">
        <v>3</v>
      </c>
      <c r="Q4565" s="1" t="s">
        <v>560</v>
      </c>
      <c r="R4565" s="93">
        <v>170.8</v>
      </c>
      <c r="S4565">
        <v>136.65</v>
      </c>
      <c r="T4565">
        <v>0</v>
      </c>
      <c r="U4565" s="1" t="s">
        <v>737</v>
      </c>
      <c r="V4565" s="1"/>
      <c r="W4565">
        <v>170.797</v>
      </c>
      <c r="X4565">
        <v>0</v>
      </c>
      <c r="Y4565">
        <v>56775</v>
      </c>
    </row>
    <row r="4566" spans="1:25" ht="15" hidden="1" customHeight="1" x14ac:dyDescent="0.25">
      <c r="A4566" s="1" t="s">
        <v>40</v>
      </c>
      <c r="B4566" s="1" t="s">
        <v>90</v>
      </c>
      <c r="C4566" s="1" t="s">
        <v>217</v>
      </c>
      <c r="D4566">
        <v>5266</v>
      </c>
      <c r="E4566" s="1"/>
      <c r="F4566" s="1" t="s">
        <v>217</v>
      </c>
      <c r="G4566" s="1" t="s">
        <v>217</v>
      </c>
      <c r="H4566" s="1" t="s">
        <v>1396</v>
      </c>
      <c r="I4566">
        <v>2015</v>
      </c>
      <c r="J4566" s="93">
        <v>65.23</v>
      </c>
      <c r="K4566">
        <v>5</v>
      </c>
      <c r="L4566" s="1" t="s">
        <v>404</v>
      </c>
      <c r="M4566">
        <v>0</v>
      </c>
      <c r="N4566">
        <v>585</v>
      </c>
      <c r="O4566">
        <v>0.111485</v>
      </c>
      <c r="P4566">
        <v>3</v>
      </c>
      <c r="Q4566" s="1" t="s">
        <v>560</v>
      </c>
      <c r="R4566" s="93">
        <v>65.23</v>
      </c>
      <c r="S4566">
        <v>52.18</v>
      </c>
      <c r="T4566">
        <v>0</v>
      </c>
      <c r="U4566" s="1" t="s">
        <v>738</v>
      </c>
      <c r="V4566" s="1"/>
      <c r="W4566">
        <v>65.224000000000004</v>
      </c>
      <c r="X4566">
        <v>0</v>
      </c>
      <c r="Y4566">
        <v>56781</v>
      </c>
    </row>
    <row r="4567" spans="1:25" ht="15" hidden="1" customHeight="1" x14ac:dyDescent="0.25">
      <c r="A4567" s="1" t="s">
        <v>40</v>
      </c>
      <c r="B4567" s="1" t="s">
        <v>90</v>
      </c>
      <c r="C4567" s="1" t="s">
        <v>217</v>
      </c>
      <c r="D4567">
        <v>5266</v>
      </c>
      <c r="E4567" s="1"/>
      <c r="F4567" s="1" t="s">
        <v>217</v>
      </c>
      <c r="G4567" s="1" t="s">
        <v>217</v>
      </c>
      <c r="H4567" s="1" t="s">
        <v>1396</v>
      </c>
      <c r="I4567">
        <v>2013</v>
      </c>
      <c r="J4567" s="93">
        <v>184.54</v>
      </c>
      <c r="K4567">
        <v>12</v>
      </c>
      <c r="L4567" s="1" t="s">
        <v>404</v>
      </c>
      <c r="M4567">
        <v>0</v>
      </c>
      <c r="N4567">
        <v>585</v>
      </c>
      <c r="O4567">
        <v>0.31539899999999998</v>
      </c>
      <c r="P4567">
        <v>3</v>
      </c>
      <c r="Q4567" s="1" t="s">
        <v>560</v>
      </c>
      <c r="R4567" s="93">
        <v>184.54</v>
      </c>
      <c r="S4567">
        <v>147.62</v>
      </c>
      <c r="T4567">
        <v>0</v>
      </c>
      <c r="U4567" s="1" t="s">
        <v>738</v>
      </c>
      <c r="V4567" s="1"/>
      <c r="W4567">
        <v>184.541</v>
      </c>
      <c r="X4567">
        <v>0</v>
      </c>
      <c r="Y4567">
        <v>56781</v>
      </c>
    </row>
    <row r="4568" spans="1:25" ht="15" hidden="1" customHeight="1" x14ac:dyDescent="0.25">
      <c r="A4568" s="1" t="s">
        <v>40</v>
      </c>
      <c r="B4568" s="1" t="s">
        <v>90</v>
      </c>
      <c r="C4568" s="1" t="s">
        <v>217</v>
      </c>
      <c r="D4568">
        <v>5266</v>
      </c>
      <c r="E4568" s="1"/>
      <c r="F4568" s="1" t="s">
        <v>217</v>
      </c>
      <c r="G4568" s="1" t="s">
        <v>217</v>
      </c>
      <c r="H4568" s="1" t="s">
        <v>1396</v>
      </c>
      <c r="I4568">
        <v>2012</v>
      </c>
      <c r="J4568" s="93">
        <v>172.84</v>
      </c>
      <c r="K4568">
        <v>12</v>
      </c>
      <c r="L4568" s="1" t="s">
        <v>404</v>
      </c>
      <c r="M4568">
        <v>0</v>
      </c>
      <c r="N4568">
        <v>585</v>
      </c>
      <c r="O4568">
        <v>0.295402</v>
      </c>
      <c r="P4568">
        <v>3</v>
      </c>
      <c r="Q4568" s="1" t="s">
        <v>560</v>
      </c>
      <c r="R4568" s="93">
        <v>172.84</v>
      </c>
      <c r="S4568">
        <v>138.26</v>
      </c>
      <c r="T4568">
        <v>0</v>
      </c>
      <c r="U4568" s="1" t="s">
        <v>738</v>
      </c>
      <c r="V4568" s="1"/>
      <c r="W4568">
        <v>172.82400000000001</v>
      </c>
      <c r="X4568">
        <v>0</v>
      </c>
      <c r="Y4568">
        <v>56781</v>
      </c>
    </row>
    <row r="4569" spans="1:25" ht="15" hidden="1" customHeight="1" x14ac:dyDescent="0.25">
      <c r="A4569" s="1" t="s">
        <v>40</v>
      </c>
      <c r="B4569" s="1" t="s">
        <v>90</v>
      </c>
      <c r="C4569" s="1" t="s">
        <v>217</v>
      </c>
      <c r="D4569">
        <v>5266</v>
      </c>
      <c r="E4569" s="1"/>
      <c r="F4569" s="1" t="s">
        <v>217</v>
      </c>
      <c r="G4569" s="1" t="s">
        <v>217</v>
      </c>
      <c r="H4569" s="1" t="s">
        <v>1396</v>
      </c>
      <c r="I4569">
        <v>2011</v>
      </c>
      <c r="J4569" s="93">
        <v>176.38</v>
      </c>
      <c r="K4569">
        <v>12</v>
      </c>
      <c r="L4569" s="1" t="s">
        <v>404</v>
      </c>
      <c r="M4569">
        <v>0</v>
      </c>
      <c r="N4569">
        <v>585</v>
      </c>
      <c r="O4569">
        <v>0.301452</v>
      </c>
      <c r="P4569">
        <v>3</v>
      </c>
      <c r="Q4569" s="1" t="s">
        <v>560</v>
      </c>
      <c r="R4569" s="93">
        <v>176.38</v>
      </c>
      <c r="S4569">
        <v>141.09</v>
      </c>
      <c r="T4569">
        <v>0</v>
      </c>
      <c r="U4569" s="1" t="s">
        <v>738</v>
      </c>
      <c r="V4569" s="1"/>
      <c r="W4569">
        <v>176.369</v>
      </c>
      <c r="X4569">
        <v>0</v>
      </c>
      <c r="Y4569">
        <v>56781</v>
      </c>
    </row>
    <row r="4570" spans="1:25" ht="15" hidden="1" customHeight="1" x14ac:dyDescent="0.25">
      <c r="A4570" s="1" t="s">
        <v>40</v>
      </c>
      <c r="B4570" s="1" t="s">
        <v>90</v>
      </c>
      <c r="C4570" s="1" t="s">
        <v>217</v>
      </c>
      <c r="D4570">
        <v>5266</v>
      </c>
      <c r="E4570" s="1"/>
      <c r="F4570" s="1" t="s">
        <v>217</v>
      </c>
      <c r="G4570" s="1" t="s">
        <v>217</v>
      </c>
      <c r="H4570" s="1" t="s">
        <v>1396</v>
      </c>
      <c r="I4570">
        <v>2010</v>
      </c>
      <c r="J4570" s="93">
        <v>212.72</v>
      </c>
      <c r="K4570">
        <v>12</v>
      </c>
      <c r="L4570" s="1" t="s">
        <v>404</v>
      </c>
      <c r="M4570">
        <v>0</v>
      </c>
      <c r="N4570">
        <v>585</v>
      </c>
      <c r="O4570">
        <v>0.36356100000000002</v>
      </c>
      <c r="P4570">
        <v>3</v>
      </c>
      <c r="Q4570" s="1" t="s">
        <v>560</v>
      </c>
      <c r="R4570" s="93">
        <v>212.72</v>
      </c>
      <c r="S4570">
        <v>170.18</v>
      </c>
      <c r="T4570">
        <v>0</v>
      </c>
      <c r="U4570" s="1" t="s">
        <v>738</v>
      </c>
      <c r="V4570" s="1"/>
      <c r="W4570">
        <v>212.726</v>
      </c>
      <c r="X4570">
        <v>0</v>
      </c>
      <c r="Y4570">
        <v>56781</v>
      </c>
    </row>
    <row r="4571" spans="1:25" ht="15" hidden="1" customHeight="1" x14ac:dyDescent="0.25">
      <c r="A4571" s="1" t="s">
        <v>40</v>
      </c>
      <c r="B4571" s="1" t="s">
        <v>90</v>
      </c>
      <c r="C4571" s="1" t="s">
        <v>217</v>
      </c>
      <c r="D4571">
        <v>5266</v>
      </c>
      <c r="E4571" s="1"/>
      <c r="F4571" s="1" t="s">
        <v>217</v>
      </c>
      <c r="G4571" s="1" t="s">
        <v>217</v>
      </c>
      <c r="H4571" s="1" t="s">
        <v>1396</v>
      </c>
      <c r="I4571">
        <v>2009</v>
      </c>
      <c r="J4571" s="93">
        <v>234.8</v>
      </c>
      <c r="K4571">
        <v>12</v>
      </c>
      <c r="L4571" s="1" t="s">
        <v>404</v>
      </c>
      <c r="M4571">
        <v>0</v>
      </c>
      <c r="N4571">
        <v>585</v>
      </c>
      <c r="O4571">
        <v>0.40129799999999999</v>
      </c>
      <c r="P4571">
        <v>3</v>
      </c>
      <c r="Q4571" s="1" t="s">
        <v>560</v>
      </c>
      <c r="R4571" s="93">
        <v>234.8</v>
      </c>
      <c r="S4571">
        <v>187.86</v>
      </c>
      <c r="T4571">
        <v>0</v>
      </c>
      <c r="U4571" s="1" t="s">
        <v>738</v>
      </c>
      <c r="V4571" s="1"/>
      <c r="W4571">
        <v>234.80500000000001</v>
      </c>
      <c r="X4571">
        <v>0</v>
      </c>
      <c r="Y4571">
        <v>56781</v>
      </c>
    </row>
    <row r="4572" spans="1:25" ht="15" hidden="1" customHeight="1" x14ac:dyDescent="0.25">
      <c r="A4572" s="1" t="s">
        <v>40</v>
      </c>
      <c r="B4572" s="1"/>
      <c r="C4572" s="1" t="s">
        <v>228</v>
      </c>
      <c r="D4572">
        <v>13988</v>
      </c>
      <c r="E4572" s="1" t="s">
        <v>243</v>
      </c>
      <c r="F4572" s="1" t="s">
        <v>228</v>
      </c>
      <c r="G4572" s="1" t="s">
        <v>228</v>
      </c>
      <c r="H4572" s="1" t="s">
        <v>1396</v>
      </c>
      <c r="I4572">
        <v>2014</v>
      </c>
      <c r="J4572" s="93">
        <v>5495.49</v>
      </c>
      <c r="K4572">
        <v>2</v>
      </c>
      <c r="L4572" s="1" t="s">
        <v>502</v>
      </c>
      <c r="M4572">
        <v>0</v>
      </c>
      <c r="N4572">
        <v>0</v>
      </c>
      <c r="O4572">
        <v>54954.9</v>
      </c>
      <c r="P4572">
        <v>2</v>
      </c>
      <c r="Q4572" s="1" t="s">
        <v>569</v>
      </c>
      <c r="R4572" s="93">
        <v>5495.49</v>
      </c>
      <c r="S4572">
        <v>1648.63</v>
      </c>
      <c r="T4572">
        <v>0</v>
      </c>
      <c r="U4572" s="1" t="s">
        <v>1167</v>
      </c>
      <c r="V4572" s="1" t="s">
        <v>1359</v>
      </c>
      <c r="W4572">
        <v>5495.4843000000001</v>
      </c>
      <c r="X4572">
        <v>0</v>
      </c>
      <c r="Y4572">
        <v>92749</v>
      </c>
    </row>
    <row r="4573" spans="1:25" ht="15" hidden="1" customHeight="1" x14ac:dyDescent="0.25">
      <c r="A4573" s="1" t="s">
        <v>40</v>
      </c>
      <c r="B4573" s="1" t="s">
        <v>90</v>
      </c>
      <c r="C4573" s="1" t="s">
        <v>217</v>
      </c>
      <c r="D4573">
        <v>5266</v>
      </c>
      <c r="E4573" s="1"/>
      <c r="F4573" s="1" t="s">
        <v>217</v>
      </c>
      <c r="G4573" s="1" t="s">
        <v>217</v>
      </c>
      <c r="H4573" s="1" t="s">
        <v>1396</v>
      </c>
      <c r="I4573">
        <v>2008</v>
      </c>
      <c r="J4573" s="93">
        <v>211.86</v>
      </c>
      <c r="K4573">
        <v>12</v>
      </c>
      <c r="L4573" s="1" t="s">
        <v>404</v>
      </c>
      <c r="M4573">
        <v>0</v>
      </c>
      <c r="N4573">
        <v>585</v>
      </c>
      <c r="O4573">
        <v>0.362091</v>
      </c>
      <c r="P4573">
        <v>3</v>
      </c>
      <c r="Q4573" s="1" t="s">
        <v>560</v>
      </c>
      <c r="R4573" s="93">
        <v>211.86</v>
      </c>
      <c r="S4573">
        <v>169.49</v>
      </c>
      <c r="T4573">
        <v>0</v>
      </c>
      <c r="U4573" s="1" t="s">
        <v>738</v>
      </c>
      <c r="V4573" s="1"/>
      <c r="W4573">
        <v>211.86</v>
      </c>
      <c r="X4573">
        <v>0</v>
      </c>
      <c r="Y4573">
        <v>56781</v>
      </c>
    </row>
    <row r="4574" spans="1:25" ht="15" hidden="1" customHeight="1" x14ac:dyDescent="0.25">
      <c r="A4574" s="1" t="s">
        <v>40</v>
      </c>
      <c r="B4574" s="1" t="s">
        <v>91</v>
      </c>
      <c r="C4574" s="1" t="s">
        <v>219</v>
      </c>
      <c r="D4574">
        <v>13666</v>
      </c>
      <c r="E4574" s="1" t="s">
        <v>243</v>
      </c>
      <c r="F4574" s="1" t="s">
        <v>354</v>
      </c>
      <c r="G4574" s="1" t="s">
        <v>219</v>
      </c>
      <c r="H4574" s="1" t="s">
        <v>1396</v>
      </c>
      <c r="I4574">
        <v>2013</v>
      </c>
      <c r="J4574" s="93">
        <v>129.75</v>
      </c>
      <c r="K4574">
        <v>2</v>
      </c>
      <c r="L4574" s="1" t="s">
        <v>414</v>
      </c>
      <c r="M4574">
        <v>0</v>
      </c>
      <c r="N4574">
        <v>1155</v>
      </c>
      <c r="O4574">
        <v>0.112327</v>
      </c>
      <c r="P4574">
        <v>3</v>
      </c>
      <c r="Q4574" s="1" t="s">
        <v>560</v>
      </c>
      <c r="R4574" s="93">
        <v>129.75</v>
      </c>
      <c r="S4574">
        <v>103.83</v>
      </c>
      <c r="T4574">
        <v>0</v>
      </c>
      <c r="U4574" s="1" t="s">
        <v>740</v>
      </c>
      <c r="V4574" s="1"/>
      <c r="W4574">
        <v>129.76373000000001</v>
      </c>
      <c r="X4574">
        <v>0</v>
      </c>
      <c r="Y4574">
        <v>91260</v>
      </c>
    </row>
    <row r="4575" spans="1:25" ht="15" hidden="1" customHeight="1" x14ac:dyDescent="0.25">
      <c r="A4575" s="1" t="s">
        <v>40</v>
      </c>
      <c r="B4575" s="1" t="s">
        <v>91</v>
      </c>
      <c r="C4575" s="1" t="s">
        <v>219</v>
      </c>
      <c r="D4575">
        <v>13666</v>
      </c>
      <c r="E4575" s="1" t="s">
        <v>243</v>
      </c>
      <c r="F4575" s="1" t="s">
        <v>354</v>
      </c>
      <c r="G4575" s="1" t="s">
        <v>219</v>
      </c>
      <c r="H4575" s="1" t="s">
        <v>1396</v>
      </c>
      <c r="I4575">
        <v>2012</v>
      </c>
      <c r="J4575" s="93">
        <v>7.33</v>
      </c>
      <c r="K4575">
        <v>1</v>
      </c>
      <c r="L4575" s="1" t="s">
        <v>414</v>
      </c>
      <c r="M4575">
        <v>0</v>
      </c>
      <c r="N4575">
        <v>1155</v>
      </c>
      <c r="O4575">
        <v>6.3449999999999999E-3</v>
      </c>
      <c r="P4575">
        <v>3</v>
      </c>
      <c r="Q4575" s="1" t="s">
        <v>560</v>
      </c>
      <c r="R4575" s="93">
        <v>7.33</v>
      </c>
      <c r="S4575">
        <v>5.87</v>
      </c>
      <c r="T4575">
        <v>0</v>
      </c>
      <c r="U4575" s="1" t="s">
        <v>740</v>
      </c>
      <c r="V4575" s="1"/>
      <c r="W4575">
        <v>7.3333300000000001</v>
      </c>
      <c r="X4575">
        <v>0</v>
      </c>
      <c r="Y4575">
        <v>91260</v>
      </c>
    </row>
    <row r="4576" spans="1:25" ht="15" hidden="1" customHeight="1" x14ac:dyDescent="0.25">
      <c r="A4576" s="1" t="s">
        <v>40</v>
      </c>
      <c r="B4576" s="1" t="s">
        <v>92</v>
      </c>
      <c r="C4576" s="1" t="s">
        <v>220</v>
      </c>
      <c r="D4576">
        <v>13868</v>
      </c>
      <c r="E4576" s="1" t="s">
        <v>243</v>
      </c>
      <c r="F4576" s="1" t="s">
        <v>355</v>
      </c>
      <c r="G4576" s="1" t="s">
        <v>220</v>
      </c>
      <c r="H4576" s="1" t="s">
        <v>1396</v>
      </c>
      <c r="I4576">
        <v>2015</v>
      </c>
      <c r="J4576" s="93">
        <v>133.13</v>
      </c>
      <c r="K4576">
        <v>5</v>
      </c>
      <c r="L4576" s="1" t="s">
        <v>460</v>
      </c>
      <c r="M4576">
        <v>0</v>
      </c>
      <c r="N4576">
        <v>867</v>
      </c>
      <c r="O4576">
        <v>0.153534</v>
      </c>
      <c r="P4576">
        <v>3</v>
      </c>
      <c r="Q4576" s="1" t="s">
        <v>560</v>
      </c>
      <c r="R4576" s="93">
        <v>133.13</v>
      </c>
      <c r="S4576">
        <v>106.5</v>
      </c>
      <c r="T4576">
        <v>0</v>
      </c>
      <c r="U4576" s="1" t="s">
        <v>741</v>
      </c>
      <c r="V4576" s="1"/>
      <c r="W4576">
        <v>133.126</v>
      </c>
      <c r="X4576">
        <v>0</v>
      </c>
      <c r="Y4576">
        <v>92217</v>
      </c>
    </row>
    <row r="4577" spans="1:25" ht="15" hidden="1" customHeight="1" x14ac:dyDescent="0.25">
      <c r="A4577" s="1" t="s">
        <v>40</v>
      </c>
      <c r="B4577" s="1" t="s">
        <v>92</v>
      </c>
      <c r="C4577" s="1" t="s">
        <v>220</v>
      </c>
      <c r="D4577">
        <v>13868</v>
      </c>
      <c r="E4577" s="1" t="s">
        <v>243</v>
      </c>
      <c r="F4577" s="1" t="s">
        <v>355</v>
      </c>
      <c r="G4577" s="1" t="s">
        <v>220</v>
      </c>
      <c r="H4577" s="1" t="s">
        <v>1396</v>
      </c>
      <c r="I4577">
        <v>2013</v>
      </c>
      <c r="J4577" s="93">
        <v>311.85000000000002</v>
      </c>
      <c r="K4577">
        <v>4</v>
      </c>
      <c r="L4577" s="1" t="s">
        <v>460</v>
      </c>
      <c r="M4577">
        <v>0</v>
      </c>
      <c r="N4577">
        <v>867</v>
      </c>
      <c r="O4577">
        <v>0.35964699999999999</v>
      </c>
      <c r="P4577">
        <v>3</v>
      </c>
      <c r="Q4577" s="1" t="s">
        <v>560</v>
      </c>
      <c r="R4577" s="93">
        <v>311.85000000000002</v>
      </c>
      <c r="S4577">
        <v>249.47</v>
      </c>
      <c r="T4577">
        <v>0</v>
      </c>
      <c r="U4577" s="1" t="s">
        <v>741</v>
      </c>
      <c r="V4577" s="1"/>
      <c r="W4577">
        <v>311.84782999999999</v>
      </c>
      <c r="X4577">
        <v>0</v>
      </c>
      <c r="Y4577">
        <v>92217</v>
      </c>
    </row>
    <row r="4578" spans="1:25" ht="15" hidden="1" customHeight="1" x14ac:dyDescent="0.25">
      <c r="A4578" s="1" t="s">
        <v>40</v>
      </c>
      <c r="B4578" s="1" t="s">
        <v>93</v>
      </c>
      <c r="C4578" s="1" t="s">
        <v>221</v>
      </c>
      <c r="D4578">
        <v>6370</v>
      </c>
      <c r="E4578" s="1"/>
      <c r="F4578" s="1" t="s">
        <v>356</v>
      </c>
      <c r="G4578" s="1" t="s">
        <v>221</v>
      </c>
      <c r="H4578" s="1" t="s">
        <v>1396</v>
      </c>
      <c r="I4578">
        <v>2015</v>
      </c>
      <c r="J4578" s="93">
        <v>38.31</v>
      </c>
      <c r="K4578">
        <v>5</v>
      </c>
      <c r="L4578" s="1" t="s">
        <v>426</v>
      </c>
      <c r="M4578">
        <v>0</v>
      </c>
      <c r="N4578">
        <v>99</v>
      </c>
      <c r="O4578">
        <v>0.38657900000000001</v>
      </c>
      <c r="P4578">
        <v>3</v>
      </c>
      <c r="Q4578" s="1" t="s">
        <v>560</v>
      </c>
      <c r="R4578" s="93">
        <v>38.31</v>
      </c>
      <c r="S4578">
        <v>30.66</v>
      </c>
      <c r="T4578">
        <v>0</v>
      </c>
      <c r="U4578" s="1" t="s">
        <v>742</v>
      </c>
      <c r="V4578" s="1"/>
      <c r="W4578">
        <v>38.311</v>
      </c>
      <c r="X4578">
        <v>0</v>
      </c>
      <c r="Y4578">
        <v>62723</v>
      </c>
    </row>
    <row r="4579" spans="1:25" ht="15" hidden="1" customHeight="1" x14ac:dyDescent="0.25">
      <c r="A4579" s="1" t="s">
        <v>40</v>
      </c>
      <c r="B4579" s="1" t="s">
        <v>93</v>
      </c>
      <c r="C4579" s="1" t="s">
        <v>221</v>
      </c>
      <c r="D4579">
        <v>6370</v>
      </c>
      <c r="E4579" s="1"/>
      <c r="F4579" s="1" t="s">
        <v>356</v>
      </c>
      <c r="G4579" s="1" t="s">
        <v>221</v>
      </c>
      <c r="H4579" s="1" t="s">
        <v>1396</v>
      </c>
      <c r="I4579">
        <v>2013</v>
      </c>
      <c r="J4579" s="93">
        <v>95.31</v>
      </c>
      <c r="K4579">
        <v>12</v>
      </c>
      <c r="L4579" s="1" t="s">
        <v>426</v>
      </c>
      <c r="M4579">
        <v>0</v>
      </c>
      <c r="N4579">
        <v>99</v>
      </c>
      <c r="O4579">
        <v>0.96175500000000003</v>
      </c>
      <c r="P4579">
        <v>3</v>
      </c>
      <c r="Q4579" s="1" t="s">
        <v>560</v>
      </c>
      <c r="R4579" s="93">
        <v>95.31</v>
      </c>
      <c r="S4579">
        <v>76.25</v>
      </c>
      <c r="T4579">
        <v>0</v>
      </c>
      <c r="U4579" s="1" t="s">
        <v>742</v>
      </c>
      <c r="V4579" s="1"/>
      <c r="W4579">
        <v>95.311999999999998</v>
      </c>
      <c r="X4579">
        <v>0</v>
      </c>
      <c r="Y4579">
        <v>62723</v>
      </c>
    </row>
    <row r="4580" spans="1:25" ht="15" hidden="1" customHeight="1" x14ac:dyDescent="0.25">
      <c r="A4580" s="1" t="s">
        <v>40</v>
      </c>
      <c r="B4580" s="1" t="s">
        <v>93</v>
      </c>
      <c r="C4580" s="1" t="s">
        <v>221</v>
      </c>
      <c r="D4580">
        <v>6370</v>
      </c>
      <c r="E4580" s="1"/>
      <c r="F4580" s="1" t="s">
        <v>356</v>
      </c>
      <c r="G4580" s="1" t="s">
        <v>221</v>
      </c>
      <c r="H4580" s="1" t="s">
        <v>1396</v>
      </c>
      <c r="I4580">
        <v>2012</v>
      </c>
      <c r="J4580" s="93">
        <v>91.66</v>
      </c>
      <c r="K4580">
        <v>12</v>
      </c>
      <c r="L4580" s="1" t="s">
        <v>426</v>
      </c>
      <c r="M4580">
        <v>0</v>
      </c>
      <c r="N4580">
        <v>99</v>
      </c>
      <c r="O4580">
        <v>0.92492399999999997</v>
      </c>
      <c r="P4580">
        <v>3</v>
      </c>
      <c r="Q4580" s="1" t="s">
        <v>560</v>
      </c>
      <c r="R4580" s="93">
        <v>91.66</v>
      </c>
      <c r="S4580">
        <v>73.33</v>
      </c>
      <c r="T4580">
        <v>0</v>
      </c>
      <c r="U4580" s="1" t="s">
        <v>742</v>
      </c>
      <c r="V4580" s="1"/>
      <c r="W4580">
        <v>91.67</v>
      </c>
      <c r="X4580">
        <v>0</v>
      </c>
      <c r="Y4580">
        <v>62723</v>
      </c>
    </row>
    <row r="4581" spans="1:25" ht="15" hidden="1" customHeight="1" x14ac:dyDescent="0.25">
      <c r="A4581" s="1" t="s">
        <v>40</v>
      </c>
      <c r="B4581" s="1" t="s">
        <v>93</v>
      </c>
      <c r="C4581" s="1" t="s">
        <v>221</v>
      </c>
      <c r="D4581">
        <v>6370</v>
      </c>
      <c r="E4581" s="1"/>
      <c r="F4581" s="1" t="s">
        <v>356</v>
      </c>
      <c r="G4581" s="1" t="s">
        <v>221</v>
      </c>
      <c r="H4581" s="1" t="s">
        <v>1396</v>
      </c>
      <c r="I4581">
        <v>2011</v>
      </c>
      <c r="J4581" s="93">
        <v>76.14</v>
      </c>
      <c r="K4581">
        <v>6</v>
      </c>
      <c r="L4581" s="1" t="s">
        <v>426</v>
      </c>
      <c r="M4581">
        <v>0</v>
      </c>
      <c r="N4581">
        <v>99</v>
      </c>
      <c r="O4581">
        <v>0.76831400000000005</v>
      </c>
      <c r="P4581">
        <v>3</v>
      </c>
      <c r="Q4581" s="1" t="s">
        <v>560</v>
      </c>
      <c r="R4581" s="93">
        <v>76.14</v>
      </c>
      <c r="S4581">
        <v>60.93</v>
      </c>
      <c r="T4581">
        <v>0</v>
      </c>
      <c r="U4581" s="1" t="s">
        <v>742</v>
      </c>
      <c r="V4581" s="1"/>
      <c r="W4581">
        <v>76.15701</v>
      </c>
      <c r="X4581">
        <v>0</v>
      </c>
      <c r="Y4581">
        <v>62723</v>
      </c>
    </row>
    <row r="4582" spans="1:25" ht="15" hidden="1" customHeight="1" x14ac:dyDescent="0.25">
      <c r="A4582" s="1" t="s">
        <v>40</v>
      </c>
      <c r="B4582" s="1" t="s">
        <v>93</v>
      </c>
      <c r="C4582" s="1" t="s">
        <v>221</v>
      </c>
      <c r="D4582">
        <v>6370</v>
      </c>
      <c r="E4582" s="1"/>
      <c r="F4582" s="1" t="s">
        <v>356</v>
      </c>
      <c r="G4582" s="1" t="s">
        <v>221</v>
      </c>
      <c r="H4582" s="1" t="s">
        <v>1396</v>
      </c>
      <c r="I4582">
        <v>2010</v>
      </c>
      <c r="J4582" s="93">
        <v>67.91</v>
      </c>
      <c r="K4582">
        <v>5</v>
      </c>
      <c r="L4582" s="1" t="s">
        <v>426</v>
      </c>
      <c r="M4582">
        <v>0</v>
      </c>
      <c r="N4582">
        <v>99</v>
      </c>
      <c r="O4582">
        <v>0.68526699999999996</v>
      </c>
      <c r="P4582">
        <v>3</v>
      </c>
      <c r="Q4582" s="1" t="s">
        <v>560</v>
      </c>
      <c r="R4582" s="93">
        <v>67.91</v>
      </c>
      <c r="S4582">
        <v>54.35</v>
      </c>
      <c r="T4582">
        <v>0</v>
      </c>
      <c r="U4582" s="1" t="s">
        <v>742</v>
      </c>
      <c r="V4582" s="1"/>
      <c r="W4582">
        <v>67.935400000000001</v>
      </c>
      <c r="X4582">
        <v>0</v>
      </c>
      <c r="Y4582">
        <v>62723</v>
      </c>
    </row>
    <row r="4583" spans="1:25" ht="15" hidden="1" customHeight="1" x14ac:dyDescent="0.25">
      <c r="A4583" s="1" t="s">
        <v>40</v>
      </c>
      <c r="B4583" s="1" t="s">
        <v>93</v>
      </c>
      <c r="C4583" s="1" t="s">
        <v>221</v>
      </c>
      <c r="D4583">
        <v>6370</v>
      </c>
      <c r="E4583" s="1"/>
      <c r="F4583" s="1" t="s">
        <v>356</v>
      </c>
      <c r="G4583" s="1" t="s">
        <v>221</v>
      </c>
      <c r="H4583" s="1" t="s">
        <v>1396</v>
      </c>
      <c r="I4583">
        <v>2009</v>
      </c>
      <c r="J4583" s="93">
        <v>68.14</v>
      </c>
      <c r="K4583">
        <v>6</v>
      </c>
      <c r="L4583" s="1" t="s">
        <v>426</v>
      </c>
      <c r="M4583">
        <v>0</v>
      </c>
      <c r="N4583">
        <v>99</v>
      </c>
      <c r="O4583">
        <v>0.68758799999999998</v>
      </c>
      <c r="P4583">
        <v>3</v>
      </c>
      <c r="Q4583" s="1" t="s">
        <v>560</v>
      </c>
      <c r="R4583" s="93">
        <v>68.14</v>
      </c>
      <c r="S4583">
        <v>54.55</v>
      </c>
      <c r="T4583">
        <v>0</v>
      </c>
      <c r="U4583" s="1" t="s">
        <v>742</v>
      </c>
      <c r="V4583" s="1"/>
      <c r="W4583">
        <v>68.165940000000006</v>
      </c>
      <c r="X4583">
        <v>0</v>
      </c>
      <c r="Y4583">
        <v>62723</v>
      </c>
    </row>
    <row r="4584" spans="1:25" ht="15" hidden="1" customHeight="1" x14ac:dyDescent="0.25">
      <c r="A4584" s="1" t="s">
        <v>40</v>
      </c>
      <c r="B4584" s="1" t="s">
        <v>93</v>
      </c>
      <c r="C4584" s="1" t="s">
        <v>221</v>
      </c>
      <c r="D4584">
        <v>6370</v>
      </c>
      <c r="E4584" s="1"/>
      <c r="F4584" s="1" t="s">
        <v>356</v>
      </c>
      <c r="G4584" s="1" t="s">
        <v>221</v>
      </c>
      <c r="H4584" s="1" t="s">
        <v>1396</v>
      </c>
      <c r="I4584">
        <v>2008</v>
      </c>
      <c r="J4584" s="93">
        <v>77.319999999999993</v>
      </c>
      <c r="K4584">
        <v>5</v>
      </c>
      <c r="L4584" s="1" t="s">
        <v>426</v>
      </c>
      <c r="M4584">
        <v>0</v>
      </c>
      <c r="N4584">
        <v>99</v>
      </c>
      <c r="O4584">
        <v>0.78022100000000005</v>
      </c>
      <c r="P4584">
        <v>3</v>
      </c>
      <c r="Q4584" s="1" t="s">
        <v>560</v>
      </c>
      <c r="R4584" s="93">
        <v>77.319999999999993</v>
      </c>
      <c r="S4584">
        <v>61.85</v>
      </c>
      <c r="T4584">
        <v>0</v>
      </c>
      <c r="U4584" s="1" t="s">
        <v>742</v>
      </c>
      <c r="V4584" s="1"/>
      <c r="W4584">
        <v>77.31371</v>
      </c>
      <c r="X4584">
        <v>0</v>
      </c>
      <c r="Y4584">
        <v>62723</v>
      </c>
    </row>
    <row r="4585" spans="1:25" ht="15" hidden="1" customHeight="1" x14ac:dyDescent="0.25">
      <c r="A4585" s="1" t="s">
        <v>40</v>
      </c>
      <c r="B4585" s="1" t="s">
        <v>47</v>
      </c>
      <c r="C4585" s="1" t="s">
        <v>222</v>
      </c>
      <c r="D4585">
        <v>5953</v>
      </c>
      <c r="E4585" s="1"/>
      <c r="F4585" s="1" t="s">
        <v>357</v>
      </c>
      <c r="G4585" s="1" t="s">
        <v>222</v>
      </c>
      <c r="H4585" s="1" t="s">
        <v>1396</v>
      </c>
      <c r="I4585">
        <v>2015</v>
      </c>
      <c r="J4585" s="93">
        <v>36.630000000000003</v>
      </c>
      <c r="K4585">
        <v>5</v>
      </c>
      <c r="L4585" s="1" t="s">
        <v>399</v>
      </c>
      <c r="M4585">
        <v>0</v>
      </c>
      <c r="N4585">
        <v>272</v>
      </c>
      <c r="O4585">
        <v>0.13461899999999999</v>
      </c>
      <c r="P4585">
        <v>3</v>
      </c>
      <c r="Q4585" s="1" t="s">
        <v>560</v>
      </c>
      <c r="R4585" s="93">
        <v>36.630000000000003</v>
      </c>
      <c r="S4585">
        <v>29.29</v>
      </c>
      <c r="T4585">
        <v>0</v>
      </c>
      <c r="U4585" s="1" t="s">
        <v>743</v>
      </c>
      <c r="V4585" s="1"/>
      <c r="W4585">
        <v>36.617429999999999</v>
      </c>
      <c r="X4585">
        <v>0</v>
      </c>
      <c r="Y4585">
        <v>59979</v>
      </c>
    </row>
    <row r="4586" spans="1:25" ht="15" hidden="1" customHeight="1" x14ac:dyDescent="0.25">
      <c r="A4586" s="1" t="s">
        <v>40</v>
      </c>
      <c r="B4586" s="1" t="s">
        <v>47</v>
      </c>
      <c r="C4586" s="1" t="s">
        <v>222</v>
      </c>
      <c r="D4586">
        <v>5953</v>
      </c>
      <c r="E4586" s="1"/>
      <c r="F4586" s="1" t="s">
        <v>357</v>
      </c>
      <c r="G4586" s="1" t="s">
        <v>222</v>
      </c>
      <c r="H4586" s="1" t="s">
        <v>1396</v>
      </c>
      <c r="I4586">
        <v>2013</v>
      </c>
      <c r="J4586" s="93">
        <v>163.51</v>
      </c>
      <c r="K4586">
        <v>12</v>
      </c>
      <c r="L4586" s="1" t="s">
        <v>399</v>
      </c>
      <c r="M4586">
        <v>0</v>
      </c>
      <c r="N4586">
        <v>272</v>
      </c>
      <c r="O4586">
        <v>0.60091799999999995</v>
      </c>
      <c r="P4586">
        <v>3</v>
      </c>
      <c r="Q4586" s="1" t="s">
        <v>560</v>
      </c>
      <c r="R4586" s="93">
        <v>163.51</v>
      </c>
      <c r="S4586">
        <v>130.79</v>
      </c>
      <c r="T4586">
        <v>0</v>
      </c>
      <c r="U4586" s="1" t="s">
        <v>743</v>
      </c>
      <c r="V4586" s="1"/>
      <c r="W4586">
        <v>163.50334000000001</v>
      </c>
      <c r="X4586">
        <v>0</v>
      </c>
      <c r="Y4586">
        <v>59979</v>
      </c>
    </row>
    <row r="4587" spans="1:25" ht="15" hidden="1" customHeight="1" x14ac:dyDescent="0.25">
      <c r="A4587" s="1" t="s">
        <v>40</v>
      </c>
      <c r="B4587" s="1" t="s">
        <v>47</v>
      </c>
      <c r="C4587" s="1" t="s">
        <v>222</v>
      </c>
      <c r="D4587">
        <v>5953</v>
      </c>
      <c r="E4587" s="1"/>
      <c r="F4587" s="1" t="s">
        <v>357</v>
      </c>
      <c r="G4587" s="1" t="s">
        <v>222</v>
      </c>
      <c r="H4587" s="1" t="s">
        <v>1396</v>
      </c>
      <c r="I4587">
        <v>2012</v>
      </c>
      <c r="J4587" s="93">
        <v>174.01</v>
      </c>
      <c r="K4587">
        <v>12</v>
      </c>
      <c r="L4587" s="1" t="s">
        <v>399</v>
      </c>
      <c r="M4587">
        <v>0</v>
      </c>
      <c r="N4587">
        <v>272</v>
      </c>
      <c r="O4587">
        <v>0.63950700000000005</v>
      </c>
      <c r="P4587">
        <v>3</v>
      </c>
      <c r="Q4587" s="1" t="s">
        <v>560</v>
      </c>
      <c r="R4587" s="93">
        <v>174.01</v>
      </c>
      <c r="S4587">
        <v>139.21</v>
      </c>
      <c r="T4587">
        <v>0</v>
      </c>
      <c r="U4587" s="1" t="s">
        <v>743</v>
      </c>
      <c r="V4587" s="1"/>
      <c r="W4587">
        <v>174.00001</v>
      </c>
      <c r="X4587">
        <v>0</v>
      </c>
      <c r="Y4587">
        <v>59979</v>
      </c>
    </row>
    <row r="4588" spans="1:25" ht="15" hidden="1" customHeight="1" x14ac:dyDescent="0.25">
      <c r="A4588" s="1" t="s">
        <v>40</v>
      </c>
      <c r="B4588" s="1" t="s">
        <v>47</v>
      </c>
      <c r="C4588" s="1" t="s">
        <v>222</v>
      </c>
      <c r="D4588">
        <v>5953</v>
      </c>
      <c r="E4588" s="1"/>
      <c r="F4588" s="1" t="s">
        <v>357</v>
      </c>
      <c r="G4588" s="1" t="s">
        <v>222</v>
      </c>
      <c r="H4588" s="1" t="s">
        <v>1396</v>
      </c>
      <c r="I4588">
        <v>2011</v>
      </c>
      <c r="J4588" s="93">
        <v>264.43</v>
      </c>
      <c r="K4588">
        <v>10</v>
      </c>
      <c r="L4588" s="1" t="s">
        <v>399</v>
      </c>
      <c r="M4588">
        <v>0</v>
      </c>
      <c r="N4588">
        <v>272</v>
      </c>
      <c r="O4588">
        <v>0.97181099999999998</v>
      </c>
      <c r="P4588">
        <v>3</v>
      </c>
      <c r="Q4588" s="1" t="s">
        <v>560</v>
      </c>
      <c r="R4588" s="93">
        <v>264.43</v>
      </c>
      <c r="S4588">
        <v>211.55</v>
      </c>
      <c r="T4588">
        <v>0</v>
      </c>
      <c r="U4588" s="1" t="s">
        <v>743</v>
      </c>
      <c r="V4588" s="1"/>
      <c r="W4588">
        <v>264.43671999999998</v>
      </c>
      <c r="X4588">
        <v>0</v>
      </c>
      <c r="Y4588">
        <v>59979</v>
      </c>
    </row>
    <row r="4589" spans="1:25" ht="15" hidden="1" customHeight="1" x14ac:dyDescent="0.25">
      <c r="A4589" s="1" t="s">
        <v>40</v>
      </c>
      <c r="B4589" s="1" t="s">
        <v>47</v>
      </c>
      <c r="C4589" s="1" t="s">
        <v>222</v>
      </c>
      <c r="D4589">
        <v>5953</v>
      </c>
      <c r="E4589" s="1"/>
      <c r="F4589" s="1" t="s">
        <v>357</v>
      </c>
      <c r="G4589" s="1" t="s">
        <v>222</v>
      </c>
      <c r="H4589" s="1" t="s">
        <v>1396</v>
      </c>
      <c r="I4589">
        <v>2010</v>
      </c>
      <c r="J4589" s="93">
        <v>265.27999999999997</v>
      </c>
      <c r="K4589">
        <v>4</v>
      </c>
      <c r="L4589" s="1" t="s">
        <v>399</v>
      </c>
      <c r="M4589">
        <v>0</v>
      </c>
      <c r="N4589">
        <v>272</v>
      </c>
      <c r="O4589">
        <v>0.974935</v>
      </c>
      <c r="P4589">
        <v>3</v>
      </c>
      <c r="Q4589" s="1" t="s">
        <v>560</v>
      </c>
      <c r="R4589" s="93">
        <v>265.27999999999997</v>
      </c>
      <c r="S4589">
        <v>212.21</v>
      </c>
      <c r="T4589">
        <v>0</v>
      </c>
      <c r="U4589" s="1" t="s">
        <v>743</v>
      </c>
      <c r="V4589" s="1"/>
      <c r="W4589">
        <v>265.28377999999998</v>
      </c>
      <c r="X4589">
        <v>0</v>
      </c>
      <c r="Y4589">
        <v>59979</v>
      </c>
    </row>
    <row r="4590" spans="1:25" ht="15" hidden="1" customHeight="1" x14ac:dyDescent="0.25">
      <c r="A4590" s="1" t="s">
        <v>40</v>
      </c>
      <c r="B4590" s="1" t="s">
        <v>47</v>
      </c>
      <c r="C4590" s="1" t="s">
        <v>222</v>
      </c>
      <c r="D4590">
        <v>5953</v>
      </c>
      <c r="E4590" s="1"/>
      <c r="F4590" s="1" t="s">
        <v>357</v>
      </c>
      <c r="G4590" s="1" t="s">
        <v>222</v>
      </c>
      <c r="H4590" s="1" t="s">
        <v>1396</v>
      </c>
      <c r="I4590">
        <v>2009</v>
      </c>
      <c r="J4590" s="93">
        <v>152.11000000000001</v>
      </c>
      <c r="K4590">
        <v>1</v>
      </c>
      <c r="L4590" s="1" t="s">
        <v>399</v>
      </c>
      <c r="M4590">
        <v>0</v>
      </c>
      <c r="N4590">
        <v>272</v>
      </c>
      <c r="O4590">
        <v>0.55902200000000002</v>
      </c>
      <c r="P4590">
        <v>3</v>
      </c>
      <c r="Q4590" s="1" t="s">
        <v>560</v>
      </c>
      <c r="R4590" s="93">
        <v>152.11000000000001</v>
      </c>
      <c r="S4590">
        <v>121.66</v>
      </c>
      <c r="T4590">
        <v>0</v>
      </c>
      <c r="U4590" s="1" t="s">
        <v>743</v>
      </c>
      <c r="V4590" s="1"/>
      <c r="W4590">
        <v>152.08452</v>
      </c>
      <c r="X4590">
        <v>0</v>
      </c>
      <c r="Y4590">
        <v>59979</v>
      </c>
    </row>
    <row r="4591" spans="1:25" ht="15" hidden="1" customHeight="1" x14ac:dyDescent="0.25">
      <c r="A4591" s="1" t="s">
        <v>40</v>
      </c>
      <c r="B4591" s="1" t="s">
        <v>47</v>
      </c>
      <c r="C4591" s="1" t="s">
        <v>222</v>
      </c>
      <c r="D4591">
        <v>5953</v>
      </c>
      <c r="E4591" s="1"/>
      <c r="F4591" s="1" t="s">
        <v>357</v>
      </c>
      <c r="G4591" s="1" t="s">
        <v>222</v>
      </c>
      <c r="H4591" s="1" t="s">
        <v>1396</v>
      </c>
      <c r="I4591">
        <v>2008</v>
      </c>
      <c r="J4591" s="93">
        <v>126.72</v>
      </c>
      <c r="K4591">
        <v>3</v>
      </c>
      <c r="L4591" s="1" t="s">
        <v>399</v>
      </c>
      <c r="M4591">
        <v>0</v>
      </c>
      <c r="N4591">
        <v>272</v>
      </c>
      <c r="O4591">
        <v>0.46571099999999999</v>
      </c>
      <c r="P4591">
        <v>3</v>
      </c>
      <c r="Q4591" s="1" t="s">
        <v>560</v>
      </c>
      <c r="R4591" s="93">
        <v>126.72</v>
      </c>
      <c r="S4591">
        <v>101.34</v>
      </c>
      <c r="T4591">
        <v>0</v>
      </c>
      <c r="U4591" s="1" t="s">
        <v>743</v>
      </c>
      <c r="V4591" s="1"/>
      <c r="W4591">
        <v>126.71760999999999</v>
      </c>
      <c r="X4591">
        <v>0</v>
      </c>
      <c r="Y4591">
        <v>59979</v>
      </c>
    </row>
    <row r="4592" spans="1:25" ht="15" hidden="1" customHeight="1" x14ac:dyDescent="0.25">
      <c r="A4592" s="1" t="s">
        <v>40</v>
      </c>
      <c r="B4592" s="1"/>
      <c r="C4592" s="1" t="s">
        <v>223</v>
      </c>
      <c r="D4592">
        <v>13534</v>
      </c>
      <c r="E4592" s="1" t="s">
        <v>243</v>
      </c>
      <c r="F4592" s="1" t="s">
        <v>223</v>
      </c>
      <c r="G4592" s="1" t="s">
        <v>223</v>
      </c>
      <c r="H4592" s="1" t="s">
        <v>1396</v>
      </c>
      <c r="I4592">
        <v>2015</v>
      </c>
      <c r="J4592" s="93">
        <v>195.57</v>
      </c>
      <c r="K4592">
        <v>3</v>
      </c>
      <c r="L4592" s="1" t="s">
        <v>421</v>
      </c>
      <c r="M4592">
        <v>0</v>
      </c>
      <c r="N4592">
        <v>2088</v>
      </c>
      <c r="O4592">
        <v>9.3659000000000006E-2</v>
      </c>
      <c r="P4592">
        <v>3</v>
      </c>
      <c r="Q4592" s="1" t="s">
        <v>560</v>
      </c>
      <c r="R4592" s="93">
        <v>195.57</v>
      </c>
      <c r="S4592">
        <v>0</v>
      </c>
      <c r="T4592">
        <v>1</v>
      </c>
      <c r="U4592" s="1" t="s">
        <v>744</v>
      </c>
      <c r="V4592" s="1"/>
      <c r="W4592">
        <v>195.57144</v>
      </c>
      <c r="X4592">
        <v>0</v>
      </c>
      <c r="Y4592">
        <v>90572</v>
      </c>
    </row>
    <row r="4593" spans="1:25" ht="15" hidden="1" customHeight="1" x14ac:dyDescent="0.25">
      <c r="A4593" s="1" t="s">
        <v>40</v>
      </c>
      <c r="B4593" s="1"/>
      <c r="C4593" s="1" t="s">
        <v>223</v>
      </c>
      <c r="D4593">
        <v>13534</v>
      </c>
      <c r="E4593" s="1" t="s">
        <v>243</v>
      </c>
      <c r="F4593" s="1" t="s">
        <v>223</v>
      </c>
      <c r="G4593" s="1" t="s">
        <v>223</v>
      </c>
      <c r="H4593" s="1" t="s">
        <v>1396</v>
      </c>
      <c r="I4593">
        <v>2013</v>
      </c>
      <c r="J4593" s="93">
        <v>396.15</v>
      </c>
      <c r="K4593">
        <v>6</v>
      </c>
      <c r="L4593" s="1" t="s">
        <v>461</v>
      </c>
      <c r="M4593">
        <v>0</v>
      </c>
      <c r="N4593">
        <v>2088</v>
      </c>
      <c r="O4593">
        <v>0.189717</v>
      </c>
      <c r="P4593">
        <v>3</v>
      </c>
      <c r="Q4593" s="1" t="s">
        <v>561</v>
      </c>
      <c r="R4593" s="93">
        <v>396.15</v>
      </c>
      <c r="S4593">
        <v>0</v>
      </c>
      <c r="T4593">
        <v>1</v>
      </c>
      <c r="U4593" s="1" t="s">
        <v>745</v>
      </c>
      <c r="V4593" s="1"/>
      <c r="W4593">
        <v>396151.74047999998</v>
      </c>
      <c r="X4593">
        <v>0</v>
      </c>
      <c r="Y4593">
        <v>90570</v>
      </c>
    </row>
    <row r="4594" spans="1:25" ht="15" hidden="1" customHeight="1" x14ac:dyDescent="0.25">
      <c r="A4594" s="1" t="s">
        <v>40</v>
      </c>
      <c r="B4594" s="1"/>
      <c r="C4594" s="1" t="s">
        <v>223</v>
      </c>
      <c r="D4594">
        <v>13534</v>
      </c>
      <c r="E4594" s="1" t="s">
        <v>243</v>
      </c>
      <c r="F4594" s="1" t="s">
        <v>223</v>
      </c>
      <c r="G4594" s="1" t="s">
        <v>223</v>
      </c>
      <c r="H4594" s="1" t="s">
        <v>1396</v>
      </c>
      <c r="I4594">
        <v>2013</v>
      </c>
      <c r="J4594" s="93">
        <v>549.16</v>
      </c>
      <c r="K4594">
        <v>6</v>
      </c>
      <c r="L4594" s="1" t="s">
        <v>461</v>
      </c>
      <c r="M4594">
        <v>0</v>
      </c>
      <c r="N4594">
        <v>2088</v>
      </c>
      <c r="O4594">
        <v>0.26299499999999998</v>
      </c>
      <c r="P4594">
        <v>3</v>
      </c>
      <c r="Q4594" s="1" t="s">
        <v>561</v>
      </c>
      <c r="R4594" s="93">
        <v>549.16</v>
      </c>
      <c r="S4594">
        <v>0</v>
      </c>
      <c r="T4594">
        <v>1</v>
      </c>
      <c r="U4594" s="1" t="s">
        <v>746</v>
      </c>
      <c r="V4594" s="1"/>
      <c r="W4594">
        <v>549161.41304000001</v>
      </c>
      <c r="X4594">
        <v>0</v>
      </c>
      <c r="Y4594">
        <v>90571</v>
      </c>
    </row>
    <row r="4595" spans="1:25" ht="15" hidden="1" customHeight="1" x14ac:dyDescent="0.25">
      <c r="A4595" s="1" t="s">
        <v>40</v>
      </c>
      <c r="B4595" s="1"/>
      <c r="C4595" s="1" t="s">
        <v>223</v>
      </c>
      <c r="D4595">
        <v>13534</v>
      </c>
      <c r="E4595" s="1" t="s">
        <v>243</v>
      </c>
      <c r="F4595" s="1" t="s">
        <v>223</v>
      </c>
      <c r="G4595" s="1" t="s">
        <v>223</v>
      </c>
      <c r="H4595" s="1" t="s">
        <v>1396</v>
      </c>
      <c r="I4595">
        <v>2013</v>
      </c>
      <c r="J4595" s="93">
        <v>195.71</v>
      </c>
      <c r="K4595">
        <v>6</v>
      </c>
      <c r="L4595" s="1" t="s">
        <v>421</v>
      </c>
      <c r="M4595">
        <v>0</v>
      </c>
      <c r="N4595">
        <v>2088</v>
      </c>
      <c r="O4595">
        <v>9.3726000000000004E-2</v>
      </c>
      <c r="P4595">
        <v>3</v>
      </c>
      <c r="Q4595" s="1" t="s">
        <v>560</v>
      </c>
      <c r="R4595" s="93">
        <v>195.71</v>
      </c>
      <c r="S4595">
        <v>0</v>
      </c>
      <c r="T4595">
        <v>1</v>
      </c>
      <c r="U4595" s="1" t="s">
        <v>744</v>
      </c>
      <c r="V4595" s="1"/>
      <c r="W4595">
        <v>195.71983</v>
      </c>
      <c r="X4595">
        <v>0</v>
      </c>
      <c r="Y4595">
        <v>90572</v>
      </c>
    </row>
    <row r="4596" spans="1:25" ht="15" hidden="1" customHeight="1" x14ac:dyDescent="0.25">
      <c r="A4596" s="1" t="s">
        <v>40</v>
      </c>
      <c r="B4596" s="1"/>
      <c r="C4596" s="1" t="s">
        <v>223</v>
      </c>
      <c r="D4596">
        <v>13534</v>
      </c>
      <c r="E4596" s="1" t="s">
        <v>243</v>
      </c>
      <c r="F4596" s="1" t="s">
        <v>223</v>
      </c>
      <c r="G4596" s="1" t="s">
        <v>223</v>
      </c>
      <c r="H4596" s="1" t="s">
        <v>1396</v>
      </c>
      <c r="I4596">
        <v>2012</v>
      </c>
      <c r="J4596" s="93">
        <v>394.13</v>
      </c>
      <c r="K4596">
        <v>6</v>
      </c>
      <c r="L4596" s="1" t="s">
        <v>461</v>
      </c>
      <c r="M4596">
        <v>0</v>
      </c>
      <c r="N4596">
        <v>2088</v>
      </c>
      <c r="O4596">
        <v>0.18875</v>
      </c>
      <c r="P4596">
        <v>3</v>
      </c>
      <c r="Q4596" s="1" t="s">
        <v>561</v>
      </c>
      <c r="R4596" s="93">
        <v>394.13</v>
      </c>
      <c r="S4596">
        <v>0</v>
      </c>
      <c r="T4596">
        <v>1</v>
      </c>
      <c r="U4596" s="1" t="s">
        <v>745</v>
      </c>
      <c r="V4596" s="1"/>
      <c r="W4596">
        <v>394128.23285999999</v>
      </c>
      <c r="X4596">
        <v>0</v>
      </c>
      <c r="Y4596">
        <v>90570</v>
      </c>
    </row>
    <row r="4597" spans="1:25" ht="15" hidden="1" customHeight="1" x14ac:dyDescent="0.25">
      <c r="A4597" s="1" t="s">
        <v>40</v>
      </c>
      <c r="B4597" s="1"/>
      <c r="C4597" s="1" t="s">
        <v>223</v>
      </c>
      <c r="D4597">
        <v>13534</v>
      </c>
      <c r="E4597" s="1" t="s">
        <v>243</v>
      </c>
      <c r="F4597" s="1" t="s">
        <v>223</v>
      </c>
      <c r="G4597" s="1" t="s">
        <v>223</v>
      </c>
      <c r="H4597" s="1" t="s">
        <v>1396</v>
      </c>
      <c r="I4597">
        <v>2012</v>
      </c>
      <c r="J4597" s="93">
        <v>553.89</v>
      </c>
      <c r="K4597">
        <v>6</v>
      </c>
      <c r="L4597" s="1" t="s">
        <v>461</v>
      </c>
      <c r="M4597">
        <v>0</v>
      </c>
      <c r="N4597">
        <v>2088</v>
      </c>
      <c r="O4597">
        <v>0.26526</v>
      </c>
      <c r="P4597">
        <v>3</v>
      </c>
      <c r="Q4597" s="1" t="s">
        <v>561</v>
      </c>
      <c r="R4597" s="93">
        <v>553.89</v>
      </c>
      <c r="S4597">
        <v>0</v>
      </c>
      <c r="T4597">
        <v>1</v>
      </c>
      <c r="U4597" s="1" t="s">
        <v>746</v>
      </c>
      <c r="V4597" s="1"/>
      <c r="W4597">
        <v>553884.62902999995</v>
      </c>
      <c r="X4597">
        <v>0</v>
      </c>
      <c r="Y4597">
        <v>90571</v>
      </c>
    </row>
    <row r="4598" spans="1:25" ht="15" hidden="1" customHeight="1" x14ac:dyDescent="0.25">
      <c r="A4598" s="1" t="s">
        <v>40</v>
      </c>
      <c r="B4598" s="1"/>
      <c r="C4598" s="1" t="s">
        <v>223</v>
      </c>
      <c r="D4598">
        <v>13534</v>
      </c>
      <c r="E4598" s="1" t="s">
        <v>243</v>
      </c>
      <c r="F4598" s="1" t="s">
        <v>223</v>
      </c>
      <c r="G4598" s="1" t="s">
        <v>223</v>
      </c>
      <c r="H4598" s="1" t="s">
        <v>1396</v>
      </c>
      <c r="I4598">
        <v>2012</v>
      </c>
      <c r="J4598" s="93">
        <v>212.91</v>
      </c>
      <c r="K4598">
        <v>6</v>
      </c>
      <c r="L4598" s="1" t="s">
        <v>421</v>
      </c>
      <c r="M4598">
        <v>0</v>
      </c>
      <c r="N4598">
        <v>2088</v>
      </c>
      <c r="O4598">
        <v>0.101963</v>
      </c>
      <c r="P4598">
        <v>3</v>
      </c>
      <c r="Q4598" s="1" t="s">
        <v>560</v>
      </c>
      <c r="R4598" s="93">
        <v>212.91</v>
      </c>
      <c r="S4598">
        <v>0</v>
      </c>
      <c r="T4598">
        <v>1</v>
      </c>
      <c r="U4598" s="1" t="s">
        <v>744</v>
      </c>
      <c r="V4598" s="1"/>
      <c r="W4598">
        <v>212.92238</v>
      </c>
      <c r="X4598">
        <v>0</v>
      </c>
      <c r="Y4598">
        <v>90572</v>
      </c>
    </row>
    <row r="4599" spans="1:25" ht="15" hidden="1" customHeight="1" x14ac:dyDescent="0.25">
      <c r="A4599" s="1" t="s">
        <v>40</v>
      </c>
      <c r="B4599" s="1"/>
      <c r="C4599" s="1" t="s">
        <v>223</v>
      </c>
      <c r="D4599">
        <v>13534</v>
      </c>
      <c r="E4599" s="1" t="s">
        <v>243</v>
      </c>
      <c r="F4599" s="1" t="s">
        <v>223</v>
      </c>
      <c r="G4599" s="1" t="s">
        <v>223</v>
      </c>
      <c r="H4599" s="1" t="s">
        <v>1396</v>
      </c>
      <c r="I4599">
        <v>2011</v>
      </c>
      <c r="J4599" s="93">
        <v>424.1</v>
      </c>
      <c r="K4599">
        <v>2</v>
      </c>
      <c r="L4599" s="1" t="s">
        <v>461</v>
      </c>
      <c r="M4599">
        <v>0</v>
      </c>
      <c r="N4599">
        <v>2088</v>
      </c>
      <c r="O4599">
        <v>0.20310300000000001</v>
      </c>
      <c r="P4599">
        <v>3</v>
      </c>
      <c r="Q4599" s="1" t="s">
        <v>561</v>
      </c>
      <c r="R4599" s="93">
        <v>424.1</v>
      </c>
      <c r="S4599">
        <v>0</v>
      </c>
      <c r="T4599">
        <v>1</v>
      </c>
      <c r="U4599" s="1" t="s">
        <v>745</v>
      </c>
      <c r="V4599" s="1"/>
      <c r="W4599">
        <v>424078.91201999999</v>
      </c>
      <c r="X4599">
        <v>0</v>
      </c>
      <c r="Y4599">
        <v>90570</v>
      </c>
    </row>
    <row r="4600" spans="1:25" ht="15" hidden="1" customHeight="1" x14ac:dyDescent="0.25">
      <c r="A4600" s="1" t="s">
        <v>40</v>
      </c>
      <c r="B4600" s="1"/>
      <c r="C4600" s="1" t="s">
        <v>223</v>
      </c>
      <c r="D4600">
        <v>13534</v>
      </c>
      <c r="E4600" s="1" t="s">
        <v>243</v>
      </c>
      <c r="F4600" s="1" t="s">
        <v>223</v>
      </c>
      <c r="G4600" s="1" t="s">
        <v>223</v>
      </c>
      <c r="H4600" s="1" t="s">
        <v>1396</v>
      </c>
      <c r="I4600">
        <v>2011</v>
      </c>
      <c r="J4600" s="93">
        <v>541.42999999999995</v>
      </c>
      <c r="K4600">
        <v>2</v>
      </c>
      <c r="L4600" s="1" t="s">
        <v>461</v>
      </c>
      <c r="M4600">
        <v>0</v>
      </c>
      <c r="N4600">
        <v>2088</v>
      </c>
      <c r="O4600">
        <v>0.259293</v>
      </c>
      <c r="P4600">
        <v>3</v>
      </c>
      <c r="Q4600" s="1" t="s">
        <v>561</v>
      </c>
      <c r="R4600" s="93">
        <v>541.42999999999995</v>
      </c>
      <c r="S4600">
        <v>0</v>
      </c>
      <c r="T4600">
        <v>1</v>
      </c>
      <c r="U4600" s="1" t="s">
        <v>746</v>
      </c>
      <c r="V4600" s="1"/>
      <c r="W4600">
        <v>541451.14373000001</v>
      </c>
      <c r="X4600">
        <v>0</v>
      </c>
      <c r="Y4600">
        <v>90571</v>
      </c>
    </row>
    <row r="4601" spans="1:25" ht="15" hidden="1" customHeight="1" x14ac:dyDescent="0.25">
      <c r="A4601" s="1" t="s">
        <v>40</v>
      </c>
      <c r="B4601" s="1"/>
      <c r="C4601" s="1" t="s">
        <v>223</v>
      </c>
      <c r="D4601">
        <v>13534</v>
      </c>
      <c r="E4601" s="1" t="s">
        <v>243</v>
      </c>
      <c r="F4601" s="1" t="s">
        <v>223</v>
      </c>
      <c r="G4601" s="1" t="s">
        <v>223</v>
      </c>
      <c r="H4601" s="1" t="s">
        <v>1396</v>
      </c>
      <c r="I4601">
        <v>2011</v>
      </c>
      <c r="J4601" s="93">
        <v>193.3</v>
      </c>
      <c r="K4601">
        <v>2</v>
      </c>
      <c r="L4601" s="1" t="s">
        <v>421</v>
      </c>
      <c r="M4601">
        <v>0</v>
      </c>
      <c r="N4601">
        <v>2088</v>
      </c>
      <c r="O4601">
        <v>9.2572000000000002E-2</v>
      </c>
      <c r="P4601">
        <v>3</v>
      </c>
      <c r="Q4601" s="1" t="s">
        <v>560</v>
      </c>
      <c r="R4601" s="93">
        <v>193.3</v>
      </c>
      <c r="S4601">
        <v>0</v>
      </c>
      <c r="T4601">
        <v>1</v>
      </c>
      <c r="U4601" s="1" t="s">
        <v>744</v>
      </c>
      <c r="V4601" s="1"/>
      <c r="W4601">
        <v>193.30206000000001</v>
      </c>
      <c r="X4601">
        <v>0</v>
      </c>
      <c r="Y4601">
        <v>90572</v>
      </c>
    </row>
    <row r="4602" spans="1:25" ht="15" hidden="1" customHeight="1" x14ac:dyDescent="0.25">
      <c r="A4602" s="1" t="s">
        <v>40</v>
      </c>
      <c r="B4602" s="1"/>
      <c r="C4602" s="1" t="s">
        <v>223</v>
      </c>
      <c r="D4602">
        <v>13534</v>
      </c>
      <c r="E4602" s="1" t="s">
        <v>243</v>
      </c>
      <c r="F4602" s="1" t="s">
        <v>223</v>
      </c>
      <c r="G4602" s="1" t="s">
        <v>223</v>
      </c>
      <c r="H4602" s="1" t="s">
        <v>1396</v>
      </c>
      <c r="I4602">
        <v>2010</v>
      </c>
      <c r="J4602" s="93">
        <v>41.94</v>
      </c>
      <c r="K4602">
        <v>1</v>
      </c>
      <c r="L4602" s="1" t="s">
        <v>461</v>
      </c>
      <c r="M4602">
        <v>0</v>
      </c>
      <c r="N4602">
        <v>2088</v>
      </c>
      <c r="O4602">
        <v>2.0084999999999999E-2</v>
      </c>
      <c r="P4602">
        <v>3</v>
      </c>
      <c r="Q4602" s="1" t="s">
        <v>561</v>
      </c>
      <c r="R4602" s="93">
        <v>41.94</v>
      </c>
      <c r="S4602">
        <v>0</v>
      </c>
      <c r="T4602">
        <v>1</v>
      </c>
      <c r="U4602" s="1" t="s">
        <v>745</v>
      </c>
      <c r="V4602" s="1"/>
      <c r="W4602">
        <v>41943.636359999997</v>
      </c>
      <c r="X4602">
        <v>0</v>
      </c>
      <c r="Y4602">
        <v>90570</v>
      </c>
    </row>
    <row r="4603" spans="1:25" ht="15" hidden="1" customHeight="1" x14ac:dyDescent="0.25">
      <c r="A4603" s="1" t="s">
        <v>40</v>
      </c>
      <c r="B4603" s="1"/>
      <c r="C4603" s="1" t="s">
        <v>223</v>
      </c>
      <c r="D4603">
        <v>13534</v>
      </c>
      <c r="E4603" s="1" t="s">
        <v>243</v>
      </c>
      <c r="F4603" s="1" t="s">
        <v>223</v>
      </c>
      <c r="G4603" s="1" t="s">
        <v>223</v>
      </c>
      <c r="H4603" s="1" t="s">
        <v>1396</v>
      </c>
      <c r="I4603">
        <v>2010</v>
      </c>
      <c r="J4603" s="93">
        <v>38.65</v>
      </c>
      <c r="K4603">
        <v>1</v>
      </c>
      <c r="L4603" s="1" t="s">
        <v>461</v>
      </c>
      <c r="M4603">
        <v>0</v>
      </c>
      <c r="N4603">
        <v>2088</v>
      </c>
      <c r="O4603">
        <v>1.8509000000000001E-2</v>
      </c>
      <c r="P4603">
        <v>3</v>
      </c>
      <c r="Q4603" s="1" t="s">
        <v>561</v>
      </c>
      <c r="R4603" s="93">
        <v>38.65</v>
      </c>
      <c r="S4603">
        <v>0</v>
      </c>
      <c r="T4603">
        <v>1</v>
      </c>
      <c r="U4603" s="1" t="s">
        <v>746</v>
      </c>
      <c r="V4603" s="1"/>
      <c r="W4603">
        <v>38652.727270000003</v>
      </c>
      <c r="X4603">
        <v>0</v>
      </c>
      <c r="Y4603">
        <v>90571</v>
      </c>
    </row>
    <row r="4604" spans="1:25" ht="15" hidden="1" customHeight="1" x14ac:dyDescent="0.25">
      <c r="A4604" s="1" t="s">
        <v>40</v>
      </c>
      <c r="B4604" s="1"/>
      <c r="C4604" s="1" t="s">
        <v>223</v>
      </c>
      <c r="D4604">
        <v>13534</v>
      </c>
      <c r="E4604" s="1" t="s">
        <v>243</v>
      </c>
      <c r="F4604" s="1" t="s">
        <v>223</v>
      </c>
      <c r="G4604" s="1" t="s">
        <v>223</v>
      </c>
      <c r="H4604" s="1" t="s">
        <v>1396</v>
      </c>
      <c r="I4604">
        <v>2010</v>
      </c>
      <c r="J4604" s="93">
        <v>231.18</v>
      </c>
      <c r="K4604">
        <v>2</v>
      </c>
      <c r="L4604" s="1" t="s">
        <v>421</v>
      </c>
      <c r="M4604">
        <v>0</v>
      </c>
      <c r="N4604">
        <v>2088</v>
      </c>
      <c r="O4604">
        <v>0.11071300000000001</v>
      </c>
      <c r="P4604">
        <v>3</v>
      </c>
      <c r="Q4604" s="1" t="s">
        <v>560</v>
      </c>
      <c r="R4604" s="93">
        <v>231.18</v>
      </c>
      <c r="S4604">
        <v>0</v>
      </c>
      <c r="T4604">
        <v>1</v>
      </c>
      <c r="U4604" s="1" t="s">
        <v>744</v>
      </c>
      <c r="V4604" s="1"/>
      <c r="W4604">
        <v>231.17417</v>
      </c>
      <c r="X4604">
        <v>0</v>
      </c>
      <c r="Y4604">
        <v>90572</v>
      </c>
    </row>
    <row r="4605" spans="1:25" ht="15" hidden="1" customHeight="1" x14ac:dyDescent="0.25">
      <c r="A4605" s="1" t="s">
        <v>40</v>
      </c>
      <c r="B4605" s="1"/>
      <c r="C4605" s="1" t="s">
        <v>223</v>
      </c>
      <c r="D4605">
        <v>13534</v>
      </c>
      <c r="E4605" s="1" t="s">
        <v>243</v>
      </c>
      <c r="F4605" s="1" t="s">
        <v>223</v>
      </c>
      <c r="G4605" s="1" t="s">
        <v>223</v>
      </c>
      <c r="H4605" s="1" t="s">
        <v>1396</v>
      </c>
      <c r="I4605">
        <v>2009</v>
      </c>
      <c r="J4605" s="93">
        <v>157.01</v>
      </c>
      <c r="K4605">
        <v>1</v>
      </c>
      <c r="L4605" s="1" t="s">
        <v>421</v>
      </c>
      <c r="M4605">
        <v>0</v>
      </c>
      <c r="N4605">
        <v>2088</v>
      </c>
      <c r="O4605">
        <v>7.5191999999999995E-2</v>
      </c>
      <c r="P4605">
        <v>3</v>
      </c>
      <c r="Q4605" s="1" t="s">
        <v>560</v>
      </c>
      <c r="R4605" s="93">
        <v>157.01</v>
      </c>
      <c r="S4605">
        <v>0</v>
      </c>
      <c r="T4605">
        <v>1</v>
      </c>
      <c r="U4605" s="1" t="s">
        <v>744</v>
      </c>
      <c r="V4605" s="1"/>
      <c r="W4605">
        <v>157.00766999999999</v>
      </c>
      <c r="X4605">
        <v>0</v>
      </c>
      <c r="Y4605">
        <v>90572</v>
      </c>
    </row>
    <row r="4606" spans="1:25" ht="15" hidden="1" customHeight="1" x14ac:dyDescent="0.25">
      <c r="A4606" s="1" t="s">
        <v>40</v>
      </c>
      <c r="B4606" s="1"/>
      <c r="C4606" s="1" t="s">
        <v>210</v>
      </c>
      <c r="D4606">
        <v>10275</v>
      </c>
      <c r="E4606" s="1"/>
      <c r="F4606" s="1" t="s">
        <v>348</v>
      </c>
      <c r="G4606" s="1" t="s">
        <v>210</v>
      </c>
      <c r="H4606" s="1" t="s">
        <v>1396</v>
      </c>
      <c r="I4606">
        <v>2015</v>
      </c>
      <c r="J4606" s="93">
        <v>40730.26</v>
      </c>
      <c r="K4606">
        <v>5</v>
      </c>
      <c r="L4606" s="1" t="s">
        <v>457</v>
      </c>
      <c r="M4606">
        <v>0</v>
      </c>
      <c r="N4606">
        <v>551</v>
      </c>
      <c r="O4606">
        <v>73.907202999999996</v>
      </c>
      <c r="P4606">
        <v>1</v>
      </c>
      <c r="Q4606" s="1" t="s">
        <v>564</v>
      </c>
      <c r="R4606" s="93">
        <v>40730.26</v>
      </c>
      <c r="S4606">
        <v>8613.7000000000007</v>
      </c>
      <c r="T4606">
        <v>0</v>
      </c>
      <c r="U4606" s="1" t="s">
        <v>901</v>
      </c>
      <c r="V4606" s="1" t="s">
        <v>1226</v>
      </c>
      <c r="W4606">
        <v>3771.32</v>
      </c>
      <c r="X4606">
        <v>0</v>
      </c>
      <c r="Y4606">
        <v>77675</v>
      </c>
    </row>
    <row r="4607" spans="1:25" ht="15" hidden="1" customHeight="1" x14ac:dyDescent="0.25">
      <c r="A4607" s="1" t="s">
        <v>40</v>
      </c>
      <c r="B4607" s="1"/>
      <c r="C4607" s="1" t="s">
        <v>210</v>
      </c>
      <c r="D4607">
        <v>10275</v>
      </c>
      <c r="E4607" s="1"/>
      <c r="F4607" s="1" t="s">
        <v>348</v>
      </c>
      <c r="G4607" s="1" t="s">
        <v>210</v>
      </c>
      <c r="H4607" s="1" t="s">
        <v>1396</v>
      </c>
      <c r="I4607">
        <v>2013</v>
      </c>
      <c r="J4607" s="93">
        <v>84278.57</v>
      </c>
      <c r="K4607">
        <v>12</v>
      </c>
      <c r="L4607" s="1" t="s">
        <v>457</v>
      </c>
      <c r="M4607">
        <v>0</v>
      </c>
      <c r="N4607">
        <v>551</v>
      </c>
      <c r="O4607">
        <v>152.927907</v>
      </c>
      <c r="P4607">
        <v>1</v>
      </c>
      <c r="Q4607" s="1" t="s">
        <v>564</v>
      </c>
      <c r="R4607" s="93">
        <v>84278.57</v>
      </c>
      <c r="S4607">
        <v>17823.36</v>
      </c>
      <c r="T4607">
        <v>0</v>
      </c>
      <c r="U4607" s="1" t="s">
        <v>901</v>
      </c>
      <c r="V4607" s="1" t="s">
        <v>1226</v>
      </c>
      <c r="W4607">
        <v>7803.57</v>
      </c>
      <c r="X4607">
        <v>0</v>
      </c>
      <c r="Y4607">
        <v>77675</v>
      </c>
    </row>
    <row r="4608" spans="1:25" ht="15" hidden="1" customHeight="1" x14ac:dyDescent="0.25">
      <c r="A4608" s="1" t="s">
        <v>40</v>
      </c>
      <c r="B4608" s="1"/>
      <c r="C4608" s="1" t="s">
        <v>210</v>
      </c>
      <c r="D4608">
        <v>10275</v>
      </c>
      <c r="E4608" s="1"/>
      <c r="F4608" s="1" t="s">
        <v>348</v>
      </c>
      <c r="G4608" s="1" t="s">
        <v>210</v>
      </c>
      <c r="H4608" s="1" t="s">
        <v>1396</v>
      </c>
      <c r="I4608">
        <v>2012</v>
      </c>
      <c r="J4608" s="93">
        <v>81237.91</v>
      </c>
      <c r="K4608">
        <v>12</v>
      </c>
      <c r="L4608" s="1" t="s">
        <v>457</v>
      </c>
      <c r="M4608">
        <v>0</v>
      </c>
      <c r="N4608">
        <v>551</v>
      </c>
      <c r="O4608">
        <v>147.41046900000001</v>
      </c>
      <c r="P4608">
        <v>1</v>
      </c>
      <c r="Q4608" s="1" t="s">
        <v>564</v>
      </c>
      <c r="R4608" s="93">
        <v>81237.91</v>
      </c>
      <c r="S4608">
        <v>17180.32</v>
      </c>
      <c r="T4608">
        <v>0</v>
      </c>
      <c r="U4608" s="1" t="s">
        <v>901</v>
      </c>
      <c r="V4608" s="1" t="s">
        <v>1226</v>
      </c>
      <c r="W4608">
        <v>7522.03</v>
      </c>
      <c r="X4608">
        <v>0</v>
      </c>
      <c r="Y4608">
        <v>77675</v>
      </c>
    </row>
    <row r="4609" spans="1:25" ht="15" hidden="1" customHeight="1" x14ac:dyDescent="0.25">
      <c r="A4609" s="1" t="s">
        <v>40</v>
      </c>
      <c r="B4609" s="1"/>
      <c r="C4609" s="1" t="s">
        <v>210</v>
      </c>
      <c r="D4609">
        <v>10275</v>
      </c>
      <c r="E4609" s="1"/>
      <c r="F4609" s="1" t="s">
        <v>348</v>
      </c>
      <c r="G4609" s="1" t="s">
        <v>210</v>
      </c>
      <c r="H4609" s="1" t="s">
        <v>1396</v>
      </c>
      <c r="I4609">
        <v>2011</v>
      </c>
      <c r="J4609" s="93">
        <v>56370.07</v>
      </c>
      <c r="K4609">
        <v>4</v>
      </c>
      <c r="L4609" s="1" t="s">
        <v>457</v>
      </c>
      <c r="M4609">
        <v>0</v>
      </c>
      <c r="N4609">
        <v>551</v>
      </c>
      <c r="O4609">
        <v>102.286463</v>
      </c>
      <c r="P4609">
        <v>1</v>
      </c>
      <c r="Q4609" s="1" t="s">
        <v>564</v>
      </c>
      <c r="R4609" s="93">
        <v>56370.07</v>
      </c>
      <c r="S4609">
        <v>11921.22</v>
      </c>
      <c r="T4609">
        <v>0</v>
      </c>
      <c r="U4609" s="1" t="s">
        <v>901</v>
      </c>
      <c r="V4609" s="1" t="s">
        <v>1226</v>
      </c>
      <c r="W4609">
        <v>5219.4508500000002</v>
      </c>
      <c r="X4609">
        <v>0</v>
      </c>
      <c r="Y4609">
        <v>77675</v>
      </c>
    </row>
    <row r="4610" spans="1:25" ht="15" hidden="1" customHeight="1" x14ac:dyDescent="0.25">
      <c r="A4610" s="1" t="s">
        <v>40</v>
      </c>
      <c r="B4610" s="1"/>
      <c r="C4610" s="1" t="s">
        <v>210</v>
      </c>
      <c r="D4610">
        <v>10275</v>
      </c>
      <c r="E4610" s="1"/>
      <c r="F4610" s="1" t="s">
        <v>348</v>
      </c>
      <c r="G4610" s="1" t="s">
        <v>210</v>
      </c>
      <c r="H4610" s="1" t="s">
        <v>1396</v>
      </c>
      <c r="I4610">
        <v>2010</v>
      </c>
      <c r="J4610" s="93">
        <v>64454.43</v>
      </c>
      <c r="K4610">
        <v>2</v>
      </c>
      <c r="L4610" s="1" t="s">
        <v>457</v>
      </c>
      <c r="M4610">
        <v>0</v>
      </c>
      <c r="N4610">
        <v>551</v>
      </c>
      <c r="O4610">
        <v>116.95596</v>
      </c>
      <c r="P4610">
        <v>1</v>
      </c>
      <c r="Q4610" s="1" t="s">
        <v>564</v>
      </c>
      <c r="R4610" s="93">
        <v>64454.43</v>
      </c>
      <c r="S4610">
        <v>13630.93</v>
      </c>
      <c r="T4610">
        <v>0</v>
      </c>
      <c r="U4610" s="1" t="s">
        <v>901</v>
      </c>
      <c r="V4610" s="1" t="s">
        <v>1226</v>
      </c>
      <c r="W4610">
        <v>5968.0036499999997</v>
      </c>
      <c r="X4610">
        <v>0</v>
      </c>
      <c r="Y4610">
        <v>77675</v>
      </c>
    </row>
    <row r="4611" spans="1:25" ht="15" hidden="1" customHeight="1" x14ac:dyDescent="0.25">
      <c r="A4611" s="1" t="s">
        <v>40</v>
      </c>
      <c r="B4611" s="1"/>
      <c r="C4611" s="1" t="s">
        <v>229</v>
      </c>
      <c r="D4611">
        <v>10616</v>
      </c>
      <c r="E4611" s="1"/>
      <c r="F4611" s="1" t="s">
        <v>369</v>
      </c>
      <c r="G4611" s="1" t="s">
        <v>229</v>
      </c>
      <c r="H4611" s="1" t="s">
        <v>1396</v>
      </c>
      <c r="I4611">
        <v>2014</v>
      </c>
      <c r="J4611" s="93">
        <v>128510.11</v>
      </c>
      <c r="K4611">
        <v>12</v>
      </c>
      <c r="L4611" s="1" t="s">
        <v>399</v>
      </c>
      <c r="M4611">
        <v>0</v>
      </c>
      <c r="N4611">
        <v>0</v>
      </c>
      <c r="O4611">
        <v>1285101.1000000001</v>
      </c>
      <c r="P4611">
        <v>1</v>
      </c>
      <c r="Q4611" s="1" t="s">
        <v>562</v>
      </c>
      <c r="R4611" s="93">
        <v>153092.25</v>
      </c>
      <c r="S4611">
        <v>28322.07</v>
      </c>
      <c r="T4611">
        <v>0</v>
      </c>
      <c r="U4611" s="1"/>
      <c r="V4611" s="1"/>
      <c r="W4611">
        <v>128510.11</v>
      </c>
      <c r="X4611">
        <v>0</v>
      </c>
      <c r="Y4611">
        <v>90988</v>
      </c>
    </row>
    <row r="4612" spans="1:25" ht="15" hidden="1" customHeight="1" x14ac:dyDescent="0.25">
      <c r="A4612" s="1" t="s">
        <v>40</v>
      </c>
      <c r="B4612" s="1"/>
      <c r="C4612" s="1" t="s">
        <v>210</v>
      </c>
      <c r="D4612">
        <v>10275</v>
      </c>
      <c r="E4612" s="1"/>
      <c r="F4612" s="1" t="s">
        <v>348</v>
      </c>
      <c r="G4612" s="1" t="s">
        <v>210</v>
      </c>
      <c r="H4612" s="1" t="s">
        <v>1396</v>
      </c>
      <c r="I4612">
        <v>2009</v>
      </c>
      <c r="J4612" s="93">
        <v>81017.06</v>
      </c>
      <c r="K4612">
        <v>2</v>
      </c>
      <c r="L4612" s="1" t="s">
        <v>457</v>
      </c>
      <c r="M4612">
        <v>0</v>
      </c>
      <c r="N4612">
        <v>551</v>
      </c>
      <c r="O4612">
        <v>147.009726</v>
      </c>
      <c r="P4612">
        <v>1</v>
      </c>
      <c r="Q4612" s="1" t="s">
        <v>564</v>
      </c>
      <c r="R4612" s="93">
        <v>81017.06</v>
      </c>
      <c r="S4612">
        <v>17133.64</v>
      </c>
      <c r="T4612">
        <v>0</v>
      </c>
      <c r="U4612" s="1" t="s">
        <v>901</v>
      </c>
      <c r="V4612" s="1" t="s">
        <v>1226</v>
      </c>
      <c r="W4612">
        <v>7501.5808299999999</v>
      </c>
      <c r="X4612">
        <v>0</v>
      </c>
      <c r="Y4612">
        <v>77675</v>
      </c>
    </row>
    <row r="4613" spans="1:25" ht="15" hidden="1" customHeight="1" x14ac:dyDescent="0.25">
      <c r="A4613" s="1" t="s">
        <v>40</v>
      </c>
      <c r="B4613" s="1"/>
      <c r="C4613" s="1" t="s">
        <v>210</v>
      </c>
      <c r="D4613">
        <v>10275</v>
      </c>
      <c r="E4613" s="1"/>
      <c r="F4613" s="1" t="s">
        <v>348</v>
      </c>
      <c r="G4613" s="1" t="s">
        <v>210</v>
      </c>
      <c r="H4613" s="1" t="s">
        <v>1396</v>
      </c>
      <c r="I4613">
        <v>2008</v>
      </c>
      <c r="J4613" s="93">
        <v>62805.63</v>
      </c>
      <c r="K4613">
        <v>2</v>
      </c>
      <c r="L4613" s="1" t="s">
        <v>457</v>
      </c>
      <c r="M4613">
        <v>0</v>
      </c>
      <c r="N4613">
        <v>551</v>
      </c>
      <c r="O4613">
        <v>113.96412599999999</v>
      </c>
      <c r="P4613">
        <v>1</v>
      </c>
      <c r="Q4613" s="1" t="s">
        <v>564</v>
      </c>
      <c r="R4613" s="93">
        <v>62805.63</v>
      </c>
      <c r="S4613">
        <v>13282.22</v>
      </c>
      <c r="T4613">
        <v>0</v>
      </c>
      <c r="U4613" s="1" t="s">
        <v>901</v>
      </c>
      <c r="V4613" s="1" t="s">
        <v>1226</v>
      </c>
      <c r="W4613">
        <v>5815.3372099999997</v>
      </c>
      <c r="X4613">
        <v>0</v>
      </c>
      <c r="Y4613">
        <v>77675</v>
      </c>
    </row>
    <row r="4614" spans="1:25" ht="15" hidden="1" customHeight="1" x14ac:dyDescent="0.25">
      <c r="A4614" s="1" t="s">
        <v>40</v>
      </c>
      <c r="B4614" s="1" t="s">
        <v>86</v>
      </c>
      <c r="C4614" s="1" t="s">
        <v>213</v>
      </c>
      <c r="D4614">
        <v>6026</v>
      </c>
      <c r="E4614" s="1"/>
      <c r="F4614" s="1" t="s">
        <v>368</v>
      </c>
      <c r="G4614" s="1" t="s">
        <v>213</v>
      </c>
      <c r="H4614" s="1" t="s">
        <v>1396</v>
      </c>
      <c r="I4614">
        <v>2015</v>
      </c>
      <c r="J4614" s="93">
        <v>126998.77</v>
      </c>
      <c r="K4614">
        <v>5</v>
      </c>
      <c r="L4614" s="1" t="s">
        <v>421</v>
      </c>
      <c r="M4614">
        <v>0</v>
      </c>
      <c r="N4614">
        <v>0</v>
      </c>
      <c r="O4614">
        <v>1269987.7</v>
      </c>
      <c r="P4614">
        <v>1</v>
      </c>
      <c r="Q4614" s="1" t="s">
        <v>562</v>
      </c>
      <c r="R4614" s="93">
        <v>145441.82999999999</v>
      </c>
      <c r="S4614">
        <v>26906738.550000001</v>
      </c>
      <c r="T4614">
        <v>1</v>
      </c>
      <c r="U4614" s="1" t="s">
        <v>905</v>
      </c>
      <c r="V4614" s="1"/>
      <c r="W4614">
        <v>126998.77142999999</v>
      </c>
      <c r="X4614">
        <v>0</v>
      </c>
      <c r="Y4614">
        <v>60556</v>
      </c>
    </row>
    <row r="4615" spans="1:25" ht="15" hidden="1" customHeight="1" x14ac:dyDescent="0.25">
      <c r="A4615" s="1" t="s">
        <v>40</v>
      </c>
      <c r="B4615" s="1" t="s">
        <v>86</v>
      </c>
      <c r="C4615" s="1" t="s">
        <v>213</v>
      </c>
      <c r="D4615">
        <v>6026</v>
      </c>
      <c r="E4615" s="1"/>
      <c r="F4615" s="1" t="s">
        <v>368</v>
      </c>
      <c r="G4615" s="1" t="s">
        <v>213</v>
      </c>
      <c r="H4615" s="1" t="s">
        <v>1396</v>
      </c>
      <c r="I4615">
        <v>2013</v>
      </c>
      <c r="J4615" s="93">
        <v>188600.11</v>
      </c>
      <c r="K4615">
        <v>12</v>
      </c>
      <c r="L4615" s="1" t="s">
        <v>421</v>
      </c>
      <c r="M4615">
        <v>0</v>
      </c>
      <c r="N4615">
        <v>0</v>
      </c>
      <c r="O4615">
        <v>1886001.1</v>
      </c>
      <c r="P4615">
        <v>1</v>
      </c>
      <c r="Q4615" s="1" t="s">
        <v>562</v>
      </c>
      <c r="R4615" s="93">
        <v>192226.54</v>
      </c>
      <c r="S4615">
        <v>35561.910000000003</v>
      </c>
      <c r="T4615">
        <v>1</v>
      </c>
      <c r="U4615" s="1" t="s">
        <v>905</v>
      </c>
      <c r="V4615" s="1"/>
      <c r="W4615">
        <v>188600.09487999999</v>
      </c>
      <c r="X4615">
        <v>0</v>
      </c>
      <c r="Y4615">
        <v>60556</v>
      </c>
    </row>
    <row r="4616" spans="1:25" ht="15" hidden="1" customHeight="1" x14ac:dyDescent="0.25">
      <c r="A4616" s="1" t="s">
        <v>40</v>
      </c>
      <c r="B4616" s="1" t="s">
        <v>86</v>
      </c>
      <c r="C4616" s="1" t="s">
        <v>213</v>
      </c>
      <c r="D4616">
        <v>6026</v>
      </c>
      <c r="E4616" s="1"/>
      <c r="F4616" s="1" t="s">
        <v>368</v>
      </c>
      <c r="G4616" s="1" t="s">
        <v>213</v>
      </c>
      <c r="H4616" s="1" t="s">
        <v>1396</v>
      </c>
      <c r="I4616">
        <v>2012</v>
      </c>
      <c r="J4616" s="93">
        <v>232561.53</v>
      </c>
      <c r="K4616">
        <v>12</v>
      </c>
      <c r="L4616" s="1" t="s">
        <v>421</v>
      </c>
      <c r="M4616">
        <v>0</v>
      </c>
      <c r="N4616">
        <v>0</v>
      </c>
      <c r="O4616">
        <v>2325615.2999999998</v>
      </c>
      <c r="P4616">
        <v>1</v>
      </c>
      <c r="Q4616" s="1" t="s">
        <v>562</v>
      </c>
      <c r="R4616" s="93">
        <v>244843.51</v>
      </c>
      <c r="S4616">
        <v>45296.07</v>
      </c>
      <c r="T4616">
        <v>1</v>
      </c>
      <c r="U4616" s="1" t="s">
        <v>905</v>
      </c>
      <c r="V4616" s="1"/>
      <c r="W4616">
        <v>232561.52585999999</v>
      </c>
      <c r="X4616">
        <v>0</v>
      </c>
      <c r="Y4616">
        <v>60556</v>
      </c>
    </row>
    <row r="4617" spans="1:25" ht="15" hidden="1" customHeight="1" x14ac:dyDescent="0.25">
      <c r="A4617" s="1" t="s">
        <v>40</v>
      </c>
      <c r="B4617" s="1" t="s">
        <v>86</v>
      </c>
      <c r="C4617" s="1" t="s">
        <v>213</v>
      </c>
      <c r="D4617">
        <v>6026</v>
      </c>
      <c r="E4617" s="1"/>
      <c r="F4617" s="1" t="s">
        <v>368</v>
      </c>
      <c r="G4617" s="1" t="s">
        <v>213</v>
      </c>
      <c r="H4617" s="1" t="s">
        <v>1396</v>
      </c>
      <c r="I4617">
        <v>2011</v>
      </c>
      <c r="J4617" s="93">
        <v>197954.3</v>
      </c>
      <c r="K4617">
        <v>12</v>
      </c>
      <c r="L4617" s="1" t="s">
        <v>421</v>
      </c>
      <c r="M4617">
        <v>0</v>
      </c>
      <c r="N4617">
        <v>0</v>
      </c>
      <c r="O4617">
        <v>1979543</v>
      </c>
      <c r="P4617">
        <v>1</v>
      </c>
      <c r="Q4617" s="1" t="s">
        <v>562</v>
      </c>
      <c r="R4617" s="93">
        <v>213988.82</v>
      </c>
      <c r="S4617">
        <v>39587.93</v>
      </c>
      <c r="T4617">
        <v>1</v>
      </c>
      <c r="U4617" s="1" t="s">
        <v>905</v>
      </c>
      <c r="V4617" s="1"/>
      <c r="W4617">
        <v>197954.30301999999</v>
      </c>
      <c r="X4617">
        <v>0</v>
      </c>
      <c r="Y4617">
        <v>60556</v>
      </c>
    </row>
    <row r="4618" spans="1:25" ht="15" hidden="1" customHeight="1" x14ac:dyDescent="0.25">
      <c r="A4618" s="1" t="s">
        <v>40</v>
      </c>
      <c r="B4618" s="1" t="s">
        <v>86</v>
      </c>
      <c r="C4618" s="1" t="s">
        <v>213</v>
      </c>
      <c r="D4618">
        <v>6026</v>
      </c>
      <c r="E4618" s="1"/>
      <c r="F4618" s="1" t="s">
        <v>368</v>
      </c>
      <c r="G4618" s="1" t="s">
        <v>213</v>
      </c>
      <c r="H4618" s="1" t="s">
        <v>1396</v>
      </c>
      <c r="I4618">
        <v>2010</v>
      </c>
      <c r="J4618" s="93">
        <v>269779.40000000002</v>
      </c>
      <c r="K4618">
        <v>12</v>
      </c>
      <c r="L4618" s="1" t="s">
        <v>421</v>
      </c>
      <c r="M4618">
        <v>0</v>
      </c>
      <c r="N4618">
        <v>0</v>
      </c>
      <c r="O4618">
        <v>2697794</v>
      </c>
      <c r="P4618">
        <v>1</v>
      </c>
      <c r="Q4618" s="1" t="s">
        <v>562</v>
      </c>
      <c r="R4618" s="93">
        <v>244395.46</v>
      </c>
      <c r="S4618">
        <v>45213.15</v>
      </c>
      <c r="T4618">
        <v>1</v>
      </c>
      <c r="U4618" s="1" t="s">
        <v>905</v>
      </c>
      <c r="V4618" s="1"/>
      <c r="W4618">
        <v>269779.40642000001</v>
      </c>
      <c r="X4618">
        <v>0</v>
      </c>
      <c r="Y4618">
        <v>60556</v>
      </c>
    </row>
    <row r="4619" spans="1:25" ht="15" hidden="1" customHeight="1" x14ac:dyDescent="0.25">
      <c r="A4619" s="1" t="s">
        <v>40</v>
      </c>
      <c r="B4619" s="1" t="s">
        <v>86</v>
      </c>
      <c r="C4619" s="1" t="s">
        <v>213</v>
      </c>
      <c r="D4619">
        <v>6026</v>
      </c>
      <c r="E4619" s="1"/>
      <c r="F4619" s="1" t="s">
        <v>368</v>
      </c>
      <c r="G4619" s="1" t="s">
        <v>213</v>
      </c>
      <c r="H4619" s="1" t="s">
        <v>1396</v>
      </c>
      <c r="I4619">
        <v>2009</v>
      </c>
      <c r="J4619" s="93">
        <v>185249.57</v>
      </c>
      <c r="K4619">
        <v>12</v>
      </c>
      <c r="L4619" s="1" t="s">
        <v>421</v>
      </c>
      <c r="M4619">
        <v>0</v>
      </c>
      <c r="N4619">
        <v>0</v>
      </c>
      <c r="O4619">
        <v>1852495.7</v>
      </c>
      <c r="P4619">
        <v>1</v>
      </c>
      <c r="Q4619" s="1" t="s">
        <v>562</v>
      </c>
      <c r="R4619" s="93">
        <v>198374.59</v>
      </c>
      <c r="S4619">
        <v>36699.300000000003</v>
      </c>
      <c r="T4619">
        <v>1</v>
      </c>
      <c r="U4619" s="1" t="s">
        <v>905</v>
      </c>
      <c r="V4619" s="1"/>
      <c r="W4619">
        <v>185249.568</v>
      </c>
      <c r="X4619">
        <v>0</v>
      </c>
      <c r="Y4619">
        <v>60556</v>
      </c>
    </row>
    <row r="4620" spans="1:25" ht="15" hidden="1" customHeight="1" x14ac:dyDescent="0.25">
      <c r="A4620" s="1" t="s">
        <v>40</v>
      </c>
      <c r="B4620" s="1" t="s">
        <v>86</v>
      </c>
      <c r="C4620" s="1" t="s">
        <v>213</v>
      </c>
      <c r="D4620">
        <v>6026</v>
      </c>
      <c r="E4620" s="1"/>
      <c r="F4620" s="1" t="s">
        <v>368</v>
      </c>
      <c r="G4620" s="1" t="s">
        <v>213</v>
      </c>
      <c r="H4620" s="1" t="s">
        <v>1396</v>
      </c>
      <c r="I4620">
        <v>2008</v>
      </c>
      <c r="J4620" s="93">
        <v>151068.96</v>
      </c>
      <c r="K4620">
        <v>11</v>
      </c>
      <c r="L4620" s="1" t="s">
        <v>421</v>
      </c>
      <c r="M4620">
        <v>0</v>
      </c>
      <c r="N4620">
        <v>0</v>
      </c>
      <c r="O4620">
        <v>1510689.6</v>
      </c>
      <c r="P4620">
        <v>1</v>
      </c>
      <c r="Q4620" s="1" t="s">
        <v>562</v>
      </c>
      <c r="R4620" s="93">
        <v>175864.42</v>
      </c>
      <c r="S4620">
        <v>32534.94</v>
      </c>
      <c r="T4620">
        <v>1</v>
      </c>
      <c r="U4620" s="1" t="s">
        <v>905</v>
      </c>
      <c r="V4620" s="1"/>
      <c r="W4620">
        <v>151068.96496000001</v>
      </c>
      <c r="X4620">
        <v>0</v>
      </c>
      <c r="Y4620">
        <v>60556</v>
      </c>
    </row>
    <row r="4621" spans="1:25" ht="15" hidden="1" customHeight="1" x14ac:dyDescent="0.25">
      <c r="A4621" s="1" t="s">
        <v>40</v>
      </c>
      <c r="B4621" s="1" t="s">
        <v>86</v>
      </c>
      <c r="C4621" s="1" t="s">
        <v>213</v>
      </c>
      <c r="D4621">
        <v>6027</v>
      </c>
      <c r="E4621" s="1"/>
      <c r="F4621" s="1" t="s">
        <v>351</v>
      </c>
      <c r="G4621" s="1" t="s">
        <v>213</v>
      </c>
      <c r="H4621" s="1" t="s">
        <v>1396</v>
      </c>
      <c r="I4621">
        <v>2015</v>
      </c>
      <c r="J4621" s="93">
        <v>38953.06</v>
      </c>
      <c r="K4621">
        <v>5</v>
      </c>
      <c r="L4621" s="1" t="s">
        <v>421</v>
      </c>
      <c r="M4621">
        <v>0</v>
      </c>
      <c r="N4621">
        <v>0</v>
      </c>
      <c r="O4621">
        <v>389530.6</v>
      </c>
      <c r="P4621">
        <v>1</v>
      </c>
      <c r="Q4621" s="1" t="s">
        <v>562</v>
      </c>
      <c r="R4621" s="93">
        <v>44535.11</v>
      </c>
      <c r="S4621">
        <v>8238995.3499999996</v>
      </c>
      <c r="T4621">
        <v>1</v>
      </c>
      <c r="U4621" s="1" t="s">
        <v>906</v>
      </c>
      <c r="V4621" s="1"/>
      <c r="W4621">
        <v>38953.057139999997</v>
      </c>
      <c r="X4621">
        <v>0</v>
      </c>
      <c r="Y4621">
        <v>60567</v>
      </c>
    </row>
    <row r="4622" spans="1:25" ht="15" hidden="1" customHeight="1" x14ac:dyDescent="0.25">
      <c r="A4622" s="1" t="s">
        <v>40</v>
      </c>
      <c r="B4622" s="1" t="s">
        <v>86</v>
      </c>
      <c r="C4622" s="1" t="s">
        <v>213</v>
      </c>
      <c r="D4622">
        <v>6027</v>
      </c>
      <c r="E4622" s="1"/>
      <c r="F4622" s="1" t="s">
        <v>351</v>
      </c>
      <c r="G4622" s="1" t="s">
        <v>213</v>
      </c>
      <c r="H4622" s="1" t="s">
        <v>1396</v>
      </c>
      <c r="I4622">
        <v>2013</v>
      </c>
      <c r="J4622" s="93">
        <v>19833.14</v>
      </c>
      <c r="K4622">
        <v>1</v>
      </c>
      <c r="L4622" s="1" t="s">
        <v>501</v>
      </c>
      <c r="M4622">
        <v>0</v>
      </c>
      <c r="N4622">
        <v>0</v>
      </c>
      <c r="O4622">
        <v>198331.4</v>
      </c>
      <c r="P4622">
        <v>1</v>
      </c>
      <c r="Q4622" s="1" t="s">
        <v>562</v>
      </c>
      <c r="R4622" s="93">
        <v>28450.7</v>
      </c>
      <c r="S4622">
        <v>5263.38</v>
      </c>
      <c r="T4622">
        <v>1</v>
      </c>
      <c r="U4622" s="1" t="s">
        <v>908</v>
      </c>
      <c r="V4622" s="1"/>
      <c r="W4622">
        <v>19833.14128</v>
      </c>
      <c r="X4622">
        <v>0</v>
      </c>
      <c r="Y4622">
        <v>60565</v>
      </c>
    </row>
    <row r="4623" spans="1:25" ht="15" hidden="1" customHeight="1" x14ac:dyDescent="0.25">
      <c r="A4623" s="1" t="s">
        <v>40</v>
      </c>
      <c r="B4623" s="1" t="s">
        <v>86</v>
      </c>
      <c r="C4623" s="1" t="s">
        <v>213</v>
      </c>
      <c r="D4623">
        <v>6027</v>
      </c>
      <c r="E4623" s="1"/>
      <c r="F4623" s="1" t="s">
        <v>351</v>
      </c>
      <c r="G4623" s="1" t="s">
        <v>213</v>
      </c>
      <c r="H4623" s="1" t="s">
        <v>1396</v>
      </c>
      <c r="I4623">
        <v>2013</v>
      </c>
      <c r="J4623" s="93">
        <v>19157.650000000001</v>
      </c>
      <c r="K4623">
        <v>1</v>
      </c>
      <c r="L4623" s="1" t="s">
        <v>501</v>
      </c>
      <c r="M4623">
        <v>0</v>
      </c>
      <c r="N4623">
        <v>0</v>
      </c>
      <c r="O4623">
        <v>191576.5</v>
      </c>
      <c r="P4623">
        <v>1</v>
      </c>
      <c r="Q4623" s="1" t="s">
        <v>562</v>
      </c>
      <c r="R4623" s="93">
        <v>27706.54</v>
      </c>
      <c r="S4623">
        <v>5125.7299999999996</v>
      </c>
      <c r="T4623">
        <v>1</v>
      </c>
      <c r="U4623" s="1" t="s">
        <v>907</v>
      </c>
      <c r="V4623" s="1"/>
      <c r="W4623">
        <v>19157.633890000001</v>
      </c>
      <c r="X4623">
        <v>0</v>
      </c>
      <c r="Y4623">
        <v>60564</v>
      </c>
    </row>
    <row r="4624" spans="1:25" ht="15" hidden="1" customHeight="1" x14ac:dyDescent="0.25">
      <c r="A4624" s="1" t="s">
        <v>40</v>
      </c>
      <c r="B4624" s="1" t="s">
        <v>86</v>
      </c>
      <c r="C4624" s="1" t="s">
        <v>213</v>
      </c>
      <c r="D4624">
        <v>6027</v>
      </c>
      <c r="E4624" s="1"/>
      <c r="F4624" s="1" t="s">
        <v>351</v>
      </c>
      <c r="G4624" s="1" t="s">
        <v>213</v>
      </c>
      <c r="H4624" s="1" t="s">
        <v>1396</v>
      </c>
      <c r="I4624">
        <v>2013</v>
      </c>
      <c r="J4624" s="93">
        <v>59077.42</v>
      </c>
      <c r="K4624">
        <v>12</v>
      </c>
      <c r="L4624" s="1" t="s">
        <v>421</v>
      </c>
      <c r="M4624">
        <v>0</v>
      </c>
      <c r="N4624">
        <v>0</v>
      </c>
      <c r="O4624">
        <v>590774.19999999995</v>
      </c>
      <c r="P4624">
        <v>1</v>
      </c>
      <c r="Q4624" s="1" t="s">
        <v>562</v>
      </c>
      <c r="R4624" s="93">
        <v>60252.93</v>
      </c>
      <c r="S4624">
        <v>11146.79</v>
      </c>
      <c r="T4624">
        <v>1</v>
      </c>
      <c r="U4624" s="1" t="s">
        <v>906</v>
      </c>
      <c r="V4624" s="1"/>
      <c r="W4624">
        <v>59077.421249999999</v>
      </c>
      <c r="X4624">
        <v>0</v>
      </c>
      <c r="Y4624">
        <v>60567</v>
      </c>
    </row>
    <row r="4625" spans="1:25" ht="15" hidden="1" customHeight="1" x14ac:dyDescent="0.25">
      <c r="A4625" s="1" t="s">
        <v>40</v>
      </c>
      <c r="B4625" s="1" t="s">
        <v>86</v>
      </c>
      <c r="C4625" s="1" t="s">
        <v>213</v>
      </c>
      <c r="D4625">
        <v>6027</v>
      </c>
      <c r="E4625" s="1"/>
      <c r="F4625" s="1" t="s">
        <v>351</v>
      </c>
      <c r="G4625" s="1" t="s">
        <v>213</v>
      </c>
      <c r="H4625" s="1" t="s">
        <v>1396</v>
      </c>
      <c r="I4625">
        <v>2012</v>
      </c>
      <c r="J4625" s="93">
        <v>16356.65</v>
      </c>
      <c r="K4625">
        <v>12</v>
      </c>
      <c r="L4625" s="1" t="s">
        <v>501</v>
      </c>
      <c r="M4625">
        <v>0</v>
      </c>
      <c r="N4625">
        <v>0</v>
      </c>
      <c r="O4625">
        <v>163566.5</v>
      </c>
      <c r="P4625">
        <v>1</v>
      </c>
      <c r="Q4625" s="1" t="s">
        <v>562</v>
      </c>
      <c r="R4625" s="93">
        <v>15747.53</v>
      </c>
      <c r="S4625">
        <v>2913.29</v>
      </c>
      <c r="T4625">
        <v>1</v>
      </c>
      <c r="U4625" s="1" t="s">
        <v>908</v>
      </c>
      <c r="V4625" s="1"/>
      <c r="W4625">
        <v>16356.64617</v>
      </c>
      <c r="X4625">
        <v>0</v>
      </c>
      <c r="Y4625">
        <v>60565</v>
      </c>
    </row>
    <row r="4626" spans="1:25" ht="15" hidden="1" customHeight="1" x14ac:dyDescent="0.25">
      <c r="A4626" s="1" t="s">
        <v>40</v>
      </c>
      <c r="B4626" s="1" t="s">
        <v>86</v>
      </c>
      <c r="C4626" s="1" t="s">
        <v>213</v>
      </c>
      <c r="D4626">
        <v>6027</v>
      </c>
      <c r="E4626" s="1"/>
      <c r="F4626" s="1" t="s">
        <v>351</v>
      </c>
      <c r="G4626" s="1" t="s">
        <v>213</v>
      </c>
      <c r="H4626" s="1" t="s">
        <v>1396</v>
      </c>
      <c r="I4626">
        <v>2012</v>
      </c>
      <c r="J4626" s="93">
        <v>6122.85</v>
      </c>
      <c r="K4626">
        <v>1</v>
      </c>
      <c r="L4626" s="1" t="s">
        <v>501</v>
      </c>
      <c r="M4626">
        <v>0</v>
      </c>
      <c r="N4626">
        <v>0</v>
      </c>
      <c r="O4626">
        <v>61228.5</v>
      </c>
      <c r="P4626">
        <v>1</v>
      </c>
      <c r="Q4626" s="1" t="s">
        <v>562</v>
      </c>
      <c r="R4626" s="93">
        <v>6827.78</v>
      </c>
      <c r="S4626">
        <v>1263.1400000000001</v>
      </c>
      <c r="T4626">
        <v>1</v>
      </c>
      <c r="U4626" s="1" t="s">
        <v>907</v>
      </c>
      <c r="V4626" s="1"/>
      <c r="W4626">
        <v>6122.8251200000004</v>
      </c>
      <c r="X4626">
        <v>0</v>
      </c>
      <c r="Y4626">
        <v>60564</v>
      </c>
    </row>
    <row r="4627" spans="1:25" ht="15" hidden="1" customHeight="1" x14ac:dyDescent="0.25">
      <c r="A4627" s="1" t="s">
        <v>40</v>
      </c>
      <c r="B4627" s="1" t="s">
        <v>86</v>
      </c>
      <c r="C4627" s="1" t="s">
        <v>213</v>
      </c>
      <c r="D4627">
        <v>6027</v>
      </c>
      <c r="E4627" s="1"/>
      <c r="F4627" s="1" t="s">
        <v>351</v>
      </c>
      <c r="G4627" s="1" t="s">
        <v>213</v>
      </c>
      <c r="H4627" s="1" t="s">
        <v>1396</v>
      </c>
      <c r="I4627">
        <v>2012</v>
      </c>
      <c r="J4627" s="93">
        <v>82768.38</v>
      </c>
      <c r="K4627">
        <v>12</v>
      </c>
      <c r="L4627" s="1" t="s">
        <v>421</v>
      </c>
      <c r="M4627">
        <v>0</v>
      </c>
      <c r="N4627">
        <v>0</v>
      </c>
      <c r="O4627">
        <v>827683.8</v>
      </c>
      <c r="P4627">
        <v>1</v>
      </c>
      <c r="Q4627" s="1" t="s">
        <v>562</v>
      </c>
      <c r="R4627" s="93">
        <v>85950.95</v>
      </c>
      <c r="S4627">
        <v>15900.92</v>
      </c>
      <c r="T4627">
        <v>1</v>
      </c>
      <c r="U4627" s="1" t="s">
        <v>906</v>
      </c>
      <c r="V4627" s="1"/>
      <c r="W4627">
        <v>82768.383239999996</v>
      </c>
      <c r="X4627">
        <v>0</v>
      </c>
      <c r="Y4627">
        <v>60567</v>
      </c>
    </row>
    <row r="4628" spans="1:25" ht="15" hidden="1" customHeight="1" x14ac:dyDescent="0.25">
      <c r="A4628" s="1" t="s">
        <v>40</v>
      </c>
      <c r="B4628" s="1" t="s">
        <v>86</v>
      </c>
      <c r="C4628" s="1" t="s">
        <v>213</v>
      </c>
      <c r="D4628">
        <v>6027</v>
      </c>
      <c r="E4628" s="1"/>
      <c r="F4628" s="1" t="s">
        <v>351</v>
      </c>
      <c r="G4628" s="1" t="s">
        <v>213</v>
      </c>
      <c r="H4628" s="1" t="s">
        <v>1396</v>
      </c>
      <c r="I4628">
        <v>2011</v>
      </c>
      <c r="J4628" s="93">
        <v>65823.03</v>
      </c>
      <c r="K4628">
        <v>11</v>
      </c>
      <c r="L4628" s="1" t="s">
        <v>501</v>
      </c>
      <c r="M4628">
        <v>0</v>
      </c>
      <c r="N4628">
        <v>0</v>
      </c>
      <c r="O4628">
        <v>658230.30000000005</v>
      </c>
      <c r="P4628">
        <v>1</v>
      </c>
      <c r="Q4628" s="1" t="s">
        <v>562</v>
      </c>
      <c r="R4628" s="93">
        <v>79451.77</v>
      </c>
      <c r="S4628">
        <v>14698.58</v>
      </c>
      <c r="T4628">
        <v>1</v>
      </c>
      <c r="U4628" s="1" t="s">
        <v>908</v>
      </c>
      <c r="V4628" s="1"/>
      <c r="W4628">
        <v>65823.030310000002</v>
      </c>
      <c r="X4628">
        <v>0</v>
      </c>
      <c r="Y4628">
        <v>60565</v>
      </c>
    </row>
    <row r="4629" spans="1:25" ht="15" hidden="1" customHeight="1" x14ac:dyDescent="0.25">
      <c r="A4629" s="1" t="s">
        <v>40</v>
      </c>
      <c r="B4629" s="1" t="s">
        <v>86</v>
      </c>
      <c r="C4629" s="1" t="s">
        <v>213</v>
      </c>
      <c r="D4629">
        <v>6027</v>
      </c>
      <c r="E4629" s="1"/>
      <c r="F4629" s="1" t="s">
        <v>351</v>
      </c>
      <c r="G4629" s="1" t="s">
        <v>213</v>
      </c>
      <c r="H4629" s="1" t="s">
        <v>1396</v>
      </c>
      <c r="I4629">
        <v>2011</v>
      </c>
      <c r="J4629" s="93">
        <v>59715.58</v>
      </c>
      <c r="K4629">
        <v>12</v>
      </c>
      <c r="L4629" s="1" t="s">
        <v>421</v>
      </c>
      <c r="M4629">
        <v>0</v>
      </c>
      <c r="N4629">
        <v>0</v>
      </c>
      <c r="O4629">
        <v>597155.80000000005</v>
      </c>
      <c r="P4629">
        <v>1</v>
      </c>
      <c r="Q4629" s="1" t="s">
        <v>562</v>
      </c>
      <c r="R4629" s="93">
        <v>64699.81</v>
      </c>
      <c r="S4629">
        <v>11969.48</v>
      </c>
      <c r="T4629">
        <v>1</v>
      </c>
      <c r="U4629" s="1" t="s">
        <v>906</v>
      </c>
      <c r="V4629" s="1"/>
      <c r="W4629">
        <v>59715.57576</v>
      </c>
      <c r="X4629">
        <v>0</v>
      </c>
      <c r="Y4629">
        <v>60567</v>
      </c>
    </row>
    <row r="4630" spans="1:25" ht="15" hidden="1" customHeight="1" x14ac:dyDescent="0.25">
      <c r="A4630" s="1" t="s">
        <v>40</v>
      </c>
      <c r="B4630" s="1" t="s">
        <v>86</v>
      </c>
      <c r="C4630" s="1" t="s">
        <v>213</v>
      </c>
      <c r="D4630">
        <v>6027</v>
      </c>
      <c r="E4630" s="1"/>
      <c r="F4630" s="1" t="s">
        <v>351</v>
      </c>
      <c r="G4630" s="1" t="s">
        <v>213</v>
      </c>
      <c r="H4630" s="1" t="s">
        <v>1396</v>
      </c>
      <c r="I4630">
        <v>2011</v>
      </c>
      <c r="J4630" s="93">
        <v>10901.34</v>
      </c>
      <c r="K4630">
        <v>11</v>
      </c>
      <c r="L4630" s="1" t="s">
        <v>501</v>
      </c>
      <c r="M4630">
        <v>0</v>
      </c>
      <c r="N4630">
        <v>0</v>
      </c>
      <c r="O4630">
        <v>109013.4</v>
      </c>
      <c r="P4630">
        <v>1</v>
      </c>
      <c r="Q4630" s="1" t="s">
        <v>562</v>
      </c>
      <c r="R4630" s="93">
        <v>13158.48</v>
      </c>
      <c r="S4630">
        <v>2434.3200000000002</v>
      </c>
      <c r="T4630">
        <v>1</v>
      </c>
      <c r="U4630" s="1" t="s">
        <v>907</v>
      </c>
      <c r="V4630" s="1"/>
      <c r="W4630">
        <v>10901.333339999999</v>
      </c>
      <c r="X4630">
        <v>0</v>
      </c>
      <c r="Y4630">
        <v>60564</v>
      </c>
    </row>
    <row r="4631" spans="1:25" ht="15" hidden="1" customHeight="1" x14ac:dyDescent="0.25">
      <c r="A4631" s="1" t="s">
        <v>40</v>
      </c>
      <c r="B4631" s="1" t="s">
        <v>86</v>
      </c>
      <c r="C4631" s="1" t="s">
        <v>213</v>
      </c>
      <c r="D4631">
        <v>6027</v>
      </c>
      <c r="E4631" s="1"/>
      <c r="F4631" s="1" t="s">
        <v>351</v>
      </c>
      <c r="G4631" s="1" t="s">
        <v>213</v>
      </c>
      <c r="H4631" s="1" t="s">
        <v>1396</v>
      </c>
      <c r="I4631">
        <v>2010</v>
      </c>
      <c r="J4631" s="93">
        <v>0</v>
      </c>
      <c r="K4631">
        <v>11</v>
      </c>
      <c r="L4631" s="1" t="s">
        <v>501</v>
      </c>
      <c r="M4631">
        <v>0</v>
      </c>
      <c r="N4631">
        <v>0</v>
      </c>
      <c r="O4631">
        <v>0</v>
      </c>
      <c r="P4631">
        <v>1</v>
      </c>
      <c r="Q4631" s="1" t="s">
        <v>562</v>
      </c>
      <c r="R4631" s="93">
        <v>0</v>
      </c>
      <c r="S4631">
        <v>0</v>
      </c>
      <c r="T4631">
        <v>1</v>
      </c>
      <c r="U4631" s="1" t="s">
        <v>907</v>
      </c>
      <c r="V4631" s="1"/>
      <c r="W4631">
        <v>0</v>
      </c>
      <c r="X4631">
        <v>0</v>
      </c>
      <c r="Y4631">
        <v>60564</v>
      </c>
    </row>
    <row r="4632" spans="1:25" ht="15" hidden="1" customHeight="1" x14ac:dyDescent="0.25">
      <c r="A4632" s="1" t="s">
        <v>40</v>
      </c>
      <c r="B4632" s="1" t="s">
        <v>86</v>
      </c>
      <c r="C4632" s="1" t="s">
        <v>213</v>
      </c>
      <c r="D4632">
        <v>6027</v>
      </c>
      <c r="E4632" s="1"/>
      <c r="F4632" s="1" t="s">
        <v>351</v>
      </c>
      <c r="G4632" s="1" t="s">
        <v>213</v>
      </c>
      <c r="H4632" s="1" t="s">
        <v>1396</v>
      </c>
      <c r="I4632">
        <v>2010</v>
      </c>
      <c r="J4632" s="93">
        <v>0</v>
      </c>
      <c r="K4632">
        <v>11</v>
      </c>
      <c r="L4632" s="1" t="s">
        <v>501</v>
      </c>
      <c r="M4632">
        <v>0</v>
      </c>
      <c r="N4632">
        <v>0</v>
      </c>
      <c r="O4632">
        <v>0</v>
      </c>
      <c r="P4632">
        <v>1</v>
      </c>
      <c r="Q4632" s="1" t="s">
        <v>562</v>
      </c>
      <c r="R4632" s="93">
        <v>0</v>
      </c>
      <c r="S4632">
        <v>0</v>
      </c>
      <c r="T4632">
        <v>1</v>
      </c>
      <c r="U4632" s="1" t="s">
        <v>908</v>
      </c>
      <c r="V4632" s="1"/>
      <c r="W4632">
        <v>0</v>
      </c>
      <c r="X4632">
        <v>0</v>
      </c>
      <c r="Y4632">
        <v>60565</v>
      </c>
    </row>
    <row r="4633" spans="1:25" ht="15" hidden="1" customHeight="1" x14ac:dyDescent="0.25">
      <c r="A4633" s="1" t="s">
        <v>40</v>
      </c>
      <c r="B4633" s="1" t="s">
        <v>86</v>
      </c>
      <c r="C4633" s="1" t="s">
        <v>213</v>
      </c>
      <c r="D4633">
        <v>6027</v>
      </c>
      <c r="E4633" s="1"/>
      <c r="F4633" s="1" t="s">
        <v>351</v>
      </c>
      <c r="G4633" s="1" t="s">
        <v>213</v>
      </c>
      <c r="H4633" s="1" t="s">
        <v>1396</v>
      </c>
      <c r="I4633">
        <v>2010</v>
      </c>
      <c r="J4633" s="93">
        <v>86614.39</v>
      </c>
      <c r="K4633">
        <v>12</v>
      </c>
      <c r="L4633" s="1" t="s">
        <v>421</v>
      </c>
      <c r="M4633">
        <v>0</v>
      </c>
      <c r="N4633">
        <v>0</v>
      </c>
      <c r="O4633">
        <v>866143.9</v>
      </c>
      <c r="P4633">
        <v>1</v>
      </c>
      <c r="Q4633" s="1" t="s">
        <v>562</v>
      </c>
      <c r="R4633" s="93">
        <v>78521.259999999995</v>
      </c>
      <c r="S4633">
        <v>14526.42</v>
      </c>
      <c r="T4633">
        <v>1</v>
      </c>
      <c r="U4633" s="1" t="s">
        <v>906</v>
      </c>
      <c r="V4633" s="1"/>
      <c r="W4633">
        <v>86614.393930000006</v>
      </c>
      <c r="X4633">
        <v>0</v>
      </c>
      <c r="Y4633">
        <v>60567</v>
      </c>
    </row>
    <row r="4634" spans="1:25" ht="15" hidden="1" customHeight="1" x14ac:dyDescent="0.25">
      <c r="A4634" s="1" t="s">
        <v>40</v>
      </c>
      <c r="B4634" s="1" t="s">
        <v>86</v>
      </c>
      <c r="C4634" s="1" t="s">
        <v>213</v>
      </c>
      <c r="D4634">
        <v>6027</v>
      </c>
      <c r="E4634" s="1"/>
      <c r="F4634" s="1" t="s">
        <v>351</v>
      </c>
      <c r="G4634" s="1" t="s">
        <v>213</v>
      </c>
      <c r="H4634" s="1" t="s">
        <v>1396</v>
      </c>
      <c r="I4634">
        <v>2009</v>
      </c>
      <c r="J4634" s="93">
        <v>0</v>
      </c>
      <c r="K4634">
        <v>11</v>
      </c>
      <c r="L4634" s="1" t="s">
        <v>501</v>
      </c>
      <c r="M4634">
        <v>0</v>
      </c>
      <c r="N4634">
        <v>0</v>
      </c>
      <c r="O4634">
        <v>0</v>
      </c>
      <c r="P4634">
        <v>1</v>
      </c>
      <c r="Q4634" s="1" t="s">
        <v>562</v>
      </c>
      <c r="R4634" s="93">
        <v>0</v>
      </c>
      <c r="S4634">
        <v>0</v>
      </c>
      <c r="T4634">
        <v>1</v>
      </c>
      <c r="U4634" s="1" t="s">
        <v>908</v>
      </c>
      <c r="V4634" s="1"/>
      <c r="W4634">
        <v>0</v>
      </c>
      <c r="X4634">
        <v>0</v>
      </c>
      <c r="Y4634">
        <v>60565</v>
      </c>
    </row>
    <row r="4635" spans="1:25" ht="15" hidden="1" customHeight="1" x14ac:dyDescent="0.25">
      <c r="A4635" s="1" t="s">
        <v>40</v>
      </c>
      <c r="B4635" s="1" t="s">
        <v>86</v>
      </c>
      <c r="C4635" s="1" t="s">
        <v>213</v>
      </c>
      <c r="D4635">
        <v>6027</v>
      </c>
      <c r="E4635" s="1"/>
      <c r="F4635" s="1" t="s">
        <v>351</v>
      </c>
      <c r="G4635" s="1" t="s">
        <v>213</v>
      </c>
      <c r="H4635" s="1" t="s">
        <v>1396</v>
      </c>
      <c r="I4635">
        <v>2009</v>
      </c>
      <c r="J4635" s="93">
        <v>0</v>
      </c>
      <c r="K4635">
        <v>11</v>
      </c>
      <c r="L4635" s="1" t="s">
        <v>501</v>
      </c>
      <c r="M4635">
        <v>0</v>
      </c>
      <c r="N4635">
        <v>0</v>
      </c>
      <c r="O4635">
        <v>0</v>
      </c>
      <c r="P4635">
        <v>1</v>
      </c>
      <c r="Q4635" s="1" t="s">
        <v>562</v>
      </c>
      <c r="R4635" s="93">
        <v>0</v>
      </c>
      <c r="S4635">
        <v>0</v>
      </c>
      <c r="T4635">
        <v>1</v>
      </c>
      <c r="U4635" s="1" t="s">
        <v>907</v>
      </c>
      <c r="V4635" s="1"/>
      <c r="W4635">
        <v>0</v>
      </c>
      <c r="X4635">
        <v>0</v>
      </c>
      <c r="Y4635">
        <v>60564</v>
      </c>
    </row>
    <row r="4636" spans="1:25" ht="15" hidden="1" customHeight="1" x14ac:dyDescent="0.25">
      <c r="A4636" s="1" t="s">
        <v>40</v>
      </c>
      <c r="B4636" s="1" t="s">
        <v>86</v>
      </c>
      <c r="C4636" s="1" t="s">
        <v>213</v>
      </c>
      <c r="D4636">
        <v>6027</v>
      </c>
      <c r="E4636" s="1"/>
      <c r="F4636" s="1" t="s">
        <v>351</v>
      </c>
      <c r="G4636" s="1" t="s">
        <v>213</v>
      </c>
      <c r="H4636" s="1" t="s">
        <v>1396</v>
      </c>
      <c r="I4636">
        <v>2009</v>
      </c>
      <c r="J4636" s="93">
        <v>33181.99</v>
      </c>
      <c r="K4636">
        <v>14</v>
      </c>
      <c r="L4636" s="1" t="s">
        <v>421</v>
      </c>
      <c r="M4636">
        <v>0</v>
      </c>
      <c r="N4636">
        <v>0</v>
      </c>
      <c r="O4636">
        <v>331819.90000000002</v>
      </c>
      <c r="P4636">
        <v>1</v>
      </c>
      <c r="Q4636" s="1" t="s">
        <v>562</v>
      </c>
      <c r="R4636" s="93">
        <v>34646.65</v>
      </c>
      <c r="S4636">
        <v>6409.62</v>
      </c>
      <c r="T4636">
        <v>1</v>
      </c>
      <c r="U4636" s="1" t="s">
        <v>906</v>
      </c>
      <c r="V4636" s="1"/>
      <c r="W4636">
        <v>33181.968739999997</v>
      </c>
      <c r="X4636">
        <v>0</v>
      </c>
      <c r="Y4636">
        <v>60567</v>
      </c>
    </row>
    <row r="4637" spans="1:25" ht="15" hidden="1" customHeight="1" x14ac:dyDescent="0.25">
      <c r="A4637" s="1" t="s">
        <v>40</v>
      </c>
      <c r="B4637" s="1" t="s">
        <v>86</v>
      </c>
      <c r="C4637" s="1" t="s">
        <v>213</v>
      </c>
      <c r="D4637">
        <v>6027</v>
      </c>
      <c r="E4637" s="1"/>
      <c r="F4637" s="1" t="s">
        <v>351</v>
      </c>
      <c r="G4637" s="1" t="s">
        <v>213</v>
      </c>
      <c r="H4637" s="1" t="s">
        <v>1396</v>
      </c>
      <c r="I4637">
        <v>2008</v>
      </c>
      <c r="J4637" s="93">
        <v>0</v>
      </c>
      <c r="K4637">
        <v>11</v>
      </c>
      <c r="L4637" s="1" t="s">
        <v>501</v>
      </c>
      <c r="M4637">
        <v>0</v>
      </c>
      <c r="N4637">
        <v>0</v>
      </c>
      <c r="O4637">
        <v>0</v>
      </c>
      <c r="P4637">
        <v>1</v>
      </c>
      <c r="Q4637" s="1" t="s">
        <v>562</v>
      </c>
      <c r="R4637" s="93">
        <v>0</v>
      </c>
      <c r="S4637">
        <v>0</v>
      </c>
      <c r="T4637">
        <v>1</v>
      </c>
      <c r="U4637" s="1" t="s">
        <v>908</v>
      </c>
      <c r="V4637" s="1"/>
      <c r="W4637">
        <v>0</v>
      </c>
      <c r="X4637">
        <v>0</v>
      </c>
      <c r="Y4637">
        <v>60565</v>
      </c>
    </row>
    <row r="4638" spans="1:25" ht="15" hidden="1" customHeight="1" x14ac:dyDescent="0.25">
      <c r="A4638" s="1" t="s">
        <v>40</v>
      </c>
      <c r="B4638" s="1" t="s">
        <v>86</v>
      </c>
      <c r="C4638" s="1" t="s">
        <v>213</v>
      </c>
      <c r="D4638">
        <v>6027</v>
      </c>
      <c r="E4638" s="1"/>
      <c r="F4638" s="1" t="s">
        <v>351</v>
      </c>
      <c r="G4638" s="1" t="s">
        <v>213</v>
      </c>
      <c r="H4638" s="1" t="s">
        <v>1396</v>
      </c>
      <c r="I4638">
        <v>2008</v>
      </c>
      <c r="J4638" s="93">
        <v>0</v>
      </c>
      <c r="K4638">
        <v>10</v>
      </c>
      <c r="L4638" s="1" t="s">
        <v>501</v>
      </c>
      <c r="M4638">
        <v>0</v>
      </c>
      <c r="N4638">
        <v>0</v>
      </c>
      <c r="O4638">
        <v>0</v>
      </c>
      <c r="P4638">
        <v>1</v>
      </c>
      <c r="Q4638" s="1" t="s">
        <v>562</v>
      </c>
      <c r="R4638" s="93">
        <v>0</v>
      </c>
      <c r="S4638">
        <v>0</v>
      </c>
      <c r="T4638">
        <v>1</v>
      </c>
      <c r="U4638" s="1" t="s">
        <v>907</v>
      </c>
      <c r="V4638" s="1"/>
      <c r="W4638">
        <v>0</v>
      </c>
      <c r="X4638">
        <v>0</v>
      </c>
      <c r="Y4638">
        <v>60564</v>
      </c>
    </row>
    <row r="4639" spans="1:25" ht="15" hidden="1" customHeight="1" x14ac:dyDescent="0.25">
      <c r="A4639" s="1" t="s">
        <v>40</v>
      </c>
      <c r="B4639" s="1" t="s">
        <v>86</v>
      </c>
      <c r="C4639" s="1" t="s">
        <v>213</v>
      </c>
      <c r="D4639">
        <v>6027</v>
      </c>
      <c r="E4639" s="1"/>
      <c r="F4639" s="1" t="s">
        <v>351</v>
      </c>
      <c r="G4639" s="1" t="s">
        <v>213</v>
      </c>
      <c r="H4639" s="1" t="s">
        <v>1396</v>
      </c>
      <c r="I4639">
        <v>2008</v>
      </c>
      <c r="J4639" s="93">
        <v>13435.62</v>
      </c>
      <c r="K4639">
        <v>12</v>
      </c>
      <c r="L4639" s="1" t="s">
        <v>421</v>
      </c>
      <c r="M4639">
        <v>0</v>
      </c>
      <c r="N4639">
        <v>0</v>
      </c>
      <c r="O4639">
        <v>134356.20000000001</v>
      </c>
      <c r="P4639">
        <v>1</v>
      </c>
      <c r="Q4639" s="1" t="s">
        <v>562</v>
      </c>
      <c r="R4639" s="93">
        <v>15671.49</v>
      </c>
      <c r="S4639">
        <v>2899.24</v>
      </c>
      <c r="T4639">
        <v>1</v>
      </c>
      <c r="U4639" s="1" t="s">
        <v>906</v>
      </c>
      <c r="V4639" s="1"/>
      <c r="W4639">
        <v>13435.60701</v>
      </c>
      <c r="X4639">
        <v>0</v>
      </c>
      <c r="Y4639">
        <v>60567</v>
      </c>
    </row>
    <row r="4640" spans="1:25" ht="15" hidden="1" customHeight="1" x14ac:dyDescent="0.25">
      <c r="A4640" s="1" t="s">
        <v>40</v>
      </c>
      <c r="B4640" s="1" t="s">
        <v>86</v>
      </c>
      <c r="C4640" s="1" t="s">
        <v>213</v>
      </c>
      <c r="D4640">
        <v>5468</v>
      </c>
      <c r="E4640" s="1"/>
      <c r="F4640" s="1" t="s">
        <v>213</v>
      </c>
      <c r="G4640" s="1" t="s">
        <v>213</v>
      </c>
      <c r="H4640" s="1" t="s">
        <v>1405</v>
      </c>
      <c r="I4640">
        <v>2015</v>
      </c>
      <c r="J4640" s="93">
        <v>232030</v>
      </c>
      <c r="K4640">
        <v>5</v>
      </c>
      <c r="L4640" s="1"/>
      <c r="M4640">
        <v>0</v>
      </c>
      <c r="N4640">
        <v>12237</v>
      </c>
      <c r="O4640">
        <v>11.742160999999999</v>
      </c>
      <c r="P4640">
        <v>1</v>
      </c>
      <c r="Q4640" s="1" t="s">
        <v>562</v>
      </c>
      <c r="R4640" s="93">
        <v>268387</v>
      </c>
      <c r="S4640">
        <v>30158450.25</v>
      </c>
      <c r="T4640">
        <v>0</v>
      </c>
      <c r="U4640" s="1" t="s">
        <v>909</v>
      </c>
      <c r="V4640" s="1"/>
      <c r="W4640">
        <v>143690</v>
      </c>
      <c r="X4640">
        <v>0</v>
      </c>
      <c r="Y4640">
        <v>57821</v>
      </c>
    </row>
    <row r="4641" spans="1:25" ht="15" hidden="1" customHeight="1" x14ac:dyDescent="0.25">
      <c r="A4641" s="1" t="s">
        <v>40</v>
      </c>
      <c r="B4641" s="1" t="s">
        <v>86</v>
      </c>
      <c r="C4641" s="1" t="s">
        <v>213</v>
      </c>
      <c r="D4641">
        <v>5468</v>
      </c>
      <c r="E4641" s="1"/>
      <c r="F4641" s="1" t="s">
        <v>213</v>
      </c>
      <c r="G4641" s="1" t="s">
        <v>213</v>
      </c>
      <c r="H4641" s="1" t="s">
        <v>1396</v>
      </c>
      <c r="I4641">
        <v>2015</v>
      </c>
      <c r="J4641" s="93">
        <v>186570</v>
      </c>
      <c r="K4641">
        <v>5</v>
      </c>
      <c r="L4641" s="1"/>
      <c r="M4641">
        <v>0</v>
      </c>
      <c r="N4641">
        <v>12237</v>
      </c>
      <c r="O4641">
        <v>15.246259</v>
      </c>
      <c r="P4641">
        <v>1</v>
      </c>
      <c r="Q4641" s="1" t="s">
        <v>562</v>
      </c>
      <c r="R4641" s="93">
        <v>209380.09</v>
      </c>
      <c r="S4641">
        <v>38735316.649999999</v>
      </c>
      <c r="T4641">
        <v>0</v>
      </c>
      <c r="U4641" s="1" t="s">
        <v>910</v>
      </c>
      <c r="V4641" s="1"/>
      <c r="W4641">
        <v>186570</v>
      </c>
      <c r="X4641">
        <v>0</v>
      </c>
      <c r="Y4641">
        <v>57834</v>
      </c>
    </row>
    <row r="4642" spans="1:25" ht="15" hidden="1" customHeight="1" x14ac:dyDescent="0.25">
      <c r="A4642" s="1" t="s">
        <v>40</v>
      </c>
      <c r="B4642" s="1" t="s">
        <v>86</v>
      </c>
      <c r="C4642" s="1" t="s">
        <v>213</v>
      </c>
      <c r="D4642">
        <v>5468</v>
      </c>
      <c r="E4642" s="1"/>
      <c r="F4642" s="1" t="s">
        <v>213</v>
      </c>
      <c r="G4642" s="1" t="s">
        <v>213</v>
      </c>
      <c r="H4642" s="1" t="s">
        <v>1396</v>
      </c>
      <c r="I4642">
        <v>2015</v>
      </c>
      <c r="J4642" s="93">
        <v>0</v>
      </c>
      <c r="K4642">
        <v>5</v>
      </c>
      <c r="L4642" s="1"/>
      <c r="M4642">
        <v>0</v>
      </c>
      <c r="N4642">
        <v>12237</v>
      </c>
      <c r="O4642">
        <v>0</v>
      </c>
      <c r="P4642">
        <v>1</v>
      </c>
      <c r="Q4642" s="1" t="s">
        <v>563</v>
      </c>
      <c r="R4642" s="93">
        <v>0</v>
      </c>
      <c r="S4642">
        <v>0</v>
      </c>
      <c r="T4642">
        <v>1</v>
      </c>
      <c r="U4642" s="1" t="s">
        <v>909</v>
      </c>
      <c r="V4642" s="1"/>
      <c r="W4642">
        <v>0</v>
      </c>
      <c r="X4642">
        <v>57821</v>
      </c>
      <c r="Y4642">
        <v>57832</v>
      </c>
    </row>
    <row r="4643" spans="1:25" ht="15" hidden="1" customHeight="1" x14ac:dyDescent="0.25">
      <c r="A4643" s="1" t="s">
        <v>40</v>
      </c>
      <c r="B4643" s="1" t="s">
        <v>86</v>
      </c>
      <c r="C4643" s="1" t="s">
        <v>213</v>
      </c>
      <c r="D4643">
        <v>5468</v>
      </c>
      <c r="E4643" s="1"/>
      <c r="F4643" s="1" t="s">
        <v>213</v>
      </c>
      <c r="G4643" s="1" t="s">
        <v>213</v>
      </c>
      <c r="H4643" s="1" t="s">
        <v>1396</v>
      </c>
      <c r="I4643">
        <v>2015</v>
      </c>
      <c r="J4643" s="93">
        <v>135104.54</v>
      </c>
      <c r="K4643">
        <v>5</v>
      </c>
      <c r="L4643" s="1"/>
      <c r="M4643">
        <v>0</v>
      </c>
      <c r="N4643">
        <v>12237</v>
      </c>
      <c r="O4643">
        <v>11.040568</v>
      </c>
      <c r="P4643">
        <v>1</v>
      </c>
      <c r="Q4643" s="1" t="s">
        <v>563</v>
      </c>
      <c r="R4643" s="93">
        <v>151510</v>
      </c>
      <c r="S4643">
        <v>803363.42</v>
      </c>
      <c r="T4643">
        <v>1</v>
      </c>
      <c r="U4643" s="1" t="s">
        <v>910</v>
      </c>
      <c r="V4643" s="1"/>
      <c r="W4643">
        <v>3872.3</v>
      </c>
      <c r="X4643">
        <v>57834</v>
      </c>
      <c r="Y4643">
        <v>57835</v>
      </c>
    </row>
    <row r="4644" spans="1:25" ht="15" hidden="1" customHeight="1" x14ac:dyDescent="0.25">
      <c r="A4644" s="1" t="s">
        <v>40</v>
      </c>
      <c r="B4644" s="1" t="s">
        <v>86</v>
      </c>
      <c r="C4644" s="1" t="s">
        <v>213</v>
      </c>
      <c r="D4644">
        <v>5468</v>
      </c>
      <c r="E4644" s="1"/>
      <c r="F4644" s="1" t="s">
        <v>213</v>
      </c>
      <c r="G4644" s="1" t="s">
        <v>213</v>
      </c>
      <c r="H4644" s="1" t="s">
        <v>1396</v>
      </c>
      <c r="I4644">
        <v>2013</v>
      </c>
      <c r="J4644" s="93">
        <v>227011.79</v>
      </c>
      <c r="K4644">
        <v>12</v>
      </c>
      <c r="L4644" s="1"/>
      <c r="M4644">
        <v>0</v>
      </c>
      <c r="N4644">
        <v>12237</v>
      </c>
      <c r="O4644">
        <v>18.551110000000001</v>
      </c>
      <c r="P4644">
        <v>1</v>
      </c>
      <c r="Q4644" s="1" t="s">
        <v>563</v>
      </c>
      <c r="R4644" s="93">
        <v>249225.46</v>
      </c>
      <c r="S4644">
        <v>1321.49</v>
      </c>
      <c r="T4644">
        <v>1</v>
      </c>
      <c r="U4644" s="1" t="s">
        <v>910</v>
      </c>
      <c r="V4644" s="1"/>
      <c r="W4644">
        <v>6506.5</v>
      </c>
      <c r="X4644">
        <v>57834</v>
      </c>
      <c r="Y4644">
        <v>57835</v>
      </c>
    </row>
    <row r="4645" spans="1:25" ht="15" hidden="1" customHeight="1" x14ac:dyDescent="0.25">
      <c r="A4645" s="1" t="s">
        <v>40</v>
      </c>
      <c r="B4645" s="1" t="s">
        <v>86</v>
      </c>
      <c r="C4645" s="1" t="s">
        <v>213</v>
      </c>
      <c r="D4645">
        <v>5468</v>
      </c>
      <c r="E4645" s="1"/>
      <c r="F4645" s="1" t="s">
        <v>213</v>
      </c>
      <c r="G4645" s="1" t="s">
        <v>213</v>
      </c>
      <c r="H4645" s="1" t="s">
        <v>1405</v>
      </c>
      <c r="I4645">
        <v>2013</v>
      </c>
      <c r="J4645" s="93">
        <v>332970</v>
      </c>
      <c r="K4645">
        <v>12</v>
      </c>
      <c r="L4645" s="1"/>
      <c r="M4645">
        <v>0</v>
      </c>
      <c r="N4645">
        <v>12237</v>
      </c>
      <c r="O4645">
        <v>27.209878</v>
      </c>
      <c r="P4645">
        <v>1</v>
      </c>
      <c r="Q4645" s="1" t="s">
        <v>562</v>
      </c>
      <c r="R4645" s="93">
        <v>359760.67</v>
      </c>
      <c r="S4645">
        <v>66555.72</v>
      </c>
      <c r="T4645">
        <v>0</v>
      </c>
      <c r="U4645" s="1" t="s">
        <v>909</v>
      </c>
      <c r="V4645" s="1"/>
      <c r="W4645">
        <v>332970</v>
      </c>
      <c r="X4645">
        <v>0</v>
      </c>
      <c r="Y4645">
        <v>57821</v>
      </c>
    </row>
    <row r="4646" spans="1:25" ht="15" hidden="1" customHeight="1" x14ac:dyDescent="0.25">
      <c r="A4646" s="1" t="s">
        <v>40</v>
      </c>
      <c r="B4646" s="1" t="s">
        <v>86</v>
      </c>
      <c r="C4646" s="1" t="s">
        <v>213</v>
      </c>
      <c r="D4646">
        <v>5468</v>
      </c>
      <c r="E4646" s="1"/>
      <c r="F4646" s="1" t="s">
        <v>213</v>
      </c>
      <c r="G4646" s="1" t="s">
        <v>213</v>
      </c>
      <c r="H4646" s="1" t="s">
        <v>1396</v>
      </c>
      <c r="I4646">
        <v>2013</v>
      </c>
      <c r="J4646" s="93">
        <v>265820</v>
      </c>
      <c r="K4646">
        <v>12</v>
      </c>
      <c r="L4646" s="1"/>
      <c r="M4646">
        <v>0</v>
      </c>
      <c r="N4646">
        <v>12237</v>
      </c>
      <c r="O4646">
        <v>21.722466000000001</v>
      </c>
      <c r="P4646">
        <v>1</v>
      </c>
      <c r="Q4646" s="1" t="s">
        <v>562</v>
      </c>
      <c r="R4646" s="93">
        <v>269839.56</v>
      </c>
      <c r="S4646">
        <v>49920.31</v>
      </c>
      <c r="T4646">
        <v>0</v>
      </c>
      <c r="U4646" s="1" t="s">
        <v>910</v>
      </c>
      <c r="V4646" s="1"/>
      <c r="W4646">
        <v>265820</v>
      </c>
      <c r="X4646">
        <v>0</v>
      </c>
      <c r="Y4646">
        <v>57834</v>
      </c>
    </row>
    <row r="4647" spans="1:25" ht="15" hidden="1" customHeight="1" x14ac:dyDescent="0.25">
      <c r="A4647" s="1" t="s">
        <v>40</v>
      </c>
      <c r="B4647" s="1" t="s">
        <v>86</v>
      </c>
      <c r="C4647" s="1" t="s">
        <v>213</v>
      </c>
      <c r="D4647">
        <v>5468</v>
      </c>
      <c r="E4647" s="1"/>
      <c r="F4647" s="1" t="s">
        <v>213</v>
      </c>
      <c r="G4647" s="1" t="s">
        <v>213</v>
      </c>
      <c r="H4647" s="1" t="s">
        <v>1396</v>
      </c>
      <c r="I4647">
        <v>2013</v>
      </c>
      <c r="J4647" s="93">
        <v>335362.68</v>
      </c>
      <c r="K4647">
        <v>12</v>
      </c>
      <c r="L4647" s="1"/>
      <c r="M4647">
        <v>0</v>
      </c>
      <c r="N4647">
        <v>12237</v>
      </c>
      <c r="O4647">
        <v>27.405404000000001</v>
      </c>
      <c r="P4647">
        <v>1</v>
      </c>
      <c r="Q4647" s="1" t="s">
        <v>563</v>
      </c>
      <c r="R4647" s="93">
        <v>353083.74</v>
      </c>
      <c r="S4647">
        <v>1872.2</v>
      </c>
      <c r="T4647">
        <v>1</v>
      </c>
      <c r="U4647" s="1" t="s">
        <v>909</v>
      </c>
      <c r="V4647" s="1"/>
      <c r="W4647">
        <v>9612.0000999999993</v>
      </c>
      <c r="X4647">
        <v>57821</v>
      </c>
      <c r="Y4647">
        <v>57832</v>
      </c>
    </row>
    <row r="4648" spans="1:25" ht="15" hidden="1" customHeight="1" x14ac:dyDescent="0.25">
      <c r="A4648" s="1" t="s">
        <v>40</v>
      </c>
      <c r="B4648" s="1" t="s">
        <v>86</v>
      </c>
      <c r="C4648" s="1" t="s">
        <v>213</v>
      </c>
      <c r="D4648">
        <v>5468</v>
      </c>
      <c r="E4648" s="1"/>
      <c r="F4648" s="1" t="s">
        <v>213</v>
      </c>
      <c r="G4648" s="1" t="s">
        <v>213</v>
      </c>
      <c r="H4648" s="1" t="s">
        <v>1405</v>
      </c>
      <c r="I4648">
        <v>2012</v>
      </c>
      <c r="J4648" s="93">
        <v>302980</v>
      </c>
      <c r="K4648">
        <v>12</v>
      </c>
      <c r="L4648" s="1"/>
      <c r="M4648">
        <v>0</v>
      </c>
      <c r="N4648">
        <v>12237</v>
      </c>
      <c r="O4648">
        <v>24.759134</v>
      </c>
      <c r="P4648">
        <v>1</v>
      </c>
      <c r="Q4648" s="1" t="s">
        <v>562</v>
      </c>
      <c r="R4648" s="93">
        <v>318429.57</v>
      </c>
      <c r="S4648">
        <v>58909.48</v>
      </c>
      <c r="T4648">
        <v>0</v>
      </c>
      <c r="U4648" s="1" t="s">
        <v>909</v>
      </c>
      <c r="V4648" s="1"/>
      <c r="W4648">
        <v>302980</v>
      </c>
      <c r="X4648">
        <v>0</v>
      </c>
      <c r="Y4648">
        <v>57821</v>
      </c>
    </row>
    <row r="4649" spans="1:25" ht="15" hidden="1" customHeight="1" x14ac:dyDescent="0.25">
      <c r="A4649" s="1" t="s">
        <v>40</v>
      </c>
      <c r="B4649" s="1" t="s">
        <v>86</v>
      </c>
      <c r="C4649" s="1" t="s">
        <v>213</v>
      </c>
      <c r="D4649">
        <v>5468</v>
      </c>
      <c r="E4649" s="1"/>
      <c r="F4649" s="1" t="s">
        <v>213</v>
      </c>
      <c r="G4649" s="1" t="s">
        <v>213</v>
      </c>
      <c r="H4649" s="1" t="s">
        <v>1396</v>
      </c>
      <c r="I4649">
        <v>2012</v>
      </c>
      <c r="J4649" s="93">
        <v>285660</v>
      </c>
      <c r="K4649">
        <v>12</v>
      </c>
      <c r="L4649" s="1"/>
      <c r="M4649">
        <v>0</v>
      </c>
      <c r="N4649">
        <v>12237</v>
      </c>
      <c r="O4649">
        <v>23.343765999999999</v>
      </c>
      <c r="P4649">
        <v>1</v>
      </c>
      <c r="Q4649" s="1" t="s">
        <v>562</v>
      </c>
      <c r="R4649" s="93">
        <v>298692.96999999997</v>
      </c>
      <c r="S4649">
        <v>55258.19</v>
      </c>
      <c r="T4649">
        <v>0</v>
      </c>
      <c r="U4649" s="1" t="s">
        <v>910</v>
      </c>
      <c r="V4649" s="1"/>
      <c r="W4649">
        <v>285660</v>
      </c>
      <c r="X4649">
        <v>0</v>
      </c>
      <c r="Y4649">
        <v>57834</v>
      </c>
    </row>
    <row r="4650" spans="1:25" ht="15" hidden="1" customHeight="1" x14ac:dyDescent="0.25">
      <c r="A4650" s="1" t="s">
        <v>40</v>
      </c>
      <c r="B4650" s="1" t="s">
        <v>86</v>
      </c>
      <c r="C4650" s="1" t="s">
        <v>213</v>
      </c>
      <c r="D4650">
        <v>5468</v>
      </c>
      <c r="E4650" s="1"/>
      <c r="F4650" s="1" t="s">
        <v>213</v>
      </c>
      <c r="G4650" s="1" t="s">
        <v>213</v>
      </c>
      <c r="H4650" s="1" t="s">
        <v>1396</v>
      </c>
      <c r="I4650">
        <v>2012</v>
      </c>
      <c r="J4650" s="93">
        <v>201761.89</v>
      </c>
      <c r="K4650">
        <v>12</v>
      </c>
      <c r="L4650" s="1"/>
      <c r="M4650">
        <v>0</v>
      </c>
      <c r="N4650">
        <v>12237</v>
      </c>
      <c r="O4650">
        <v>16.487719999999999</v>
      </c>
      <c r="P4650">
        <v>1</v>
      </c>
      <c r="Q4650" s="1" t="s">
        <v>563</v>
      </c>
      <c r="R4650" s="93">
        <v>209739.61</v>
      </c>
      <c r="S4650">
        <v>1112.0999999999999</v>
      </c>
      <c r="T4650">
        <v>1</v>
      </c>
      <c r="U4650" s="1" t="s">
        <v>909</v>
      </c>
      <c r="V4650" s="1"/>
      <c r="W4650">
        <v>5782.8</v>
      </c>
      <c r="X4650">
        <v>57821</v>
      </c>
      <c r="Y4650">
        <v>57832</v>
      </c>
    </row>
    <row r="4651" spans="1:25" ht="15" hidden="1" customHeight="1" x14ac:dyDescent="0.25">
      <c r="A4651" s="1" t="s">
        <v>40</v>
      </c>
      <c r="B4651" s="1" t="s">
        <v>86</v>
      </c>
      <c r="C4651" s="1" t="s">
        <v>213</v>
      </c>
      <c r="D4651">
        <v>5468</v>
      </c>
      <c r="E4651" s="1"/>
      <c r="F4651" s="1" t="s">
        <v>213</v>
      </c>
      <c r="G4651" s="1" t="s">
        <v>213</v>
      </c>
      <c r="H4651" s="1" t="s">
        <v>1396</v>
      </c>
      <c r="I4651">
        <v>2012</v>
      </c>
      <c r="J4651" s="93">
        <v>223770.51</v>
      </c>
      <c r="K4651">
        <v>12</v>
      </c>
      <c r="L4651" s="1"/>
      <c r="M4651">
        <v>0</v>
      </c>
      <c r="N4651">
        <v>12237</v>
      </c>
      <c r="O4651">
        <v>18.286235999999999</v>
      </c>
      <c r="P4651">
        <v>1</v>
      </c>
      <c r="Q4651" s="1" t="s">
        <v>563</v>
      </c>
      <c r="R4651" s="93">
        <v>233351.14</v>
      </c>
      <c r="S4651">
        <v>1237.3</v>
      </c>
      <c r="T4651">
        <v>1</v>
      </c>
      <c r="U4651" s="1" t="s">
        <v>910</v>
      </c>
      <c r="V4651" s="1"/>
      <c r="W4651">
        <v>6413.6</v>
      </c>
      <c r="X4651">
        <v>57834</v>
      </c>
      <c r="Y4651">
        <v>57835</v>
      </c>
    </row>
    <row r="4652" spans="1:25" ht="15" hidden="1" customHeight="1" x14ac:dyDescent="0.25">
      <c r="A4652" s="1" t="s">
        <v>40</v>
      </c>
      <c r="B4652" s="1" t="s">
        <v>86</v>
      </c>
      <c r="C4652" s="1" t="s">
        <v>213</v>
      </c>
      <c r="D4652">
        <v>5468</v>
      </c>
      <c r="E4652" s="1"/>
      <c r="F4652" s="1" t="s">
        <v>213</v>
      </c>
      <c r="G4652" s="1" t="s">
        <v>213</v>
      </c>
      <c r="H4652" s="1" t="s">
        <v>1405</v>
      </c>
      <c r="I4652">
        <v>2011</v>
      </c>
      <c r="J4652" s="93">
        <v>288140</v>
      </c>
      <c r="K4652">
        <v>12</v>
      </c>
      <c r="L4652" s="1"/>
      <c r="M4652">
        <v>0</v>
      </c>
      <c r="N4652">
        <v>12237</v>
      </c>
      <c r="O4652">
        <v>23.546427999999999</v>
      </c>
      <c r="P4652">
        <v>1</v>
      </c>
      <c r="Q4652" s="1" t="s">
        <v>562</v>
      </c>
      <c r="R4652" s="93">
        <v>315405.76</v>
      </c>
      <c r="S4652">
        <v>58350.06</v>
      </c>
      <c r="T4652">
        <v>0</v>
      </c>
      <c r="U4652" s="1" t="s">
        <v>909</v>
      </c>
      <c r="V4652" s="1"/>
      <c r="W4652">
        <v>288140</v>
      </c>
      <c r="X4652">
        <v>0</v>
      </c>
      <c r="Y4652">
        <v>57821</v>
      </c>
    </row>
    <row r="4653" spans="1:25" ht="15" hidden="1" customHeight="1" x14ac:dyDescent="0.25">
      <c r="A4653" s="1" t="s">
        <v>40</v>
      </c>
      <c r="B4653" s="1" t="s">
        <v>86</v>
      </c>
      <c r="C4653" s="1" t="s">
        <v>213</v>
      </c>
      <c r="D4653">
        <v>5468</v>
      </c>
      <c r="E4653" s="1"/>
      <c r="F4653" s="1" t="s">
        <v>213</v>
      </c>
      <c r="G4653" s="1" t="s">
        <v>213</v>
      </c>
      <c r="H4653" s="1" t="s">
        <v>1396</v>
      </c>
      <c r="I4653">
        <v>2011</v>
      </c>
      <c r="J4653" s="93">
        <v>235080</v>
      </c>
      <c r="K4653">
        <v>12</v>
      </c>
      <c r="L4653" s="1"/>
      <c r="M4653">
        <v>0</v>
      </c>
      <c r="N4653">
        <v>12237</v>
      </c>
      <c r="O4653">
        <v>19.210432999999998</v>
      </c>
      <c r="P4653">
        <v>1</v>
      </c>
      <c r="Q4653" s="1" t="s">
        <v>562</v>
      </c>
      <c r="R4653" s="93">
        <v>250413.95</v>
      </c>
      <c r="S4653">
        <v>46326.59</v>
      </c>
      <c r="T4653">
        <v>0</v>
      </c>
      <c r="U4653" s="1" t="s">
        <v>910</v>
      </c>
      <c r="V4653" s="1"/>
      <c r="W4653">
        <v>235080</v>
      </c>
      <c r="X4653">
        <v>0</v>
      </c>
      <c r="Y4653">
        <v>57834</v>
      </c>
    </row>
    <row r="4654" spans="1:25" ht="15" hidden="1" customHeight="1" x14ac:dyDescent="0.25">
      <c r="A4654" s="1" t="s">
        <v>40</v>
      </c>
      <c r="B4654" s="1" t="s">
        <v>86</v>
      </c>
      <c r="C4654" s="1" t="s">
        <v>213</v>
      </c>
      <c r="D4654">
        <v>5468</v>
      </c>
      <c r="E4654" s="1"/>
      <c r="F4654" s="1" t="s">
        <v>213</v>
      </c>
      <c r="G4654" s="1" t="s">
        <v>213</v>
      </c>
      <c r="H4654" s="1" t="s">
        <v>1396</v>
      </c>
      <c r="I4654">
        <v>2011</v>
      </c>
      <c r="J4654" s="93">
        <v>187593.06</v>
      </c>
      <c r="K4654">
        <v>12</v>
      </c>
      <c r="L4654" s="1"/>
      <c r="M4654">
        <v>0</v>
      </c>
      <c r="N4654">
        <v>12237</v>
      </c>
      <c r="O4654">
        <v>15.329862</v>
      </c>
      <c r="P4654">
        <v>1</v>
      </c>
      <c r="Q4654" s="1" t="s">
        <v>563</v>
      </c>
      <c r="R4654" s="93">
        <v>201651.39</v>
      </c>
      <c r="S4654">
        <v>1069.22</v>
      </c>
      <c r="T4654">
        <v>1</v>
      </c>
      <c r="U4654" s="1" t="s">
        <v>909</v>
      </c>
      <c r="V4654" s="1"/>
      <c r="W4654">
        <v>5376.7</v>
      </c>
      <c r="X4654">
        <v>57821</v>
      </c>
      <c r="Y4654">
        <v>57832</v>
      </c>
    </row>
    <row r="4655" spans="1:25" ht="15" hidden="1" customHeight="1" x14ac:dyDescent="0.25">
      <c r="A4655" s="1" t="s">
        <v>40</v>
      </c>
      <c r="B4655" s="1" t="s">
        <v>86</v>
      </c>
      <c r="C4655" s="1" t="s">
        <v>213</v>
      </c>
      <c r="D4655">
        <v>5468</v>
      </c>
      <c r="E4655" s="1"/>
      <c r="F4655" s="1" t="s">
        <v>213</v>
      </c>
      <c r="G4655" s="1" t="s">
        <v>213</v>
      </c>
      <c r="H4655" s="1" t="s">
        <v>1396</v>
      </c>
      <c r="I4655">
        <v>2011</v>
      </c>
      <c r="J4655" s="93">
        <v>165594.93</v>
      </c>
      <c r="K4655">
        <v>12</v>
      </c>
      <c r="L4655" s="1"/>
      <c r="M4655">
        <v>0</v>
      </c>
      <c r="N4655">
        <v>12237</v>
      </c>
      <c r="O4655">
        <v>13.532203000000001</v>
      </c>
      <c r="P4655">
        <v>1</v>
      </c>
      <c r="Q4655" s="1" t="s">
        <v>563</v>
      </c>
      <c r="R4655" s="93">
        <v>175932.2</v>
      </c>
      <c r="S4655">
        <v>932.87</v>
      </c>
      <c r="T4655">
        <v>1</v>
      </c>
      <c r="U4655" s="1" t="s">
        <v>910</v>
      </c>
      <c r="V4655" s="1"/>
      <c r="W4655">
        <v>4746.2</v>
      </c>
      <c r="X4655">
        <v>57834</v>
      </c>
      <c r="Y4655">
        <v>57835</v>
      </c>
    </row>
    <row r="4656" spans="1:25" ht="15" hidden="1" customHeight="1" x14ac:dyDescent="0.25">
      <c r="A4656" s="1" t="s">
        <v>40</v>
      </c>
      <c r="B4656" s="1" t="s">
        <v>86</v>
      </c>
      <c r="C4656" s="1" t="s">
        <v>213</v>
      </c>
      <c r="D4656">
        <v>5468</v>
      </c>
      <c r="E4656" s="1"/>
      <c r="F4656" s="1" t="s">
        <v>213</v>
      </c>
      <c r="G4656" s="1" t="s">
        <v>213</v>
      </c>
      <c r="H4656" s="1" t="s">
        <v>1405</v>
      </c>
      <c r="I4656">
        <v>2010</v>
      </c>
      <c r="J4656" s="93">
        <v>338650</v>
      </c>
      <c r="K4656">
        <v>12</v>
      </c>
      <c r="L4656" s="1"/>
      <c r="M4656">
        <v>0</v>
      </c>
      <c r="N4656">
        <v>12237</v>
      </c>
      <c r="O4656">
        <v>27.674040000000002</v>
      </c>
      <c r="P4656">
        <v>1</v>
      </c>
      <c r="Q4656" s="1" t="s">
        <v>562</v>
      </c>
      <c r="R4656" s="93">
        <v>309620.09999999998</v>
      </c>
      <c r="S4656">
        <v>57279.72</v>
      </c>
      <c r="T4656">
        <v>0</v>
      </c>
      <c r="U4656" s="1" t="s">
        <v>909</v>
      </c>
      <c r="V4656" s="1"/>
      <c r="W4656">
        <v>338650</v>
      </c>
      <c r="X4656">
        <v>0</v>
      </c>
      <c r="Y4656">
        <v>57821</v>
      </c>
    </row>
    <row r="4657" spans="1:25" ht="15" hidden="1" customHeight="1" x14ac:dyDescent="0.25">
      <c r="A4657" s="1" t="s">
        <v>40</v>
      </c>
      <c r="B4657" s="1" t="s">
        <v>86</v>
      </c>
      <c r="C4657" s="1" t="s">
        <v>213</v>
      </c>
      <c r="D4657">
        <v>5468</v>
      </c>
      <c r="E4657" s="1"/>
      <c r="F4657" s="1" t="s">
        <v>213</v>
      </c>
      <c r="G4657" s="1" t="s">
        <v>213</v>
      </c>
      <c r="H4657" s="1" t="s">
        <v>1396</v>
      </c>
      <c r="I4657">
        <v>2010</v>
      </c>
      <c r="J4657" s="93">
        <v>328480</v>
      </c>
      <c r="K4657">
        <v>12</v>
      </c>
      <c r="L4657" s="1"/>
      <c r="M4657">
        <v>0</v>
      </c>
      <c r="N4657">
        <v>12237</v>
      </c>
      <c r="O4657">
        <v>26.842960999999999</v>
      </c>
      <c r="P4657">
        <v>1</v>
      </c>
      <c r="Q4657" s="1" t="s">
        <v>562</v>
      </c>
      <c r="R4657" s="93">
        <v>300708.17</v>
      </c>
      <c r="S4657">
        <v>55631</v>
      </c>
      <c r="T4657">
        <v>0</v>
      </c>
      <c r="U4657" s="1" t="s">
        <v>910</v>
      </c>
      <c r="V4657" s="1"/>
      <c r="W4657">
        <v>328480</v>
      </c>
      <c r="X4657">
        <v>0</v>
      </c>
      <c r="Y4657">
        <v>57834</v>
      </c>
    </row>
    <row r="4658" spans="1:25" ht="15" hidden="1" customHeight="1" x14ac:dyDescent="0.25">
      <c r="A4658" s="1" t="s">
        <v>40</v>
      </c>
      <c r="B4658" s="1" t="s">
        <v>86</v>
      </c>
      <c r="C4658" s="1" t="s">
        <v>213</v>
      </c>
      <c r="D4658">
        <v>5468</v>
      </c>
      <c r="E4658" s="1"/>
      <c r="F4658" s="1" t="s">
        <v>213</v>
      </c>
      <c r="G4658" s="1" t="s">
        <v>213</v>
      </c>
      <c r="H4658" s="1" t="s">
        <v>1396</v>
      </c>
      <c r="I4658">
        <v>2010</v>
      </c>
      <c r="J4658" s="93">
        <v>227936.36</v>
      </c>
      <c r="K4658">
        <v>12</v>
      </c>
      <c r="L4658" s="1"/>
      <c r="M4658">
        <v>0</v>
      </c>
      <c r="N4658">
        <v>12237</v>
      </c>
      <c r="O4658">
        <v>18.626664000000002</v>
      </c>
      <c r="P4658">
        <v>1</v>
      </c>
      <c r="Q4658" s="1" t="s">
        <v>563</v>
      </c>
      <c r="R4658" s="93">
        <v>210276.63</v>
      </c>
      <c r="S4658">
        <v>1114.96</v>
      </c>
      <c r="T4658">
        <v>1</v>
      </c>
      <c r="U4658" s="1" t="s">
        <v>909</v>
      </c>
      <c r="V4658" s="1"/>
      <c r="W4658">
        <v>6533</v>
      </c>
      <c r="X4658">
        <v>57821</v>
      </c>
      <c r="Y4658">
        <v>57832</v>
      </c>
    </row>
    <row r="4659" spans="1:25" ht="15" hidden="1" customHeight="1" x14ac:dyDescent="0.25">
      <c r="A4659" s="1" t="s">
        <v>40</v>
      </c>
      <c r="B4659" s="1" t="s">
        <v>86</v>
      </c>
      <c r="C4659" s="1" t="s">
        <v>213</v>
      </c>
      <c r="D4659">
        <v>5468</v>
      </c>
      <c r="E4659" s="1"/>
      <c r="F4659" s="1" t="s">
        <v>213</v>
      </c>
      <c r="G4659" s="1" t="s">
        <v>213</v>
      </c>
      <c r="H4659" s="1" t="s">
        <v>1396</v>
      </c>
      <c r="I4659">
        <v>2010</v>
      </c>
      <c r="J4659" s="93">
        <v>290106.86</v>
      </c>
      <c r="K4659">
        <v>12</v>
      </c>
      <c r="L4659" s="1"/>
      <c r="M4659">
        <v>0</v>
      </c>
      <c r="N4659">
        <v>12237</v>
      </c>
      <c r="O4659">
        <v>23.707156999999999</v>
      </c>
      <c r="P4659">
        <v>1</v>
      </c>
      <c r="Q4659" s="1" t="s">
        <v>563</v>
      </c>
      <c r="R4659" s="93">
        <v>267978.37</v>
      </c>
      <c r="S4659">
        <v>1420.94</v>
      </c>
      <c r="T4659">
        <v>1</v>
      </c>
      <c r="U4659" s="1" t="s">
        <v>910</v>
      </c>
      <c r="V4659" s="1"/>
      <c r="W4659">
        <v>8314.9</v>
      </c>
      <c r="X4659">
        <v>57834</v>
      </c>
      <c r="Y4659">
        <v>57835</v>
      </c>
    </row>
    <row r="4660" spans="1:25" ht="15" hidden="1" customHeight="1" x14ac:dyDescent="0.25">
      <c r="A4660" s="1" t="s">
        <v>40</v>
      </c>
      <c r="B4660" s="1" t="s">
        <v>93</v>
      </c>
      <c r="C4660" s="1" t="s">
        <v>221</v>
      </c>
      <c r="D4660">
        <v>6370</v>
      </c>
      <c r="E4660" s="1"/>
      <c r="F4660" s="1" t="s">
        <v>356</v>
      </c>
      <c r="G4660" s="1" t="s">
        <v>221</v>
      </c>
      <c r="H4660" s="1" t="s">
        <v>1396</v>
      </c>
      <c r="I4660">
        <v>2014</v>
      </c>
      <c r="J4660" s="93">
        <v>3067.89</v>
      </c>
      <c r="K4660">
        <v>12</v>
      </c>
      <c r="L4660" s="1" t="s">
        <v>426</v>
      </c>
      <c r="M4660">
        <v>0</v>
      </c>
      <c r="N4660">
        <v>99</v>
      </c>
      <c r="O4660">
        <v>30.957516999999999</v>
      </c>
      <c r="P4660">
        <v>2</v>
      </c>
      <c r="Q4660" s="1" t="s">
        <v>569</v>
      </c>
      <c r="R4660" s="93">
        <v>3067.89</v>
      </c>
      <c r="S4660">
        <v>1227.1600000000001</v>
      </c>
      <c r="T4660">
        <v>0</v>
      </c>
      <c r="U4660" s="1" t="s">
        <v>1168</v>
      </c>
      <c r="V4660" s="1"/>
      <c r="W4660">
        <v>3067.9070999999999</v>
      </c>
      <c r="X4660">
        <v>0</v>
      </c>
      <c r="Y4660">
        <v>62721</v>
      </c>
    </row>
    <row r="4661" spans="1:25" ht="15" hidden="1" customHeight="1" x14ac:dyDescent="0.25">
      <c r="A4661" s="1" t="s">
        <v>40</v>
      </c>
      <c r="B4661" s="1" t="s">
        <v>93</v>
      </c>
      <c r="C4661" s="1" t="s">
        <v>221</v>
      </c>
      <c r="D4661">
        <v>6370</v>
      </c>
      <c r="E4661" s="1"/>
      <c r="F4661" s="1" t="s">
        <v>356</v>
      </c>
      <c r="G4661" s="1" t="s">
        <v>221</v>
      </c>
      <c r="H4661" s="1" t="s">
        <v>1396</v>
      </c>
      <c r="I4661">
        <v>2014</v>
      </c>
      <c r="J4661" s="93">
        <v>15165.25</v>
      </c>
      <c r="K4661">
        <v>12</v>
      </c>
      <c r="L4661" s="1" t="s">
        <v>482</v>
      </c>
      <c r="M4661">
        <v>0</v>
      </c>
      <c r="N4661">
        <v>99</v>
      </c>
      <c r="O4661">
        <v>153.02976699999999</v>
      </c>
      <c r="P4661">
        <v>1</v>
      </c>
      <c r="Q4661" s="1" t="s">
        <v>564</v>
      </c>
      <c r="R4661" s="93">
        <v>18095.830000000002</v>
      </c>
      <c r="S4661">
        <v>3826.94</v>
      </c>
      <c r="T4661">
        <v>0</v>
      </c>
      <c r="U4661" s="1" t="s">
        <v>918</v>
      </c>
      <c r="V4661" s="1"/>
      <c r="W4661">
        <v>1404.19</v>
      </c>
      <c r="X4661">
        <v>0</v>
      </c>
      <c r="Y4661">
        <v>62722</v>
      </c>
    </row>
    <row r="4662" spans="1:25" ht="15" hidden="1" customHeight="1" x14ac:dyDescent="0.25">
      <c r="A4662" s="1" t="s">
        <v>40</v>
      </c>
      <c r="B4662" s="1" t="s">
        <v>93</v>
      </c>
      <c r="C4662" s="1" t="s">
        <v>221</v>
      </c>
      <c r="D4662">
        <v>6370</v>
      </c>
      <c r="E4662" s="1"/>
      <c r="F4662" s="1" t="s">
        <v>356</v>
      </c>
      <c r="G4662" s="1" t="s">
        <v>221</v>
      </c>
      <c r="H4662" s="1" t="s">
        <v>1396</v>
      </c>
      <c r="I4662">
        <v>2014</v>
      </c>
      <c r="J4662" s="93">
        <v>94.74</v>
      </c>
      <c r="K4662">
        <v>12</v>
      </c>
      <c r="L4662" s="1" t="s">
        <v>426</v>
      </c>
      <c r="M4662">
        <v>0</v>
      </c>
      <c r="N4662">
        <v>99</v>
      </c>
      <c r="O4662">
        <v>0.95600399999999996</v>
      </c>
      <c r="P4662">
        <v>3</v>
      </c>
      <c r="Q4662" s="1" t="s">
        <v>560</v>
      </c>
      <c r="R4662" s="93">
        <v>94.74</v>
      </c>
      <c r="S4662">
        <v>75.790000000000006</v>
      </c>
      <c r="T4662">
        <v>0</v>
      </c>
      <c r="U4662" s="1" t="s">
        <v>742</v>
      </c>
      <c r="V4662" s="1"/>
      <c r="W4662">
        <v>94.738</v>
      </c>
      <c r="X4662">
        <v>0</v>
      </c>
      <c r="Y4662">
        <v>62723</v>
      </c>
    </row>
    <row r="4663" spans="1:25" ht="15" hidden="1" customHeight="1" x14ac:dyDescent="0.25">
      <c r="A4663" s="1" t="s">
        <v>40</v>
      </c>
      <c r="B4663" s="1" t="s">
        <v>86</v>
      </c>
      <c r="C4663" s="1" t="s">
        <v>213</v>
      </c>
      <c r="D4663">
        <v>5468</v>
      </c>
      <c r="E4663" s="1"/>
      <c r="F4663" s="1" t="s">
        <v>213</v>
      </c>
      <c r="G4663" s="1" t="s">
        <v>213</v>
      </c>
      <c r="H4663" s="1" t="s">
        <v>1396</v>
      </c>
      <c r="I4663">
        <v>2009</v>
      </c>
      <c r="J4663" s="93">
        <v>216293.58</v>
      </c>
      <c r="K4663">
        <v>12</v>
      </c>
      <c r="L4663" s="1"/>
      <c r="M4663">
        <v>0</v>
      </c>
      <c r="N4663">
        <v>12237</v>
      </c>
      <c r="O4663">
        <v>17.675231</v>
      </c>
      <c r="P4663">
        <v>1</v>
      </c>
      <c r="Q4663" s="1" t="s">
        <v>563</v>
      </c>
      <c r="R4663" s="93">
        <v>230936.59</v>
      </c>
      <c r="S4663">
        <v>1224.5</v>
      </c>
      <c r="T4663">
        <v>1</v>
      </c>
      <c r="U4663" s="1" t="s">
        <v>910</v>
      </c>
      <c r="V4663" s="1"/>
      <c r="W4663">
        <v>6199.3</v>
      </c>
      <c r="X4663">
        <v>57834</v>
      </c>
      <c r="Y4663">
        <v>57835</v>
      </c>
    </row>
    <row r="4664" spans="1:25" ht="15" hidden="1" customHeight="1" x14ac:dyDescent="0.25">
      <c r="A4664" s="1" t="s">
        <v>40</v>
      </c>
      <c r="B4664" s="1" t="s">
        <v>86</v>
      </c>
      <c r="C4664" s="1" t="s">
        <v>213</v>
      </c>
      <c r="D4664">
        <v>5468</v>
      </c>
      <c r="E4664" s="1"/>
      <c r="F4664" s="1" t="s">
        <v>213</v>
      </c>
      <c r="G4664" s="1" t="s">
        <v>213</v>
      </c>
      <c r="H4664" s="1" t="s">
        <v>1405</v>
      </c>
      <c r="I4664">
        <v>2009</v>
      </c>
      <c r="J4664" s="93">
        <v>263390</v>
      </c>
      <c r="K4664">
        <v>12</v>
      </c>
      <c r="L4664" s="1"/>
      <c r="M4664">
        <v>0</v>
      </c>
      <c r="N4664">
        <v>12237</v>
      </c>
      <c r="O4664">
        <v>21.523890000000002</v>
      </c>
      <c r="P4664">
        <v>1</v>
      </c>
      <c r="Q4664" s="1" t="s">
        <v>562</v>
      </c>
      <c r="R4664" s="93">
        <v>281820.25</v>
      </c>
      <c r="S4664">
        <v>52136.75</v>
      </c>
      <c r="T4664">
        <v>0</v>
      </c>
      <c r="U4664" s="1" t="s">
        <v>909</v>
      </c>
      <c r="V4664" s="1"/>
      <c r="W4664">
        <v>263390</v>
      </c>
      <c r="X4664">
        <v>0</v>
      </c>
      <c r="Y4664">
        <v>57821</v>
      </c>
    </row>
    <row r="4665" spans="1:25" ht="15" hidden="1" customHeight="1" x14ac:dyDescent="0.25">
      <c r="A4665" s="1" t="s">
        <v>40</v>
      </c>
      <c r="B4665" s="1" t="s">
        <v>47</v>
      </c>
      <c r="C4665" s="1" t="s">
        <v>222</v>
      </c>
      <c r="D4665">
        <v>5953</v>
      </c>
      <c r="E4665" s="1"/>
      <c r="F4665" s="1" t="s">
        <v>357</v>
      </c>
      <c r="G4665" s="1" t="s">
        <v>222</v>
      </c>
      <c r="H4665" s="1" t="s">
        <v>1396</v>
      </c>
      <c r="I4665">
        <v>2014</v>
      </c>
      <c r="J4665" s="93">
        <v>5866.99</v>
      </c>
      <c r="K4665">
        <v>12</v>
      </c>
      <c r="L4665" s="1" t="s">
        <v>552</v>
      </c>
      <c r="M4665">
        <v>0</v>
      </c>
      <c r="N4665">
        <v>272</v>
      </c>
      <c r="O4665">
        <v>21.561889000000001</v>
      </c>
      <c r="P4665">
        <v>2</v>
      </c>
      <c r="Q4665" s="1" t="s">
        <v>569</v>
      </c>
      <c r="R4665" s="93">
        <v>5866.99</v>
      </c>
      <c r="S4665">
        <v>2346.81</v>
      </c>
      <c r="T4665">
        <v>0</v>
      </c>
      <c r="U4665" s="1" t="s">
        <v>1169</v>
      </c>
      <c r="V4665" s="1"/>
      <c r="W4665">
        <v>5867.0039999999999</v>
      </c>
      <c r="X4665">
        <v>0</v>
      </c>
      <c r="Y4665">
        <v>59977</v>
      </c>
    </row>
    <row r="4666" spans="1:25" ht="15" hidden="1" customHeight="1" x14ac:dyDescent="0.25">
      <c r="A4666" s="1" t="s">
        <v>40</v>
      </c>
      <c r="B4666" s="1" t="s">
        <v>47</v>
      </c>
      <c r="C4666" s="1" t="s">
        <v>222</v>
      </c>
      <c r="D4666">
        <v>5953</v>
      </c>
      <c r="E4666" s="1"/>
      <c r="F4666" s="1" t="s">
        <v>357</v>
      </c>
      <c r="G4666" s="1" t="s">
        <v>222</v>
      </c>
      <c r="H4666" s="1" t="s">
        <v>1396</v>
      </c>
      <c r="I4666">
        <v>2014</v>
      </c>
      <c r="J4666" s="93">
        <v>44683.49</v>
      </c>
      <c r="K4666">
        <v>12</v>
      </c>
      <c r="L4666" s="1" t="s">
        <v>399</v>
      </c>
      <c r="M4666">
        <v>0</v>
      </c>
      <c r="N4666">
        <v>272</v>
      </c>
      <c r="O4666">
        <v>164.217162</v>
      </c>
      <c r="P4666">
        <v>1</v>
      </c>
      <c r="Q4666" s="1" t="s">
        <v>564</v>
      </c>
      <c r="R4666" s="93">
        <v>53459.45</v>
      </c>
      <c r="S4666">
        <v>11305.69</v>
      </c>
      <c r="T4666">
        <v>0</v>
      </c>
      <c r="U4666" s="1" t="s">
        <v>919</v>
      </c>
      <c r="V4666" s="1" t="s">
        <v>1231</v>
      </c>
      <c r="W4666">
        <v>4137.3599999999997</v>
      </c>
      <c r="X4666">
        <v>0</v>
      </c>
      <c r="Y4666">
        <v>59978</v>
      </c>
    </row>
    <row r="4667" spans="1:25" ht="15" hidden="1" customHeight="1" x14ac:dyDescent="0.25">
      <c r="A4667" s="1" t="s">
        <v>40</v>
      </c>
      <c r="B4667" s="1" t="s">
        <v>47</v>
      </c>
      <c r="C4667" s="1" t="s">
        <v>222</v>
      </c>
      <c r="D4667">
        <v>5953</v>
      </c>
      <c r="E4667" s="1"/>
      <c r="F4667" s="1" t="s">
        <v>357</v>
      </c>
      <c r="G4667" s="1" t="s">
        <v>222</v>
      </c>
      <c r="H4667" s="1" t="s">
        <v>1396</v>
      </c>
      <c r="I4667">
        <v>2014</v>
      </c>
      <c r="J4667" s="93">
        <v>165.04</v>
      </c>
      <c r="K4667">
        <v>12</v>
      </c>
      <c r="L4667" s="1" t="s">
        <v>399</v>
      </c>
      <c r="M4667">
        <v>0</v>
      </c>
      <c r="N4667">
        <v>272</v>
      </c>
      <c r="O4667">
        <v>0.606541</v>
      </c>
      <c r="P4667">
        <v>3</v>
      </c>
      <c r="Q4667" s="1" t="s">
        <v>560</v>
      </c>
      <c r="R4667" s="93">
        <v>165.04</v>
      </c>
      <c r="S4667">
        <v>132.08000000000001</v>
      </c>
      <c r="T4667">
        <v>0</v>
      </c>
      <c r="U4667" s="1" t="s">
        <v>743</v>
      </c>
      <c r="V4667" s="1"/>
      <c r="W4667">
        <v>165.07326</v>
      </c>
      <c r="X4667">
        <v>0</v>
      </c>
      <c r="Y4667">
        <v>59979</v>
      </c>
    </row>
    <row r="4668" spans="1:25" ht="15" hidden="1" customHeight="1" x14ac:dyDescent="0.25">
      <c r="A4668" s="1" t="s">
        <v>40</v>
      </c>
      <c r="B4668" s="1" t="s">
        <v>86</v>
      </c>
      <c r="C4668" s="1" t="s">
        <v>213</v>
      </c>
      <c r="D4668">
        <v>5468</v>
      </c>
      <c r="E4668" s="1"/>
      <c r="F4668" s="1" t="s">
        <v>213</v>
      </c>
      <c r="G4668" s="1" t="s">
        <v>213</v>
      </c>
      <c r="H4668" s="1" t="s">
        <v>1396</v>
      </c>
      <c r="I4668">
        <v>2009</v>
      </c>
      <c r="J4668" s="93">
        <v>224290</v>
      </c>
      <c r="K4668">
        <v>12</v>
      </c>
      <c r="L4668" s="1"/>
      <c r="M4668">
        <v>0</v>
      </c>
      <c r="N4668">
        <v>12237</v>
      </c>
      <c r="O4668">
        <v>18.328688</v>
      </c>
      <c r="P4668">
        <v>1</v>
      </c>
      <c r="Q4668" s="1" t="s">
        <v>562</v>
      </c>
      <c r="R4668" s="93">
        <v>237371.54</v>
      </c>
      <c r="S4668">
        <v>43913.74</v>
      </c>
      <c r="T4668">
        <v>0</v>
      </c>
      <c r="U4668" s="1" t="s">
        <v>910</v>
      </c>
      <c r="V4668" s="1"/>
      <c r="W4668">
        <v>224290</v>
      </c>
      <c r="X4668">
        <v>0</v>
      </c>
      <c r="Y4668">
        <v>57834</v>
      </c>
    </row>
    <row r="4669" spans="1:25" ht="15" hidden="1" customHeight="1" x14ac:dyDescent="0.25">
      <c r="A4669" s="1" t="s">
        <v>40</v>
      </c>
      <c r="B4669" s="1" t="s">
        <v>86</v>
      </c>
      <c r="C4669" s="1" t="s">
        <v>213</v>
      </c>
      <c r="D4669">
        <v>5468</v>
      </c>
      <c r="E4669" s="1"/>
      <c r="F4669" s="1" t="s">
        <v>213</v>
      </c>
      <c r="G4669" s="1" t="s">
        <v>213</v>
      </c>
      <c r="H4669" s="1" t="s">
        <v>1396</v>
      </c>
      <c r="I4669">
        <v>2009</v>
      </c>
      <c r="J4669" s="93">
        <v>218673.09</v>
      </c>
      <c r="K4669">
        <v>12</v>
      </c>
      <c r="L4669" s="1"/>
      <c r="M4669">
        <v>0</v>
      </c>
      <c r="N4669">
        <v>12237</v>
      </c>
      <c r="O4669">
        <v>17.869682000000001</v>
      </c>
      <c r="P4669">
        <v>1</v>
      </c>
      <c r="Q4669" s="1" t="s">
        <v>563</v>
      </c>
      <c r="R4669" s="93">
        <v>329268.39</v>
      </c>
      <c r="S4669">
        <v>1745.92</v>
      </c>
      <c r="T4669">
        <v>1</v>
      </c>
      <c r="U4669" s="1" t="s">
        <v>909</v>
      </c>
      <c r="V4669" s="1"/>
      <c r="W4669">
        <v>6267.5</v>
      </c>
      <c r="X4669">
        <v>57821</v>
      </c>
      <c r="Y4669">
        <v>57832</v>
      </c>
    </row>
    <row r="4670" spans="1:25" ht="15" hidden="1" customHeight="1" x14ac:dyDescent="0.25">
      <c r="A4670" s="1" t="s">
        <v>40</v>
      </c>
      <c r="B4670" s="1" t="s">
        <v>86</v>
      </c>
      <c r="C4670" s="1" t="s">
        <v>213</v>
      </c>
      <c r="D4670">
        <v>5468</v>
      </c>
      <c r="E4670" s="1"/>
      <c r="F4670" s="1" t="s">
        <v>213</v>
      </c>
      <c r="G4670" s="1" t="s">
        <v>213</v>
      </c>
      <c r="H4670" s="1" t="s">
        <v>1405</v>
      </c>
      <c r="I4670">
        <v>2008</v>
      </c>
      <c r="J4670" s="93">
        <v>122760</v>
      </c>
      <c r="K4670">
        <v>12</v>
      </c>
      <c r="L4670" s="1"/>
      <c r="M4670">
        <v>0</v>
      </c>
      <c r="N4670">
        <v>12237</v>
      </c>
      <c r="O4670">
        <v>10.031788000000001</v>
      </c>
      <c r="P4670">
        <v>1</v>
      </c>
      <c r="Q4670" s="1" t="s">
        <v>562</v>
      </c>
      <c r="R4670" s="93">
        <v>133902.63</v>
      </c>
      <c r="S4670">
        <v>24771.99</v>
      </c>
      <c r="T4670">
        <v>0</v>
      </c>
      <c r="U4670" s="1" t="s">
        <v>909</v>
      </c>
      <c r="V4670" s="1"/>
      <c r="W4670">
        <v>122760</v>
      </c>
      <c r="X4670">
        <v>0</v>
      </c>
      <c r="Y4670">
        <v>57821</v>
      </c>
    </row>
    <row r="4671" spans="1:25" ht="15" hidden="1" customHeight="1" x14ac:dyDescent="0.25">
      <c r="A4671" s="1" t="s">
        <v>40</v>
      </c>
      <c r="B4671" s="1" t="s">
        <v>86</v>
      </c>
      <c r="C4671" s="1" t="s">
        <v>213</v>
      </c>
      <c r="D4671">
        <v>5468</v>
      </c>
      <c r="E4671" s="1"/>
      <c r="F4671" s="1" t="s">
        <v>213</v>
      </c>
      <c r="G4671" s="1" t="s">
        <v>213</v>
      </c>
      <c r="H4671" s="1" t="s">
        <v>1396</v>
      </c>
      <c r="I4671">
        <v>2008</v>
      </c>
      <c r="J4671" s="93">
        <v>84716.41</v>
      </c>
      <c r="K4671">
        <v>12</v>
      </c>
      <c r="L4671" s="1"/>
      <c r="M4671">
        <v>0</v>
      </c>
      <c r="N4671">
        <v>12237</v>
      </c>
      <c r="O4671">
        <v>6.9229149999999997</v>
      </c>
      <c r="P4671">
        <v>1</v>
      </c>
      <c r="Q4671" s="1" t="s">
        <v>563</v>
      </c>
      <c r="R4671" s="93">
        <v>90927.48</v>
      </c>
      <c r="S4671">
        <v>482.14</v>
      </c>
      <c r="T4671">
        <v>1</v>
      </c>
      <c r="U4671" s="1" t="s">
        <v>909</v>
      </c>
      <c r="V4671" s="1"/>
      <c r="W4671">
        <v>2428.1</v>
      </c>
      <c r="X4671">
        <v>57821</v>
      </c>
      <c r="Y4671">
        <v>57832</v>
      </c>
    </row>
    <row r="4672" spans="1:25" ht="15" hidden="1" customHeight="1" x14ac:dyDescent="0.25">
      <c r="A4672" s="1" t="s">
        <v>40</v>
      </c>
      <c r="B4672" s="1"/>
      <c r="C4672" s="1" t="s">
        <v>223</v>
      </c>
      <c r="D4672">
        <v>13534</v>
      </c>
      <c r="E4672" s="1" t="s">
        <v>243</v>
      </c>
      <c r="F4672" s="1" t="s">
        <v>223</v>
      </c>
      <c r="G4672" s="1" t="s">
        <v>223</v>
      </c>
      <c r="H4672" s="1" t="s">
        <v>1396</v>
      </c>
      <c r="I4672">
        <v>2014</v>
      </c>
      <c r="J4672" s="93">
        <v>134.82</v>
      </c>
      <c r="K4672">
        <v>10</v>
      </c>
      <c r="L4672" s="1" t="s">
        <v>461</v>
      </c>
      <c r="M4672">
        <v>0</v>
      </c>
      <c r="N4672">
        <v>2088</v>
      </c>
      <c r="O4672">
        <v>6.4564999999999997E-2</v>
      </c>
      <c r="P4672">
        <v>3</v>
      </c>
      <c r="Q4672" s="1" t="s">
        <v>561</v>
      </c>
      <c r="R4672" s="93">
        <v>134.82</v>
      </c>
      <c r="S4672">
        <v>0</v>
      </c>
      <c r="T4672">
        <v>1</v>
      </c>
      <c r="U4672" s="1" t="s">
        <v>745</v>
      </c>
      <c r="V4672" s="1"/>
      <c r="W4672">
        <v>134830.47824999999</v>
      </c>
      <c r="X4672">
        <v>0</v>
      </c>
      <c r="Y4672">
        <v>90570</v>
      </c>
    </row>
    <row r="4673" spans="1:25" ht="15" hidden="1" customHeight="1" x14ac:dyDescent="0.25">
      <c r="A4673" s="1" t="s">
        <v>40</v>
      </c>
      <c r="B4673" s="1"/>
      <c r="C4673" s="1" t="s">
        <v>223</v>
      </c>
      <c r="D4673">
        <v>13534</v>
      </c>
      <c r="E4673" s="1" t="s">
        <v>243</v>
      </c>
      <c r="F4673" s="1" t="s">
        <v>223</v>
      </c>
      <c r="G4673" s="1" t="s">
        <v>223</v>
      </c>
      <c r="H4673" s="1" t="s">
        <v>1396</v>
      </c>
      <c r="I4673">
        <v>2014</v>
      </c>
      <c r="J4673" s="93">
        <v>154.25</v>
      </c>
      <c r="K4673">
        <v>10</v>
      </c>
      <c r="L4673" s="1" t="s">
        <v>461</v>
      </c>
      <c r="M4673">
        <v>0</v>
      </c>
      <c r="N4673">
        <v>2088</v>
      </c>
      <c r="O4673">
        <v>7.3870000000000005E-2</v>
      </c>
      <c r="P4673">
        <v>3</v>
      </c>
      <c r="Q4673" s="1" t="s">
        <v>561</v>
      </c>
      <c r="R4673" s="93">
        <v>154.25</v>
      </c>
      <c r="S4673">
        <v>0</v>
      </c>
      <c r="T4673">
        <v>1</v>
      </c>
      <c r="U4673" s="1" t="s">
        <v>746</v>
      </c>
      <c r="V4673" s="1"/>
      <c r="W4673">
        <v>154237.08695999999</v>
      </c>
      <c r="X4673">
        <v>0</v>
      </c>
      <c r="Y4673">
        <v>90571</v>
      </c>
    </row>
    <row r="4674" spans="1:25" ht="15" hidden="1" customHeight="1" x14ac:dyDescent="0.25">
      <c r="A4674" s="1" t="s">
        <v>40</v>
      </c>
      <c r="B4674" s="1"/>
      <c r="C4674" s="1" t="s">
        <v>223</v>
      </c>
      <c r="D4674">
        <v>13534</v>
      </c>
      <c r="E4674" s="1" t="s">
        <v>243</v>
      </c>
      <c r="F4674" s="1" t="s">
        <v>223</v>
      </c>
      <c r="G4674" s="1" t="s">
        <v>223</v>
      </c>
      <c r="H4674" s="1" t="s">
        <v>1396</v>
      </c>
      <c r="I4674">
        <v>2014</v>
      </c>
      <c r="J4674" s="93">
        <v>49937.05</v>
      </c>
      <c r="K4674">
        <v>11</v>
      </c>
      <c r="L4674" s="1" t="s">
        <v>421</v>
      </c>
      <c r="M4674">
        <v>0</v>
      </c>
      <c r="N4674">
        <v>2088</v>
      </c>
      <c r="O4674">
        <v>23.915065999999999</v>
      </c>
      <c r="P4674">
        <v>2</v>
      </c>
      <c r="Q4674" s="1" t="s">
        <v>569</v>
      </c>
      <c r="R4674" s="93">
        <v>49937.05</v>
      </c>
      <c r="S4674">
        <v>14981.11</v>
      </c>
      <c r="T4674">
        <v>0</v>
      </c>
      <c r="U4674" s="1" t="s">
        <v>1170</v>
      </c>
      <c r="V4674" s="1"/>
      <c r="W4674">
        <v>49937.038500000002</v>
      </c>
      <c r="X4674">
        <v>0</v>
      </c>
      <c r="Y4674">
        <v>90569</v>
      </c>
    </row>
    <row r="4675" spans="1:25" ht="15" hidden="1" customHeight="1" x14ac:dyDescent="0.25">
      <c r="A4675" s="1" t="s">
        <v>40</v>
      </c>
      <c r="B4675" s="1"/>
      <c r="C4675" s="1" t="s">
        <v>223</v>
      </c>
      <c r="D4675">
        <v>13534</v>
      </c>
      <c r="E4675" s="1" t="s">
        <v>243</v>
      </c>
      <c r="F4675" s="1" t="s">
        <v>223</v>
      </c>
      <c r="G4675" s="1" t="s">
        <v>223</v>
      </c>
      <c r="H4675" s="1" t="s">
        <v>1396</v>
      </c>
      <c r="I4675">
        <v>2014</v>
      </c>
      <c r="J4675" s="93">
        <v>70113.05</v>
      </c>
      <c r="K4675">
        <v>10</v>
      </c>
      <c r="L4675" s="1" t="s">
        <v>461</v>
      </c>
      <c r="M4675">
        <v>0</v>
      </c>
      <c r="N4675">
        <v>2088</v>
      </c>
      <c r="O4675">
        <v>33.577438000000001</v>
      </c>
      <c r="P4675">
        <v>1</v>
      </c>
      <c r="Q4675" s="1" t="s">
        <v>565</v>
      </c>
      <c r="R4675" s="93">
        <v>83428.95</v>
      </c>
      <c r="S4675">
        <v>10512.04</v>
      </c>
      <c r="T4675">
        <v>0</v>
      </c>
      <c r="U4675" s="1" t="s">
        <v>921</v>
      </c>
      <c r="V4675" s="1"/>
      <c r="W4675">
        <v>70.113050000000001</v>
      </c>
      <c r="X4675">
        <v>0</v>
      </c>
      <c r="Y4675">
        <v>90565</v>
      </c>
    </row>
    <row r="4676" spans="1:25" ht="15" hidden="1" customHeight="1" x14ac:dyDescent="0.25">
      <c r="A4676" s="1" t="s">
        <v>40</v>
      </c>
      <c r="B4676" s="1"/>
      <c r="C4676" s="1" t="s">
        <v>223</v>
      </c>
      <c r="D4676">
        <v>13534</v>
      </c>
      <c r="E4676" s="1" t="s">
        <v>243</v>
      </c>
      <c r="F4676" s="1" t="s">
        <v>223</v>
      </c>
      <c r="G4676" s="1" t="s">
        <v>223</v>
      </c>
      <c r="H4676" s="1" t="s">
        <v>1396</v>
      </c>
      <c r="I4676">
        <v>2014</v>
      </c>
      <c r="J4676" s="93">
        <v>23205.65</v>
      </c>
      <c r="K4676">
        <v>10</v>
      </c>
      <c r="L4676" s="1" t="s">
        <v>461</v>
      </c>
      <c r="M4676">
        <v>0</v>
      </c>
      <c r="N4676">
        <v>2088</v>
      </c>
      <c r="O4676">
        <v>11.113284</v>
      </c>
      <c r="P4676">
        <v>1</v>
      </c>
      <c r="Q4676" s="1" t="s">
        <v>565</v>
      </c>
      <c r="R4676" s="93">
        <v>29139.26</v>
      </c>
      <c r="S4676">
        <v>3671.55</v>
      </c>
      <c r="T4676">
        <v>0</v>
      </c>
      <c r="U4676" s="1" t="s">
        <v>922</v>
      </c>
      <c r="V4676" s="1"/>
      <c r="W4676">
        <v>23.205649999999999</v>
      </c>
      <c r="X4676">
        <v>0</v>
      </c>
      <c r="Y4676">
        <v>90567</v>
      </c>
    </row>
    <row r="4677" spans="1:25" ht="15" hidden="1" customHeight="1" x14ac:dyDescent="0.25">
      <c r="A4677" s="1" t="s">
        <v>40</v>
      </c>
      <c r="B4677" s="1"/>
      <c r="C4677" s="1" t="s">
        <v>223</v>
      </c>
      <c r="D4677">
        <v>13534</v>
      </c>
      <c r="E4677" s="1" t="s">
        <v>243</v>
      </c>
      <c r="F4677" s="1" t="s">
        <v>223</v>
      </c>
      <c r="G4677" s="1" t="s">
        <v>223</v>
      </c>
      <c r="H4677" s="1" t="s">
        <v>1396</v>
      </c>
      <c r="I4677">
        <v>2014</v>
      </c>
      <c r="J4677" s="93">
        <v>4040</v>
      </c>
      <c r="K4677">
        <v>2</v>
      </c>
      <c r="L4677" s="1" t="s">
        <v>504</v>
      </c>
      <c r="M4677">
        <v>0</v>
      </c>
      <c r="N4677">
        <v>2088</v>
      </c>
      <c r="O4677">
        <v>1.9347730000000001</v>
      </c>
      <c r="P4677">
        <v>1</v>
      </c>
      <c r="Q4677" s="1" t="s">
        <v>565</v>
      </c>
      <c r="R4677" s="93">
        <v>4806.84</v>
      </c>
      <c r="S4677">
        <v>889.27</v>
      </c>
      <c r="T4677">
        <v>1</v>
      </c>
      <c r="U4677" s="1" t="s">
        <v>923</v>
      </c>
      <c r="V4677" s="1"/>
      <c r="W4677">
        <v>4.04</v>
      </c>
      <c r="X4677">
        <v>0</v>
      </c>
      <c r="Y4677">
        <v>96924</v>
      </c>
    </row>
    <row r="4678" spans="1:25" ht="15" hidden="1" customHeight="1" x14ac:dyDescent="0.25">
      <c r="A4678" s="1" t="s">
        <v>40</v>
      </c>
      <c r="B4678" s="1"/>
      <c r="C4678" s="1" t="s">
        <v>223</v>
      </c>
      <c r="D4678">
        <v>13534</v>
      </c>
      <c r="E4678" s="1" t="s">
        <v>243</v>
      </c>
      <c r="F4678" s="1" t="s">
        <v>223</v>
      </c>
      <c r="G4678" s="1" t="s">
        <v>223</v>
      </c>
      <c r="H4678" s="1" t="s">
        <v>1396</v>
      </c>
      <c r="I4678">
        <v>2014</v>
      </c>
      <c r="J4678" s="93">
        <v>6563.46</v>
      </c>
      <c r="K4678">
        <v>9</v>
      </c>
      <c r="L4678" s="1" t="s">
        <v>461</v>
      </c>
      <c r="M4678">
        <v>0</v>
      </c>
      <c r="N4678">
        <v>2088</v>
      </c>
      <c r="O4678">
        <v>3.1432690000000001</v>
      </c>
      <c r="P4678">
        <v>1</v>
      </c>
      <c r="Q4678" s="1" t="s">
        <v>565</v>
      </c>
      <c r="R4678" s="93">
        <v>8151.39</v>
      </c>
      <c r="S4678">
        <v>1027.07</v>
      </c>
      <c r="T4678">
        <v>0</v>
      </c>
      <c r="U4678" s="1" t="s">
        <v>924</v>
      </c>
      <c r="V4678" s="1"/>
      <c r="W4678">
        <v>6.5634600000000001</v>
      </c>
      <c r="X4678">
        <v>0</v>
      </c>
      <c r="Y4678">
        <v>90566</v>
      </c>
    </row>
    <row r="4679" spans="1:25" ht="15" hidden="1" customHeight="1" x14ac:dyDescent="0.25">
      <c r="A4679" s="1" t="s">
        <v>40</v>
      </c>
      <c r="B4679" s="1"/>
      <c r="C4679" s="1" t="s">
        <v>223</v>
      </c>
      <c r="D4679">
        <v>13534</v>
      </c>
      <c r="E4679" s="1" t="s">
        <v>243</v>
      </c>
      <c r="F4679" s="1" t="s">
        <v>223</v>
      </c>
      <c r="G4679" s="1" t="s">
        <v>223</v>
      </c>
      <c r="H4679" s="1" t="s">
        <v>1396</v>
      </c>
      <c r="I4679">
        <v>2014</v>
      </c>
      <c r="J4679" s="93">
        <v>4634.34</v>
      </c>
      <c r="K4679">
        <v>10</v>
      </c>
      <c r="L4679" s="1" t="s">
        <v>461</v>
      </c>
      <c r="M4679">
        <v>0</v>
      </c>
      <c r="N4679">
        <v>2088</v>
      </c>
      <c r="O4679">
        <v>2.2194050000000001</v>
      </c>
      <c r="P4679">
        <v>1</v>
      </c>
      <c r="Q4679" s="1" t="s">
        <v>565</v>
      </c>
      <c r="R4679" s="93">
        <v>6163.28</v>
      </c>
      <c r="S4679">
        <v>776.57</v>
      </c>
      <c r="T4679">
        <v>0</v>
      </c>
      <c r="U4679" s="1" t="s">
        <v>925</v>
      </c>
      <c r="V4679" s="1"/>
      <c r="W4679">
        <v>4.6343399999999999</v>
      </c>
      <c r="X4679">
        <v>0</v>
      </c>
      <c r="Y4679">
        <v>90568</v>
      </c>
    </row>
    <row r="4680" spans="1:25" ht="15" hidden="1" customHeight="1" x14ac:dyDescent="0.25">
      <c r="A4680" s="1" t="s">
        <v>40</v>
      </c>
      <c r="B4680" s="1"/>
      <c r="C4680" s="1" t="s">
        <v>223</v>
      </c>
      <c r="D4680">
        <v>13534</v>
      </c>
      <c r="E4680" s="1" t="s">
        <v>243</v>
      </c>
      <c r="F4680" s="1" t="s">
        <v>223</v>
      </c>
      <c r="G4680" s="1" t="s">
        <v>223</v>
      </c>
      <c r="H4680" s="1" t="s">
        <v>1396</v>
      </c>
      <c r="I4680">
        <v>2014</v>
      </c>
      <c r="J4680" s="93">
        <v>305.31</v>
      </c>
      <c r="K4680">
        <v>11</v>
      </c>
      <c r="L4680" s="1" t="s">
        <v>421</v>
      </c>
      <c r="M4680">
        <v>0</v>
      </c>
      <c r="N4680">
        <v>2088</v>
      </c>
      <c r="O4680">
        <v>0.14621400000000001</v>
      </c>
      <c r="P4680">
        <v>3</v>
      </c>
      <c r="Q4680" s="1" t="s">
        <v>560</v>
      </c>
      <c r="R4680" s="93">
        <v>305.31</v>
      </c>
      <c r="S4680">
        <v>0</v>
      </c>
      <c r="T4680">
        <v>1</v>
      </c>
      <c r="U4680" s="1" t="s">
        <v>744</v>
      </c>
      <c r="V4680" s="1"/>
      <c r="W4680">
        <v>305.30248</v>
      </c>
      <c r="X4680">
        <v>0</v>
      </c>
      <c r="Y4680">
        <v>90572</v>
      </c>
    </row>
    <row r="4681" spans="1:25" ht="15" hidden="1" customHeight="1" x14ac:dyDescent="0.25">
      <c r="A4681" s="1" t="s">
        <v>40</v>
      </c>
      <c r="B4681" s="1" t="s">
        <v>86</v>
      </c>
      <c r="C4681" s="1" t="s">
        <v>213</v>
      </c>
      <c r="D4681">
        <v>5468</v>
      </c>
      <c r="E4681" s="1"/>
      <c r="F4681" s="1" t="s">
        <v>213</v>
      </c>
      <c r="G4681" s="1" t="s">
        <v>213</v>
      </c>
      <c r="H4681" s="1" t="s">
        <v>1396</v>
      </c>
      <c r="I4681">
        <v>2008</v>
      </c>
      <c r="J4681" s="93">
        <v>59839.83</v>
      </c>
      <c r="K4681">
        <v>12</v>
      </c>
      <c r="L4681" s="1"/>
      <c r="M4681">
        <v>0</v>
      </c>
      <c r="N4681">
        <v>12237</v>
      </c>
      <c r="O4681">
        <v>4.8900329999999999</v>
      </c>
      <c r="P4681">
        <v>1</v>
      </c>
      <c r="Q4681" s="1" t="s">
        <v>563</v>
      </c>
      <c r="R4681" s="93">
        <v>63984.99</v>
      </c>
      <c r="S4681">
        <v>339.27</v>
      </c>
      <c r="T4681">
        <v>1</v>
      </c>
      <c r="U4681" s="1" t="s">
        <v>910</v>
      </c>
      <c r="V4681" s="1"/>
      <c r="W4681">
        <v>1715.1</v>
      </c>
      <c r="X4681">
        <v>57834</v>
      </c>
      <c r="Y4681">
        <v>57835</v>
      </c>
    </row>
    <row r="4682" spans="1:25" ht="15" hidden="1" customHeight="1" x14ac:dyDescent="0.25">
      <c r="A4682" s="1" t="s">
        <v>40</v>
      </c>
      <c r="B4682" s="1" t="s">
        <v>86</v>
      </c>
      <c r="C4682" s="1" t="s">
        <v>213</v>
      </c>
      <c r="D4682">
        <v>5468</v>
      </c>
      <c r="E4682" s="1"/>
      <c r="F4682" s="1" t="s">
        <v>213</v>
      </c>
      <c r="G4682" s="1" t="s">
        <v>213</v>
      </c>
      <c r="H4682" s="1" t="s">
        <v>1396</v>
      </c>
      <c r="I4682">
        <v>2008</v>
      </c>
      <c r="J4682" s="93">
        <v>80590</v>
      </c>
      <c r="K4682">
        <v>12</v>
      </c>
      <c r="L4682" s="1"/>
      <c r="M4682">
        <v>0</v>
      </c>
      <c r="N4682">
        <v>12237</v>
      </c>
      <c r="O4682">
        <v>6.5857099999999997</v>
      </c>
      <c r="P4682">
        <v>1</v>
      </c>
      <c r="Q4682" s="1" t="s">
        <v>562</v>
      </c>
      <c r="R4682" s="93">
        <v>84940.5</v>
      </c>
      <c r="S4682">
        <v>15713.99</v>
      </c>
      <c r="T4682">
        <v>0</v>
      </c>
      <c r="U4682" s="1" t="s">
        <v>910</v>
      </c>
      <c r="V4682" s="1"/>
      <c r="W4682">
        <v>80590</v>
      </c>
      <c r="X4682">
        <v>0</v>
      </c>
      <c r="Y4682">
        <v>57834</v>
      </c>
    </row>
    <row r="4683" spans="1:25" ht="15" hidden="1" customHeight="1" x14ac:dyDescent="0.25">
      <c r="A4683" s="1" t="s">
        <v>40</v>
      </c>
      <c r="B4683" s="1" t="s">
        <v>94</v>
      </c>
      <c r="C4683" s="1" t="s">
        <v>224</v>
      </c>
      <c r="D4683">
        <v>5465</v>
      </c>
      <c r="E4683" s="1"/>
      <c r="F4683" s="1" t="s">
        <v>224</v>
      </c>
      <c r="G4683" s="1" t="s">
        <v>224</v>
      </c>
      <c r="H4683" s="1" t="s">
        <v>1396</v>
      </c>
      <c r="I4683">
        <v>2014</v>
      </c>
      <c r="J4683" s="93">
        <v>175.67</v>
      </c>
      <c r="K4683">
        <v>12</v>
      </c>
      <c r="L4683" s="1"/>
      <c r="M4683">
        <v>0</v>
      </c>
      <c r="N4683">
        <v>1384</v>
      </c>
      <c r="O4683">
        <v>0.12692000000000001</v>
      </c>
      <c r="P4683">
        <v>3</v>
      </c>
      <c r="Q4683" s="1" t="s">
        <v>560</v>
      </c>
      <c r="R4683" s="93">
        <v>175.67</v>
      </c>
      <c r="S4683">
        <v>140.53</v>
      </c>
      <c r="T4683">
        <v>0</v>
      </c>
      <c r="U4683" s="1" t="s">
        <v>747</v>
      </c>
      <c r="V4683" s="1"/>
      <c r="W4683">
        <v>175.67</v>
      </c>
      <c r="X4683">
        <v>0</v>
      </c>
      <c r="Y4683">
        <v>57761</v>
      </c>
    </row>
    <row r="4684" spans="1:25" ht="15" hidden="1" customHeight="1" x14ac:dyDescent="0.25">
      <c r="A4684" s="1" t="s">
        <v>40</v>
      </c>
      <c r="B4684" s="1" t="s">
        <v>94</v>
      </c>
      <c r="C4684" s="1" t="s">
        <v>224</v>
      </c>
      <c r="D4684">
        <v>5465</v>
      </c>
      <c r="E4684" s="1"/>
      <c r="F4684" s="1" t="s">
        <v>224</v>
      </c>
      <c r="G4684" s="1" t="s">
        <v>224</v>
      </c>
      <c r="H4684" s="1" t="s">
        <v>1396</v>
      </c>
      <c r="I4684">
        <v>2014</v>
      </c>
      <c r="J4684" s="93">
        <v>33.35</v>
      </c>
      <c r="K4684">
        <v>12</v>
      </c>
      <c r="L4684" s="1"/>
      <c r="M4684">
        <v>0</v>
      </c>
      <c r="N4684">
        <v>1384</v>
      </c>
      <c r="O4684">
        <v>2.4094999999999998E-2</v>
      </c>
      <c r="P4684">
        <v>3</v>
      </c>
      <c r="Q4684" s="1" t="s">
        <v>560</v>
      </c>
      <c r="R4684" s="93">
        <v>33.35</v>
      </c>
      <c r="S4684">
        <v>26.69</v>
      </c>
      <c r="T4684">
        <v>1</v>
      </c>
      <c r="U4684" s="1" t="s">
        <v>748</v>
      </c>
      <c r="V4684" s="1"/>
      <c r="W4684">
        <v>33.35</v>
      </c>
      <c r="X4684">
        <v>0</v>
      </c>
      <c r="Y4684">
        <v>58121</v>
      </c>
    </row>
    <row r="4685" spans="1:25" ht="15" hidden="1" customHeight="1" x14ac:dyDescent="0.25">
      <c r="A4685" s="1" t="s">
        <v>40</v>
      </c>
      <c r="B4685" s="1" t="s">
        <v>94</v>
      </c>
      <c r="C4685" s="1" t="s">
        <v>224</v>
      </c>
      <c r="D4685">
        <v>5465</v>
      </c>
      <c r="E4685" s="1"/>
      <c r="F4685" s="1" t="s">
        <v>224</v>
      </c>
      <c r="G4685" s="1" t="s">
        <v>224</v>
      </c>
      <c r="H4685" s="1" t="s">
        <v>1396</v>
      </c>
      <c r="I4685">
        <v>2014</v>
      </c>
      <c r="J4685" s="93">
        <v>94723.74</v>
      </c>
      <c r="K4685">
        <v>12</v>
      </c>
      <c r="L4685" s="1"/>
      <c r="M4685">
        <v>0</v>
      </c>
      <c r="N4685">
        <v>1384</v>
      </c>
      <c r="O4685">
        <v>68.437062999999995</v>
      </c>
      <c r="P4685">
        <v>1</v>
      </c>
      <c r="Q4685" s="1" t="s">
        <v>562</v>
      </c>
      <c r="R4685" s="93">
        <v>111934.53</v>
      </c>
      <c r="S4685">
        <v>8236847.2400000002</v>
      </c>
      <c r="T4685">
        <v>0</v>
      </c>
      <c r="U4685" s="1" t="s">
        <v>926</v>
      </c>
      <c r="V4685" s="1"/>
      <c r="W4685">
        <v>94723.755040000004</v>
      </c>
      <c r="X4685">
        <v>0</v>
      </c>
      <c r="Y4685">
        <v>57760</v>
      </c>
    </row>
    <row r="4686" spans="1:25" ht="15" hidden="1" customHeight="1" x14ac:dyDescent="0.25">
      <c r="A4686" s="1" t="s">
        <v>40</v>
      </c>
      <c r="B4686" s="1" t="s">
        <v>94</v>
      </c>
      <c r="C4686" s="1" t="s">
        <v>224</v>
      </c>
      <c r="D4686">
        <v>5465</v>
      </c>
      <c r="E4686" s="1"/>
      <c r="F4686" s="1" t="s">
        <v>224</v>
      </c>
      <c r="G4686" s="1" t="s">
        <v>224</v>
      </c>
      <c r="H4686" s="1" t="s">
        <v>1396</v>
      </c>
      <c r="I4686">
        <v>2014</v>
      </c>
      <c r="J4686" s="93">
        <v>4238.34</v>
      </c>
      <c r="K4686">
        <v>12</v>
      </c>
      <c r="L4686" s="1" t="s">
        <v>421</v>
      </c>
      <c r="M4686">
        <v>0</v>
      </c>
      <c r="N4686">
        <v>1384</v>
      </c>
      <c r="O4686">
        <v>3.062163</v>
      </c>
      <c r="P4686">
        <v>1</v>
      </c>
      <c r="Q4686" s="1" t="s">
        <v>562</v>
      </c>
      <c r="R4686" s="93">
        <v>5341.4</v>
      </c>
      <c r="S4686">
        <v>769689.18</v>
      </c>
      <c r="T4686">
        <v>1</v>
      </c>
      <c r="U4686" s="1" t="s">
        <v>927</v>
      </c>
      <c r="V4686" s="1"/>
      <c r="W4686">
        <v>4238.3417399999998</v>
      </c>
      <c r="X4686">
        <v>0</v>
      </c>
      <c r="Y4686">
        <v>57767</v>
      </c>
    </row>
    <row r="4687" spans="1:25" ht="15" hidden="1" customHeight="1" x14ac:dyDescent="0.25">
      <c r="A4687" s="1" t="s">
        <v>40</v>
      </c>
      <c r="B4687" s="1" t="s">
        <v>94</v>
      </c>
      <c r="C4687" s="1" t="s">
        <v>224</v>
      </c>
      <c r="D4687">
        <v>5465</v>
      </c>
      <c r="E4687" s="1"/>
      <c r="F4687" s="1" t="s">
        <v>224</v>
      </c>
      <c r="G4687" s="1" t="s">
        <v>224</v>
      </c>
      <c r="H4687" s="1" t="s">
        <v>1396</v>
      </c>
      <c r="I4687">
        <v>2014</v>
      </c>
      <c r="J4687" s="93">
        <v>8458.0400000000009</v>
      </c>
      <c r="K4687">
        <v>12</v>
      </c>
      <c r="L4687" s="1" t="s">
        <v>421</v>
      </c>
      <c r="M4687">
        <v>0</v>
      </c>
      <c r="N4687">
        <v>1384</v>
      </c>
      <c r="O4687">
        <v>6.1108589999999996</v>
      </c>
      <c r="P4687">
        <v>1</v>
      </c>
      <c r="Q4687" s="1" t="s">
        <v>562</v>
      </c>
      <c r="R4687" s="93">
        <v>10000.64</v>
      </c>
      <c r="S4687">
        <v>1000795.52</v>
      </c>
      <c r="T4687">
        <v>1</v>
      </c>
      <c r="U4687" s="1" t="s">
        <v>928</v>
      </c>
      <c r="V4687" s="1"/>
      <c r="W4687">
        <v>8458.0342700000001</v>
      </c>
      <c r="X4687">
        <v>0</v>
      </c>
      <c r="Y4687">
        <v>57775</v>
      </c>
    </row>
    <row r="4688" spans="1:25" ht="15" hidden="1" customHeight="1" x14ac:dyDescent="0.25">
      <c r="A4688" s="1" t="s">
        <v>40</v>
      </c>
      <c r="B4688" s="1" t="s">
        <v>94</v>
      </c>
      <c r="C4688" s="1" t="s">
        <v>224</v>
      </c>
      <c r="D4688">
        <v>5465</v>
      </c>
      <c r="E4688" s="1"/>
      <c r="F4688" s="1" t="s">
        <v>224</v>
      </c>
      <c r="G4688" s="1" t="s">
        <v>224</v>
      </c>
      <c r="H4688" s="1" t="s">
        <v>1396</v>
      </c>
      <c r="I4688">
        <v>2014</v>
      </c>
      <c r="J4688" s="93">
        <v>68249.820000000007</v>
      </c>
      <c r="K4688">
        <v>12</v>
      </c>
      <c r="L4688" s="1" t="s">
        <v>421</v>
      </c>
      <c r="M4688">
        <v>0</v>
      </c>
      <c r="N4688">
        <v>1384</v>
      </c>
      <c r="O4688">
        <v>49.309890000000003</v>
      </c>
      <c r="P4688">
        <v>1</v>
      </c>
      <c r="Q4688" s="1" t="s">
        <v>562</v>
      </c>
      <c r="R4688" s="93">
        <v>81755.44</v>
      </c>
      <c r="S4688">
        <v>6576763.25</v>
      </c>
      <c r="T4688">
        <v>1</v>
      </c>
      <c r="U4688" s="1" t="s">
        <v>930</v>
      </c>
      <c r="V4688" s="1"/>
      <c r="W4688">
        <v>68249.798389999996</v>
      </c>
      <c r="X4688">
        <v>0</v>
      </c>
      <c r="Y4688">
        <v>57777</v>
      </c>
    </row>
    <row r="4689" spans="1:25" ht="15" hidden="1" customHeight="1" x14ac:dyDescent="0.25">
      <c r="A4689" s="1" t="s">
        <v>40</v>
      </c>
      <c r="B4689" s="1" t="s">
        <v>94</v>
      </c>
      <c r="C4689" s="1" t="s">
        <v>224</v>
      </c>
      <c r="D4689">
        <v>5539</v>
      </c>
      <c r="E4689" s="1"/>
      <c r="F4689" s="1" t="s">
        <v>370</v>
      </c>
      <c r="G4689" s="1" t="s">
        <v>224</v>
      </c>
      <c r="H4689" s="1" t="s">
        <v>1396</v>
      </c>
      <c r="I4689">
        <v>2014</v>
      </c>
      <c r="J4689" s="93">
        <v>7316.26</v>
      </c>
      <c r="K4689">
        <v>12</v>
      </c>
      <c r="L4689" s="1" t="s">
        <v>421</v>
      </c>
      <c r="M4689">
        <v>0</v>
      </c>
      <c r="N4689">
        <v>1480</v>
      </c>
      <c r="O4689">
        <v>4.9430839999999998</v>
      </c>
      <c r="P4689">
        <v>1</v>
      </c>
      <c r="Q4689" s="1" t="s">
        <v>562</v>
      </c>
      <c r="R4689" s="93">
        <v>8746.99</v>
      </c>
      <c r="S4689">
        <v>206138.17</v>
      </c>
      <c r="T4689">
        <v>0</v>
      </c>
      <c r="U4689" s="1" t="s">
        <v>931</v>
      </c>
      <c r="V4689" s="1"/>
      <c r="W4689">
        <v>7316.24496</v>
      </c>
      <c r="X4689">
        <v>0</v>
      </c>
      <c r="Y4689">
        <v>58289</v>
      </c>
    </row>
    <row r="4690" spans="1:25" ht="15" hidden="1" customHeight="1" x14ac:dyDescent="0.25">
      <c r="A4690" s="1" t="s">
        <v>40</v>
      </c>
      <c r="B4690" s="1" t="s">
        <v>94</v>
      </c>
      <c r="C4690" s="1" t="s">
        <v>224</v>
      </c>
      <c r="D4690">
        <v>5465</v>
      </c>
      <c r="E4690" s="1"/>
      <c r="F4690" s="1" t="s">
        <v>224</v>
      </c>
      <c r="G4690" s="1" t="s">
        <v>224</v>
      </c>
      <c r="H4690" s="1" t="s">
        <v>1396</v>
      </c>
      <c r="I4690">
        <v>2014</v>
      </c>
      <c r="J4690" s="93">
        <v>525.76</v>
      </c>
      <c r="K4690">
        <v>12</v>
      </c>
      <c r="L4690" s="1" t="s">
        <v>421</v>
      </c>
      <c r="M4690">
        <v>0</v>
      </c>
      <c r="N4690">
        <v>1384</v>
      </c>
      <c r="O4690">
        <v>0.37985600000000003</v>
      </c>
      <c r="P4690">
        <v>2</v>
      </c>
      <c r="Q4690" s="1" t="s">
        <v>569</v>
      </c>
      <c r="R4690" s="93">
        <v>525.76</v>
      </c>
      <c r="S4690">
        <v>157.72</v>
      </c>
      <c r="T4690">
        <v>1</v>
      </c>
      <c r="U4690" s="1" t="s">
        <v>1174</v>
      </c>
      <c r="V4690" s="1"/>
      <c r="W4690">
        <v>525.74899000000005</v>
      </c>
      <c r="X4690">
        <v>0</v>
      </c>
      <c r="Y4690">
        <v>90266</v>
      </c>
    </row>
    <row r="4691" spans="1:25" ht="15" hidden="1" customHeight="1" x14ac:dyDescent="0.25">
      <c r="A4691" s="1" t="s">
        <v>40</v>
      </c>
      <c r="B4691" s="1" t="s">
        <v>94</v>
      </c>
      <c r="C4691" s="1" t="s">
        <v>224</v>
      </c>
      <c r="D4691">
        <v>5465</v>
      </c>
      <c r="E4691" s="1"/>
      <c r="F4691" s="1" t="s">
        <v>224</v>
      </c>
      <c r="G4691" s="1" t="s">
        <v>224</v>
      </c>
      <c r="H4691" s="1" t="s">
        <v>1396</v>
      </c>
      <c r="I4691">
        <v>2014</v>
      </c>
      <c r="J4691" s="93">
        <v>14385.42</v>
      </c>
      <c r="K4691">
        <v>12</v>
      </c>
      <c r="L4691" s="1" t="s">
        <v>421</v>
      </c>
      <c r="M4691">
        <v>0</v>
      </c>
      <c r="N4691">
        <v>1384</v>
      </c>
      <c r="O4691">
        <v>10.393338</v>
      </c>
      <c r="P4691">
        <v>2</v>
      </c>
      <c r="Q4691" s="1" t="s">
        <v>569</v>
      </c>
      <c r="R4691" s="93">
        <v>14385.42</v>
      </c>
      <c r="S4691">
        <v>4315.63</v>
      </c>
      <c r="T4691">
        <v>1</v>
      </c>
      <c r="U4691" s="1" t="s">
        <v>1177</v>
      </c>
      <c r="V4691" s="1"/>
      <c r="W4691">
        <v>14385.4002</v>
      </c>
      <c r="X4691">
        <v>0</v>
      </c>
      <c r="Y4691">
        <v>90268</v>
      </c>
    </row>
    <row r="4692" spans="1:25" ht="15" hidden="1" customHeight="1" x14ac:dyDescent="0.25">
      <c r="A4692" s="1" t="s">
        <v>40</v>
      </c>
      <c r="B4692" s="1" t="s">
        <v>94</v>
      </c>
      <c r="C4692" s="1" t="s">
        <v>224</v>
      </c>
      <c r="D4692">
        <v>5465</v>
      </c>
      <c r="E4692" s="1"/>
      <c r="F4692" s="1" t="s">
        <v>224</v>
      </c>
      <c r="G4692" s="1" t="s">
        <v>224</v>
      </c>
      <c r="H4692" s="1" t="s">
        <v>1396</v>
      </c>
      <c r="I4692">
        <v>2014</v>
      </c>
      <c r="J4692" s="93">
        <v>18252.68</v>
      </c>
      <c r="K4692">
        <v>12</v>
      </c>
      <c r="L4692" s="1" t="s">
        <v>421</v>
      </c>
      <c r="M4692">
        <v>0</v>
      </c>
      <c r="N4692">
        <v>1384</v>
      </c>
      <c r="O4692">
        <v>13.187398999999999</v>
      </c>
      <c r="P4692">
        <v>2</v>
      </c>
      <c r="Q4692" s="1" t="s">
        <v>569</v>
      </c>
      <c r="R4692" s="93">
        <v>18252.68</v>
      </c>
      <c r="S4692">
        <v>7301.1</v>
      </c>
      <c r="T4692">
        <v>1</v>
      </c>
      <c r="U4692" s="1" t="s">
        <v>1171</v>
      </c>
      <c r="V4692" s="1"/>
      <c r="W4692">
        <v>18252.68144</v>
      </c>
      <c r="X4692">
        <v>0</v>
      </c>
      <c r="Y4692">
        <v>57770</v>
      </c>
    </row>
    <row r="4693" spans="1:25" ht="15" hidden="1" customHeight="1" x14ac:dyDescent="0.25">
      <c r="A4693" s="1" t="s">
        <v>40</v>
      </c>
      <c r="B4693" s="1" t="s">
        <v>94</v>
      </c>
      <c r="C4693" s="1" t="s">
        <v>224</v>
      </c>
      <c r="D4693">
        <v>5465</v>
      </c>
      <c r="E4693" s="1"/>
      <c r="F4693" s="1" t="s">
        <v>224</v>
      </c>
      <c r="G4693" s="1" t="s">
        <v>224</v>
      </c>
      <c r="H4693" s="1" t="s">
        <v>1396</v>
      </c>
      <c r="I4693">
        <v>2014</v>
      </c>
      <c r="J4693" s="93">
        <v>66805.87</v>
      </c>
      <c r="K4693">
        <v>12</v>
      </c>
      <c r="L4693" s="1"/>
      <c r="M4693">
        <v>0</v>
      </c>
      <c r="N4693">
        <v>1384</v>
      </c>
      <c r="O4693">
        <v>48.266649000000001</v>
      </c>
      <c r="P4693">
        <v>2</v>
      </c>
      <c r="Q4693" s="1" t="s">
        <v>569</v>
      </c>
      <c r="R4693" s="93">
        <v>66805.87</v>
      </c>
      <c r="S4693">
        <v>26722.32</v>
      </c>
      <c r="T4693">
        <v>0</v>
      </c>
      <c r="U4693" s="1" t="s">
        <v>1172</v>
      </c>
      <c r="V4693" s="1" t="s">
        <v>1360</v>
      </c>
      <c r="W4693">
        <v>66805.861619999996</v>
      </c>
      <c r="X4693">
        <v>0</v>
      </c>
      <c r="Y4693">
        <v>58297</v>
      </c>
    </row>
    <row r="4694" spans="1:25" ht="15" hidden="1" customHeight="1" x14ac:dyDescent="0.25">
      <c r="A4694" s="1" t="s">
        <v>40</v>
      </c>
      <c r="B4694" s="1" t="s">
        <v>94</v>
      </c>
      <c r="C4694" s="1" t="s">
        <v>224</v>
      </c>
      <c r="D4694">
        <v>5465</v>
      </c>
      <c r="E4694" s="1"/>
      <c r="F4694" s="1" t="s">
        <v>224</v>
      </c>
      <c r="G4694" s="1" t="s">
        <v>224</v>
      </c>
      <c r="H4694" s="1" t="s">
        <v>1396</v>
      </c>
      <c r="I4694">
        <v>2014</v>
      </c>
      <c r="J4694" s="93">
        <v>1854.14</v>
      </c>
      <c r="K4694">
        <v>12</v>
      </c>
      <c r="L4694" s="1" t="s">
        <v>421</v>
      </c>
      <c r="M4694">
        <v>0</v>
      </c>
      <c r="N4694">
        <v>1384</v>
      </c>
      <c r="O4694">
        <v>1.339599</v>
      </c>
      <c r="P4694">
        <v>2</v>
      </c>
      <c r="Q4694" s="1" t="s">
        <v>569</v>
      </c>
      <c r="R4694" s="93">
        <v>1854.14</v>
      </c>
      <c r="S4694">
        <v>556.23</v>
      </c>
      <c r="T4694">
        <v>1</v>
      </c>
      <c r="U4694" s="1" t="s">
        <v>1173</v>
      </c>
      <c r="V4694" s="1"/>
      <c r="W4694">
        <v>1854.13004</v>
      </c>
      <c r="X4694">
        <v>0</v>
      </c>
      <c r="Y4694">
        <v>90264</v>
      </c>
    </row>
    <row r="4695" spans="1:25" ht="15" hidden="1" customHeight="1" x14ac:dyDescent="0.25">
      <c r="A4695" s="1" t="s">
        <v>40</v>
      </c>
      <c r="B4695" s="1" t="s">
        <v>94</v>
      </c>
      <c r="C4695" s="1" t="s">
        <v>224</v>
      </c>
      <c r="D4695">
        <v>5465</v>
      </c>
      <c r="E4695" s="1"/>
      <c r="F4695" s="1" t="s">
        <v>224</v>
      </c>
      <c r="G4695" s="1" t="s">
        <v>224</v>
      </c>
      <c r="H4695" s="1" t="s">
        <v>1396</v>
      </c>
      <c r="I4695">
        <v>2014</v>
      </c>
      <c r="J4695" s="93">
        <v>2.94</v>
      </c>
      <c r="K4695">
        <v>12</v>
      </c>
      <c r="L4695" s="1" t="s">
        <v>421</v>
      </c>
      <c r="M4695">
        <v>0</v>
      </c>
      <c r="N4695">
        <v>1384</v>
      </c>
      <c r="O4695">
        <v>2.124E-3</v>
      </c>
      <c r="P4695">
        <v>2</v>
      </c>
      <c r="Q4695" s="1" t="s">
        <v>569</v>
      </c>
      <c r="R4695" s="93">
        <v>2.94</v>
      </c>
      <c r="S4695">
        <v>0.88</v>
      </c>
      <c r="T4695">
        <v>1</v>
      </c>
      <c r="U4695" s="1" t="s">
        <v>1175</v>
      </c>
      <c r="V4695" s="1"/>
      <c r="W4695">
        <v>2.9375</v>
      </c>
      <c r="X4695">
        <v>0</v>
      </c>
      <c r="Y4695">
        <v>90265</v>
      </c>
    </row>
    <row r="4696" spans="1:25" ht="15" hidden="1" customHeight="1" x14ac:dyDescent="0.25">
      <c r="A4696" s="1" t="s">
        <v>40</v>
      </c>
      <c r="B4696" s="1" t="s">
        <v>94</v>
      </c>
      <c r="C4696" s="1" t="s">
        <v>224</v>
      </c>
      <c r="D4696">
        <v>5465</v>
      </c>
      <c r="E4696" s="1"/>
      <c r="F4696" s="1" t="s">
        <v>224</v>
      </c>
      <c r="G4696" s="1" t="s">
        <v>224</v>
      </c>
      <c r="H4696" s="1" t="s">
        <v>1396</v>
      </c>
      <c r="I4696">
        <v>2014</v>
      </c>
      <c r="J4696" s="93">
        <v>6797.22</v>
      </c>
      <c r="K4696">
        <v>12</v>
      </c>
      <c r="L4696" s="1" t="s">
        <v>421</v>
      </c>
      <c r="M4696">
        <v>0</v>
      </c>
      <c r="N4696">
        <v>1384</v>
      </c>
      <c r="O4696">
        <v>4.9109309999999997</v>
      </c>
      <c r="P4696">
        <v>2</v>
      </c>
      <c r="Q4696" s="1" t="s">
        <v>569</v>
      </c>
      <c r="R4696" s="93">
        <v>6797.22</v>
      </c>
      <c r="S4696">
        <v>2039.17</v>
      </c>
      <c r="T4696">
        <v>1</v>
      </c>
      <c r="U4696" s="1" t="s">
        <v>1176</v>
      </c>
      <c r="V4696" s="1"/>
      <c r="W4696">
        <v>6797.2308400000002</v>
      </c>
      <c r="X4696">
        <v>0</v>
      </c>
      <c r="Y4696">
        <v>90267</v>
      </c>
    </row>
    <row r="4697" spans="1:25" ht="15" hidden="1" customHeight="1" x14ac:dyDescent="0.25">
      <c r="A4697" s="1" t="s">
        <v>40</v>
      </c>
      <c r="B4697" s="1" t="s">
        <v>94</v>
      </c>
      <c r="C4697" s="1" t="s">
        <v>224</v>
      </c>
      <c r="D4697">
        <v>5539</v>
      </c>
      <c r="E4697" s="1"/>
      <c r="F4697" s="1" t="s">
        <v>370</v>
      </c>
      <c r="G4697" s="1" t="s">
        <v>224</v>
      </c>
      <c r="H4697" s="1" t="s">
        <v>1396</v>
      </c>
      <c r="I4697">
        <v>2014</v>
      </c>
      <c r="J4697" s="93">
        <v>32842.160000000003</v>
      </c>
      <c r="K4697">
        <v>12</v>
      </c>
      <c r="L4697" s="1" t="s">
        <v>421</v>
      </c>
      <c r="M4697">
        <v>0</v>
      </c>
      <c r="N4697">
        <v>1480</v>
      </c>
      <c r="O4697">
        <v>22.189149</v>
      </c>
      <c r="P4697">
        <v>2</v>
      </c>
      <c r="Q4697" s="1" t="s">
        <v>569</v>
      </c>
      <c r="R4697" s="93">
        <v>32842.160000000003</v>
      </c>
      <c r="S4697">
        <v>13136.87</v>
      </c>
      <c r="T4697">
        <v>0</v>
      </c>
      <c r="U4697" s="1" t="s">
        <v>1178</v>
      </c>
      <c r="V4697" s="1"/>
      <c r="W4697">
        <v>32842.154240000003</v>
      </c>
      <c r="X4697">
        <v>0</v>
      </c>
      <c r="Y4697">
        <v>58286</v>
      </c>
    </row>
    <row r="4698" spans="1:25" ht="15" hidden="1" customHeight="1" x14ac:dyDescent="0.25">
      <c r="A4698" s="1" t="s">
        <v>40</v>
      </c>
      <c r="B4698" s="1" t="s">
        <v>94</v>
      </c>
      <c r="C4698" s="1" t="s">
        <v>224</v>
      </c>
      <c r="D4698">
        <v>5539</v>
      </c>
      <c r="E4698" s="1"/>
      <c r="F4698" s="1" t="s">
        <v>370</v>
      </c>
      <c r="G4698" s="1" t="s">
        <v>224</v>
      </c>
      <c r="H4698" s="1" t="s">
        <v>1396</v>
      </c>
      <c r="I4698">
        <v>2014</v>
      </c>
      <c r="J4698" s="93">
        <v>10758.14</v>
      </c>
      <c r="K4698">
        <v>12</v>
      </c>
      <c r="L4698" s="1" t="s">
        <v>421</v>
      </c>
      <c r="M4698">
        <v>0</v>
      </c>
      <c r="N4698">
        <v>1480</v>
      </c>
      <c r="O4698">
        <v>7.2685219999999999</v>
      </c>
      <c r="P4698">
        <v>2</v>
      </c>
      <c r="Q4698" s="1" t="s">
        <v>569</v>
      </c>
      <c r="R4698" s="93">
        <v>10758.14</v>
      </c>
      <c r="S4698">
        <v>4303.2700000000004</v>
      </c>
      <c r="T4698">
        <v>0</v>
      </c>
      <c r="U4698" s="1" t="s">
        <v>1179</v>
      </c>
      <c r="V4698" s="1"/>
      <c r="W4698">
        <v>10758.14214</v>
      </c>
      <c r="X4698">
        <v>0</v>
      </c>
      <c r="Y4698">
        <v>58287</v>
      </c>
    </row>
    <row r="4699" spans="1:25" ht="15" hidden="1" customHeight="1" x14ac:dyDescent="0.25">
      <c r="A4699" s="1" t="s">
        <v>40</v>
      </c>
      <c r="B4699" s="1" t="s">
        <v>94</v>
      </c>
      <c r="C4699" s="1" t="s">
        <v>224</v>
      </c>
      <c r="D4699">
        <v>5465</v>
      </c>
      <c r="E4699" s="1"/>
      <c r="F4699" s="1" t="s">
        <v>224</v>
      </c>
      <c r="G4699" s="1" t="s">
        <v>224</v>
      </c>
      <c r="H4699" s="1" t="s">
        <v>1396</v>
      </c>
      <c r="I4699">
        <v>2014</v>
      </c>
      <c r="J4699" s="93">
        <v>71517.52</v>
      </c>
      <c r="K4699">
        <v>12</v>
      </c>
      <c r="L4699" s="1"/>
      <c r="M4699">
        <v>0</v>
      </c>
      <c r="N4699">
        <v>1384</v>
      </c>
      <c r="O4699">
        <v>51.670774999999999</v>
      </c>
      <c r="P4699">
        <v>1</v>
      </c>
      <c r="Q4699" s="1" t="s">
        <v>563</v>
      </c>
      <c r="R4699" s="93">
        <v>83314.28</v>
      </c>
      <c r="S4699">
        <v>180420.31</v>
      </c>
      <c r="T4699">
        <v>1</v>
      </c>
      <c r="U4699" s="1" t="s">
        <v>929</v>
      </c>
      <c r="V4699" s="1"/>
      <c r="W4699">
        <v>2049.8000000000002</v>
      </c>
      <c r="X4699">
        <v>57760</v>
      </c>
      <c r="Y4699">
        <v>57765</v>
      </c>
    </row>
    <row r="4700" spans="1:25" ht="15" hidden="1" customHeight="1" x14ac:dyDescent="0.25">
      <c r="A4700" s="1" t="s">
        <v>40</v>
      </c>
      <c r="B4700" s="1" t="s">
        <v>86</v>
      </c>
      <c r="C4700" s="1" t="s">
        <v>213</v>
      </c>
      <c r="D4700">
        <v>5468</v>
      </c>
      <c r="E4700" s="1"/>
      <c r="F4700" s="1" t="s">
        <v>213</v>
      </c>
      <c r="G4700" s="1" t="s">
        <v>213</v>
      </c>
      <c r="H4700" s="1" t="s">
        <v>1405</v>
      </c>
      <c r="I4700">
        <v>2008</v>
      </c>
      <c r="J4700" s="93">
        <v>134990</v>
      </c>
      <c r="K4700">
        <v>5</v>
      </c>
      <c r="L4700" s="1" t="s">
        <v>455</v>
      </c>
      <c r="M4700">
        <v>0</v>
      </c>
      <c r="N4700">
        <v>12237</v>
      </c>
      <c r="O4700">
        <v>11.031207999999999</v>
      </c>
      <c r="P4700">
        <v>1</v>
      </c>
      <c r="Q4700" s="1" t="s">
        <v>565</v>
      </c>
      <c r="R4700" s="93">
        <v>167995.1</v>
      </c>
      <c r="S4700">
        <v>31.08</v>
      </c>
      <c r="T4700">
        <v>0</v>
      </c>
      <c r="U4700" s="1" t="s">
        <v>909</v>
      </c>
      <c r="V4700" s="1"/>
      <c r="W4700">
        <v>134.99</v>
      </c>
      <c r="X4700">
        <v>0</v>
      </c>
      <c r="Y4700">
        <v>57831</v>
      </c>
    </row>
    <row r="4701" spans="1:25" ht="15" hidden="1" customHeight="1" x14ac:dyDescent="0.25">
      <c r="A4701" s="1" t="s">
        <v>40</v>
      </c>
      <c r="B4701" s="1" t="s">
        <v>86</v>
      </c>
      <c r="C4701" s="1" t="s">
        <v>213</v>
      </c>
      <c r="D4701">
        <v>5468</v>
      </c>
      <c r="E4701" s="1"/>
      <c r="F4701" s="1" t="s">
        <v>213</v>
      </c>
      <c r="G4701" s="1" t="s">
        <v>213</v>
      </c>
      <c r="H4701" s="1" t="s">
        <v>1396</v>
      </c>
      <c r="I4701">
        <v>2008</v>
      </c>
      <c r="J4701" s="93">
        <v>110360</v>
      </c>
      <c r="K4701">
        <v>5</v>
      </c>
      <c r="L4701" s="1" t="s">
        <v>455</v>
      </c>
      <c r="M4701">
        <v>0</v>
      </c>
      <c r="N4701">
        <v>12237</v>
      </c>
      <c r="O4701">
        <v>9.0184759999999997</v>
      </c>
      <c r="P4701">
        <v>1</v>
      </c>
      <c r="Q4701" s="1" t="s">
        <v>565</v>
      </c>
      <c r="R4701" s="93">
        <v>137677.42000000001</v>
      </c>
      <c r="S4701">
        <v>25.47</v>
      </c>
      <c r="T4701">
        <v>0</v>
      </c>
      <c r="U4701" s="1" t="s">
        <v>910</v>
      </c>
      <c r="V4701" s="1"/>
      <c r="W4701">
        <v>110.36</v>
      </c>
      <c r="X4701">
        <v>0</v>
      </c>
      <c r="Y4701">
        <v>57836</v>
      </c>
    </row>
    <row r="4702" spans="1:25" ht="15" hidden="1" customHeight="1" x14ac:dyDescent="0.25">
      <c r="A4702" s="1" t="s">
        <v>40</v>
      </c>
      <c r="B4702" s="1" t="s">
        <v>87</v>
      </c>
      <c r="C4702" s="1" t="s">
        <v>214</v>
      </c>
      <c r="D4702">
        <v>5954</v>
      </c>
      <c r="E4702" s="1"/>
      <c r="F4702" s="1" t="s">
        <v>352</v>
      </c>
      <c r="G4702" s="1" t="s">
        <v>214</v>
      </c>
      <c r="H4702" s="1" t="s">
        <v>1396</v>
      </c>
      <c r="I4702">
        <v>2015</v>
      </c>
      <c r="J4702" s="93">
        <v>35363.14</v>
      </c>
      <c r="K4702">
        <v>5</v>
      </c>
      <c r="L4702" s="1" t="s">
        <v>482</v>
      </c>
      <c r="M4702">
        <v>0</v>
      </c>
      <c r="N4702">
        <v>475</v>
      </c>
      <c r="O4702">
        <v>74.433045000000007</v>
      </c>
      <c r="P4702">
        <v>1</v>
      </c>
      <c r="Q4702" s="1" t="s">
        <v>564</v>
      </c>
      <c r="R4702" s="93">
        <v>39805.42</v>
      </c>
      <c r="S4702">
        <v>8418.11</v>
      </c>
      <c r="T4702">
        <v>0</v>
      </c>
      <c r="U4702" s="1" t="s">
        <v>911</v>
      </c>
      <c r="V4702" s="1" t="s">
        <v>1229</v>
      </c>
      <c r="W4702">
        <v>3274.3649999999998</v>
      </c>
      <c r="X4702">
        <v>0</v>
      </c>
      <c r="Y4702">
        <v>59981</v>
      </c>
    </row>
    <row r="4703" spans="1:25" ht="15" hidden="1" customHeight="1" x14ac:dyDescent="0.25">
      <c r="A4703" s="1" t="s">
        <v>40</v>
      </c>
      <c r="B4703" s="1" t="s">
        <v>87</v>
      </c>
      <c r="C4703" s="1" t="s">
        <v>214</v>
      </c>
      <c r="D4703">
        <v>5954</v>
      </c>
      <c r="E4703" s="1"/>
      <c r="F4703" s="1" t="s">
        <v>352</v>
      </c>
      <c r="G4703" s="1" t="s">
        <v>214</v>
      </c>
      <c r="H4703" s="1" t="s">
        <v>1396</v>
      </c>
      <c r="I4703">
        <v>2013</v>
      </c>
      <c r="J4703" s="93">
        <v>75932.2</v>
      </c>
      <c r="K4703">
        <v>12</v>
      </c>
      <c r="L4703" s="1" t="s">
        <v>482</v>
      </c>
      <c r="M4703">
        <v>0</v>
      </c>
      <c r="N4703">
        <v>475</v>
      </c>
      <c r="O4703">
        <v>159.82361599999999</v>
      </c>
      <c r="P4703">
        <v>1</v>
      </c>
      <c r="Q4703" s="1" t="s">
        <v>564</v>
      </c>
      <c r="R4703" s="93">
        <v>80792.320000000007</v>
      </c>
      <c r="S4703">
        <v>17086.09</v>
      </c>
      <c r="T4703">
        <v>0</v>
      </c>
      <c r="U4703" s="1" t="s">
        <v>911</v>
      </c>
      <c r="V4703" s="1" t="s">
        <v>1229</v>
      </c>
      <c r="W4703">
        <v>7030.76</v>
      </c>
      <c r="X4703">
        <v>0</v>
      </c>
      <c r="Y4703">
        <v>59981</v>
      </c>
    </row>
    <row r="4704" spans="1:25" ht="15" hidden="1" customHeight="1" x14ac:dyDescent="0.25">
      <c r="A4704" s="1" t="s">
        <v>40</v>
      </c>
      <c r="B4704" s="1" t="s">
        <v>87</v>
      </c>
      <c r="C4704" s="1" t="s">
        <v>214</v>
      </c>
      <c r="D4704">
        <v>5954</v>
      </c>
      <c r="E4704" s="1"/>
      <c r="F4704" s="1" t="s">
        <v>352</v>
      </c>
      <c r="G4704" s="1" t="s">
        <v>214</v>
      </c>
      <c r="H4704" s="1" t="s">
        <v>1396</v>
      </c>
      <c r="I4704">
        <v>2012</v>
      </c>
      <c r="J4704" s="93">
        <v>74357.2</v>
      </c>
      <c r="K4704">
        <v>12</v>
      </c>
      <c r="L4704" s="1" t="s">
        <v>482</v>
      </c>
      <c r="M4704">
        <v>0</v>
      </c>
      <c r="N4704">
        <v>475</v>
      </c>
      <c r="O4704">
        <v>156.50852399999999</v>
      </c>
      <c r="P4704">
        <v>1</v>
      </c>
      <c r="Q4704" s="1" t="s">
        <v>564</v>
      </c>
      <c r="R4704" s="93">
        <v>77773.350000000006</v>
      </c>
      <c r="S4704">
        <v>16447.63</v>
      </c>
      <c r="T4704">
        <v>0</v>
      </c>
      <c r="U4704" s="1" t="s">
        <v>911</v>
      </c>
      <c r="V4704" s="1" t="s">
        <v>1229</v>
      </c>
      <c r="W4704">
        <v>6884.9256999999998</v>
      </c>
      <c r="X4704">
        <v>0</v>
      </c>
      <c r="Y4704">
        <v>59981</v>
      </c>
    </row>
    <row r="4705" spans="1:25" ht="15" hidden="1" customHeight="1" x14ac:dyDescent="0.25">
      <c r="A4705" s="1" t="s">
        <v>40</v>
      </c>
      <c r="B4705" s="1" t="s">
        <v>87</v>
      </c>
      <c r="C4705" s="1" t="s">
        <v>214</v>
      </c>
      <c r="D4705">
        <v>5954</v>
      </c>
      <c r="E4705" s="1"/>
      <c r="F4705" s="1" t="s">
        <v>352</v>
      </c>
      <c r="G4705" s="1" t="s">
        <v>214</v>
      </c>
      <c r="H4705" s="1" t="s">
        <v>1396</v>
      </c>
      <c r="I4705">
        <v>2011</v>
      </c>
      <c r="J4705" s="93">
        <v>73502.929999999993</v>
      </c>
      <c r="K4705">
        <v>12</v>
      </c>
      <c r="L4705" s="1" t="s">
        <v>482</v>
      </c>
      <c r="M4705">
        <v>0</v>
      </c>
      <c r="N4705">
        <v>475</v>
      </c>
      <c r="O4705">
        <v>154.71043900000001</v>
      </c>
      <c r="P4705">
        <v>1</v>
      </c>
      <c r="Q4705" s="1" t="s">
        <v>564</v>
      </c>
      <c r="R4705" s="93">
        <v>80456.179999999993</v>
      </c>
      <c r="S4705">
        <v>17014.990000000002</v>
      </c>
      <c r="T4705">
        <v>0</v>
      </c>
      <c r="U4705" s="1" t="s">
        <v>911</v>
      </c>
      <c r="V4705" s="1" t="s">
        <v>1229</v>
      </c>
      <c r="W4705">
        <v>6805.8264600000002</v>
      </c>
      <c r="X4705">
        <v>0</v>
      </c>
      <c r="Y4705">
        <v>59981</v>
      </c>
    </row>
    <row r="4706" spans="1:25" ht="15" hidden="1" customHeight="1" x14ac:dyDescent="0.25">
      <c r="A4706" s="1" t="s">
        <v>40</v>
      </c>
      <c r="B4706" s="1" t="s">
        <v>87</v>
      </c>
      <c r="C4706" s="1" t="s">
        <v>214</v>
      </c>
      <c r="D4706">
        <v>5954</v>
      </c>
      <c r="E4706" s="1"/>
      <c r="F4706" s="1" t="s">
        <v>352</v>
      </c>
      <c r="G4706" s="1" t="s">
        <v>214</v>
      </c>
      <c r="H4706" s="1" t="s">
        <v>1396</v>
      </c>
      <c r="I4706">
        <v>2010</v>
      </c>
      <c r="J4706" s="93">
        <v>77257.070000000007</v>
      </c>
      <c r="K4706">
        <v>11</v>
      </c>
      <c r="L4706" s="1" t="s">
        <v>482</v>
      </c>
      <c r="M4706">
        <v>0</v>
      </c>
      <c r="N4706">
        <v>475</v>
      </c>
      <c r="O4706">
        <v>162.61222900000001</v>
      </c>
      <c r="P4706">
        <v>1</v>
      </c>
      <c r="Q4706" s="1" t="s">
        <v>564</v>
      </c>
      <c r="R4706" s="93">
        <v>70016.86</v>
      </c>
      <c r="S4706">
        <v>14807.28</v>
      </c>
      <c r="T4706">
        <v>0</v>
      </c>
      <c r="U4706" s="1" t="s">
        <v>911</v>
      </c>
      <c r="V4706" s="1" t="s">
        <v>1229</v>
      </c>
      <c r="W4706">
        <v>7153.4308000000001</v>
      </c>
      <c r="X4706">
        <v>0</v>
      </c>
      <c r="Y4706">
        <v>59981</v>
      </c>
    </row>
    <row r="4707" spans="1:25" ht="15" hidden="1" customHeight="1" x14ac:dyDescent="0.25">
      <c r="A4707" s="1" t="s">
        <v>40</v>
      </c>
      <c r="B4707" s="1" t="s">
        <v>87</v>
      </c>
      <c r="C4707" s="1" t="s">
        <v>214</v>
      </c>
      <c r="D4707">
        <v>5954</v>
      </c>
      <c r="E4707" s="1"/>
      <c r="F4707" s="1" t="s">
        <v>352</v>
      </c>
      <c r="G4707" s="1" t="s">
        <v>214</v>
      </c>
      <c r="H4707" s="1" t="s">
        <v>1396</v>
      </c>
      <c r="I4707">
        <v>2009</v>
      </c>
      <c r="J4707" s="93">
        <v>75347.45</v>
      </c>
      <c r="K4707">
        <v>11</v>
      </c>
      <c r="L4707" s="1" t="s">
        <v>482</v>
      </c>
      <c r="M4707">
        <v>0</v>
      </c>
      <c r="N4707">
        <v>475</v>
      </c>
      <c r="O4707">
        <v>158.59282200000001</v>
      </c>
      <c r="P4707">
        <v>1</v>
      </c>
      <c r="Q4707" s="1" t="s">
        <v>564</v>
      </c>
      <c r="R4707" s="93">
        <v>81141.48</v>
      </c>
      <c r="S4707">
        <v>17159.93</v>
      </c>
      <c r="T4707">
        <v>0</v>
      </c>
      <c r="U4707" s="1" t="s">
        <v>911</v>
      </c>
      <c r="V4707" s="1" t="s">
        <v>1229</v>
      </c>
      <c r="W4707">
        <v>6976.6162999999997</v>
      </c>
      <c r="X4707">
        <v>0</v>
      </c>
      <c r="Y4707">
        <v>59981</v>
      </c>
    </row>
    <row r="4708" spans="1:25" ht="15" hidden="1" customHeight="1" x14ac:dyDescent="0.25">
      <c r="A4708" s="1" t="s">
        <v>40</v>
      </c>
      <c r="B4708" s="1" t="s">
        <v>87</v>
      </c>
      <c r="C4708" s="1" t="s">
        <v>214</v>
      </c>
      <c r="D4708">
        <v>5954</v>
      </c>
      <c r="E4708" s="1"/>
      <c r="F4708" s="1" t="s">
        <v>352</v>
      </c>
      <c r="G4708" s="1" t="s">
        <v>214</v>
      </c>
      <c r="H4708" s="1" t="s">
        <v>1396</v>
      </c>
      <c r="I4708">
        <v>2008</v>
      </c>
      <c r="J4708" s="93">
        <v>68328.149999999994</v>
      </c>
      <c r="K4708">
        <v>12</v>
      </c>
      <c r="L4708" s="1" t="s">
        <v>482</v>
      </c>
      <c r="M4708">
        <v>0</v>
      </c>
      <c r="N4708">
        <v>475</v>
      </c>
      <c r="O4708">
        <v>143.81845899999999</v>
      </c>
      <c r="P4708">
        <v>1</v>
      </c>
      <c r="Q4708" s="1" t="s">
        <v>564</v>
      </c>
      <c r="R4708" s="93">
        <v>77965.55</v>
      </c>
      <c r="S4708">
        <v>16488.259999999998</v>
      </c>
      <c r="T4708">
        <v>0</v>
      </c>
      <c r="U4708" s="1" t="s">
        <v>911</v>
      </c>
      <c r="V4708" s="1" t="s">
        <v>1229</v>
      </c>
      <c r="W4708">
        <v>6326.6796800000002</v>
      </c>
      <c r="X4708">
        <v>0</v>
      </c>
      <c r="Y4708">
        <v>59981</v>
      </c>
    </row>
    <row r="4709" spans="1:25" ht="15" hidden="1" customHeight="1" x14ac:dyDescent="0.25">
      <c r="A4709" s="1" t="s">
        <v>40</v>
      </c>
      <c r="B4709" s="1" t="s">
        <v>88</v>
      </c>
      <c r="C4709" s="1" t="s">
        <v>215</v>
      </c>
      <c r="D4709">
        <v>5429</v>
      </c>
      <c r="E4709" s="1"/>
      <c r="F4709" s="1" t="s">
        <v>215</v>
      </c>
      <c r="G4709" s="1" t="s">
        <v>215</v>
      </c>
      <c r="H4709" s="1" t="s">
        <v>1396</v>
      </c>
      <c r="I4709">
        <v>2015</v>
      </c>
      <c r="J4709" s="93">
        <v>53114.5</v>
      </c>
      <c r="K4709">
        <v>5</v>
      </c>
      <c r="L4709" s="1" t="s">
        <v>472</v>
      </c>
      <c r="M4709">
        <v>0</v>
      </c>
      <c r="N4709">
        <v>1747</v>
      </c>
      <c r="O4709">
        <v>30.401522</v>
      </c>
      <c r="P4709">
        <v>1</v>
      </c>
      <c r="Q4709" s="1" t="s">
        <v>564</v>
      </c>
      <c r="R4709" s="93">
        <v>59666.09</v>
      </c>
      <c r="S4709">
        <v>12618.28</v>
      </c>
      <c r="T4709">
        <v>0</v>
      </c>
      <c r="U4709" s="1" t="s">
        <v>912</v>
      </c>
      <c r="V4709" s="1" t="s">
        <v>1230</v>
      </c>
      <c r="W4709">
        <v>4918.01</v>
      </c>
      <c r="X4709">
        <v>0</v>
      </c>
      <c r="Y4709">
        <v>57409</v>
      </c>
    </row>
    <row r="4710" spans="1:25" ht="15" hidden="1" customHeight="1" x14ac:dyDescent="0.25">
      <c r="A4710" s="1" t="s">
        <v>40</v>
      </c>
      <c r="B4710" s="1" t="s">
        <v>88</v>
      </c>
      <c r="C4710" s="1" t="s">
        <v>215</v>
      </c>
      <c r="D4710">
        <v>5429</v>
      </c>
      <c r="E4710" s="1"/>
      <c r="F4710" s="1" t="s">
        <v>215</v>
      </c>
      <c r="G4710" s="1" t="s">
        <v>215</v>
      </c>
      <c r="H4710" s="1" t="s">
        <v>1396</v>
      </c>
      <c r="I4710">
        <v>2013</v>
      </c>
      <c r="J4710" s="93">
        <v>102614.25</v>
      </c>
      <c r="K4710">
        <v>12</v>
      </c>
      <c r="L4710" s="1" t="s">
        <v>472</v>
      </c>
      <c r="M4710">
        <v>0</v>
      </c>
      <c r="N4710">
        <v>1747</v>
      </c>
      <c r="O4710">
        <v>58.734043999999997</v>
      </c>
      <c r="P4710">
        <v>1</v>
      </c>
      <c r="Q4710" s="1" t="s">
        <v>564</v>
      </c>
      <c r="R4710" s="93">
        <v>107240.93</v>
      </c>
      <c r="S4710">
        <v>22679.47</v>
      </c>
      <c r="T4710">
        <v>0</v>
      </c>
      <c r="U4710" s="1" t="s">
        <v>912</v>
      </c>
      <c r="V4710" s="1" t="s">
        <v>1230</v>
      </c>
      <c r="W4710">
        <v>9501.32</v>
      </c>
      <c r="X4710">
        <v>0</v>
      </c>
      <c r="Y4710">
        <v>57409</v>
      </c>
    </row>
    <row r="4711" spans="1:25" ht="15" hidden="1" customHeight="1" x14ac:dyDescent="0.25">
      <c r="A4711" s="1" t="s">
        <v>40</v>
      </c>
      <c r="B4711" s="1" t="s">
        <v>88</v>
      </c>
      <c r="C4711" s="1" t="s">
        <v>215</v>
      </c>
      <c r="D4711">
        <v>5429</v>
      </c>
      <c r="E4711" s="1"/>
      <c r="F4711" s="1" t="s">
        <v>215</v>
      </c>
      <c r="G4711" s="1" t="s">
        <v>215</v>
      </c>
      <c r="H4711" s="1" t="s">
        <v>1396</v>
      </c>
      <c r="I4711">
        <v>2012</v>
      </c>
      <c r="J4711" s="93">
        <v>95958.97</v>
      </c>
      <c r="K4711">
        <v>12</v>
      </c>
      <c r="L4711" s="1" t="s">
        <v>472</v>
      </c>
      <c r="M4711">
        <v>0</v>
      </c>
      <c r="N4711">
        <v>1747</v>
      </c>
      <c r="O4711">
        <v>54.924714999999999</v>
      </c>
      <c r="P4711">
        <v>1</v>
      </c>
      <c r="Q4711" s="1" t="s">
        <v>564</v>
      </c>
      <c r="R4711" s="93">
        <v>100611.86</v>
      </c>
      <c r="S4711">
        <v>21277.52</v>
      </c>
      <c r="T4711">
        <v>0</v>
      </c>
      <c r="U4711" s="1" t="s">
        <v>912</v>
      </c>
      <c r="V4711" s="1" t="s">
        <v>1230</v>
      </c>
      <c r="W4711">
        <v>8885.09</v>
      </c>
      <c r="X4711">
        <v>0</v>
      </c>
      <c r="Y4711">
        <v>57409</v>
      </c>
    </row>
    <row r="4712" spans="1:25" ht="15" hidden="1" customHeight="1" x14ac:dyDescent="0.25">
      <c r="A4712" s="1" t="s">
        <v>40</v>
      </c>
      <c r="B4712" s="1" t="s">
        <v>88</v>
      </c>
      <c r="C4712" s="1" t="s">
        <v>215</v>
      </c>
      <c r="D4712">
        <v>5429</v>
      </c>
      <c r="E4712" s="1"/>
      <c r="F4712" s="1" t="s">
        <v>215</v>
      </c>
      <c r="G4712" s="1" t="s">
        <v>215</v>
      </c>
      <c r="H4712" s="1" t="s">
        <v>1396</v>
      </c>
      <c r="I4712">
        <v>2011</v>
      </c>
      <c r="J4712" s="93">
        <v>94017.13</v>
      </c>
      <c r="K4712">
        <v>12</v>
      </c>
      <c r="L4712" s="1" t="s">
        <v>472</v>
      </c>
      <c r="M4712">
        <v>0</v>
      </c>
      <c r="N4712">
        <v>1747</v>
      </c>
      <c r="O4712">
        <v>53.813249999999996</v>
      </c>
      <c r="P4712">
        <v>1</v>
      </c>
      <c r="Q4712" s="1" t="s">
        <v>564</v>
      </c>
      <c r="R4712" s="93">
        <v>102687.24</v>
      </c>
      <c r="S4712">
        <v>21716.46</v>
      </c>
      <c r="T4712">
        <v>0</v>
      </c>
      <c r="U4712" s="1" t="s">
        <v>912</v>
      </c>
      <c r="V4712" s="1" t="s">
        <v>1230</v>
      </c>
      <c r="W4712">
        <v>8705.2900000000009</v>
      </c>
      <c r="X4712">
        <v>0</v>
      </c>
      <c r="Y4712">
        <v>57409</v>
      </c>
    </row>
    <row r="4713" spans="1:25" ht="15" hidden="1" customHeight="1" x14ac:dyDescent="0.25">
      <c r="A4713" s="1" t="s">
        <v>40</v>
      </c>
      <c r="B4713" s="1" t="s">
        <v>88</v>
      </c>
      <c r="C4713" s="1" t="s">
        <v>215</v>
      </c>
      <c r="D4713">
        <v>5429</v>
      </c>
      <c r="E4713" s="1"/>
      <c r="F4713" s="1" t="s">
        <v>215</v>
      </c>
      <c r="G4713" s="1" t="s">
        <v>215</v>
      </c>
      <c r="H4713" s="1" t="s">
        <v>1396</v>
      </c>
      <c r="I4713">
        <v>2010</v>
      </c>
      <c r="J4713" s="93">
        <v>122168.63</v>
      </c>
      <c r="K4713">
        <v>12</v>
      </c>
      <c r="L4713" s="1" t="s">
        <v>472</v>
      </c>
      <c r="M4713">
        <v>0</v>
      </c>
      <c r="N4713">
        <v>1747</v>
      </c>
      <c r="O4713">
        <v>69.926523000000003</v>
      </c>
      <c r="P4713">
        <v>1</v>
      </c>
      <c r="Q4713" s="1" t="s">
        <v>564</v>
      </c>
      <c r="R4713" s="93">
        <v>111098.94</v>
      </c>
      <c r="S4713">
        <v>23495.37</v>
      </c>
      <c r="T4713">
        <v>0</v>
      </c>
      <c r="U4713" s="1" t="s">
        <v>912</v>
      </c>
      <c r="V4713" s="1" t="s">
        <v>1230</v>
      </c>
      <c r="W4713">
        <v>11311.91</v>
      </c>
      <c r="X4713">
        <v>0</v>
      </c>
      <c r="Y4713">
        <v>57409</v>
      </c>
    </row>
    <row r="4714" spans="1:25" ht="15" hidden="1" customHeight="1" x14ac:dyDescent="0.25">
      <c r="A4714" s="1" t="s">
        <v>40</v>
      </c>
      <c r="B4714" s="1" t="s">
        <v>88</v>
      </c>
      <c r="C4714" s="1" t="s">
        <v>215</v>
      </c>
      <c r="D4714">
        <v>5429</v>
      </c>
      <c r="E4714" s="1"/>
      <c r="F4714" s="1" t="s">
        <v>215</v>
      </c>
      <c r="G4714" s="1" t="s">
        <v>215</v>
      </c>
      <c r="H4714" s="1" t="s">
        <v>1396</v>
      </c>
      <c r="I4714">
        <v>2009</v>
      </c>
      <c r="J4714" s="93">
        <v>94946.36</v>
      </c>
      <c r="K4714">
        <v>12</v>
      </c>
      <c r="L4714" s="1" t="s">
        <v>472</v>
      </c>
      <c r="M4714">
        <v>0</v>
      </c>
      <c r="N4714">
        <v>1747</v>
      </c>
      <c r="O4714">
        <v>54.345120000000001</v>
      </c>
      <c r="P4714">
        <v>1</v>
      </c>
      <c r="Q4714" s="1" t="s">
        <v>564</v>
      </c>
      <c r="R4714" s="93">
        <v>100171.06</v>
      </c>
      <c r="S4714">
        <v>21184.33</v>
      </c>
      <c r="T4714">
        <v>0</v>
      </c>
      <c r="U4714" s="1" t="s">
        <v>912</v>
      </c>
      <c r="V4714" s="1" t="s">
        <v>1230</v>
      </c>
      <c r="W4714">
        <v>8791.33</v>
      </c>
      <c r="X4714">
        <v>0</v>
      </c>
      <c r="Y4714">
        <v>57409</v>
      </c>
    </row>
    <row r="4715" spans="1:25" ht="15" hidden="1" customHeight="1" x14ac:dyDescent="0.25">
      <c r="A4715" s="1" t="s">
        <v>40</v>
      </c>
      <c r="B4715" s="1" t="s">
        <v>88</v>
      </c>
      <c r="C4715" s="1" t="s">
        <v>215</v>
      </c>
      <c r="D4715">
        <v>5429</v>
      </c>
      <c r="E4715" s="1"/>
      <c r="F4715" s="1" t="s">
        <v>215</v>
      </c>
      <c r="G4715" s="1" t="s">
        <v>215</v>
      </c>
      <c r="H4715" s="1" t="s">
        <v>1396</v>
      </c>
      <c r="I4715">
        <v>2008</v>
      </c>
      <c r="J4715" s="93">
        <v>92716.86</v>
      </c>
      <c r="K4715">
        <v>12</v>
      </c>
      <c r="L4715" s="1" t="s">
        <v>472</v>
      </c>
      <c r="M4715">
        <v>0</v>
      </c>
      <c r="N4715">
        <v>1747</v>
      </c>
      <c r="O4715">
        <v>53.069004999999997</v>
      </c>
      <c r="P4715">
        <v>1</v>
      </c>
      <c r="Q4715" s="1" t="s">
        <v>564</v>
      </c>
      <c r="R4715" s="93">
        <v>103993.04</v>
      </c>
      <c r="S4715">
        <v>21992.63</v>
      </c>
      <c r="T4715">
        <v>0</v>
      </c>
      <c r="U4715" s="1" t="s">
        <v>912</v>
      </c>
      <c r="V4715" s="1" t="s">
        <v>1230</v>
      </c>
      <c r="W4715">
        <v>8584.8943999999992</v>
      </c>
      <c r="X4715">
        <v>0</v>
      </c>
      <c r="Y4715">
        <v>57409</v>
      </c>
    </row>
    <row r="4716" spans="1:25" ht="15" hidden="1" customHeight="1" x14ac:dyDescent="0.25">
      <c r="A4716" s="1" t="s">
        <v>40</v>
      </c>
      <c r="B4716" s="1" t="s">
        <v>89</v>
      </c>
      <c r="C4716" s="1" t="s">
        <v>216</v>
      </c>
      <c r="D4716">
        <v>5265</v>
      </c>
      <c r="E4716" s="1"/>
      <c r="F4716" s="1" t="s">
        <v>216</v>
      </c>
      <c r="G4716" s="1" t="s">
        <v>216</v>
      </c>
      <c r="H4716" s="1" t="s">
        <v>1396</v>
      </c>
      <c r="I4716">
        <v>2015</v>
      </c>
      <c r="J4716" s="93">
        <v>17981</v>
      </c>
      <c r="K4716">
        <v>5</v>
      </c>
      <c r="L4716" s="1" t="s">
        <v>469</v>
      </c>
      <c r="M4716">
        <v>0</v>
      </c>
      <c r="N4716">
        <v>585</v>
      </c>
      <c r="O4716">
        <v>30.731497999999998</v>
      </c>
      <c r="P4716">
        <v>1</v>
      </c>
      <c r="Q4716" s="1" t="s">
        <v>562</v>
      </c>
      <c r="R4716" s="93">
        <v>19940.14</v>
      </c>
      <c r="S4716">
        <v>3688925.9</v>
      </c>
      <c r="T4716">
        <v>0</v>
      </c>
      <c r="U4716" s="1" t="s">
        <v>913</v>
      </c>
      <c r="V4716" s="1"/>
      <c r="W4716">
        <v>17981</v>
      </c>
      <c r="X4716">
        <v>0</v>
      </c>
      <c r="Y4716">
        <v>56774</v>
      </c>
    </row>
    <row r="4717" spans="1:25" ht="15" hidden="1" customHeight="1" x14ac:dyDescent="0.25">
      <c r="A4717" s="1" t="s">
        <v>40</v>
      </c>
      <c r="B4717" s="1" t="s">
        <v>89</v>
      </c>
      <c r="C4717" s="1" t="s">
        <v>216</v>
      </c>
      <c r="D4717">
        <v>5265</v>
      </c>
      <c r="E4717" s="1"/>
      <c r="F4717" s="1" t="s">
        <v>216</v>
      </c>
      <c r="G4717" s="1" t="s">
        <v>216</v>
      </c>
      <c r="H4717" s="1" t="s">
        <v>1396</v>
      </c>
      <c r="I4717">
        <v>2015</v>
      </c>
      <c r="J4717" s="93">
        <v>15032.36</v>
      </c>
      <c r="K4717">
        <v>5</v>
      </c>
      <c r="L4717" s="1" t="s">
        <v>469</v>
      </c>
      <c r="M4717">
        <v>0</v>
      </c>
      <c r="N4717">
        <v>585</v>
      </c>
      <c r="O4717">
        <v>25.691949999999999</v>
      </c>
      <c r="P4717">
        <v>1</v>
      </c>
      <c r="Q4717" s="1" t="s">
        <v>563</v>
      </c>
      <c r="R4717" s="93">
        <v>16619.330000000002</v>
      </c>
      <c r="S4717">
        <v>88121.99</v>
      </c>
      <c r="T4717">
        <v>1</v>
      </c>
      <c r="U4717" s="1" t="s">
        <v>913</v>
      </c>
      <c r="V4717" s="1"/>
      <c r="W4717">
        <v>430.85</v>
      </c>
      <c r="X4717">
        <v>0</v>
      </c>
      <c r="Y4717">
        <v>56999</v>
      </c>
    </row>
    <row r="4718" spans="1:25" ht="15" hidden="1" customHeight="1" x14ac:dyDescent="0.25">
      <c r="A4718" s="1" t="s">
        <v>40</v>
      </c>
      <c r="B4718" s="1"/>
      <c r="C4718" s="1" t="s">
        <v>225</v>
      </c>
      <c r="D4718">
        <v>13825</v>
      </c>
      <c r="E4718" s="1"/>
      <c r="F4718" s="1" t="s">
        <v>358</v>
      </c>
      <c r="G4718" s="1" t="s">
        <v>225</v>
      </c>
      <c r="H4718" s="1" t="s">
        <v>1396</v>
      </c>
      <c r="I4718">
        <v>2014</v>
      </c>
      <c r="J4718" s="93">
        <v>20295.86</v>
      </c>
      <c r="K4718">
        <v>1</v>
      </c>
      <c r="L4718" s="1" t="s">
        <v>505</v>
      </c>
      <c r="M4718">
        <v>0</v>
      </c>
      <c r="N4718">
        <v>739</v>
      </c>
      <c r="O4718">
        <v>27.460235000000001</v>
      </c>
      <c r="P4718">
        <v>1</v>
      </c>
      <c r="Q4718" s="1" t="s">
        <v>565</v>
      </c>
      <c r="R4718" s="93">
        <v>24249.41</v>
      </c>
      <c r="S4718">
        <v>1551.97</v>
      </c>
      <c r="T4718">
        <v>1</v>
      </c>
      <c r="U4718" s="1" t="s">
        <v>934</v>
      </c>
      <c r="V4718" s="1"/>
      <c r="W4718">
        <v>20.295860000000001</v>
      </c>
      <c r="X4718">
        <v>0</v>
      </c>
      <c r="Y4718">
        <v>94054</v>
      </c>
    </row>
    <row r="4719" spans="1:25" ht="15" hidden="1" customHeight="1" x14ac:dyDescent="0.25">
      <c r="A4719" s="1" t="s">
        <v>40</v>
      </c>
      <c r="B4719" s="1" t="s">
        <v>89</v>
      </c>
      <c r="C4719" s="1" t="s">
        <v>216</v>
      </c>
      <c r="D4719">
        <v>5265</v>
      </c>
      <c r="E4719" s="1"/>
      <c r="F4719" s="1" t="s">
        <v>216</v>
      </c>
      <c r="G4719" s="1" t="s">
        <v>216</v>
      </c>
      <c r="H4719" s="1" t="s">
        <v>1396</v>
      </c>
      <c r="I4719">
        <v>2013</v>
      </c>
      <c r="J4719" s="93">
        <v>67548</v>
      </c>
      <c r="K4719">
        <v>12</v>
      </c>
      <c r="L4719" s="1" t="s">
        <v>469</v>
      </c>
      <c r="M4719">
        <v>0</v>
      </c>
      <c r="N4719">
        <v>585</v>
      </c>
      <c r="O4719">
        <v>115.446932</v>
      </c>
      <c r="P4719">
        <v>1</v>
      </c>
      <c r="Q4719" s="1" t="s">
        <v>562</v>
      </c>
      <c r="R4719" s="93">
        <v>73359.77</v>
      </c>
      <c r="S4719">
        <v>13571.57</v>
      </c>
      <c r="T4719">
        <v>0</v>
      </c>
      <c r="U4719" s="1" t="s">
        <v>913</v>
      </c>
      <c r="V4719" s="1"/>
      <c r="W4719">
        <v>67548</v>
      </c>
      <c r="X4719">
        <v>0</v>
      </c>
      <c r="Y4719">
        <v>56774</v>
      </c>
    </row>
    <row r="4720" spans="1:25" ht="15" hidden="1" customHeight="1" x14ac:dyDescent="0.25">
      <c r="A4720" s="1" t="s">
        <v>40</v>
      </c>
      <c r="B4720" s="1"/>
      <c r="C4720" s="1" t="s">
        <v>225</v>
      </c>
      <c r="D4720">
        <v>13825</v>
      </c>
      <c r="E4720" s="1"/>
      <c r="F4720" s="1" t="s">
        <v>358</v>
      </c>
      <c r="G4720" s="1" t="s">
        <v>225</v>
      </c>
      <c r="H4720" s="1" t="s">
        <v>1396</v>
      </c>
      <c r="I4720">
        <v>2014</v>
      </c>
      <c r="J4720" s="93">
        <v>381.01</v>
      </c>
      <c r="K4720">
        <v>12</v>
      </c>
      <c r="L4720" s="1" t="s">
        <v>462</v>
      </c>
      <c r="M4720">
        <v>0</v>
      </c>
      <c r="N4720">
        <v>739</v>
      </c>
      <c r="O4720">
        <v>0.51550499999999999</v>
      </c>
      <c r="P4720">
        <v>3</v>
      </c>
      <c r="Q4720" s="1" t="s">
        <v>560</v>
      </c>
      <c r="R4720" s="93">
        <v>381.01</v>
      </c>
      <c r="S4720">
        <v>304.81</v>
      </c>
      <c r="T4720">
        <v>0</v>
      </c>
      <c r="U4720" s="1" t="s">
        <v>749</v>
      </c>
      <c r="V4720" s="1"/>
      <c r="W4720">
        <v>381.005</v>
      </c>
      <c r="X4720">
        <v>0</v>
      </c>
      <c r="Y4720">
        <v>91848</v>
      </c>
    </row>
    <row r="4721" spans="1:25" ht="15" hidden="1" customHeight="1" x14ac:dyDescent="0.25">
      <c r="A4721" s="1" t="s">
        <v>40</v>
      </c>
      <c r="B4721" s="1" t="s">
        <v>89</v>
      </c>
      <c r="C4721" s="1" t="s">
        <v>216</v>
      </c>
      <c r="D4721">
        <v>5265</v>
      </c>
      <c r="E4721" s="1"/>
      <c r="F4721" s="1" t="s">
        <v>216</v>
      </c>
      <c r="G4721" s="1" t="s">
        <v>216</v>
      </c>
      <c r="H4721" s="1" t="s">
        <v>1396</v>
      </c>
      <c r="I4721">
        <v>2013</v>
      </c>
      <c r="J4721" s="93">
        <v>58975.25</v>
      </c>
      <c r="K4721">
        <v>12</v>
      </c>
      <c r="L4721" s="1" t="s">
        <v>469</v>
      </c>
      <c r="M4721">
        <v>0</v>
      </c>
      <c r="N4721">
        <v>585</v>
      </c>
      <c r="O4721">
        <v>100.795163</v>
      </c>
      <c r="P4721">
        <v>1</v>
      </c>
      <c r="Q4721" s="1" t="s">
        <v>563</v>
      </c>
      <c r="R4721" s="93">
        <v>63904.76</v>
      </c>
      <c r="S4721">
        <v>338.84</v>
      </c>
      <c r="T4721">
        <v>1</v>
      </c>
      <c r="U4721" s="1" t="s">
        <v>913</v>
      </c>
      <c r="V4721" s="1"/>
      <c r="W4721">
        <v>1690.32</v>
      </c>
      <c r="X4721">
        <v>0</v>
      </c>
      <c r="Y4721">
        <v>56999</v>
      </c>
    </row>
    <row r="4722" spans="1:25" ht="15" hidden="1" customHeight="1" x14ac:dyDescent="0.25">
      <c r="A4722" s="1" t="s">
        <v>40</v>
      </c>
      <c r="B4722" s="1" t="s">
        <v>89</v>
      </c>
      <c r="C4722" s="1" t="s">
        <v>216</v>
      </c>
      <c r="D4722">
        <v>5265</v>
      </c>
      <c r="E4722" s="1"/>
      <c r="F4722" s="1" t="s">
        <v>216</v>
      </c>
      <c r="G4722" s="1" t="s">
        <v>216</v>
      </c>
      <c r="H4722" s="1" t="s">
        <v>1396</v>
      </c>
      <c r="I4722">
        <v>2012</v>
      </c>
      <c r="J4722" s="93">
        <v>40778</v>
      </c>
      <c r="K4722">
        <v>12</v>
      </c>
      <c r="L4722" s="1" t="s">
        <v>469</v>
      </c>
      <c r="M4722">
        <v>0</v>
      </c>
      <c r="N4722">
        <v>585</v>
      </c>
      <c r="O4722">
        <v>69.694068999999999</v>
      </c>
      <c r="P4722">
        <v>1</v>
      </c>
      <c r="Q4722" s="1" t="s">
        <v>562</v>
      </c>
      <c r="R4722" s="93">
        <v>42545.87</v>
      </c>
      <c r="S4722">
        <v>7870.97</v>
      </c>
      <c r="T4722">
        <v>0</v>
      </c>
      <c r="U4722" s="1" t="s">
        <v>913</v>
      </c>
      <c r="V4722" s="1"/>
      <c r="W4722">
        <v>40778</v>
      </c>
      <c r="X4722">
        <v>0</v>
      </c>
      <c r="Y4722">
        <v>56774</v>
      </c>
    </row>
    <row r="4723" spans="1:25" ht="15" hidden="1" customHeight="1" x14ac:dyDescent="0.25">
      <c r="A4723" s="1" t="s">
        <v>40</v>
      </c>
      <c r="B4723" s="1" t="s">
        <v>89</v>
      </c>
      <c r="C4723" s="1" t="s">
        <v>216</v>
      </c>
      <c r="D4723">
        <v>5265</v>
      </c>
      <c r="E4723" s="1"/>
      <c r="F4723" s="1" t="s">
        <v>216</v>
      </c>
      <c r="G4723" s="1" t="s">
        <v>216</v>
      </c>
      <c r="H4723" s="1" t="s">
        <v>1396</v>
      </c>
      <c r="I4723">
        <v>2012</v>
      </c>
      <c r="J4723" s="93">
        <v>60333.19</v>
      </c>
      <c r="K4723">
        <v>12</v>
      </c>
      <c r="L4723" s="1" t="s">
        <v>469</v>
      </c>
      <c r="M4723">
        <v>0</v>
      </c>
      <c r="N4723">
        <v>585</v>
      </c>
      <c r="O4723">
        <v>103.11603100000001</v>
      </c>
      <c r="P4723">
        <v>1</v>
      </c>
      <c r="Q4723" s="1" t="s">
        <v>563</v>
      </c>
      <c r="R4723" s="93">
        <v>65481.72</v>
      </c>
      <c r="S4723">
        <v>347.2</v>
      </c>
      <c r="T4723">
        <v>1</v>
      </c>
      <c r="U4723" s="1" t="s">
        <v>913</v>
      </c>
      <c r="V4723" s="1"/>
      <c r="W4723">
        <v>1729.24</v>
      </c>
      <c r="X4723">
        <v>0</v>
      </c>
      <c r="Y4723">
        <v>56999</v>
      </c>
    </row>
    <row r="4724" spans="1:25" ht="15" hidden="1" customHeight="1" x14ac:dyDescent="0.25">
      <c r="A4724" s="1" t="s">
        <v>40</v>
      </c>
      <c r="B4724" s="1" t="s">
        <v>89</v>
      </c>
      <c r="C4724" s="1" t="s">
        <v>216</v>
      </c>
      <c r="D4724">
        <v>5265</v>
      </c>
      <c r="E4724" s="1"/>
      <c r="F4724" s="1" t="s">
        <v>216</v>
      </c>
      <c r="G4724" s="1" t="s">
        <v>216</v>
      </c>
      <c r="H4724" s="1" t="s">
        <v>1396</v>
      </c>
      <c r="I4724">
        <v>2011</v>
      </c>
      <c r="J4724" s="93">
        <v>42173</v>
      </c>
      <c r="K4724">
        <v>12</v>
      </c>
      <c r="L4724" s="1" t="s">
        <v>469</v>
      </c>
      <c r="M4724">
        <v>0</v>
      </c>
      <c r="N4724">
        <v>585</v>
      </c>
      <c r="O4724">
        <v>72.078277</v>
      </c>
      <c r="P4724">
        <v>1</v>
      </c>
      <c r="Q4724" s="1" t="s">
        <v>562</v>
      </c>
      <c r="R4724" s="93">
        <v>46045.71</v>
      </c>
      <c r="S4724">
        <v>8518.4599999999991</v>
      </c>
      <c r="T4724">
        <v>0</v>
      </c>
      <c r="U4724" s="1" t="s">
        <v>913</v>
      </c>
      <c r="V4724" s="1"/>
      <c r="W4724">
        <v>42173</v>
      </c>
      <c r="X4724">
        <v>0</v>
      </c>
      <c r="Y4724">
        <v>56774</v>
      </c>
    </row>
    <row r="4725" spans="1:25" ht="15" hidden="1" customHeight="1" x14ac:dyDescent="0.25">
      <c r="A4725" s="1" t="s">
        <v>40</v>
      </c>
      <c r="B4725" s="1" t="s">
        <v>89</v>
      </c>
      <c r="C4725" s="1" t="s">
        <v>216</v>
      </c>
      <c r="D4725">
        <v>5265</v>
      </c>
      <c r="E4725" s="1"/>
      <c r="F4725" s="1" t="s">
        <v>216</v>
      </c>
      <c r="G4725" s="1" t="s">
        <v>216</v>
      </c>
      <c r="H4725" s="1" t="s">
        <v>1396</v>
      </c>
      <c r="I4725">
        <v>2011</v>
      </c>
      <c r="J4725" s="93">
        <v>48256.37</v>
      </c>
      <c r="K4725">
        <v>12</v>
      </c>
      <c r="L4725" s="1" t="s">
        <v>469</v>
      </c>
      <c r="M4725">
        <v>0</v>
      </c>
      <c r="N4725">
        <v>585</v>
      </c>
      <c r="O4725">
        <v>82.475423000000006</v>
      </c>
      <c r="P4725">
        <v>1</v>
      </c>
      <c r="Q4725" s="1" t="s">
        <v>563</v>
      </c>
      <c r="R4725" s="93">
        <v>53630.26</v>
      </c>
      <c r="S4725">
        <v>284.36</v>
      </c>
      <c r="T4725">
        <v>1</v>
      </c>
      <c r="U4725" s="1" t="s">
        <v>913</v>
      </c>
      <c r="V4725" s="1"/>
      <c r="W4725">
        <v>1383.1</v>
      </c>
      <c r="X4725">
        <v>0</v>
      </c>
      <c r="Y4725">
        <v>56999</v>
      </c>
    </row>
    <row r="4726" spans="1:25" ht="15" hidden="1" customHeight="1" x14ac:dyDescent="0.25">
      <c r="A4726" s="1" t="s">
        <v>40</v>
      </c>
      <c r="B4726" s="1" t="s">
        <v>89</v>
      </c>
      <c r="C4726" s="1" t="s">
        <v>216</v>
      </c>
      <c r="D4726">
        <v>5265</v>
      </c>
      <c r="E4726" s="1"/>
      <c r="F4726" s="1" t="s">
        <v>216</v>
      </c>
      <c r="G4726" s="1" t="s">
        <v>216</v>
      </c>
      <c r="H4726" s="1" t="s">
        <v>1396</v>
      </c>
      <c r="I4726">
        <v>2010</v>
      </c>
      <c r="J4726" s="93">
        <v>54034</v>
      </c>
      <c r="K4726">
        <v>12</v>
      </c>
      <c r="L4726" s="1" t="s">
        <v>469</v>
      </c>
      <c r="M4726">
        <v>0</v>
      </c>
      <c r="N4726">
        <v>585</v>
      </c>
      <c r="O4726">
        <v>92.350025000000002</v>
      </c>
      <c r="P4726">
        <v>1</v>
      </c>
      <c r="Q4726" s="1" t="s">
        <v>562</v>
      </c>
      <c r="R4726" s="93">
        <v>49089.9</v>
      </c>
      <c r="S4726">
        <v>9081.64</v>
      </c>
      <c r="T4726">
        <v>0</v>
      </c>
      <c r="U4726" s="1" t="s">
        <v>913</v>
      </c>
      <c r="V4726" s="1"/>
      <c r="W4726">
        <v>54034</v>
      </c>
      <c r="X4726">
        <v>0</v>
      </c>
      <c r="Y4726">
        <v>56774</v>
      </c>
    </row>
    <row r="4727" spans="1:25" ht="15" hidden="1" customHeight="1" x14ac:dyDescent="0.25">
      <c r="A4727" s="1" t="s">
        <v>40</v>
      </c>
      <c r="B4727" s="1" t="s">
        <v>89</v>
      </c>
      <c r="C4727" s="1" t="s">
        <v>216</v>
      </c>
      <c r="D4727">
        <v>5265</v>
      </c>
      <c r="E4727" s="1"/>
      <c r="F4727" s="1" t="s">
        <v>216</v>
      </c>
      <c r="G4727" s="1" t="s">
        <v>216</v>
      </c>
      <c r="H4727" s="1" t="s">
        <v>1396</v>
      </c>
      <c r="I4727">
        <v>2010</v>
      </c>
      <c r="J4727" s="93">
        <v>66436.12</v>
      </c>
      <c r="K4727">
        <v>12</v>
      </c>
      <c r="L4727" s="1" t="s">
        <v>469</v>
      </c>
      <c r="M4727">
        <v>0</v>
      </c>
      <c r="N4727">
        <v>585</v>
      </c>
      <c r="O4727">
        <v>113.54660699999999</v>
      </c>
      <c r="P4727">
        <v>1</v>
      </c>
      <c r="Q4727" s="1" t="s">
        <v>563</v>
      </c>
      <c r="R4727" s="93">
        <v>60684.38</v>
      </c>
      <c r="S4727">
        <v>321.77999999999997</v>
      </c>
      <c r="T4727">
        <v>1</v>
      </c>
      <c r="U4727" s="1" t="s">
        <v>913</v>
      </c>
      <c r="V4727" s="1"/>
      <c r="W4727">
        <v>1904.16</v>
      </c>
      <c r="X4727">
        <v>0</v>
      </c>
      <c r="Y4727">
        <v>56999</v>
      </c>
    </row>
    <row r="4728" spans="1:25" ht="15" hidden="1" customHeight="1" x14ac:dyDescent="0.25">
      <c r="A4728" s="1" t="s">
        <v>40</v>
      </c>
      <c r="B4728" s="1" t="s">
        <v>89</v>
      </c>
      <c r="C4728" s="1" t="s">
        <v>216</v>
      </c>
      <c r="D4728">
        <v>5265</v>
      </c>
      <c r="E4728" s="1"/>
      <c r="F4728" s="1" t="s">
        <v>216</v>
      </c>
      <c r="G4728" s="1" t="s">
        <v>216</v>
      </c>
      <c r="H4728" s="1" t="s">
        <v>1396</v>
      </c>
      <c r="I4728">
        <v>2009</v>
      </c>
      <c r="J4728" s="93">
        <v>42403</v>
      </c>
      <c r="K4728">
        <v>12</v>
      </c>
      <c r="L4728" s="1" t="s">
        <v>469</v>
      </c>
      <c r="M4728">
        <v>0</v>
      </c>
      <c r="N4728">
        <v>585</v>
      </c>
      <c r="O4728">
        <v>72.471372000000002</v>
      </c>
      <c r="P4728">
        <v>1</v>
      </c>
      <c r="Q4728" s="1" t="s">
        <v>562</v>
      </c>
      <c r="R4728" s="93">
        <v>45160.45</v>
      </c>
      <c r="S4728">
        <v>8354.68</v>
      </c>
      <c r="T4728">
        <v>0</v>
      </c>
      <c r="U4728" s="1" t="s">
        <v>913</v>
      </c>
      <c r="V4728" s="1"/>
      <c r="W4728">
        <v>42402.9997</v>
      </c>
      <c r="X4728">
        <v>0</v>
      </c>
      <c r="Y4728">
        <v>56774</v>
      </c>
    </row>
    <row r="4729" spans="1:25" ht="15" hidden="1" customHeight="1" x14ac:dyDescent="0.25">
      <c r="A4729" s="1" t="s">
        <v>40</v>
      </c>
      <c r="B4729" s="1"/>
      <c r="C4729" s="1" t="s">
        <v>225</v>
      </c>
      <c r="D4729">
        <v>13825</v>
      </c>
      <c r="E4729" s="1"/>
      <c r="F4729" s="1" t="s">
        <v>358</v>
      </c>
      <c r="G4729" s="1" t="s">
        <v>225</v>
      </c>
      <c r="H4729" s="1" t="s">
        <v>1396</v>
      </c>
      <c r="I4729">
        <v>2014</v>
      </c>
      <c r="J4729" s="93">
        <v>7566.92</v>
      </c>
      <c r="K4729">
        <v>11</v>
      </c>
      <c r="L4729" s="1" t="s">
        <v>471</v>
      </c>
      <c r="M4729">
        <v>0</v>
      </c>
      <c r="N4729">
        <v>739</v>
      </c>
      <c r="O4729">
        <v>10.238019</v>
      </c>
      <c r="P4729">
        <v>1</v>
      </c>
      <c r="Q4729" s="1" t="s">
        <v>562</v>
      </c>
      <c r="R4729" s="93">
        <v>9181.14</v>
      </c>
      <c r="S4729">
        <v>587.58000000000004</v>
      </c>
      <c r="T4729">
        <v>0</v>
      </c>
      <c r="U4729" s="1" t="s">
        <v>932</v>
      </c>
      <c r="V4729" s="1"/>
      <c r="W4729">
        <v>7566.9147300000004</v>
      </c>
      <c r="X4729">
        <v>0</v>
      </c>
      <c r="Y4729">
        <v>94197</v>
      </c>
    </row>
    <row r="4730" spans="1:25" ht="15" hidden="1" customHeight="1" x14ac:dyDescent="0.25">
      <c r="A4730" s="1" t="s">
        <v>40</v>
      </c>
      <c r="B4730" s="1" t="s">
        <v>89</v>
      </c>
      <c r="C4730" s="1" t="s">
        <v>216</v>
      </c>
      <c r="D4730">
        <v>5265</v>
      </c>
      <c r="E4730" s="1"/>
      <c r="F4730" s="1" t="s">
        <v>216</v>
      </c>
      <c r="G4730" s="1" t="s">
        <v>216</v>
      </c>
      <c r="H4730" s="1" t="s">
        <v>1396</v>
      </c>
      <c r="I4730">
        <v>2009</v>
      </c>
      <c r="J4730" s="93">
        <v>48736.800000000003</v>
      </c>
      <c r="K4730">
        <v>12</v>
      </c>
      <c r="L4730" s="1" t="s">
        <v>469</v>
      </c>
      <c r="M4730">
        <v>0</v>
      </c>
      <c r="N4730">
        <v>585</v>
      </c>
      <c r="O4730">
        <v>83.296530000000004</v>
      </c>
      <c r="P4730">
        <v>1</v>
      </c>
      <c r="Q4730" s="1" t="s">
        <v>563</v>
      </c>
      <c r="R4730" s="93">
        <v>54917.46</v>
      </c>
      <c r="S4730">
        <v>291.18</v>
      </c>
      <c r="T4730">
        <v>1</v>
      </c>
      <c r="U4730" s="1" t="s">
        <v>913</v>
      </c>
      <c r="V4730" s="1"/>
      <c r="W4730">
        <v>1396.87</v>
      </c>
      <c r="X4730">
        <v>0</v>
      </c>
      <c r="Y4730">
        <v>56999</v>
      </c>
    </row>
    <row r="4731" spans="1:25" ht="15" hidden="1" customHeight="1" x14ac:dyDescent="0.25">
      <c r="A4731" s="1" t="s">
        <v>40</v>
      </c>
      <c r="B4731" s="1" t="s">
        <v>89</v>
      </c>
      <c r="C4731" s="1" t="s">
        <v>216</v>
      </c>
      <c r="D4731">
        <v>5265</v>
      </c>
      <c r="E4731" s="1"/>
      <c r="F4731" s="1" t="s">
        <v>216</v>
      </c>
      <c r="G4731" s="1" t="s">
        <v>216</v>
      </c>
      <c r="H4731" s="1" t="s">
        <v>1396</v>
      </c>
      <c r="I4731">
        <v>2008</v>
      </c>
      <c r="J4731" s="93">
        <v>44570</v>
      </c>
      <c r="K4731">
        <v>12</v>
      </c>
      <c r="L4731" s="1" t="s">
        <v>469</v>
      </c>
      <c r="M4731">
        <v>0</v>
      </c>
      <c r="N4731">
        <v>585</v>
      </c>
      <c r="O4731">
        <v>76.175011999999995</v>
      </c>
      <c r="P4731">
        <v>1</v>
      </c>
      <c r="Q4731" s="1" t="s">
        <v>562</v>
      </c>
      <c r="R4731" s="93">
        <v>50740.19</v>
      </c>
      <c r="S4731">
        <v>9386.9500000000007</v>
      </c>
      <c r="T4731">
        <v>0</v>
      </c>
      <c r="U4731" s="1" t="s">
        <v>913</v>
      </c>
      <c r="V4731" s="1"/>
      <c r="W4731">
        <v>44570</v>
      </c>
      <c r="X4731">
        <v>0</v>
      </c>
      <c r="Y4731">
        <v>56774</v>
      </c>
    </row>
    <row r="4732" spans="1:25" ht="15" hidden="1" customHeight="1" x14ac:dyDescent="0.25">
      <c r="A4732" s="1" t="s">
        <v>40</v>
      </c>
      <c r="B4732" s="1" t="s">
        <v>89</v>
      </c>
      <c r="C4732" s="1" t="s">
        <v>216</v>
      </c>
      <c r="D4732">
        <v>5265</v>
      </c>
      <c r="E4732" s="1"/>
      <c r="F4732" s="1" t="s">
        <v>216</v>
      </c>
      <c r="G4732" s="1" t="s">
        <v>216</v>
      </c>
      <c r="H4732" s="1" t="s">
        <v>1396</v>
      </c>
      <c r="I4732">
        <v>2008</v>
      </c>
      <c r="J4732" s="93">
        <v>43034.720000000001</v>
      </c>
      <c r="K4732">
        <v>12</v>
      </c>
      <c r="L4732" s="1" t="s">
        <v>469</v>
      </c>
      <c r="M4732">
        <v>0</v>
      </c>
      <c r="N4732">
        <v>585</v>
      </c>
      <c r="O4732">
        <v>73.551051000000001</v>
      </c>
      <c r="P4732">
        <v>1</v>
      </c>
      <c r="Q4732" s="1" t="s">
        <v>563</v>
      </c>
      <c r="R4732" s="93">
        <v>47986.92</v>
      </c>
      <c r="S4732">
        <v>254.43</v>
      </c>
      <c r="T4732">
        <v>1</v>
      </c>
      <c r="U4732" s="1" t="s">
        <v>913</v>
      </c>
      <c r="V4732" s="1"/>
      <c r="W4732">
        <v>1233.44</v>
      </c>
      <c r="X4732">
        <v>0</v>
      </c>
      <c r="Y4732">
        <v>56999</v>
      </c>
    </row>
    <row r="4733" spans="1:25" ht="15" hidden="1" customHeight="1" x14ac:dyDescent="0.25">
      <c r="A4733" s="1" t="s">
        <v>40</v>
      </c>
      <c r="B4733" s="1" t="s">
        <v>90</v>
      </c>
      <c r="C4733" s="1" t="s">
        <v>217</v>
      </c>
      <c r="D4733">
        <v>5266</v>
      </c>
      <c r="E4733" s="1"/>
      <c r="F4733" s="1" t="s">
        <v>217</v>
      </c>
      <c r="G4733" s="1" t="s">
        <v>217</v>
      </c>
      <c r="H4733" s="1" t="s">
        <v>1396</v>
      </c>
      <c r="I4733">
        <v>2015</v>
      </c>
      <c r="J4733" s="93">
        <v>42226</v>
      </c>
      <c r="K4733">
        <v>5</v>
      </c>
      <c r="L4733" s="1" t="s">
        <v>469</v>
      </c>
      <c r="M4733">
        <v>0</v>
      </c>
      <c r="N4733">
        <v>585</v>
      </c>
      <c r="O4733">
        <v>72.168859999999995</v>
      </c>
      <c r="P4733">
        <v>1</v>
      </c>
      <c r="Q4733" s="1" t="s">
        <v>562</v>
      </c>
      <c r="R4733" s="93">
        <v>47380.800000000003</v>
      </c>
      <c r="S4733">
        <v>8765448</v>
      </c>
      <c r="T4733">
        <v>0</v>
      </c>
      <c r="U4733" s="1" t="s">
        <v>914</v>
      </c>
      <c r="V4733" s="1"/>
      <c r="W4733">
        <v>42226</v>
      </c>
      <c r="X4733">
        <v>0</v>
      </c>
      <c r="Y4733">
        <v>56780</v>
      </c>
    </row>
    <row r="4734" spans="1:25" ht="15" hidden="1" customHeight="1" x14ac:dyDescent="0.25">
      <c r="A4734" s="1" t="s">
        <v>40</v>
      </c>
      <c r="B4734" s="1"/>
      <c r="C4734" s="1" t="s">
        <v>225</v>
      </c>
      <c r="D4734">
        <v>13825</v>
      </c>
      <c r="E4734" s="1"/>
      <c r="F4734" s="1" t="s">
        <v>358</v>
      </c>
      <c r="G4734" s="1" t="s">
        <v>225</v>
      </c>
      <c r="H4734" s="1" t="s">
        <v>1396</v>
      </c>
      <c r="I4734">
        <v>2014</v>
      </c>
      <c r="J4734" s="93">
        <v>98594.95</v>
      </c>
      <c r="K4734">
        <v>13</v>
      </c>
      <c r="L4734" s="1" t="s">
        <v>471</v>
      </c>
      <c r="M4734">
        <v>0</v>
      </c>
      <c r="N4734">
        <v>739</v>
      </c>
      <c r="O4734">
        <v>133.39866000000001</v>
      </c>
      <c r="P4734">
        <v>1</v>
      </c>
      <c r="Q4734" s="1" t="s">
        <v>562</v>
      </c>
      <c r="R4734" s="93">
        <v>119377.32</v>
      </c>
      <c r="S4734">
        <v>7640.12</v>
      </c>
      <c r="T4734">
        <v>0</v>
      </c>
      <c r="U4734" s="1" t="s">
        <v>933</v>
      </c>
      <c r="V4734" s="1"/>
      <c r="W4734">
        <v>98594.950419999994</v>
      </c>
      <c r="X4734">
        <v>0</v>
      </c>
      <c r="Y4734">
        <v>94055</v>
      </c>
    </row>
    <row r="4735" spans="1:25" ht="15" hidden="1" customHeight="1" x14ac:dyDescent="0.25">
      <c r="A4735" s="1" t="s">
        <v>40</v>
      </c>
      <c r="B4735" s="1" t="s">
        <v>90</v>
      </c>
      <c r="C4735" s="1" t="s">
        <v>217</v>
      </c>
      <c r="D4735">
        <v>5266</v>
      </c>
      <c r="E4735" s="1"/>
      <c r="F4735" s="1" t="s">
        <v>217</v>
      </c>
      <c r="G4735" s="1" t="s">
        <v>217</v>
      </c>
      <c r="H4735" s="1" t="s">
        <v>1396</v>
      </c>
      <c r="I4735">
        <v>2015</v>
      </c>
      <c r="J4735" s="93">
        <v>30548.28</v>
      </c>
      <c r="K4735">
        <v>5</v>
      </c>
      <c r="L4735" s="1" t="s">
        <v>469</v>
      </c>
      <c r="M4735">
        <v>0</v>
      </c>
      <c r="N4735">
        <v>585</v>
      </c>
      <c r="O4735">
        <v>52.210357000000002</v>
      </c>
      <c r="P4735">
        <v>1</v>
      </c>
      <c r="Q4735" s="1" t="s">
        <v>563</v>
      </c>
      <c r="R4735" s="93">
        <v>34099.93</v>
      </c>
      <c r="S4735">
        <v>180810.75</v>
      </c>
      <c r="T4735">
        <v>1</v>
      </c>
      <c r="U4735" s="1" t="s">
        <v>914</v>
      </c>
      <c r="V4735" s="1"/>
      <c r="W4735">
        <v>875.56</v>
      </c>
      <c r="X4735">
        <v>0</v>
      </c>
      <c r="Y4735">
        <v>57000</v>
      </c>
    </row>
    <row r="4736" spans="1:25" ht="15" hidden="1" customHeight="1" x14ac:dyDescent="0.25">
      <c r="A4736" s="1" t="s">
        <v>40</v>
      </c>
      <c r="B4736" s="1"/>
      <c r="C4736" s="1" t="s">
        <v>225</v>
      </c>
      <c r="D4736">
        <v>13825</v>
      </c>
      <c r="E4736" s="1"/>
      <c r="F4736" s="1" t="s">
        <v>358</v>
      </c>
      <c r="G4736" s="1" t="s">
        <v>225</v>
      </c>
      <c r="H4736" s="1" t="s">
        <v>1396</v>
      </c>
      <c r="I4736">
        <v>2014</v>
      </c>
      <c r="J4736" s="93">
        <v>68828.320000000007</v>
      </c>
      <c r="K4736">
        <v>12</v>
      </c>
      <c r="L4736" s="1" t="s">
        <v>462</v>
      </c>
      <c r="M4736">
        <v>0</v>
      </c>
      <c r="N4736">
        <v>739</v>
      </c>
      <c r="O4736">
        <v>93.124502000000007</v>
      </c>
      <c r="P4736">
        <v>2</v>
      </c>
      <c r="Q4736" s="1" t="s">
        <v>569</v>
      </c>
      <c r="R4736" s="93">
        <v>68828.320000000007</v>
      </c>
      <c r="S4736">
        <v>20648.47</v>
      </c>
      <c r="T4736">
        <v>0</v>
      </c>
      <c r="U4736" s="1" t="s">
        <v>1180</v>
      </c>
      <c r="V4736" s="1" t="s">
        <v>1361</v>
      </c>
      <c r="W4736">
        <v>68828.293999999994</v>
      </c>
      <c r="X4736">
        <v>0</v>
      </c>
      <c r="Y4736">
        <v>91847</v>
      </c>
    </row>
    <row r="4737" spans="1:25" ht="15" hidden="1" customHeight="1" x14ac:dyDescent="0.25">
      <c r="A4737" s="1" t="s">
        <v>40</v>
      </c>
      <c r="B4737" s="1" t="s">
        <v>90</v>
      </c>
      <c r="C4737" s="1" t="s">
        <v>217</v>
      </c>
      <c r="D4737">
        <v>5266</v>
      </c>
      <c r="E4737" s="1"/>
      <c r="F4737" s="1" t="s">
        <v>217</v>
      </c>
      <c r="G4737" s="1" t="s">
        <v>217</v>
      </c>
      <c r="H4737" s="1" t="s">
        <v>1396</v>
      </c>
      <c r="I4737">
        <v>2013</v>
      </c>
      <c r="J4737" s="93">
        <v>44258.5</v>
      </c>
      <c r="K4737">
        <v>12</v>
      </c>
      <c r="L4737" s="1" t="s">
        <v>469</v>
      </c>
      <c r="M4737">
        <v>0</v>
      </c>
      <c r="N4737">
        <v>585</v>
      </c>
      <c r="O4737">
        <v>75.642624999999995</v>
      </c>
      <c r="P4737">
        <v>1</v>
      </c>
      <c r="Q4737" s="1" t="s">
        <v>562</v>
      </c>
      <c r="R4737" s="93">
        <v>46306.3</v>
      </c>
      <c r="S4737">
        <v>8566.67</v>
      </c>
      <c r="T4737">
        <v>0</v>
      </c>
      <c r="U4737" s="1" t="s">
        <v>914</v>
      </c>
      <c r="V4737" s="1"/>
      <c r="W4737">
        <v>44258.5</v>
      </c>
      <c r="X4737">
        <v>0</v>
      </c>
      <c r="Y4737">
        <v>56780</v>
      </c>
    </row>
    <row r="4738" spans="1:25" ht="15" hidden="1" customHeight="1" x14ac:dyDescent="0.25">
      <c r="A4738" s="1" t="s">
        <v>40</v>
      </c>
      <c r="B4738" s="1" t="s">
        <v>90</v>
      </c>
      <c r="C4738" s="1" t="s">
        <v>217</v>
      </c>
      <c r="D4738">
        <v>5266</v>
      </c>
      <c r="E4738" s="1"/>
      <c r="F4738" s="1" t="s">
        <v>217</v>
      </c>
      <c r="G4738" s="1" t="s">
        <v>217</v>
      </c>
      <c r="H4738" s="1" t="s">
        <v>1396</v>
      </c>
      <c r="I4738">
        <v>2013</v>
      </c>
      <c r="J4738" s="93">
        <v>59782.27</v>
      </c>
      <c r="K4738">
        <v>12</v>
      </c>
      <c r="L4738" s="1" t="s">
        <v>469</v>
      </c>
      <c r="M4738">
        <v>0</v>
      </c>
      <c r="N4738">
        <v>585</v>
      </c>
      <c r="O4738">
        <v>102.174448</v>
      </c>
      <c r="P4738">
        <v>1</v>
      </c>
      <c r="Q4738" s="1" t="s">
        <v>563</v>
      </c>
      <c r="R4738" s="93">
        <v>66918.259999999995</v>
      </c>
      <c r="S4738">
        <v>354.81</v>
      </c>
      <c r="T4738">
        <v>1</v>
      </c>
      <c r="U4738" s="1" t="s">
        <v>914</v>
      </c>
      <c r="V4738" s="1"/>
      <c r="W4738">
        <v>1713.45</v>
      </c>
      <c r="X4738">
        <v>0</v>
      </c>
      <c r="Y4738">
        <v>57000</v>
      </c>
    </row>
    <row r="4739" spans="1:25" ht="15" hidden="1" customHeight="1" x14ac:dyDescent="0.25">
      <c r="A4739" s="1" t="s">
        <v>40</v>
      </c>
      <c r="B4739" s="1" t="s">
        <v>90</v>
      </c>
      <c r="C4739" s="1" t="s">
        <v>217</v>
      </c>
      <c r="D4739">
        <v>5266</v>
      </c>
      <c r="E4739" s="1"/>
      <c r="F4739" s="1" t="s">
        <v>217</v>
      </c>
      <c r="G4739" s="1" t="s">
        <v>217</v>
      </c>
      <c r="H4739" s="1" t="s">
        <v>1396</v>
      </c>
      <c r="I4739">
        <v>2012</v>
      </c>
      <c r="J4739" s="93">
        <v>52224.5</v>
      </c>
      <c r="K4739">
        <v>12</v>
      </c>
      <c r="L4739" s="1" t="s">
        <v>469</v>
      </c>
      <c r="M4739">
        <v>0</v>
      </c>
      <c r="N4739">
        <v>585</v>
      </c>
      <c r="O4739">
        <v>89.257390999999998</v>
      </c>
      <c r="P4739">
        <v>1</v>
      </c>
      <c r="Q4739" s="1" t="s">
        <v>562</v>
      </c>
      <c r="R4739" s="93">
        <v>55096.639999999999</v>
      </c>
      <c r="S4739">
        <v>10192.870000000001</v>
      </c>
      <c r="T4739">
        <v>0</v>
      </c>
      <c r="U4739" s="1" t="s">
        <v>914</v>
      </c>
      <c r="V4739" s="1"/>
      <c r="W4739">
        <v>52224.5</v>
      </c>
      <c r="X4739">
        <v>0</v>
      </c>
      <c r="Y4739">
        <v>56780</v>
      </c>
    </row>
    <row r="4740" spans="1:25" ht="15" hidden="1" customHeight="1" x14ac:dyDescent="0.25">
      <c r="A4740" s="1" t="s">
        <v>40</v>
      </c>
      <c r="B4740" s="1" t="s">
        <v>90</v>
      </c>
      <c r="C4740" s="1" t="s">
        <v>217</v>
      </c>
      <c r="D4740">
        <v>5266</v>
      </c>
      <c r="E4740" s="1"/>
      <c r="F4740" s="1" t="s">
        <v>217</v>
      </c>
      <c r="G4740" s="1" t="s">
        <v>217</v>
      </c>
      <c r="H4740" s="1" t="s">
        <v>1396</v>
      </c>
      <c r="I4740">
        <v>2012</v>
      </c>
      <c r="J4740" s="93">
        <v>60150.36</v>
      </c>
      <c r="K4740">
        <v>12</v>
      </c>
      <c r="L4740" s="1" t="s">
        <v>469</v>
      </c>
      <c r="M4740">
        <v>0</v>
      </c>
      <c r="N4740">
        <v>585</v>
      </c>
      <c r="O4740">
        <v>102.80355400000001</v>
      </c>
      <c r="P4740">
        <v>1</v>
      </c>
      <c r="Q4740" s="1" t="s">
        <v>563</v>
      </c>
      <c r="R4740" s="93">
        <v>59401.88</v>
      </c>
      <c r="S4740">
        <v>314.97000000000003</v>
      </c>
      <c r="T4740">
        <v>1</v>
      </c>
      <c r="U4740" s="1" t="s">
        <v>914</v>
      </c>
      <c r="V4740" s="1"/>
      <c r="W4740">
        <v>1724</v>
      </c>
      <c r="X4740">
        <v>0</v>
      </c>
      <c r="Y4740">
        <v>57000</v>
      </c>
    </row>
    <row r="4741" spans="1:25" ht="15" hidden="1" customHeight="1" x14ac:dyDescent="0.25">
      <c r="A4741" s="1" t="s">
        <v>40</v>
      </c>
      <c r="B4741" s="1" t="s">
        <v>90</v>
      </c>
      <c r="C4741" s="1" t="s">
        <v>217</v>
      </c>
      <c r="D4741">
        <v>5266</v>
      </c>
      <c r="E4741" s="1"/>
      <c r="F4741" s="1" t="s">
        <v>217</v>
      </c>
      <c r="G4741" s="1" t="s">
        <v>217</v>
      </c>
      <c r="H4741" s="1" t="s">
        <v>1396</v>
      </c>
      <c r="I4741">
        <v>2011</v>
      </c>
      <c r="J4741" s="93">
        <v>57174</v>
      </c>
      <c r="K4741">
        <v>12</v>
      </c>
      <c r="L4741" s="1" t="s">
        <v>469</v>
      </c>
      <c r="M4741">
        <v>0</v>
      </c>
      <c r="N4741">
        <v>585</v>
      </c>
      <c r="O4741">
        <v>97.716628999999998</v>
      </c>
      <c r="P4741">
        <v>1</v>
      </c>
      <c r="Q4741" s="1" t="s">
        <v>562</v>
      </c>
      <c r="R4741" s="93">
        <v>62614.68</v>
      </c>
      <c r="S4741">
        <v>11583.7</v>
      </c>
      <c r="T4741">
        <v>0</v>
      </c>
      <c r="U4741" s="1" t="s">
        <v>914</v>
      </c>
      <c r="V4741" s="1"/>
      <c r="W4741">
        <v>57174</v>
      </c>
      <c r="X4741">
        <v>0</v>
      </c>
      <c r="Y4741">
        <v>56780</v>
      </c>
    </row>
    <row r="4742" spans="1:25" ht="15" hidden="1" customHeight="1" x14ac:dyDescent="0.25">
      <c r="A4742" s="1" t="s">
        <v>40</v>
      </c>
      <c r="B4742" s="1"/>
      <c r="C4742" s="1" t="s">
        <v>225</v>
      </c>
      <c r="D4742">
        <v>13825</v>
      </c>
      <c r="E4742" s="1"/>
      <c r="F4742" s="1" t="s">
        <v>358</v>
      </c>
      <c r="G4742" s="1" t="s">
        <v>225</v>
      </c>
      <c r="H4742" s="1" t="s">
        <v>1396</v>
      </c>
      <c r="I4742">
        <v>2014</v>
      </c>
      <c r="J4742" s="93">
        <v>28768.23</v>
      </c>
      <c r="K4742">
        <v>12</v>
      </c>
      <c r="L4742" s="1" t="s">
        <v>462</v>
      </c>
      <c r="M4742">
        <v>0</v>
      </c>
      <c r="N4742">
        <v>739</v>
      </c>
      <c r="O4742">
        <v>38.923324999999998</v>
      </c>
      <c r="P4742">
        <v>2</v>
      </c>
      <c r="Q4742" s="1" t="s">
        <v>569</v>
      </c>
      <c r="R4742" s="93">
        <v>28768.23</v>
      </c>
      <c r="S4742">
        <v>8630.48</v>
      </c>
      <c r="T4742">
        <v>0</v>
      </c>
      <c r="U4742" s="1" t="s">
        <v>1181</v>
      </c>
      <c r="V4742" s="1" t="s">
        <v>1362</v>
      </c>
      <c r="W4742">
        <v>28768.231</v>
      </c>
      <c r="X4742">
        <v>0</v>
      </c>
      <c r="Y4742">
        <v>94053</v>
      </c>
    </row>
    <row r="4743" spans="1:25" ht="15" hidden="1" customHeight="1" x14ac:dyDescent="0.25">
      <c r="A4743" s="1" t="s">
        <v>40</v>
      </c>
      <c r="B4743" s="1" t="s">
        <v>90</v>
      </c>
      <c r="C4743" s="1" t="s">
        <v>217</v>
      </c>
      <c r="D4743">
        <v>5266</v>
      </c>
      <c r="E4743" s="1"/>
      <c r="F4743" s="1" t="s">
        <v>217</v>
      </c>
      <c r="G4743" s="1" t="s">
        <v>217</v>
      </c>
      <c r="H4743" s="1" t="s">
        <v>1396</v>
      </c>
      <c r="I4743">
        <v>2011</v>
      </c>
      <c r="J4743" s="93">
        <v>47577.05</v>
      </c>
      <c r="K4743">
        <v>12</v>
      </c>
      <c r="L4743" s="1" t="s">
        <v>469</v>
      </c>
      <c r="M4743">
        <v>0</v>
      </c>
      <c r="N4743">
        <v>585</v>
      </c>
      <c r="O4743">
        <v>81.314390000000003</v>
      </c>
      <c r="P4743">
        <v>1</v>
      </c>
      <c r="Q4743" s="1" t="s">
        <v>563</v>
      </c>
      <c r="R4743" s="93">
        <v>52490.44</v>
      </c>
      <c r="S4743">
        <v>278.33</v>
      </c>
      <c r="T4743">
        <v>1</v>
      </c>
      <c r="U4743" s="1" t="s">
        <v>914</v>
      </c>
      <c r="V4743" s="1"/>
      <c r="W4743">
        <v>1363.63</v>
      </c>
      <c r="X4743">
        <v>0</v>
      </c>
      <c r="Y4743">
        <v>57000</v>
      </c>
    </row>
    <row r="4744" spans="1:25" ht="15" hidden="1" customHeight="1" x14ac:dyDescent="0.25">
      <c r="A4744" s="1" t="s">
        <v>40</v>
      </c>
      <c r="B4744" s="1" t="s">
        <v>90</v>
      </c>
      <c r="C4744" s="1" t="s">
        <v>217</v>
      </c>
      <c r="D4744">
        <v>5266</v>
      </c>
      <c r="E4744" s="1"/>
      <c r="F4744" s="1" t="s">
        <v>217</v>
      </c>
      <c r="G4744" s="1" t="s">
        <v>217</v>
      </c>
      <c r="H4744" s="1" t="s">
        <v>1396</v>
      </c>
      <c r="I4744">
        <v>2010</v>
      </c>
      <c r="J4744" s="93">
        <v>59492</v>
      </c>
      <c r="K4744">
        <v>12</v>
      </c>
      <c r="L4744" s="1" t="s">
        <v>469</v>
      </c>
      <c r="M4744">
        <v>0</v>
      </c>
      <c r="N4744">
        <v>585</v>
      </c>
      <c r="O4744">
        <v>101.67834499999999</v>
      </c>
      <c r="P4744">
        <v>1</v>
      </c>
      <c r="Q4744" s="1" t="s">
        <v>562</v>
      </c>
      <c r="R4744" s="93">
        <v>54281.9</v>
      </c>
      <c r="S4744">
        <v>10042.15</v>
      </c>
      <c r="T4744">
        <v>0</v>
      </c>
      <c r="U4744" s="1" t="s">
        <v>914</v>
      </c>
      <c r="V4744" s="1"/>
      <c r="W4744">
        <v>59492</v>
      </c>
      <c r="X4744">
        <v>0</v>
      </c>
      <c r="Y4744">
        <v>56780</v>
      </c>
    </row>
    <row r="4745" spans="1:25" ht="15" hidden="1" customHeight="1" x14ac:dyDescent="0.25">
      <c r="A4745" s="1" t="s">
        <v>40</v>
      </c>
      <c r="B4745" s="1" t="s">
        <v>90</v>
      </c>
      <c r="C4745" s="1" t="s">
        <v>217</v>
      </c>
      <c r="D4745">
        <v>5266</v>
      </c>
      <c r="E4745" s="1"/>
      <c r="F4745" s="1" t="s">
        <v>217</v>
      </c>
      <c r="G4745" s="1" t="s">
        <v>217</v>
      </c>
      <c r="H4745" s="1" t="s">
        <v>1396</v>
      </c>
      <c r="I4745">
        <v>2010</v>
      </c>
      <c r="J4745" s="93">
        <v>62093.72</v>
      </c>
      <c r="K4745">
        <v>12</v>
      </c>
      <c r="L4745" s="1" t="s">
        <v>469</v>
      </c>
      <c r="M4745">
        <v>0</v>
      </c>
      <c r="N4745">
        <v>585</v>
      </c>
      <c r="O4745">
        <v>106.12497</v>
      </c>
      <c r="P4745">
        <v>1</v>
      </c>
      <c r="Q4745" s="1" t="s">
        <v>563</v>
      </c>
      <c r="R4745" s="93">
        <v>57026.48</v>
      </c>
      <c r="S4745">
        <v>302.39</v>
      </c>
      <c r="T4745">
        <v>1</v>
      </c>
      <c r="U4745" s="1" t="s">
        <v>914</v>
      </c>
      <c r="V4745" s="1"/>
      <c r="W4745">
        <v>1779.7</v>
      </c>
      <c r="X4745">
        <v>0</v>
      </c>
      <c r="Y4745">
        <v>57000</v>
      </c>
    </row>
    <row r="4746" spans="1:25" ht="15" hidden="1" customHeight="1" x14ac:dyDescent="0.25">
      <c r="A4746" s="1" t="s">
        <v>40</v>
      </c>
      <c r="B4746" s="1" t="s">
        <v>90</v>
      </c>
      <c r="C4746" s="1" t="s">
        <v>217</v>
      </c>
      <c r="D4746">
        <v>5266</v>
      </c>
      <c r="E4746" s="1"/>
      <c r="F4746" s="1" t="s">
        <v>217</v>
      </c>
      <c r="G4746" s="1" t="s">
        <v>217</v>
      </c>
      <c r="H4746" s="1" t="s">
        <v>1396</v>
      </c>
      <c r="I4746">
        <v>2009</v>
      </c>
      <c r="J4746" s="93">
        <v>42831</v>
      </c>
      <c r="K4746">
        <v>12</v>
      </c>
      <c r="L4746" s="1" t="s">
        <v>469</v>
      </c>
      <c r="M4746">
        <v>0</v>
      </c>
      <c r="N4746">
        <v>585</v>
      </c>
      <c r="O4746">
        <v>73.202871000000002</v>
      </c>
      <c r="P4746">
        <v>1</v>
      </c>
      <c r="Q4746" s="1" t="s">
        <v>562</v>
      </c>
      <c r="R4746" s="93">
        <v>45465.86</v>
      </c>
      <c r="S4746">
        <v>8411.18</v>
      </c>
      <c r="T4746">
        <v>0</v>
      </c>
      <c r="U4746" s="1" t="s">
        <v>914</v>
      </c>
      <c r="V4746" s="1"/>
      <c r="W4746">
        <v>42831</v>
      </c>
      <c r="X4746">
        <v>0</v>
      </c>
      <c r="Y4746">
        <v>56780</v>
      </c>
    </row>
    <row r="4747" spans="1:25" ht="15" hidden="1" customHeight="1" x14ac:dyDescent="0.25">
      <c r="A4747" s="1" t="s">
        <v>40</v>
      </c>
      <c r="B4747" s="1" t="s">
        <v>90</v>
      </c>
      <c r="C4747" s="1" t="s">
        <v>217</v>
      </c>
      <c r="D4747">
        <v>5266</v>
      </c>
      <c r="E4747" s="1"/>
      <c r="F4747" s="1" t="s">
        <v>217</v>
      </c>
      <c r="G4747" s="1" t="s">
        <v>217</v>
      </c>
      <c r="H4747" s="1" t="s">
        <v>1396</v>
      </c>
      <c r="I4747">
        <v>2009</v>
      </c>
      <c r="J4747" s="93">
        <v>53438.22</v>
      </c>
      <c r="K4747">
        <v>12</v>
      </c>
      <c r="L4747" s="1" t="s">
        <v>469</v>
      </c>
      <c r="M4747">
        <v>0</v>
      </c>
      <c r="N4747">
        <v>585</v>
      </c>
      <c r="O4747">
        <v>91.331772000000001</v>
      </c>
      <c r="P4747">
        <v>1</v>
      </c>
      <c r="Q4747" s="1" t="s">
        <v>563</v>
      </c>
      <c r="R4747" s="93">
        <v>56018.12</v>
      </c>
      <c r="S4747">
        <v>297.04000000000002</v>
      </c>
      <c r="T4747">
        <v>1</v>
      </c>
      <c r="U4747" s="1" t="s">
        <v>914</v>
      </c>
      <c r="V4747" s="1"/>
      <c r="W4747">
        <v>1531.62</v>
      </c>
      <c r="X4747">
        <v>0</v>
      </c>
      <c r="Y4747">
        <v>57000</v>
      </c>
    </row>
    <row r="4748" spans="1:25" ht="15" hidden="1" customHeight="1" x14ac:dyDescent="0.25">
      <c r="A4748" s="1" t="s">
        <v>40</v>
      </c>
      <c r="B4748" s="1" t="s">
        <v>90</v>
      </c>
      <c r="C4748" s="1" t="s">
        <v>217</v>
      </c>
      <c r="D4748">
        <v>5266</v>
      </c>
      <c r="E4748" s="1"/>
      <c r="F4748" s="1" t="s">
        <v>217</v>
      </c>
      <c r="G4748" s="1" t="s">
        <v>217</v>
      </c>
      <c r="H4748" s="1" t="s">
        <v>1396</v>
      </c>
      <c r="I4748">
        <v>2008</v>
      </c>
      <c r="J4748" s="93">
        <v>41872</v>
      </c>
      <c r="K4748">
        <v>12</v>
      </c>
      <c r="L4748" s="1" t="s">
        <v>469</v>
      </c>
      <c r="M4748">
        <v>0</v>
      </c>
      <c r="N4748">
        <v>585</v>
      </c>
      <c r="O4748">
        <v>71.563834999999997</v>
      </c>
      <c r="P4748">
        <v>1</v>
      </c>
      <c r="Q4748" s="1" t="s">
        <v>562</v>
      </c>
      <c r="R4748" s="93">
        <v>48240.98</v>
      </c>
      <c r="S4748">
        <v>8924.59</v>
      </c>
      <c r="T4748">
        <v>0</v>
      </c>
      <c r="U4748" s="1" t="s">
        <v>914</v>
      </c>
      <c r="V4748" s="1"/>
      <c r="W4748">
        <v>41872</v>
      </c>
      <c r="X4748">
        <v>0</v>
      </c>
      <c r="Y4748">
        <v>56780</v>
      </c>
    </row>
    <row r="4749" spans="1:25" ht="15" hidden="1" customHeight="1" x14ac:dyDescent="0.25">
      <c r="A4749" s="1" t="s">
        <v>40</v>
      </c>
      <c r="B4749" s="1" t="s">
        <v>90</v>
      </c>
      <c r="C4749" s="1" t="s">
        <v>217</v>
      </c>
      <c r="D4749">
        <v>5266</v>
      </c>
      <c r="E4749" s="1"/>
      <c r="F4749" s="1" t="s">
        <v>217</v>
      </c>
      <c r="G4749" s="1" t="s">
        <v>217</v>
      </c>
      <c r="H4749" s="1" t="s">
        <v>1396</v>
      </c>
      <c r="I4749">
        <v>2008</v>
      </c>
      <c r="J4749" s="93">
        <v>133938.53</v>
      </c>
      <c r="K4749">
        <v>12</v>
      </c>
      <c r="L4749" s="1" t="s">
        <v>469</v>
      </c>
      <c r="M4749">
        <v>0</v>
      </c>
      <c r="N4749">
        <v>585</v>
      </c>
      <c r="O4749">
        <v>228.91562099999999</v>
      </c>
      <c r="P4749">
        <v>1</v>
      </c>
      <c r="Q4749" s="1" t="s">
        <v>563</v>
      </c>
      <c r="R4749" s="93">
        <v>172127.07</v>
      </c>
      <c r="S4749">
        <v>912.66</v>
      </c>
      <c r="T4749">
        <v>1</v>
      </c>
      <c r="U4749" s="1" t="s">
        <v>914</v>
      </c>
      <c r="V4749" s="1"/>
      <c r="W4749">
        <v>3838.88</v>
      </c>
      <c r="X4749">
        <v>0</v>
      </c>
      <c r="Y4749">
        <v>57000</v>
      </c>
    </row>
    <row r="4750" spans="1:25" ht="15" hidden="1" customHeight="1" x14ac:dyDescent="0.25">
      <c r="A4750" s="1" t="s">
        <v>40</v>
      </c>
      <c r="B4750" s="1" t="s">
        <v>92</v>
      </c>
      <c r="C4750" s="1" t="s">
        <v>220</v>
      </c>
      <c r="D4750">
        <v>13868</v>
      </c>
      <c r="E4750" s="1" t="s">
        <v>243</v>
      </c>
      <c r="F4750" s="1" t="s">
        <v>355</v>
      </c>
      <c r="G4750" s="1" t="s">
        <v>220</v>
      </c>
      <c r="H4750" s="1" t="s">
        <v>1396</v>
      </c>
      <c r="I4750">
        <v>2015</v>
      </c>
      <c r="J4750" s="93">
        <v>83449.23</v>
      </c>
      <c r="K4750">
        <v>5</v>
      </c>
      <c r="L4750" s="1" t="s">
        <v>481</v>
      </c>
      <c r="M4750">
        <v>0</v>
      </c>
      <c r="N4750">
        <v>867</v>
      </c>
      <c r="O4750">
        <v>96.239452999999997</v>
      </c>
      <c r="P4750">
        <v>1</v>
      </c>
      <c r="Q4750" s="1" t="s">
        <v>564</v>
      </c>
      <c r="R4750" s="93">
        <v>93376.3</v>
      </c>
      <c r="S4750">
        <v>19747.349999999999</v>
      </c>
      <c r="T4750">
        <v>0</v>
      </c>
      <c r="U4750" s="1" t="s">
        <v>916</v>
      </c>
      <c r="V4750" s="1"/>
      <c r="W4750">
        <v>7726.78</v>
      </c>
      <c r="X4750">
        <v>0</v>
      </c>
      <c r="Y4750">
        <v>92670</v>
      </c>
    </row>
    <row r="4751" spans="1:25" ht="15" hidden="1" customHeight="1" x14ac:dyDescent="0.25">
      <c r="A4751" s="1" t="s">
        <v>40</v>
      </c>
      <c r="B4751" s="1" t="s">
        <v>92</v>
      </c>
      <c r="C4751" s="1" t="s">
        <v>220</v>
      </c>
      <c r="D4751">
        <v>13868</v>
      </c>
      <c r="E4751" s="1" t="s">
        <v>243</v>
      </c>
      <c r="F4751" s="1" t="s">
        <v>355</v>
      </c>
      <c r="G4751" s="1" t="s">
        <v>220</v>
      </c>
      <c r="H4751" s="1" t="s">
        <v>1396</v>
      </c>
      <c r="I4751">
        <v>2013</v>
      </c>
      <c r="J4751" s="93">
        <v>174016.76</v>
      </c>
      <c r="K4751">
        <v>6</v>
      </c>
      <c r="L4751" s="1" t="s">
        <v>481</v>
      </c>
      <c r="M4751">
        <v>0</v>
      </c>
      <c r="N4751">
        <v>867</v>
      </c>
      <c r="O4751">
        <v>200.68822499999999</v>
      </c>
      <c r="P4751">
        <v>1</v>
      </c>
      <c r="Q4751" s="1" t="s">
        <v>564</v>
      </c>
      <c r="R4751" s="93">
        <v>236242.8</v>
      </c>
      <c r="S4751">
        <v>49960.98</v>
      </c>
      <c r="T4751">
        <v>0</v>
      </c>
      <c r="U4751" s="1" t="s">
        <v>916</v>
      </c>
      <c r="V4751" s="1"/>
      <c r="W4751">
        <v>16112.66173</v>
      </c>
      <c r="X4751">
        <v>0</v>
      </c>
      <c r="Y4751">
        <v>92670</v>
      </c>
    </row>
    <row r="4752" spans="1:25" ht="15" hidden="1" customHeight="1" x14ac:dyDescent="0.25">
      <c r="A4752" s="1" t="s">
        <v>40</v>
      </c>
      <c r="B4752" s="1" t="s">
        <v>92</v>
      </c>
      <c r="C4752" s="1" t="s">
        <v>220</v>
      </c>
      <c r="D4752">
        <v>13868</v>
      </c>
      <c r="E4752" s="1" t="s">
        <v>243</v>
      </c>
      <c r="F4752" s="1" t="s">
        <v>355</v>
      </c>
      <c r="G4752" s="1" t="s">
        <v>220</v>
      </c>
      <c r="H4752" s="1" t="s">
        <v>1396</v>
      </c>
      <c r="I4752">
        <v>2012</v>
      </c>
      <c r="J4752" s="93">
        <v>147788.59</v>
      </c>
      <c r="K4752">
        <v>2</v>
      </c>
      <c r="L4752" s="1" t="s">
        <v>481</v>
      </c>
      <c r="M4752">
        <v>0</v>
      </c>
      <c r="N4752">
        <v>867</v>
      </c>
      <c r="O4752">
        <v>170.440076</v>
      </c>
      <c r="P4752">
        <v>1</v>
      </c>
      <c r="Q4752" s="1" t="s">
        <v>564</v>
      </c>
      <c r="R4752" s="93">
        <v>162760.04999999999</v>
      </c>
      <c r="S4752">
        <v>34420.75</v>
      </c>
      <c r="T4752">
        <v>0</v>
      </c>
      <c r="U4752" s="1" t="s">
        <v>916</v>
      </c>
      <c r="V4752" s="1"/>
      <c r="W4752">
        <v>13684.129569999999</v>
      </c>
      <c r="X4752">
        <v>0</v>
      </c>
      <c r="Y4752">
        <v>92670</v>
      </c>
    </row>
    <row r="4753" spans="1:25" ht="15" hidden="1" customHeight="1" x14ac:dyDescent="0.25">
      <c r="A4753" s="1" t="s">
        <v>40</v>
      </c>
      <c r="B4753" s="1" t="s">
        <v>92</v>
      </c>
      <c r="C4753" s="1" t="s">
        <v>220</v>
      </c>
      <c r="D4753">
        <v>13868</v>
      </c>
      <c r="E4753" s="1" t="s">
        <v>243</v>
      </c>
      <c r="F4753" s="1" t="s">
        <v>355</v>
      </c>
      <c r="G4753" s="1" t="s">
        <v>220</v>
      </c>
      <c r="H4753" s="1" t="s">
        <v>1396</v>
      </c>
      <c r="I4753">
        <v>2011</v>
      </c>
      <c r="J4753" s="93">
        <v>205960.07</v>
      </c>
      <c r="K4753">
        <v>1</v>
      </c>
      <c r="L4753" s="1" t="s">
        <v>481</v>
      </c>
      <c r="M4753">
        <v>0</v>
      </c>
      <c r="N4753">
        <v>867</v>
      </c>
      <c r="O4753">
        <v>237.52746999999999</v>
      </c>
      <c r="P4753">
        <v>1</v>
      </c>
      <c r="Q4753" s="1" t="s">
        <v>564</v>
      </c>
      <c r="R4753" s="93">
        <v>238957.64</v>
      </c>
      <c r="S4753">
        <v>50535.12</v>
      </c>
      <c r="T4753">
        <v>0</v>
      </c>
      <c r="U4753" s="1" t="s">
        <v>916</v>
      </c>
      <c r="V4753" s="1"/>
      <c r="W4753">
        <v>19070.378140000001</v>
      </c>
      <c r="X4753">
        <v>0</v>
      </c>
      <c r="Y4753">
        <v>92670</v>
      </c>
    </row>
    <row r="4754" spans="1:25" ht="15" hidden="1" customHeight="1" x14ac:dyDescent="0.25">
      <c r="A4754" s="1" t="s">
        <v>40</v>
      </c>
      <c r="B4754" s="1" t="s">
        <v>92</v>
      </c>
      <c r="C4754" s="1" t="s">
        <v>220</v>
      </c>
      <c r="D4754">
        <v>13868</v>
      </c>
      <c r="E4754" s="1" t="s">
        <v>243</v>
      </c>
      <c r="F4754" s="1" t="s">
        <v>355</v>
      </c>
      <c r="G4754" s="1" t="s">
        <v>220</v>
      </c>
      <c r="H4754" s="1" t="s">
        <v>1396</v>
      </c>
      <c r="I4754">
        <v>2010</v>
      </c>
      <c r="J4754" s="93">
        <v>162701.76999999999</v>
      </c>
      <c r="K4754">
        <v>2</v>
      </c>
      <c r="L4754" s="1" t="s">
        <v>481</v>
      </c>
      <c r="M4754">
        <v>0</v>
      </c>
      <c r="N4754">
        <v>867</v>
      </c>
      <c r="O4754">
        <v>187.638992</v>
      </c>
      <c r="P4754">
        <v>1</v>
      </c>
      <c r="Q4754" s="1" t="s">
        <v>564</v>
      </c>
      <c r="R4754" s="93">
        <v>173933.84</v>
      </c>
      <c r="S4754">
        <v>36783.78</v>
      </c>
      <c r="T4754">
        <v>0</v>
      </c>
      <c r="U4754" s="1" t="s">
        <v>916</v>
      </c>
      <c r="V4754" s="1"/>
      <c r="W4754">
        <v>15064.9791</v>
      </c>
      <c r="X4754">
        <v>0</v>
      </c>
      <c r="Y4754">
        <v>92670</v>
      </c>
    </row>
    <row r="4755" spans="1:25" ht="15" hidden="1" customHeight="1" x14ac:dyDescent="0.25">
      <c r="A4755" s="1" t="s">
        <v>40</v>
      </c>
      <c r="B4755" s="1" t="s">
        <v>92</v>
      </c>
      <c r="C4755" s="1" t="s">
        <v>220</v>
      </c>
      <c r="D4755">
        <v>13868</v>
      </c>
      <c r="E4755" s="1" t="s">
        <v>243</v>
      </c>
      <c r="F4755" s="1" t="s">
        <v>355</v>
      </c>
      <c r="G4755" s="1" t="s">
        <v>220</v>
      </c>
      <c r="H4755" s="1" t="s">
        <v>1396</v>
      </c>
      <c r="I4755">
        <v>2009</v>
      </c>
      <c r="J4755" s="93">
        <v>101870.82</v>
      </c>
      <c r="K4755">
        <v>1</v>
      </c>
      <c r="L4755" s="1" t="s">
        <v>481</v>
      </c>
      <c r="M4755">
        <v>0</v>
      </c>
      <c r="N4755">
        <v>867</v>
      </c>
      <c r="O4755">
        <v>117.484511</v>
      </c>
      <c r="P4755">
        <v>1</v>
      </c>
      <c r="Q4755" s="1" t="s">
        <v>564</v>
      </c>
      <c r="R4755" s="93">
        <v>175411.87</v>
      </c>
      <c r="S4755">
        <v>37096.35</v>
      </c>
      <c r="T4755">
        <v>0</v>
      </c>
      <c r="U4755" s="1" t="s">
        <v>916</v>
      </c>
      <c r="V4755" s="1"/>
      <c r="W4755">
        <v>9432.4814700000006</v>
      </c>
      <c r="X4755">
        <v>0</v>
      </c>
      <c r="Y4755">
        <v>92670</v>
      </c>
    </row>
    <row r="4756" spans="1:25" ht="15" hidden="1" customHeight="1" x14ac:dyDescent="0.25">
      <c r="A4756" s="1" t="s">
        <v>40</v>
      </c>
      <c r="B4756" s="1" t="s">
        <v>92</v>
      </c>
      <c r="C4756" s="1" t="s">
        <v>220</v>
      </c>
      <c r="D4756">
        <v>13868</v>
      </c>
      <c r="E4756" s="1" t="s">
        <v>243</v>
      </c>
      <c r="F4756" s="1" t="s">
        <v>355</v>
      </c>
      <c r="G4756" s="1" t="s">
        <v>220</v>
      </c>
      <c r="H4756" s="1" t="s">
        <v>1396</v>
      </c>
      <c r="I4756">
        <v>2008</v>
      </c>
      <c r="J4756" s="93">
        <v>60766.82</v>
      </c>
      <c r="K4756">
        <v>1</v>
      </c>
      <c r="L4756" s="1" t="s">
        <v>481</v>
      </c>
      <c r="M4756">
        <v>0</v>
      </c>
      <c r="N4756">
        <v>867</v>
      </c>
      <c r="O4756">
        <v>70.080521000000005</v>
      </c>
      <c r="P4756">
        <v>1</v>
      </c>
      <c r="Q4756" s="1" t="s">
        <v>564</v>
      </c>
      <c r="R4756" s="93">
        <v>75026.929999999993</v>
      </c>
      <c r="S4756">
        <v>15866.8</v>
      </c>
      <c r="T4756">
        <v>0</v>
      </c>
      <c r="U4756" s="1" t="s">
        <v>916</v>
      </c>
      <c r="V4756" s="1"/>
      <c r="W4756">
        <v>5626.5573800000002</v>
      </c>
      <c r="X4756">
        <v>0</v>
      </c>
      <c r="Y4756">
        <v>92670</v>
      </c>
    </row>
    <row r="4757" spans="1:25" ht="15" hidden="1" customHeight="1" x14ac:dyDescent="0.25">
      <c r="A4757" s="1" t="s">
        <v>40</v>
      </c>
      <c r="B4757" s="1"/>
      <c r="C4757" s="1" t="s">
        <v>229</v>
      </c>
      <c r="D4757">
        <v>10616</v>
      </c>
      <c r="E4757" s="1"/>
      <c r="F4757" s="1" t="s">
        <v>369</v>
      </c>
      <c r="G4757" s="1" t="s">
        <v>229</v>
      </c>
      <c r="H4757" s="1" t="s">
        <v>1396</v>
      </c>
      <c r="I4757">
        <v>2015</v>
      </c>
      <c r="J4757" s="93">
        <v>70221.08</v>
      </c>
      <c r="K4757">
        <v>5</v>
      </c>
      <c r="L4757" s="1" t="s">
        <v>399</v>
      </c>
      <c r="M4757">
        <v>0</v>
      </c>
      <c r="N4757">
        <v>0</v>
      </c>
      <c r="O4757">
        <v>702210.8</v>
      </c>
      <c r="P4757">
        <v>1</v>
      </c>
      <c r="Q4757" s="1" t="s">
        <v>562</v>
      </c>
      <c r="R4757" s="93">
        <v>78759.289999999994</v>
      </c>
      <c r="S4757">
        <v>14570.45</v>
      </c>
      <c r="T4757">
        <v>0</v>
      </c>
      <c r="U4757" s="1"/>
      <c r="V4757" s="1"/>
      <c r="W4757">
        <v>70221.08</v>
      </c>
      <c r="X4757">
        <v>0</v>
      </c>
      <c r="Y4757">
        <v>90988</v>
      </c>
    </row>
    <row r="4758" spans="1:25" ht="15" hidden="1" customHeight="1" x14ac:dyDescent="0.25">
      <c r="A4758" s="1" t="s">
        <v>40</v>
      </c>
      <c r="B4758" s="1"/>
      <c r="C4758" s="1" t="s">
        <v>229</v>
      </c>
      <c r="D4758">
        <v>10616</v>
      </c>
      <c r="E4758" s="1"/>
      <c r="F4758" s="1" t="s">
        <v>369</v>
      </c>
      <c r="G4758" s="1" t="s">
        <v>229</v>
      </c>
      <c r="H4758" s="1" t="s">
        <v>1396</v>
      </c>
      <c r="I4758">
        <v>2013</v>
      </c>
      <c r="J4758" s="93">
        <v>158404.15</v>
      </c>
      <c r="K4758">
        <v>12</v>
      </c>
      <c r="L4758" s="1" t="s">
        <v>399</v>
      </c>
      <c r="M4758">
        <v>0</v>
      </c>
      <c r="N4758">
        <v>0</v>
      </c>
      <c r="O4758">
        <v>1584041.5</v>
      </c>
      <c r="P4758">
        <v>1</v>
      </c>
      <c r="Q4758" s="1" t="s">
        <v>562</v>
      </c>
      <c r="R4758" s="93">
        <v>167030.82999999999</v>
      </c>
      <c r="S4758">
        <v>30900.71</v>
      </c>
      <c r="T4758">
        <v>0</v>
      </c>
      <c r="U4758" s="1"/>
      <c r="V4758" s="1"/>
      <c r="W4758">
        <v>158404.15</v>
      </c>
      <c r="X4758">
        <v>0</v>
      </c>
      <c r="Y4758">
        <v>90988</v>
      </c>
    </row>
    <row r="4759" spans="1:25" ht="15" hidden="1" customHeight="1" x14ac:dyDescent="0.25">
      <c r="A4759" s="1" t="s">
        <v>40</v>
      </c>
      <c r="B4759" s="1"/>
      <c r="C4759" s="1" t="s">
        <v>229</v>
      </c>
      <c r="D4759">
        <v>10616</v>
      </c>
      <c r="E4759" s="1"/>
      <c r="F4759" s="1" t="s">
        <v>369</v>
      </c>
      <c r="G4759" s="1" t="s">
        <v>229</v>
      </c>
      <c r="H4759" s="1" t="s">
        <v>1396</v>
      </c>
      <c r="I4759">
        <v>2012</v>
      </c>
      <c r="J4759" s="93">
        <v>134780.66</v>
      </c>
      <c r="K4759">
        <v>12</v>
      </c>
      <c r="L4759" s="1" t="s">
        <v>399</v>
      </c>
      <c r="M4759">
        <v>0</v>
      </c>
      <c r="N4759">
        <v>0</v>
      </c>
      <c r="O4759">
        <v>1347806.6</v>
      </c>
      <c r="P4759">
        <v>1</v>
      </c>
      <c r="Q4759" s="1" t="s">
        <v>562</v>
      </c>
      <c r="R4759" s="93">
        <v>140370.70000000001</v>
      </c>
      <c r="S4759">
        <v>25968.58</v>
      </c>
      <c r="T4759">
        <v>0</v>
      </c>
      <c r="U4759" s="1"/>
      <c r="V4759" s="1"/>
      <c r="W4759">
        <v>134780.65700000001</v>
      </c>
      <c r="X4759">
        <v>0</v>
      </c>
      <c r="Y4759">
        <v>90988</v>
      </c>
    </row>
    <row r="4760" spans="1:25" ht="15" hidden="1" customHeight="1" x14ac:dyDescent="0.25">
      <c r="A4760" s="1" t="s">
        <v>40</v>
      </c>
      <c r="B4760" s="1"/>
      <c r="C4760" s="1" t="s">
        <v>229</v>
      </c>
      <c r="D4760">
        <v>10616</v>
      </c>
      <c r="E4760" s="1"/>
      <c r="F4760" s="1" t="s">
        <v>369</v>
      </c>
      <c r="G4760" s="1" t="s">
        <v>229</v>
      </c>
      <c r="H4760" s="1" t="s">
        <v>1396</v>
      </c>
      <c r="I4760">
        <v>2012</v>
      </c>
      <c r="J4760" s="93">
        <v>459.43</v>
      </c>
      <c r="K4760">
        <v>1</v>
      </c>
      <c r="L4760" s="1" t="s">
        <v>503</v>
      </c>
      <c r="M4760">
        <v>0</v>
      </c>
      <c r="N4760">
        <v>0</v>
      </c>
      <c r="O4760">
        <v>4594.3</v>
      </c>
      <c r="P4760">
        <v>1</v>
      </c>
      <c r="Q4760" s="1" t="s">
        <v>565</v>
      </c>
      <c r="R4760" s="93">
        <v>459.43</v>
      </c>
      <c r="S4760">
        <v>84.99</v>
      </c>
      <c r="T4760">
        <v>0</v>
      </c>
      <c r="U4760" s="1" t="s">
        <v>810</v>
      </c>
      <c r="V4760" s="1"/>
      <c r="W4760">
        <v>0.45943000000000001</v>
      </c>
      <c r="X4760">
        <v>0</v>
      </c>
      <c r="Y4760">
        <v>78588</v>
      </c>
    </row>
    <row r="4761" spans="1:25" ht="15" hidden="1" customHeight="1" x14ac:dyDescent="0.25">
      <c r="A4761" s="1" t="s">
        <v>40</v>
      </c>
      <c r="B4761" s="1"/>
      <c r="C4761" s="1" t="s">
        <v>229</v>
      </c>
      <c r="D4761">
        <v>10616</v>
      </c>
      <c r="E4761" s="1"/>
      <c r="F4761" s="1" t="s">
        <v>369</v>
      </c>
      <c r="G4761" s="1" t="s">
        <v>229</v>
      </c>
      <c r="H4761" s="1" t="s">
        <v>1396</v>
      </c>
      <c r="I4761">
        <v>2011</v>
      </c>
      <c r="J4761" s="93">
        <v>132929.45000000001</v>
      </c>
      <c r="K4761">
        <v>6</v>
      </c>
      <c r="L4761" s="1" t="s">
        <v>503</v>
      </c>
      <c r="M4761">
        <v>0</v>
      </c>
      <c r="N4761">
        <v>0</v>
      </c>
      <c r="O4761">
        <v>1329294.5</v>
      </c>
      <c r="P4761">
        <v>1</v>
      </c>
      <c r="Q4761" s="1" t="s">
        <v>565</v>
      </c>
      <c r="R4761" s="93">
        <v>153135.94</v>
      </c>
      <c r="S4761">
        <v>28330.13</v>
      </c>
      <c r="T4761">
        <v>0</v>
      </c>
      <c r="U4761" s="1" t="s">
        <v>810</v>
      </c>
      <c r="V4761" s="1"/>
      <c r="W4761">
        <v>132.92945</v>
      </c>
      <c r="X4761">
        <v>0</v>
      </c>
      <c r="Y4761">
        <v>78588</v>
      </c>
    </row>
    <row r="4762" spans="1:25" ht="15" hidden="1" customHeight="1" x14ac:dyDescent="0.25">
      <c r="A4762" s="1" t="s">
        <v>40</v>
      </c>
      <c r="B4762" s="1"/>
      <c r="C4762" s="1" t="s">
        <v>229</v>
      </c>
      <c r="D4762">
        <v>10616</v>
      </c>
      <c r="E4762" s="1"/>
      <c r="F4762" s="1" t="s">
        <v>369</v>
      </c>
      <c r="G4762" s="1" t="s">
        <v>229</v>
      </c>
      <c r="H4762" s="1" t="s">
        <v>1396</v>
      </c>
      <c r="I4762">
        <v>2010</v>
      </c>
      <c r="J4762" s="93">
        <v>152154.57999999999</v>
      </c>
      <c r="K4762">
        <v>9</v>
      </c>
      <c r="L4762" s="1" t="s">
        <v>503</v>
      </c>
      <c r="M4762">
        <v>0</v>
      </c>
      <c r="N4762">
        <v>0</v>
      </c>
      <c r="O4762">
        <v>1521545.8</v>
      </c>
      <c r="P4762">
        <v>1</v>
      </c>
      <c r="Q4762" s="1" t="s">
        <v>565</v>
      </c>
      <c r="R4762" s="93">
        <v>139379.10999999999</v>
      </c>
      <c r="S4762">
        <v>25785.14</v>
      </c>
      <c r="T4762">
        <v>0</v>
      </c>
      <c r="U4762" s="1" t="s">
        <v>810</v>
      </c>
      <c r="V4762" s="1"/>
      <c r="W4762">
        <v>152.15458000000001</v>
      </c>
      <c r="X4762">
        <v>0</v>
      </c>
      <c r="Y4762">
        <v>78588</v>
      </c>
    </row>
    <row r="4763" spans="1:25" ht="15" hidden="1" customHeight="1" x14ac:dyDescent="0.25">
      <c r="A4763" s="1" t="s">
        <v>40</v>
      </c>
      <c r="B4763" s="1"/>
      <c r="C4763" s="1" t="s">
        <v>229</v>
      </c>
      <c r="D4763">
        <v>10616</v>
      </c>
      <c r="E4763" s="1"/>
      <c r="F4763" s="1" t="s">
        <v>369</v>
      </c>
      <c r="G4763" s="1" t="s">
        <v>229</v>
      </c>
      <c r="H4763" s="1" t="s">
        <v>1396</v>
      </c>
      <c r="I4763">
        <v>2009</v>
      </c>
      <c r="J4763" s="93">
        <v>126930.04</v>
      </c>
      <c r="K4763">
        <v>9</v>
      </c>
      <c r="L4763" s="1" t="s">
        <v>503</v>
      </c>
      <c r="M4763">
        <v>0</v>
      </c>
      <c r="N4763">
        <v>0</v>
      </c>
      <c r="O4763">
        <v>1269300.3999999999</v>
      </c>
      <c r="P4763">
        <v>1</v>
      </c>
      <c r="Q4763" s="1" t="s">
        <v>565</v>
      </c>
      <c r="R4763" s="93">
        <v>135021.98000000001</v>
      </c>
      <c r="S4763">
        <v>24979.07</v>
      </c>
      <c r="T4763">
        <v>0</v>
      </c>
      <c r="U4763" s="1" t="s">
        <v>810</v>
      </c>
      <c r="V4763" s="1"/>
      <c r="W4763">
        <v>126.93004000000001</v>
      </c>
      <c r="X4763">
        <v>0</v>
      </c>
      <c r="Y4763">
        <v>78588</v>
      </c>
    </row>
    <row r="4764" spans="1:25" ht="15" hidden="1" customHeight="1" x14ac:dyDescent="0.25">
      <c r="A4764" s="1" t="s">
        <v>40</v>
      </c>
      <c r="B4764" s="1"/>
      <c r="C4764" s="1" t="s">
        <v>229</v>
      </c>
      <c r="D4764">
        <v>10616</v>
      </c>
      <c r="E4764" s="1"/>
      <c r="F4764" s="1" t="s">
        <v>369</v>
      </c>
      <c r="G4764" s="1" t="s">
        <v>229</v>
      </c>
      <c r="H4764" s="1" t="s">
        <v>1396</v>
      </c>
      <c r="I4764">
        <v>2008</v>
      </c>
      <c r="J4764" s="93">
        <v>123776.4</v>
      </c>
      <c r="K4764">
        <v>11</v>
      </c>
      <c r="L4764" s="1" t="s">
        <v>503</v>
      </c>
      <c r="M4764">
        <v>0</v>
      </c>
      <c r="N4764">
        <v>0</v>
      </c>
      <c r="O4764">
        <v>1237764</v>
      </c>
      <c r="P4764">
        <v>1</v>
      </c>
      <c r="Q4764" s="1" t="s">
        <v>565</v>
      </c>
      <c r="R4764" s="93">
        <v>140907.85</v>
      </c>
      <c r="S4764">
        <v>26067.96</v>
      </c>
      <c r="T4764">
        <v>0</v>
      </c>
      <c r="U4764" s="1" t="s">
        <v>810</v>
      </c>
      <c r="V4764" s="1"/>
      <c r="W4764">
        <v>123.7764</v>
      </c>
      <c r="X4764">
        <v>0</v>
      </c>
      <c r="Y4764">
        <v>78588</v>
      </c>
    </row>
    <row r="4765" spans="1:25" ht="15" hidden="1" customHeight="1" x14ac:dyDescent="0.25">
      <c r="A4765" s="1" t="s">
        <v>40</v>
      </c>
      <c r="B4765" s="1" t="s">
        <v>93</v>
      </c>
      <c r="C4765" s="1" t="s">
        <v>221</v>
      </c>
      <c r="D4765">
        <v>6370</v>
      </c>
      <c r="E4765" s="1"/>
      <c r="F4765" s="1" t="s">
        <v>356</v>
      </c>
      <c r="G4765" s="1" t="s">
        <v>221</v>
      </c>
      <c r="H4765" s="1" t="s">
        <v>1396</v>
      </c>
      <c r="I4765">
        <v>2015</v>
      </c>
      <c r="J4765" s="93">
        <v>9389.42</v>
      </c>
      <c r="K4765">
        <v>5</v>
      </c>
      <c r="L4765" s="1" t="s">
        <v>482</v>
      </c>
      <c r="M4765">
        <v>0</v>
      </c>
      <c r="N4765">
        <v>99</v>
      </c>
      <c r="O4765">
        <v>94.746921999999998</v>
      </c>
      <c r="P4765">
        <v>1</v>
      </c>
      <c r="Q4765" s="1" t="s">
        <v>564</v>
      </c>
      <c r="R4765" s="93">
        <v>10623.57</v>
      </c>
      <c r="S4765">
        <v>2246.6999999999998</v>
      </c>
      <c r="T4765">
        <v>0</v>
      </c>
      <c r="U4765" s="1" t="s">
        <v>918</v>
      </c>
      <c r="V4765" s="1"/>
      <c r="W4765">
        <v>869.39</v>
      </c>
      <c r="X4765">
        <v>0</v>
      </c>
      <c r="Y4765">
        <v>62722</v>
      </c>
    </row>
    <row r="4766" spans="1:25" ht="15" hidden="1" customHeight="1" x14ac:dyDescent="0.25">
      <c r="A4766" s="1" t="s">
        <v>40</v>
      </c>
      <c r="B4766" s="1" t="s">
        <v>93</v>
      </c>
      <c r="C4766" s="1" t="s">
        <v>221</v>
      </c>
      <c r="D4766">
        <v>6370</v>
      </c>
      <c r="E4766" s="1"/>
      <c r="F4766" s="1" t="s">
        <v>356</v>
      </c>
      <c r="G4766" s="1" t="s">
        <v>221</v>
      </c>
      <c r="H4766" s="1" t="s">
        <v>1396</v>
      </c>
      <c r="I4766">
        <v>2013</v>
      </c>
      <c r="J4766" s="93">
        <v>18621.580000000002</v>
      </c>
      <c r="K4766">
        <v>12</v>
      </c>
      <c r="L4766" s="1" t="s">
        <v>482</v>
      </c>
      <c r="M4766">
        <v>0</v>
      </c>
      <c r="N4766">
        <v>99</v>
      </c>
      <c r="O4766">
        <v>187.90696199999999</v>
      </c>
      <c r="P4766">
        <v>1</v>
      </c>
      <c r="Q4766" s="1" t="s">
        <v>564</v>
      </c>
      <c r="R4766" s="93">
        <v>19433.66</v>
      </c>
      <c r="S4766">
        <v>4109.8599999999997</v>
      </c>
      <c r="T4766">
        <v>0</v>
      </c>
      <c r="U4766" s="1" t="s">
        <v>918</v>
      </c>
      <c r="V4766" s="1"/>
      <c r="W4766">
        <v>1724.2199599999999</v>
      </c>
      <c r="X4766">
        <v>0</v>
      </c>
      <c r="Y4766">
        <v>62722</v>
      </c>
    </row>
    <row r="4767" spans="1:25" ht="15" hidden="1" customHeight="1" x14ac:dyDescent="0.25">
      <c r="A4767" s="1" t="s">
        <v>40</v>
      </c>
      <c r="B4767" s="1" t="s">
        <v>93</v>
      </c>
      <c r="C4767" s="1" t="s">
        <v>221</v>
      </c>
      <c r="D4767">
        <v>6370</v>
      </c>
      <c r="E4767" s="1"/>
      <c r="F4767" s="1" t="s">
        <v>356</v>
      </c>
      <c r="G4767" s="1" t="s">
        <v>221</v>
      </c>
      <c r="H4767" s="1" t="s">
        <v>1396</v>
      </c>
      <c r="I4767">
        <v>2012</v>
      </c>
      <c r="J4767" s="93">
        <v>18491.310000000001</v>
      </c>
      <c r="K4767">
        <v>12</v>
      </c>
      <c r="L4767" s="1" t="s">
        <v>482</v>
      </c>
      <c r="M4767">
        <v>0</v>
      </c>
      <c r="N4767">
        <v>99</v>
      </c>
      <c r="O4767">
        <v>186.592431</v>
      </c>
      <c r="P4767">
        <v>1</v>
      </c>
      <c r="Q4767" s="1" t="s">
        <v>564</v>
      </c>
      <c r="R4767" s="93">
        <v>19411.25</v>
      </c>
      <c r="S4767">
        <v>4105.1099999999997</v>
      </c>
      <c r="T4767">
        <v>0</v>
      </c>
      <c r="U4767" s="1" t="s">
        <v>918</v>
      </c>
      <c r="V4767" s="1"/>
      <c r="W4767">
        <v>1712.16</v>
      </c>
      <c r="X4767">
        <v>0</v>
      </c>
      <c r="Y4767">
        <v>62722</v>
      </c>
    </row>
    <row r="4768" spans="1:25" ht="15" hidden="1" customHeight="1" x14ac:dyDescent="0.25">
      <c r="A4768" s="1" t="s">
        <v>40</v>
      </c>
      <c r="B4768" s="1" t="s">
        <v>93</v>
      </c>
      <c r="C4768" s="1" t="s">
        <v>221</v>
      </c>
      <c r="D4768">
        <v>6370</v>
      </c>
      <c r="E4768" s="1"/>
      <c r="F4768" s="1" t="s">
        <v>356</v>
      </c>
      <c r="G4768" s="1" t="s">
        <v>221</v>
      </c>
      <c r="H4768" s="1" t="s">
        <v>1396</v>
      </c>
      <c r="I4768">
        <v>2011</v>
      </c>
      <c r="J4768" s="93">
        <v>17920.169999999998</v>
      </c>
      <c r="K4768">
        <v>6</v>
      </c>
      <c r="L4768" s="1" t="s">
        <v>482</v>
      </c>
      <c r="M4768">
        <v>0</v>
      </c>
      <c r="N4768">
        <v>99</v>
      </c>
      <c r="O4768">
        <v>180.829162</v>
      </c>
      <c r="P4768">
        <v>1</v>
      </c>
      <c r="Q4768" s="1" t="s">
        <v>564</v>
      </c>
      <c r="R4768" s="93">
        <v>20469.330000000002</v>
      </c>
      <c r="S4768">
        <v>4328.88</v>
      </c>
      <c r="T4768">
        <v>0</v>
      </c>
      <c r="U4768" s="1" t="s">
        <v>918</v>
      </c>
      <c r="V4768" s="1"/>
      <c r="W4768">
        <v>1659.2750000000001</v>
      </c>
      <c r="X4768">
        <v>0</v>
      </c>
      <c r="Y4768">
        <v>62722</v>
      </c>
    </row>
    <row r="4769" spans="1:25" ht="15" hidden="1" customHeight="1" x14ac:dyDescent="0.25">
      <c r="A4769" s="1" t="s">
        <v>40</v>
      </c>
      <c r="B4769" s="1" t="s">
        <v>93</v>
      </c>
      <c r="C4769" s="1" t="s">
        <v>221</v>
      </c>
      <c r="D4769">
        <v>6370</v>
      </c>
      <c r="E4769" s="1"/>
      <c r="F4769" s="1" t="s">
        <v>356</v>
      </c>
      <c r="G4769" s="1" t="s">
        <v>221</v>
      </c>
      <c r="H4769" s="1" t="s">
        <v>1396</v>
      </c>
      <c r="I4769">
        <v>2010</v>
      </c>
      <c r="J4769" s="93">
        <v>18090.2</v>
      </c>
      <c r="K4769">
        <v>6</v>
      </c>
      <c r="L4769" s="1" t="s">
        <v>482</v>
      </c>
      <c r="M4769">
        <v>0</v>
      </c>
      <c r="N4769">
        <v>99</v>
      </c>
      <c r="O4769">
        <v>182.544904</v>
      </c>
      <c r="P4769">
        <v>1</v>
      </c>
      <c r="Q4769" s="1" t="s">
        <v>564</v>
      </c>
      <c r="R4769" s="93">
        <v>16293.35</v>
      </c>
      <c r="S4769">
        <v>3445.74</v>
      </c>
      <c r="T4769">
        <v>0</v>
      </c>
      <c r="U4769" s="1" t="s">
        <v>918</v>
      </c>
      <c r="V4769" s="1"/>
      <c r="W4769">
        <v>1675.0194100000001</v>
      </c>
      <c r="X4769">
        <v>0</v>
      </c>
      <c r="Y4769">
        <v>62722</v>
      </c>
    </row>
    <row r="4770" spans="1:25" ht="15" hidden="1" customHeight="1" x14ac:dyDescent="0.25">
      <c r="A4770" s="1" t="s">
        <v>40</v>
      </c>
      <c r="B4770" s="1" t="s">
        <v>93</v>
      </c>
      <c r="C4770" s="1" t="s">
        <v>221</v>
      </c>
      <c r="D4770">
        <v>6370</v>
      </c>
      <c r="E4770" s="1"/>
      <c r="F4770" s="1" t="s">
        <v>356</v>
      </c>
      <c r="G4770" s="1" t="s">
        <v>221</v>
      </c>
      <c r="H4770" s="1" t="s">
        <v>1396</v>
      </c>
      <c r="I4770">
        <v>2009</v>
      </c>
      <c r="J4770" s="93">
        <v>19887</v>
      </c>
      <c r="K4770">
        <v>6</v>
      </c>
      <c r="L4770" s="1" t="s">
        <v>482</v>
      </c>
      <c r="M4770">
        <v>0</v>
      </c>
      <c r="N4770">
        <v>99</v>
      </c>
      <c r="O4770">
        <v>200.676084</v>
      </c>
      <c r="P4770">
        <v>1</v>
      </c>
      <c r="Q4770" s="1" t="s">
        <v>564</v>
      </c>
      <c r="R4770" s="93">
        <v>25017.74</v>
      </c>
      <c r="S4770">
        <v>5290.78</v>
      </c>
      <c r="T4770">
        <v>0</v>
      </c>
      <c r="U4770" s="1" t="s">
        <v>918</v>
      </c>
      <c r="V4770" s="1"/>
      <c r="W4770">
        <v>1841.3898099999999</v>
      </c>
      <c r="X4770">
        <v>0</v>
      </c>
      <c r="Y4770">
        <v>62722</v>
      </c>
    </row>
    <row r="4771" spans="1:25" ht="15" hidden="1" customHeight="1" x14ac:dyDescent="0.25">
      <c r="A4771" s="1" t="s">
        <v>40</v>
      </c>
      <c r="B4771" s="1" t="s">
        <v>93</v>
      </c>
      <c r="C4771" s="1" t="s">
        <v>221</v>
      </c>
      <c r="D4771">
        <v>6370</v>
      </c>
      <c r="E4771" s="1"/>
      <c r="F4771" s="1" t="s">
        <v>356</v>
      </c>
      <c r="G4771" s="1" t="s">
        <v>221</v>
      </c>
      <c r="H4771" s="1" t="s">
        <v>1396</v>
      </c>
      <c r="I4771">
        <v>2008</v>
      </c>
      <c r="J4771" s="93">
        <v>17799.650000000001</v>
      </c>
      <c r="K4771">
        <v>5</v>
      </c>
      <c r="L4771" s="1" t="s">
        <v>482</v>
      </c>
      <c r="M4771">
        <v>0</v>
      </c>
      <c r="N4771">
        <v>99</v>
      </c>
      <c r="O4771">
        <v>179.61301700000001</v>
      </c>
      <c r="P4771">
        <v>1</v>
      </c>
      <c r="Q4771" s="1" t="s">
        <v>564</v>
      </c>
      <c r="R4771" s="93">
        <v>21473.71</v>
      </c>
      <c r="S4771">
        <v>4541.3100000000004</v>
      </c>
      <c r="T4771">
        <v>0</v>
      </c>
      <c r="U4771" s="1" t="s">
        <v>918</v>
      </c>
      <c r="V4771" s="1"/>
      <c r="W4771">
        <v>1648.1157900000001</v>
      </c>
      <c r="X4771">
        <v>0</v>
      </c>
      <c r="Y4771">
        <v>62722</v>
      </c>
    </row>
    <row r="4772" spans="1:25" ht="15" hidden="1" customHeight="1" x14ac:dyDescent="0.25">
      <c r="A4772" s="1" t="s">
        <v>40</v>
      </c>
      <c r="B4772" s="1" t="s">
        <v>47</v>
      </c>
      <c r="C4772" s="1" t="s">
        <v>222</v>
      </c>
      <c r="D4772">
        <v>5953</v>
      </c>
      <c r="E4772" s="1"/>
      <c r="F4772" s="1" t="s">
        <v>357</v>
      </c>
      <c r="G4772" s="1" t="s">
        <v>222</v>
      </c>
      <c r="H4772" s="1" t="s">
        <v>1396</v>
      </c>
      <c r="I4772">
        <v>2015</v>
      </c>
      <c r="J4772" s="93">
        <v>24447.21</v>
      </c>
      <c r="K4772">
        <v>5</v>
      </c>
      <c r="L4772" s="1" t="s">
        <v>399</v>
      </c>
      <c r="M4772">
        <v>0</v>
      </c>
      <c r="N4772">
        <v>272</v>
      </c>
      <c r="O4772">
        <v>89.846416000000005</v>
      </c>
      <c r="P4772">
        <v>1</v>
      </c>
      <c r="Q4772" s="1" t="s">
        <v>564</v>
      </c>
      <c r="R4772" s="93">
        <v>27448.79</v>
      </c>
      <c r="S4772">
        <v>5804.91</v>
      </c>
      <c r="T4772">
        <v>0</v>
      </c>
      <c r="U4772" s="1" t="s">
        <v>919</v>
      </c>
      <c r="V4772" s="1" t="s">
        <v>1231</v>
      </c>
      <c r="W4772">
        <v>2263.63</v>
      </c>
      <c r="X4772">
        <v>0</v>
      </c>
      <c r="Y4772">
        <v>59978</v>
      </c>
    </row>
    <row r="4773" spans="1:25" ht="15" hidden="1" customHeight="1" x14ac:dyDescent="0.25">
      <c r="A4773" s="1" t="s">
        <v>40</v>
      </c>
      <c r="B4773" s="1" t="s">
        <v>47</v>
      </c>
      <c r="C4773" s="1" t="s">
        <v>222</v>
      </c>
      <c r="D4773">
        <v>5953</v>
      </c>
      <c r="E4773" s="1"/>
      <c r="F4773" s="1" t="s">
        <v>357</v>
      </c>
      <c r="G4773" s="1" t="s">
        <v>222</v>
      </c>
      <c r="H4773" s="1" t="s">
        <v>1396</v>
      </c>
      <c r="I4773">
        <v>2013</v>
      </c>
      <c r="J4773" s="93">
        <v>46428.55</v>
      </c>
      <c r="K4773">
        <v>12</v>
      </c>
      <c r="L4773" s="1" t="s">
        <v>399</v>
      </c>
      <c r="M4773">
        <v>0</v>
      </c>
      <c r="N4773">
        <v>272</v>
      </c>
      <c r="O4773">
        <v>170.63046600000001</v>
      </c>
      <c r="P4773">
        <v>1</v>
      </c>
      <c r="Q4773" s="1" t="s">
        <v>564</v>
      </c>
      <c r="R4773" s="93">
        <v>48459.74</v>
      </c>
      <c r="S4773">
        <v>10248.35</v>
      </c>
      <c r="T4773">
        <v>0</v>
      </c>
      <c r="U4773" s="1" t="s">
        <v>919</v>
      </c>
      <c r="V4773" s="1" t="s">
        <v>1231</v>
      </c>
      <c r="W4773">
        <v>4298.9399999999996</v>
      </c>
      <c r="X4773">
        <v>0</v>
      </c>
      <c r="Y4773">
        <v>59978</v>
      </c>
    </row>
    <row r="4774" spans="1:25" ht="15" hidden="1" customHeight="1" x14ac:dyDescent="0.25">
      <c r="A4774" s="1" t="s">
        <v>40</v>
      </c>
      <c r="B4774" s="1" t="s">
        <v>47</v>
      </c>
      <c r="C4774" s="1" t="s">
        <v>222</v>
      </c>
      <c r="D4774">
        <v>5953</v>
      </c>
      <c r="E4774" s="1"/>
      <c r="F4774" s="1" t="s">
        <v>357</v>
      </c>
      <c r="G4774" s="1" t="s">
        <v>222</v>
      </c>
      <c r="H4774" s="1" t="s">
        <v>1396</v>
      </c>
      <c r="I4774">
        <v>2012</v>
      </c>
      <c r="J4774" s="93">
        <v>45460.66</v>
      </c>
      <c r="K4774">
        <v>12</v>
      </c>
      <c r="L4774" s="1" t="s">
        <v>399</v>
      </c>
      <c r="M4774">
        <v>0</v>
      </c>
      <c r="N4774">
        <v>272</v>
      </c>
      <c r="O4774">
        <v>167.07335499999999</v>
      </c>
      <c r="P4774">
        <v>1</v>
      </c>
      <c r="Q4774" s="1" t="s">
        <v>564</v>
      </c>
      <c r="R4774" s="93">
        <v>47974.41</v>
      </c>
      <c r="S4774">
        <v>10145.700000000001</v>
      </c>
      <c r="T4774">
        <v>0</v>
      </c>
      <c r="U4774" s="1" t="s">
        <v>919</v>
      </c>
      <c r="V4774" s="1" t="s">
        <v>1231</v>
      </c>
      <c r="W4774">
        <v>4209.32</v>
      </c>
      <c r="X4774">
        <v>0</v>
      </c>
      <c r="Y4774">
        <v>59978</v>
      </c>
    </row>
    <row r="4775" spans="1:25" ht="15" hidden="1" customHeight="1" x14ac:dyDescent="0.25">
      <c r="A4775" s="1" t="s">
        <v>40</v>
      </c>
      <c r="B4775" s="1" t="s">
        <v>47</v>
      </c>
      <c r="C4775" s="1" t="s">
        <v>222</v>
      </c>
      <c r="D4775">
        <v>5953</v>
      </c>
      <c r="E4775" s="1"/>
      <c r="F4775" s="1" t="s">
        <v>357</v>
      </c>
      <c r="G4775" s="1" t="s">
        <v>222</v>
      </c>
      <c r="H4775" s="1" t="s">
        <v>1396</v>
      </c>
      <c r="I4775">
        <v>2011</v>
      </c>
      <c r="J4775" s="93">
        <v>48230.03</v>
      </c>
      <c r="K4775">
        <v>10</v>
      </c>
      <c r="L4775" s="1" t="s">
        <v>399</v>
      </c>
      <c r="M4775">
        <v>0</v>
      </c>
      <c r="N4775">
        <v>272</v>
      </c>
      <c r="O4775">
        <v>177.25111999999999</v>
      </c>
      <c r="P4775">
        <v>1</v>
      </c>
      <c r="Q4775" s="1" t="s">
        <v>564</v>
      </c>
      <c r="R4775" s="93">
        <v>53450.54</v>
      </c>
      <c r="S4775">
        <v>11303.8</v>
      </c>
      <c r="T4775">
        <v>0</v>
      </c>
      <c r="U4775" s="1" t="s">
        <v>919</v>
      </c>
      <c r="V4775" s="1" t="s">
        <v>1231</v>
      </c>
      <c r="W4775">
        <v>4465.7442000000001</v>
      </c>
      <c r="X4775">
        <v>0</v>
      </c>
      <c r="Y4775">
        <v>59978</v>
      </c>
    </row>
    <row r="4776" spans="1:25" ht="15" hidden="1" customHeight="1" x14ac:dyDescent="0.25">
      <c r="A4776" s="1" t="s">
        <v>40</v>
      </c>
      <c r="B4776" s="1" t="s">
        <v>47</v>
      </c>
      <c r="C4776" s="1" t="s">
        <v>222</v>
      </c>
      <c r="D4776">
        <v>5953</v>
      </c>
      <c r="E4776" s="1"/>
      <c r="F4776" s="1" t="s">
        <v>357</v>
      </c>
      <c r="G4776" s="1" t="s">
        <v>222</v>
      </c>
      <c r="H4776" s="1" t="s">
        <v>1396</v>
      </c>
      <c r="I4776">
        <v>2010</v>
      </c>
      <c r="J4776" s="93">
        <v>45365.06</v>
      </c>
      <c r="K4776">
        <v>4</v>
      </c>
      <c r="L4776" s="1" t="s">
        <v>399</v>
      </c>
      <c r="M4776">
        <v>0</v>
      </c>
      <c r="N4776">
        <v>272</v>
      </c>
      <c r="O4776">
        <v>166.722013</v>
      </c>
      <c r="P4776">
        <v>1</v>
      </c>
      <c r="Q4776" s="1" t="s">
        <v>564</v>
      </c>
      <c r="R4776" s="93">
        <v>41132.19</v>
      </c>
      <c r="S4776">
        <v>8698.68</v>
      </c>
      <c r="T4776">
        <v>0</v>
      </c>
      <c r="U4776" s="1" t="s">
        <v>919</v>
      </c>
      <c r="V4776" s="1" t="s">
        <v>1231</v>
      </c>
      <c r="W4776">
        <v>4200.4685499999996</v>
      </c>
      <c r="X4776">
        <v>0</v>
      </c>
      <c r="Y4776">
        <v>59978</v>
      </c>
    </row>
    <row r="4777" spans="1:25" ht="15" hidden="1" customHeight="1" x14ac:dyDescent="0.25">
      <c r="A4777" s="1" t="s">
        <v>40</v>
      </c>
      <c r="B4777" s="1" t="s">
        <v>47</v>
      </c>
      <c r="C4777" s="1" t="s">
        <v>222</v>
      </c>
      <c r="D4777">
        <v>5953</v>
      </c>
      <c r="E4777" s="1"/>
      <c r="F4777" s="1" t="s">
        <v>357</v>
      </c>
      <c r="G4777" s="1" t="s">
        <v>222</v>
      </c>
      <c r="H4777" s="1" t="s">
        <v>1396</v>
      </c>
      <c r="I4777">
        <v>2009</v>
      </c>
      <c r="J4777" s="93">
        <v>50304.13</v>
      </c>
      <c r="K4777">
        <v>1</v>
      </c>
      <c r="L4777" s="1" t="s">
        <v>399</v>
      </c>
      <c r="M4777">
        <v>0</v>
      </c>
      <c r="N4777">
        <v>272</v>
      </c>
      <c r="O4777">
        <v>184.87368599999999</v>
      </c>
      <c r="P4777">
        <v>1</v>
      </c>
      <c r="Q4777" s="1" t="s">
        <v>564</v>
      </c>
      <c r="R4777" s="93">
        <v>72125.009999999995</v>
      </c>
      <c r="S4777">
        <v>15253.11</v>
      </c>
      <c r="T4777">
        <v>0</v>
      </c>
      <c r="U4777" s="1" t="s">
        <v>919</v>
      </c>
      <c r="V4777" s="1" t="s">
        <v>1231</v>
      </c>
      <c r="W4777">
        <v>4657.7873099999997</v>
      </c>
      <c r="X4777">
        <v>0</v>
      </c>
      <c r="Y4777">
        <v>59978</v>
      </c>
    </row>
    <row r="4778" spans="1:25" ht="15" hidden="1" customHeight="1" x14ac:dyDescent="0.25">
      <c r="A4778" s="1" t="s">
        <v>40</v>
      </c>
      <c r="B4778" s="1" t="s">
        <v>47</v>
      </c>
      <c r="C4778" s="1" t="s">
        <v>222</v>
      </c>
      <c r="D4778">
        <v>5953</v>
      </c>
      <c r="E4778" s="1"/>
      <c r="F4778" s="1" t="s">
        <v>357</v>
      </c>
      <c r="G4778" s="1" t="s">
        <v>222</v>
      </c>
      <c r="H4778" s="1" t="s">
        <v>1396</v>
      </c>
      <c r="I4778">
        <v>2008</v>
      </c>
      <c r="J4778" s="93">
        <v>44945.279999999999</v>
      </c>
      <c r="K4778">
        <v>3</v>
      </c>
      <c r="L4778" s="1" t="s">
        <v>399</v>
      </c>
      <c r="M4778">
        <v>0</v>
      </c>
      <c r="N4778">
        <v>272</v>
      </c>
      <c r="O4778">
        <v>165.179272</v>
      </c>
      <c r="P4778">
        <v>1</v>
      </c>
      <c r="Q4778" s="1" t="s">
        <v>564</v>
      </c>
      <c r="R4778" s="93">
        <v>53368.65</v>
      </c>
      <c r="S4778">
        <v>11286.47</v>
      </c>
      <c r="T4778">
        <v>0</v>
      </c>
      <c r="U4778" s="1" t="s">
        <v>919</v>
      </c>
      <c r="V4778" s="1" t="s">
        <v>1231</v>
      </c>
      <c r="W4778">
        <v>4161.6000100000001</v>
      </c>
      <c r="X4778">
        <v>0</v>
      </c>
      <c r="Y4778">
        <v>59978</v>
      </c>
    </row>
    <row r="4779" spans="1:25" ht="15" hidden="1" customHeight="1" x14ac:dyDescent="0.25">
      <c r="A4779" s="1" t="s">
        <v>40</v>
      </c>
      <c r="B4779" s="1"/>
      <c r="C4779" s="1" t="s">
        <v>223</v>
      </c>
      <c r="D4779">
        <v>13534</v>
      </c>
      <c r="E4779" s="1" t="s">
        <v>243</v>
      </c>
      <c r="F4779" s="1" t="s">
        <v>223</v>
      </c>
      <c r="G4779" s="1" t="s">
        <v>223</v>
      </c>
      <c r="H4779" s="1" t="s">
        <v>1396</v>
      </c>
      <c r="I4779">
        <v>2015</v>
      </c>
      <c r="J4779" s="93">
        <v>77320</v>
      </c>
      <c r="K4779">
        <v>4</v>
      </c>
      <c r="L4779" s="1" t="s">
        <v>421</v>
      </c>
      <c r="M4779">
        <v>0</v>
      </c>
      <c r="N4779">
        <v>2088</v>
      </c>
      <c r="O4779">
        <v>37.028877000000001</v>
      </c>
      <c r="P4779">
        <v>1</v>
      </c>
      <c r="Q4779" s="1" t="s">
        <v>565</v>
      </c>
      <c r="R4779" s="93">
        <v>85274.23</v>
      </c>
      <c r="S4779">
        <v>15775.72</v>
      </c>
      <c r="T4779">
        <v>0</v>
      </c>
      <c r="U4779" s="1" t="s">
        <v>920</v>
      </c>
      <c r="V4779" s="1"/>
      <c r="W4779">
        <v>77.319999999999993</v>
      </c>
      <c r="X4779">
        <v>0</v>
      </c>
      <c r="Y4779">
        <v>96970</v>
      </c>
    </row>
    <row r="4780" spans="1:25" ht="15" hidden="1" customHeight="1" x14ac:dyDescent="0.25">
      <c r="A4780" s="1" t="s">
        <v>40</v>
      </c>
      <c r="B4780" s="1"/>
      <c r="C4780" s="1" t="s">
        <v>223</v>
      </c>
      <c r="D4780">
        <v>13534</v>
      </c>
      <c r="E4780" s="1" t="s">
        <v>243</v>
      </c>
      <c r="F4780" s="1" t="s">
        <v>223</v>
      </c>
      <c r="G4780" s="1" t="s">
        <v>223</v>
      </c>
      <c r="H4780" s="1" t="s">
        <v>1396</v>
      </c>
      <c r="I4780">
        <v>2013</v>
      </c>
      <c r="J4780" s="93">
        <v>30639.35</v>
      </c>
      <c r="K4780">
        <v>6</v>
      </c>
      <c r="L4780" s="1" t="s">
        <v>461</v>
      </c>
      <c r="M4780">
        <v>0</v>
      </c>
      <c r="N4780">
        <v>2088</v>
      </c>
      <c r="O4780">
        <v>14.673315000000001</v>
      </c>
      <c r="P4780">
        <v>1</v>
      </c>
      <c r="Q4780" s="1" t="s">
        <v>565</v>
      </c>
      <c r="R4780" s="93">
        <v>38396.67</v>
      </c>
      <c r="S4780">
        <v>4837.99</v>
      </c>
      <c r="T4780">
        <v>0</v>
      </c>
      <c r="U4780" s="1" t="s">
        <v>922</v>
      </c>
      <c r="V4780" s="1"/>
      <c r="W4780">
        <v>30.63935</v>
      </c>
      <c r="X4780">
        <v>0</v>
      </c>
      <c r="Y4780">
        <v>90567</v>
      </c>
    </row>
    <row r="4781" spans="1:25" ht="15" hidden="1" customHeight="1" x14ac:dyDescent="0.25">
      <c r="A4781" s="1" t="s">
        <v>40</v>
      </c>
      <c r="B4781" s="1"/>
      <c r="C4781" s="1" t="s">
        <v>223</v>
      </c>
      <c r="D4781">
        <v>13534</v>
      </c>
      <c r="E4781" s="1" t="s">
        <v>243</v>
      </c>
      <c r="F4781" s="1" t="s">
        <v>223</v>
      </c>
      <c r="G4781" s="1" t="s">
        <v>223</v>
      </c>
      <c r="H4781" s="1" t="s">
        <v>1396</v>
      </c>
      <c r="I4781">
        <v>2013</v>
      </c>
      <c r="J4781" s="93">
        <v>151921.32999999999</v>
      </c>
      <c r="K4781">
        <v>6</v>
      </c>
      <c r="L4781" s="1" t="s">
        <v>461</v>
      </c>
      <c r="M4781">
        <v>0</v>
      </c>
      <c r="N4781">
        <v>2088</v>
      </c>
      <c r="O4781">
        <v>72.755773000000005</v>
      </c>
      <c r="P4781">
        <v>1</v>
      </c>
      <c r="Q4781" s="1" t="s">
        <v>565</v>
      </c>
      <c r="R4781" s="93">
        <v>177595.95</v>
      </c>
      <c r="S4781">
        <v>22377.1</v>
      </c>
      <c r="T4781">
        <v>0</v>
      </c>
      <c r="U4781" s="1" t="s">
        <v>921</v>
      </c>
      <c r="V4781" s="1"/>
      <c r="W4781">
        <v>151.92133000000001</v>
      </c>
      <c r="X4781">
        <v>0</v>
      </c>
      <c r="Y4781">
        <v>90565</v>
      </c>
    </row>
    <row r="4782" spans="1:25" ht="15" hidden="1" customHeight="1" x14ac:dyDescent="0.25">
      <c r="A4782" s="1" t="s">
        <v>40</v>
      </c>
      <c r="B4782" s="1"/>
      <c r="C4782" s="1" t="s">
        <v>223</v>
      </c>
      <c r="D4782">
        <v>13534</v>
      </c>
      <c r="E4782" s="1" t="s">
        <v>243</v>
      </c>
      <c r="F4782" s="1" t="s">
        <v>223</v>
      </c>
      <c r="G4782" s="1" t="s">
        <v>223</v>
      </c>
      <c r="H4782" s="1" t="s">
        <v>1396</v>
      </c>
      <c r="I4782">
        <v>2013</v>
      </c>
      <c r="J4782" s="93">
        <v>13979.68</v>
      </c>
      <c r="K4782">
        <v>6</v>
      </c>
      <c r="L4782" s="1" t="s">
        <v>461</v>
      </c>
      <c r="M4782">
        <v>0</v>
      </c>
      <c r="N4782">
        <v>2088</v>
      </c>
      <c r="O4782">
        <v>6.694928</v>
      </c>
      <c r="P4782">
        <v>1</v>
      </c>
      <c r="Q4782" s="1" t="s">
        <v>565</v>
      </c>
      <c r="R4782" s="93">
        <v>17629.68</v>
      </c>
      <c r="S4782">
        <v>2221.34</v>
      </c>
      <c r="T4782">
        <v>0</v>
      </c>
      <c r="U4782" s="1" t="s">
        <v>924</v>
      </c>
      <c r="V4782" s="1"/>
      <c r="W4782">
        <v>13.97968</v>
      </c>
      <c r="X4782">
        <v>0</v>
      </c>
      <c r="Y4782">
        <v>90566</v>
      </c>
    </row>
    <row r="4783" spans="1:25" ht="15" hidden="1" customHeight="1" x14ac:dyDescent="0.25">
      <c r="A4783" s="1" t="s">
        <v>40</v>
      </c>
      <c r="B4783" s="1"/>
      <c r="C4783" s="1" t="s">
        <v>223</v>
      </c>
      <c r="D4783">
        <v>13534</v>
      </c>
      <c r="E4783" s="1" t="s">
        <v>243</v>
      </c>
      <c r="F4783" s="1" t="s">
        <v>223</v>
      </c>
      <c r="G4783" s="1" t="s">
        <v>223</v>
      </c>
      <c r="H4783" s="1" t="s">
        <v>1396</v>
      </c>
      <c r="I4783">
        <v>2013</v>
      </c>
      <c r="J4783" s="93">
        <v>2826.3</v>
      </c>
      <c r="K4783">
        <v>6</v>
      </c>
      <c r="L4783" s="1" t="s">
        <v>461</v>
      </c>
      <c r="M4783">
        <v>0</v>
      </c>
      <c r="N4783">
        <v>2088</v>
      </c>
      <c r="O4783">
        <v>1.3535269999999999</v>
      </c>
      <c r="P4783">
        <v>1</v>
      </c>
      <c r="Q4783" s="1" t="s">
        <v>565</v>
      </c>
      <c r="R4783" s="93">
        <v>3442.18</v>
      </c>
      <c r="S4783">
        <v>433.72</v>
      </c>
      <c r="T4783">
        <v>0</v>
      </c>
      <c r="U4783" s="1" t="s">
        <v>925</v>
      </c>
      <c r="V4783" s="1"/>
      <c r="W4783">
        <v>2.8262999999999998</v>
      </c>
      <c r="X4783">
        <v>0</v>
      </c>
      <c r="Y4783">
        <v>90568</v>
      </c>
    </row>
    <row r="4784" spans="1:25" ht="15" hidden="1" customHeight="1" x14ac:dyDescent="0.25">
      <c r="A4784" s="1" t="s">
        <v>40</v>
      </c>
      <c r="B4784" s="1"/>
      <c r="C4784" s="1" t="s">
        <v>223</v>
      </c>
      <c r="D4784">
        <v>13534</v>
      </c>
      <c r="E4784" s="1" t="s">
        <v>243</v>
      </c>
      <c r="F4784" s="1" t="s">
        <v>223</v>
      </c>
      <c r="G4784" s="1" t="s">
        <v>223</v>
      </c>
      <c r="H4784" s="1" t="s">
        <v>1396</v>
      </c>
      <c r="I4784">
        <v>2012</v>
      </c>
      <c r="J4784" s="93">
        <v>4773.34</v>
      </c>
      <c r="K4784">
        <v>4</v>
      </c>
      <c r="L4784" s="1" t="s">
        <v>461</v>
      </c>
      <c r="M4784">
        <v>0</v>
      </c>
      <c r="N4784">
        <v>2088</v>
      </c>
      <c r="O4784">
        <v>2.2859720000000001</v>
      </c>
      <c r="P4784">
        <v>1</v>
      </c>
      <c r="Q4784" s="1" t="s">
        <v>565</v>
      </c>
      <c r="R4784" s="93">
        <v>5049.8500000000004</v>
      </c>
      <c r="S4784">
        <v>636.29999999999995</v>
      </c>
      <c r="T4784">
        <v>0</v>
      </c>
      <c r="U4784" s="1" t="s">
        <v>924</v>
      </c>
      <c r="V4784" s="1"/>
      <c r="W4784">
        <v>4.7733400000000001</v>
      </c>
      <c r="X4784">
        <v>0</v>
      </c>
      <c r="Y4784">
        <v>90566</v>
      </c>
    </row>
    <row r="4785" spans="1:25" ht="15" hidden="1" customHeight="1" x14ac:dyDescent="0.25">
      <c r="A4785" s="1" t="s">
        <v>40</v>
      </c>
      <c r="B4785" s="1"/>
      <c r="C4785" s="1" t="s">
        <v>223</v>
      </c>
      <c r="D4785">
        <v>13534</v>
      </c>
      <c r="E4785" s="1" t="s">
        <v>243</v>
      </c>
      <c r="F4785" s="1" t="s">
        <v>223</v>
      </c>
      <c r="G4785" s="1" t="s">
        <v>223</v>
      </c>
      <c r="H4785" s="1" t="s">
        <v>1396</v>
      </c>
      <c r="I4785">
        <v>2012</v>
      </c>
      <c r="J4785" s="93">
        <v>28175.33</v>
      </c>
      <c r="K4785">
        <v>6</v>
      </c>
      <c r="L4785" s="1" t="s">
        <v>461</v>
      </c>
      <c r="M4785">
        <v>0</v>
      </c>
      <c r="N4785">
        <v>2088</v>
      </c>
      <c r="O4785">
        <v>13.493285</v>
      </c>
      <c r="P4785">
        <v>1</v>
      </c>
      <c r="Q4785" s="1" t="s">
        <v>565</v>
      </c>
      <c r="R4785" s="93">
        <v>31222.17</v>
      </c>
      <c r="S4785">
        <v>3934.01</v>
      </c>
      <c r="T4785">
        <v>0</v>
      </c>
      <c r="U4785" s="1" t="s">
        <v>922</v>
      </c>
      <c r="V4785" s="1"/>
      <c r="W4785">
        <v>28.175329999999999</v>
      </c>
      <c r="X4785">
        <v>0</v>
      </c>
      <c r="Y4785">
        <v>90567</v>
      </c>
    </row>
    <row r="4786" spans="1:25" ht="15" hidden="1" customHeight="1" x14ac:dyDescent="0.25">
      <c r="A4786" s="1" t="s">
        <v>40</v>
      </c>
      <c r="B4786" s="1"/>
      <c r="C4786" s="1" t="s">
        <v>223</v>
      </c>
      <c r="D4786">
        <v>13534</v>
      </c>
      <c r="E4786" s="1" t="s">
        <v>243</v>
      </c>
      <c r="F4786" s="1" t="s">
        <v>223</v>
      </c>
      <c r="G4786" s="1" t="s">
        <v>223</v>
      </c>
      <c r="H4786" s="1" t="s">
        <v>1396</v>
      </c>
      <c r="I4786">
        <v>2012</v>
      </c>
      <c r="J4786" s="93">
        <v>139655.95000000001</v>
      </c>
      <c r="K4786">
        <v>6</v>
      </c>
      <c r="L4786" s="1" t="s">
        <v>461</v>
      </c>
      <c r="M4786">
        <v>0</v>
      </c>
      <c r="N4786">
        <v>2088</v>
      </c>
      <c r="O4786">
        <v>66.881829999999994</v>
      </c>
      <c r="P4786">
        <v>1</v>
      </c>
      <c r="Q4786" s="1" t="s">
        <v>565</v>
      </c>
      <c r="R4786" s="93">
        <v>149024.53</v>
      </c>
      <c r="S4786">
        <v>18777.080000000002</v>
      </c>
      <c r="T4786">
        <v>0</v>
      </c>
      <c r="U4786" s="1" t="s">
        <v>921</v>
      </c>
      <c r="V4786" s="1"/>
      <c r="W4786">
        <v>139.65594999999999</v>
      </c>
      <c r="X4786">
        <v>0</v>
      </c>
      <c r="Y4786">
        <v>90565</v>
      </c>
    </row>
    <row r="4787" spans="1:25" ht="15" hidden="1" customHeight="1" x14ac:dyDescent="0.25">
      <c r="A4787" s="1" t="s">
        <v>40</v>
      </c>
      <c r="B4787" s="1"/>
      <c r="C4787" s="1" t="s">
        <v>223</v>
      </c>
      <c r="D4787">
        <v>13534</v>
      </c>
      <c r="E4787" s="1" t="s">
        <v>243</v>
      </c>
      <c r="F4787" s="1" t="s">
        <v>223</v>
      </c>
      <c r="G4787" s="1" t="s">
        <v>223</v>
      </c>
      <c r="H4787" s="1" t="s">
        <v>1396</v>
      </c>
      <c r="I4787">
        <v>2012</v>
      </c>
      <c r="J4787" s="93">
        <v>2211</v>
      </c>
      <c r="K4787">
        <v>6</v>
      </c>
      <c r="L4787" s="1" t="s">
        <v>461</v>
      </c>
      <c r="M4787">
        <v>0</v>
      </c>
      <c r="N4787">
        <v>2088</v>
      </c>
      <c r="O4787">
        <v>1.0588569999999999</v>
      </c>
      <c r="P4787">
        <v>1</v>
      </c>
      <c r="Q4787" s="1" t="s">
        <v>565</v>
      </c>
      <c r="R4787" s="93">
        <v>2399.27</v>
      </c>
      <c r="S4787">
        <v>302.3</v>
      </c>
      <c r="T4787">
        <v>0</v>
      </c>
      <c r="U4787" s="1" t="s">
        <v>925</v>
      </c>
      <c r="V4787" s="1"/>
      <c r="W4787">
        <v>2.2109999999999999</v>
      </c>
      <c r="X4787">
        <v>0</v>
      </c>
      <c r="Y4787">
        <v>90568</v>
      </c>
    </row>
    <row r="4788" spans="1:25" ht="15" hidden="1" customHeight="1" x14ac:dyDescent="0.25">
      <c r="A4788" s="1" t="s">
        <v>40</v>
      </c>
      <c r="B4788" s="1"/>
      <c r="C4788" s="1" t="s">
        <v>223</v>
      </c>
      <c r="D4788">
        <v>13534</v>
      </c>
      <c r="E4788" s="1" t="s">
        <v>243</v>
      </c>
      <c r="F4788" s="1" t="s">
        <v>223</v>
      </c>
      <c r="G4788" s="1" t="s">
        <v>223</v>
      </c>
      <c r="H4788" s="1" t="s">
        <v>1396</v>
      </c>
      <c r="I4788">
        <v>2011</v>
      </c>
      <c r="J4788" s="93">
        <v>3807.19</v>
      </c>
      <c r="K4788">
        <v>2</v>
      </c>
      <c r="L4788" s="1" t="s">
        <v>461</v>
      </c>
      <c r="M4788">
        <v>0</v>
      </c>
      <c r="N4788">
        <v>2088</v>
      </c>
      <c r="O4788">
        <v>1.8232790000000001</v>
      </c>
      <c r="P4788">
        <v>1</v>
      </c>
      <c r="Q4788" s="1" t="s">
        <v>565</v>
      </c>
      <c r="R4788" s="93">
        <v>4482.74</v>
      </c>
      <c r="S4788">
        <v>564.84</v>
      </c>
      <c r="T4788">
        <v>0</v>
      </c>
      <c r="U4788" s="1" t="s">
        <v>924</v>
      </c>
      <c r="V4788" s="1"/>
      <c r="W4788">
        <v>3.8071899999999999</v>
      </c>
      <c r="X4788">
        <v>0</v>
      </c>
      <c r="Y4788">
        <v>90566</v>
      </c>
    </row>
    <row r="4789" spans="1:25" ht="15" hidden="1" customHeight="1" x14ac:dyDescent="0.25">
      <c r="A4789" s="1" t="s">
        <v>40</v>
      </c>
      <c r="B4789" s="1"/>
      <c r="C4789" s="1" t="s">
        <v>223</v>
      </c>
      <c r="D4789">
        <v>13534</v>
      </c>
      <c r="E4789" s="1" t="s">
        <v>243</v>
      </c>
      <c r="F4789" s="1" t="s">
        <v>223</v>
      </c>
      <c r="G4789" s="1" t="s">
        <v>223</v>
      </c>
      <c r="H4789" s="1" t="s">
        <v>1396</v>
      </c>
      <c r="I4789">
        <v>2011</v>
      </c>
      <c r="J4789" s="93">
        <v>117255.1</v>
      </c>
      <c r="K4789">
        <v>2</v>
      </c>
      <c r="L4789" s="1" t="s">
        <v>461</v>
      </c>
      <c r="M4789">
        <v>0</v>
      </c>
      <c r="N4789">
        <v>2088</v>
      </c>
      <c r="O4789">
        <v>56.153967000000002</v>
      </c>
      <c r="P4789">
        <v>1</v>
      </c>
      <c r="Q4789" s="1" t="s">
        <v>565</v>
      </c>
      <c r="R4789" s="93">
        <v>138749.42000000001</v>
      </c>
      <c r="S4789">
        <v>17482.43</v>
      </c>
      <c r="T4789">
        <v>0</v>
      </c>
      <c r="U4789" s="1" t="s">
        <v>921</v>
      </c>
      <c r="V4789" s="1"/>
      <c r="W4789">
        <v>117.2551</v>
      </c>
      <c r="X4789">
        <v>0</v>
      </c>
      <c r="Y4789">
        <v>90565</v>
      </c>
    </row>
    <row r="4790" spans="1:25" ht="15" hidden="1" customHeight="1" x14ac:dyDescent="0.25">
      <c r="A4790" s="1" t="s">
        <v>40</v>
      </c>
      <c r="B4790" s="1"/>
      <c r="C4790" s="1" t="s">
        <v>223</v>
      </c>
      <c r="D4790">
        <v>13534</v>
      </c>
      <c r="E4790" s="1" t="s">
        <v>243</v>
      </c>
      <c r="F4790" s="1" t="s">
        <v>223</v>
      </c>
      <c r="G4790" s="1" t="s">
        <v>223</v>
      </c>
      <c r="H4790" s="1" t="s">
        <v>1396</v>
      </c>
      <c r="I4790">
        <v>2011</v>
      </c>
      <c r="J4790" s="93">
        <v>28738.79</v>
      </c>
      <c r="K4790">
        <v>2</v>
      </c>
      <c r="L4790" s="1" t="s">
        <v>461</v>
      </c>
      <c r="M4790">
        <v>0</v>
      </c>
      <c r="N4790">
        <v>2088</v>
      </c>
      <c r="O4790">
        <v>13.763128999999999</v>
      </c>
      <c r="P4790">
        <v>1</v>
      </c>
      <c r="Q4790" s="1" t="s">
        <v>565</v>
      </c>
      <c r="R4790" s="93">
        <v>34086.17</v>
      </c>
      <c r="S4790">
        <v>4294.87</v>
      </c>
      <c r="T4790">
        <v>0</v>
      </c>
      <c r="U4790" s="1" t="s">
        <v>922</v>
      </c>
      <c r="V4790" s="1"/>
      <c r="W4790">
        <v>28.738790000000002</v>
      </c>
      <c r="X4790">
        <v>0</v>
      </c>
      <c r="Y4790">
        <v>90567</v>
      </c>
    </row>
    <row r="4791" spans="1:25" ht="15" hidden="1" customHeight="1" x14ac:dyDescent="0.25">
      <c r="A4791" s="1" t="s">
        <v>40</v>
      </c>
      <c r="B4791" s="1"/>
      <c r="C4791" s="1" t="s">
        <v>223</v>
      </c>
      <c r="D4791">
        <v>13534</v>
      </c>
      <c r="E4791" s="1" t="s">
        <v>243</v>
      </c>
      <c r="F4791" s="1" t="s">
        <v>223</v>
      </c>
      <c r="G4791" s="1" t="s">
        <v>223</v>
      </c>
      <c r="H4791" s="1" t="s">
        <v>1396</v>
      </c>
      <c r="I4791">
        <v>2011</v>
      </c>
      <c r="J4791" s="93">
        <v>2756.59</v>
      </c>
      <c r="K4791">
        <v>2</v>
      </c>
      <c r="L4791" s="1" t="s">
        <v>461</v>
      </c>
      <c r="M4791">
        <v>0</v>
      </c>
      <c r="N4791">
        <v>2088</v>
      </c>
      <c r="O4791">
        <v>1.3201419999999999</v>
      </c>
      <c r="P4791">
        <v>1</v>
      </c>
      <c r="Q4791" s="1" t="s">
        <v>565</v>
      </c>
      <c r="R4791" s="93">
        <v>3249.25</v>
      </c>
      <c r="S4791">
        <v>409.4</v>
      </c>
      <c r="T4791">
        <v>0</v>
      </c>
      <c r="U4791" s="1" t="s">
        <v>925</v>
      </c>
      <c r="V4791" s="1"/>
      <c r="W4791">
        <v>2.7565900000000001</v>
      </c>
      <c r="X4791">
        <v>0</v>
      </c>
      <c r="Y4791">
        <v>90568</v>
      </c>
    </row>
    <row r="4792" spans="1:25" ht="15" hidden="1" customHeight="1" x14ac:dyDescent="0.25">
      <c r="A4792" s="1" t="s">
        <v>40</v>
      </c>
      <c r="B4792" s="1"/>
      <c r="C4792" s="1" t="s">
        <v>223</v>
      </c>
      <c r="D4792">
        <v>13534</v>
      </c>
      <c r="E4792" s="1" t="s">
        <v>243</v>
      </c>
      <c r="F4792" s="1" t="s">
        <v>223</v>
      </c>
      <c r="G4792" s="1" t="s">
        <v>223</v>
      </c>
      <c r="H4792" s="1" t="s">
        <v>1396</v>
      </c>
      <c r="I4792">
        <v>2010</v>
      </c>
      <c r="J4792" s="93">
        <v>8723.41</v>
      </c>
      <c r="K4792">
        <v>2</v>
      </c>
      <c r="L4792" s="1" t="s">
        <v>461</v>
      </c>
      <c r="M4792">
        <v>0</v>
      </c>
      <c r="N4792">
        <v>2088</v>
      </c>
      <c r="O4792">
        <v>4.1776780000000002</v>
      </c>
      <c r="P4792">
        <v>1</v>
      </c>
      <c r="Q4792" s="1" t="s">
        <v>565</v>
      </c>
      <c r="R4792" s="93">
        <v>10916.88</v>
      </c>
      <c r="S4792">
        <v>1375.54</v>
      </c>
      <c r="T4792">
        <v>0</v>
      </c>
      <c r="U4792" s="1" t="s">
        <v>924</v>
      </c>
      <c r="V4792" s="1"/>
      <c r="W4792">
        <v>8.7234099999999994</v>
      </c>
      <c r="X4792">
        <v>0</v>
      </c>
      <c r="Y4792">
        <v>90566</v>
      </c>
    </row>
    <row r="4793" spans="1:25" ht="15" hidden="1" customHeight="1" x14ac:dyDescent="0.25">
      <c r="A4793" s="1" t="s">
        <v>40</v>
      </c>
      <c r="B4793" s="1"/>
      <c r="C4793" s="1" t="s">
        <v>223</v>
      </c>
      <c r="D4793">
        <v>13534</v>
      </c>
      <c r="E4793" s="1" t="s">
        <v>243</v>
      </c>
      <c r="F4793" s="1" t="s">
        <v>223</v>
      </c>
      <c r="G4793" s="1" t="s">
        <v>223</v>
      </c>
      <c r="H4793" s="1" t="s">
        <v>1396</v>
      </c>
      <c r="I4793">
        <v>2010</v>
      </c>
      <c r="J4793" s="93">
        <v>5293.01</v>
      </c>
      <c r="K4793">
        <v>2</v>
      </c>
      <c r="L4793" s="1" t="s">
        <v>461</v>
      </c>
      <c r="M4793">
        <v>0</v>
      </c>
      <c r="N4793">
        <v>2088</v>
      </c>
      <c r="O4793">
        <v>2.5348449999999998</v>
      </c>
      <c r="P4793">
        <v>1</v>
      </c>
      <c r="Q4793" s="1" t="s">
        <v>565</v>
      </c>
      <c r="R4793" s="93">
        <v>6569.4</v>
      </c>
      <c r="S4793">
        <v>827.75</v>
      </c>
      <c r="T4793">
        <v>0</v>
      </c>
      <c r="U4793" s="1" t="s">
        <v>925</v>
      </c>
      <c r="V4793" s="1"/>
      <c r="W4793">
        <v>5.2930099999999998</v>
      </c>
      <c r="X4793">
        <v>0</v>
      </c>
      <c r="Y4793">
        <v>90568</v>
      </c>
    </row>
    <row r="4794" spans="1:25" ht="15" hidden="1" customHeight="1" x14ac:dyDescent="0.25">
      <c r="A4794" s="1" t="s">
        <v>40</v>
      </c>
      <c r="B4794" s="1"/>
      <c r="C4794" s="1" t="s">
        <v>223</v>
      </c>
      <c r="D4794">
        <v>13534</v>
      </c>
      <c r="E4794" s="1" t="s">
        <v>243</v>
      </c>
      <c r="F4794" s="1" t="s">
        <v>223</v>
      </c>
      <c r="G4794" s="1" t="s">
        <v>223</v>
      </c>
      <c r="H4794" s="1" t="s">
        <v>1396</v>
      </c>
      <c r="I4794">
        <v>2010</v>
      </c>
      <c r="J4794" s="93">
        <v>138449.85999999999</v>
      </c>
      <c r="K4794">
        <v>2</v>
      </c>
      <c r="L4794" s="1" t="s">
        <v>461</v>
      </c>
      <c r="M4794">
        <v>0</v>
      </c>
      <c r="N4794">
        <v>2088</v>
      </c>
      <c r="O4794">
        <v>66.304227999999995</v>
      </c>
      <c r="P4794">
        <v>1</v>
      </c>
      <c r="Q4794" s="1" t="s">
        <v>565</v>
      </c>
      <c r="R4794" s="93">
        <v>177426.41</v>
      </c>
      <c r="S4794">
        <v>22355.73</v>
      </c>
      <c r="T4794">
        <v>0</v>
      </c>
      <c r="U4794" s="1" t="s">
        <v>921</v>
      </c>
      <c r="V4794" s="1"/>
      <c r="W4794">
        <v>138.44986</v>
      </c>
      <c r="X4794">
        <v>0</v>
      </c>
      <c r="Y4794">
        <v>90565</v>
      </c>
    </row>
    <row r="4795" spans="1:25" ht="15" hidden="1" customHeight="1" x14ac:dyDescent="0.25">
      <c r="A4795" s="1" t="s">
        <v>40</v>
      </c>
      <c r="B4795" s="1"/>
      <c r="C4795" s="1" t="s">
        <v>223</v>
      </c>
      <c r="D4795">
        <v>13534</v>
      </c>
      <c r="E4795" s="1" t="s">
        <v>243</v>
      </c>
      <c r="F4795" s="1" t="s">
        <v>223</v>
      </c>
      <c r="G4795" s="1" t="s">
        <v>223</v>
      </c>
      <c r="H4795" s="1" t="s">
        <v>1396</v>
      </c>
      <c r="I4795">
        <v>2010</v>
      </c>
      <c r="J4795" s="93">
        <v>45856.23</v>
      </c>
      <c r="K4795">
        <v>2</v>
      </c>
      <c r="L4795" s="1" t="s">
        <v>461</v>
      </c>
      <c r="M4795">
        <v>0</v>
      </c>
      <c r="N4795">
        <v>2088</v>
      </c>
      <c r="O4795">
        <v>21.960743999999998</v>
      </c>
      <c r="P4795">
        <v>1</v>
      </c>
      <c r="Q4795" s="1" t="s">
        <v>565</v>
      </c>
      <c r="R4795" s="93">
        <v>56930.57</v>
      </c>
      <c r="S4795">
        <v>7173.23</v>
      </c>
      <c r="T4795">
        <v>0</v>
      </c>
      <c r="U4795" s="1" t="s">
        <v>922</v>
      </c>
      <c r="V4795" s="1"/>
      <c r="W4795">
        <v>45.856229999999996</v>
      </c>
      <c r="X4795">
        <v>0</v>
      </c>
      <c r="Y4795">
        <v>90567</v>
      </c>
    </row>
    <row r="4796" spans="1:25" ht="15" hidden="1" customHeight="1" x14ac:dyDescent="0.25">
      <c r="A4796" s="1" t="s">
        <v>40</v>
      </c>
      <c r="B4796" s="1"/>
      <c r="C4796" s="1" t="s">
        <v>223</v>
      </c>
      <c r="D4796">
        <v>13534</v>
      </c>
      <c r="E4796" s="1" t="s">
        <v>243</v>
      </c>
      <c r="F4796" s="1" t="s">
        <v>223</v>
      </c>
      <c r="G4796" s="1" t="s">
        <v>223</v>
      </c>
      <c r="H4796" s="1" t="s">
        <v>1396</v>
      </c>
      <c r="I4796">
        <v>2009</v>
      </c>
      <c r="J4796" s="93">
        <v>48904.68</v>
      </c>
      <c r="K4796">
        <v>1</v>
      </c>
      <c r="L4796" s="1" t="s">
        <v>461</v>
      </c>
      <c r="M4796">
        <v>0</v>
      </c>
      <c r="N4796">
        <v>2088</v>
      </c>
      <c r="O4796">
        <v>23.420659000000001</v>
      </c>
      <c r="P4796">
        <v>1</v>
      </c>
      <c r="Q4796" s="1" t="s">
        <v>565</v>
      </c>
      <c r="R4796" s="93">
        <v>84915.11</v>
      </c>
      <c r="S4796">
        <v>10699.31</v>
      </c>
      <c r="T4796">
        <v>0</v>
      </c>
      <c r="U4796" s="1" t="s">
        <v>921</v>
      </c>
      <c r="V4796" s="1"/>
      <c r="W4796">
        <v>48.904679999999999</v>
      </c>
      <c r="X4796">
        <v>0</v>
      </c>
      <c r="Y4796">
        <v>90565</v>
      </c>
    </row>
    <row r="4797" spans="1:25" ht="15" hidden="1" customHeight="1" x14ac:dyDescent="0.25">
      <c r="A4797" s="1" t="s">
        <v>40</v>
      </c>
      <c r="B4797" s="1"/>
      <c r="C4797" s="1" t="s">
        <v>223</v>
      </c>
      <c r="D4797">
        <v>13534</v>
      </c>
      <c r="E4797" s="1" t="s">
        <v>243</v>
      </c>
      <c r="F4797" s="1" t="s">
        <v>223</v>
      </c>
      <c r="G4797" s="1" t="s">
        <v>223</v>
      </c>
      <c r="H4797" s="1" t="s">
        <v>1396</v>
      </c>
      <c r="I4797">
        <v>2009</v>
      </c>
      <c r="J4797" s="93">
        <v>1902.94</v>
      </c>
      <c r="K4797">
        <v>1</v>
      </c>
      <c r="L4797" s="1" t="s">
        <v>461</v>
      </c>
      <c r="M4797">
        <v>0</v>
      </c>
      <c r="N4797">
        <v>2088</v>
      </c>
      <c r="O4797">
        <v>0.91132599999999997</v>
      </c>
      <c r="P4797">
        <v>1</v>
      </c>
      <c r="Q4797" s="1" t="s">
        <v>565</v>
      </c>
      <c r="R4797" s="93">
        <v>3304.15</v>
      </c>
      <c r="S4797">
        <v>416.32</v>
      </c>
      <c r="T4797">
        <v>0</v>
      </c>
      <c r="U4797" s="1" t="s">
        <v>924</v>
      </c>
      <c r="V4797" s="1"/>
      <c r="W4797">
        <v>1.9029400000000001</v>
      </c>
      <c r="X4797">
        <v>0</v>
      </c>
      <c r="Y4797">
        <v>90566</v>
      </c>
    </row>
    <row r="4798" spans="1:25" ht="15" hidden="1" customHeight="1" x14ac:dyDescent="0.25">
      <c r="A4798" s="1" t="s">
        <v>40</v>
      </c>
      <c r="B4798" s="1"/>
      <c r="C4798" s="1" t="s">
        <v>223</v>
      </c>
      <c r="D4798">
        <v>13534</v>
      </c>
      <c r="E4798" s="1" t="s">
        <v>243</v>
      </c>
      <c r="F4798" s="1" t="s">
        <v>223</v>
      </c>
      <c r="G4798" s="1" t="s">
        <v>223</v>
      </c>
      <c r="H4798" s="1" t="s">
        <v>1396</v>
      </c>
      <c r="I4798">
        <v>2009</v>
      </c>
      <c r="J4798" s="93">
        <v>1488.83</v>
      </c>
      <c r="K4798">
        <v>1</v>
      </c>
      <c r="L4798" s="1" t="s">
        <v>461</v>
      </c>
      <c r="M4798">
        <v>0</v>
      </c>
      <c r="N4798">
        <v>2088</v>
      </c>
      <c r="O4798">
        <v>0.71300699999999995</v>
      </c>
      <c r="P4798">
        <v>1</v>
      </c>
      <c r="Q4798" s="1" t="s">
        <v>565</v>
      </c>
      <c r="R4798" s="93">
        <v>2585.11</v>
      </c>
      <c r="S4798">
        <v>325.72000000000003</v>
      </c>
      <c r="T4798">
        <v>0</v>
      </c>
      <c r="U4798" s="1" t="s">
        <v>925</v>
      </c>
      <c r="V4798" s="1"/>
      <c r="W4798">
        <v>1.4888300000000001</v>
      </c>
      <c r="X4798">
        <v>0</v>
      </c>
      <c r="Y4798">
        <v>90568</v>
      </c>
    </row>
    <row r="4799" spans="1:25" ht="15" hidden="1" customHeight="1" x14ac:dyDescent="0.25">
      <c r="A4799" s="1" t="s">
        <v>40</v>
      </c>
      <c r="B4799" s="1"/>
      <c r="C4799" s="1" t="s">
        <v>223</v>
      </c>
      <c r="D4799">
        <v>13534</v>
      </c>
      <c r="E4799" s="1" t="s">
        <v>243</v>
      </c>
      <c r="F4799" s="1" t="s">
        <v>223</v>
      </c>
      <c r="G4799" s="1" t="s">
        <v>223</v>
      </c>
      <c r="H4799" s="1" t="s">
        <v>1396</v>
      </c>
      <c r="I4799">
        <v>2009</v>
      </c>
      <c r="J4799" s="93">
        <v>15144.68</v>
      </c>
      <c r="K4799">
        <v>1</v>
      </c>
      <c r="L4799" s="1" t="s">
        <v>461</v>
      </c>
      <c r="M4799">
        <v>0</v>
      </c>
      <c r="N4799">
        <v>2088</v>
      </c>
      <c r="O4799">
        <v>7.2528509999999997</v>
      </c>
      <c r="P4799">
        <v>1</v>
      </c>
      <c r="Q4799" s="1" t="s">
        <v>565</v>
      </c>
      <c r="R4799" s="93">
        <v>26296.29</v>
      </c>
      <c r="S4799">
        <v>3313.33</v>
      </c>
      <c r="T4799">
        <v>0</v>
      </c>
      <c r="U4799" s="1" t="s">
        <v>922</v>
      </c>
      <c r="V4799" s="1"/>
      <c r="W4799">
        <v>15.144679999999999</v>
      </c>
      <c r="X4799">
        <v>0</v>
      </c>
      <c r="Y4799">
        <v>90567</v>
      </c>
    </row>
    <row r="4800" spans="1:25" ht="15" hidden="1" customHeight="1" x14ac:dyDescent="0.25">
      <c r="A4800" s="1" t="s">
        <v>40</v>
      </c>
      <c r="B4800" s="1"/>
      <c r="C4800" s="1" t="s">
        <v>210</v>
      </c>
      <c r="D4800">
        <v>10275</v>
      </c>
      <c r="E4800" s="1"/>
      <c r="F4800" s="1" t="s">
        <v>348</v>
      </c>
      <c r="G4800" s="1" t="s">
        <v>210</v>
      </c>
      <c r="H4800" s="1" t="s">
        <v>1396</v>
      </c>
      <c r="I4800">
        <v>2015</v>
      </c>
      <c r="J4800" s="93">
        <v>1719.35</v>
      </c>
      <c r="K4800">
        <v>5</v>
      </c>
      <c r="L4800" s="1"/>
      <c r="M4800">
        <v>0</v>
      </c>
      <c r="N4800">
        <v>551</v>
      </c>
      <c r="O4800">
        <v>3.1198510000000002</v>
      </c>
      <c r="P4800">
        <v>2</v>
      </c>
      <c r="Q4800" s="1" t="s">
        <v>569</v>
      </c>
      <c r="R4800" s="93">
        <v>1719.35</v>
      </c>
      <c r="S4800">
        <v>515.82000000000005</v>
      </c>
      <c r="T4800">
        <v>0</v>
      </c>
      <c r="U4800" s="1" t="s">
        <v>1129</v>
      </c>
      <c r="V4800" s="1" t="s">
        <v>1348</v>
      </c>
      <c r="W4800">
        <v>1719.3642</v>
      </c>
      <c r="X4800">
        <v>0</v>
      </c>
      <c r="Y4800">
        <v>92619</v>
      </c>
    </row>
    <row r="4801" spans="1:25" ht="15" hidden="1" customHeight="1" x14ac:dyDescent="0.25">
      <c r="A4801" s="1" t="s">
        <v>40</v>
      </c>
      <c r="B4801" s="1"/>
      <c r="C4801" s="1" t="s">
        <v>210</v>
      </c>
      <c r="D4801">
        <v>10275</v>
      </c>
      <c r="E4801" s="1"/>
      <c r="F4801" s="1" t="s">
        <v>348</v>
      </c>
      <c r="G4801" s="1" t="s">
        <v>210</v>
      </c>
      <c r="H4801" s="1" t="s">
        <v>1396</v>
      </c>
      <c r="I4801">
        <v>2013</v>
      </c>
      <c r="J4801" s="93">
        <v>12678.82</v>
      </c>
      <c r="K4801">
        <v>12</v>
      </c>
      <c r="L4801" s="1"/>
      <c r="M4801">
        <v>0</v>
      </c>
      <c r="N4801">
        <v>551</v>
      </c>
      <c r="O4801">
        <v>23.006387</v>
      </c>
      <c r="P4801">
        <v>2</v>
      </c>
      <c r="Q4801" s="1" t="s">
        <v>569</v>
      </c>
      <c r="R4801" s="93">
        <v>12678.82</v>
      </c>
      <c r="S4801">
        <v>3803.65</v>
      </c>
      <c r="T4801">
        <v>0</v>
      </c>
      <c r="U4801" s="1" t="s">
        <v>1129</v>
      </c>
      <c r="V4801" s="1" t="s">
        <v>1348</v>
      </c>
      <c r="W4801">
        <v>12678.8228</v>
      </c>
      <c r="X4801">
        <v>0</v>
      </c>
      <c r="Y4801">
        <v>92619</v>
      </c>
    </row>
    <row r="4802" spans="1:25" ht="15" hidden="1" customHeight="1" x14ac:dyDescent="0.25">
      <c r="A4802" s="1" t="s">
        <v>40</v>
      </c>
      <c r="B4802" s="1"/>
      <c r="C4802" s="1" t="s">
        <v>210</v>
      </c>
      <c r="D4802">
        <v>10275</v>
      </c>
      <c r="E4802" s="1"/>
      <c r="F4802" s="1" t="s">
        <v>348</v>
      </c>
      <c r="G4802" s="1" t="s">
        <v>210</v>
      </c>
      <c r="H4802" s="1" t="s">
        <v>1396</v>
      </c>
      <c r="I4802">
        <v>2012</v>
      </c>
      <c r="J4802" s="93">
        <v>8204.51</v>
      </c>
      <c r="K4802">
        <v>12</v>
      </c>
      <c r="L4802" s="1"/>
      <c r="M4802">
        <v>0</v>
      </c>
      <c r="N4802">
        <v>551</v>
      </c>
      <c r="O4802">
        <v>14.887515</v>
      </c>
      <c r="P4802">
        <v>2</v>
      </c>
      <c r="Q4802" s="1" t="s">
        <v>569</v>
      </c>
      <c r="R4802" s="93">
        <v>8204.51</v>
      </c>
      <c r="S4802">
        <v>3281.8</v>
      </c>
      <c r="T4802">
        <v>0</v>
      </c>
      <c r="U4802" s="1" t="s">
        <v>1129</v>
      </c>
      <c r="V4802" s="1" t="s">
        <v>1348</v>
      </c>
      <c r="W4802">
        <v>8204.4969000000001</v>
      </c>
      <c r="X4802">
        <v>0</v>
      </c>
      <c r="Y4802">
        <v>92619</v>
      </c>
    </row>
    <row r="4803" spans="1:25" ht="15" hidden="1" customHeight="1" x14ac:dyDescent="0.25">
      <c r="A4803" s="1" t="s">
        <v>40</v>
      </c>
      <c r="B4803" s="1"/>
      <c r="C4803" s="1" t="s">
        <v>210</v>
      </c>
      <c r="D4803">
        <v>10275</v>
      </c>
      <c r="E4803" s="1"/>
      <c r="F4803" s="1" t="s">
        <v>348</v>
      </c>
      <c r="G4803" s="1" t="s">
        <v>210</v>
      </c>
      <c r="H4803" s="1" t="s">
        <v>1396</v>
      </c>
      <c r="I4803">
        <v>2011</v>
      </c>
      <c r="J4803" s="93">
        <v>225.5</v>
      </c>
      <c r="K4803">
        <v>1</v>
      </c>
      <c r="L4803" s="1"/>
      <c r="M4803">
        <v>0</v>
      </c>
      <c r="N4803">
        <v>551</v>
      </c>
      <c r="O4803">
        <v>0.40918100000000002</v>
      </c>
      <c r="P4803">
        <v>2</v>
      </c>
      <c r="Q4803" s="1" t="s">
        <v>569</v>
      </c>
      <c r="R4803" s="93">
        <v>225.5</v>
      </c>
      <c r="S4803">
        <v>105.75</v>
      </c>
      <c r="T4803">
        <v>0</v>
      </c>
      <c r="U4803" s="1" t="s">
        <v>1129</v>
      </c>
      <c r="V4803" s="1" t="s">
        <v>1348</v>
      </c>
      <c r="W4803">
        <v>225.49629999999999</v>
      </c>
      <c r="X4803">
        <v>0</v>
      </c>
      <c r="Y4803">
        <v>92619</v>
      </c>
    </row>
    <row r="4804" spans="1:25" ht="15" hidden="1" customHeight="1" x14ac:dyDescent="0.25">
      <c r="A4804" s="1" t="s">
        <v>40</v>
      </c>
      <c r="B4804" s="1"/>
      <c r="C4804" s="1" t="s">
        <v>210</v>
      </c>
      <c r="D4804">
        <v>10275</v>
      </c>
      <c r="E4804" s="1"/>
      <c r="F4804" s="1" t="s">
        <v>348</v>
      </c>
      <c r="G4804" s="1" t="s">
        <v>210</v>
      </c>
      <c r="H4804" s="1" t="s">
        <v>1396</v>
      </c>
      <c r="I4804">
        <v>2011</v>
      </c>
      <c r="J4804" s="93">
        <v>5725.5</v>
      </c>
      <c r="K4804">
        <v>3</v>
      </c>
      <c r="L4804" s="1" t="s">
        <v>457</v>
      </c>
      <c r="M4804">
        <v>0</v>
      </c>
      <c r="N4804">
        <v>551</v>
      </c>
      <c r="O4804">
        <v>10.389220999999999</v>
      </c>
      <c r="P4804">
        <v>2</v>
      </c>
      <c r="Q4804" s="1" t="s">
        <v>569</v>
      </c>
      <c r="R4804" s="93">
        <v>5725.5</v>
      </c>
      <c r="S4804">
        <v>2685.26</v>
      </c>
      <c r="T4804">
        <v>0</v>
      </c>
      <c r="U4804" s="1" t="s">
        <v>1130</v>
      </c>
      <c r="V4804" s="1"/>
      <c r="W4804">
        <v>5725.5000099999997</v>
      </c>
      <c r="X4804">
        <v>0</v>
      </c>
      <c r="Y4804">
        <v>77668</v>
      </c>
    </row>
    <row r="4805" spans="1:25" ht="15" hidden="1" customHeight="1" x14ac:dyDescent="0.25">
      <c r="A4805" s="1" t="s">
        <v>40</v>
      </c>
      <c r="B4805" s="1"/>
      <c r="C4805" s="1" t="s">
        <v>210</v>
      </c>
      <c r="D4805">
        <v>10275</v>
      </c>
      <c r="E4805" s="1"/>
      <c r="F4805" s="1" t="s">
        <v>348</v>
      </c>
      <c r="G4805" s="1" t="s">
        <v>210</v>
      </c>
      <c r="H4805" s="1" t="s">
        <v>1396</v>
      </c>
      <c r="I4805">
        <v>2010</v>
      </c>
      <c r="J4805" s="93">
        <v>19809.09</v>
      </c>
      <c r="K4805">
        <v>3</v>
      </c>
      <c r="L4805" s="1" t="s">
        <v>457</v>
      </c>
      <c r="M4805">
        <v>0</v>
      </c>
      <c r="N4805">
        <v>551</v>
      </c>
      <c r="O4805">
        <v>35.944637</v>
      </c>
      <c r="P4805">
        <v>2</v>
      </c>
      <c r="Q4805" s="1" t="s">
        <v>569</v>
      </c>
      <c r="R4805" s="93">
        <v>19809.09</v>
      </c>
      <c r="S4805">
        <v>9290.4599999999991</v>
      </c>
      <c r="T4805">
        <v>0</v>
      </c>
      <c r="U4805" s="1" t="s">
        <v>1130</v>
      </c>
      <c r="V4805" s="1"/>
      <c r="W4805">
        <v>19809.09</v>
      </c>
      <c r="X4805">
        <v>0</v>
      </c>
      <c r="Y4805">
        <v>77668</v>
      </c>
    </row>
    <row r="4806" spans="1:25" ht="15" hidden="1" customHeight="1" x14ac:dyDescent="0.25">
      <c r="A4806" s="1" t="s">
        <v>40</v>
      </c>
      <c r="B4806" s="1"/>
      <c r="C4806" s="1" t="s">
        <v>210</v>
      </c>
      <c r="D4806">
        <v>10275</v>
      </c>
      <c r="E4806" s="1"/>
      <c r="F4806" s="1" t="s">
        <v>348</v>
      </c>
      <c r="G4806" s="1" t="s">
        <v>210</v>
      </c>
      <c r="H4806" s="1" t="s">
        <v>1396</v>
      </c>
      <c r="I4806">
        <v>2009</v>
      </c>
      <c r="J4806" s="93">
        <v>20849.23</v>
      </c>
      <c r="K4806">
        <v>2</v>
      </c>
      <c r="L4806" s="1" t="s">
        <v>457</v>
      </c>
      <c r="M4806">
        <v>0</v>
      </c>
      <c r="N4806">
        <v>551</v>
      </c>
      <c r="O4806">
        <v>37.832025999999999</v>
      </c>
      <c r="P4806">
        <v>2</v>
      </c>
      <c r="Q4806" s="1" t="s">
        <v>569</v>
      </c>
      <c r="R4806" s="93">
        <v>20849.23</v>
      </c>
      <c r="S4806">
        <v>9778.26</v>
      </c>
      <c r="T4806">
        <v>0</v>
      </c>
      <c r="U4806" s="1" t="s">
        <v>1130</v>
      </c>
      <c r="V4806" s="1"/>
      <c r="W4806">
        <v>20849.228190000002</v>
      </c>
      <c r="X4806">
        <v>0</v>
      </c>
      <c r="Y4806">
        <v>77668</v>
      </c>
    </row>
    <row r="4807" spans="1:25" ht="15" hidden="1" customHeight="1" x14ac:dyDescent="0.25">
      <c r="A4807" s="1" t="s">
        <v>40</v>
      </c>
      <c r="B4807" s="1"/>
      <c r="C4807" s="1" t="s">
        <v>210</v>
      </c>
      <c r="D4807">
        <v>10275</v>
      </c>
      <c r="E4807" s="1"/>
      <c r="F4807" s="1" t="s">
        <v>348</v>
      </c>
      <c r="G4807" s="1" t="s">
        <v>210</v>
      </c>
      <c r="H4807" s="1" t="s">
        <v>1396</v>
      </c>
      <c r="I4807">
        <v>2008</v>
      </c>
      <c r="J4807" s="93">
        <v>20190.86</v>
      </c>
      <c r="K4807">
        <v>4</v>
      </c>
      <c r="L4807" s="1" t="s">
        <v>457</v>
      </c>
      <c r="M4807">
        <v>0</v>
      </c>
      <c r="N4807">
        <v>551</v>
      </c>
      <c r="O4807">
        <v>36.637379000000003</v>
      </c>
      <c r="P4807">
        <v>2</v>
      </c>
      <c r="Q4807" s="1" t="s">
        <v>569</v>
      </c>
      <c r="R4807" s="93">
        <v>20190.86</v>
      </c>
      <c r="S4807">
        <v>9469.5400000000009</v>
      </c>
      <c r="T4807">
        <v>0</v>
      </c>
      <c r="U4807" s="1" t="s">
        <v>1130</v>
      </c>
      <c r="V4807" s="1"/>
      <c r="W4807">
        <v>20190.850480000001</v>
      </c>
      <c r="X4807">
        <v>0</v>
      </c>
      <c r="Y4807">
        <v>77668</v>
      </c>
    </row>
    <row r="4808" spans="1:25" ht="15" hidden="1" customHeight="1" x14ac:dyDescent="0.25">
      <c r="A4808" s="1" t="s">
        <v>40</v>
      </c>
      <c r="B4808" s="1" t="s">
        <v>86</v>
      </c>
      <c r="C4808" s="1" t="s">
        <v>213</v>
      </c>
      <c r="D4808">
        <v>6026</v>
      </c>
      <c r="E4808" s="1"/>
      <c r="F4808" s="1" t="s">
        <v>368</v>
      </c>
      <c r="G4808" s="1" t="s">
        <v>213</v>
      </c>
      <c r="H4808" s="1" t="s">
        <v>1396</v>
      </c>
      <c r="I4808">
        <v>2015</v>
      </c>
      <c r="J4808" s="93">
        <v>1057.9100000000001</v>
      </c>
      <c r="K4808">
        <v>5</v>
      </c>
      <c r="L4808" s="1" t="s">
        <v>421</v>
      </c>
      <c r="M4808">
        <v>0</v>
      </c>
      <c r="N4808">
        <v>0</v>
      </c>
      <c r="O4808">
        <v>10579.1</v>
      </c>
      <c r="P4808">
        <v>2</v>
      </c>
      <c r="Q4808" s="1" t="s">
        <v>569</v>
      </c>
      <c r="R4808" s="93">
        <v>1057.9100000000001</v>
      </c>
      <c r="S4808">
        <v>423.17</v>
      </c>
      <c r="T4808">
        <v>1</v>
      </c>
      <c r="U4808" s="1" t="s">
        <v>1133</v>
      </c>
      <c r="V4808" s="1"/>
      <c r="W4808">
        <v>1057.9142899999999</v>
      </c>
      <c r="X4808">
        <v>0</v>
      </c>
      <c r="Y4808">
        <v>60555</v>
      </c>
    </row>
    <row r="4809" spans="1:25" ht="15" hidden="1" customHeight="1" x14ac:dyDescent="0.25">
      <c r="A4809" s="1" t="s">
        <v>40</v>
      </c>
      <c r="B4809" s="1" t="s">
        <v>86</v>
      </c>
      <c r="C4809" s="1" t="s">
        <v>213</v>
      </c>
      <c r="D4809">
        <v>6026</v>
      </c>
      <c r="E4809" s="1"/>
      <c r="F4809" s="1" t="s">
        <v>368</v>
      </c>
      <c r="G4809" s="1" t="s">
        <v>213</v>
      </c>
      <c r="H4809" s="1" t="s">
        <v>1396</v>
      </c>
      <c r="I4809">
        <v>2015</v>
      </c>
      <c r="J4809" s="93">
        <v>5438.63</v>
      </c>
      <c r="K4809">
        <v>5</v>
      </c>
      <c r="L4809" s="1" t="s">
        <v>421</v>
      </c>
      <c r="M4809">
        <v>0</v>
      </c>
      <c r="N4809">
        <v>0</v>
      </c>
      <c r="O4809">
        <v>54386.3</v>
      </c>
      <c r="P4809">
        <v>2</v>
      </c>
      <c r="Q4809" s="1" t="s">
        <v>569</v>
      </c>
      <c r="R4809" s="93">
        <v>5438.63</v>
      </c>
      <c r="S4809">
        <v>1631.58</v>
      </c>
      <c r="T4809">
        <v>1</v>
      </c>
      <c r="U4809" s="1" t="s">
        <v>1134</v>
      </c>
      <c r="V4809" s="1"/>
      <c r="W4809">
        <v>5438.6285699999999</v>
      </c>
      <c r="X4809">
        <v>0</v>
      </c>
      <c r="Y4809">
        <v>93454</v>
      </c>
    </row>
    <row r="4810" spans="1:25" ht="15" hidden="1" customHeight="1" x14ac:dyDescent="0.25">
      <c r="A4810" s="1" t="s">
        <v>40</v>
      </c>
      <c r="B4810" s="1" t="s">
        <v>86</v>
      </c>
      <c r="C4810" s="1" t="s">
        <v>213</v>
      </c>
      <c r="D4810">
        <v>6026</v>
      </c>
      <c r="E4810" s="1"/>
      <c r="F4810" s="1" t="s">
        <v>368</v>
      </c>
      <c r="G4810" s="1" t="s">
        <v>213</v>
      </c>
      <c r="H4810" s="1" t="s">
        <v>1396</v>
      </c>
      <c r="I4810">
        <v>2015</v>
      </c>
      <c r="J4810" s="93">
        <v>5411.26</v>
      </c>
      <c r="K4810">
        <v>5</v>
      </c>
      <c r="L4810" s="1" t="s">
        <v>421</v>
      </c>
      <c r="M4810">
        <v>0</v>
      </c>
      <c r="N4810">
        <v>0</v>
      </c>
      <c r="O4810">
        <v>54112.6</v>
      </c>
      <c r="P4810">
        <v>2</v>
      </c>
      <c r="Q4810" s="1" t="s">
        <v>569</v>
      </c>
      <c r="R4810" s="93">
        <v>5411.26</v>
      </c>
      <c r="S4810">
        <v>1623.38</v>
      </c>
      <c r="T4810">
        <v>1</v>
      </c>
      <c r="U4810" s="1" t="s">
        <v>1135</v>
      </c>
      <c r="V4810" s="1"/>
      <c r="W4810">
        <v>5411.2571399999997</v>
      </c>
      <c r="X4810">
        <v>0</v>
      </c>
      <c r="Y4810">
        <v>93455</v>
      </c>
    </row>
    <row r="4811" spans="1:25" ht="15" hidden="1" customHeight="1" x14ac:dyDescent="0.25">
      <c r="A4811" s="1" t="s">
        <v>40</v>
      </c>
      <c r="B4811" s="1" t="s">
        <v>86</v>
      </c>
      <c r="C4811" s="1" t="s">
        <v>213</v>
      </c>
      <c r="D4811">
        <v>6026</v>
      </c>
      <c r="E4811" s="1"/>
      <c r="F4811" s="1" t="s">
        <v>368</v>
      </c>
      <c r="G4811" s="1" t="s">
        <v>213</v>
      </c>
      <c r="H4811" s="1" t="s">
        <v>1396</v>
      </c>
      <c r="I4811">
        <v>2015</v>
      </c>
      <c r="J4811" s="93">
        <v>5436.69</v>
      </c>
      <c r="K4811">
        <v>5</v>
      </c>
      <c r="L4811" s="1" t="s">
        <v>421</v>
      </c>
      <c r="M4811">
        <v>0</v>
      </c>
      <c r="N4811">
        <v>0</v>
      </c>
      <c r="O4811">
        <v>54366.9</v>
      </c>
      <c r="P4811">
        <v>2</v>
      </c>
      <c r="Q4811" s="1" t="s">
        <v>569</v>
      </c>
      <c r="R4811" s="93">
        <v>5436.69</v>
      </c>
      <c r="S4811">
        <v>1631.01</v>
      </c>
      <c r="T4811">
        <v>1</v>
      </c>
      <c r="U4811" s="1" t="s">
        <v>1136</v>
      </c>
      <c r="V4811" s="1"/>
      <c r="W4811">
        <v>5436.6857099999997</v>
      </c>
      <c r="X4811">
        <v>0</v>
      </c>
      <c r="Y4811">
        <v>93457</v>
      </c>
    </row>
    <row r="4812" spans="1:25" ht="15" hidden="1" customHeight="1" x14ac:dyDescent="0.25">
      <c r="A4812" s="1" t="s">
        <v>40</v>
      </c>
      <c r="B4812" s="1" t="s">
        <v>86</v>
      </c>
      <c r="C4812" s="1" t="s">
        <v>213</v>
      </c>
      <c r="D4812">
        <v>6026</v>
      </c>
      <c r="E4812" s="1"/>
      <c r="F4812" s="1" t="s">
        <v>368</v>
      </c>
      <c r="G4812" s="1" t="s">
        <v>213</v>
      </c>
      <c r="H4812" s="1" t="s">
        <v>1396</v>
      </c>
      <c r="I4812">
        <v>2015</v>
      </c>
      <c r="J4812" s="93">
        <v>10529.71</v>
      </c>
      <c r="K4812">
        <v>5</v>
      </c>
      <c r="L4812" s="1" t="s">
        <v>421</v>
      </c>
      <c r="M4812">
        <v>0</v>
      </c>
      <c r="N4812">
        <v>0</v>
      </c>
      <c r="O4812">
        <v>105297.1</v>
      </c>
      <c r="P4812">
        <v>2</v>
      </c>
      <c r="Q4812" s="1" t="s">
        <v>569</v>
      </c>
      <c r="R4812" s="93">
        <v>10529.71</v>
      </c>
      <c r="S4812">
        <v>3158.9</v>
      </c>
      <c r="T4812">
        <v>1</v>
      </c>
      <c r="U4812" s="1" t="s">
        <v>1137</v>
      </c>
      <c r="V4812" s="1"/>
      <c r="W4812">
        <v>10529.71429</v>
      </c>
      <c r="X4812">
        <v>0</v>
      </c>
      <c r="Y4812">
        <v>95436</v>
      </c>
    </row>
    <row r="4813" spans="1:25" ht="15" hidden="1" customHeight="1" x14ac:dyDescent="0.25">
      <c r="A4813" s="1" t="s">
        <v>40</v>
      </c>
      <c r="B4813" s="1" t="s">
        <v>86</v>
      </c>
      <c r="C4813" s="1" t="s">
        <v>213</v>
      </c>
      <c r="D4813">
        <v>6026</v>
      </c>
      <c r="E4813" s="1"/>
      <c r="F4813" s="1" t="s">
        <v>368</v>
      </c>
      <c r="G4813" s="1" t="s">
        <v>213</v>
      </c>
      <c r="H4813" s="1" t="s">
        <v>1396</v>
      </c>
      <c r="I4813">
        <v>2015</v>
      </c>
      <c r="J4813" s="93">
        <v>3172</v>
      </c>
      <c r="K4813">
        <v>4</v>
      </c>
      <c r="L4813" s="1" t="s">
        <v>421</v>
      </c>
      <c r="M4813">
        <v>0</v>
      </c>
      <c r="N4813">
        <v>0</v>
      </c>
      <c r="O4813">
        <v>31720</v>
      </c>
      <c r="P4813">
        <v>2</v>
      </c>
      <c r="Q4813" s="1" t="s">
        <v>569</v>
      </c>
      <c r="R4813" s="93">
        <v>3172</v>
      </c>
      <c r="S4813">
        <v>951.6</v>
      </c>
      <c r="T4813">
        <v>1</v>
      </c>
      <c r="U4813" s="1" t="s">
        <v>1138</v>
      </c>
      <c r="V4813" s="1"/>
      <c r="W4813">
        <v>3172</v>
      </c>
      <c r="X4813">
        <v>0</v>
      </c>
      <c r="Y4813">
        <v>97266</v>
      </c>
    </row>
    <row r="4814" spans="1:25" ht="15" hidden="1" customHeight="1" x14ac:dyDescent="0.25">
      <c r="A4814" s="1" t="s">
        <v>40</v>
      </c>
      <c r="B4814" s="1" t="s">
        <v>86</v>
      </c>
      <c r="C4814" s="1" t="s">
        <v>213</v>
      </c>
      <c r="D4814">
        <v>6026</v>
      </c>
      <c r="E4814" s="1"/>
      <c r="F4814" s="1" t="s">
        <v>368</v>
      </c>
      <c r="G4814" s="1" t="s">
        <v>213</v>
      </c>
      <c r="H4814" s="1" t="s">
        <v>1396</v>
      </c>
      <c r="I4814">
        <v>2013</v>
      </c>
      <c r="J4814" s="93">
        <v>483.24</v>
      </c>
      <c r="K4814">
        <v>3</v>
      </c>
      <c r="L4814" s="1" t="s">
        <v>554</v>
      </c>
      <c r="M4814">
        <v>0</v>
      </c>
      <c r="N4814">
        <v>0</v>
      </c>
      <c r="O4814">
        <v>4832.3999999999996</v>
      </c>
      <c r="P4814">
        <v>2</v>
      </c>
      <c r="Q4814" s="1" t="s">
        <v>569</v>
      </c>
      <c r="R4814" s="93">
        <v>483.24</v>
      </c>
      <c r="S4814">
        <v>193.29</v>
      </c>
      <c r="T4814">
        <v>1</v>
      </c>
      <c r="U4814" s="1" t="s">
        <v>1139</v>
      </c>
      <c r="V4814" s="1"/>
      <c r="W4814">
        <v>483.23529000000002</v>
      </c>
      <c r="X4814">
        <v>0</v>
      </c>
      <c r="Y4814">
        <v>60553</v>
      </c>
    </row>
    <row r="4815" spans="1:25" ht="15" hidden="1" customHeight="1" x14ac:dyDescent="0.25">
      <c r="A4815" s="1" t="s">
        <v>40</v>
      </c>
      <c r="B4815" s="1" t="s">
        <v>86</v>
      </c>
      <c r="C4815" s="1" t="s">
        <v>213</v>
      </c>
      <c r="D4815">
        <v>6026</v>
      </c>
      <c r="E4815" s="1"/>
      <c r="F4815" s="1" t="s">
        <v>368</v>
      </c>
      <c r="G4815" s="1" t="s">
        <v>213</v>
      </c>
      <c r="H4815" s="1" t="s">
        <v>1396</v>
      </c>
      <c r="I4815">
        <v>2013</v>
      </c>
      <c r="J4815" s="93">
        <v>7736.5</v>
      </c>
      <c r="K4815">
        <v>12</v>
      </c>
      <c r="L4815" s="1" t="s">
        <v>421</v>
      </c>
      <c r="M4815">
        <v>0</v>
      </c>
      <c r="N4815">
        <v>0</v>
      </c>
      <c r="O4815">
        <v>77365</v>
      </c>
      <c r="P4815">
        <v>2</v>
      </c>
      <c r="Q4815" s="1" t="s">
        <v>569</v>
      </c>
      <c r="R4815" s="93">
        <v>7736.5</v>
      </c>
      <c r="S4815">
        <v>2320.94</v>
      </c>
      <c r="T4815">
        <v>1</v>
      </c>
      <c r="U4815" s="1" t="s">
        <v>1135</v>
      </c>
      <c r="V4815" s="1"/>
      <c r="W4815">
        <v>7736.48855</v>
      </c>
      <c r="X4815">
        <v>0</v>
      </c>
      <c r="Y4815">
        <v>93455</v>
      </c>
    </row>
    <row r="4816" spans="1:25" ht="15" hidden="1" customHeight="1" x14ac:dyDescent="0.25">
      <c r="A4816" s="1" t="s">
        <v>40</v>
      </c>
      <c r="B4816" s="1" t="s">
        <v>86</v>
      </c>
      <c r="C4816" s="1" t="s">
        <v>213</v>
      </c>
      <c r="D4816">
        <v>6026</v>
      </c>
      <c r="E4816" s="1"/>
      <c r="F4816" s="1" t="s">
        <v>368</v>
      </c>
      <c r="G4816" s="1" t="s">
        <v>213</v>
      </c>
      <c r="H4816" s="1" t="s">
        <v>1396</v>
      </c>
      <c r="I4816">
        <v>2013</v>
      </c>
      <c r="J4816" s="93">
        <v>5550.59</v>
      </c>
      <c r="K4816">
        <v>12</v>
      </c>
      <c r="L4816" s="1" t="s">
        <v>421</v>
      </c>
      <c r="M4816">
        <v>0</v>
      </c>
      <c r="N4816">
        <v>0</v>
      </c>
      <c r="O4816">
        <v>55505.9</v>
      </c>
      <c r="P4816">
        <v>2</v>
      </c>
      <c r="Q4816" s="1" t="s">
        <v>569</v>
      </c>
      <c r="R4816" s="93">
        <v>5550.59</v>
      </c>
      <c r="S4816">
        <v>2220.2199999999998</v>
      </c>
      <c r="T4816">
        <v>1</v>
      </c>
      <c r="U4816" s="1" t="s">
        <v>1133</v>
      </c>
      <c r="V4816" s="1"/>
      <c r="W4816">
        <v>5550.5834800000002</v>
      </c>
      <c r="X4816">
        <v>0</v>
      </c>
      <c r="Y4816">
        <v>60555</v>
      </c>
    </row>
    <row r="4817" spans="1:25" ht="15" hidden="1" customHeight="1" x14ac:dyDescent="0.25">
      <c r="A4817" s="1" t="s">
        <v>40</v>
      </c>
      <c r="B4817" s="1" t="s">
        <v>86</v>
      </c>
      <c r="C4817" s="1" t="s">
        <v>213</v>
      </c>
      <c r="D4817">
        <v>6026</v>
      </c>
      <c r="E4817" s="1"/>
      <c r="F4817" s="1" t="s">
        <v>368</v>
      </c>
      <c r="G4817" s="1" t="s">
        <v>213</v>
      </c>
      <c r="H4817" s="1" t="s">
        <v>1396</v>
      </c>
      <c r="I4817">
        <v>2013</v>
      </c>
      <c r="J4817" s="93">
        <v>2836.38</v>
      </c>
      <c r="K4817">
        <v>3</v>
      </c>
      <c r="L4817" s="1" t="s">
        <v>554</v>
      </c>
      <c r="M4817">
        <v>0</v>
      </c>
      <c r="N4817">
        <v>0</v>
      </c>
      <c r="O4817">
        <v>28363.8</v>
      </c>
      <c r="P4817">
        <v>2</v>
      </c>
      <c r="Q4817" s="1" t="s">
        <v>569</v>
      </c>
      <c r="R4817" s="93">
        <v>2836.38</v>
      </c>
      <c r="S4817">
        <v>850.91</v>
      </c>
      <c r="T4817">
        <v>1</v>
      </c>
      <c r="U4817" s="1" t="s">
        <v>1140</v>
      </c>
      <c r="V4817" s="1"/>
      <c r="W4817">
        <v>2836.3809500000002</v>
      </c>
      <c r="X4817">
        <v>0</v>
      </c>
      <c r="Y4817">
        <v>93435</v>
      </c>
    </row>
    <row r="4818" spans="1:25" ht="15" hidden="1" customHeight="1" x14ac:dyDescent="0.25">
      <c r="A4818" s="1" t="s">
        <v>40</v>
      </c>
      <c r="B4818" s="1" t="s">
        <v>86</v>
      </c>
      <c r="C4818" s="1" t="s">
        <v>213</v>
      </c>
      <c r="D4818">
        <v>6026</v>
      </c>
      <c r="E4818" s="1"/>
      <c r="F4818" s="1" t="s">
        <v>368</v>
      </c>
      <c r="G4818" s="1" t="s">
        <v>213</v>
      </c>
      <c r="H4818" s="1" t="s">
        <v>1396</v>
      </c>
      <c r="I4818">
        <v>2013</v>
      </c>
      <c r="J4818" s="93">
        <v>7661.04</v>
      </c>
      <c r="K4818">
        <v>12</v>
      </c>
      <c r="L4818" s="1" t="s">
        <v>421</v>
      </c>
      <c r="M4818">
        <v>0</v>
      </c>
      <c r="N4818">
        <v>0</v>
      </c>
      <c r="O4818">
        <v>76610.399999999994</v>
      </c>
      <c r="P4818">
        <v>2</v>
      </c>
      <c r="Q4818" s="1" t="s">
        <v>569</v>
      </c>
      <c r="R4818" s="93">
        <v>7661.04</v>
      </c>
      <c r="S4818">
        <v>2298.3200000000002</v>
      </c>
      <c r="T4818">
        <v>1</v>
      </c>
      <c r="U4818" s="1" t="s">
        <v>1134</v>
      </c>
      <c r="V4818" s="1"/>
      <c r="W4818">
        <v>7661.0308500000001</v>
      </c>
      <c r="X4818">
        <v>0</v>
      </c>
      <c r="Y4818">
        <v>93454</v>
      </c>
    </row>
    <row r="4819" spans="1:25" ht="15" hidden="1" customHeight="1" x14ac:dyDescent="0.25">
      <c r="A4819" s="1" t="s">
        <v>40</v>
      </c>
      <c r="B4819" s="1" t="s">
        <v>86</v>
      </c>
      <c r="C4819" s="1" t="s">
        <v>213</v>
      </c>
      <c r="D4819">
        <v>6026</v>
      </c>
      <c r="E4819" s="1"/>
      <c r="F4819" s="1" t="s">
        <v>368</v>
      </c>
      <c r="G4819" s="1" t="s">
        <v>213</v>
      </c>
      <c r="H4819" s="1" t="s">
        <v>1396</v>
      </c>
      <c r="I4819">
        <v>2013</v>
      </c>
      <c r="J4819" s="93">
        <v>11067.84</v>
      </c>
      <c r="K4819">
        <v>12</v>
      </c>
      <c r="L4819" s="1" t="s">
        <v>421</v>
      </c>
      <c r="M4819">
        <v>0</v>
      </c>
      <c r="N4819">
        <v>0</v>
      </c>
      <c r="O4819">
        <v>110678.39999999999</v>
      </c>
      <c r="P4819">
        <v>2</v>
      </c>
      <c r="Q4819" s="1" t="s">
        <v>569</v>
      </c>
      <c r="R4819" s="93">
        <v>11067.84</v>
      </c>
      <c r="S4819">
        <v>3320.36</v>
      </c>
      <c r="T4819">
        <v>1</v>
      </c>
      <c r="U4819" s="1" t="s">
        <v>1136</v>
      </c>
      <c r="V4819" s="1"/>
      <c r="W4819">
        <v>11067.84058</v>
      </c>
      <c r="X4819">
        <v>0</v>
      </c>
      <c r="Y4819">
        <v>93457</v>
      </c>
    </row>
    <row r="4820" spans="1:25" ht="15" hidden="1" customHeight="1" x14ac:dyDescent="0.25">
      <c r="A4820" s="1" t="s">
        <v>40</v>
      </c>
      <c r="B4820" s="1" t="s">
        <v>86</v>
      </c>
      <c r="C4820" s="1" t="s">
        <v>213</v>
      </c>
      <c r="D4820">
        <v>6026</v>
      </c>
      <c r="E4820" s="1"/>
      <c r="F4820" s="1" t="s">
        <v>368</v>
      </c>
      <c r="G4820" s="1" t="s">
        <v>213</v>
      </c>
      <c r="H4820" s="1" t="s">
        <v>1396</v>
      </c>
      <c r="I4820">
        <v>2012</v>
      </c>
      <c r="J4820" s="93">
        <v>14929.49</v>
      </c>
      <c r="K4820">
        <v>12</v>
      </c>
      <c r="L4820" s="1" t="s">
        <v>554</v>
      </c>
      <c r="M4820">
        <v>0</v>
      </c>
      <c r="N4820">
        <v>0</v>
      </c>
      <c r="O4820">
        <v>149294.9</v>
      </c>
      <c r="P4820">
        <v>2</v>
      </c>
      <c r="Q4820" s="1" t="s">
        <v>569</v>
      </c>
      <c r="R4820" s="93">
        <v>14929.49</v>
      </c>
      <c r="S4820">
        <v>5971.81</v>
      </c>
      <c r="T4820">
        <v>1</v>
      </c>
      <c r="U4820" s="1" t="s">
        <v>1139</v>
      </c>
      <c r="V4820" s="1"/>
      <c r="W4820">
        <v>14929.491980000001</v>
      </c>
      <c r="X4820">
        <v>0</v>
      </c>
      <c r="Y4820">
        <v>60553</v>
      </c>
    </row>
    <row r="4821" spans="1:25" ht="15" hidden="1" customHeight="1" x14ac:dyDescent="0.25">
      <c r="A4821" s="1" t="s">
        <v>40</v>
      </c>
      <c r="B4821" s="1" t="s">
        <v>86</v>
      </c>
      <c r="C4821" s="1" t="s">
        <v>213</v>
      </c>
      <c r="D4821">
        <v>6026</v>
      </c>
      <c r="E4821" s="1"/>
      <c r="F4821" s="1" t="s">
        <v>368</v>
      </c>
      <c r="G4821" s="1" t="s">
        <v>213</v>
      </c>
      <c r="H4821" s="1" t="s">
        <v>1396</v>
      </c>
      <c r="I4821">
        <v>2012</v>
      </c>
      <c r="J4821" s="93">
        <v>3692.72</v>
      </c>
      <c r="K4821">
        <v>11</v>
      </c>
      <c r="L4821" s="1" t="s">
        <v>421</v>
      </c>
      <c r="M4821">
        <v>0</v>
      </c>
      <c r="N4821">
        <v>0</v>
      </c>
      <c r="O4821">
        <v>36927.199999999997</v>
      </c>
      <c r="P4821">
        <v>2</v>
      </c>
      <c r="Q4821" s="1" t="s">
        <v>569</v>
      </c>
      <c r="R4821" s="93">
        <v>3692.72</v>
      </c>
      <c r="S4821">
        <v>1477.11</v>
      </c>
      <c r="T4821">
        <v>1</v>
      </c>
      <c r="U4821" s="1" t="s">
        <v>1133</v>
      </c>
      <c r="V4821" s="1"/>
      <c r="W4821">
        <v>3692.7263899999998</v>
      </c>
      <c r="X4821">
        <v>0</v>
      </c>
      <c r="Y4821">
        <v>60555</v>
      </c>
    </row>
    <row r="4822" spans="1:25" ht="15" hidden="1" customHeight="1" x14ac:dyDescent="0.25">
      <c r="A4822" s="1" t="s">
        <v>40</v>
      </c>
      <c r="B4822" s="1" t="s">
        <v>86</v>
      </c>
      <c r="C4822" s="1" t="s">
        <v>213</v>
      </c>
      <c r="D4822">
        <v>6026</v>
      </c>
      <c r="E4822" s="1"/>
      <c r="F4822" s="1" t="s">
        <v>368</v>
      </c>
      <c r="G4822" s="1" t="s">
        <v>213</v>
      </c>
      <c r="H4822" s="1" t="s">
        <v>1396</v>
      </c>
      <c r="I4822">
        <v>2012</v>
      </c>
      <c r="J4822" s="93">
        <v>2386.89</v>
      </c>
      <c r="K4822">
        <v>1</v>
      </c>
      <c r="L4822" s="1" t="s">
        <v>421</v>
      </c>
      <c r="M4822">
        <v>0</v>
      </c>
      <c r="N4822">
        <v>0</v>
      </c>
      <c r="O4822">
        <v>23868.9</v>
      </c>
      <c r="P4822">
        <v>2</v>
      </c>
      <c r="Q4822" s="1" t="s">
        <v>569</v>
      </c>
      <c r="R4822" s="93">
        <v>2386.89</v>
      </c>
      <c r="S4822">
        <v>954.76</v>
      </c>
      <c r="T4822">
        <v>1</v>
      </c>
      <c r="U4822" s="1" t="s">
        <v>1135</v>
      </c>
      <c r="V4822" s="1"/>
      <c r="W4822">
        <v>2386.8985499999999</v>
      </c>
      <c r="X4822">
        <v>0</v>
      </c>
      <c r="Y4822">
        <v>93455</v>
      </c>
    </row>
    <row r="4823" spans="1:25" ht="15" hidden="1" customHeight="1" x14ac:dyDescent="0.25">
      <c r="A4823" s="1" t="s">
        <v>40</v>
      </c>
      <c r="B4823" s="1" t="s">
        <v>86</v>
      </c>
      <c r="C4823" s="1" t="s">
        <v>213</v>
      </c>
      <c r="D4823">
        <v>6026</v>
      </c>
      <c r="E4823" s="1"/>
      <c r="F4823" s="1" t="s">
        <v>368</v>
      </c>
      <c r="G4823" s="1" t="s">
        <v>213</v>
      </c>
      <c r="H4823" s="1" t="s">
        <v>1396</v>
      </c>
      <c r="I4823">
        <v>2012</v>
      </c>
      <c r="J4823" s="93">
        <v>3253.16</v>
      </c>
      <c r="K4823">
        <v>1</v>
      </c>
      <c r="L4823" s="1" t="s">
        <v>421</v>
      </c>
      <c r="M4823">
        <v>0</v>
      </c>
      <c r="N4823">
        <v>0</v>
      </c>
      <c r="O4823">
        <v>32531.599999999999</v>
      </c>
      <c r="P4823">
        <v>2</v>
      </c>
      <c r="Q4823" s="1" t="s">
        <v>569</v>
      </c>
      <c r="R4823" s="93">
        <v>3253.16</v>
      </c>
      <c r="S4823">
        <v>1301.26</v>
      </c>
      <c r="T4823">
        <v>1</v>
      </c>
      <c r="U4823" s="1" t="s">
        <v>1136</v>
      </c>
      <c r="V4823" s="1"/>
      <c r="W4823">
        <v>3253.15942</v>
      </c>
      <c r="X4823">
        <v>0</v>
      </c>
      <c r="Y4823">
        <v>93457</v>
      </c>
    </row>
    <row r="4824" spans="1:25" ht="15" hidden="1" customHeight="1" x14ac:dyDescent="0.25">
      <c r="A4824" s="1" t="s">
        <v>40</v>
      </c>
      <c r="B4824" s="1" t="s">
        <v>86</v>
      </c>
      <c r="C4824" s="1" t="s">
        <v>213</v>
      </c>
      <c r="D4824">
        <v>6026</v>
      </c>
      <c r="E4824" s="1"/>
      <c r="F4824" s="1" t="s">
        <v>368</v>
      </c>
      <c r="G4824" s="1" t="s">
        <v>213</v>
      </c>
      <c r="H4824" s="1" t="s">
        <v>1396</v>
      </c>
      <c r="I4824">
        <v>2012</v>
      </c>
      <c r="J4824" s="93">
        <v>2589.62</v>
      </c>
      <c r="K4824">
        <v>2</v>
      </c>
      <c r="L4824" s="1" t="s">
        <v>554</v>
      </c>
      <c r="M4824">
        <v>0</v>
      </c>
      <c r="N4824">
        <v>0</v>
      </c>
      <c r="O4824">
        <v>25896.2</v>
      </c>
      <c r="P4824">
        <v>2</v>
      </c>
      <c r="Q4824" s="1" t="s">
        <v>569</v>
      </c>
      <c r="R4824" s="93">
        <v>2589.62</v>
      </c>
      <c r="S4824">
        <v>1035.8499999999999</v>
      </c>
      <c r="T4824">
        <v>1</v>
      </c>
      <c r="U4824" s="1" t="s">
        <v>1140</v>
      </c>
      <c r="V4824" s="1"/>
      <c r="W4824">
        <v>2589.6190499999998</v>
      </c>
      <c r="X4824">
        <v>0</v>
      </c>
      <c r="Y4824">
        <v>93435</v>
      </c>
    </row>
    <row r="4825" spans="1:25" ht="15" hidden="1" customHeight="1" x14ac:dyDescent="0.25">
      <c r="A4825" s="1" t="s">
        <v>40</v>
      </c>
      <c r="B4825" s="1" t="s">
        <v>86</v>
      </c>
      <c r="C4825" s="1" t="s">
        <v>213</v>
      </c>
      <c r="D4825">
        <v>6026</v>
      </c>
      <c r="E4825" s="1"/>
      <c r="F4825" s="1" t="s">
        <v>368</v>
      </c>
      <c r="G4825" s="1" t="s">
        <v>213</v>
      </c>
      <c r="H4825" s="1" t="s">
        <v>1396</v>
      </c>
      <c r="I4825">
        <v>2012</v>
      </c>
      <c r="J4825" s="93">
        <v>2235.14</v>
      </c>
      <c r="K4825">
        <v>1</v>
      </c>
      <c r="L4825" s="1" t="s">
        <v>421</v>
      </c>
      <c r="M4825">
        <v>0</v>
      </c>
      <c r="N4825">
        <v>0</v>
      </c>
      <c r="O4825">
        <v>22351.4</v>
      </c>
      <c r="P4825">
        <v>2</v>
      </c>
      <c r="Q4825" s="1" t="s">
        <v>569</v>
      </c>
      <c r="R4825" s="93">
        <v>2235.14</v>
      </c>
      <c r="S4825">
        <v>894.04</v>
      </c>
      <c r="T4825">
        <v>1</v>
      </c>
      <c r="U4825" s="1" t="s">
        <v>1134</v>
      </c>
      <c r="V4825" s="1"/>
      <c r="W4825">
        <v>2235.1304399999999</v>
      </c>
      <c r="X4825">
        <v>0</v>
      </c>
      <c r="Y4825">
        <v>93454</v>
      </c>
    </row>
    <row r="4826" spans="1:25" ht="15" hidden="1" customHeight="1" x14ac:dyDescent="0.25">
      <c r="A4826" s="1" t="s">
        <v>40</v>
      </c>
      <c r="B4826" s="1" t="s">
        <v>86</v>
      </c>
      <c r="C4826" s="1" t="s">
        <v>213</v>
      </c>
      <c r="D4826">
        <v>6026</v>
      </c>
      <c r="E4826" s="1"/>
      <c r="F4826" s="1" t="s">
        <v>368</v>
      </c>
      <c r="G4826" s="1" t="s">
        <v>213</v>
      </c>
      <c r="H4826" s="1" t="s">
        <v>1396</v>
      </c>
      <c r="I4826">
        <v>2011</v>
      </c>
      <c r="J4826" s="93">
        <v>18260.62</v>
      </c>
      <c r="K4826">
        <v>12</v>
      </c>
      <c r="L4826" s="1" t="s">
        <v>554</v>
      </c>
      <c r="M4826">
        <v>0</v>
      </c>
      <c r="N4826">
        <v>0</v>
      </c>
      <c r="O4826">
        <v>182606.2</v>
      </c>
      <c r="P4826">
        <v>2</v>
      </c>
      <c r="Q4826" s="1" t="s">
        <v>569</v>
      </c>
      <c r="R4826" s="93">
        <v>18260.62</v>
      </c>
      <c r="S4826">
        <v>8564.2199999999993</v>
      </c>
      <c r="T4826">
        <v>1</v>
      </c>
      <c r="U4826" s="1" t="s">
        <v>1139</v>
      </c>
      <c r="V4826" s="1"/>
      <c r="W4826">
        <v>18260.606070000002</v>
      </c>
      <c r="X4826">
        <v>0</v>
      </c>
      <c r="Y4826">
        <v>60553</v>
      </c>
    </row>
    <row r="4827" spans="1:25" ht="15" hidden="1" customHeight="1" x14ac:dyDescent="0.25">
      <c r="A4827" s="1" t="s">
        <v>40</v>
      </c>
      <c r="B4827" s="1" t="s">
        <v>86</v>
      </c>
      <c r="C4827" s="1" t="s">
        <v>213</v>
      </c>
      <c r="D4827">
        <v>6026</v>
      </c>
      <c r="E4827" s="1"/>
      <c r="F4827" s="1" t="s">
        <v>368</v>
      </c>
      <c r="G4827" s="1" t="s">
        <v>213</v>
      </c>
      <c r="H4827" s="1" t="s">
        <v>1396</v>
      </c>
      <c r="I4827">
        <v>2011</v>
      </c>
      <c r="J4827" s="93">
        <v>3619.88</v>
      </c>
      <c r="K4827">
        <v>12</v>
      </c>
      <c r="L4827" s="1" t="s">
        <v>421</v>
      </c>
      <c r="M4827">
        <v>0</v>
      </c>
      <c r="N4827">
        <v>0</v>
      </c>
      <c r="O4827">
        <v>36198.800000000003</v>
      </c>
      <c r="P4827">
        <v>2</v>
      </c>
      <c r="Q4827" s="1" t="s">
        <v>569</v>
      </c>
      <c r="R4827" s="93">
        <v>3619.88</v>
      </c>
      <c r="S4827">
        <v>1697.73</v>
      </c>
      <c r="T4827">
        <v>1</v>
      </c>
      <c r="U4827" s="1" t="s">
        <v>1133</v>
      </c>
      <c r="V4827" s="1"/>
      <c r="W4827">
        <v>3619.87878</v>
      </c>
      <c r="X4827">
        <v>0</v>
      </c>
      <c r="Y4827">
        <v>60555</v>
      </c>
    </row>
    <row r="4828" spans="1:25" ht="15" hidden="1" customHeight="1" x14ac:dyDescent="0.25">
      <c r="A4828" s="1" t="s">
        <v>40</v>
      </c>
      <c r="B4828" s="1" t="s">
        <v>86</v>
      </c>
      <c r="C4828" s="1" t="s">
        <v>213</v>
      </c>
      <c r="D4828">
        <v>6026</v>
      </c>
      <c r="E4828" s="1"/>
      <c r="F4828" s="1" t="s">
        <v>368</v>
      </c>
      <c r="G4828" s="1" t="s">
        <v>213</v>
      </c>
      <c r="H4828" s="1" t="s">
        <v>1396</v>
      </c>
      <c r="I4828">
        <v>2010</v>
      </c>
      <c r="J4828" s="93">
        <v>20919.61</v>
      </c>
      <c r="K4828">
        <v>12</v>
      </c>
      <c r="L4828" s="1" t="s">
        <v>554</v>
      </c>
      <c r="M4828">
        <v>0</v>
      </c>
      <c r="N4828">
        <v>0</v>
      </c>
      <c r="O4828">
        <v>209196.1</v>
      </c>
      <c r="P4828">
        <v>2</v>
      </c>
      <c r="Q4828" s="1" t="s">
        <v>569</v>
      </c>
      <c r="R4828" s="93">
        <v>20919.61</v>
      </c>
      <c r="S4828">
        <v>9811.2999999999993</v>
      </c>
      <c r="T4828">
        <v>1</v>
      </c>
      <c r="U4828" s="1" t="s">
        <v>1139</v>
      </c>
      <c r="V4828" s="1"/>
      <c r="W4828">
        <v>20919.60786</v>
      </c>
      <c r="X4828">
        <v>0</v>
      </c>
      <c r="Y4828">
        <v>60553</v>
      </c>
    </row>
    <row r="4829" spans="1:25" ht="15" hidden="1" customHeight="1" x14ac:dyDescent="0.25">
      <c r="A4829" s="1" t="s">
        <v>40</v>
      </c>
      <c r="B4829" s="1" t="s">
        <v>86</v>
      </c>
      <c r="C4829" s="1" t="s">
        <v>213</v>
      </c>
      <c r="D4829">
        <v>6026</v>
      </c>
      <c r="E4829" s="1"/>
      <c r="F4829" s="1" t="s">
        <v>368</v>
      </c>
      <c r="G4829" s="1" t="s">
        <v>213</v>
      </c>
      <c r="H4829" s="1" t="s">
        <v>1396</v>
      </c>
      <c r="I4829">
        <v>2010</v>
      </c>
      <c r="J4829" s="93">
        <v>767.16</v>
      </c>
      <c r="K4829">
        <v>12</v>
      </c>
      <c r="L4829" s="1" t="s">
        <v>421</v>
      </c>
      <c r="M4829">
        <v>0</v>
      </c>
      <c r="N4829">
        <v>0</v>
      </c>
      <c r="O4829">
        <v>7671.6</v>
      </c>
      <c r="P4829">
        <v>2</v>
      </c>
      <c r="Q4829" s="1" t="s">
        <v>569</v>
      </c>
      <c r="R4829" s="93">
        <v>767.16</v>
      </c>
      <c r="S4829">
        <v>359.8</v>
      </c>
      <c r="T4829">
        <v>1</v>
      </c>
      <c r="U4829" s="1" t="s">
        <v>1133</v>
      </c>
      <c r="V4829" s="1"/>
      <c r="W4829">
        <v>767.15953000000002</v>
      </c>
      <c r="X4829">
        <v>0</v>
      </c>
      <c r="Y4829">
        <v>60555</v>
      </c>
    </row>
    <row r="4830" spans="1:25" ht="15" hidden="1" customHeight="1" x14ac:dyDescent="0.25">
      <c r="A4830" s="1" t="s">
        <v>40</v>
      </c>
      <c r="B4830" s="1" t="s">
        <v>86</v>
      </c>
      <c r="C4830" s="1" t="s">
        <v>213</v>
      </c>
      <c r="D4830">
        <v>6026</v>
      </c>
      <c r="E4830" s="1"/>
      <c r="F4830" s="1" t="s">
        <v>368</v>
      </c>
      <c r="G4830" s="1" t="s">
        <v>213</v>
      </c>
      <c r="H4830" s="1" t="s">
        <v>1396</v>
      </c>
      <c r="I4830">
        <v>2009</v>
      </c>
      <c r="J4830" s="93">
        <v>28833.94</v>
      </c>
      <c r="K4830">
        <v>12</v>
      </c>
      <c r="L4830" s="1" t="s">
        <v>554</v>
      </c>
      <c r="M4830">
        <v>0</v>
      </c>
      <c r="N4830">
        <v>0</v>
      </c>
      <c r="O4830">
        <v>288339.40000000002</v>
      </c>
      <c r="P4830">
        <v>2</v>
      </c>
      <c r="Q4830" s="1" t="s">
        <v>569</v>
      </c>
      <c r="R4830" s="93">
        <v>28833.94</v>
      </c>
      <c r="S4830">
        <v>13523.12</v>
      </c>
      <c r="T4830">
        <v>1</v>
      </c>
      <c r="U4830" s="1" t="s">
        <v>1139</v>
      </c>
      <c r="V4830" s="1"/>
      <c r="W4830">
        <v>28833.933809999999</v>
      </c>
      <c r="X4830">
        <v>0</v>
      </c>
      <c r="Y4830">
        <v>60553</v>
      </c>
    </row>
    <row r="4831" spans="1:25" ht="15" hidden="1" customHeight="1" x14ac:dyDescent="0.25">
      <c r="A4831" s="1" t="s">
        <v>40</v>
      </c>
      <c r="B4831" s="1" t="s">
        <v>86</v>
      </c>
      <c r="C4831" s="1" t="s">
        <v>213</v>
      </c>
      <c r="D4831">
        <v>6026</v>
      </c>
      <c r="E4831" s="1"/>
      <c r="F4831" s="1" t="s">
        <v>368</v>
      </c>
      <c r="G4831" s="1" t="s">
        <v>213</v>
      </c>
      <c r="H4831" s="1" t="s">
        <v>1396</v>
      </c>
      <c r="I4831">
        <v>2009</v>
      </c>
      <c r="J4831" s="93">
        <v>274.17</v>
      </c>
      <c r="K4831">
        <v>12</v>
      </c>
      <c r="L4831" s="1" t="s">
        <v>421</v>
      </c>
      <c r="M4831">
        <v>0</v>
      </c>
      <c r="N4831">
        <v>0</v>
      </c>
      <c r="O4831">
        <v>2741.7</v>
      </c>
      <c r="P4831">
        <v>2</v>
      </c>
      <c r="Q4831" s="1" t="s">
        <v>569</v>
      </c>
      <c r="R4831" s="93">
        <v>274.17</v>
      </c>
      <c r="S4831">
        <v>128.58000000000001</v>
      </c>
      <c r="T4831">
        <v>1</v>
      </c>
      <c r="U4831" s="1" t="s">
        <v>1133</v>
      </c>
      <c r="V4831" s="1"/>
      <c r="W4831">
        <v>274.17095999999998</v>
      </c>
      <c r="X4831">
        <v>0</v>
      </c>
      <c r="Y4831">
        <v>60555</v>
      </c>
    </row>
    <row r="4832" spans="1:25" ht="15" hidden="1" customHeight="1" x14ac:dyDescent="0.25">
      <c r="A4832" s="1" t="s">
        <v>40</v>
      </c>
      <c r="B4832" s="1" t="s">
        <v>86</v>
      </c>
      <c r="C4832" s="1" t="s">
        <v>213</v>
      </c>
      <c r="D4832">
        <v>6026</v>
      </c>
      <c r="E4832" s="1"/>
      <c r="F4832" s="1" t="s">
        <v>368</v>
      </c>
      <c r="G4832" s="1" t="s">
        <v>213</v>
      </c>
      <c r="H4832" s="1" t="s">
        <v>1396</v>
      </c>
      <c r="I4832">
        <v>2008</v>
      </c>
      <c r="J4832" s="93">
        <v>21464.35</v>
      </c>
      <c r="K4832">
        <v>12</v>
      </c>
      <c r="L4832" s="1" t="s">
        <v>554</v>
      </c>
      <c r="M4832">
        <v>0</v>
      </c>
      <c r="N4832">
        <v>0</v>
      </c>
      <c r="O4832">
        <v>214643.5</v>
      </c>
      <c r="P4832">
        <v>2</v>
      </c>
      <c r="Q4832" s="1" t="s">
        <v>569</v>
      </c>
      <c r="R4832" s="93">
        <v>21464.35</v>
      </c>
      <c r="S4832">
        <v>10066.77</v>
      </c>
      <c r="T4832">
        <v>1</v>
      </c>
      <c r="U4832" s="1" t="s">
        <v>1139</v>
      </c>
      <c r="V4832" s="1"/>
      <c r="W4832">
        <v>21464.33712</v>
      </c>
      <c r="X4832">
        <v>0</v>
      </c>
      <c r="Y4832">
        <v>60553</v>
      </c>
    </row>
    <row r="4833" spans="1:25" ht="15" hidden="1" customHeight="1" x14ac:dyDescent="0.25">
      <c r="A4833" s="1" t="s">
        <v>40</v>
      </c>
      <c r="B4833" s="1" t="s">
        <v>86</v>
      </c>
      <c r="C4833" s="1" t="s">
        <v>213</v>
      </c>
      <c r="D4833">
        <v>6026</v>
      </c>
      <c r="E4833" s="1"/>
      <c r="F4833" s="1" t="s">
        <v>368</v>
      </c>
      <c r="G4833" s="1" t="s">
        <v>213</v>
      </c>
      <c r="H4833" s="1" t="s">
        <v>1396</v>
      </c>
      <c r="I4833">
        <v>2008</v>
      </c>
      <c r="J4833" s="93">
        <v>136.55000000000001</v>
      </c>
      <c r="K4833">
        <v>12</v>
      </c>
      <c r="L4833" s="1" t="s">
        <v>421</v>
      </c>
      <c r="M4833">
        <v>0</v>
      </c>
      <c r="N4833">
        <v>0</v>
      </c>
      <c r="O4833">
        <v>1365.5</v>
      </c>
      <c r="P4833">
        <v>2</v>
      </c>
      <c r="Q4833" s="1" t="s">
        <v>569</v>
      </c>
      <c r="R4833" s="93">
        <v>136.55000000000001</v>
      </c>
      <c r="S4833">
        <v>64.040000000000006</v>
      </c>
      <c r="T4833">
        <v>1</v>
      </c>
      <c r="U4833" s="1" t="s">
        <v>1133</v>
      </c>
      <c r="V4833" s="1"/>
      <c r="W4833">
        <v>136.54829000000001</v>
      </c>
      <c r="X4833">
        <v>0</v>
      </c>
      <c r="Y4833">
        <v>60555</v>
      </c>
    </row>
    <row r="4834" spans="1:25" ht="15" hidden="1" customHeight="1" x14ac:dyDescent="0.25">
      <c r="A4834" s="1" t="s">
        <v>40</v>
      </c>
      <c r="B4834" s="1" t="s">
        <v>86</v>
      </c>
      <c r="C4834" s="1" t="s">
        <v>213</v>
      </c>
      <c r="D4834">
        <v>6027</v>
      </c>
      <c r="E4834" s="1"/>
      <c r="F4834" s="1" t="s">
        <v>351</v>
      </c>
      <c r="G4834" s="1" t="s">
        <v>213</v>
      </c>
      <c r="H4834" s="1" t="s">
        <v>1396</v>
      </c>
      <c r="I4834">
        <v>2015</v>
      </c>
      <c r="J4834" s="93">
        <v>28144.09</v>
      </c>
      <c r="K4834">
        <v>5</v>
      </c>
      <c r="L4834" s="1" t="s">
        <v>421</v>
      </c>
      <c r="M4834">
        <v>0</v>
      </c>
      <c r="N4834">
        <v>0</v>
      </c>
      <c r="O4834">
        <v>281440.90000000002</v>
      </c>
      <c r="P4834">
        <v>2</v>
      </c>
      <c r="Q4834" s="1" t="s">
        <v>569</v>
      </c>
      <c r="R4834" s="93">
        <v>28144.09</v>
      </c>
      <c r="S4834">
        <v>11257.63</v>
      </c>
      <c r="T4834">
        <v>1</v>
      </c>
      <c r="U4834" s="1" t="s">
        <v>1141</v>
      </c>
      <c r="V4834" s="1"/>
      <c r="W4834">
        <v>28144.085709999999</v>
      </c>
      <c r="X4834">
        <v>0</v>
      </c>
      <c r="Y4834">
        <v>60559</v>
      </c>
    </row>
    <row r="4835" spans="1:25" ht="15" hidden="1" customHeight="1" x14ac:dyDescent="0.25">
      <c r="A4835" s="1" t="s">
        <v>40</v>
      </c>
      <c r="B4835" s="1" t="s">
        <v>86</v>
      </c>
      <c r="C4835" s="1" t="s">
        <v>213</v>
      </c>
      <c r="D4835">
        <v>6027</v>
      </c>
      <c r="E4835" s="1"/>
      <c r="F4835" s="1" t="s">
        <v>351</v>
      </c>
      <c r="G4835" s="1" t="s">
        <v>213</v>
      </c>
      <c r="H4835" s="1" t="s">
        <v>1405</v>
      </c>
      <c r="I4835">
        <v>2015</v>
      </c>
      <c r="J4835" s="93">
        <v>13235.01</v>
      </c>
      <c r="K4835">
        <v>5</v>
      </c>
      <c r="L4835" s="1" t="s">
        <v>421</v>
      </c>
      <c r="M4835">
        <v>0</v>
      </c>
      <c r="N4835">
        <v>0</v>
      </c>
      <c r="O4835">
        <v>132350.1</v>
      </c>
      <c r="P4835">
        <v>2</v>
      </c>
      <c r="Q4835" s="1" t="s">
        <v>569</v>
      </c>
      <c r="R4835" s="93">
        <v>37007</v>
      </c>
      <c r="S4835">
        <v>5293.99</v>
      </c>
      <c r="T4835">
        <v>1</v>
      </c>
      <c r="U4835" s="1" t="s">
        <v>1142</v>
      </c>
      <c r="V4835" s="1"/>
      <c r="W4835">
        <v>13234.99999</v>
      </c>
      <c r="X4835">
        <v>0</v>
      </c>
      <c r="Y4835">
        <v>60561</v>
      </c>
    </row>
    <row r="4836" spans="1:25" ht="15" hidden="1" customHeight="1" x14ac:dyDescent="0.25">
      <c r="A4836" s="1" t="s">
        <v>40</v>
      </c>
      <c r="B4836" s="1" t="s">
        <v>86</v>
      </c>
      <c r="C4836" s="1" t="s">
        <v>213</v>
      </c>
      <c r="D4836">
        <v>6027</v>
      </c>
      <c r="E4836" s="1"/>
      <c r="F4836" s="1" t="s">
        <v>351</v>
      </c>
      <c r="G4836" s="1" t="s">
        <v>213</v>
      </c>
      <c r="H4836" s="1" t="s">
        <v>1396</v>
      </c>
      <c r="I4836">
        <v>2015</v>
      </c>
      <c r="J4836" s="93">
        <v>5693.09</v>
      </c>
      <c r="K4836">
        <v>5</v>
      </c>
      <c r="L4836" s="1" t="s">
        <v>421</v>
      </c>
      <c r="M4836">
        <v>0</v>
      </c>
      <c r="N4836">
        <v>0</v>
      </c>
      <c r="O4836">
        <v>56930.9</v>
      </c>
      <c r="P4836">
        <v>2</v>
      </c>
      <c r="Q4836" s="1" t="s">
        <v>569</v>
      </c>
      <c r="R4836" s="93">
        <v>5693.09</v>
      </c>
      <c r="S4836">
        <v>2277.23</v>
      </c>
      <c r="T4836">
        <v>1</v>
      </c>
      <c r="U4836" s="1" t="s">
        <v>1143</v>
      </c>
      <c r="V4836" s="1"/>
      <c r="W4836">
        <v>5693.0857100000003</v>
      </c>
      <c r="X4836">
        <v>0</v>
      </c>
      <c r="Y4836">
        <v>60562</v>
      </c>
    </row>
    <row r="4837" spans="1:25" ht="15" hidden="1" customHeight="1" x14ac:dyDescent="0.25">
      <c r="A4837" s="1" t="s">
        <v>40</v>
      </c>
      <c r="B4837" s="1" t="s">
        <v>86</v>
      </c>
      <c r="C4837" s="1" t="s">
        <v>213</v>
      </c>
      <c r="D4837">
        <v>6027</v>
      </c>
      <c r="E4837" s="1"/>
      <c r="F4837" s="1" t="s">
        <v>351</v>
      </c>
      <c r="G4837" s="1" t="s">
        <v>213</v>
      </c>
      <c r="H4837" s="1" t="s">
        <v>1396</v>
      </c>
      <c r="I4837">
        <v>2015</v>
      </c>
      <c r="J4837" s="93">
        <v>496.08</v>
      </c>
      <c r="K4837">
        <v>5</v>
      </c>
      <c r="L4837" s="1" t="s">
        <v>421</v>
      </c>
      <c r="M4837">
        <v>0</v>
      </c>
      <c r="N4837">
        <v>0</v>
      </c>
      <c r="O4837">
        <v>4960.8</v>
      </c>
      <c r="P4837">
        <v>2</v>
      </c>
      <c r="Q4837" s="1" t="s">
        <v>569</v>
      </c>
      <c r="R4837" s="93">
        <v>496.08</v>
      </c>
      <c r="S4837">
        <v>148.82</v>
      </c>
      <c r="T4837">
        <v>1</v>
      </c>
      <c r="U4837" s="1" t="s">
        <v>1144</v>
      </c>
      <c r="V4837" s="1"/>
      <c r="W4837">
        <v>496.08571999999998</v>
      </c>
      <c r="X4837">
        <v>0</v>
      </c>
      <c r="Y4837">
        <v>71007</v>
      </c>
    </row>
    <row r="4838" spans="1:25" ht="15" hidden="1" customHeight="1" x14ac:dyDescent="0.25">
      <c r="A4838" s="1" t="s">
        <v>40</v>
      </c>
      <c r="B4838" s="1" t="s">
        <v>86</v>
      </c>
      <c r="C4838" s="1" t="s">
        <v>213</v>
      </c>
      <c r="D4838">
        <v>6027</v>
      </c>
      <c r="E4838" s="1"/>
      <c r="F4838" s="1" t="s">
        <v>351</v>
      </c>
      <c r="G4838" s="1" t="s">
        <v>213</v>
      </c>
      <c r="H4838" s="1" t="s">
        <v>1396</v>
      </c>
      <c r="I4838">
        <v>2015</v>
      </c>
      <c r="J4838" s="93">
        <v>807.8</v>
      </c>
      <c r="K4838">
        <v>5</v>
      </c>
      <c r="L4838" s="1" t="s">
        <v>421</v>
      </c>
      <c r="M4838">
        <v>0</v>
      </c>
      <c r="N4838">
        <v>0</v>
      </c>
      <c r="O4838">
        <v>8078</v>
      </c>
      <c r="P4838">
        <v>2</v>
      </c>
      <c r="Q4838" s="1" t="s">
        <v>569</v>
      </c>
      <c r="R4838" s="93">
        <v>807.8</v>
      </c>
      <c r="S4838">
        <v>242.35</v>
      </c>
      <c r="T4838">
        <v>1</v>
      </c>
      <c r="U4838" s="1" t="s">
        <v>1145</v>
      </c>
      <c r="V4838" s="1"/>
      <c r="W4838">
        <v>807.8</v>
      </c>
      <c r="X4838">
        <v>0</v>
      </c>
      <c r="Y4838">
        <v>92703</v>
      </c>
    </row>
    <row r="4839" spans="1:25" ht="15" hidden="1" customHeight="1" x14ac:dyDescent="0.25">
      <c r="A4839" s="1" t="s">
        <v>40</v>
      </c>
      <c r="B4839" s="1" t="s">
        <v>86</v>
      </c>
      <c r="C4839" s="1" t="s">
        <v>213</v>
      </c>
      <c r="D4839">
        <v>6027</v>
      </c>
      <c r="E4839" s="1"/>
      <c r="F4839" s="1" t="s">
        <v>351</v>
      </c>
      <c r="G4839" s="1" t="s">
        <v>213</v>
      </c>
      <c r="H4839" s="1" t="s">
        <v>1396</v>
      </c>
      <c r="I4839">
        <v>2015</v>
      </c>
      <c r="J4839" s="93">
        <v>30495.09</v>
      </c>
      <c r="K4839">
        <v>2</v>
      </c>
      <c r="L4839" s="1" t="s">
        <v>421</v>
      </c>
      <c r="M4839">
        <v>0</v>
      </c>
      <c r="N4839">
        <v>0</v>
      </c>
      <c r="O4839">
        <v>304950.90000000002</v>
      </c>
      <c r="P4839">
        <v>2</v>
      </c>
      <c r="Q4839" s="1" t="s">
        <v>569</v>
      </c>
      <c r="R4839" s="93">
        <v>30495.09</v>
      </c>
      <c r="S4839">
        <v>9148.52</v>
      </c>
      <c r="T4839">
        <v>1</v>
      </c>
      <c r="U4839" s="1" t="s">
        <v>1146</v>
      </c>
      <c r="V4839" s="1"/>
      <c r="W4839">
        <v>30495.093049999999</v>
      </c>
      <c r="X4839">
        <v>0</v>
      </c>
      <c r="Y4839">
        <v>92732</v>
      </c>
    </row>
    <row r="4840" spans="1:25" ht="15" hidden="1" customHeight="1" x14ac:dyDescent="0.25">
      <c r="A4840" s="1" t="s">
        <v>40</v>
      </c>
      <c r="B4840" s="1" t="s">
        <v>86</v>
      </c>
      <c r="C4840" s="1" t="s">
        <v>213</v>
      </c>
      <c r="D4840">
        <v>6027</v>
      </c>
      <c r="E4840" s="1"/>
      <c r="F4840" s="1" t="s">
        <v>351</v>
      </c>
      <c r="G4840" s="1" t="s">
        <v>213</v>
      </c>
      <c r="H4840" s="1" t="s">
        <v>1396</v>
      </c>
      <c r="I4840">
        <v>2015</v>
      </c>
      <c r="J4840" s="93">
        <v>3536.57</v>
      </c>
      <c r="K4840">
        <v>5</v>
      </c>
      <c r="L4840" s="1" t="s">
        <v>421</v>
      </c>
      <c r="M4840">
        <v>0</v>
      </c>
      <c r="N4840">
        <v>0</v>
      </c>
      <c r="O4840">
        <v>35365.699999999997</v>
      </c>
      <c r="P4840">
        <v>2</v>
      </c>
      <c r="Q4840" s="1" t="s">
        <v>569</v>
      </c>
      <c r="R4840" s="93">
        <v>3536.57</v>
      </c>
      <c r="S4840">
        <v>1414.63</v>
      </c>
      <c r="T4840">
        <v>1</v>
      </c>
      <c r="U4840" s="1" t="s">
        <v>1147</v>
      </c>
      <c r="V4840" s="1"/>
      <c r="W4840">
        <v>3536.57143</v>
      </c>
      <c r="X4840">
        <v>0</v>
      </c>
      <c r="Y4840">
        <v>60557</v>
      </c>
    </row>
    <row r="4841" spans="1:25" ht="15" hidden="1" customHeight="1" x14ac:dyDescent="0.25">
      <c r="A4841" s="1" t="s">
        <v>40</v>
      </c>
      <c r="B4841" s="1" t="s">
        <v>86</v>
      </c>
      <c r="C4841" s="1" t="s">
        <v>213</v>
      </c>
      <c r="D4841">
        <v>6027</v>
      </c>
      <c r="E4841" s="1"/>
      <c r="F4841" s="1" t="s">
        <v>351</v>
      </c>
      <c r="G4841" s="1" t="s">
        <v>213</v>
      </c>
      <c r="H4841" s="1" t="s">
        <v>1396</v>
      </c>
      <c r="I4841">
        <v>2015</v>
      </c>
      <c r="J4841" s="93">
        <v>4729.91</v>
      </c>
      <c r="K4841">
        <v>5</v>
      </c>
      <c r="L4841" s="1" t="s">
        <v>421</v>
      </c>
      <c r="M4841">
        <v>0</v>
      </c>
      <c r="N4841">
        <v>0</v>
      </c>
      <c r="O4841">
        <v>47299.1</v>
      </c>
      <c r="P4841">
        <v>2</v>
      </c>
      <c r="Q4841" s="1" t="s">
        <v>569</v>
      </c>
      <c r="R4841" s="93">
        <v>4729.91</v>
      </c>
      <c r="S4841">
        <v>1891.97</v>
      </c>
      <c r="T4841">
        <v>1</v>
      </c>
      <c r="U4841" s="1" t="s">
        <v>1148</v>
      </c>
      <c r="V4841" s="1"/>
      <c r="W4841">
        <v>4729.9142899999997</v>
      </c>
      <c r="X4841">
        <v>0</v>
      </c>
      <c r="Y4841">
        <v>60558</v>
      </c>
    </row>
    <row r="4842" spans="1:25" ht="15" hidden="1" customHeight="1" x14ac:dyDescent="0.25">
      <c r="A4842" s="1" t="s">
        <v>40</v>
      </c>
      <c r="B4842" s="1" t="s">
        <v>86</v>
      </c>
      <c r="C4842" s="1" t="s">
        <v>213</v>
      </c>
      <c r="D4842">
        <v>6027</v>
      </c>
      <c r="E4842" s="1"/>
      <c r="F4842" s="1" t="s">
        <v>351</v>
      </c>
      <c r="G4842" s="1" t="s">
        <v>213</v>
      </c>
      <c r="H4842" s="1" t="s">
        <v>1396</v>
      </c>
      <c r="I4842">
        <v>2015</v>
      </c>
      <c r="J4842" s="93">
        <v>627.14</v>
      </c>
      <c r="K4842">
        <v>5</v>
      </c>
      <c r="L4842" s="1" t="s">
        <v>421</v>
      </c>
      <c r="M4842">
        <v>0</v>
      </c>
      <c r="N4842">
        <v>0</v>
      </c>
      <c r="O4842">
        <v>6271.4</v>
      </c>
      <c r="P4842">
        <v>2</v>
      </c>
      <c r="Q4842" s="1" t="s">
        <v>569</v>
      </c>
      <c r="R4842" s="93">
        <v>627.14</v>
      </c>
      <c r="S4842">
        <v>250.86</v>
      </c>
      <c r="T4842">
        <v>1</v>
      </c>
      <c r="U4842" s="1" t="s">
        <v>1149</v>
      </c>
      <c r="V4842" s="1"/>
      <c r="W4842">
        <v>627.14286000000004</v>
      </c>
      <c r="X4842">
        <v>0</v>
      </c>
      <c r="Y4842">
        <v>60560</v>
      </c>
    </row>
    <row r="4843" spans="1:25" ht="15" hidden="1" customHeight="1" x14ac:dyDescent="0.25">
      <c r="A4843" s="1" t="s">
        <v>40</v>
      </c>
      <c r="B4843" s="1" t="s">
        <v>86</v>
      </c>
      <c r="C4843" s="1" t="s">
        <v>213</v>
      </c>
      <c r="D4843">
        <v>6027</v>
      </c>
      <c r="E4843" s="1"/>
      <c r="F4843" s="1" t="s">
        <v>351</v>
      </c>
      <c r="G4843" s="1" t="s">
        <v>213</v>
      </c>
      <c r="H4843" s="1" t="s">
        <v>1396</v>
      </c>
      <c r="I4843">
        <v>2015</v>
      </c>
      <c r="J4843" s="93">
        <v>147.37</v>
      </c>
      <c r="K4843">
        <v>5</v>
      </c>
      <c r="L4843" s="1" t="s">
        <v>421</v>
      </c>
      <c r="M4843">
        <v>0</v>
      </c>
      <c r="N4843">
        <v>0</v>
      </c>
      <c r="O4843">
        <v>1473.7</v>
      </c>
      <c r="P4843">
        <v>2</v>
      </c>
      <c r="Q4843" s="1" t="s">
        <v>569</v>
      </c>
      <c r="R4843" s="93">
        <v>147.37</v>
      </c>
      <c r="S4843">
        <v>58.95</v>
      </c>
      <c r="T4843">
        <v>1</v>
      </c>
      <c r="U4843" s="1" t="s">
        <v>1150</v>
      </c>
      <c r="V4843" s="1"/>
      <c r="W4843">
        <v>147.37143</v>
      </c>
      <c r="X4843">
        <v>0</v>
      </c>
      <c r="Y4843">
        <v>60563</v>
      </c>
    </row>
    <row r="4844" spans="1:25" ht="15" hidden="1" customHeight="1" x14ac:dyDescent="0.25">
      <c r="A4844" s="1" t="s">
        <v>40</v>
      </c>
      <c r="B4844" s="1" t="s">
        <v>86</v>
      </c>
      <c r="C4844" s="1" t="s">
        <v>213</v>
      </c>
      <c r="D4844">
        <v>6027</v>
      </c>
      <c r="E4844" s="1"/>
      <c r="F4844" s="1" t="s">
        <v>351</v>
      </c>
      <c r="G4844" s="1" t="s">
        <v>213</v>
      </c>
      <c r="H4844" s="1" t="s">
        <v>1396</v>
      </c>
      <c r="I4844">
        <v>2015</v>
      </c>
      <c r="J4844" s="93">
        <v>86528.66</v>
      </c>
      <c r="K4844">
        <v>2</v>
      </c>
      <c r="L4844" s="1" t="s">
        <v>421</v>
      </c>
      <c r="M4844">
        <v>0</v>
      </c>
      <c r="N4844">
        <v>0</v>
      </c>
      <c r="O4844">
        <v>865286.6</v>
      </c>
      <c r="P4844">
        <v>2</v>
      </c>
      <c r="Q4844" s="1" t="s">
        <v>569</v>
      </c>
      <c r="R4844" s="93">
        <v>86528.66</v>
      </c>
      <c r="S4844">
        <v>25958.59</v>
      </c>
      <c r="T4844">
        <v>1</v>
      </c>
      <c r="U4844" s="1" t="s">
        <v>1151</v>
      </c>
      <c r="V4844" s="1"/>
      <c r="W4844">
        <v>86528.65006</v>
      </c>
      <c r="X4844">
        <v>0</v>
      </c>
      <c r="Y4844">
        <v>92734</v>
      </c>
    </row>
    <row r="4845" spans="1:25" ht="15" hidden="1" customHeight="1" x14ac:dyDescent="0.25">
      <c r="A4845" s="1" t="s">
        <v>40</v>
      </c>
      <c r="B4845" s="1" t="s">
        <v>86</v>
      </c>
      <c r="C4845" s="1" t="s">
        <v>213</v>
      </c>
      <c r="D4845">
        <v>6027</v>
      </c>
      <c r="E4845" s="1"/>
      <c r="F4845" s="1" t="s">
        <v>351</v>
      </c>
      <c r="G4845" s="1" t="s">
        <v>213</v>
      </c>
      <c r="H4845" s="1" t="s">
        <v>1396</v>
      </c>
      <c r="I4845">
        <v>2013</v>
      </c>
      <c r="J4845" s="93">
        <v>15116.56</v>
      </c>
      <c r="K4845">
        <v>12</v>
      </c>
      <c r="L4845" s="1" t="s">
        <v>421</v>
      </c>
      <c r="M4845">
        <v>0</v>
      </c>
      <c r="N4845">
        <v>0</v>
      </c>
      <c r="O4845">
        <v>151165.6</v>
      </c>
      <c r="P4845">
        <v>2</v>
      </c>
      <c r="Q4845" s="1" t="s">
        <v>569</v>
      </c>
      <c r="R4845" s="93">
        <v>15116.56</v>
      </c>
      <c r="S4845">
        <v>6046.63</v>
      </c>
      <c r="T4845">
        <v>1</v>
      </c>
      <c r="U4845" s="1" t="s">
        <v>1148</v>
      </c>
      <c r="V4845" s="1"/>
      <c r="W4845">
        <v>15116.5522</v>
      </c>
      <c r="X4845">
        <v>0</v>
      </c>
      <c r="Y4845">
        <v>60558</v>
      </c>
    </row>
    <row r="4846" spans="1:25" ht="15" hidden="1" customHeight="1" x14ac:dyDescent="0.25">
      <c r="A4846" s="1" t="s">
        <v>40</v>
      </c>
      <c r="B4846" s="1" t="s">
        <v>86</v>
      </c>
      <c r="C4846" s="1" t="s">
        <v>213</v>
      </c>
      <c r="D4846">
        <v>6027</v>
      </c>
      <c r="E4846" s="1"/>
      <c r="F4846" s="1" t="s">
        <v>351</v>
      </c>
      <c r="G4846" s="1" t="s">
        <v>213</v>
      </c>
      <c r="H4846" s="1" t="s">
        <v>1405</v>
      </c>
      <c r="I4846">
        <v>2013</v>
      </c>
      <c r="J4846" s="93">
        <v>46047.73</v>
      </c>
      <c r="K4846">
        <v>12</v>
      </c>
      <c r="L4846" s="1" t="s">
        <v>421</v>
      </c>
      <c r="M4846">
        <v>0</v>
      </c>
      <c r="N4846">
        <v>0</v>
      </c>
      <c r="O4846">
        <v>460477.3</v>
      </c>
      <c r="P4846">
        <v>2</v>
      </c>
      <c r="Q4846" s="1" t="s">
        <v>569</v>
      </c>
      <c r="R4846" s="93">
        <v>46047.73</v>
      </c>
      <c r="S4846">
        <v>18419.099999999999</v>
      </c>
      <c r="T4846">
        <v>1</v>
      </c>
      <c r="U4846" s="1" t="s">
        <v>1142</v>
      </c>
      <c r="V4846" s="1"/>
      <c r="W4846">
        <v>46047.737200000003</v>
      </c>
      <c r="X4846">
        <v>0</v>
      </c>
      <c r="Y4846">
        <v>60561</v>
      </c>
    </row>
    <row r="4847" spans="1:25" ht="15" hidden="1" customHeight="1" x14ac:dyDescent="0.25">
      <c r="A4847" s="1" t="s">
        <v>40</v>
      </c>
      <c r="B4847" s="1" t="s">
        <v>86</v>
      </c>
      <c r="C4847" s="1" t="s">
        <v>213</v>
      </c>
      <c r="D4847">
        <v>6027</v>
      </c>
      <c r="E4847" s="1"/>
      <c r="F4847" s="1" t="s">
        <v>351</v>
      </c>
      <c r="G4847" s="1" t="s">
        <v>213</v>
      </c>
      <c r="H4847" s="1" t="s">
        <v>1396</v>
      </c>
      <c r="I4847">
        <v>2013</v>
      </c>
      <c r="J4847" s="93">
        <v>523.54999999999995</v>
      </c>
      <c r="K4847">
        <v>12</v>
      </c>
      <c r="L4847" s="1" t="s">
        <v>421</v>
      </c>
      <c r="M4847">
        <v>0</v>
      </c>
      <c r="N4847">
        <v>0</v>
      </c>
      <c r="O4847">
        <v>5235.5</v>
      </c>
      <c r="P4847">
        <v>2</v>
      </c>
      <c r="Q4847" s="1" t="s">
        <v>569</v>
      </c>
      <c r="R4847" s="93">
        <v>523.54999999999995</v>
      </c>
      <c r="S4847">
        <v>209.42</v>
      </c>
      <c r="T4847">
        <v>1</v>
      </c>
      <c r="U4847" s="1" t="s">
        <v>1150</v>
      </c>
      <c r="V4847" s="1"/>
      <c r="W4847">
        <v>523.55123000000003</v>
      </c>
      <c r="X4847">
        <v>0</v>
      </c>
      <c r="Y4847">
        <v>60563</v>
      </c>
    </row>
    <row r="4848" spans="1:25" ht="15" hidden="1" customHeight="1" x14ac:dyDescent="0.25">
      <c r="A4848" s="1" t="s">
        <v>40</v>
      </c>
      <c r="B4848" s="1" t="s">
        <v>86</v>
      </c>
      <c r="C4848" s="1" t="s">
        <v>213</v>
      </c>
      <c r="D4848">
        <v>6027</v>
      </c>
      <c r="E4848" s="1"/>
      <c r="F4848" s="1" t="s">
        <v>351</v>
      </c>
      <c r="G4848" s="1" t="s">
        <v>213</v>
      </c>
      <c r="H4848" s="1" t="s">
        <v>1396</v>
      </c>
      <c r="I4848">
        <v>2013</v>
      </c>
      <c r="J4848" s="93">
        <v>3115.1</v>
      </c>
      <c r="K4848">
        <v>12</v>
      </c>
      <c r="L4848" s="1" t="s">
        <v>421</v>
      </c>
      <c r="M4848">
        <v>0</v>
      </c>
      <c r="N4848">
        <v>0</v>
      </c>
      <c r="O4848">
        <v>31151</v>
      </c>
      <c r="P4848">
        <v>2</v>
      </c>
      <c r="Q4848" s="1" t="s">
        <v>569</v>
      </c>
      <c r="R4848" s="93">
        <v>3115.1</v>
      </c>
      <c r="S4848">
        <v>934.53</v>
      </c>
      <c r="T4848">
        <v>1</v>
      </c>
      <c r="U4848" s="1" t="s">
        <v>1144</v>
      </c>
      <c r="V4848" s="1"/>
      <c r="W4848">
        <v>3115.0844299999999</v>
      </c>
      <c r="X4848">
        <v>0</v>
      </c>
      <c r="Y4848">
        <v>71007</v>
      </c>
    </row>
    <row r="4849" spans="1:25" ht="15" hidden="1" customHeight="1" x14ac:dyDescent="0.25">
      <c r="A4849" s="1" t="s">
        <v>40</v>
      </c>
      <c r="B4849" s="1" t="s">
        <v>86</v>
      </c>
      <c r="C4849" s="1" t="s">
        <v>213</v>
      </c>
      <c r="D4849">
        <v>6027</v>
      </c>
      <c r="E4849" s="1"/>
      <c r="F4849" s="1" t="s">
        <v>351</v>
      </c>
      <c r="G4849" s="1" t="s">
        <v>213</v>
      </c>
      <c r="H4849" s="1" t="s">
        <v>1396</v>
      </c>
      <c r="I4849">
        <v>2013</v>
      </c>
      <c r="J4849" s="93">
        <v>6217.41</v>
      </c>
      <c r="K4849">
        <v>10</v>
      </c>
      <c r="L4849" s="1" t="s">
        <v>421</v>
      </c>
      <c r="M4849">
        <v>0</v>
      </c>
      <c r="N4849">
        <v>0</v>
      </c>
      <c r="O4849">
        <v>62174.1</v>
      </c>
      <c r="P4849">
        <v>2</v>
      </c>
      <c r="Q4849" s="1" t="s">
        <v>569</v>
      </c>
      <c r="R4849" s="93">
        <v>6217.41</v>
      </c>
      <c r="S4849">
        <v>1865.22</v>
      </c>
      <c r="T4849">
        <v>1</v>
      </c>
      <c r="U4849" s="1" t="s">
        <v>1145</v>
      </c>
      <c r="V4849" s="1"/>
      <c r="W4849">
        <v>6217.4127099999996</v>
      </c>
      <c r="X4849">
        <v>0</v>
      </c>
      <c r="Y4849">
        <v>92703</v>
      </c>
    </row>
    <row r="4850" spans="1:25" ht="15" hidden="1" customHeight="1" x14ac:dyDescent="0.25">
      <c r="A4850" s="1" t="s">
        <v>40</v>
      </c>
      <c r="B4850" s="1" t="s">
        <v>86</v>
      </c>
      <c r="C4850" s="1" t="s">
        <v>213</v>
      </c>
      <c r="D4850">
        <v>6027</v>
      </c>
      <c r="E4850" s="1"/>
      <c r="F4850" s="1" t="s">
        <v>351</v>
      </c>
      <c r="G4850" s="1" t="s">
        <v>213</v>
      </c>
      <c r="H4850" s="1" t="s">
        <v>1396</v>
      </c>
      <c r="I4850">
        <v>2013</v>
      </c>
      <c r="J4850" s="93">
        <v>344856.38</v>
      </c>
      <c r="K4850">
        <v>3</v>
      </c>
      <c r="L4850" s="1" t="s">
        <v>421</v>
      </c>
      <c r="M4850">
        <v>0</v>
      </c>
      <c r="N4850">
        <v>0</v>
      </c>
      <c r="O4850">
        <v>3448563.8</v>
      </c>
      <c r="P4850">
        <v>2</v>
      </c>
      <c r="Q4850" s="1" t="s">
        <v>569</v>
      </c>
      <c r="R4850" s="93">
        <v>344856.38</v>
      </c>
      <c r="S4850">
        <v>103456.9</v>
      </c>
      <c r="T4850">
        <v>1</v>
      </c>
      <c r="U4850" s="1" t="s">
        <v>1146</v>
      </c>
      <c r="V4850" s="1"/>
      <c r="W4850">
        <v>344856.39556999999</v>
      </c>
      <c r="X4850">
        <v>0</v>
      </c>
      <c r="Y4850">
        <v>92732</v>
      </c>
    </row>
    <row r="4851" spans="1:25" ht="15" hidden="1" customHeight="1" x14ac:dyDescent="0.25">
      <c r="A4851" s="1" t="s">
        <v>40</v>
      </c>
      <c r="B4851" s="1" t="s">
        <v>86</v>
      </c>
      <c r="C4851" s="1" t="s">
        <v>213</v>
      </c>
      <c r="D4851">
        <v>6027</v>
      </c>
      <c r="E4851" s="1"/>
      <c r="F4851" s="1" t="s">
        <v>351</v>
      </c>
      <c r="G4851" s="1" t="s">
        <v>213</v>
      </c>
      <c r="H4851" s="1" t="s">
        <v>1396</v>
      </c>
      <c r="I4851">
        <v>2013</v>
      </c>
      <c r="J4851" s="93">
        <v>215993.83</v>
      </c>
      <c r="K4851">
        <v>3</v>
      </c>
      <c r="L4851" s="1" t="s">
        <v>421</v>
      </c>
      <c r="M4851">
        <v>0</v>
      </c>
      <c r="N4851">
        <v>0</v>
      </c>
      <c r="O4851">
        <v>2159938.2999999998</v>
      </c>
      <c r="P4851">
        <v>2</v>
      </c>
      <c r="Q4851" s="1" t="s">
        <v>569</v>
      </c>
      <c r="R4851" s="93">
        <v>215993.83</v>
      </c>
      <c r="S4851">
        <v>64798.14</v>
      </c>
      <c r="T4851">
        <v>1</v>
      </c>
      <c r="U4851" s="1" t="s">
        <v>1151</v>
      </c>
      <c r="V4851" s="1"/>
      <c r="W4851">
        <v>215993.81813</v>
      </c>
      <c r="X4851">
        <v>0</v>
      </c>
      <c r="Y4851">
        <v>92734</v>
      </c>
    </row>
    <row r="4852" spans="1:25" ht="15" hidden="1" customHeight="1" x14ac:dyDescent="0.25">
      <c r="A4852" s="1" t="s">
        <v>40</v>
      </c>
      <c r="B4852" s="1" t="s">
        <v>86</v>
      </c>
      <c r="C4852" s="1" t="s">
        <v>213</v>
      </c>
      <c r="D4852">
        <v>6027</v>
      </c>
      <c r="E4852" s="1"/>
      <c r="F4852" s="1" t="s">
        <v>351</v>
      </c>
      <c r="G4852" s="1" t="s">
        <v>213</v>
      </c>
      <c r="H4852" s="1" t="s">
        <v>1396</v>
      </c>
      <c r="I4852">
        <v>2013</v>
      </c>
      <c r="J4852" s="93">
        <v>10925.35</v>
      </c>
      <c r="K4852">
        <v>12</v>
      </c>
      <c r="L4852" s="1" t="s">
        <v>421</v>
      </c>
      <c r="M4852">
        <v>0</v>
      </c>
      <c r="N4852">
        <v>0</v>
      </c>
      <c r="O4852">
        <v>109253.5</v>
      </c>
      <c r="P4852">
        <v>2</v>
      </c>
      <c r="Q4852" s="1" t="s">
        <v>569</v>
      </c>
      <c r="R4852" s="93">
        <v>10925.35</v>
      </c>
      <c r="S4852">
        <v>4370.1499999999996</v>
      </c>
      <c r="T4852">
        <v>1</v>
      </c>
      <c r="U4852" s="1" t="s">
        <v>1147</v>
      </c>
      <c r="V4852" s="1"/>
      <c r="W4852">
        <v>10925.357690000001</v>
      </c>
      <c r="X4852">
        <v>0</v>
      </c>
      <c r="Y4852">
        <v>60557</v>
      </c>
    </row>
    <row r="4853" spans="1:25" ht="15" hidden="1" customHeight="1" x14ac:dyDescent="0.25">
      <c r="A4853" s="1" t="s">
        <v>40</v>
      </c>
      <c r="B4853" s="1" t="s">
        <v>86</v>
      </c>
      <c r="C4853" s="1" t="s">
        <v>213</v>
      </c>
      <c r="D4853">
        <v>6027</v>
      </c>
      <c r="E4853" s="1"/>
      <c r="F4853" s="1" t="s">
        <v>351</v>
      </c>
      <c r="G4853" s="1" t="s">
        <v>213</v>
      </c>
      <c r="H4853" s="1" t="s">
        <v>1396</v>
      </c>
      <c r="I4853">
        <v>2013</v>
      </c>
      <c r="J4853" s="93">
        <v>72430.570000000007</v>
      </c>
      <c r="K4853">
        <v>12</v>
      </c>
      <c r="L4853" s="1" t="s">
        <v>421</v>
      </c>
      <c r="M4853">
        <v>0</v>
      </c>
      <c r="N4853">
        <v>0</v>
      </c>
      <c r="O4853">
        <v>724305.7</v>
      </c>
      <c r="P4853">
        <v>2</v>
      </c>
      <c r="Q4853" s="1" t="s">
        <v>569</v>
      </c>
      <c r="R4853" s="93">
        <v>72430.570000000007</v>
      </c>
      <c r="S4853">
        <v>28972.23</v>
      </c>
      <c r="T4853">
        <v>1</v>
      </c>
      <c r="U4853" s="1" t="s">
        <v>1141</v>
      </c>
      <c r="V4853" s="1"/>
      <c r="W4853">
        <v>72430.568299999999</v>
      </c>
      <c r="X4853">
        <v>0</v>
      </c>
      <c r="Y4853">
        <v>60559</v>
      </c>
    </row>
    <row r="4854" spans="1:25" ht="15" hidden="1" customHeight="1" x14ac:dyDescent="0.25">
      <c r="A4854" s="1" t="s">
        <v>40</v>
      </c>
      <c r="B4854" s="1" t="s">
        <v>86</v>
      </c>
      <c r="C4854" s="1" t="s">
        <v>213</v>
      </c>
      <c r="D4854">
        <v>6027</v>
      </c>
      <c r="E4854" s="1"/>
      <c r="F4854" s="1" t="s">
        <v>351</v>
      </c>
      <c r="G4854" s="1" t="s">
        <v>213</v>
      </c>
      <c r="H4854" s="1" t="s">
        <v>1396</v>
      </c>
      <c r="I4854">
        <v>2013</v>
      </c>
      <c r="J4854" s="93">
        <v>3062.4</v>
      </c>
      <c r="K4854">
        <v>12</v>
      </c>
      <c r="L4854" s="1" t="s">
        <v>421</v>
      </c>
      <c r="M4854">
        <v>0</v>
      </c>
      <c r="N4854">
        <v>0</v>
      </c>
      <c r="O4854">
        <v>30624</v>
      </c>
      <c r="P4854">
        <v>2</v>
      </c>
      <c r="Q4854" s="1" t="s">
        <v>569</v>
      </c>
      <c r="R4854" s="93">
        <v>3062.4</v>
      </c>
      <c r="S4854">
        <v>1224.98</v>
      </c>
      <c r="T4854">
        <v>1</v>
      </c>
      <c r="U4854" s="1" t="s">
        <v>1149</v>
      </c>
      <c r="V4854" s="1"/>
      <c r="W4854">
        <v>3062.4070400000001</v>
      </c>
      <c r="X4854">
        <v>0</v>
      </c>
      <c r="Y4854">
        <v>60560</v>
      </c>
    </row>
    <row r="4855" spans="1:25" ht="15" hidden="1" customHeight="1" x14ac:dyDescent="0.25">
      <c r="A4855" s="1" t="s">
        <v>40</v>
      </c>
      <c r="B4855" s="1" t="s">
        <v>86</v>
      </c>
      <c r="C4855" s="1" t="s">
        <v>213</v>
      </c>
      <c r="D4855">
        <v>6027</v>
      </c>
      <c r="E4855" s="1"/>
      <c r="F4855" s="1" t="s">
        <v>351</v>
      </c>
      <c r="G4855" s="1" t="s">
        <v>213</v>
      </c>
      <c r="H4855" s="1" t="s">
        <v>1396</v>
      </c>
      <c r="I4855">
        <v>2013</v>
      </c>
      <c r="J4855" s="93">
        <v>16531.810000000001</v>
      </c>
      <c r="K4855">
        <v>12</v>
      </c>
      <c r="L4855" s="1" t="s">
        <v>421</v>
      </c>
      <c r="M4855">
        <v>0</v>
      </c>
      <c r="N4855">
        <v>0</v>
      </c>
      <c r="O4855">
        <v>165318.1</v>
      </c>
      <c r="P4855">
        <v>2</v>
      </c>
      <c r="Q4855" s="1" t="s">
        <v>569</v>
      </c>
      <c r="R4855" s="93">
        <v>16531.810000000001</v>
      </c>
      <c r="S4855">
        <v>6612.73</v>
      </c>
      <c r="T4855">
        <v>1</v>
      </c>
      <c r="U4855" s="1" t="s">
        <v>1143</v>
      </c>
      <c r="V4855" s="1"/>
      <c r="W4855">
        <v>16531.82732</v>
      </c>
      <c r="X4855">
        <v>0</v>
      </c>
      <c r="Y4855">
        <v>60562</v>
      </c>
    </row>
    <row r="4856" spans="1:25" ht="15" hidden="1" customHeight="1" x14ac:dyDescent="0.25">
      <c r="A4856" s="1" t="s">
        <v>40</v>
      </c>
      <c r="B4856" s="1" t="s">
        <v>86</v>
      </c>
      <c r="C4856" s="1" t="s">
        <v>213</v>
      </c>
      <c r="D4856">
        <v>6027</v>
      </c>
      <c r="E4856" s="1"/>
      <c r="F4856" s="1" t="s">
        <v>351</v>
      </c>
      <c r="G4856" s="1" t="s">
        <v>213</v>
      </c>
      <c r="H4856" s="1" t="s">
        <v>1396</v>
      </c>
      <c r="I4856">
        <v>2012</v>
      </c>
      <c r="J4856" s="93">
        <v>12455.35</v>
      </c>
      <c r="K4856">
        <v>12</v>
      </c>
      <c r="L4856" s="1" t="s">
        <v>421</v>
      </c>
      <c r="M4856">
        <v>0</v>
      </c>
      <c r="N4856">
        <v>0</v>
      </c>
      <c r="O4856">
        <v>124553.5</v>
      </c>
      <c r="P4856">
        <v>2</v>
      </c>
      <c r="Q4856" s="1" t="s">
        <v>569</v>
      </c>
      <c r="R4856" s="93">
        <v>12455.35</v>
      </c>
      <c r="S4856">
        <v>4982.1499999999996</v>
      </c>
      <c r="T4856">
        <v>1</v>
      </c>
      <c r="U4856" s="1" t="s">
        <v>1148</v>
      </c>
      <c r="V4856" s="1"/>
      <c r="W4856">
        <v>12455.34225</v>
      </c>
      <c r="X4856">
        <v>0</v>
      </c>
      <c r="Y4856">
        <v>60558</v>
      </c>
    </row>
    <row r="4857" spans="1:25" ht="15" hidden="1" customHeight="1" x14ac:dyDescent="0.25">
      <c r="A4857" s="1" t="s">
        <v>40</v>
      </c>
      <c r="B4857" s="1" t="s">
        <v>86</v>
      </c>
      <c r="C4857" s="1" t="s">
        <v>213</v>
      </c>
      <c r="D4857">
        <v>6027</v>
      </c>
      <c r="E4857" s="1"/>
      <c r="F4857" s="1" t="s">
        <v>351</v>
      </c>
      <c r="G4857" s="1" t="s">
        <v>213</v>
      </c>
      <c r="H4857" s="1" t="s">
        <v>1396</v>
      </c>
      <c r="I4857">
        <v>2012</v>
      </c>
      <c r="J4857" s="93">
        <v>2898.45</v>
      </c>
      <c r="K4857">
        <v>12</v>
      </c>
      <c r="L4857" s="1" t="s">
        <v>421</v>
      </c>
      <c r="M4857">
        <v>0</v>
      </c>
      <c r="N4857">
        <v>0</v>
      </c>
      <c r="O4857">
        <v>28984.5</v>
      </c>
      <c r="P4857">
        <v>2</v>
      </c>
      <c r="Q4857" s="1" t="s">
        <v>569</v>
      </c>
      <c r="R4857" s="93">
        <v>2898.45</v>
      </c>
      <c r="S4857">
        <v>1159.4000000000001</v>
      </c>
      <c r="T4857">
        <v>1</v>
      </c>
      <c r="U4857" s="1" t="s">
        <v>1149</v>
      </c>
      <c r="V4857" s="1"/>
      <c r="W4857">
        <v>2898.4483100000002</v>
      </c>
      <c r="X4857">
        <v>0</v>
      </c>
      <c r="Y4857">
        <v>60560</v>
      </c>
    </row>
    <row r="4858" spans="1:25" ht="15" hidden="1" customHeight="1" x14ac:dyDescent="0.25">
      <c r="A4858" s="1" t="s">
        <v>40</v>
      </c>
      <c r="B4858" s="1" t="s">
        <v>86</v>
      </c>
      <c r="C4858" s="1" t="s">
        <v>213</v>
      </c>
      <c r="D4858">
        <v>6027</v>
      </c>
      <c r="E4858" s="1"/>
      <c r="F4858" s="1" t="s">
        <v>351</v>
      </c>
      <c r="G4858" s="1" t="s">
        <v>213</v>
      </c>
      <c r="H4858" s="1" t="s">
        <v>1405</v>
      </c>
      <c r="I4858">
        <v>2012</v>
      </c>
      <c r="J4858" s="93">
        <v>4456.7299999999996</v>
      </c>
      <c r="K4858">
        <v>12</v>
      </c>
      <c r="L4858" s="1" t="s">
        <v>421</v>
      </c>
      <c r="M4858">
        <v>0</v>
      </c>
      <c r="N4858">
        <v>0</v>
      </c>
      <c r="O4858">
        <v>44567.3</v>
      </c>
      <c r="P4858">
        <v>2</v>
      </c>
      <c r="Q4858" s="1" t="s">
        <v>569</v>
      </c>
      <c r="R4858" s="93">
        <v>4456.7299999999996</v>
      </c>
      <c r="S4858">
        <v>1782.71</v>
      </c>
      <c r="T4858">
        <v>1</v>
      </c>
      <c r="U4858" s="1" t="s">
        <v>1142</v>
      </c>
      <c r="V4858" s="1"/>
      <c r="W4858">
        <v>4456.7388600000004</v>
      </c>
      <c r="X4858">
        <v>0</v>
      </c>
      <c r="Y4858">
        <v>60561</v>
      </c>
    </row>
    <row r="4859" spans="1:25" ht="15" hidden="1" customHeight="1" x14ac:dyDescent="0.25">
      <c r="A4859" s="1" t="s">
        <v>40</v>
      </c>
      <c r="B4859" s="1" t="s">
        <v>86</v>
      </c>
      <c r="C4859" s="1" t="s">
        <v>213</v>
      </c>
      <c r="D4859">
        <v>6027</v>
      </c>
      <c r="E4859" s="1"/>
      <c r="F4859" s="1" t="s">
        <v>351</v>
      </c>
      <c r="G4859" s="1" t="s">
        <v>213</v>
      </c>
      <c r="H4859" s="1" t="s">
        <v>1396</v>
      </c>
      <c r="I4859">
        <v>2012</v>
      </c>
      <c r="J4859" s="93">
        <v>303.45999999999998</v>
      </c>
      <c r="K4859">
        <v>12</v>
      </c>
      <c r="L4859" s="1" t="s">
        <v>421</v>
      </c>
      <c r="M4859">
        <v>0</v>
      </c>
      <c r="N4859">
        <v>0</v>
      </c>
      <c r="O4859">
        <v>3034.6</v>
      </c>
      <c r="P4859">
        <v>2</v>
      </c>
      <c r="Q4859" s="1" t="s">
        <v>569</v>
      </c>
      <c r="R4859" s="93">
        <v>303.45999999999998</v>
      </c>
      <c r="S4859">
        <v>121.4</v>
      </c>
      <c r="T4859">
        <v>1</v>
      </c>
      <c r="U4859" s="1" t="s">
        <v>1150</v>
      </c>
      <c r="V4859" s="1"/>
      <c r="W4859">
        <v>303.45364999999998</v>
      </c>
      <c r="X4859">
        <v>0</v>
      </c>
      <c r="Y4859">
        <v>60563</v>
      </c>
    </row>
    <row r="4860" spans="1:25" ht="15" hidden="1" customHeight="1" x14ac:dyDescent="0.25">
      <c r="A4860" s="1" t="s">
        <v>40</v>
      </c>
      <c r="B4860" s="1" t="s">
        <v>86</v>
      </c>
      <c r="C4860" s="1" t="s">
        <v>213</v>
      </c>
      <c r="D4860">
        <v>6027</v>
      </c>
      <c r="E4860" s="1"/>
      <c r="F4860" s="1" t="s">
        <v>351</v>
      </c>
      <c r="G4860" s="1" t="s">
        <v>213</v>
      </c>
      <c r="H4860" s="1" t="s">
        <v>1396</v>
      </c>
      <c r="I4860">
        <v>2012</v>
      </c>
      <c r="J4860" s="93">
        <v>3733.27</v>
      </c>
      <c r="K4860">
        <v>12</v>
      </c>
      <c r="L4860" s="1" t="s">
        <v>421</v>
      </c>
      <c r="M4860">
        <v>0</v>
      </c>
      <c r="N4860">
        <v>0</v>
      </c>
      <c r="O4860">
        <v>37332.699999999997</v>
      </c>
      <c r="P4860">
        <v>2</v>
      </c>
      <c r="Q4860" s="1" t="s">
        <v>569</v>
      </c>
      <c r="R4860" s="93">
        <v>3733.27</v>
      </c>
      <c r="S4860">
        <v>1493.3</v>
      </c>
      <c r="T4860">
        <v>1</v>
      </c>
      <c r="U4860" s="1" t="s">
        <v>1144</v>
      </c>
      <c r="V4860" s="1"/>
      <c r="W4860">
        <v>3733.2665000000002</v>
      </c>
      <c r="X4860">
        <v>0</v>
      </c>
      <c r="Y4860">
        <v>71007</v>
      </c>
    </row>
    <row r="4861" spans="1:25" ht="15" hidden="1" customHeight="1" x14ac:dyDescent="0.25">
      <c r="A4861" s="1" t="s">
        <v>40</v>
      </c>
      <c r="B4861" s="1" t="s">
        <v>86</v>
      </c>
      <c r="C4861" s="1" t="s">
        <v>213</v>
      </c>
      <c r="D4861">
        <v>6027</v>
      </c>
      <c r="E4861" s="1"/>
      <c r="F4861" s="1" t="s">
        <v>351</v>
      </c>
      <c r="G4861" s="1" t="s">
        <v>213</v>
      </c>
      <c r="H4861" s="1" t="s">
        <v>1396</v>
      </c>
      <c r="I4861">
        <v>2012</v>
      </c>
      <c r="J4861" s="93">
        <v>55369.11</v>
      </c>
      <c r="K4861">
        <v>4</v>
      </c>
      <c r="L4861" s="1" t="s">
        <v>421</v>
      </c>
      <c r="M4861">
        <v>0</v>
      </c>
      <c r="N4861">
        <v>0</v>
      </c>
      <c r="O4861">
        <v>553691.1</v>
      </c>
      <c r="P4861">
        <v>2</v>
      </c>
      <c r="Q4861" s="1" t="s">
        <v>569</v>
      </c>
      <c r="R4861" s="93">
        <v>55369.11</v>
      </c>
      <c r="S4861">
        <v>22147.65</v>
      </c>
      <c r="T4861">
        <v>1</v>
      </c>
      <c r="U4861" s="1" t="s">
        <v>1151</v>
      </c>
      <c r="V4861" s="1"/>
      <c r="W4861">
        <v>55369.11765</v>
      </c>
      <c r="X4861">
        <v>0</v>
      </c>
      <c r="Y4861">
        <v>92734</v>
      </c>
    </row>
    <row r="4862" spans="1:25" ht="15" hidden="1" customHeight="1" x14ac:dyDescent="0.25">
      <c r="A4862" s="1" t="s">
        <v>40</v>
      </c>
      <c r="B4862" s="1" t="s">
        <v>86</v>
      </c>
      <c r="C4862" s="1" t="s">
        <v>213</v>
      </c>
      <c r="D4862">
        <v>6027</v>
      </c>
      <c r="E4862" s="1"/>
      <c r="F4862" s="1" t="s">
        <v>351</v>
      </c>
      <c r="G4862" s="1" t="s">
        <v>213</v>
      </c>
      <c r="H4862" s="1" t="s">
        <v>1396</v>
      </c>
      <c r="I4862">
        <v>2012</v>
      </c>
      <c r="J4862" s="93">
        <v>13118.56</v>
      </c>
      <c r="K4862">
        <v>12</v>
      </c>
      <c r="L4862" s="1" t="s">
        <v>421</v>
      </c>
      <c r="M4862">
        <v>0</v>
      </c>
      <c r="N4862">
        <v>0</v>
      </c>
      <c r="O4862">
        <v>131185.60000000001</v>
      </c>
      <c r="P4862">
        <v>2</v>
      </c>
      <c r="Q4862" s="1" t="s">
        <v>569</v>
      </c>
      <c r="R4862" s="93">
        <v>13118.56</v>
      </c>
      <c r="S4862">
        <v>5247.42</v>
      </c>
      <c r="T4862">
        <v>1</v>
      </c>
      <c r="U4862" s="1" t="s">
        <v>1147</v>
      </c>
      <c r="V4862" s="1"/>
      <c r="W4862">
        <v>13118.54457</v>
      </c>
      <c r="X4862">
        <v>0</v>
      </c>
      <c r="Y4862">
        <v>60557</v>
      </c>
    </row>
    <row r="4863" spans="1:25" ht="15" hidden="1" customHeight="1" x14ac:dyDescent="0.25">
      <c r="A4863" s="1" t="s">
        <v>40</v>
      </c>
      <c r="B4863" s="1" t="s">
        <v>86</v>
      </c>
      <c r="C4863" s="1" t="s">
        <v>213</v>
      </c>
      <c r="D4863">
        <v>6027</v>
      </c>
      <c r="E4863" s="1"/>
      <c r="F4863" s="1" t="s">
        <v>351</v>
      </c>
      <c r="G4863" s="1" t="s">
        <v>213</v>
      </c>
      <c r="H4863" s="1" t="s">
        <v>1396</v>
      </c>
      <c r="I4863">
        <v>2012</v>
      </c>
      <c r="J4863" s="93">
        <v>76600.56</v>
      </c>
      <c r="K4863">
        <v>12</v>
      </c>
      <c r="L4863" s="1" t="s">
        <v>421</v>
      </c>
      <c r="M4863">
        <v>0</v>
      </c>
      <c r="N4863">
        <v>0</v>
      </c>
      <c r="O4863">
        <v>766005.6</v>
      </c>
      <c r="P4863">
        <v>2</v>
      </c>
      <c r="Q4863" s="1" t="s">
        <v>569</v>
      </c>
      <c r="R4863" s="93">
        <v>76600.56</v>
      </c>
      <c r="S4863">
        <v>30640.25</v>
      </c>
      <c r="T4863">
        <v>1</v>
      </c>
      <c r="U4863" s="1" t="s">
        <v>1141</v>
      </c>
      <c r="V4863" s="1"/>
      <c r="W4863">
        <v>76600.569539999997</v>
      </c>
      <c r="X4863">
        <v>0</v>
      </c>
      <c r="Y4863">
        <v>60559</v>
      </c>
    </row>
    <row r="4864" spans="1:25" ht="15" hidden="1" customHeight="1" x14ac:dyDescent="0.25">
      <c r="A4864" s="1" t="s">
        <v>40</v>
      </c>
      <c r="B4864" s="1" t="s">
        <v>86</v>
      </c>
      <c r="C4864" s="1" t="s">
        <v>213</v>
      </c>
      <c r="D4864">
        <v>6027</v>
      </c>
      <c r="E4864" s="1"/>
      <c r="F4864" s="1" t="s">
        <v>351</v>
      </c>
      <c r="G4864" s="1" t="s">
        <v>213</v>
      </c>
      <c r="H4864" s="1" t="s">
        <v>1396</v>
      </c>
      <c r="I4864">
        <v>2012</v>
      </c>
      <c r="J4864" s="93">
        <v>16625.34</v>
      </c>
      <c r="K4864">
        <v>12</v>
      </c>
      <c r="L4864" s="1" t="s">
        <v>421</v>
      </c>
      <c r="M4864">
        <v>0</v>
      </c>
      <c r="N4864">
        <v>0</v>
      </c>
      <c r="O4864">
        <v>166253.4</v>
      </c>
      <c r="P4864">
        <v>2</v>
      </c>
      <c r="Q4864" s="1" t="s">
        <v>569</v>
      </c>
      <c r="R4864" s="93">
        <v>16625.34</v>
      </c>
      <c r="S4864">
        <v>6650.13</v>
      </c>
      <c r="T4864">
        <v>1</v>
      </c>
      <c r="U4864" s="1" t="s">
        <v>1143</v>
      </c>
      <c r="V4864" s="1"/>
      <c r="W4864">
        <v>16625.336899999998</v>
      </c>
      <c r="X4864">
        <v>0</v>
      </c>
      <c r="Y4864">
        <v>60562</v>
      </c>
    </row>
    <row r="4865" spans="1:25" ht="15" hidden="1" customHeight="1" x14ac:dyDescent="0.25">
      <c r="A4865" s="1" t="s">
        <v>40</v>
      </c>
      <c r="B4865" s="1" t="s">
        <v>86</v>
      </c>
      <c r="C4865" s="1" t="s">
        <v>213</v>
      </c>
      <c r="D4865">
        <v>6027</v>
      </c>
      <c r="E4865" s="1"/>
      <c r="F4865" s="1" t="s">
        <v>351</v>
      </c>
      <c r="G4865" s="1" t="s">
        <v>213</v>
      </c>
      <c r="H4865" s="1" t="s">
        <v>1396</v>
      </c>
      <c r="I4865">
        <v>2012</v>
      </c>
      <c r="J4865" s="93">
        <v>1194.27</v>
      </c>
      <c r="K4865">
        <v>5</v>
      </c>
      <c r="L4865" s="1" t="s">
        <v>421</v>
      </c>
      <c r="M4865">
        <v>0</v>
      </c>
      <c r="N4865">
        <v>0</v>
      </c>
      <c r="O4865">
        <v>11942.7</v>
      </c>
      <c r="P4865">
        <v>2</v>
      </c>
      <c r="Q4865" s="1" t="s">
        <v>569</v>
      </c>
      <c r="R4865" s="93">
        <v>1194.27</v>
      </c>
      <c r="S4865">
        <v>477.71</v>
      </c>
      <c r="T4865">
        <v>1</v>
      </c>
      <c r="U4865" s="1" t="s">
        <v>1145</v>
      </c>
      <c r="V4865" s="1"/>
      <c r="W4865">
        <v>1194.2647099999999</v>
      </c>
      <c r="X4865">
        <v>0</v>
      </c>
      <c r="Y4865">
        <v>92703</v>
      </c>
    </row>
    <row r="4866" spans="1:25" ht="15" hidden="1" customHeight="1" x14ac:dyDescent="0.25">
      <c r="A4866" s="1" t="s">
        <v>40</v>
      </c>
      <c r="B4866" s="1" t="s">
        <v>86</v>
      </c>
      <c r="C4866" s="1" t="s">
        <v>213</v>
      </c>
      <c r="D4866">
        <v>6027</v>
      </c>
      <c r="E4866" s="1"/>
      <c r="F4866" s="1" t="s">
        <v>351</v>
      </c>
      <c r="G4866" s="1" t="s">
        <v>213</v>
      </c>
      <c r="H4866" s="1" t="s">
        <v>1396</v>
      </c>
      <c r="I4866">
        <v>2012</v>
      </c>
      <c r="J4866" s="93">
        <v>182614.43</v>
      </c>
      <c r="K4866">
        <v>4</v>
      </c>
      <c r="L4866" s="1" t="s">
        <v>421</v>
      </c>
      <c r="M4866">
        <v>0</v>
      </c>
      <c r="N4866">
        <v>0</v>
      </c>
      <c r="O4866">
        <v>1826144.3</v>
      </c>
      <c r="P4866">
        <v>2</v>
      </c>
      <c r="Q4866" s="1" t="s">
        <v>569</v>
      </c>
      <c r="R4866" s="93">
        <v>182614.43</v>
      </c>
      <c r="S4866">
        <v>73045.759999999995</v>
      </c>
      <c r="T4866">
        <v>1</v>
      </c>
      <c r="U4866" s="1" t="s">
        <v>1146</v>
      </c>
      <c r="V4866" s="1"/>
      <c r="W4866">
        <v>182614.41175999999</v>
      </c>
      <c r="X4866">
        <v>0</v>
      </c>
      <c r="Y4866">
        <v>92732</v>
      </c>
    </row>
    <row r="4867" spans="1:25" ht="15" hidden="1" customHeight="1" x14ac:dyDescent="0.25">
      <c r="A4867" s="1" t="s">
        <v>40</v>
      </c>
      <c r="B4867" s="1" t="s">
        <v>86</v>
      </c>
      <c r="C4867" s="1" t="s">
        <v>213</v>
      </c>
      <c r="D4867">
        <v>6027</v>
      </c>
      <c r="E4867" s="1"/>
      <c r="F4867" s="1" t="s">
        <v>351</v>
      </c>
      <c r="G4867" s="1" t="s">
        <v>213</v>
      </c>
      <c r="H4867" s="1" t="s">
        <v>1396</v>
      </c>
      <c r="I4867">
        <v>2011</v>
      </c>
      <c r="J4867" s="93">
        <v>10892.88</v>
      </c>
      <c r="K4867">
        <v>12</v>
      </c>
      <c r="L4867" s="1" t="s">
        <v>421</v>
      </c>
      <c r="M4867">
        <v>0</v>
      </c>
      <c r="N4867">
        <v>0</v>
      </c>
      <c r="O4867">
        <v>108928.8</v>
      </c>
      <c r="P4867">
        <v>2</v>
      </c>
      <c r="Q4867" s="1" t="s">
        <v>569</v>
      </c>
      <c r="R4867" s="93">
        <v>10892.88</v>
      </c>
      <c r="S4867">
        <v>5108.7700000000004</v>
      </c>
      <c r="T4867">
        <v>1</v>
      </c>
      <c r="U4867" s="1" t="s">
        <v>1147</v>
      </c>
      <c r="V4867" s="1"/>
      <c r="W4867">
        <v>10892.878790000001</v>
      </c>
      <c r="X4867">
        <v>0</v>
      </c>
      <c r="Y4867">
        <v>60557</v>
      </c>
    </row>
    <row r="4868" spans="1:25" ht="15" hidden="1" customHeight="1" x14ac:dyDescent="0.25">
      <c r="A4868" s="1" t="s">
        <v>40</v>
      </c>
      <c r="B4868" s="1" t="s">
        <v>86</v>
      </c>
      <c r="C4868" s="1" t="s">
        <v>213</v>
      </c>
      <c r="D4868">
        <v>6027</v>
      </c>
      <c r="E4868" s="1"/>
      <c r="F4868" s="1" t="s">
        <v>351</v>
      </c>
      <c r="G4868" s="1" t="s">
        <v>213</v>
      </c>
      <c r="H4868" s="1" t="s">
        <v>1396</v>
      </c>
      <c r="I4868">
        <v>2011</v>
      </c>
      <c r="J4868" s="93">
        <v>13789.49</v>
      </c>
      <c r="K4868">
        <v>12</v>
      </c>
      <c r="L4868" s="1" t="s">
        <v>421</v>
      </c>
      <c r="M4868">
        <v>0</v>
      </c>
      <c r="N4868">
        <v>0</v>
      </c>
      <c r="O4868">
        <v>137894.9</v>
      </c>
      <c r="P4868">
        <v>2</v>
      </c>
      <c r="Q4868" s="1" t="s">
        <v>569</v>
      </c>
      <c r="R4868" s="93">
        <v>13789.49</v>
      </c>
      <c r="S4868">
        <v>6467.28</v>
      </c>
      <c r="T4868">
        <v>1</v>
      </c>
      <c r="U4868" s="1" t="s">
        <v>1148</v>
      </c>
      <c r="V4868" s="1"/>
      <c r="W4868">
        <v>13789.48486</v>
      </c>
      <c r="X4868">
        <v>0</v>
      </c>
      <c r="Y4868">
        <v>60558</v>
      </c>
    </row>
    <row r="4869" spans="1:25" ht="15" hidden="1" customHeight="1" x14ac:dyDescent="0.25">
      <c r="A4869" s="1" t="s">
        <v>40</v>
      </c>
      <c r="B4869" s="1" t="s">
        <v>86</v>
      </c>
      <c r="C4869" s="1" t="s">
        <v>213</v>
      </c>
      <c r="D4869">
        <v>6027</v>
      </c>
      <c r="E4869" s="1"/>
      <c r="F4869" s="1" t="s">
        <v>351</v>
      </c>
      <c r="G4869" s="1" t="s">
        <v>213</v>
      </c>
      <c r="H4869" s="1" t="s">
        <v>1396</v>
      </c>
      <c r="I4869">
        <v>2011</v>
      </c>
      <c r="J4869" s="93">
        <v>3477.02</v>
      </c>
      <c r="K4869">
        <v>12</v>
      </c>
      <c r="L4869" s="1" t="s">
        <v>421</v>
      </c>
      <c r="M4869">
        <v>0</v>
      </c>
      <c r="N4869">
        <v>0</v>
      </c>
      <c r="O4869">
        <v>34770.199999999997</v>
      </c>
      <c r="P4869">
        <v>2</v>
      </c>
      <c r="Q4869" s="1" t="s">
        <v>569</v>
      </c>
      <c r="R4869" s="93">
        <v>3477.02</v>
      </c>
      <c r="S4869">
        <v>1630.72</v>
      </c>
      <c r="T4869">
        <v>1</v>
      </c>
      <c r="U4869" s="1" t="s">
        <v>1149</v>
      </c>
      <c r="V4869" s="1"/>
      <c r="W4869">
        <v>3477</v>
      </c>
      <c r="X4869">
        <v>0</v>
      </c>
      <c r="Y4869">
        <v>60560</v>
      </c>
    </row>
    <row r="4870" spans="1:25" ht="15" hidden="1" customHeight="1" x14ac:dyDescent="0.25">
      <c r="A4870" s="1" t="s">
        <v>40</v>
      </c>
      <c r="B4870" s="1" t="s">
        <v>86</v>
      </c>
      <c r="C4870" s="1" t="s">
        <v>213</v>
      </c>
      <c r="D4870">
        <v>6027</v>
      </c>
      <c r="E4870" s="1"/>
      <c r="F4870" s="1" t="s">
        <v>351</v>
      </c>
      <c r="G4870" s="1" t="s">
        <v>213</v>
      </c>
      <c r="H4870" s="1" t="s">
        <v>1396</v>
      </c>
      <c r="I4870">
        <v>2011</v>
      </c>
      <c r="J4870" s="93">
        <v>474.49</v>
      </c>
      <c r="K4870">
        <v>12</v>
      </c>
      <c r="L4870" s="1" t="s">
        <v>421</v>
      </c>
      <c r="M4870">
        <v>0</v>
      </c>
      <c r="N4870">
        <v>0</v>
      </c>
      <c r="O4870">
        <v>4744.8999999999996</v>
      </c>
      <c r="P4870">
        <v>2</v>
      </c>
      <c r="Q4870" s="1" t="s">
        <v>569</v>
      </c>
      <c r="R4870" s="93">
        <v>474.49</v>
      </c>
      <c r="S4870">
        <v>222.54</v>
      </c>
      <c r="T4870">
        <v>1</v>
      </c>
      <c r="U4870" s="1" t="s">
        <v>1150</v>
      </c>
      <c r="V4870" s="1"/>
      <c r="W4870">
        <v>474.48484999999999</v>
      </c>
      <c r="X4870">
        <v>0</v>
      </c>
      <c r="Y4870">
        <v>60563</v>
      </c>
    </row>
    <row r="4871" spans="1:25" ht="15" hidden="1" customHeight="1" x14ac:dyDescent="0.25">
      <c r="A4871" s="1" t="s">
        <v>40</v>
      </c>
      <c r="B4871" s="1" t="s">
        <v>86</v>
      </c>
      <c r="C4871" s="1" t="s">
        <v>213</v>
      </c>
      <c r="D4871">
        <v>6027</v>
      </c>
      <c r="E4871" s="1"/>
      <c r="F4871" s="1" t="s">
        <v>351</v>
      </c>
      <c r="G4871" s="1" t="s">
        <v>213</v>
      </c>
      <c r="H4871" s="1" t="s">
        <v>1396</v>
      </c>
      <c r="I4871">
        <v>2011</v>
      </c>
      <c r="J4871" s="93">
        <v>72354.12</v>
      </c>
      <c r="K4871">
        <v>12</v>
      </c>
      <c r="L4871" s="1" t="s">
        <v>421</v>
      </c>
      <c r="M4871">
        <v>0</v>
      </c>
      <c r="N4871">
        <v>0</v>
      </c>
      <c r="O4871">
        <v>723541.2</v>
      </c>
      <c r="P4871">
        <v>2</v>
      </c>
      <c r="Q4871" s="1" t="s">
        <v>569</v>
      </c>
      <c r="R4871" s="93">
        <v>72354.12</v>
      </c>
      <c r="S4871">
        <v>33934.07</v>
      </c>
      <c r="T4871">
        <v>1</v>
      </c>
      <c r="U4871" s="1" t="s">
        <v>1141</v>
      </c>
      <c r="V4871" s="1"/>
      <c r="W4871">
        <v>72354.121209999998</v>
      </c>
      <c r="X4871">
        <v>0</v>
      </c>
      <c r="Y4871">
        <v>60559</v>
      </c>
    </row>
    <row r="4872" spans="1:25" ht="15" hidden="1" customHeight="1" x14ac:dyDescent="0.25">
      <c r="A4872" s="1" t="s">
        <v>40</v>
      </c>
      <c r="B4872" s="1" t="s">
        <v>86</v>
      </c>
      <c r="C4872" s="1" t="s">
        <v>213</v>
      </c>
      <c r="D4872">
        <v>6027</v>
      </c>
      <c r="E4872" s="1"/>
      <c r="F4872" s="1" t="s">
        <v>351</v>
      </c>
      <c r="G4872" s="1" t="s">
        <v>213</v>
      </c>
      <c r="H4872" s="1" t="s">
        <v>1405</v>
      </c>
      <c r="I4872">
        <v>2011</v>
      </c>
      <c r="J4872" s="93">
        <v>8149.22</v>
      </c>
      <c r="K4872">
        <v>12</v>
      </c>
      <c r="L4872" s="1" t="s">
        <v>421</v>
      </c>
      <c r="M4872">
        <v>0</v>
      </c>
      <c r="N4872">
        <v>0</v>
      </c>
      <c r="O4872">
        <v>81492.2</v>
      </c>
      <c r="P4872">
        <v>2</v>
      </c>
      <c r="Q4872" s="1" t="s">
        <v>569</v>
      </c>
      <c r="R4872" s="93">
        <v>8149.22</v>
      </c>
      <c r="S4872">
        <v>3821.97</v>
      </c>
      <c r="T4872">
        <v>1</v>
      </c>
      <c r="U4872" s="1" t="s">
        <v>1142</v>
      </c>
      <c r="V4872" s="1"/>
      <c r="W4872">
        <v>8149.2121200000001</v>
      </c>
      <c r="X4872">
        <v>0</v>
      </c>
      <c r="Y4872">
        <v>60561</v>
      </c>
    </row>
    <row r="4873" spans="1:25" ht="15" hidden="1" customHeight="1" x14ac:dyDescent="0.25">
      <c r="A4873" s="1" t="s">
        <v>40</v>
      </c>
      <c r="B4873" s="1" t="s">
        <v>86</v>
      </c>
      <c r="C4873" s="1" t="s">
        <v>213</v>
      </c>
      <c r="D4873">
        <v>6027</v>
      </c>
      <c r="E4873" s="1"/>
      <c r="F4873" s="1" t="s">
        <v>351</v>
      </c>
      <c r="G4873" s="1" t="s">
        <v>213</v>
      </c>
      <c r="H4873" s="1" t="s">
        <v>1396</v>
      </c>
      <c r="I4873">
        <v>2011</v>
      </c>
      <c r="J4873" s="93">
        <v>16673.169999999998</v>
      </c>
      <c r="K4873">
        <v>12</v>
      </c>
      <c r="L4873" s="1" t="s">
        <v>421</v>
      </c>
      <c r="M4873">
        <v>0</v>
      </c>
      <c r="N4873">
        <v>0</v>
      </c>
      <c r="O4873">
        <v>166731.70000000001</v>
      </c>
      <c r="P4873">
        <v>2</v>
      </c>
      <c r="Q4873" s="1" t="s">
        <v>569</v>
      </c>
      <c r="R4873" s="93">
        <v>16673.169999999998</v>
      </c>
      <c r="S4873">
        <v>7819.72</v>
      </c>
      <c r="T4873">
        <v>1</v>
      </c>
      <c r="U4873" s="1" t="s">
        <v>1143</v>
      </c>
      <c r="V4873" s="1"/>
      <c r="W4873">
        <v>16673.181830000001</v>
      </c>
      <c r="X4873">
        <v>0</v>
      </c>
      <c r="Y4873">
        <v>60562</v>
      </c>
    </row>
    <row r="4874" spans="1:25" ht="15" hidden="1" customHeight="1" x14ac:dyDescent="0.25">
      <c r="A4874" s="1" t="s">
        <v>40</v>
      </c>
      <c r="B4874" s="1" t="s">
        <v>86</v>
      </c>
      <c r="C4874" s="1" t="s">
        <v>213</v>
      </c>
      <c r="D4874">
        <v>6027</v>
      </c>
      <c r="E4874" s="1"/>
      <c r="F4874" s="1" t="s">
        <v>351</v>
      </c>
      <c r="G4874" s="1" t="s">
        <v>213</v>
      </c>
      <c r="H4874" s="1" t="s">
        <v>1396</v>
      </c>
      <c r="I4874">
        <v>2011</v>
      </c>
      <c r="J4874" s="93">
        <v>8599.17</v>
      </c>
      <c r="K4874">
        <v>12</v>
      </c>
      <c r="L4874" s="1" t="s">
        <v>421</v>
      </c>
      <c r="M4874">
        <v>0</v>
      </c>
      <c r="N4874">
        <v>0</v>
      </c>
      <c r="O4874">
        <v>85991.7</v>
      </c>
      <c r="P4874">
        <v>2</v>
      </c>
      <c r="Q4874" s="1" t="s">
        <v>569</v>
      </c>
      <c r="R4874" s="93">
        <v>8599.17</v>
      </c>
      <c r="S4874">
        <v>4033.02</v>
      </c>
      <c r="T4874">
        <v>1</v>
      </c>
      <c r="U4874" s="1" t="s">
        <v>1144</v>
      </c>
      <c r="V4874" s="1"/>
      <c r="W4874">
        <v>8599.1818299999995</v>
      </c>
      <c r="X4874">
        <v>0</v>
      </c>
      <c r="Y4874">
        <v>71007</v>
      </c>
    </row>
    <row r="4875" spans="1:25" ht="15" hidden="1" customHeight="1" x14ac:dyDescent="0.25">
      <c r="A4875" s="1" t="s">
        <v>40</v>
      </c>
      <c r="B4875" s="1" t="s">
        <v>86</v>
      </c>
      <c r="C4875" s="1" t="s">
        <v>213</v>
      </c>
      <c r="D4875">
        <v>6027</v>
      </c>
      <c r="E4875" s="1"/>
      <c r="F4875" s="1" t="s">
        <v>351</v>
      </c>
      <c r="G4875" s="1" t="s">
        <v>213</v>
      </c>
      <c r="H4875" s="1" t="s">
        <v>1396</v>
      </c>
      <c r="I4875">
        <v>2010</v>
      </c>
      <c r="J4875" s="93">
        <v>13834.17</v>
      </c>
      <c r="K4875">
        <v>12</v>
      </c>
      <c r="L4875" s="1" t="s">
        <v>421</v>
      </c>
      <c r="M4875">
        <v>0</v>
      </c>
      <c r="N4875">
        <v>0</v>
      </c>
      <c r="O4875">
        <v>138341.70000000001</v>
      </c>
      <c r="P4875">
        <v>2</v>
      </c>
      <c r="Q4875" s="1" t="s">
        <v>569</v>
      </c>
      <c r="R4875" s="93">
        <v>13834.17</v>
      </c>
      <c r="S4875">
        <v>6488.24</v>
      </c>
      <c r="T4875">
        <v>1</v>
      </c>
      <c r="U4875" s="1" t="s">
        <v>1147</v>
      </c>
      <c r="V4875" s="1"/>
      <c r="W4875">
        <v>13834.16488</v>
      </c>
      <c r="X4875">
        <v>0</v>
      </c>
      <c r="Y4875">
        <v>60557</v>
      </c>
    </row>
    <row r="4876" spans="1:25" ht="15" hidden="1" customHeight="1" x14ac:dyDescent="0.25">
      <c r="A4876" s="1" t="s">
        <v>40</v>
      </c>
      <c r="B4876" s="1" t="s">
        <v>86</v>
      </c>
      <c r="C4876" s="1" t="s">
        <v>213</v>
      </c>
      <c r="D4876">
        <v>6027</v>
      </c>
      <c r="E4876" s="1"/>
      <c r="F4876" s="1" t="s">
        <v>351</v>
      </c>
      <c r="G4876" s="1" t="s">
        <v>213</v>
      </c>
      <c r="H4876" s="1" t="s">
        <v>1396</v>
      </c>
      <c r="I4876">
        <v>2010</v>
      </c>
      <c r="J4876" s="93">
        <v>2580.46</v>
      </c>
      <c r="K4876">
        <v>12</v>
      </c>
      <c r="L4876" s="1" t="s">
        <v>421</v>
      </c>
      <c r="M4876">
        <v>0</v>
      </c>
      <c r="N4876">
        <v>0</v>
      </c>
      <c r="O4876">
        <v>25804.6</v>
      </c>
      <c r="P4876">
        <v>2</v>
      </c>
      <c r="Q4876" s="1" t="s">
        <v>569</v>
      </c>
      <c r="R4876" s="93">
        <v>2580.46</v>
      </c>
      <c r="S4876">
        <v>1210.22</v>
      </c>
      <c r="T4876">
        <v>1</v>
      </c>
      <c r="U4876" s="1" t="s">
        <v>1149</v>
      </c>
      <c r="V4876" s="1"/>
      <c r="W4876">
        <v>2580.4634599999999</v>
      </c>
      <c r="X4876">
        <v>0</v>
      </c>
      <c r="Y4876">
        <v>60560</v>
      </c>
    </row>
    <row r="4877" spans="1:25" ht="15" hidden="1" customHeight="1" x14ac:dyDescent="0.25">
      <c r="A4877" s="1" t="s">
        <v>40</v>
      </c>
      <c r="B4877" s="1" t="s">
        <v>86</v>
      </c>
      <c r="C4877" s="1" t="s">
        <v>213</v>
      </c>
      <c r="D4877">
        <v>6027</v>
      </c>
      <c r="E4877" s="1"/>
      <c r="F4877" s="1" t="s">
        <v>351</v>
      </c>
      <c r="G4877" s="1" t="s">
        <v>213</v>
      </c>
      <c r="H4877" s="1" t="s">
        <v>1396</v>
      </c>
      <c r="I4877">
        <v>2010</v>
      </c>
      <c r="J4877" s="93">
        <v>16755.650000000001</v>
      </c>
      <c r="K4877">
        <v>12</v>
      </c>
      <c r="L4877" s="1" t="s">
        <v>421</v>
      </c>
      <c r="M4877">
        <v>0</v>
      </c>
      <c r="N4877">
        <v>0</v>
      </c>
      <c r="O4877">
        <v>167556.5</v>
      </c>
      <c r="P4877">
        <v>2</v>
      </c>
      <c r="Q4877" s="1" t="s">
        <v>569</v>
      </c>
      <c r="R4877" s="93">
        <v>16755.650000000001</v>
      </c>
      <c r="S4877">
        <v>7858.41</v>
      </c>
      <c r="T4877">
        <v>1</v>
      </c>
      <c r="U4877" s="1" t="s">
        <v>1143</v>
      </c>
      <c r="V4877" s="1"/>
      <c r="W4877">
        <v>16755.657759999998</v>
      </c>
      <c r="X4877">
        <v>0</v>
      </c>
      <c r="Y4877">
        <v>60562</v>
      </c>
    </row>
    <row r="4878" spans="1:25" ht="15" hidden="1" customHeight="1" x14ac:dyDescent="0.25">
      <c r="A4878" s="1" t="s">
        <v>40</v>
      </c>
      <c r="B4878" s="1" t="s">
        <v>86</v>
      </c>
      <c r="C4878" s="1" t="s">
        <v>213</v>
      </c>
      <c r="D4878">
        <v>6027</v>
      </c>
      <c r="E4878" s="1"/>
      <c r="F4878" s="1" t="s">
        <v>351</v>
      </c>
      <c r="G4878" s="1" t="s">
        <v>213</v>
      </c>
      <c r="H4878" s="1" t="s">
        <v>1396</v>
      </c>
      <c r="I4878">
        <v>2010</v>
      </c>
      <c r="J4878" s="93">
        <v>977.79</v>
      </c>
      <c r="K4878">
        <v>12</v>
      </c>
      <c r="L4878" s="1" t="s">
        <v>421</v>
      </c>
      <c r="M4878">
        <v>0</v>
      </c>
      <c r="N4878">
        <v>0</v>
      </c>
      <c r="O4878">
        <v>9777.9</v>
      </c>
      <c r="P4878">
        <v>2</v>
      </c>
      <c r="Q4878" s="1" t="s">
        <v>569</v>
      </c>
      <c r="R4878" s="93">
        <v>977.79</v>
      </c>
      <c r="S4878">
        <v>458.56</v>
      </c>
      <c r="T4878">
        <v>1</v>
      </c>
      <c r="U4878" s="1" t="s">
        <v>1150</v>
      </c>
      <c r="V4878" s="1"/>
      <c r="W4878">
        <v>977.79679999999996</v>
      </c>
      <c r="X4878">
        <v>0</v>
      </c>
      <c r="Y4878">
        <v>60563</v>
      </c>
    </row>
    <row r="4879" spans="1:25" ht="15" hidden="1" customHeight="1" x14ac:dyDescent="0.25">
      <c r="A4879" s="1" t="s">
        <v>40</v>
      </c>
      <c r="B4879" s="1" t="s">
        <v>86</v>
      </c>
      <c r="C4879" s="1" t="s">
        <v>213</v>
      </c>
      <c r="D4879">
        <v>6027</v>
      </c>
      <c r="E4879" s="1"/>
      <c r="F4879" s="1" t="s">
        <v>351</v>
      </c>
      <c r="G4879" s="1" t="s">
        <v>213</v>
      </c>
      <c r="H4879" s="1" t="s">
        <v>1396</v>
      </c>
      <c r="I4879">
        <v>2010</v>
      </c>
      <c r="J4879" s="93">
        <v>16443</v>
      </c>
      <c r="K4879">
        <v>12</v>
      </c>
      <c r="L4879" s="1" t="s">
        <v>421</v>
      </c>
      <c r="M4879">
        <v>0</v>
      </c>
      <c r="N4879">
        <v>0</v>
      </c>
      <c r="O4879">
        <v>164430</v>
      </c>
      <c r="P4879">
        <v>2</v>
      </c>
      <c r="Q4879" s="1" t="s">
        <v>569</v>
      </c>
      <c r="R4879" s="93">
        <v>16443</v>
      </c>
      <c r="S4879">
        <v>7711.77</v>
      </c>
      <c r="T4879">
        <v>1</v>
      </c>
      <c r="U4879" s="1" t="s">
        <v>1148</v>
      </c>
      <c r="V4879" s="1"/>
      <c r="W4879">
        <v>16442.996439999999</v>
      </c>
      <c r="X4879">
        <v>0</v>
      </c>
      <c r="Y4879">
        <v>60558</v>
      </c>
    </row>
    <row r="4880" spans="1:25" ht="15" hidden="1" customHeight="1" x14ac:dyDescent="0.25">
      <c r="A4880" s="1" t="s">
        <v>40</v>
      </c>
      <c r="B4880" s="1" t="s">
        <v>86</v>
      </c>
      <c r="C4880" s="1" t="s">
        <v>213</v>
      </c>
      <c r="D4880">
        <v>6027</v>
      </c>
      <c r="E4880" s="1"/>
      <c r="F4880" s="1" t="s">
        <v>351</v>
      </c>
      <c r="G4880" s="1" t="s">
        <v>213</v>
      </c>
      <c r="H4880" s="1" t="s">
        <v>1396</v>
      </c>
      <c r="I4880">
        <v>2010</v>
      </c>
      <c r="J4880" s="93">
        <v>65108.38</v>
      </c>
      <c r="K4880">
        <v>12</v>
      </c>
      <c r="L4880" s="1" t="s">
        <v>421</v>
      </c>
      <c r="M4880">
        <v>0</v>
      </c>
      <c r="N4880">
        <v>0</v>
      </c>
      <c r="O4880">
        <v>651083.80000000005</v>
      </c>
      <c r="P4880">
        <v>2</v>
      </c>
      <c r="Q4880" s="1" t="s">
        <v>569</v>
      </c>
      <c r="R4880" s="93">
        <v>65108.38</v>
      </c>
      <c r="S4880">
        <v>30535.83</v>
      </c>
      <c r="T4880">
        <v>1</v>
      </c>
      <c r="U4880" s="1" t="s">
        <v>1141</v>
      </c>
      <c r="V4880" s="1"/>
      <c r="W4880">
        <v>65108.36808</v>
      </c>
      <c r="X4880">
        <v>0</v>
      </c>
      <c r="Y4880">
        <v>60559</v>
      </c>
    </row>
    <row r="4881" spans="1:25" ht="15" hidden="1" customHeight="1" x14ac:dyDescent="0.25">
      <c r="A4881" s="1" t="s">
        <v>40</v>
      </c>
      <c r="B4881" s="1" t="s">
        <v>86</v>
      </c>
      <c r="C4881" s="1" t="s">
        <v>213</v>
      </c>
      <c r="D4881">
        <v>6027</v>
      </c>
      <c r="E4881" s="1"/>
      <c r="F4881" s="1" t="s">
        <v>351</v>
      </c>
      <c r="G4881" s="1" t="s">
        <v>213</v>
      </c>
      <c r="H4881" s="1" t="s">
        <v>1405</v>
      </c>
      <c r="I4881">
        <v>2010</v>
      </c>
      <c r="J4881" s="93">
        <v>8381.65</v>
      </c>
      <c r="K4881">
        <v>12</v>
      </c>
      <c r="L4881" s="1" t="s">
        <v>421</v>
      </c>
      <c r="M4881">
        <v>0</v>
      </c>
      <c r="N4881">
        <v>0</v>
      </c>
      <c r="O4881">
        <v>83816.5</v>
      </c>
      <c r="P4881">
        <v>2</v>
      </c>
      <c r="Q4881" s="1" t="s">
        <v>569</v>
      </c>
      <c r="R4881" s="93">
        <v>8381.65</v>
      </c>
      <c r="S4881">
        <v>3930.99</v>
      </c>
      <c r="T4881">
        <v>1</v>
      </c>
      <c r="U4881" s="1" t="s">
        <v>1142</v>
      </c>
      <c r="V4881" s="1"/>
      <c r="W4881">
        <v>8381.6372599999995</v>
      </c>
      <c r="X4881">
        <v>0</v>
      </c>
      <c r="Y4881">
        <v>60561</v>
      </c>
    </row>
    <row r="4882" spans="1:25" ht="15" hidden="1" customHeight="1" x14ac:dyDescent="0.25">
      <c r="A4882" s="1" t="s">
        <v>40</v>
      </c>
      <c r="B4882" s="1" t="s">
        <v>86</v>
      </c>
      <c r="C4882" s="1" t="s">
        <v>213</v>
      </c>
      <c r="D4882">
        <v>6027</v>
      </c>
      <c r="E4882" s="1"/>
      <c r="F4882" s="1" t="s">
        <v>351</v>
      </c>
      <c r="G4882" s="1" t="s">
        <v>213</v>
      </c>
      <c r="H4882" s="1" t="s">
        <v>1396</v>
      </c>
      <c r="I4882">
        <v>2010</v>
      </c>
      <c r="J4882" s="93">
        <v>6509.14</v>
      </c>
      <c r="K4882">
        <v>12</v>
      </c>
      <c r="L4882" s="1" t="s">
        <v>421</v>
      </c>
      <c r="M4882">
        <v>0</v>
      </c>
      <c r="N4882">
        <v>0</v>
      </c>
      <c r="O4882">
        <v>65091.4</v>
      </c>
      <c r="P4882">
        <v>2</v>
      </c>
      <c r="Q4882" s="1" t="s">
        <v>569</v>
      </c>
      <c r="R4882" s="93">
        <v>6509.14</v>
      </c>
      <c r="S4882">
        <v>3052.79</v>
      </c>
      <c r="T4882">
        <v>1</v>
      </c>
      <c r="U4882" s="1" t="s">
        <v>1144</v>
      </c>
      <c r="V4882" s="1"/>
      <c r="W4882">
        <v>6509.1399199999996</v>
      </c>
      <c r="X4882">
        <v>0</v>
      </c>
      <c r="Y4882">
        <v>71007</v>
      </c>
    </row>
    <row r="4883" spans="1:25" ht="15" hidden="1" customHeight="1" x14ac:dyDescent="0.25">
      <c r="A4883" s="1" t="s">
        <v>40</v>
      </c>
      <c r="B4883" s="1" t="s">
        <v>86</v>
      </c>
      <c r="C4883" s="1" t="s">
        <v>213</v>
      </c>
      <c r="D4883">
        <v>6027</v>
      </c>
      <c r="E4883" s="1"/>
      <c r="F4883" s="1" t="s">
        <v>351</v>
      </c>
      <c r="G4883" s="1" t="s">
        <v>213</v>
      </c>
      <c r="H4883" s="1" t="s">
        <v>1396</v>
      </c>
      <c r="I4883">
        <v>2009</v>
      </c>
      <c r="J4883" s="93">
        <v>15875.17</v>
      </c>
      <c r="K4883">
        <v>12</v>
      </c>
      <c r="L4883" s="1" t="s">
        <v>421</v>
      </c>
      <c r="M4883">
        <v>0</v>
      </c>
      <c r="N4883">
        <v>0</v>
      </c>
      <c r="O4883">
        <v>158751.70000000001</v>
      </c>
      <c r="P4883">
        <v>2</v>
      </c>
      <c r="Q4883" s="1" t="s">
        <v>569</v>
      </c>
      <c r="R4883" s="93">
        <v>15875.17</v>
      </c>
      <c r="S4883">
        <v>7445.46</v>
      </c>
      <c r="T4883">
        <v>1</v>
      </c>
      <c r="U4883" s="1" t="s">
        <v>1147</v>
      </c>
      <c r="V4883" s="1"/>
      <c r="W4883">
        <v>15875.19119</v>
      </c>
      <c r="X4883">
        <v>0</v>
      </c>
      <c r="Y4883">
        <v>60557</v>
      </c>
    </row>
    <row r="4884" spans="1:25" ht="15" hidden="1" customHeight="1" x14ac:dyDescent="0.25">
      <c r="A4884" s="1" t="s">
        <v>40</v>
      </c>
      <c r="B4884" s="1" t="s">
        <v>86</v>
      </c>
      <c r="C4884" s="1" t="s">
        <v>213</v>
      </c>
      <c r="D4884">
        <v>6027</v>
      </c>
      <c r="E4884" s="1"/>
      <c r="F4884" s="1" t="s">
        <v>351</v>
      </c>
      <c r="G4884" s="1" t="s">
        <v>213</v>
      </c>
      <c r="H4884" s="1" t="s">
        <v>1396</v>
      </c>
      <c r="I4884">
        <v>2009</v>
      </c>
      <c r="J4884" s="93">
        <v>69579.679999999993</v>
      </c>
      <c r="K4884">
        <v>12</v>
      </c>
      <c r="L4884" s="1" t="s">
        <v>421</v>
      </c>
      <c r="M4884">
        <v>0</v>
      </c>
      <c r="N4884">
        <v>0</v>
      </c>
      <c r="O4884">
        <v>695796.8</v>
      </c>
      <c r="P4884">
        <v>2</v>
      </c>
      <c r="Q4884" s="1" t="s">
        <v>569</v>
      </c>
      <c r="R4884" s="93">
        <v>69579.679999999993</v>
      </c>
      <c r="S4884">
        <v>32632.87</v>
      </c>
      <c r="T4884">
        <v>1</v>
      </c>
      <c r="U4884" s="1" t="s">
        <v>1141</v>
      </c>
      <c r="V4884" s="1"/>
      <c r="W4884">
        <v>69579.678310000003</v>
      </c>
      <c r="X4884">
        <v>0</v>
      </c>
      <c r="Y4884">
        <v>60559</v>
      </c>
    </row>
    <row r="4885" spans="1:25" ht="15" hidden="1" customHeight="1" x14ac:dyDescent="0.25">
      <c r="A4885" s="1" t="s">
        <v>40</v>
      </c>
      <c r="B4885" s="1" t="s">
        <v>86</v>
      </c>
      <c r="C4885" s="1" t="s">
        <v>213</v>
      </c>
      <c r="D4885">
        <v>6027</v>
      </c>
      <c r="E4885" s="1"/>
      <c r="F4885" s="1" t="s">
        <v>351</v>
      </c>
      <c r="G4885" s="1" t="s">
        <v>213</v>
      </c>
      <c r="H4885" s="1" t="s">
        <v>1396</v>
      </c>
      <c r="I4885">
        <v>2009</v>
      </c>
      <c r="J4885" s="93">
        <v>3117.53</v>
      </c>
      <c r="K4885">
        <v>12</v>
      </c>
      <c r="L4885" s="1" t="s">
        <v>421</v>
      </c>
      <c r="M4885">
        <v>0</v>
      </c>
      <c r="N4885">
        <v>0</v>
      </c>
      <c r="O4885">
        <v>31175.3</v>
      </c>
      <c r="P4885">
        <v>2</v>
      </c>
      <c r="Q4885" s="1" t="s">
        <v>569</v>
      </c>
      <c r="R4885" s="93">
        <v>3117.53</v>
      </c>
      <c r="S4885">
        <v>1462.11</v>
      </c>
      <c r="T4885">
        <v>1</v>
      </c>
      <c r="U4885" s="1" t="s">
        <v>1149</v>
      </c>
      <c r="V4885" s="1"/>
      <c r="W4885">
        <v>3117.5128599999998</v>
      </c>
      <c r="X4885">
        <v>0</v>
      </c>
      <c r="Y4885">
        <v>60560</v>
      </c>
    </row>
    <row r="4886" spans="1:25" ht="15" hidden="1" customHeight="1" x14ac:dyDescent="0.25">
      <c r="A4886" s="1" t="s">
        <v>40</v>
      </c>
      <c r="B4886" s="1" t="s">
        <v>86</v>
      </c>
      <c r="C4886" s="1" t="s">
        <v>213</v>
      </c>
      <c r="D4886">
        <v>6027</v>
      </c>
      <c r="E4886" s="1"/>
      <c r="F4886" s="1" t="s">
        <v>351</v>
      </c>
      <c r="G4886" s="1" t="s">
        <v>213</v>
      </c>
      <c r="H4886" s="1" t="s">
        <v>1396</v>
      </c>
      <c r="I4886">
        <v>2009</v>
      </c>
      <c r="J4886" s="93">
        <v>16754.82</v>
      </c>
      <c r="K4886">
        <v>12</v>
      </c>
      <c r="L4886" s="1" t="s">
        <v>421</v>
      </c>
      <c r="M4886">
        <v>0</v>
      </c>
      <c r="N4886">
        <v>0</v>
      </c>
      <c r="O4886">
        <v>167548.20000000001</v>
      </c>
      <c r="P4886">
        <v>2</v>
      </c>
      <c r="Q4886" s="1" t="s">
        <v>569</v>
      </c>
      <c r="R4886" s="93">
        <v>16754.82</v>
      </c>
      <c r="S4886">
        <v>7858.01</v>
      </c>
      <c r="T4886">
        <v>1</v>
      </c>
      <c r="U4886" s="1" t="s">
        <v>1143</v>
      </c>
      <c r="V4886" s="1"/>
      <c r="W4886">
        <v>16754.830880000001</v>
      </c>
      <c r="X4886">
        <v>0</v>
      </c>
      <c r="Y4886">
        <v>60562</v>
      </c>
    </row>
    <row r="4887" spans="1:25" ht="15" hidden="1" customHeight="1" x14ac:dyDescent="0.25">
      <c r="A4887" s="1" t="s">
        <v>40</v>
      </c>
      <c r="B4887" s="1" t="s">
        <v>86</v>
      </c>
      <c r="C4887" s="1" t="s">
        <v>213</v>
      </c>
      <c r="D4887">
        <v>6027</v>
      </c>
      <c r="E4887" s="1"/>
      <c r="F4887" s="1" t="s">
        <v>351</v>
      </c>
      <c r="G4887" s="1" t="s">
        <v>213</v>
      </c>
      <c r="H4887" s="1" t="s">
        <v>1396</v>
      </c>
      <c r="I4887">
        <v>2009</v>
      </c>
      <c r="J4887" s="93">
        <v>15299.1</v>
      </c>
      <c r="K4887">
        <v>12</v>
      </c>
      <c r="L4887" s="1" t="s">
        <v>421</v>
      </c>
      <c r="M4887">
        <v>0</v>
      </c>
      <c r="N4887">
        <v>0</v>
      </c>
      <c r="O4887">
        <v>152991</v>
      </c>
      <c r="P4887">
        <v>2</v>
      </c>
      <c r="Q4887" s="1" t="s">
        <v>569</v>
      </c>
      <c r="R4887" s="93">
        <v>15299.1</v>
      </c>
      <c r="S4887">
        <v>7175.28</v>
      </c>
      <c r="T4887">
        <v>1</v>
      </c>
      <c r="U4887" s="1" t="s">
        <v>1148</v>
      </c>
      <c r="V4887" s="1"/>
      <c r="W4887">
        <v>15299.10109</v>
      </c>
      <c r="X4887">
        <v>0</v>
      </c>
      <c r="Y4887">
        <v>60558</v>
      </c>
    </row>
    <row r="4888" spans="1:25" ht="15" hidden="1" customHeight="1" x14ac:dyDescent="0.25">
      <c r="A4888" s="1" t="s">
        <v>40</v>
      </c>
      <c r="B4888" s="1" t="s">
        <v>86</v>
      </c>
      <c r="C4888" s="1" t="s">
        <v>213</v>
      </c>
      <c r="D4888">
        <v>6027</v>
      </c>
      <c r="E4888" s="1"/>
      <c r="F4888" s="1" t="s">
        <v>351</v>
      </c>
      <c r="G4888" s="1" t="s">
        <v>213</v>
      </c>
      <c r="H4888" s="1" t="s">
        <v>1405</v>
      </c>
      <c r="I4888">
        <v>2009</v>
      </c>
      <c r="J4888" s="93">
        <v>8352.5400000000009</v>
      </c>
      <c r="K4888">
        <v>12</v>
      </c>
      <c r="L4888" s="1" t="s">
        <v>421</v>
      </c>
      <c r="M4888">
        <v>0</v>
      </c>
      <c r="N4888">
        <v>0</v>
      </c>
      <c r="O4888">
        <v>83525.399999999994</v>
      </c>
      <c r="P4888">
        <v>2</v>
      </c>
      <c r="Q4888" s="1" t="s">
        <v>569</v>
      </c>
      <c r="R4888" s="93">
        <v>8352.5400000000009</v>
      </c>
      <c r="S4888">
        <v>3917.34</v>
      </c>
      <c r="T4888">
        <v>1</v>
      </c>
      <c r="U4888" s="1" t="s">
        <v>1142</v>
      </c>
      <c r="V4888" s="1"/>
      <c r="W4888">
        <v>8352.5294099999992</v>
      </c>
      <c r="X4888">
        <v>0</v>
      </c>
      <c r="Y4888">
        <v>60561</v>
      </c>
    </row>
    <row r="4889" spans="1:25" ht="15" hidden="1" customHeight="1" x14ac:dyDescent="0.25">
      <c r="A4889" s="1" t="s">
        <v>40</v>
      </c>
      <c r="B4889" s="1" t="s">
        <v>86</v>
      </c>
      <c r="C4889" s="1" t="s">
        <v>213</v>
      </c>
      <c r="D4889">
        <v>6027</v>
      </c>
      <c r="E4889" s="1"/>
      <c r="F4889" s="1" t="s">
        <v>351</v>
      </c>
      <c r="G4889" s="1" t="s">
        <v>213</v>
      </c>
      <c r="H4889" s="1" t="s">
        <v>1396</v>
      </c>
      <c r="I4889">
        <v>2009</v>
      </c>
      <c r="J4889" s="93">
        <v>499.14</v>
      </c>
      <c r="K4889">
        <v>12</v>
      </c>
      <c r="L4889" s="1" t="s">
        <v>421</v>
      </c>
      <c r="M4889">
        <v>0</v>
      </c>
      <c r="N4889">
        <v>0</v>
      </c>
      <c r="O4889">
        <v>4991.3999999999996</v>
      </c>
      <c r="P4889">
        <v>2</v>
      </c>
      <c r="Q4889" s="1" t="s">
        <v>569</v>
      </c>
      <c r="R4889" s="93">
        <v>499.14</v>
      </c>
      <c r="S4889">
        <v>234.08</v>
      </c>
      <c r="T4889">
        <v>1</v>
      </c>
      <c r="U4889" s="1" t="s">
        <v>1150</v>
      </c>
      <c r="V4889" s="1"/>
      <c r="W4889">
        <v>499.13785999999999</v>
      </c>
      <c r="X4889">
        <v>0</v>
      </c>
      <c r="Y4889">
        <v>60563</v>
      </c>
    </row>
    <row r="4890" spans="1:25" ht="15" hidden="1" customHeight="1" x14ac:dyDescent="0.25">
      <c r="A4890" s="1" t="s">
        <v>40</v>
      </c>
      <c r="B4890" s="1" t="s">
        <v>86</v>
      </c>
      <c r="C4890" s="1" t="s">
        <v>213</v>
      </c>
      <c r="D4890">
        <v>6027</v>
      </c>
      <c r="E4890" s="1"/>
      <c r="F4890" s="1" t="s">
        <v>351</v>
      </c>
      <c r="G4890" s="1" t="s">
        <v>213</v>
      </c>
      <c r="H4890" s="1" t="s">
        <v>1396</v>
      </c>
      <c r="I4890">
        <v>2009</v>
      </c>
      <c r="J4890" s="93">
        <v>2566.7600000000002</v>
      </c>
      <c r="K4890">
        <v>12</v>
      </c>
      <c r="L4890" s="1" t="s">
        <v>421</v>
      </c>
      <c r="M4890">
        <v>0</v>
      </c>
      <c r="N4890">
        <v>0</v>
      </c>
      <c r="O4890">
        <v>25667.599999999999</v>
      </c>
      <c r="P4890">
        <v>2</v>
      </c>
      <c r="Q4890" s="1" t="s">
        <v>569</v>
      </c>
      <c r="R4890" s="93">
        <v>2566.7600000000002</v>
      </c>
      <c r="S4890">
        <v>1203.8</v>
      </c>
      <c r="T4890">
        <v>1</v>
      </c>
      <c r="U4890" s="1" t="s">
        <v>1144</v>
      </c>
      <c r="V4890" s="1"/>
      <c r="W4890">
        <v>2566.7426599999999</v>
      </c>
      <c r="X4890">
        <v>0</v>
      </c>
      <c r="Y4890">
        <v>71007</v>
      </c>
    </row>
    <row r="4891" spans="1:25" ht="15" hidden="1" customHeight="1" x14ac:dyDescent="0.25">
      <c r="A4891" s="1" t="s">
        <v>40</v>
      </c>
      <c r="B4891" s="1" t="s">
        <v>86</v>
      </c>
      <c r="C4891" s="1" t="s">
        <v>213</v>
      </c>
      <c r="D4891">
        <v>6027</v>
      </c>
      <c r="E4891" s="1"/>
      <c r="F4891" s="1" t="s">
        <v>351</v>
      </c>
      <c r="G4891" s="1" t="s">
        <v>213</v>
      </c>
      <c r="H4891" s="1" t="s">
        <v>1396</v>
      </c>
      <c r="I4891">
        <v>2008</v>
      </c>
      <c r="J4891" s="93">
        <v>14730.54</v>
      </c>
      <c r="K4891">
        <v>12</v>
      </c>
      <c r="L4891" s="1" t="s">
        <v>421</v>
      </c>
      <c r="M4891">
        <v>0</v>
      </c>
      <c r="N4891">
        <v>0</v>
      </c>
      <c r="O4891">
        <v>147305.4</v>
      </c>
      <c r="P4891">
        <v>2</v>
      </c>
      <c r="Q4891" s="1" t="s">
        <v>569</v>
      </c>
      <c r="R4891" s="93">
        <v>14730.54</v>
      </c>
      <c r="S4891">
        <v>6908.63</v>
      </c>
      <c r="T4891">
        <v>1</v>
      </c>
      <c r="U4891" s="1" t="s">
        <v>1147</v>
      </c>
      <c r="V4891" s="1"/>
      <c r="W4891">
        <v>14730.52274</v>
      </c>
      <c r="X4891">
        <v>0</v>
      </c>
      <c r="Y4891">
        <v>60557</v>
      </c>
    </row>
    <row r="4892" spans="1:25" ht="15" hidden="1" customHeight="1" x14ac:dyDescent="0.25">
      <c r="A4892" s="1" t="s">
        <v>40</v>
      </c>
      <c r="B4892" s="1" t="s">
        <v>86</v>
      </c>
      <c r="C4892" s="1" t="s">
        <v>213</v>
      </c>
      <c r="D4892">
        <v>6027</v>
      </c>
      <c r="E4892" s="1"/>
      <c r="F4892" s="1" t="s">
        <v>351</v>
      </c>
      <c r="G4892" s="1" t="s">
        <v>213</v>
      </c>
      <c r="H4892" s="1" t="s">
        <v>1396</v>
      </c>
      <c r="I4892">
        <v>2008</v>
      </c>
      <c r="J4892" s="93">
        <v>75484.98</v>
      </c>
      <c r="K4892">
        <v>12</v>
      </c>
      <c r="L4892" s="1" t="s">
        <v>421</v>
      </c>
      <c r="M4892">
        <v>0</v>
      </c>
      <c r="N4892">
        <v>0</v>
      </c>
      <c r="O4892">
        <v>754849.8</v>
      </c>
      <c r="P4892">
        <v>2</v>
      </c>
      <c r="Q4892" s="1" t="s">
        <v>569</v>
      </c>
      <c r="R4892" s="93">
        <v>75484.98</v>
      </c>
      <c r="S4892">
        <v>35402.47</v>
      </c>
      <c r="T4892">
        <v>1</v>
      </c>
      <c r="U4892" s="1" t="s">
        <v>1141</v>
      </c>
      <c r="V4892" s="1"/>
      <c r="W4892">
        <v>75484.983909999995</v>
      </c>
      <c r="X4892">
        <v>0</v>
      </c>
      <c r="Y4892">
        <v>60559</v>
      </c>
    </row>
    <row r="4893" spans="1:25" ht="15" hidden="1" customHeight="1" x14ac:dyDescent="0.25">
      <c r="A4893" s="1" t="s">
        <v>40</v>
      </c>
      <c r="B4893" s="1" t="s">
        <v>86</v>
      </c>
      <c r="C4893" s="1" t="s">
        <v>213</v>
      </c>
      <c r="D4893">
        <v>6027</v>
      </c>
      <c r="E4893" s="1"/>
      <c r="F4893" s="1" t="s">
        <v>351</v>
      </c>
      <c r="G4893" s="1" t="s">
        <v>213</v>
      </c>
      <c r="H4893" s="1" t="s">
        <v>1396</v>
      </c>
      <c r="I4893">
        <v>2008</v>
      </c>
      <c r="J4893" s="93">
        <v>15644.95</v>
      </c>
      <c r="K4893">
        <v>12</v>
      </c>
      <c r="L4893" s="1" t="s">
        <v>421</v>
      </c>
      <c r="M4893">
        <v>0</v>
      </c>
      <c r="N4893">
        <v>0</v>
      </c>
      <c r="O4893">
        <v>156449.5</v>
      </c>
      <c r="P4893">
        <v>2</v>
      </c>
      <c r="Q4893" s="1" t="s">
        <v>569</v>
      </c>
      <c r="R4893" s="93">
        <v>15644.95</v>
      </c>
      <c r="S4893">
        <v>7337.48</v>
      </c>
      <c r="T4893">
        <v>1</v>
      </c>
      <c r="U4893" s="1" t="s">
        <v>1143</v>
      </c>
      <c r="V4893" s="1"/>
      <c r="W4893">
        <v>15644.935589999999</v>
      </c>
      <c r="X4893">
        <v>0</v>
      </c>
      <c r="Y4893">
        <v>60562</v>
      </c>
    </row>
    <row r="4894" spans="1:25" ht="15" hidden="1" customHeight="1" x14ac:dyDescent="0.25">
      <c r="A4894" s="1" t="s">
        <v>40</v>
      </c>
      <c r="B4894" s="1" t="s">
        <v>86</v>
      </c>
      <c r="C4894" s="1" t="s">
        <v>213</v>
      </c>
      <c r="D4894">
        <v>6027</v>
      </c>
      <c r="E4894" s="1"/>
      <c r="F4894" s="1" t="s">
        <v>351</v>
      </c>
      <c r="G4894" s="1" t="s">
        <v>213</v>
      </c>
      <c r="H4894" s="1" t="s">
        <v>1396</v>
      </c>
      <c r="I4894">
        <v>2008</v>
      </c>
      <c r="J4894" s="93">
        <v>17824.86</v>
      </c>
      <c r="K4894">
        <v>12</v>
      </c>
      <c r="L4894" s="1" t="s">
        <v>421</v>
      </c>
      <c r="M4894">
        <v>0</v>
      </c>
      <c r="N4894">
        <v>0</v>
      </c>
      <c r="O4894">
        <v>178248.6</v>
      </c>
      <c r="P4894">
        <v>2</v>
      </c>
      <c r="Q4894" s="1" t="s">
        <v>569</v>
      </c>
      <c r="R4894" s="93">
        <v>17824.86</v>
      </c>
      <c r="S4894">
        <v>8359.86</v>
      </c>
      <c r="T4894">
        <v>1</v>
      </c>
      <c r="U4894" s="1" t="s">
        <v>1148</v>
      </c>
      <c r="V4894" s="1"/>
      <c r="W4894">
        <v>17824.872159999999</v>
      </c>
      <c r="X4894">
        <v>0</v>
      </c>
      <c r="Y4894">
        <v>60558</v>
      </c>
    </row>
    <row r="4895" spans="1:25" ht="15" hidden="1" customHeight="1" x14ac:dyDescent="0.25">
      <c r="A4895" s="1" t="s">
        <v>40</v>
      </c>
      <c r="B4895" s="1" t="s">
        <v>86</v>
      </c>
      <c r="C4895" s="1" t="s">
        <v>213</v>
      </c>
      <c r="D4895">
        <v>6027</v>
      </c>
      <c r="E4895" s="1"/>
      <c r="F4895" s="1" t="s">
        <v>351</v>
      </c>
      <c r="G4895" s="1" t="s">
        <v>213</v>
      </c>
      <c r="H4895" s="1" t="s">
        <v>1396</v>
      </c>
      <c r="I4895">
        <v>2008</v>
      </c>
      <c r="J4895" s="93">
        <v>2803.49</v>
      </c>
      <c r="K4895">
        <v>12</v>
      </c>
      <c r="L4895" s="1" t="s">
        <v>421</v>
      </c>
      <c r="M4895">
        <v>0</v>
      </c>
      <c r="N4895">
        <v>0</v>
      </c>
      <c r="O4895">
        <v>28034.9</v>
      </c>
      <c r="P4895">
        <v>2</v>
      </c>
      <c r="Q4895" s="1" t="s">
        <v>569</v>
      </c>
      <c r="R4895" s="93">
        <v>2803.49</v>
      </c>
      <c r="S4895">
        <v>1314.81</v>
      </c>
      <c r="T4895">
        <v>1</v>
      </c>
      <c r="U4895" s="1" t="s">
        <v>1149</v>
      </c>
      <c r="V4895" s="1"/>
      <c r="W4895">
        <v>2803.4782100000002</v>
      </c>
      <c r="X4895">
        <v>0</v>
      </c>
      <c r="Y4895">
        <v>60560</v>
      </c>
    </row>
    <row r="4896" spans="1:25" ht="15" hidden="1" customHeight="1" x14ac:dyDescent="0.25">
      <c r="A4896" s="1" t="s">
        <v>40</v>
      </c>
      <c r="B4896" s="1" t="s">
        <v>86</v>
      </c>
      <c r="C4896" s="1" t="s">
        <v>213</v>
      </c>
      <c r="D4896">
        <v>6027</v>
      </c>
      <c r="E4896" s="1"/>
      <c r="F4896" s="1" t="s">
        <v>351</v>
      </c>
      <c r="G4896" s="1" t="s">
        <v>213</v>
      </c>
      <c r="H4896" s="1" t="s">
        <v>1405</v>
      </c>
      <c r="I4896">
        <v>2008</v>
      </c>
      <c r="J4896" s="93">
        <v>13593.9</v>
      </c>
      <c r="K4896">
        <v>12</v>
      </c>
      <c r="L4896" s="1" t="s">
        <v>421</v>
      </c>
      <c r="M4896">
        <v>0</v>
      </c>
      <c r="N4896">
        <v>0</v>
      </c>
      <c r="O4896">
        <v>135939</v>
      </c>
      <c r="P4896">
        <v>2</v>
      </c>
      <c r="Q4896" s="1" t="s">
        <v>569</v>
      </c>
      <c r="R4896" s="93">
        <v>13593.9</v>
      </c>
      <c r="S4896">
        <v>6375.53</v>
      </c>
      <c r="T4896">
        <v>1</v>
      </c>
      <c r="U4896" s="1" t="s">
        <v>1142</v>
      </c>
      <c r="V4896" s="1"/>
      <c r="W4896">
        <v>13593.89393</v>
      </c>
      <c r="X4896">
        <v>0</v>
      </c>
      <c r="Y4896">
        <v>60561</v>
      </c>
    </row>
    <row r="4897" spans="1:25" ht="15" hidden="1" customHeight="1" x14ac:dyDescent="0.25">
      <c r="A4897" s="1" t="s">
        <v>40</v>
      </c>
      <c r="B4897" s="1" t="s">
        <v>86</v>
      </c>
      <c r="C4897" s="1" t="s">
        <v>213</v>
      </c>
      <c r="D4897">
        <v>6027</v>
      </c>
      <c r="E4897" s="1"/>
      <c r="F4897" s="1" t="s">
        <v>351</v>
      </c>
      <c r="G4897" s="1" t="s">
        <v>213</v>
      </c>
      <c r="H4897" s="1" t="s">
        <v>1396</v>
      </c>
      <c r="I4897">
        <v>2008</v>
      </c>
      <c r="J4897" s="93">
        <v>218.18</v>
      </c>
      <c r="K4897">
        <v>12</v>
      </c>
      <c r="L4897" s="1" t="s">
        <v>421</v>
      </c>
      <c r="M4897">
        <v>0</v>
      </c>
      <c r="N4897">
        <v>0</v>
      </c>
      <c r="O4897">
        <v>2181.8000000000002</v>
      </c>
      <c r="P4897">
        <v>2</v>
      </c>
      <c r="Q4897" s="1" t="s">
        <v>569</v>
      </c>
      <c r="R4897" s="93">
        <v>218.18</v>
      </c>
      <c r="S4897">
        <v>102.31</v>
      </c>
      <c r="T4897">
        <v>1</v>
      </c>
      <c r="U4897" s="1" t="s">
        <v>1150</v>
      </c>
      <c r="V4897" s="1"/>
      <c r="W4897">
        <v>218.18655000000001</v>
      </c>
      <c r="X4897">
        <v>0</v>
      </c>
      <c r="Y4897">
        <v>60563</v>
      </c>
    </row>
    <row r="4898" spans="1:25" ht="15" hidden="1" customHeight="1" x14ac:dyDescent="0.25">
      <c r="A4898" s="1" t="s">
        <v>40</v>
      </c>
      <c r="B4898" s="1" t="s">
        <v>86</v>
      </c>
      <c r="C4898" s="1" t="s">
        <v>213</v>
      </c>
      <c r="D4898">
        <v>6027</v>
      </c>
      <c r="E4898" s="1"/>
      <c r="F4898" s="1" t="s">
        <v>351</v>
      </c>
      <c r="G4898" s="1" t="s">
        <v>213</v>
      </c>
      <c r="H4898" s="1" t="s">
        <v>1396</v>
      </c>
      <c r="I4898">
        <v>2008</v>
      </c>
      <c r="J4898" s="93">
        <v>10909.37</v>
      </c>
      <c r="K4898">
        <v>12</v>
      </c>
      <c r="L4898" s="1" t="s">
        <v>421</v>
      </c>
      <c r="M4898">
        <v>0</v>
      </c>
      <c r="N4898">
        <v>0</v>
      </c>
      <c r="O4898">
        <v>109093.7</v>
      </c>
      <c r="P4898">
        <v>2</v>
      </c>
      <c r="Q4898" s="1" t="s">
        <v>569</v>
      </c>
      <c r="R4898" s="93">
        <v>10909.37</v>
      </c>
      <c r="S4898">
        <v>5116.4799999999996</v>
      </c>
      <c r="T4898">
        <v>1</v>
      </c>
      <c r="U4898" s="1" t="s">
        <v>1144</v>
      </c>
      <c r="V4898" s="1"/>
      <c r="W4898">
        <v>10909.359850000001</v>
      </c>
      <c r="X4898">
        <v>0</v>
      </c>
      <c r="Y4898">
        <v>71007</v>
      </c>
    </row>
    <row r="4899" spans="1:25" ht="15" hidden="1" customHeight="1" x14ac:dyDescent="0.25">
      <c r="A4899" s="1" t="s">
        <v>40</v>
      </c>
      <c r="B4899" s="1" t="s">
        <v>86</v>
      </c>
      <c r="C4899" s="1" t="s">
        <v>213</v>
      </c>
      <c r="D4899">
        <v>5468</v>
      </c>
      <c r="E4899" s="1"/>
      <c r="F4899" s="1" t="s">
        <v>213</v>
      </c>
      <c r="G4899" s="1" t="s">
        <v>213</v>
      </c>
      <c r="H4899" s="1" t="s">
        <v>1405</v>
      </c>
      <c r="I4899">
        <v>2015</v>
      </c>
      <c r="J4899" s="93">
        <v>262966</v>
      </c>
      <c r="K4899">
        <v>5</v>
      </c>
      <c r="L4899" s="1"/>
      <c r="M4899">
        <v>0</v>
      </c>
      <c r="N4899">
        <v>12237</v>
      </c>
      <c r="O4899">
        <v>14.463167</v>
      </c>
      <c r="P4899">
        <v>2</v>
      </c>
      <c r="Q4899" s="1" t="s">
        <v>569</v>
      </c>
      <c r="R4899" s="93">
        <v>176987.23</v>
      </c>
      <c r="S4899">
        <v>70794.899999999994</v>
      </c>
      <c r="T4899">
        <v>1</v>
      </c>
      <c r="U4899" s="1" t="s">
        <v>1152</v>
      </c>
      <c r="V4899" s="1" t="s">
        <v>1351</v>
      </c>
      <c r="W4899">
        <v>176987.23</v>
      </c>
      <c r="X4899">
        <v>0</v>
      </c>
      <c r="Y4899">
        <v>57824</v>
      </c>
    </row>
    <row r="4900" spans="1:25" ht="15" hidden="1" customHeight="1" x14ac:dyDescent="0.25">
      <c r="A4900" s="1" t="s">
        <v>40</v>
      </c>
      <c r="B4900" s="1" t="s">
        <v>86</v>
      </c>
      <c r="C4900" s="1" t="s">
        <v>213</v>
      </c>
      <c r="D4900">
        <v>5468</v>
      </c>
      <c r="E4900" s="1"/>
      <c r="F4900" s="1" t="s">
        <v>213</v>
      </c>
      <c r="G4900" s="1" t="s">
        <v>213</v>
      </c>
      <c r="H4900" s="1" t="s">
        <v>1396</v>
      </c>
      <c r="I4900">
        <v>2015</v>
      </c>
      <c r="J4900" s="93">
        <v>0</v>
      </c>
      <c r="K4900">
        <v>5</v>
      </c>
      <c r="L4900" s="1"/>
      <c r="M4900">
        <v>0</v>
      </c>
      <c r="N4900">
        <v>12237</v>
      </c>
      <c r="O4900">
        <v>0</v>
      </c>
      <c r="P4900">
        <v>2</v>
      </c>
      <c r="Q4900" s="1" t="s">
        <v>569</v>
      </c>
      <c r="R4900" s="93">
        <v>0</v>
      </c>
      <c r="S4900">
        <v>0</v>
      </c>
      <c r="T4900">
        <v>1</v>
      </c>
      <c r="U4900" s="1" t="s">
        <v>1153</v>
      </c>
      <c r="V4900" s="1" t="s">
        <v>1352</v>
      </c>
      <c r="W4900">
        <v>0</v>
      </c>
      <c r="X4900">
        <v>0</v>
      </c>
      <c r="Y4900">
        <v>57820</v>
      </c>
    </row>
    <row r="4901" spans="1:25" ht="15" hidden="1" customHeight="1" x14ac:dyDescent="0.25">
      <c r="A4901" s="1" t="s">
        <v>40</v>
      </c>
      <c r="B4901" s="1" t="s">
        <v>86</v>
      </c>
      <c r="C4901" s="1" t="s">
        <v>213</v>
      </c>
      <c r="D4901">
        <v>5468</v>
      </c>
      <c r="E4901" s="1"/>
      <c r="F4901" s="1" t="s">
        <v>213</v>
      </c>
      <c r="G4901" s="1" t="s">
        <v>213</v>
      </c>
      <c r="H4901" s="1" t="s">
        <v>1396</v>
      </c>
      <c r="I4901">
        <v>2015</v>
      </c>
      <c r="J4901" s="93">
        <v>35.75</v>
      </c>
      <c r="K4901">
        <v>5</v>
      </c>
      <c r="L4901" s="1" t="s">
        <v>421</v>
      </c>
      <c r="M4901">
        <v>0</v>
      </c>
      <c r="N4901">
        <v>12237</v>
      </c>
      <c r="O4901">
        <v>2.921E-3</v>
      </c>
      <c r="P4901">
        <v>2</v>
      </c>
      <c r="Q4901" s="1" t="s">
        <v>569</v>
      </c>
      <c r="R4901" s="93">
        <v>35.75</v>
      </c>
      <c r="S4901">
        <v>10.72</v>
      </c>
      <c r="T4901">
        <v>1</v>
      </c>
      <c r="U4901" s="1" t="s">
        <v>1154</v>
      </c>
      <c r="V4901" s="1"/>
      <c r="W4901">
        <v>35.742849999999997</v>
      </c>
      <c r="X4901">
        <v>0</v>
      </c>
      <c r="Y4901">
        <v>92978</v>
      </c>
    </row>
    <row r="4902" spans="1:25" ht="15" hidden="1" customHeight="1" x14ac:dyDescent="0.25">
      <c r="A4902" s="1" t="s">
        <v>40</v>
      </c>
      <c r="B4902" s="1" t="s">
        <v>86</v>
      </c>
      <c r="C4902" s="1" t="s">
        <v>213</v>
      </c>
      <c r="D4902">
        <v>5468</v>
      </c>
      <c r="E4902" s="1"/>
      <c r="F4902" s="1" t="s">
        <v>213</v>
      </c>
      <c r="G4902" s="1" t="s">
        <v>213</v>
      </c>
      <c r="H4902" s="1" t="s">
        <v>1405</v>
      </c>
      <c r="I4902">
        <v>2013</v>
      </c>
      <c r="J4902" s="93">
        <v>393599</v>
      </c>
      <c r="K4902">
        <v>12</v>
      </c>
      <c r="L4902" s="1"/>
      <c r="M4902">
        <v>0</v>
      </c>
      <c r="N4902">
        <v>12237</v>
      </c>
      <c r="O4902">
        <v>32.164400999999998</v>
      </c>
      <c r="P4902">
        <v>2</v>
      </c>
      <c r="Q4902" s="1" t="s">
        <v>569</v>
      </c>
      <c r="R4902" s="93">
        <v>393599</v>
      </c>
      <c r="S4902">
        <v>157439.59</v>
      </c>
      <c r="T4902">
        <v>1</v>
      </c>
      <c r="U4902" s="1" t="s">
        <v>1152</v>
      </c>
      <c r="V4902" s="1" t="s">
        <v>1351</v>
      </c>
      <c r="W4902">
        <v>393599</v>
      </c>
      <c r="X4902">
        <v>0</v>
      </c>
      <c r="Y4902">
        <v>57824</v>
      </c>
    </row>
    <row r="4903" spans="1:25" ht="15" hidden="1" customHeight="1" x14ac:dyDescent="0.25">
      <c r="A4903" s="1" t="s">
        <v>40</v>
      </c>
      <c r="B4903" s="1" t="s">
        <v>86</v>
      </c>
      <c r="C4903" s="1" t="s">
        <v>213</v>
      </c>
      <c r="D4903">
        <v>5468</v>
      </c>
      <c r="E4903" s="1"/>
      <c r="F4903" s="1" t="s">
        <v>213</v>
      </c>
      <c r="G4903" s="1" t="s">
        <v>213</v>
      </c>
      <c r="H4903" s="1" t="s">
        <v>1396</v>
      </c>
      <c r="I4903">
        <v>2013</v>
      </c>
      <c r="J4903" s="93">
        <v>350696.5</v>
      </c>
      <c r="K4903">
        <v>12</v>
      </c>
      <c r="L4903" s="1"/>
      <c r="M4903">
        <v>0</v>
      </c>
      <c r="N4903">
        <v>12237</v>
      </c>
      <c r="O4903">
        <v>28.658463999999999</v>
      </c>
      <c r="P4903">
        <v>2</v>
      </c>
      <c r="Q4903" s="1" t="s">
        <v>569</v>
      </c>
      <c r="R4903" s="93">
        <v>350696.5</v>
      </c>
      <c r="S4903">
        <v>140278.6</v>
      </c>
      <c r="T4903">
        <v>1</v>
      </c>
      <c r="U4903" s="1" t="s">
        <v>1153</v>
      </c>
      <c r="V4903" s="1" t="s">
        <v>1352</v>
      </c>
      <c r="W4903">
        <v>350696.5</v>
      </c>
      <c r="X4903">
        <v>0</v>
      </c>
      <c r="Y4903">
        <v>57820</v>
      </c>
    </row>
    <row r="4904" spans="1:25" ht="15" hidden="1" customHeight="1" x14ac:dyDescent="0.25">
      <c r="A4904" s="1" t="s">
        <v>40</v>
      </c>
      <c r="B4904" s="1" t="s">
        <v>86</v>
      </c>
      <c r="C4904" s="1" t="s">
        <v>213</v>
      </c>
      <c r="D4904">
        <v>5468</v>
      </c>
      <c r="E4904" s="1"/>
      <c r="F4904" s="1" t="s">
        <v>213</v>
      </c>
      <c r="G4904" s="1" t="s">
        <v>213</v>
      </c>
      <c r="H4904" s="1" t="s">
        <v>1396</v>
      </c>
      <c r="I4904">
        <v>2013</v>
      </c>
      <c r="J4904" s="93">
        <v>209.9</v>
      </c>
      <c r="K4904">
        <v>11</v>
      </c>
      <c r="L4904" s="1" t="s">
        <v>421</v>
      </c>
      <c r="M4904">
        <v>0</v>
      </c>
      <c r="N4904">
        <v>12237</v>
      </c>
      <c r="O4904">
        <v>1.7152000000000001E-2</v>
      </c>
      <c r="P4904">
        <v>2</v>
      </c>
      <c r="Q4904" s="1" t="s">
        <v>569</v>
      </c>
      <c r="R4904" s="93">
        <v>209.9</v>
      </c>
      <c r="S4904">
        <v>62.97</v>
      </c>
      <c r="T4904">
        <v>1</v>
      </c>
      <c r="U4904" s="1" t="s">
        <v>1154</v>
      </c>
      <c r="V4904" s="1"/>
      <c r="W4904">
        <v>209.90701999999999</v>
      </c>
      <c r="X4904">
        <v>0</v>
      </c>
      <c r="Y4904">
        <v>92978</v>
      </c>
    </row>
    <row r="4905" spans="1:25" ht="15" hidden="1" customHeight="1" x14ac:dyDescent="0.25">
      <c r="A4905" s="1" t="s">
        <v>40</v>
      </c>
      <c r="B4905" s="1" t="s">
        <v>86</v>
      </c>
      <c r="C4905" s="1" t="s">
        <v>213</v>
      </c>
      <c r="D4905">
        <v>5468</v>
      </c>
      <c r="E4905" s="1"/>
      <c r="F4905" s="1" t="s">
        <v>213</v>
      </c>
      <c r="G4905" s="1" t="s">
        <v>213</v>
      </c>
      <c r="H4905" s="1" t="s">
        <v>1396</v>
      </c>
      <c r="I4905">
        <v>2012</v>
      </c>
      <c r="J4905" s="93">
        <v>396174.05</v>
      </c>
      <c r="K4905">
        <v>12</v>
      </c>
      <c r="L4905" s="1"/>
      <c r="M4905">
        <v>0</v>
      </c>
      <c r="N4905">
        <v>12237</v>
      </c>
      <c r="O4905">
        <v>32.374831</v>
      </c>
      <c r="P4905">
        <v>2</v>
      </c>
      <c r="Q4905" s="1" t="s">
        <v>569</v>
      </c>
      <c r="R4905" s="93">
        <v>396174.05</v>
      </c>
      <c r="S4905">
        <v>158469.62</v>
      </c>
      <c r="T4905">
        <v>1</v>
      </c>
      <c r="U4905" s="1" t="s">
        <v>1153</v>
      </c>
      <c r="V4905" s="1" t="s">
        <v>1352</v>
      </c>
      <c r="W4905">
        <v>396174.05</v>
      </c>
      <c r="X4905">
        <v>0</v>
      </c>
      <c r="Y4905">
        <v>57820</v>
      </c>
    </row>
    <row r="4906" spans="1:25" ht="15" hidden="1" customHeight="1" x14ac:dyDescent="0.25">
      <c r="A4906" s="1" t="s">
        <v>40</v>
      </c>
      <c r="B4906" s="1" t="s">
        <v>86</v>
      </c>
      <c r="C4906" s="1" t="s">
        <v>213</v>
      </c>
      <c r="D4906">
        <v>5468</v>
      </c>
      <c r="E4906" s="1"/>
      <c r="F4906" s="1" t="s">
        <v>213</v>
      </c>
      <c r="G4906" s="1" t="s">
        <v>213</v>
      </c>
      <c r="H4906" s="1" t="s">
        <v>1405</v>
      </c>
      <c r="I4906">
        <v>2012</v>
      </c>
      <c r="J4906" s="93">
        <v>196184.72</v>
      </c>
      <c r="K4906">
        <v>12</v>
      </c>
      <c r="L4906" s="1"/>
      <c r="M4906">
        <v>0</v>
      </c>
      <c r="N4906">
        <v>12237</v>
      </c>
      <c r="O4906">
        <v>16.031960999999999</v>
      </c>
      <c r="P4906">
        <v>2</v>
      </c>
      <c r="Q4906" s="1" t="s">
        <v>569</v>
      </c>
      <c r="R4906" s="93">
        <v>196184.72</v>
      </c>
      <c r="S4906">
        <v>78473.899999999994</v>
      </c>
      <c r="T4906">
        <v>1</v>
      </c>
      <c r="U4906" s="1" t="s">
        <v>1152</v>
      </c>
      <c r="V4906" s="1" t="s">
        <v>1351</v>
      </c>
      <c r="W4906">
        <v>196184.71799999999</v>
      </c>
      <c r="X4906">
        <v>0</v>
      </c>
      <c r="Y4906">
        <v>57824</v>
      </c>
    </row>
    <row r="4907" spans="1:25" ht="15" hidden="1" customHeight="1" x14ac:dyDescent="0.25">
      <c r="A4907" s="1" t="s">
        <v>40</v>
      </c>
      <c r="B4907" s="1" t="s">
        <v>86</v>
      </c>
      <c r="C4907" s="1" t="s">
        <v>213</v>
      </c>
      <c r="D4907">
        <v>5468</v>
      </c>
      <c r="E4907" s="1"/>
      <c r="F4907" s="1" t="s">
        <v>213</v>
      </c>
      <c r="G4907" s="1" t="s">
        <v>213</v>
      </c>
      <c r="H4907" s="1" t="s">
        <v>1396</v>
      </c>
      <c r="I4907">
        <v>2012</v>
      </c>
      <c r="J4907" s="93">
        <v>27.71</v>
      </c>
      <c r="K4907">
        <v>4</v>
      </c>
      <c r="L4907" s="1" t="s">
        <v>421</v>
      </c>
      <c r="M4907">
        <v>0</v>
      </c>
      <c r="N4907">
        <v>12237</v>
      </c>
      <c r="O4907">
        <v>2.264E-3</v>
      </c>
      <c r="P4907">
        <v>2</v>
      </c>
      <c r="Q4907" s="1" t="s">
        <v>569</v>
      </c>
      <c r="R4907" s="93">
        <v>27.71</v>
      </c>
      <c r="S4907">
        <v>11.09</v>
      </c>
      <c r="T4907">
        <v>1</v>
      </c>
      <c r="U4907" s="1" t="s">
        <v>1154</v>
      </c>
      <c r="V4907" s="1"/>
      <c r="W4907">
        <v>27.70589</v>
      </c>
      <c r="X4907">
        <v>0</v>
      </c>
      <c r="Y4907">
        <v>92978</v>
      </c>
    </row>
    <row r="4908" spans="1:25" ht="15" hidden="1" customHeight="1" x14ac:dyDescent="0.25">
      <c r="A4908" s="1" t="s">
        <v>40</v>
      </c>
      <c r="B4908" s="1" t="s">
        <v>86</v>
      </c>
      <c r="C4908" s="1" t="s">
        <v>213</v>
      </c>
      <c r="D4908">
        <v>5468</v>
      </c>
      <c r="E4908" s="1"/>
      <c r="F4908" s="1" t="s">
        <v>213</v>
      </c>
      <c r="G4908" s="1" t="s">
        <v>213</v>
      </c>
      <c r="H4908" s="1" t="s">
        <v>1396</v>
      </c>
      <c r="I4908">
        <v>2011</v>
      </c>
      <c r="J4908" s="93">
        <v>192165.4</v>
      </c>
      <c r="K4908">
        <v>12</v>
      </c>
      <c r="L4908" s="1"/>
      <c r="M4908">
        <v>0</v>
      </c>
      <c r="N4908">
        <v>12237</v>
      </c>
      <c r="O4908">
        <v>15.703507999999999</v>
      </c>
      <c r="P4908">
        <v>2</v>
      </c>
      <c r="Q4908" s="1" t="s">
        <v>569</v>
      </c>
      <c r="R4908" s="93">
        <v>192165.4</v>
      </c>
      <c r="S4908">
        <v>90125.57</v>
      </c>
      <c r="T4908">
        <v>1</v>
      </c>
      <c r="U4908" s="1" t="s">
        <v>1153</v>
      </c>
      <c r="V4908" s="1" t="s">
        <v>1352</v>
      </c>
      <c r="W4908">
        <v>192165.4</v>
      </c>
      <c r="X4908">
        <v>0</v>
      </c>
      <c r="Y4908">
        <v>57820</v>
      </c>
    </row>
    <row r="4909" spans="1:25" ht="15" hidden="1" customHeight="1" x14ac:dyDescent="0.25">
      <c r="A4909" s="1" t="s">
        <v>40</v>
      </c>
      <c r="B4909" s="1" t="s">
        <v>86</v>
      </c>
      <c r="C4909" s="1" t="s">
        <v>213</v>
      </c>
      <c r="D4909">
        <v>5468</v>
      </c>
      <c r="E4909" s="1"/>
      <c r="F4909" s="1" t="s">
        <v>213</v>
      </c>
      <c r="G4909" s="1" t="s">
        <v>213</v>
      </c>
      <c r="H4909" s="1" t="s">
        <v>1405</v>
      </c>
      <c r="I4909">
        <v>2011</v>
      </c>
      <c r="J4909" s="93">
        <v>190385.94</v>
      </c>
      <c r="K4909">
        <v>12</v>
      </c>
      <c r="L4909" s="1"/>
      <c r="M4909">
        <v>0</v>
      </c>
      <c r="N4909">
        <v>12237</v>
      </c>
      <c r="O4909">
        <v>15.558093</v>
      </c>
      <c r="P4909">
        <v>2</v>
      </c>
      <c r="Q4909" s="1" t="s">
        <v>569</v>
      </c>
      <c r="R4909" s="93">
        <v>190385.94</v>
      </c>
      <c r="S4909">
        <v>89291.02</v>
      </c>
      <c r="T4909">
        <v>1</v>
      </c>
      <c r="U4909" s="1" t="s">
        <v>1152</v>
      </c>
      <c r="V4909" s="1" t="s">
        <v>1351</v>
      </c>
      <c r="W4909">
        <v>190385.94</v>
      </c>
      <c r="X4909">
        <v>0</v>
      </c>
      <c r="Y4909">
        <v>57824</v>
      </c>
    </row>
    <row r="4910" spans="1:25" ht="15" hidden="1" customHeight="1" x14ac:dyDescent="0.25">
      <c r="A4910" s="1" t="s">
        <v>40</v>
      </c>
      <c r="B4910" s="1" t="s">
        <v>86</v>
      </c>
      <c r="C4910" s="1" t="s">
        <v>213</v>
      </c>
      <c r="D4910">
        <v>5468</v>
      </c>
      <c r="E4910" s="1"/>
      <c r="F4910" s="1" t="s">
        <v>213</v>
      </c>
      <c r="G4910" s="1" t="s">
        <v>213</v>
      </c>
      <c r="H4910" s="1" t="s">
        <v>1396</v>
      </c>
      <c r="I4910">
        <v>2010</v>
      </c>
      <c r="J4910" s="93">
        <v>199257.1</v>
      </c>
      <c r="K4910">
        <v>12</v>
      </c>
      <c r="L4910" s="1"/>
      <c r="M4910">
        <v>0</v>
      </c>
      <c r="N4910">
        <v>12237</v>
      </c>
      <c r="O4910">
        <v>16.283031999999999</v>
      </c>
      <c r="P4910">
        <v>2</v>
      </c>
      <c r="Q4910" s="1" t="s">
        <v>569</v>
      </c>
      <c r="R4910" s="93">
        <v>199257.1</v>
      </c>
      <c r="S4910">
        <v>93451.58</v>
      </c>
      <c r="T4910">
        <v>1</v>
      </c>
      <c r="U4910" s="1" t="s">
        <v>1153</v>
      </c>
      <c r="V4910" s="1" t="s">
        <v>1352</v>
      </c>
      <c r="W4910">
        <v>199257.1</v>
      </c>
      <c r="X4910">
        <v>0</v>
      </c>
      <c r="Y4910">
        <v>57820</v>
      </c>
    </row>
    <row r="4911" spans="1:25" ht="15" hidden="1" customHeight="1" x14ac:dyDescent="0.25">
      <c r="A4911" s="1" t="s">
        <v>40</v>
      </c>
      <c r="B4911" s="1" t="s">
        <v>86</v>
      </c>
      <c r="C4911" s="1" t="s">
        <v>213</v>
      </c>
      <c r="D4911">
        <v>5468</v>
      </c>
      <c r="E4911" s="1"/>
      <c r="F4911" s="1" t="s">
        <v>213</v>
      </c>
      <c r="G4911" s="1" t="s">
        <v>213</v>
      </c>
      <c r="H4911" s="1" t="s">
        <v>1405</v>
      </c>
      <c r="I4911">
        <v>2010</v>
      </c>
      <c r="J4911" s="93">
        <v>187328.23</v>
      </c>
      <c r="K4911">
        <v>12</v>
      </c>
      <c r="L4911" s="1"/>
      <c r="M4911">
        <v>0</v>
      </c>
      <c r="N4911">
        <v>12237</v>
      </c>
      <c r="O4911">
        <v>15.30822</v>
      </c>
      <c r="P4911">
        <v>2</v>
      </c>
      <c r="Q4911" s="1" t="s">
        <v>569</v>
      </c>
      <c r="R4911" s="93">
        <v>187328.23</v>
      </c>
      <c r="S4911">
        <v>87856.95</v>
      </c>
      <c r="T4911">
        <v>1</v>
      </c>
      <c r="U4911" s="1" t="s">
        <v>1152</v>
      </c>
      <c r="V4911" s="1" t="s">
        <v>1351</v>
      </c>
      <c r="W4911">
        <v>187328.23</v>
      </c>
      <c r="X4911">
        <v>0</v>
      </c>
      <c r="Y4911">
        <v>57824</v>
      </c>
    </row>
    <row r="4912" spans="1:25" ht="15" hidden="1" customHeight="1" x14ac:dyDescent="0.25">
      <c r="A4912" s="1" t="s">
        <v>40</v>
      </c>
      <c r="B4912" s="1" t="s">
        <v>86</v>
      </c>
      <c r="C4912" s="1" t="s">
        <v>213</v>
      </c>
      <c r="D4912">
        <v>5468</v>
      </c>
      <c r="E4912" s="1"/>
      <c r="F4912" s="1" t="s">
        <v>213</v>
      </c>
      <c r="G4912" s="1" t="s">
        <v>213</v>
      </c>
      <c r="H4912" s="1" t="s">
        <v>1396</v>
      </c>
      <c r="I4912">
        <v>2009</v>
      </c>
      <c r="J4912" s="93">
        <v>199762.5</v>
      </c>
      <c r="K4912">
        <v>12</v>
      </c>
      <c r="L4912" s="1"/>
      <c r="M4912">
        <v>0</v>
      </c>
      <c r="N4912">
        <v>12237</v>
      </c>
      <c r="O4912">
        <v>16.324332999999999</v>
      </c>
      <c r="P4912">
        <v>2</v>
      </c>
      <c r="Q4912" s="1" t="s">
        <v>569</v>
      </c>
      <c r="R4912" s="93">
        <v>199762.5</v>
      </c>
      <c r="S4912">
        <v>93688.6</v>
      </c>
      <c r="T4912">
        <v>1</v>
      </c>
      <c r="U4912" s="1" t="s">
        <v>1153</v>
      </c>
      <c r="V4912" s="1" t="s">
        <v>1352</v>
      </c>
      <c r="W4912">
        <v>199762.5</v>
      </c>
      <c r="X4912">
        <v>0</v>
      </c>
      <c r="Y4912">
        <v>57820</v>
      </c>
    </row>
    <row r="4913" spans="1:25" ht="15" hidden="1" customHeight="1" x14ac:dyDescent="0.25">
      <c r="A4913" s="1" t="s">
        <v>40</v>
      </c>
      <c r="B4913" s="1" t="s">
        <v>86</v>
      </c>
      <c r="C4913" s="1" t="s">
        <v>213</v>
      </c>
      <c r="D4913">
        <v>5468</v>
      </c>
      <c r="E4913" s="1"/>
      <c r="F4913" s="1" t="s">
        <v>213</v>
      </c>
      <c r="G4913" s="1" t="s">
        <v>213</v>
      </c>
      <c r="H4913" s="1" t="s">
        <v>1405</v>
      </c>
      <c r="I4913">
        <v>2009</v>
      </c>
      <c r="J4913" s="93">
        <v>183184.93</v>
      </c>
      <c r="K4913">
        <v>12</v>
      </c>
      <c r="L4913" s="1"/>
      <c r="M4913">
        <v>0</v>
      </c>
      <c r="N4913">
        <v>12237</v>
      </c>
      <c r="O4913">
        <v>14.969635</v>
      </c>
      <c r="P4913">
        <v>2</v>
      </c>
      <c r="Q4913" s="1" t="s">
        <v>569</v>
      </c>
      <c r="R4913" s="93">
        <v>183184.93</v>
      </c>
      <c r="S4913">
        <v>85913.73</v>
      </c>
      <c r="T4913">
        <v>1</v>
      </c>
      <c r="U4913" s="1" t="s">
        <v>1152</v>
      </c>
      <c r="V4913" s="1" t="s">
        <v>1351</v>
      </c>
      <c r="W4913">
        <v>183184.93</v>
      </c>
      <c r="X4913">
        <v>0</v>
      </c>
      <c r="Y4913">
        <v>57824</v>
      </c>
    </row>
    <row r="4914" spans="1:25" ht="15" hidden="1" customHeight="1" x14ac:dyDescent="0.25">
      <c r="A4914" s="1" t="s">
        <v>40</v>
      </c>
      <c r="B4914" s="1" t="s">
        <v>86</v>
      </c>
      <c r="C4914" s="1" t="s">
        <v>213</v>
      </c>
      <c r="D4914">
        <v>5468</v>
      </c>
      <c r="E4914" s="1"/>
      <c r="F4914" s="1" t="s">
        <v>213</v>
      </c>
      <c r="G4914" s="1" t="s">
        <v>213</v>
      </c>
      <c r="H4914" s="1" t="s">
        <v>1405</v>
      </c>
      <c r="I4914">
        <v>2015</v>
      </c>
      <c r="J4914" s="93">
        <v>150267</v>
      </c>
      <c r="L4914" s="1"/>
      <c r="P4914">
        <v>2</v>
      </c>
      <c r="Q4914" s="1" t="s">
        <v>569</v>
      </c>
      <c r="R4914" s="93">
        <v>150267</v>
      </c>
      <c r="U4914" s="1" t="s">
        <v>1520</v>
      </c>
      <c r="V4914" s="1"/>
    </row>
    <row r="4915" spans="1:25" ht="15" hidden="1" customHeight="1" x14ac:dyDescent="0.25">
      <c r="A4915" s="1" t="s">
        <v>40</v>
      </c>
      <c r="B4915" s="1" t="s">
        <v>86</v>
      </c>
      <c r="C4915" s="1" t="s">
        <v>213</v>
      </c>
      <c r="D4915">
        <v>5468</v>
      </c>
      <c r="E4915" s="1"/>
      <c r="F4915" s="1" t="s">
        <v>213</v>
      </c>
      <c r="G4915" s="1" t="s">
        <v>213</v>
      </c>
      <c r="H4915" s="1" t="s">
        <v>1405</v>
      </c>
      <c r="I4915">
        <v>2008</v>
      </c>
      <c r="J4915" s="93">
        <v>129162.33</v>
      </c>
      <c r="K4915">
        <v>12</v>
      </c>
      <c r="L4915" s="1"/>
      <c r="M4915">
        <v>0</v>
      </c>
      <c r="N4915">
        <v>12237</v>
      </c>
      <c r="O4915">
        <v>10.554978</v>
      </c>
      <c r="P4915">
        <v>2</v>
      </c>
      <c r="Q4915" s="1" t="s">
        <v>569</v>
      </c>
      <c r="R4915" s="93">
        <v>129162.33</v>
      </c>
      <c r="S4915">
        <v>60577.120000000003</v>
      </c>
      <c r="T4915">
        <v>1</v>
      </c>
      <c r="U4915" s="1" t="s">
        <v>1152</v>
      </c>
      <c r="V4915" s="1" t="s">
        <v>1351</v>
      </c>
      <c r="W4915">
        <v>129162.33</v>
      </c>
      <c r="X4915">
        <v>0</v>
      </c>
      <c r="Y4915">
        <v>57824</v>
      </c>
    </row>
    <row r="4916" spans="1:25" ht="15" hidden="1" customHeight="1" x14ac:dyDescent="0.25">
      <c r="A4916" s="1" t="s">
        <v>40</v>
      </c>
      <c r="B4916" s="1" t="s">
        <v>86</v>
      </c>
      <c r="C4916" s="1" t="s">
        <v>213</v>
      </c>
      <c r="D4916">
        <v>5468</v>
      </c>
      <c r="E4916" s="1"/>
      <c r="F4916" s="1" t="s">
        <v>213</v>
      </c>
      <c r="G4916" s="1" t="s">
        <v>213</v>
      </c>
      <c r="H4916" s="1" t="s">
        <v>1405</v>
      </c>
      <c r="I4916">
        <v>2008</v>
      </c>
      <c r="J4916" s="93">
        <v>65904</v>
      </c>
      <c r="K4916">
        <v>5</v>
      </c>
      <c r="L4916" s="1" t="s">
        <v>455</v>
      </c>
      <c r="M4916">
        <v>0</v>
      </c>
      <c r="N4916">
        <v>12237</v>
      </c>
      <c r="O4916">
        <v>5.3855890000000004</v>
      </c>
      <c r="P4916">
        <v>2</v>
      </c>
      <c r="Q4916" s="1" t="s">
        <v>569</v>
      </c>
      <c r="R4916" s="93">
        <v>65904</v>
      </c>
      <c r="S4916">
        <v>30908.97</v>
      </c>
      <c r="T4916">
        <v>0</v>
      </c>
      <c r="U4916" s="1" t="s">
        <v>1152</v>
      </c>
      <c r="V4916" s="1"/>
      <c r="W4916">
        <v>65904</v>
      </c>
      <c r="X4916">
        <v>0</v>
      </c>
      <c r="Y4916">
        <v>57825</v>
      </c>
    </row>
    <row r="4917" spans="1:25" ht="15" hidden="1" customHeight="1" x14ac:dyDescent="0.25">
      <c r="A4917" s="1" t="s">
        <v>40</v>
      </c>
      <c r="B4917" s="1" t="s">
        <v>86</v>
      </c>
      <c r="C4917" s="1" t="s">
        <v>213</v>
      </c>
      <c r="D4917">
        <v>5468</v>
      </c>
      <c r="E4917" s="1"/>
      <c r="F4917" s="1" t="s">
        <v>213</v>
      </c>
      <c r="G4917" s="1" t="s">
        <v>213</v>
      </c>
      <c r="H4917" s="1" t="s">
        <v>1396</v>
      </c>
      <c r="I4917">
        <v>2008</v>
      </c>
      <c r="J4917" s="93">
        <v>118440.35</v>
      </c>
      <c r="K4917">
        <v>12</v>
      </c>
      <c r="L4917" s="1"/>
      <c r="M4917">
        <v>0</v>
      </c>
      <c r="N4917">
        <v>12237</v>
      </c>
      <c r="O4917">
        <v>9.6787919999999996</v>
      </c>
      <c r="P4917">
        <v>2</v>
      </c>
      <c r="Q4917" s="1" t="s">
        <v>569</v>
      </c>
      <c r="R4917" s="93">
        <v>118440.35</v>
      </c>
      <c r="S4917">
        <v>55548.53</v>
      </c>
      <c r="T4917">
        <v>1</v>
      </c>
      <c r="U4917" s="1" t="s">
        <v>1153</v>
      </c>
      <c r="V4917" s="1" t="s">
        <v>1352</v>
      </c>
      <c r="W4917">
        <v>118440.35</v>
      </c>
      <c r="X4917">
        <v>0</v>
      </c>
      <c r="Y4917">
        <v>57820</v>
      </c>
    </row>
    <row r="4918" spans="1:25" ht="15" hidden="1" customHeight="1" x14ac:dyDescent="0.25">
      <c r="A4918" s="1" t="s">
        <v>40</v>
      </c>
      <c r="B4918" s="1" t="s">
        <v>86</v>
      </c>
      <c r="C4918" s="1" t="s">
        <v>213</v>
      </c>
      <c r="D4918">
        <v>5468</v>
      </c>
      <c r="E4918" s="1"/>
      <c r="F4918" s="1" t="s">
        <v>213</v>
      </c>
      <c r="G4918" s="1" t="s">
        <v>213</v>
      </c>
      <c r="H4918" s="1" t="s">
        <v>1396</v>
      </c>
      <c r="I4918">
        <v>2008</v>
      </c>
      <c r="J4918" s="93">
        <v>51420</v>
      </c>
      <c r="K4918">
        <v>5</v>
      </c>
      <c r="L4918" s="1" t="s">
        <v>455</v>
      </c>
      <c r="M4918">
        <v>0</v>
      </c>
      <c r="N4918">
        <v>12237</v>
      </c>
      <c r="O4918">
        <v>4.201975</v>
      </c>
      <c r="P4918">
        <v>2</v>
      </c>
      <c r="Q4918" s="1" t="s">
        <v>569</v>
      </c>
      <c r="R4918" s="93">
        <v>51420</v>
      </c>
      <c r="S4918">
        <v>24115.98</v>
      </c>
      <c r="T4918">
        <v>0</v>
      </c>
      <c r="U4918" s="1" t="s">
        <v>1155</v>
      </c>
      <c r="V4918" s="1"/>
      <c r="W4918">
        <v>51420</v>
      </c>
      <c r="X4918">
        <v>0</v>
      </c>
      <c r="Y4918">
        <v>57823</v>
      </c>
    </row>
    <row r="4919" spans="1:25" ht="15" hidden="1" customHeight="1" x14ac:dyDescent="0.25">
      <c r="A4919" s="1" t="s">
        <v>40</v>
      </c>
      <c r="B4919" s="1" t="s">
        <v>87</v>
      </c>
      <c r="C4919" s="1" t="s">
        <v>214</v>
      </c>
      <c r="D4919">
        <v>5954</v>
      </c>
      <c r="E4919" s="1"/>
      <c r="F4919" s="1" t="s">
        <v>352</v>
      </c>
      <c r="G4919" s="1" t="s">
        <v>214</v>
      </c>
      <c r="H4919" s="1" t="s">
        <v>1396</v>
      </c>
      <c r="I4919">
        <v>2015</v>
      </c>
      <c r="J4919" s="93">
        <v>7829.26</v>
      </c>
      <c r="K4919">
        <v>5</v>
      </c>
      <c r="L4919" s="1" t="s">
        <v>426</v>
      </c>
      <c r="M4919">
        <v>0</v>
      </c>
      <c r="N4919">
        <v>475</v>
      </c>
      <c r="O4919">
        <v>16.479182999999999</v>
      </c>
      <c r="P4919">
        <v>2</v>
      </c>
      <c r="Q4919" s="1" t="s">
        <v>569</v>
      </c>
      <c r="R4919" s="93">
        <v>7829.26</v>
      </c>
      <c r="S4919">
        <v>3131.7</v>
      </c>
      <c r="T4919">
        <v>0</v>
      </c>
      <c r="U4919" s="1" t="s">
        <v>1156</v>
      </c>
      <c r="V4919" s="1"/>
      <c r="W4919">
        <v>7829.2518</v>
      </c>
      <c r="X4919">
        <v>0</v>
      </c>
      <c r="Y4919">
        <v>59980</v>
      </c>
    </row>
    <row r="4920" spans="1:25" ht="15" hidden="1" customHeight="1" x14ac:dyDescent="0.25">
      <c r="A4920" s="1" t="s">
        <v>40</v>
      </c>
      <c r="B4920" s="1" t="s">
        <v>87</v>
      </c>
      <c r="C4920" s="1" t="s">
        <v>214</v>
      </c>
      <c r="D4920">
        <v>5954</v>
      </c>
      <c r="E4920" s="1"/>
      <c r="F4920" s="1" t="s">
        <v>352</v>
      </c>
      <c r="G4920" s="1" t="s">
        <v>214</v>
      </c>
      <c r="H4920" s="1" t="s">
        <v>1396</v>
      </c>
      <c r="I4920">
        <v>2013</v>
      </c>
      <c r="J4920" s="93">
        <v>19443.61</v>
      </c>
      <c r="K4920">
        <v>12</v>
      </c>
      <c r="L4920" s="1" t="s">
        <v>426</v>
      </c>
      <c r="M4920">
        <v>0</v>
      </c>
      <c r="N4920">
        <v>475</v>
      </c>
      <c r="O4920">
        <v>40.925299000000003</v>
      </c>
      <c r="P4920">
        <v>2</v>
      </c>
      <c r="Q4920" s="1" t="s">
        <v>569</v>
      </c>
      <c r="R4920" s="93">
        <v>19443.61</v>
      </c>
      <c r="S4920">
        <v>7777.44</v>
      </c>
      <c r="T4920">
        <v>0</v>
      </c>
      <c r="U4920" s="1" t="s">
        <v>1156</v>
      </c>
      <c r="V4920" s="1"/>
      <c r="W4920">
        <v>19443.599999999999</v>
      </c>
      <c r="X4920">
        <v>0</v>
      </c>
      <c r="Y4920">
        <v>59980</v>
      </c>
    </row>
    <row r="4921" spans="1:25" ht="15" hidden="1" customHeight="1" x14ac:dyDescent="0.25">
      <c r="A4921" s="1" t="s">
        <v>40</v>
      </c>
      <c r="B4921" s="1" t="s">
        <v>87</v>
      </c>
      <c r="C4921" s="1" t="s">
        <v>214</v>
      </c>
      <c r="D4921">
        <v>5954</v>
      </c>
      <c r="E4921" s="1"/>
      <c r="F4921" s="1" t="s">
        <v>352</v>
      </c>
      <c r="G4921" s="1" t="s">
        <v>214</v>
      </c>
      <c r="H4921" s="1" t="s">
        <v>1396</v>
      </c>
      <c r="I4921">
        <v>2012</v>
      </c>
      <c r="J4921" s="93">
        <v>20352.98</v>
      </c>
      <c r="K4921">
        <v>12</v>
      </c>
      <c r="L4921" s="1" t="s">
        <v>426</v>
      </c>
      <c r="M4921">
        <v>0</v>
      </c>
      <c r="N4921">
        <v>475</v>
      </c>
      <c r="O4921">
        <v>42.839359999999999</v>
      </c>
      <c r="P4921">
        <v>2</v>
      </c>
      <c r="Q4921" s="1" t="s">
        <v>569</v>
      </c>
      <c r="R4921" s="93">
        <v>20352.98</v>
      </c>
      <c r="S4921">
        <v>8141.17</v>
      </c>
      <c r="T4921">
        <v>0</v>
      </c>
      <c r="U4921" s="1" t="s">
        <v>1156</v>
      </c>
      <c r="V4921" s="1"/>
      <c r="W4921">
        <v>20352.969000000001</v>
      </c>
      <c r="X4921">
        <v>0</v>
      </c>
      <c r="Y4921">
        <v>59980</v>
      </c>
    </row>
    <row r="4922" spans="1:25" ht="15" hidden="1" customHeight="1" x14ac:dyDescent="0.25">
      <c r="A4922" s="1" t="s">
        <v>40</v>
      </c>
      <c r="B4922" s="1" t="s">
        <v>87</v>
      </c>
      <c r="C4922" s="1" t="s">
        <v>214</v>
      </c>
      <c r="D4922">
        <v>5954</v>
      </c>
      <c r="E4922" s="1"/>
      <c r="F4922" s="1" t="s">
        <v>352</v>
      </c>
      <c r="G4922" s="1" t="s">
        <v>214</v>
      </c>
      <c r="H4922" s="1" t="s">
        <v>1396</v>
      </c>
      <c r="I4922">
        <v>2011</v>
      </c>
      <c r="J4922" s="93">
        <v>22220.61</v>
      </c>
      <c r="K4922">
        <v>12</v>
      </c>
      <c r="L4922" s="1" t="s">
        <v>426</v>
      </c>
      <c r="M4922">
        <v>0</v>
      </c>
      <c r="N4922">
        <v>475</v>
      </c>
      <c r="O4922">
        <v>46.770384999999997</v>
      </c>
      <c r="P4922">
        <v>2</v>
      </c>
      <c r="Q4922" s="1" t="s">
        <v>569</v>
      </c>
      <c r="R4922" s="93">
        <v>22220.61</v>
      </c>
      <c r="S4922">
        <v>10421.469999999999</v>
      </c>
      <c r="T4922">
        <v>0</v>
      </c>
      <c r="U4922" s="1" t="s">
        <v>1156</v>
      </c>
      <c r="V4922" s="1"/>
      <c r="W4922">
        <v>22220.609639999999</v>
      </c>
      <c r="X4922">
        <v>0</v>
      </c>
      <c r="Y4922">
        <v>59980</v>
      </c>
    </row>
    <row r="4923" spans="1:25" ht="15" hidden="1" customHeight="1" x14ac:dyDescent="0.25">
      <c r="A4923" s="1" t="s">
        <v>40</v>
      </c>
      <c r="B4923" s="1" t="s">
        <v>87</v>
      </c>
      <c r="C4923" s="1" t="s">
        <v>214</v>
      </c>
      <c r="D4923">
        <v>5954</v>
      </c>
      <c r="E4923" s="1"/>
      <c r="F4923" s="1" t="s">
        <v>352</v>
      </c>
      <c r="G4923" s="1" t="s">
        <v>214</v>
      </c>
      <c r="H4923" s="1" t="s">
        <v>1396</v>
      </c>
      <c r="I4923">
        <v>2010</v>
      </c>
      <c r="J4923" s="93">
        <v>21769.21</v>
      </c>
      <c r="K4923">
        <v>11</v>
      </c>
      <c r="L4923" s="1" t="s">
        <v>426</v>
      </c>
      <c r="M4923">
        <v>0</v>
      </c>
      <c r="N4923">
        <v>475</v>
      </c>
      <c r="O4923">
        <v>45.820269000000003</v>
      </c>
      <c r="P4923">
        <v>2</v>
      </c>
      <c r="Q4923" s="1" t="s">
        <v>569</v>
      </c>
      <c r="R4923" s="93">
        <v>21769.21</v>
      </c>
      <c r="S4923">
        <v>10209.75</v>
      </c>
      <c r="T4923">
        <v>0</v>
      </c>
      <c r="U4923" s="1" t="s">
        <v>1156</v>
      </c>
      <c r="V4923" s="1"/>
      <c r="W4923">
        <v>21769.212439999999</v>
      </c>
      <c r="X4923">
        <v>0</v>
      </c>
      <c r="Y4923">
        <v>59980</v>
      </c>
    </row>
    <row r="4924" spans="1:25" ht="15" hidden="1" customHeight="1" x14ac:dyDescent="0.25">
      <c r="A4924" s="1" t="s">
        <v>40</v>
      </c>
      <c r="B4924" s="1" t="s">
        <v>87</v>
      </c>
      <c r="C4924" s="1" t="s">
        <v>214</v>
      </c>
      <c r="D4924">
        <v>5954</v>
      </c>
      <c r="E4924" s="1"/>
      <c r="F4924" s="1" t="s">
        <v>352</v>
      </c>
      <c r="G4924" s="1" t="s">
        <v>214</v>
      </c>
      <c r="H4924" s="1" t="s">
        <v>1396</v>
      </c>
      <c r="I4924">
        <v>2009</v>
      </c>
      <c r="J4924" s="93">
        <v>22978.68</v>
      </c>
      <c r="K4924">
        <v>11</v>
      </c>
      <c r="L4924" s="1" t="s">
        <v>426</v>
      </c>
      <c r="M4924">
        <v>0</v>
      </c>
      <c r="N4924">
        <v>475</v>
      </c>
      <c r="O4924">
        <v>48.365985999999999</v>
      </c>
      <c r="P4924">
        <v>2</v>
      </c>
      <c r="Q4924" s="1" t="s">
        <v>569</v>
      </c>
      <c r="R4924" s="93">
        <v>22978.68</v>
      </c>
      <c r="S4924">
        <v>10777.01</v>
      </c>
      <c r="T4924">
        <v>0</v>
      </c>
      <c r="U4924" s="1" t="s">
        <v>1156</v>
      </c>
      <c r="V4924" s="1"/>
      <c r="W4924">
        <v>22978.677489999998</v>
      </c>
      <c r="X4924">
        <v>0</v>
      </c>
      <c r="Y4924">
        <v>59980</v>
      </c>
    </row>
    <row r="4925" spans="1:25" ht="15" hidden="1" customHeight="1" x14ac:dyDescent="0.25">
      <c r="A4925" s="1" t="s">
        <v>40</v>
      </c>
      <c r="B4925" s="1" t="s">
        <v>87</v>
      </c>
      <c r="C4925" s="1" t="s">
        <v>214</v>
      </c>
      <c r="D4925">
        <v>5954</v>
      </c>
      <c r="E4925" s="1"/>
      <c r="F4925" s="1" t="s">
        <v>352</v>
      </c>
      <c r="G4925" s="1" t="s">
        <v>214</v>
      </c>
      <c r="H4925" s="1" t="s">
        <v>1396</v>
      </c>
      <c r="I4925">
        <v>2008</v>
      </c>
      <c r="J4925" s="93">
        <v>20158.45</v>
      </c>
      <c r="K4925">
        <v>12</v>
      </c>
      <c r="L4925" s="1" t="s">
        <v>426</v>
      </c>
      <c r="M4925">
        <v>0</v>
      </c>
      <c r="N4925">
        <v>475</v>
      </c>
      <c r="O4925">
        <v>42.429909000000002</v>
      </c>
      <c r="P4925">
        <v>2</v>
      </c>
      <c r="Q4925" s="1" t="s">
        <v>569</v>
      </c>
      <c r="R4925" s="93">
        <v>20158.45</v>
      </c>
      <c r="S4925">
        <v>9454.31</v>
      </c>
      <c r="T4925">
        <v>0</v>
      </c>
      <c r="U4925" s="1" t="s">
        <v>1156</v>
      </c>
      <c r="V4925" s="1"/>
      <c r="W4925">
        <v>20158.464899999999</v>
      </c>
      <c r="X4925">
        <v>0</v>
      </c>
      <c r="Y4925">
        <v>59980</v>
      </c>
    </row>
    <row r="4926" spans="1:25" ht="15" hidden="1" customHeight="1" x14ac:dyDescent="0.25">
      <c r="A4926" s="1" t="s">
        <v>40</v>
      </c>
      <c r="B4926" s="1" t="s">
        <v>88</v>
      </c>
      <c r="C4926" s="1" t="s">
        <v>215</v>
      </c>
      <c r="D4926">
        <v>5429</v>
      </c>
      <c r="E4926" s="1"/>
      <c r="F4926" s="1" t="s">
        <v>215</v>
      </c>
      <c r="G4926" s="1" t="s">
        <v>215</v>
      </c>
      <c r="H4926" s="1" t="s">
        <v>1396</v>
      </c>
      <c r="I4926">
        <v>2015</v>
      </c>
      <c r="J4926" s="93">
        <v>12979.53</v>
      </c>
      <c r="K4926">
        <v>5</v>
      </c>
      <c r="L4926" s="1" t="s">
        <v>472</v>
      </c>
      <c r="M4926">
        <v>0</v>
      </c>
      <c r="N4926">
        <v>1747</v>
      </c>
      <c r="O4926">
        <v>7.4291850000000004</v>
      </c>
      <c r="P4926">
        <v>2</v>
      </c>
      <c r="Q4926" s="1" t="s">
        <v>569</v>
      </c>
      <c r="R4926" s="93">
        <v>12979.53</v>
      </c>
      <c r="S4926">
        <v>5191.8100000000004</v>
      </c>
      <c r="T4926">
        <v>0</v>
      </c>
      <c r="U4926" s="1" t="s">
        <v>1157</v>
      </c>
      <c r="V4926" s="1" t="s">
        <v>1353</v>
      </c>
      <c r="W4926">
        <v>12979.53</v>
      </c>
      <c r="X4926">
        <v>0</v>
      </c>
      <c r="Y4926">
        <v>57408</v>
      </c>
    </row>
    <row r="4927" spans="1:25" ht="15" hidden="1" customHeight="1" x14ac:dyDescent="0.25">
      <c r="A4927" s="1" t="s">
        <v>40</v>
      </c>
      <c r="B4927" s="1" t="s">
        <v>88</v>
      </c>
      <c r="C4927" s="1" t="s">
        <v>215</v>
      </c>
      <c r="D4927">
        <v>5429</v>
      </c>
      <c r="E4927" s="1"/>
      <c r="F4927" s="1" t="s">
        <v>215</v>
      </c>
      <c r="G4927" s="1" t="s">
        <v>215</v>
      </c>
      <c r="H4927" s="1" t="s">
        <v>1396</v>
      </c>
      <c r="I4927">
        <v>2013</v>
      </c>
      <c r="J4927" s="93">
        <v>41870.959999999999</v>
      </c>
      <c r="K4927">
        <v>12</v>
      </c>
      <c r="L4927" s="1" t="s">
        <v>472</v>
      </c>
      <c r="M4927">
        <v>0</v>
      </c>
      <c r="N4927">
        <v>1747</v>
      </c>
      <c r="O4927">
        <v>23.965976999999999</v>
      </c>
      <c r="P4927">
        <v>2</v>
      </c>
      <c r="Q4927" s="1" t="s">
        <v>569</v>
      </c>
      <c r="R4927" s="93">
        <v>41870.959999999999</v>
      </c>
      <c r="S4927">
        <v>16748.400000000001</v>
      </c>
      <c r="T4927">
        <v>0</v>
      </c>
      <c r="U4927" s="1" t="s">
        <v>1157</v>
      </c>
      <c r="V4927" s="1" t="s">
        <v>1353</v>
      </c>
      <c r="W4927">
        <v>41870.983</v>
      </c>
      <c r="X4927">
        <v>0</v>
      </c>
      <c r="Y4927">
        <v>57408</v>
      </c>
    </row>
    <row r="4928" spans="1:25" ht="15" hidden="1" customHeight="1" x14ac:dyDescent="0.25">
      <c r="A4928" s="1" t="s">
        <v>40</v>
      </c>
      <c r="B4928" s="1" t="s">
        <v>88</v>
      </c>
      <c r="C4928" s="1" t="s">
        <v>215</v>
      </c>
      <c r="D4928">
        <v>5429</v>
      </c>
      <c r="E4928" s="1"/>
      <c r="F4928" s="1" t="s">
        <v>215</v>
      </c>
      <c r="G4928" s="1" t="s">
        <v>215</v>
      </c>
      <c r="H4928" s="1" t="s">
        <v>1396</v>
      </c>
      <c r="I4928">
        <v>2012</v>
      </c>
      <c r="J4928" s="93">
        <v>36637.75</v>
      </c>
      <c r="K4928">
        <v>12</v>
      </c>
      <c r="L4928" s="1" t="s">
        <v>472</v>
      </c>
      <c r="M4928">
        <v>0</v>
      </c>
      <c r="N4928">
        <v>1747</v>
      </c>
      <c r="O4928">
        <v>20.970607999999999</v>
      </c>
      <c r="P4928">
        <v>2</v>
      </c>
      <c r="Q4928" s="1" t="s">
        <v>569</v>
      </c>
      <c r="R4928" s="93">
        <v>36637.75</v>
      </c>
      <c r="S4928">
        <v>14655.1</v>
      </c>
      <c r="T4928">
        <v>0</v>
      </c>
      <c r="U4928" s="1" t="s">
        <v>1157</v>
      </c>
      <c r="V4928" s="1" t="s">
        <v>1353</v>
      </c>
      <c r="W4928">
        <v>36637.769999999997</v>
      </c>
      <c r="X4928">
        <v>0</v>
      </c>
      <c r="Y4928">
        <v>57408</v>
      </c>
    </row>
    <row r="4929" spans="1:25" ht="15" hidden="1" customHeight="1" x14ac:dyDescent="0.25">
      <c r="A4929" s="1" t="s">
        <v>40</v>
      </c>
      <c r="B4929" s="1" t="s">
        <v>88</v>
      </c>
      <c r="C4929" s="1" t="s">
        <v>215</v>
      </c>
      <c r="D4929">
        <v>5429</v>
      </c>
      <c r="E4929" s="1"/>
      <c r="F4929" s="1" t="s">
        <v>215</v>
      </c>
      <c r="G4929" s="1" t="s">
        <v>215</v>
      </c>
      <c r="H4929" s="1" t="s">
        <v>1396</v>
      </c>
      <c r="I4929">
        <v>2011</v>
      </c>
      <c r="J4929" s="93">
        <v>36968.199999999997</v>
      </c>
      <c r="K4929">
        <v>12</v>
      </c>
      <c r="L4929" s="1" t="s">
        <v>472</v>
      </c>
      <c r="M4929">
        <v>0</v>
      </c>
      <c r="N4929">
        <v>1747</v>
      </c>
      <c r="O4929">
        <v>21.159749999999999</v>
      </c>
      <c r="P4929">
        <v>2</v>
      </c>
      <c r="Q4929" s="1" t="s">
        <v>569</v>
      </c>
      <c r="R4929" s="93">
        <v>36968.199999999997</v>
      </c>
      <c r="S4929">
        <v>17338.09</v>
      </c>
      <c r="T4929">
        <v>0</v>
      </c>
      <c r="U4929" s="1" t="s">
        <v>1157</v>
      </c>
      <c r="V4929" s="1" t="s">
        <v>1353</v>
      </c>
      <c r="W4929">
        <v>36968.205999999998</v>
      </c>
      <c r="X4929">
        <v>0</v>
      </c>
      <c r="Y4929">
        <v>57408</v>
      </c>
    </row>
    <row r="4930" spans="1:25" ht="15" hidden="1" customHeight="1" x14ac:dyDescent="0.25">
      <c r="A4930" s="1" t="s">
        <v>40</v>
      </c>
      <c r="B4930" s="1" t="s">
        <v>88</v>
      </c>
      <c r="C4930" s="1" t="s">
        <v>215</v>
      </c>
      <c r="D4930">
        <v>5429</v>
      </c>
      <c r="E4930" s="1"/>
      <c r="F4930" s="1" t="s">
        <v>215</v>
      </c>
      <c r="G4930" s="1" t="s">
        <v>215</v>
      </c>
      <c r="H4930" s="1" t="s">
        <v>1396</v>
      </c>
      <c r="I4930">
        <v>2010</v>
      </c>
      <c r="J4930" s="93">
        <v>40114.75</v>
      </c>
      <c r="K4930">
        <v>12</v>
      </c>
      <c r="L4930" s="1" t="s">
        <v>472</v>
      </c>
      <c r="M4930">
        <v>0</v>
      </c>
      <c r="N4930">
        <v>1747</v>
      </c>
      <c r="O4930">
        <v>22.960763</v>
      </c>
      <c r="P4930">
        <v>2</v>
      </c>
      <c r="Q4930" s="1" t="s">
        <v>569</v>
      </c>
      <c r="R4930" s="93">
        <v>40114.75</v>
      </c>
      <c r="S4930">
        <v>18813.810000000001</v>
      </c>
      <c r="T4930">
        <v>0</v>
      </c>
      <c r="U4930" s="1" t="s">
        <v>1157</v>
      </c>
      <c r="V4930" s="1" t="s">
        <v>1353</v>
      </c>
      <c r="W4930">
        <v>40114.745999999999</v>
      </c>
      <c r="X4930">
        <v>0</v>
      </c>
      <c r="Y4930">
        <v>57408</v>
      </c>
    </row>
    <row r="4931" spans="1:25" ht="15" hidden="1" customHeight="1" x14ac:dyDescent="0.25">
      <c r="A4931" s="1" t="s">
        <v>40</v>
      </c>
      <c r="B4931" s="1" t="s">
        <v>88</v>
      </c>
      <c r="C4931" s="1" t="s">
        <v>215</v>
      </c>
      <c r="D4931">
        <v>5429</v>
      </c>
      <c r="E4931" s="1"/>
      <c r="F4931" s="1" t="s">
        <v>215</v>
      </c>
      <c r="G4931" s="1" t="s">
        <v>215</v>
      </c>
      <c r="H4931" s="1" t="s">
        <v>1396</v>
      </c>
      <c r="I4931">
        <v>2009</v>
      </c>
      <c r="J4931" s="93">
        <v>38960.339999999997</v>
      </c>
      <c r="K4931">
        <v>12</v>
      </c>
      <c r="L4931" s="1" t="s">
        <v>472</v>
      </c>
      <c r="M4931">
        <v>0</v>
      </c>
      <c r="N4931">
        <v>1747</v>
      </c>
      <c r="O4931">
        <v>22.300004999999999</v>
      </c>
      <c r="P4931">
        <v>2</v>
      </c>
      <c r="Q4931" s="1" t="s">
        <v>569</v>
      </c>
      <c r="R4931" s="93">
        <v>38960.339999999997</v>
      </c>
      <c r="S4931">
        <v>18272.39</v>
      </c>
      <c r="T4931">
        <v>0</v>
      </c>
      <c r="U4931" s="1" t="s">
        <v>1157</v>
      </c>
      <c r="V4931" s="1" t="s">
        <v>1353</v>
      </c>
      <c r="W4931">
        <v>38960.343000000001</v>
      </c>
      <c r="X4931">
        <v>0</v>
      </c>
      <c r="Y4931">
        <v>57408</v>
      </c>
    </row>
    <row r="4932" spans="1:25" ht="15" hidden="1" customHeight="1" x14ac:dyDescent="0.25">
      <c r="A4932" s="1" t="s">
        <v>40</v>
      </c>
      <c r="B4932" s="1" t="s">
        <v>88</v>
      </c>
      <c r="C4932" s="1" t="s">
        <v>215</v>
      </c>
      <c r="D4932">
        <v>5429</v>
      </c>
      <c r="E4932" s="1"/>
      <c r="F4932" s="1" t="s">
        <v>215</v>
      </c>
      <c r="G4932" s="1" t="s">
        <v>215</v>
      </c>
      <c r="H4932" s="1" t="s">
        <v>1396</v>
      </c>
      <c r="I4932">
        <v>2008</v>
      </c>
      <c r="J4932" s="93">
        <v>36758.17</v>
      </c>
      <c r="K4932">
        <v>12</v>
      </c>
      <c r="L4932" s="1" t="s">
        <v>472</v>
      </c>
      <c r="M4932">
        <v>0</v>
      </c>
      <c r="N4932">
        <v>1747</v>
      </c>
      <c r="O4932">
        <v>21.039534</v>
      </c>
      <c r="P4932">
        <v>2</v>
      </c>
      <c r="Q4932" s="1" t="s">
        <v>569</v>
      </c>
      <c r="R4932" s="93">
        <v>36758.17</v>
      </c>
      <c r="S4932">
        <v>17239.580000000002</v>
      </c>
      <c r="T4932">
        <v>0</v>
      </c>
      <c r="U4932" s="1" t="s">
        <v>1157</v>
      </c>
      <c r="V4932" s="1" t="s">
        <v>1353</v>
      </c>
      <c r="W4932">
        <v>36758.165000000001</v>
      </c>
      <c r="X4932">
        <v>0</v>
      </c>
      <c r="Y4932">
        <v>57408</v>
      </c>
    </row>
    <row r="4933" spans="1:25" ht="15" hidden="1" customHeight="1" x14ac:dyDescent="0.25">
      <c r="A4933" s="1" t="s">
        <v>40</v>
      </c>
      <c r="B4933" s="1" t="s">
        <v>88</v>
      </c>
      <c r="C4933" s="1" t="s">
        <v>215</v>
      </c>
      <c r="D4933">
        <v>5431</v>
      </c>
      <c r="E4933" s="1"/>
      <c r="F4933" s="1" t="s">
        <v>391</v>
      </c>
      <c r="G4933" s="1" t="s">
        <v>215</v>
      </c>
      <c r="H4933" s="1" t="s">
        <v>1396</v>
      </c>
      <c r="I4933">
        <v>2013</v>
      </c>
      <c r="J4933" s="93">
        <v>25701.05</v>
      </c>
      <c r="K4933">
        <v>8</v>
      </c>
      <c r="L4933" s="1" t="s">
        <v>555</v>
      </c>
      <c r="M4933">
        <v>0</v>
      </c>
      <c r="N4933">
        <v>640</v>
      </c>
      <c r="O4933">
        <v>40.151615999999997</v>
      </c>
      <c r="P4933">
        <v>2</v>
      </c>
      <c r="Q4933" s="1" t="s">
        <v>569</v>
      </c>
      <c r="R4933" s="93">
        <v>25701.05</v>
      </c>
      <c r="S4933">
        <v>10280.44</v>
      </c>
      <c r="T4933">
        <v>0</v>
      </c>
      <c r="U4933" s="1" t="s">
        <v>1158</v>
      </c>
      <c r="V4933" s="1"/>
      <c r="W4933">
        <v>25701.063040000001</v>
      </c>
      <c r="X4933">
        <v>0</v>
      </c>
      <c r="Y4933">
        <v>57417</v>
      </c>
    </row>
    <row r="4934" spans="1:25" ht="15" hidden="1" customHeight="1" x14ac:dyDescent="0.25">
      <c r="A4934" s="1" t="s">
        <v>40</v>
      </c>
      <c r="B4934" s="1" t="s">
        <v>88</v>
      </c>
      <c r="C4934" s="1" t="s">
        <v>215</v>
      </c>
      <c r="D4934">
        <v>5431</v>
      </c>
      <c r="E4934" s="1"/>
      <c r="F4934" s="1" t="s">
        <v>391</v>
      </c>
      <c r="G4934" s="1" t="s">
        <v>215</v>
      </c>
      <c r="H4934" s="1" t="s">
        <v>1396</v>
      </c>
      <c r="I4934">
        <v>2012</v>
      </c>
      <c r="J4934" s="93">
        <v>22783.279999999999</v>
      </c>
      <c r="K4934">
        <v>9</v>
      </c>
      <c r="L4934" s="1" t="s">
        <v>555</v>
      </c>
      <c r="M4934">
        <v>0</v>
      </c>
      <c r="N4934">
        <v>640</v>
      </c>
      <c r="O4934">
        <v>35.593313000000002</v>
      </c>
      <c r="P4934">
        <v>2</v>
      </c>
      <c r="Q4934" s="1" t="s">
        <v>569</v>
      </c>
      <c r="R4934" s="93">
        <v>22783.279999999999</v>
      </c>
      <c r="S4934">
        <v>9113.33</v>
      </c>
      <c r="T4934">
        <v>0</v>
      </c>
      <c r="U4934" s="1" t="s">
        <v>1158</v>
      </c>
      <c r="V4934" s="1"/>
      <c r="W4934">
        <v>22783.282889999999</v>
      </c>
      <c r="X4934">
        <v>0</v>
      </c>
      <c r="Y4934">
        <v>57417</v>
      </c>
    </row>
    <row r="4935" spans="1:25" ht="15" hidden="1" customHeight="1" x14ac:dyDescent="0.25">
      <c r="A4935" s="1" t="s">
        <v>40</v>
      </c>
      <c r="B4935" s="1" t="s">
        <v>88</v>
      </c>
      <c r="C4935" s="1" t="s">
        <v>215</v>
      </c>
      <c r="D4935">
        <v>5431</v>
      </c>
      <c r="E4935" s="1"/>
      <c r="F4935" s="1" t="s">
        <v>391</v>
      </c>
      <c r="G4935" s="1" t="s">
        <v>215</v>
      </c>
      <c r="H4935" s="1" t="s">
        <v>1396</v>
      </c>
      <c r="I4935">
        <v>2011</v>
      </c>
      <c r="J4935" s="93">
        <v>20490.990000000002</v>
      </c>
      <c r="K4935">
        <v>12</v>
      </c>
      <c r="L4935" s="1" t="s">
        <v>555</v>
      </c>
      <c r="M4935">
        <v>0</v>
      </c>
      <c r="N4935">
        <v>640</v>
      </c>
      <c r="O4935">
        <v>32.012169</v>
      </c>
      <c r="P4935">
        <v>2</v>
      </c>
      <c r="Q4935" s="1" t="s">
        <v>569</v>
      </c>
      <c r="R4935" s="93">
        <v>20490.990000000002</v>
      </c>
      <c r="S4935">
        <v>9610.2900000000009</v>
      </c>
      <c r="T4935">
        <v>0</v>
      </c>
      <c r="U4935" s="1" t="s">
        <v>1158</v>
      </c>
      <c r="V4935" s="1"/>
      <c r="W4935">
        <v>20491</v>
      </c>
      <c r="X4935">
        <v>0</v>
      </c>
      <c r="Y4935">
        <v>57417</v>
      </c>
    </row>
    <row r="4936" spans="1:25" ht="15" hidden="1" customHeight="1" x14ac:dyDescent="0.25">
      <c r="A4936" s="1" t="s">
        <v>40</v>
      </c>
      <c r="B4936" s="1" t="s">
        <v>88</v>
      </c>
      <c r="C4936" s="1" t="s">
        <v>215</v>
      </c>
      <c r="D4936">
        <v>5431</v>
      </c>
      <c r="E4936" s="1"/>
      <c r="F4936" s="1" t="s">
        <v>391</v>
      </c>
      <c r="G4936" s="1" t="s">
        <v>215</v>
      </c>
      <c r="H4936" s="1" t="s">
        <v>1396</v>
      </c>
      <c r="I4936">
        <v>2010</v>
      </c>
      <c r="J4936" s="93">
        <v>21909.87</v>
      </c>
      <c r="K4936">
        <v>12</v>
      </c>
      <c r="L4936" s="1" t="s">
        <v>555</v>
      </c>
      <c r="M4936">
        <v>0</v>
      </c>
      <c r="N4936">
        <v>640</v>
      </c>
      <c r="O4936">
        <v>34.228822999999998</v>
      </c>
      <c r="P4936">
        <v>2</v>
      </c>
      <c r="Q4936" s="1" t="s">
        <v>569</v>
      </c>
      <c r="R4936" s="93">
        <v>21909.87</v>
      </c>
      <c r="S4936">
        <v>10275.74</v>
      </c>
      <c r="T4936">
        <v>0</v>
      </c>
      <c r="U4936" s="1" t="s">
        <v>1158</v>
      </c>
      <c r="V4936" s="1"/>
      <c r="W4936">
        <v>21909.87097</v>
      </c>
      <c r="X4936">
        <v>0</v>
      </c>
      <c r="Y4936">
        <v>57417</v>
      </c>
    </row>
    <row r="4937" spans="1:25" ht="15" hidden="1" customHeight="1" x14ac:dyDescent="0.25">
      <c r="A4937" s="1" t="s">
        <v>40</v>
      </c>
      <c r="B4937" s="1" t="s">
        <v>88</v>
      </c>
      <c r="C4937" s="1" t="s">
        <v>215</v>
      </c>
      <c r="D4937">
        <v>5431</v>
      </c>
      <c r="E4937" s="1"/>
      <c r="F4937" s="1" t="s">
        <v>391</v>
      </c>
      <c r="G4937" s="1" t="s">
        <v>215</v>
      </c>
      <c r="H4937" s="1" t="s">
        <v>1396</v>
      </c>
      <c r="I4937">
        <v>2009</v>
      </c>
      <c r="J4937" s="93">
        <v>20821.099999999999</v>
      </c>
      <c r="K4937">
        <v>10</v>
      </c>
      <c r="L4937" s="1" t="s">
        <v>555</v>
      </c>
      <c r="M4937">
        <v>0</v>
      </c>
      <c r="N4937">
        <v>640</v>
      </c>
      <c r="O4937">
        <v>32.527886000000002</v>
      </c>
      <c r="P4937">
        <v>2</v>
      </c>
      <c r="Q4937" s="1" t="s">
        <v>569</v>
      </c>
      <c r="R4937" s="93">
        <v>20821.099999999999</v>
      </c>
      <c r="S4937">
        <v>9765.09</v>
      </c>
      <c r="T4937">
        <v>0</v>
      </c>
      <c r="U4937" s="1" t="s">
        <v>1158</v>
      </c>
      <c r="V4937" s="1"/>
      <c r="W4937">
        <v>20821.098590000001</v>
      </c>
      <c r="X4937">
        <v>0</v>
      </c>
      <c r="Y4937">
        <v>57417</v>
      </c>
    </row>
    <row r="4938" spans="1:25" ht="15" hidden="1" customHeight="1" x14ac:dyDescent="0.25">
      <c r="A4938" s="1" t="s">
        <v>40</v>
      </c>
      <c r="B4938" s="1" t="s">
        <v>88</v>
      </c>
      <c r="C4938" s="1" t="s">
        <v>215</v>
      </c>
      <c r="D4938">
        <v>5431</v>
      </c>
      <c r="E4938" s="1"/>
      <c r="F4938" s="1" t="s">
        <v>391</v>
      </c>
      <c r="G4938" s="1" t="s">
        <v>215</v>
      </c>
      <c r="H4938" s="1" t="s">
        <v>1396</v>
      </c>
      <c r="I4938">
        <v>2008</v>
      </c>
      <c r="J4938" s="93">
        <v>19678.98</v>
      </c>
      <c r="K4938">
        <v>10</v>
      </c>
      <c r="L4938" s="1" t="s">
        <v>555</v>
      </c>
      <c r="M4938">
        <v>0</v>
      </c>
      <c r="N4938">
        <v>640</v>
      </c>
      <c r="O4938">
        <v>30.743601999999999</v>
      </c>
      <c r="P4938">
        <v>2</v>
      </c>
      <c r="Q4938" s="1" t="s">
        <v>569</v>
      </c>
      <c r="R4938" s="93">
        <v>19678.98</v>
      </c>
      <c r="S4938">
        <v>9229.42</v>
      </c>
      <c r="T4938">
        <v>0</v>
      </c>
      <c r="U4938" s="1" t="s">
        <v>1158</v>
      </c>
      <c r="V4938" s="1"/>
      <c r="W4938">
        <v>19678.970389999999</v>
      </c>
      <c r="X4938">
        <v>0</v>
      </c>
      <c r="Y4938">
        <v>57417</v>
      </c>
    </row>
    <row r="4939" spans="1:25" ht="15" hidden="1" customHeight="1" x14ac:dyDescent="0.25">
      <c r="A4939" s="1" t="s">
        <v>40</v>
      </c>
      <c r="B4939" s="1" t="s">
        <v>89</v>
      </c>
      <c r="C4939" s="1" t="s">
        <v>216</v>
      </c>
      <c r="D4939">
        <v>5265</v>
      </c>
      <c r="E4939" s="1"/>
      <c r="F4939" s="1" t="s">
        <v>216</v>
      </c>
      <c r="G4939" s="1" t="s">
        <v>216</v>
      </c>
      <c r="H4939" s="1" t="s">
        <v>1396</v>
      </c>
      <c r="I4939">
        <v>2015</v>
      </c>
      <c r="J4939" s="93">
        <v>6225.38</v>
      </c>
      <c r="K4939">
        <v>5</v>
      </c>
      <c r="L4939" s="1" t="s">
        <v>404</v>
      </c>
      <c r="M4939">
        <v>0</v>
      </c>
      <c r="N4939">
        <v>585</v>
      </c>
      <c r="O4939">
        <v>10.639856</v>
      </c>
      <c r="P4939">
        <v>2</v>
      </c>
      <c r="Q4939" s="1" t="s">
        <v>569</v>
      </c>
      <c r="R4939" s="93">
        <v>6225.38</v>
      </c>
      <c r="S4939">
        <v>2490.16</v>
      </c>
      <c r="T4939">
        <v>0</v>
      </c>
      <c r="U4939" s="1" t="s">
        <v>1160</v>
      </c>
      <c r="V4939" s="1" t="s">
        <v>1355</v>
      </c>
      <c r="W4939">
        <v>6225.3760000000002</v>
      </c>
      <c r="X4939">
        <v>0</v>
      </c>
      <c r="Y4939">
        <v>56773</v>
      </c>
    </row>
    <row r="4940" spans="1:25" ht="15" hidden="1" customHeight="1" x14ac:dyDescent="0.25">
      <c r="A4940" s="1" t="s">
        <v>40</v>
      </c>
      <c r="B4940" s="1" t="s">
        <v>89</v>
      </c>
      <c r="C4940" s="1" t="s">
        <v>216</v>
      </c>
      <c r="D4940">
        <v>5265</v>
      </c>
      <c r="E4940" s="1"/>
      <c r="F4940" s="1" t="s">
        <v>216</v>
      </c>
      <c r="G4940" s="1" t="s">
        <v>216</v>
      </c>
      <c r="H4940" s="1" t="s">
        <v>1396</v>
      </c>
      <c r="I4940">
        <v>2013</v>
      </c>
      <c r="J4940" s="93">
        <v>26036.720000000001</v>
      </c>
      <c r="K4940">
        <v>12</v>
      </c>
      <c r="L4940" s="1" t="s">
        <v>404</v>
      </c>
      <c r="M4940">
        <v>0</v>
      </c>
      <c r="N4940">
        <v>585</v>
      </c>
      <c r="O4940">
        <v>44.499606</v>
      </c>
      <c r="P4940">
        <v>2</v>
      </c>
      <c r="Q4940" s="1" t="s">
        <v>569</v>
      </c>
      <c r="R4940" s="93">
        <v>26036.720000000001</v>
      </c>
      <c r="S4940">
        <v>10414.709999999999</v>
      </c>
      <c r="T4940">
        <v>0</v>
      </c>
      <c r="U4940" s="1" t="s">
        <v>1160</v>
      </c>
      <c r="V4940" s="1" t="s">
        <v>1355</v>
      </c>
      <c r="W4940">
        <v>26036.718000000001</v>
      </c>
      <c r="X4940">
        <v>0</v>
      </c>
      <c r="Y4940">
        <v>56773</v>
      </c>
    </row>
    <row r="4941" spans="1:25" ht="15" hidden="1" customHeight="1" x14ac:dyDescent="0.25">
      <c r="A4941" s="1" t="s">
        <v>40</v>
      </c>
      <c r="B4941" s="1" t="s">
        <v>89</v>
      </c>
      <c r="C4941" s="1" t="s">
        <v>216</v>
      </c>
      <c r="D4941">
        <v>5265</v>
      </c>
      <c r="E4941" s="1"/>
      <c r="F4941" s="1" t="s">
        <v>216</v>
      </c>
      <c r="G4941" s="1" t="s">
        <v>216</v>
      </c>
      <c r="H4941" s="1" t="s">
        <v>1396</v>
      </c>
      <c r="I4941">
        <v>2012</v>
      </c>
      <c r="J4941" s="93">
        <v>17399.89</v>
      </c>
      <c r="K4941">
        <v>12</v>
      </c>
      <c r="L4941" s="1" t="s">
        <v>404</v>
      </c>
      <c r="M4941">
        <v>0</v>
      </c>
      <c r="N4941">
        <v>585</v>
      </c>
      <c r="O4941">
        <v>29.738318</v>
      </c>
      <c r="P4941">
        <v>2</v>
      </c>
      <c r="Q4941" s="1" t="s">
        <v>569</v>
      </c>
      <c r="R4941" s="93">
        <v>17399.89</v>
      </c>
      <c r="S4941">
        <v>6959.96</v>
      </c>
      <c r="T4941">
        <v>0</v>
      </c>
      <c r="U4941" s="1" t="s">
        <v>1160</v>
      </c>
      <c r="V4941" s="1" t="s">
        <v>1355</v>
      </c>
      <c r="W4941">
        <v>17399.89</v>
      </c>
      <c r="X4941">
        <v>0</v>
      </c>
      <c r="Y4941">
        <v>56773</v>
      </c>
    </row>
    <row r="4942" spans="1:25" ht="15" hidden="1" customHeight="1" x14ac:dyDescent="0.25">
      <c r="A4942" s="1" t="s">
        <v>40</v>
      </c>
      <c r="B4942" s="1" t="s">
        <v>89</v>
      </c>
      <c r="C4942" s="1" t="s">
        <v>216</v>
      </c>
      <c r="D4942">
        <v>5265</v>
      </c>
      <c r="E4942" s="1"/>
      <c r="F4942" s="1" t="s">
        <v>216</v>
      </c>
      <c r="G4942" s="1" t="s">
        <v>216</v>
      </c>
      <c r="H4942" s="1" t="s">
        <v>1396</v>
      </c>
      <c r="I4942">
        <v>2011</v>
      </c>
      <c r="J4942" s="93">
        <v>17670.7</v>
      </c>
      <c r="K4942">
        <v>12</v>
      </c>
      <c r="L4942" s="1" t="s">
        <v>404</v>
      </c>
      <c r="M4942">
        <v>0</v>
      </c>
      <c r="N4942">
        <v>585</v>
      </c>
      <c r="O4942">
        <v>30.201162</v>
      </c>
      <c r="P4942">
        <v>2</v>
      </c>
      <c r="Q4942" s="1" t="s">
        <v>569</v>
      </c>
      <c r="R4942" s="93">
        <v>17670.7</v>
      </c>
      <c r="S4942">
        <v>8287.57</v>
      </c>
      <c r="T4942">
        <v>0</v>
      </c>
      <c r="U4942" s="1" t="s">
        <v>1160</v>
      </c>
      <c r="V4942" s="1" t="s">
        <v>1355</v>
      </c>
      <c r="W4942">
        <v>17670.696</v>
      </c>
      <c r="X4942">
        <v>0</v>
      </c>
      <c r="Y4942">
        <v>56773</v>
      </c>
    </row>
    <row r="4943" spans="1:25" ht="15" hidden="1" customHeight="1" x14ac:dyDescent="0.25">
      <c r="A4943" s="1" t="s">
        <v>40</v>
      </c>
      <c r="B4943" s="1" t="s">
        <v>89</v>
      </c>
      <c r="C4943" s="1" t="s">
        <v>216</v>
      </c>
      <c r="D4943">
        <v>5265</v>
      </c>
      <c r="E4943" s="1"/>
      <c r="F4943" s="1" t="s">
        <v>216</v>
      </c>
      <c r="G4943" s="1" t="s">
        <v>216</v>
      </c>
      <c r="H4943" s="1" t="s">
        <v>1396</v>
      </c>
      <c r="I4943">
        <v>2010</v>
      </c>
      <c r="J4943" s="93">
        <v>16425.52</v>
      </c>
      <c r="K4943">
        <v>12</v>
      </c>
      <c r="L4943" s="1" t="s">
        <v>404</v>
      </c>
      <c r="M4943">
        <v>0</v>
      </c>
      <c r="N4943">
        <v>585</v>
      </c>
      <c r="O4943">
        <v>28.073013</v>
      </c>
      <c r="P4943">
        <v>2</v>
      </c>
      <c r="Q4943" s="1" t="s">
        <v>569</v>
      </c>
      <c r="R4943" s="93">
        <v>16425.52</v>
      </c>
      <c r="S4943">
        <v>7703.57</v>
      </c>
      <c r="T4943">
        <v>0</v>
      </c>
      <c r="U4943" s="1" t="s">
        <v>1160</v>
      </c>
      <c r="V4943" s="1" t="s">
        <v>1355</v>
      </c>
      <c r="W4943">
        <v>16425.526000000002</v>
      </c>
      <c r="X4943">
        <v>0</v>
      </c>
      <c r="Y4943">
        <v>56773</v>
      </c>
    </row>
    <row r="4944" spans="1:25" ht="15" hidden="1" customHeight="1" x14ac:dyDescent="0.25">
      <c r="A4944" s="1" t="s">
        <v>40</v>
      </c>
      <c r="B4944" s="1" t="s">
        <v>89</v>
      </c>
      <c r="C4944" s="1" t="s">
        <v>216</v>
      </c>
      <c r="D4944">
        <v>5265</v>
      </c>
      <c r="E4944" s="1"/>
      <c r="F4944" s="1" t="s">
        <v>216</v>
      </c>
      <c r="G4944" s="1" t="s">
        <v>216</v>
      </c>
      <c r="H4944" s="1" t="s">
        <v>1396</v>
      </c>
      <c r="I4944">
        <v>2009</v>
      </c>
      <c r="J4944" s="93">
        <v>18915.11</v>
      </c>
      <c r="K4944">
        <v>12</v>
      </c>
      <c r="L4944" s="1" t="s">
        <v>404</v>
      </c>
      <c r="M4944">
        <v>0</v>
      </c>
      <c r="N4944">
        <v>585</v>
      </c>
      <c r="O4944">
        <v>32.327995000000001</v>
      </c>
      <c r="P4944">
        <v>2</v>
      </c>
      <c r="Q4944" s="1" t="s">
        <v>569</v>
      </c>
      <c r="R4944" s="93">
        <v>18915.11</v>
      </c>
      <c r="S4944">
        <v>8871.2099999999991</v>
      </c>
      <c r="T4944">
        <v>0</v>
      </c>
      <c r="U4944" s="1" t="s">
        <v>1160</v>
      </c>
      <c r="V4944" s="1" t="s">
        <v>1355</v>
      </c>
      <c r="W4944">
        <v>18915.133999999998</v>
      </c>
      <c r="X4944">
        <v>0</v>
      </c>
      <c r="Y4944">
        <v>56773</v>
      </c>
    </row>
    <row r="4945" spans="1:25" ht="15" hidden="1" customHeight="1" x14ac:dyDescent="0.25">
      <c r="A4945" s="1" t="s">
        <v>40</v>
      </c>
      <c r="B4945" s="1" t="s">
        <v>89</v>
      </c>
      <c r="C4945" s="1" t="s">
        <v>216</v>
      </c>
      <c r="D4945">
        <v>5265</v>
      </c>
      <c r="E4945" s="1"/>
      <c r="F4945" s="1" t="s">
        <v>216</v>
      </c>
      <c r="G4945" s="1" t="s">
        <v>216</v>
      </c>
      <c r="H4945" s="1" t="s">
        <v>1396</v>
      </c>
      <c r="I4945">
        <v>2008</v>
      </c>
      <c r="J4945" s="93">
        <v>20908.25</v>
      </c>
      <c r="K4945">
        <v>12</v>
      </c>
      <c r="L4945" s="1" t="s">
        <v>404</v>
      </c>
      <c r="M4945">
        <v>0</v>
      </c>
      <c r="N4945">
        <v>585</v>
      </c>
      <c r="O4945">
        <v>35.734489000000004</v>
      </c>
      <c r="P4945">
        <v>2</v>
      </c>
      <c r="Q4945" s="1" t="s">
        <v>569</v>
      </c>
      <c r="R4945" s="93">
        <v>20908.25</v>
      </c>
      <c r="S4945">
        <v>9805.98</v>
      </c>
      <c r="T4945">
        <v>0</v>
      </c>
      <c r="U4945" s="1" t="s">
        <v>1160</v>
      </c>
      <c r="V4945" s="1" t="s">
        <v>1355</v>
      </c>
      <c r="W4945">
        <v>20908.25</v>
      </c>
      <c r="X4945">
        <v>0</v>
      </c>
      <c r="Y4945">
        <v>56773</v>
      </c>
    </row>
    <row r="4946" spans="1:25" ht="15" hidden="1" customHeight="1" x14ac:dyDescent="0.25">
      <c r="A4946" s="1" t="s">
        <v>40</v>
      </c>
      <c r="B4946" s="1" t="s">
        <v>90</v>
      </c>
      <c r="C4946" s="1" t="s">
        <v>217</v>
      </c>
      <c r="D4946">
        <v>5266</v>
      </c>
      <c r="E4946" s="1"/>
      <c r="F4946" s="1" t="s">
        <v>217</v>
      </c>
      <c r="G4946" s="1" t="s">
        <v>217</v>
      </c>
      <c r="H4946" s="1" t="s">
        <v>1396</v>
      </c>
      <c r="I4946">
        <v>2015</v>
      </c>
      <c r="J4946" s="93">
        <v>14700.75</v>
      </c>
      <c r="K4946">
        <v>5</v>
      </c>
      <c r="L4946" s="1" t="s">
        <v>404</v>
      </c>
      <c r="M4946">
        <v>0</v>
      </c>
      <c r="N4946">
        <v>585</v>
      </c>
      <c r="O4946">
        <v>25.125191999999998</v>
      </c>
      <c r="P4946">
        <v>2</v>
      </c>
      <c r="Q4946" s="1" t="s">
        <v>569</v>
      </c>
      <c r="R4946" s="93">
        <v>14700.75</v>
      </c>
      <c r="S4946">
        <v>5880.31</v>
      </c>
      <c r="T4946">
        <v>0</v>
      </c>
      <c r="U4946" s="1" t="s">
        <v>1161</v>
      </c>
      <c r="V4946" s="1"/>
      <c r="W4946">
        <v>14700.748</v>
      </c>
      <c r="X4946">
        <v>0</v>
      </c>
      <c r="Y4946">
        <v>56782</v>
      </c>
    </row>
    <row r="4947" spans="1:25" ht="15" hidden="1" customHeight="1" x14ac:dyDescent="0.25">
      <c r="A4947" s="1" t="s">
        <v>40</v>
      </c>
      <c r="B4947" s="1" t="s">
        <v>90</v>
      </c>
      <c r="C4947" s="1" t="s">
        <v>217</v>
      </c>
      <c r="D4947">
        <v>5266</v>
      </c>
      <c r="E4947" s="1"/>
      <c r="F4947" s="1" t="s">
        <v>217</v>
      </c>
      <c r="G4947" s="1" t="s">
        <v>217</v>
      </c>
      <c r="H4947" s="1" t="s">
        <v>1396</v>
      </c>
      <c r="I4947">
        <v>2013</v>
      </c>
      <c r="J4947" s="93">
        <v>20457.46</v>
      </c>
      <c r="K4947">
        <v>12</v>
      </c>
      <c r="L4947" s="1" t="s">
        <v>404</v>
      </c>
      <c r="M4947">
        <v>0</v>
      </c>
      <c r="N4947">
        <v>585</v>
      </c>
      <c r="O4947">
        <v>34.964039999999997</v>
      </c>
      <c r="P4947">
        <v>2</v>
      </c>
      <c r="Q4947" s="1" t="s">
        <v>569</v>
      </c>
      <c r="R4947" s="93">
        <v>20457.46</v>
      </c>
      <c r="S4947">
        <v>8183</v>
      </c>
      <c r="T4947">
        <v>0</v>
      </c>
      <c r="U4947" s="1" t="s">
        <v>1161</v>
      </c>
      <c r="V4947" s="1"/>
      <c r="W4947">
        <v>20457.472000000002</v>
      </c>
      <c r="X4947">
        <v>0</v>
      </c>
      <c r="Y4947">
        <v>56782</v>
      </c>
    </row>
    <row r="4948" spans="1:25" ht="15" hidden="1" customHeight="1" x14ac:dyDescent="0.25">
      <c r="A4948" s="1" t="s">
        <v>40</v>
      </c>
      <c r="B4948" s="1" t="s">
        <v>90</v>
      </c>
      <c r="C4948" s="1" t="s">
        <v>217</v>
      </c>
      <c r="D4948">
        <v>5266</v>
      </c>
      <c r="E4948" s="1"/>
      <c r="F4948" s="1" t="s">
        <v>217</v>
      </c>
      <c r="G4948" s="1" t="s">
        <v>217</v>
      </c>
      <c r="H4948" s="1" t="s">
        <v>1396</v>
      </c>
      <c r="I4948">
        <v>2012</v>
      </c>
      <c r="J4948" s="93">
        <v>19443.72</v>
      </c>
      <c r="K4948">
        <v>12</v>
      </c>
      <c r="L4948" s="1" t="s">
        <v>404</v>
      </c>
      <c r="M4948">
        <v>0</v>
      </c>
      <c r="N4948">
        <v>585</v>
      </c>
      <c r="O4948">
        <v>33.231447000000003</v>
      </c>
      <c r="P4948">
        <v>2</v>
      </c>
      <c r="Q4948" s="1" t="s">
        <v>569</v>
      </c>
      <c r="R4948" s="93">
        <v>19443.72</v>
      </c>
      <c r="S4948">
        <v>7777.51</v>
      </c>
      <c r="T4948">
        <v>0</v>
      </c>
      <c r="U4948" s="1" t="s">
        <v>1161</v>
      </c>
      <c r="V4948" s="1"/>
      <c r="W4948">
        <v>19443.723999999998</v>
      </c>
      <c r="X4948">
        <v>0</v>
      </c>
      <c r="Y4948">
        <v>56782</v>
      </c>
    </row>
    <row r="4949" spans="1:25" ht="15" hidden="1" customHeight="1" x14ac:dyDescent="0.25">
      <c r="A4949" s="1" t="s">
        <v>40</v>
      </c>
      <c r="B4949" s="1" t="s">
        <v>90</v>
      </c>
      <c r="C4949" s="1" t="s">
        <v>217</v>
      </c>
      <c r="D4949">
        <v>5266</v>
      </c>
      <c r="E4949" s="1"/>
      <c r="F4949" s="1" t="s">
        <v>217</v>
      </c>
      <c r="G4949" s="1" t="s">
        <v>217</v>
      </c>
      <c r="H4949" s="1" t="s">
        <v>1396</v>
      </c>
      <c r="I4949">
        <v>2011</v>
      </c>
      <c r="J4949" s="93">
        <v>22449.96</v>
      </c>
      <c r="K4949">
        <v>12</v>
      </c>
      <c r="L4949" s="1" t="s">
        <v>404</v>
      </c>
      <c r="M4949">
        <v>0</v>
      </c>
      <c r="N4949">
        <v>585</v>
      </c>
      <c r="O4949">
        <v>38.369441000000002</v>
      </c>
      <c r="P4949">
        <v>2</v>
      </c>
      <c r="Q4949" s="1" t="s">
        <v>569</v>
      </c>
      <c r="R4949" s="93">
        <v>22449.96</v>
      </c>
      <c r="S4949">
        <v>10529.03</v>
      </c>
      <c r="T4949">
        <v>0</v>
      </c>
      <c r="U4949" s="1" t="s">
        <v>1161</v>
      </c>
      <c r="V4949" s="1"/>
      <c r="W4949">
        <v>22449.948</v>
      </c>
      <c r="X4949">
        <v>0</v>
      </c>
      <c r="Y4949">
        <v>56782</v>
      </c>
    </row>
    <row r="4950" spans="1:25" ht="15" hidden="1" customHeight="1" x14ac:dyDescent="0.25">
      <c r="A4950" s="1" t="s">
        <v>40</v>
      </c>
      <c r="B4950" s="1" t="s">
        <v>90</v>
      </c>
      <c r="C4950" s="1" t="s">
        <v>217</v>
      </c>
      <c r="D4950">
        <v>5266</v>
      </c>
      <c r="E4950" s="1"/>
      <c r="F4950" s="1" t="s">
        <v>217</v>
      </c>
      <c r="G4950" s="1" t="s">
        <v>217</v>
      </c>
      <c r="H4950" s="1" t="s">
        <v>1396</v>
      </c>
      <c r="I4950">
        <v>2010</v>
      </c>
      <c r="J4950" s="93">
        <v>21537.14</v>
      </c>
      <c r="K4950">
        <v>12</v>
      </c>
      <c r="L4950" s="1" t="s">
        <v>404</v>
      </c>
      <c r="M4950">
        <v>0</v>
      </c>
      <c r="N4950">
        <v>585</v>
      </c>
      <c r="O4950">
        <v>36.809331</v>
      </c>
      <c r="P4950">
        <v>2</v>
      </c>
      <c r="Q4950" s="1" t="s">
        <v>569</v>
      </c>
      <c r="R4950" s="93">
        <v>21537.14</v>
      </c>
      <c r="S4950">
        <v>10100.92</v>
      </c>
      <c r="T4950">
        <v>0</v>
      </c>
      <c r="U4950" s="1" t="s">
        <v>1161</v>
      </c>
      <c r="V4950" s="1"/>
      <c r="W4950">
        <v>21537.132000000001</v>
      </c>
      <c r="X4950">
        <v>0</v>
      </c>
      <c r="Y4950">
        <v>56782</v>
      </c>
    </row>
    <row r="4951" spans="1:25" ht="15" hidden="1" customHeight="1" x14ac:dyDescent="0.25">
      <c r="A4951" s="1" t="s">
        <v>40</v>
      </c>
      <c r="B4951" s="1" t="s">
        <v>90</v>
      </c>
      <c r="C4951" s="1" t="s">
        <v>217</v>
      </c>
      <c r="D4951">
        <v>5266</v>
      </c>
      <c r="E4951" s="1"/>
      <c r="F4951" s="1" t="s">
        <v>217</v>
      </c>
      <c r="G4951" s="1" t="s">
        <v>217</v>
      </c>
      <c r="H4951" s="1" t="s">
        <v>1396</v>
      </c>
      <c r="I4951">
        <v>2009</v>
      </c>
      <c r="J4951" s="93">
        <v>20886.330000000002</v>
      </c>
      <c r="K4951">
        <v>12</v>
      </c>
      <c r="L4951" s="1" t="s">
        <v>404</v>
      </c>
      <c r="M4951">
        <v>0</v>
      </c>
      <c r="N4951">
        <v>585</v>
      </c>
      <c r="O4951">
        <v>35.697026000000001</v>
      </c>
      <c r="P4951">
        <v>2</v>
      </c>
      <c r="Q4951" s="1" t="s">
        <v>569</v>
      </c>
      <c r="R4951" s="93">
        <v>20886.330000000002</v>
      </c>
      <c r="S4951">
        <v>9795.7099999999991</v>
      </c>
      <c r="T4951">
        <v>0</v>
      </c>
      <c r="U4951" s="1" t="s">
        <v>1161</v>
      </c>
      <c r="V4951" s="1"/>
      <c r="W4951">
        <v>20886.328000000001</v>
      </c>
      <c r="X4951">
        <v>0</v>
      </c>
      <c r="Y4951">
        <v>56782</v>
      </c>
    </row>
    <row r="4952" spans="1:25" ht="15" hidden="1" customHeight="1" x14ac:dyDescent="0.25">
      <c r="A4952" s="1" t="s">
        <v>40</v>
      </c>
      <c r="B4952" s="1" t="s">
        <v>90</v>
      </c>
      <c r="C4952" s="1" t="s">
        <v>217</v>
      </c>
      <c r="D4952">
        <v>5266</v>
      </c>
      <c r="E4952" s="1"/>
      <c r="F4952" s="1" t="s">
        <v>217</v>
      </c>
      <c r="G4952" s="1" t="s">
        <v>217</v>
      </c>
      <c r="H4952" s="1" t="s">
        <v>1396</v>
      </c>
      <c r="I4952">
        <v>2008</v>
      </c>
      <c r="J4952" s="93">
        <v>25047.74</v>
      </c>
      <c r="K4952">
        <v>12</v>
      </c>
      <c r="L4952" s="1" t="s">
        <v>404</v>
      </c>
      <c r="M4952">
        <v>0</v>
      </c>
      <c r="N4952">
        <v>585</v>
      </c>
      <c r="O4952">
        <v>42.809331</v>
      </c>
      <c r="P4952">
        <v>2</v>
      </c>
      <c r="Q4952" s="1" t="s">
        <v>569</v>
      </c>
      <c r="R4952" s="93">
        <v>25047.74</v>
      </c>
      <c r="S4952">
        <v>11747.4</v>
      </c>
      <c r="T4952">
        <v>0</v>
      </c>
      <c r="U4952" s="1" t="s">
        <v>1161</v>
      </c>
      <c r="V4952" s="1"/>
      <c r="W4952">
        <v>25047.756000000001</v>
      </c>
      <c r="X4952">
        <v>0</v>
      </c>
      <c r="Y4952">
        <v>56782</v>
      </c>
    </row>
    <row r="4953" spans="1:25" ht="15" hidden="1" customHeight="1" x14ac:dyDescent="0.25">
      <c r="A4953" s="1" t="s">
        <v>40</v>
      </c>
      <c r="B4953" s="1" t="s">
        <v>91</v>
      </c>
      <c r="C4953" s="1" t="s">
        <v>219</v>
      </c>
      <c r="D4953">
        <v>13666</v>
      </c>
      <c r="E4953" s="1" t="s">
        <v>243</v>
      </c>
      <c r="F4953" s="1" t="s">
        <v>354</v>
      </c>
      <c r="G4953" s="1" t="s">
        <v>219</v>
      </c>
      <c r="H4953" s="1" t="s">
        <v>1396</v>
      </c>
      <c r="I4953">
        <v>2015</v>
      </c>
      <c r="J4953" s="93">
        <v>12895.43</v>
      </c>
      <c r="K4953">
        <v>5</v>
      </c>
      <c r="L4953" s="1"/>
      <c r="M4953">
        <v>0</v>
      </c>
      <c r="N4953">
        <v>1155</v>
      </c>
      <c r="O4953">
        <v>11.163907</v>
      </c>
      <c r="P4953">
        <v>2</v>
      </c>
      <c r="Q4953" s="1" t="s">
        <v>569</v>
      </c>
      <c r="R4953" s="93">
        <v>12895.43</v>
      </c>
      <c r="S4953">
        <v>3868.63</v>
      </c>
      <c r="T4953">
        <v>0</v>
      </c>
      <c r="U4953" s="1" t="s">
        <v>1163</v>
      </c>
      <c r="V4953" s="1"/>
      <c r="W4953">
        <v>12895.428</v>
      </c>
      <c r="X4953">
        <v>0</v>
      </c>
      <c r="Y4953">
        <v>96149</v>
      </c>
    </row>
    <row r="4954" spans="1:25" ht="15" hidden="1" customHeight="1" x14ac:dyDescent="0.25">
      <c r="A4954" s="1" t="s">
        <v>40</v>
      </c>
      <c r="B4954" s="1" t="s">
        <v>91</v>
      </c>
      <c r="C4954" s="1" t="s">
        <v>219</v>
      </c>
      <c r="D4954">
        <v>13666</v>
      </c>
      <c r="E4954" s="1" t="s">
        <v>243</v>
      </c>
      <c r="F4954" s="1" t="s">
        <v>354</v>
      </c>
      <c r="G4954" s="1" t="s">
        <v>219</v>
      </c>
      <c r="H4954" s="1" t="s">
        <v>1396</v>
      </c>
      <c r="I4954">
        <v>2015</v>
      </c>
      <c r="J4954" s="93">
        <v>191.51</v>
      </c>
      <c r="K4954">
        <v>5</v>
      </c>
      <c r="L4954" s="1"/>
      <c r="M4954">
        <v>0</v>
      </c>
      <c r="N4954">
        <v>1155</v>
      </c>
      <c r="O4954">
        <v>0.165795</v>
      </c>
      <c r="P4954">
        <v>2</v>
      </c>
      <c r="Q4954" s="1" t="s">
        <v>569</v>
      </c>
      <c r="R4954" s="93">
        <v>191.51</v>
      </c>
      <c r="S4954">
        <v>57.46</v>
      </c>
      <c r="T4954">
        <v>0</v>
      </c>
      <c r="U4954" s="1" t="s">
        <v>1164</v>
      </c>
      <c r="V4954" s="1" t="s">
        <v>1356</v>
      </c>
      <c r="W4954">
        <v>191.51400000000001</v>
      </c>
      <c r="X4954">
        <v>0</v>
      </c>
      <c r="Y4954">
        <v>96150</v>
      </c>
    </row>
    <row r="4955" spans="1:25" ht="15" hidden="1" customHeight="1" x14ac:dyDescent="0.25">
      <c r="A4955" s="1" t="s">
        <v>40</v>
      </c>
      <c r="B4955" s="1" t="s">
        <v>91</v>
      </c>
      <c r="C4955" s="1" t="s">
        <v>219</v>
      </c>
      <c r="D4955">
        <v>13666</v>
      </c>
      <c r="E4955" s="1" t="s">
        <v>243</v>
      </c>
      <c r="F4955" s="1" t="s">
        <v>354</v>
      </c>
      <c r="G4955" s="1" t="s">
        <v>219</v>
      </c>
      <c r="H4955" s="1" t="s">
        <v>1396</v>
      </c>
      <c r="I4955">
        <v>2013</v>
      </c>
      <c r="J4955" s="93">
        <v>30642.25</v>
      </c>
      <c r="K4955">
        <v>6</v>
      </c>
      <c r="L4955" s="1" t="s">
        <v>558</v>
      </c>
      <c r="M4955">
        <v>0</v>
      </c>
      <c r="N4955">
        <v>1155</v>
      </c>
      <c r="O4955">
        <v>26.527788999999999</v>
      </c>
      <c r="P4955">
        <v>2</v>
      </c>
      <c r="Q4955" s="1" t="s">
        <v>569</v>
      </c>
      <c r="R4955" s="93">
        <v>30642.25</v>
      </c>
      <c r="S4955">
        <v>9192.67</v>
      </c>
      <c r="T4955">
        <v>0</v>
      </c>
      <c r="U4955" s="1" t="s">
        <v>1165</v>
      </c>
      <c r="V4955" s="1" t="s">
        <v>1357</v>
      </c>
      <c r="W4955">
        <v>30642.231319999999</v>
      </c>
      <c r="X4955">
        <v>0</v>
      </c>
      <c r="Y4955">
        <v>91264</v>
      </c>
    </row>
    <row r="4956" spans="1:25" ht="15" hidden="1" customHeight="1" x14ac:dyDescent="0.25">
      <c r="A4956" s="1" t="s">
        <v>40</v>
      </c>
      <c r="B4956" s="1" t="s">
        <v>91</v>
      </c>
      <c r="C4956" s="1" t="s">
        <v>219</v>
      </c>
      <c r="D4956">
        <v>13666</v>
      </c>
      <c r="E4956" s="1" t="s">
        <v>243</v>
      </c>
      <c r="F4956" s="1" t="s">
        <v>354</v>
      </c>
      <c r="G4956" s="1" t="s">
        <v>219</v>
      </c>
      <c r="H4956" s="1" t="s">
        <v>1396</v>
      </c>
      <c r="I4956">
        <v>2013</v>
      </c>
      <c r="J4956" s="93">
        <v>233.9</v>
      </c>
      <c r="K4956">
        <v>4</v>
      </c>
      <c r="L4956" s="1" t="s">
        <v>557</v>
      </c>
      <c r="M4956">
        <v>0</v>
      </c>
      <c r="N4956">
        <v>1155</v>
      </c>
      <c r="O4956">
        <v>0.20249300000000001</v>
      </c>
      <c r="P4956">
        <v>2</v>
      </c>
      <c r="Q4956" s="1" t="s">
        <v>569</v>
      </c>
      <c r="R4956" s="93">
        <v>233.9</v>
      </c>
      <c r="S4956">
        <v>70.180000000000007</v>
      </c>
      <c r="T4956">
        <v>0</v>
      </c>
      <c r="U4956" s="1" t="s">
        <v>1164</v>
      </c>
      <c r="V4956" s="1" t="s">
        <v>1356</v>
      </c>
      <c r="W4956">
        <v>233.89434</v>
      </c>
      <c r="X4956">
        <v>0</v>
      </c>
      <c r="Y4956">
        <v>91259</v>
      </c>
    </row>
    <row r="4957" spans="1:25" ht="15" hidden="1" customHeight="1" x14ac:dyDescent="0.25">
      <c r="A4957" s="1" t="s">
        <v>40</v>
      </c>
      <c r="B4957" s="1" t="s">
        <v>91</v>
      </c>
      <c r="C4957" s="1" t="s">
        <v>219</v>
      </c>
      <c r="D4957">
        <v>13666</v>
      </c>
      <c r="E4957" s="1" t="s">
        <v>243</v>
      </c>
      <c r="F4957" s="1" t="s">
        <v>354</v>
      </c>
      <c r="G4957" s="1" t="s">
        <v>219</v>
      </c>
      <c r="H4957" s="1" t="s">
        <v>1396</v>
      </c>
      <c r="I4957">
        <v>2012</v>
      </c>
      <c r="J4957" s="93">
        <v>1130.07</v>
      </c>
      <c r="K4957">
        <v>1</v>
      </c>
      <c r="L4957" s="1" t="s">
        <v>557</v>
      </c>
      <c r="M4957">
        <v>0</v>
      </c>
      <c r="N4957">
        <v>1155</v>
      </c>
      <c r="O4957">
        <v>0.97833000000000003</v>
      </c>
      <c r="P4957">
        <v>2</v>
      </c>
      <c r="Q4957" s="1" t="s">
        <v>569</v>
      </c>
      <c r="R4957" s="93">
        <v>1130.07</v>
      </c>
      <c r="S4957">
        <v>452</v>
      </c>
      <c r="T4957">
        <v>0</v>
      </c>
      <c r="U4957" s="1" t="s">
        <v>1164</v>
      </c>
      <c r="V4957" s="1" t="s">
        <v>1356</v>
      </c>
      <c r="W4957">
        <v>1130.0497399999999</v>
      </c>
      <c r="X4957">
        <v>0</v>
      </c>
      <c r="Y4957">
        <v>91259</v>
      </c>
    </row>
    <row r="4958" spans="1:25" ht="15" hidden="1" customHeight="1" x14ac:dyDescent="0.25">
      <c r="A4958" s="1" t="s">
        <v>40</v>
      </c>
      <c r="B4958" s="1" t="s">
        <v>91</v>
      </c>
      <c r="C4958" s="1" t="s">
        <v>219</v>
      </c>
      <c r="D4958">
        <v>13666</v>
      </c>
      <c r="E4958" s="1" t="s">
        <v>243</v>
      </c>
      <c r="F4958" s="1" t="s">
        <v>354</v>
      </c>
      <c r="G4958" s="1" t="s">
        <v>219</v>
      </c>
      <c r="H4958" s="1" t="s">
        <v>1396</v>
      </c>
      <c r="I4958">
        <v>2012</v>
      </c>
      <c r="J4958" s="93">
        <v>33156.160000000003</v>
      </c>
      <c r="K4958">
        <v>1</v>
      </c>
      <c r="L4958" s="1" t="s">
        <v>558</v>
      </c>
      <c r="M4958">
        <v>0</v>
      </c>
      <c r="N4958">
        <v>1155</v>
      </c>
      <c r="O4958">
        <v>28.704146000000001</v>
      </c>
      <c r="P4958">
        <v>2</v>
      </c>
      <c r="Q4958" s="1" t="s">
        <v>569</v>
      </c>
      <c r="R4958" s="93">
        <v>33156.160000000003</v>
      </c>
      <c r="S4958">
        <v>13262.43</v>
      </c>
      <c r="T4958">
        <v>0</v>
      </c>
      <c r="U4958" s="1" t="s">
        <v>1165</v>
      </c>
      <c r="V4958" s="1" t="s">
        <v>1357</v>
      </c>
      <c r="W4958">
        <v>33156.157749999998</v>
      </c>
      <c r="X4958">
        <v>0</v>
      </c>
      <c r="Y4958">
        <v>91264</v>
      </c>
    </row>
    <row r="4959" spans="1:25" ht="15" hidden="1" customHeight="1" x14ac:dyDescent="0.25">
      <c r="A4959" s="1" t="s">
        <v>40</v>
      </c>
      <c r="B4959" s="1" t="s">
        <v>91</v>
      </c>
      <c r="C4959" s="1" t="s">
        <v>219</v>
      </c>
      <c r="D4959">
        <v>13666</v>
      </c>
      <c r="E4959" s="1" t="s">
        <v>243</v>
      </c>
      <c r="F4959" s="1" t="s">
        <v>354</v>
      </c>
      <c r="G4959" s="1" t="s">
        <v>219</v>
      </c>
      <c r="H4959" s="1" t="s">
        <v>1396</v>
      </c>
      <c r="I4959">
        <v>2011</v>
      </c>
      <c r="J4959" s="93">
        <v>407.49</v>
      </c>
      <c r="K4959">
        <v>1</v>
      </c>
      <c r="L4959" s="1" t="s">
        <v>557</v>
      </c>
      <c r="M4959">
        <v>0</v>
      </c>
      <c r="N4959">
        <v>1155</v>
      </c>
      <c r="O4959">
        <v>0.35277399999999998</v>
      </c>
      <c r="P4959">
        <v>2</v>
      </c>
      <c r="Q4959" s="1" t="s">
        <v>569</v>
      </c>
      <c r="R4959" s="93">
        <v>407.49</v>
      </c>
      <c r="S4959">
        <v>191.13</v>
      </c>
      <c r="T4959">
        <v>0</v>
      </c>
      <c r="U4959" s="1" t="s">
        <v>1164</v>
      </c>
      <c r="V4959" s="1" t="s">
        <v>1356</v>
      </c>
      <c r="W4959">
        <v>407.49797999999998</v>
      </c>
      <c r="X4959">
        <v>0</v>
      </c>
      <c r="Y4959">
        <v>91259</v>
      </c>
    </row>
    <row r="4960" spans="1:25" ht="15" hidden="1" customHeight="1" x14ac:dyDescent="0.25">
      <c r="A4960" s="1" t="s">
        <v>40</v>
      </c>
      <c r="B4960" s="1" t="s">
        <v>91</v>
      </c>
      <c r="C4960" s="1" t="s">
        <v>219</v>
      </c>
      <c r="D4960">
        <v>13666</v>
      </c>
      <c r="E4960" s="1" t="s">
        <v>243</v>
      </c>
      <c r="F4960" s="1" t="s">
        <v>354</v>
      </c>
      <c r="G4960" s="1" t="s">
        <v>219</v>
      </c>
      <c r="H4960" s="1" t="s">
        <v>1396</v>
      </c>
      <c r="I4960">
        <v>2011</v>
      </c>
      <c r="J4960" s="93">
        <v>30739.7</v>
      </c>
      <c r="K4960">
        <v>1</v>
      </c>
      <c r="L4960" s="1" t="s">
        <v>558</v>
      </c>
      <c r="M4960">
        <v>0</v>
      </c>
      <c r="N4960">
        <v>1155</v>
      </c>
      <c r="O4960">
        <v>26.612154</v>
      </c>
      <c r="P4960">
        <v>2</v>
      </c>
      <c r="Q4960" s="1" t="s">
        <v>569</v>
      </c>
      <c r="R4960" s="93">
        <v>30739.7</v>
      </c>
      <c r="S4960">
        <v>14416.91</v>
      </c>
      <c r="T4960">
        <v>0</v>
      </c>
      <c r="U4960" s="1" t="s">
        <v>1165</v>
      </c>
      <c r="V4960" s="1" t="s">
        <v>1357</v>
      </c>
      <c r="W4960">
        <v>30739.70923</v>
      </c>
      <c r="X4960">
        <v>0</v>
      </c>
      <c r="Y4960">
        <v>91264</v>
      </c>
    </row>
    <row r="4961" spans="1:25" ht="15" hidden="1" customHeight="1" x14ac:dyDescent="0.25">
      <c r="A4961" s="1" t="s">
        <v>40</v>
      </c>
      <c r="B4961" s="1" t="s">
        <v>91</v>
      </c>
      <c r="C4961" s="1" t="s">
        <v>219</v>
      </c>
      <c r="D4961">
        <v>13666</v>
      </c>
      <c r="E4961" s="1" t="s">
        <v>243</v>
      </c>
      <c r="F4961" s="1" t="s">
        <v>354</v>
      </c>
      <c r="G4961" s="1" t="s">
        <v>219</v>
      </c>
      <c r="H4961" s="1" t="s">
        <v>1396</v>
      </c>
      <c r="I4961">
        <v>2010</v>
      </c>
      <c r="J4961" s="93">
        <v>44.52</v>
      </c>
      <c r="K4961">
        <v>1</v>
      </c>
      <c r="L4961" s="1" t="s">
        <v>557</v>
      </c>
      <c r="M4961">
        <v>0</v>
      </c>
      <c r="N4961">
        <v>1155</v>
      </c>
      <c r="O4961">
        <v>3.8542E-2</v>
      </c>
      <c r="P4961">
        <v>2</v>
      </c>
      <c r="Q4961" s="1" t="s">
        <v>569</v>
      </c>
      <c r="R4961" s="93">
        <v>44.52</v>
      </c>
      <c r="S4961">
        <v>20.88</v>
      </c>
      <c r="T4961">
        <v>0</v>
      </c>
      <c r="U4961" s="1" t="s">
        <v>1164</v>
      </c>
      <c r="V4961" s="1" t="s">
        <v>1356</v>
      </c>
      <c r="W4961">
        <v>44.521279999999997</v>
      </c>
      <c r="X4961">
        <v>0</v>
      </c>
      <c r="Y4961">
        <v>91259</v>
      </c>
    </row>
    <row r="4962" spans="1:25" ht="15" hidden="1" customHeight="1" x14ac:dyDescent="0.25">
      <c r="A4962" s="1" t="s">
        <v>40</v>
      </c>
      <c r="B4962" s="1" t="s">
        <v>91</v>
      </c>
      <c r="C4962" s="1" t="s">
        <v>219</v>
      </c>
      <c r="D4962">
        <v>13666</v>
      </c>
      <c r="E4962" s="1" t="s">
        <v>243</v>
      </c>
      <c r="F4962" s="1" t="s">
        <v>354</v>
      </c>
      <c r="G4962" s="1" t="s">
        <v>219</v>
      </c>
      <c r="H4962" s="1" t="s">
        <v>1396</v>
      </c>
      <c r="I4962">
        <v>2010</v>
      </c>
      <c r="J4962" s="93">
        <v>19106.310000000001</v>
      </c>
      <c r="K4962">
        <v>1</v>
      </c>
      <c r="L4962" s="1" t="s">
        <v>558</v>
      </c>
      <c r="M4962">
        <v>0</v>
      </c>
      <c r="N4962">
        <v>1155</v>
      </c>
      <c r="O4962">
        <v>16.540827</v>
      </c>
      <c r="P4962">
        <v>2</v>
      </c>
      <c r="Q4962" s="1" t="s">
        <v>569</v>
      </c>
      <c r="R4962" s="93">
        <v>19106.310000000001</v>
      </c>
      <c r="S4962">
        <v>8960.86</v>
      </c>
      <c r="T4962">
        <v>0</v>
      </c>
      <c r="U4962" s="1" t="s">
        <v>1165</v>
      </c>
      <c r="V4962" s="1" t="s">
        <v>1357</v>
      </c>
      <c r="W4962">
        <v>19106.315139999999</v>
      </c>
      <c r="X4962">
        <v>0</v>
      </c>
      <c r="Y4962">
        <v>91264</v>
      </c>
    </row>
    <row r="4963" spans="1:25" ht="15" hidden="1" customHeight="1" x14ac:dyDescent="0.25">
      <c r="A4963" s="1" t="s">
        <v>40</v>
      </c>
      <c r="B4963" s="1" t="s">
        <v>91</v>
      </c>
      <c r="C4963" s="1" t="s">
        <v>219</v>
      </c>
      <c r="D4963">
        <v>13666</v>
      </c>
      <c r="E4963" s="1" t="s">
        <v>243</v>
      </c>
      <c r="F4963" s="1" t="s">
        <v>354</v>
      </c>
      <c r="G4963" s="1" t="s">
        <v>219</v>
      </c>
      <c r="H4963" s="1" t="s">
        <v>1396</v>
      </c>
      <c r="I4963">
        <v>2009</v>
      </c>
      <c r="J4963" s="93">
        <v>14461.45</v>
      </c>
      <c r="K4963">
        <v>1</v>
      </c>
      <c r="L4963" s="1" t="s">
        <v>558</v>
      </c>
      <c r="M4963">
        <v>0</v>
      </c>
      <c r="N4963">
        <v>1155</v>
      </c>
      <c r="O4963">
        <v>12.519651</v>
      </c>
      <c r="P4963">
        <v>2</v>
      </c>
      <c r="Q4963" s="1" t="s">
        <v>569</v>
      </c>
      <c r="R4963" s="93">
        <v>14461.45</v>
      </c>
      <c r="S4963">
        <v>6782.39</v>
      </c>
      <c r="T4963">
        <v>0</v>
      </c>
      <c r="U4963" s="1" t="s">
        <v>1165</v>
      </c>
      <c r="V4963" s="1" t="s">
        <v>1357</v>
      </c>
      <c r="W4963">
        <v>14461.43015</v>
      </c>
      <c r="X4963">
        <v>0</v>
      </c>
      <c r="Y4963">
        <v>91264</v>
      </c>
    </row>
    <row r="4964" spans="1:25" ht="15" hidden="1" customHeight="1" x14ac:dyDescent="0.25">
      <c r="A4964" s="1" t="s">
        <v>40</v>
      </c>
      <c r="B4964" s="1" t="s">
        <v>91</v>
      </c>
      <c r="C4964" s="1" t="s">
        <v>219</v>
      </c>
      <c r="D4964">
        <v>13666</v>
      </c>
      <c r="E4964" s="1" t="s">
        <v>243</v>
      </c>
      <c r="F4964" s="1" t="s">
        <v>354</v>
      </c>
      <c r="G4964" s="1" t="s">
        <v>219</v>
      </c>
      <c r="H4964" s="1" t="s">
        <v>1396</v>
      </c>
      <c r="I4964">
        <v>2008</v>
      </c>
      <c r="J4964" s="93">
        <v>14450.74</v>
      </c>
      <c r="K4964">
        <v>1</v>
      </c>
      <c r="L4964" s="1" t="s">
        <v>558</v>
      </c>
      <c r="M4964">
        <v>0</v>
      </c>
      <c r="N4964">
        <v>1155</v>
      </c>
      <c r="O4964">
        <v>12.51038</v>
      </c>
      <c r="P4964">
        <v>2</v>
      </c>
      <c r="Q4964" s="1" t="s">
        <v>569</v>
      </c>
      <c r="R4964" s="93">
        <v>14450.74</v>
      </c>
      <c r="S4964">
        <v>6777.37</v>
      </c>
      <c r="T4964">
        <v>0</v>
      </c>
      <c r="U4964" s="1" t="s">
        <v>1165</v>
      </c>
      <c r="V4964" s="1" t="s">
        <v>1357</v>
      </c>
      <c r="W4964">
        <v>14450.723249999999</v>
      </c>
      <c r="X4964">
        <v>0</v>
      </c>
      <c r="Y4964">
        <v>91264</v>
      </c>
    </row>
    <row r="4965" spans="1:25" ht="15" hidden="1" customHeight="1" x14ac:dyDescent="0.25">
      <c r="A4965" s="1" t="s">
        <v>40</v>
      </c>
      <c r="B4965" s="1" t="s">
        <v>92</v>
      </c>
      <c r="C4965" s="1" t="s">
        <v>220</v>
      </c>
      <c r="D4965">
        <v>13868</v>
      </c>
      <c r="E4965" s="1" t="s">
        <v>243</v>
      </c>
      <c r="F4965" s="1" t="s">
        <v>355</v>
      </c>
      <c r="G4965" s="1" t="s">
        <v>220</v>
      </c>
      <c r="H4965" s="1" t="s">
        <v>1396</v>
      </c>
      <c r="I4965">
        <v>2015</v>
      </c>
      <c r="J4965" s="93">
        <v>4811.7</v>
      </c>
      <c r="K4965">
        <v>5</v>
      </c>
      <c r="L4965" s="1" t="s">
        <v>460</v>
      </c>
      <c r="M4965">
        <v>0</v>
      </c>
      <c r="N4965">
        <v>867</v>
      </c>
      <c r="O4965">
        <v>5.5491859999999997</v>
      </c>
      <c r="P4965">
        <v>2</v>
      </c>
      <c r="Q4965" s="1" t="s">
        <v>569</v>
      </c>
      <c r="R4965" s="93">
        <v>4811.7</v>
      </c>
      <c r="S4965">
        <v>1443.52</v>
      </c>
      <c r="T4965">
        <v>0</v>
      </c>
      <c r="U4965" s="1" t="s">
        <v>1166</v>
      </c>
      <c r="V4965" s="1" t="s">
        <v>1358</v>
      </c>
      <c r="W4965">
        <v>4811.6980000000003</v>
      </c>
      <c r="X4965">
        <v>0</v>
      </c>
      <c r="Y4965">
        <v>92216</v>
      </c>
    </row>
    <row r="4966" spans="1:25" ht="15" hidden="1" customHeight="1" x14ac:dyDescent="0.25">
      <c r="A4966" s="1" t="s">
        <v>40</v>
      </c>
      <c r="B4966" s="1" t="s">
        <v>92</v>
      </c>
      <c r="C4966" s="1" t="s">
        <v>220</v>
      </c>
      <c r="D4966">
        <v>13868</v>
      </c>
      <c r="E4966" s="1" t="s">
        <v>243</v>
      </c>
      <c r="F4966" s="1" t="s">
        <v>355</v>
      </c>
      <c r="G4966" s="1" t="s">
        <v>220</v>
      </c>
      <c r="H4966" s="1" t="s">
        <v>1396</v>
      </c>
      <c r="I4966">
        <v>2013</v>
      </c>
      <c r="J4966" s="93">
        <v>15117.19</v>
      </c>
      <c r="K4966">
        <v>5</v>
      </c>
      <c r="L4966" s="1" t="s">
        <v>460</v>
      </c>
      <c r="M4966">
        <v>0</v>
      </c>
      <c r="N4966">
        <v>867</v>
      </c>
      <c r="O4966">
        <v>17.434194000000002</v>
      </c>
      <c r="P4966">
        <v>2</v>
      </c>
      <c r="Q4966" s="1" t="s">
        <v>569</v>
      </c>
      <c r="R4966" s="93">
        <v>15117.19</v>
      </c>
      <c r="S4966">
        <v>4535.17</v>
      </c>
      <c r="T4966">
        <v>0</v>
      </c>
      <c r="U4966" s="1" t="s">
        <v>1166</v>
      </c>
      <c r="V4966" s="1" t="s">
        <v>1358</v>
      </c>
      <c r="W4966">
        <v>15117.191199999999</v>
      </c>
      <c r="X4966">
        <v>0</v>
      </c>
      <c r="Y4966">
        <v>92216</v>
      </c>
    </row>
    <row r="4967" spans="1:25" ht="15" hidden="1" customHeight="1" x14ac:dyDescent="0.25">
      <c r="A4967" s="1" t="s">
        <v>40</v>
      </c>
      <c r="B4967" s="1" t="s">
        <v>92</v>
      </c>
      <c r="C4967" s="1" t="s">
        <v>220</v>
      </c>
      <c r="D4967">
        <v>13868</v>
      </c>
      <c r="E4967" s="1" t="s">
        <v>243</v>
      </c>
      <c r="F4967" s="1" t="s">
        <v>355</v>
      </c>
      <c r="G4967" s="1" t="s">
        <v>220</v>
      </c>
      <c r="H4967" s="1" t="s">
        <v>1396</v>
      </c>
      <c r="I4967">
        <v>2012</v>
      </c>
      <c r="J4967" s="93">
        <v>15700.17</v>
      </c>
      <c r="K4967">
        <v>2</v>
      </c>
      <c r="L4967" s="1" t="s">
        <v>460</v>
      </c>
      <c r="M4967">
        <v>0</v>
      </c>
      <c r="N4967">
        <v>867</v>
      </c>
      <c r="O4967">
        <v>18.106527</v>
      </c>
      <c r="P4967">
        <v>2</v>
      </c>
      <c r="Q4967" s="1" t="s">
        <v>569</v>
      </c>
      <c r="R4967" s="93">
        <v>15700.17</v>
      </c>
      <c r="S4967">
        <v>6280.05</v>
      </c>
      <c r="T4967">
        <v>0</v>
      </c>
      <c r="U4967" s="1" t="s">
        <v>1166</v>
      </c>
      <c r="V4967" s="1" t="s">
        <v>1358</v>
      </c>
      <c r="W4967">
        <v>15700.152</v>
      </c>
      <c r="X4967">
        <v>0</v>
      </c>
      <c r="Y4967">
        <v>92216</v>
      </c>
    </row>
    <row r="4968" spans="1:25" ht="15" hidden="1" customHeight="1" x14ac:dyDescent="0.25">
      <c r="A4968" s="1" t="s">
        <v>40</v>
      </c>
      <c r="B4968" s="1" t="s">
        <v>92</v>
      </c>
      <c r="C4968" s="1" t="s">
        <v>220</v>
      </c>
      <c r="D4968">
        <v>13868</v>
      </c>
      <c r="E4968" s="1" t="s">
        <v>243</v>
      </c>
      <c r="F4968" s="1" t="s">
        <v>355</v>
      </c>
      <c r="G4968" s="1" t="s">
        <v>220</v>
      </c>
      <c r="H4968" s="1" t="s">
        <v>1396</v>
      </c>
      <c r="I4968">
        <v>2011</v>
      </c>
      <c r="J4968" s="93">
        <v>17426.73</v>
      </c>
      <c r="K4968">
        <v>1</v>
      </c>
      <c r="L4968" s="1" t="s">
        <v>460</v>
      </c>
      <c r="M4968">
        <v>0</v>
      </c>
      <c r="N4968">
        <v>867</v>
      </c>
      <c r="O4968">
        <v>20.097715999999998</v>
      </c>
      <c r="P4968">
        <v>2</v>
      </c>
      <c r="Q4968" s="1" t="s">
        <v>569</v>
      </c>
      <c r="R4968" s="93">
        <v>17426.73</v>
      </c>
      <c r="S4968">
        <v>8173.18</v>
      </c>
      <c r="T4968">
        <v>0</v>
      </c>
      <c r="U4968" s="1" t="s">
        <v>1166</v>
      </c>
      <c r="V4968" s="1" t="s">
        <v>1358</v>
      </c>
      <c r="W4968">
        <v>17426.76713</v>
      </c>
      <c r="X4968">
        <v>0</v>
      </c>
      <c r="Y4968">
        <v>92216</v>
      </c>
    </row>
    <row r="4969" spans="1:25" ht="15" hidden="1" customHeight="1" x14ac:dyDescent="0.25">
      <c r="A4969" s="1" t="s">
        <v>40</v>
      </c>
      <c r="B4969" s="1" t="s">
        <v>92</v>
      </c>
      <c r="C4969" s="1" t="s">
        <v>220</v>
      </c>
      <c r="D4969">
        <v>13868</v>
      </c>
      <c r="E4969" s="1" t="s">
        <v>243</v>
      </c>
      <c r="F4969" s="1" t="s">
        <v>355</v>
      </c>
      <c r="G4969" s="1" t="s">
        <v>220</v>
      </c>
      <c r="H4969" s="1" t="s">
        <v>1396</v>
      </c>
      <c r="I4969">
        <v>2010</v>
      </c>
      <c r="J4969" s="93">
        <v>15334.16</v>
      </c>
      <c r="K4969">
        <v>1</v>
      </c>
      <c r="L4969" s="1" t="s">
        <v>460</v>
      </c>
      <c r="M4969">
        <v>0</v>
      </c>
      <c r="N4969">
        <v>867</v>
      </c>
      <c r="O4969">
        <v>17.684418999999998</v>
      </c>
      <c r="P4969">
        <v>2</v>
      </c>
      <c r="Q4969" s="1" t="s">
        <v>569</v>
      </c>
      <c r="R4969" s="93">
        <v>15334.16</v>
      </c>
      <c r="S4969">
        <v>7191.73</v>
      </c>
      <c r="T4969">
        <v>0</v>
      </c>
      <c r="U4969" s="1" t="s">
        <v>1166</v>
      </c>
      <c r="V4969" s="1" t="s">
        <v>1358</v>
      </c>
      <c r="W4969">
        <v>15334.196739999999</v>
      </c>
      <c r="X4969">
        <v>0</v>
      </c>
      <c r="Y4969">
        <v>92216</v>
      </c>
    </row>
    <row r="4970" spans="1:25" ht="15" hidden="1" customHeight="1" x14ac:dyDescent="0.25">
      <c r="A4970" s="1" t="s">
        <v>40</v>
      </c>
      <c r="B4970" s="1" t="s">
        <v>92</v>
      </c>
      <c r="C4970" s="1" t="s">
        <v>220</v>
      </c>
      <c r="D4970">
        <v>13868</v>
      </c>
      <c r="E4970" s="1" t="s">
        <v>243</v>
      </c>
      <c r="F4970" s="1" t="s">
        <v>355</v>
      </c>
      <c r="G4970" s="1" t="s">
        <v>220</v>
      </c>
      <c r="H4970" s="1" t="s">
        <v>1396</v>
      </c>
      <c r="I4970">
        <v>2009</v>
      </c>
      <c r="J4970" s="93">
        <v>13571.67</v>
      </c>
      <c r="K4970">
        <v>1</v>
      </c>
      <c r="L4970" s="1" t="s">
        <v>460</v>
      </c>
      <c r="M4970">
        <v>0</v>
      </c>
      <c r="N4970">
        <v>867</v>
      </c>
      <c r="O4970">
        <v>15.651793</v>
      </c>
      <c r="P4970">
        <v>2</v>
      </c>
      <c r="Q4970" s="1" t="s">
        <v>569</v>
      </c>
      <c r="R4970" s="93">
        <v>13571.67</v>
      </c>
      <c r="S4970">
        <v>6365.09</v>
      </c>
      <c r="T4970">
        <v>0</v>
      </c>
      <c r="U4970" s="1" t="s">
        <v>1166</v>
      </c>
      <c r="V4970" s="1" t="s">
        <v>1358</v>
      </c>
      <c r="W4970">
        <v>13571.657590000001</v>
      </c>
      <c r="X4970">
        <v>0</v>
      </c>
      <c r="Y4970">
        <v>92216</v>
      </c>
    </row>
    <row r="4971" spans="1:25" ht="15" hidden="1" customHeight="1" x14ac:dyDescent="0.25">
      <c r="A4971" s="1" t="s">
        <v>40</v>
      </c>
      <c r="B4971" s="1" t="s">
        <v>92</v>
      </c>
      <c r="C4971" s="1" t="s">
        <v>220</v>
      </c>
      <c r="D4971">
        <v>13868</v>
      </c>
      <c r="E4971" s="1" t="s">
        <v>243</v>
      </c>
      <c r="F4971" s="1" t="s">
        <v>355</v>
      </c>
      <c r="G4971" s="1" t="s">
        <v>220</v>
      </c>
      <c r="H4971" s="1" t="s">
        <v>1396</v>
      </c>
      <c r="I4971">
        <v>2008</v>
      </c>
      <c r="J4971" s="93">
        <v>12756.34</v>
      </c>
      <c r="K4971">
        <v>1</v>
      </c>
      <c r="L4971" s="1" t="s">
        <v>460</v>
      </c>
      <c r="M4971">
        <v>0</v>
      </c>
      <c r="N4971">
        <v>867</v>
      </c>
      <c r="O4971">
        <v>14.711498000000001</v>
      </c>
      <c r="P4971">
        <v>2</v>
      </c>
      <c r="Q4971" s="1" t="s">
        <v>569</v>
      </c>
      <c r="R4971" s="93">
        <v>12756.34</v>
      </c>
      <c r="S4971">
        <v>5982.68</v>
      </c>
      <c r="T4971">
        <v>0</v>
      </c>
      <c r="U4971" s="1" t="s">
        <v>1166</v>
      </c>
      <c r="V4971" s="1" t="s">
        <v>1358</v>
      </c>
      <c r="W4971">
        <v>12756.353569999999</v>
      </c>
      <c r="X4971">
        <v>0</v>
      </c>
      <c r="Y4971">
        <v>92216</v>
      </c>
    </row>
    <row r="4972" spans="1:25" ht="15" hidden="1" customHeight="1" x14ac:dyDescent="0.25">
      <c r="A4972" s="1" t="s">
        <v>40</v>
      </c>
      <c r="B4972" s="1" t="s">
        <v>93</v>
      </c>
      <c r="C4972" s="1" t="s">
        <v>221</v>
      </c>
      <c r="D4972">
        <v>6370</v>
      </c>
      <c r="E4972" s="1"/>
      <c r="F4972" s="1" t="s">
        <v>356</v>
      </c>
      <c r="G4972" s="1" t="s">
        <v>221</v>
      </c>
      <c r="H4972" s="1" t="s">
        <v>1396</v>
      </c>
      <c r="I4972">
        <v>2015</v>
      </c>
      <c r="J4972" s="93">
        <v>1177.96</v>
      </c>
      <c r="K4972">
        <v>5</v>
      </c>
      <c r="L4972" s="1" t="s">
        <v>426</v>
      </c>
      <c r="M4972">
        <v>0</v>
      </c>
      <c r="N4972">
        <v>99</v>
      </c>
      <c r="O4972">
        <v>11.886578999999999</v>
      </c>
      <c r="P4972">
        <v>2</v>
      </c>
      <c r="Q4972" s="1" t="s">
        <v>569</v>
      </c>
      <c r="R4972" s="93">
        <v>1177.96</v>
      </c>
      <c r="S4972">
        <v>471.18</v>
      </c>
      <c r="T4972">
        <v>0</v>
      </c>
      <c r="U4972" s="1" t="s">
        <v>1168</v>
      </c>
      <c r="V4972" s="1"/>
      <c r="W4972">
        <v>1177.963</v>
      </c>
      <c r="X4972">
        <v>0</v>
      </c>
      <c r="Y4972">
        <v>62721</v>
      </c>
    </row>
    <row r="4973" spans="1:25" ht="15" hidden="1" customHeight="1" x14ac:dyDescent="0.25">
      <c r="A4973" s="1" t="s">
        <v>40</v>
      </c>
      <c r="B4973" s="1" t="s">
        <v>93</v>
      </c>
      <c r="C4973" s="1" t="s">
        <v>221</v>
      </c>
      <c r="D4973">
        <v>6370</v>
      </c>
      <c r="E4973" s="1"/>
      <c r="F4973" s="1" t="s">
        <v>356</v>
      </c>
      <c r="G4973" s="1" t="s">
        <v>221</v>
      </c>
      <c r="H4973" s="1" t="s">
        <v>1396</v>
      </c>
      <c r="I4973">
        <v>2013</v>
      </c>
      <c r="J4973" s="93">
        <v>3265.91</v>
      </c>
      <c r="K4973">
        <v>12</v>
      </c>
      <c r="L4973" s="1" t="s">
        <v>426</v>
      </c>
      <c r="M4973">
        <v>0</v>
      </c>
      <c r="N4973">
        <v>99</v>
      </c>
      <c r="O4973">
        <v>32.955700999999998</v>
      </c>
      <c r="P4973">
        <v>2</v>
      </c>
      <c r="Q4973" s="1" t="s">
        <v>569</v>
      </c>
      <c r="R4973" s="93">
        <v>3265.91</v>
      </c>
      <c r="S4973">
        <v>1306.3599999999999</v>
      </c>
      <c r="T4973">
        <v>0</v>
      </c>
      <c r="U4973" s="1" t="s">
        <v>1168</v>
      </c>
      <c r="V4973" s="1"/>
      <c r="W4973">
        <v>3265.9088999999999</v>
      </c>
      <c r="X4973">
        <v>0</v>
      </c>
      <c r="Y4973">
        <v>62721</v>
      </c>
    </row>
    <row r="4974" spans="1:25" ht="15" hidden="1" customHeight="1" x14ac:dyDescent="0.25">
      <c r="A4974" s="1" t="s">
        <v>40</v>
      </c>
      <c r="B4974" s="1" t="s">
        <v>93</v>
      </c>
      <c r="C4974" s="1" t="s">
        <v>221</v>
      </c>
      <c r="D4974">
        <v>6370</v>
      </c>
      <c r="E4974" s="1"/>
      <c r="F4974" s="1" t="s">
        <v>356</v>
      </c>
      <c r="G4974" s="1" t="s">
        <v>221</v>
      </c>
      <c r="H4974" s="1" t="s">
        <v>1396</v>
      </c>
      <c r="I4974">
        <v>2012</v>
      </c>
      <c r="J4974" s="93">
        <v>3061.15</v>
      </c>
      <c r="K4974">
        <v>12</v>
      </c>
      <c r="L4974" s="1" t="s">
        <v>426</v>
      </c>
      <c r="M4974">
        <v>0</v>
      </c>
      <c r="N4974">
        <v>99</v>
      </c>
      <c r="O4974">
        <v>30.889505</v>
      </c>
      <c r="P4974">
        <v>2</v>
      </c>
      <c r="Q4974" s="1" t="s">
        <v>569</v>
      </c>
      <c r="R4974" s="93">
        <v>3061.15</v>
      </c>
      <c r="S4974">
        <v>1224.46</v>
      </c>
      <c r="T4974">
        <v>0</v>
      </c>
      <c r="U4974" s="1" t="s">
        <v>1168</v>
      </c>
      <c r="V4974" s="1"/>
      <c r="W4974">
        <v>3061.136</v>
      </c>
      <c r="X4974">
        <v>0</v>
      </c>
      <c r="Y4974">
        <v>62721</v>
      </c>
    </row>
    <row r="4975" spans="1:25" ht="15" hidden="1" customHeight="1" x14ac:dyDescent="0.25">
      <c r="A4975" s="1" t="s">
        <v>40</v>
      </c>
      <c r="B4975" s="1" t="s">
        <v>93</v>
      </c>
      <c r="C4975" s="1" t="s">
        <v>221</v>
      </c>
      <c r="D4975">
        <v>6370</v>
      </c>
      <c r="E4975" s="1"/>
      <c r="F4975" s="1" t="s">
        <v>356</v>
      </c>
      <c r="G4975" s="1" t="s">
        <v>221</v>
      </c>
      <c r="H4975" s="1" t="s">
        <v>1396</v>
      </c>
      <c r="I4975">
        <v>2011</v>
      </c>
      <c r="J4975" s="93">
        <v>2818.18</v>
      </c>
      <c r="K4975">
        <v>6</v>
      </c>
      <c r="L4975" s="1" t="s">
        <v>426</v>
      </c>
      <c r="M4975">
        <v>0</v>
      </c>
      <c r="N4975">
        <v>99</v>
      </c>
      <c r="O4975">
        <v>28.437739000000001</v>
      </c>
      <c r="P4975">
        <v>2</v>
      </c>
      <c r="Q4975" s="1" t="s">
        <v>569</v>
      </c>
      <c r="R4975" s="93">
        <v>2818.18</v>
      </c>
      <c r="S4975">
        <v>1321.72</v>
      </c>
      <c r="T4975">
        <v>0</v>
      </c>
      <c r="U4975" s="1" t="s">
        <v>1168</v>
      </c>
      <c r="V4975" s="1"/>
      <c r="W4975">
        <v>2818.1700099999998</v>
      </c>
      <c r="X4975">
        <v>0</v>
      </c>
      <c r="Y4975">
        <v>62721</v>
      </c>
    </row>
    <row r="4976" spans="1:25" ht="15" hidden="1" customHeight="1" x14ac:dyDescent="0.25">
      <c r="A4976" s="1" t="s">
        <v>40</v>
      </c>
      <c r="B4976" s="1" t="s">
        <v>93</v>
      </c>
      <c r="C4976" s="1" t="s">
        <v>221</v>
      </c>
      <c r="D4976">
        <v>6370</v>
      </c>
      <c r="E4976" s="1"/>
      <c r="F4976" s="1" t="s">
        <v>356</v>
      </c>
      <c r="G4976" s="1" t="s">
        <v>221</v>
      </c>
      <c r="H4976" s="1" t="s">
        <v>1396</v>
      </c>
      <c r="I4976">
        <v>2010</v>
      </c>
      <c r="J4976" s="93">
        <v>2987.34</v>
      </c>
      <c r="K4976">
        <v>6</v>
      </c>
      <c r="L4976" s="1" t="s">
        <v>426</v>
      </c>
      <c r="M4976">
        <v>0</v>
      </c>
      <c r="N4976">
        <v>99</v>
      </c>
      <c r="O4976">
        <v>30.144701999999999</v>
      </c>
      <c r="P4976">
        <v>2</v>
      </c>
      <c r="Q4976" s="1" t="s">
        <v>569</v>
      </c>
      <c r="R4976" s="93">
        <v>2987.34</v>
      </c>
      <c r="S4976">
        <v>1401.06</v>
      </c>
      <c r="T4976">
        <v>0</v>
      </c>
      <c r="U4976" s="1" t="s">
        <v>1168</v>
      </c>
      <c r="V4976" s="1"/>
      <c r="W4976">
        <v>2987.3402299999998</v>
      </c>
      <c r="X4976">
        <v>0</v>
      </c>
      <c r="Y4976">
        <v>62721</v>
      </c>
    </row>
    <row r="4977" spans="1:25" ht="15" hidden="1" customHeight="1" x14ac:dyDescent="0.25">
      <c r="A4977" s="1" t="s">
        <v>40</v>
      </c>
      <c r="B4977" s="1" t="s">
        <v>93</v>
      </c>
      <c r="C4977" s="1" t="s">
        <v>221</v>
      </c>
      <c r="D4977">
        <v>6370</v>
      </c>
      <c r="E4977" s="1"/>
      <c r="F4977" s="1" t="s">
        <v>356</v>
      </c>
      <c r="G4977" s="1" t="s">
        <v>221</v>
      </c>
      <c r="H4977" s="1" t="s">
        <v>1396</v>
      </c>
      <c r="I4977">
        <v>2009</v>
      </c>
      <c r="J4977" s="93">
        <v>3128.17</v>
      </c>
      <c r="K4977">
        <v>6</v>
      </c>
      <c r="L4977" s="1" t="s">
        <v>426</v>
      </c>
      <c r="M4977">
        <v>0</v>
      </c>
      <c r="N4977">
        <v>99</v>
      </c>
      <c r="O4977">
        <v>31.565791999999998</v>
      </c>
      <c r="P4977">
        <v>2</v>
      </c>
      <c r="Q4977" s="1" t="s">
        <v>569</v>
      </c>
      <c r="R4977" s="93">
        <v>3128.17</v>
      </c>
      <c r="S4977">
        <v>1467.11</v>
      </c>
      <c r="T4977">
        <v>0</v>
      </c>
      <c r="U4977" s="1" t="s">
        <v>1168</v>
      </c>
      <c r="V4977" s="1"/>
      <c r="W4977">
        <v>3128.1953100000001</v>
      </c>
      <c r="X4977">
        <v>0</v>
      </c>
      <c r="Y4977">
        <v>62721</v>
      </c>
    </row>
    <row r="4978" spans="1:25" ht="15" hidden="1" customHeight="1" x14ac:dyDescent="0.25">
      <c r="A4978" s="1" t="s">
        <v>40</v>
      </c>
      <c r="B4978" s="1" t="s">
        <v>93</v>
      </c>
      <c r="C4978" s="1" t="s">
        <v>221</v>
      </c>
      <c r="D4978">
        <v>6370</v>
      </c>
      <c r="E4978" s="1"/>
      <c r="F4978" s="1" t="s">
        <v>356</v>
      </c>
      <c r="G4978" s="1" t="s">
        <v>221</v>
      </c>
      <c r="H4978" s="1" t="s">
        <v>1396</v>
      </c>
      <c r="I4978">
        <v>2008</v>
      </c>
      <c r="J4978" s="93">
        <v>3588.84</v>
      </c>
      <c r="K4978">
        <v>5</v>
      </c>
      <c r="L4978" s="1" t="s">
        <v>426</v>
      </c>
      <c r="M4978">
        <v>0</v>
      </c>
      <c r="N4978">
        <v>99</v>
      </c>
      <c r="O4978">
        <v>36.214328000000002</v>
      </c>
      <c r="P4978">
        <v>2</v>
      </c>
      <c r="Q4978" s="1" t="s">
        <v>569</v>
      </c>
      <c r="R4978" s="93">
        <v>3588.84</v>
      </c>
      <c r="S4978">
        <v>1683.17</v>
      </c>
      <c r="T4978">
        <v>0</v>
      </c>
      <c r="U4978" s="1" t="s">
        <v>1168</v>
      </c>
      <c r="V4978" s="1"/>
      <c r="W4978">
        <v>3588.8294599999999</v>
      </c>
      <c r="X4978">
        <v>0</v>
      </c>
      <c r="Y4978">
        <v>62721</v>
      </c>
    </row>
    <row r="4979" spans="1:25" ht="15" hidden="1" customHeight="1" x14ac:dyDescent="0.25">
      <c r="A4979" s="1" t="s">
        <v>40</v>
      </c>
      <c r="B4979" s="1" t="s">
        <v>47</v>
      </c>
      <c r="C4979" s="1" t="s">
        <v>222</v>
      </c>
      <c r="D4979">
        <v>5953</v>
      </c>
      <c r="E4979" s="1"/>
      <c r="F4979" s="1" t="s">
        <v>357</v>
      </c>
      <c r="G4979" s="1" t="s">
        <v>222</v>
      </c>
      <c r="H4979" s="1" t="s">
        <v>1396</v>
      </c>
      <c r="I4979">
        <v>2015</v>
      </c>
      <c r="J4979" s="93">
        <v>2105.69</v>
      </c>
      <c r="K4979">
        <v>5</v>
      </c>
      <c r="L4979" s="1" t="s">
        <v>552</v>
      </c>
      <c r="M4979">
        <v>0</v>
      </c>
      <c r="N4979">
        <v>272</v>
      </c>
      <c r="O4979">
        <v>7.7386619999999997</v>
      </c>
      <c r="P4979">
        <v>2</v>
      </c>
      <c r="Q4979" s="1" t="s">
        <v>569</v>
      </c>
      <c r="R4979" s="93">
        <v>2105.69</v>
      </c>
      <c r="S4979">
        <v>842.28</v>
      </c>
      <c r="T4979">
        <v>0</v>
      </c>
      <c r="U4979" s="1" t="s">
        <v>1169</v>
      </c>
      <c r="V4979" s="1"/>
      <c r="W4979">
        <v>2105.6959999999999</v>
      </c>
      <c r="X4979">
        <v>0</v>
      </c>
      <c r="Y4979">
        <v>59977</v>
      </c>
    </row>
    <row r="4980" spans="1:25" ht="15" hidden="1" customHeight="1" x14ac:dyDescent="0.25">
      <c r="A4980" s="1" t="s">
        <v>40</v>
      </c>
      <c r="B4980" s="1" t="s">
        <v>47</v>
      </c>
      <c r="C4980" s="1" t="s">
        <v>222</v>
      </c>
      <c r="D4980">
        <v>5953</v>
      </c>
      <c r="E4980" s="1"/>
      <c r="F4980" s="1" t="s">
        <v>357</v>
      </c>
      <c r="G4980" s="1" t="s">
        <v>222</v>
      </c>
      <c r="H4980" s="1" t="s">
        <v>1396</v>
      </c>
      <c r="I4980">
        <v>2013</v>
      </c>
      <c r="J4980" s="93">
        <v>5324.99</v>
      </c>
      <c r="K4980">
        <v>12</v>
      </c>
      <c r="L4980" s="1" t="s">
        <v>552</v>
      </c>
      <c r="M4980">
        <v>0</v>
      </c>
      <c r="N4980">
        <v>272</v>
      </c>
      <c r="O4980">
        <v>19.569973999999998</v>
      </c>
      <c r="P4980">
        <v>2</v>
      </c>
      <c r="Q4980" s="1" t="s">
        <v>569</v>
      </c>
      <c r="R4980" s="93">
        <v>5324.99</v>
      </c>
      <c r="S4980">
        <v>2130.02</v>
      </c>
      <c r="T4980">
        <v>0</v>
      </c>
      <c r="U4980" s="1" t="s">
        <v>1169</v>
      </c>
      <c r="V4980" s="1"/>
      <c r="W4980">
        <v>5324.9920000000002</v>
      </c>
      <c r="X4980">
        <v>0</v>
      </c>
      <c r="Y4980">
        <v>59977</v>
      </c>
    </row>
    <row r="4981" spans="1:25" ht="15" hidden="1" customHeight="1" x14ac:dyDescent="0.25">
      <c r="A4981" s="1" t="s">
        <v>40</v>
      </c>
      <c r="B4981" s="1" t="s">
        <v>47</v>
      </c>
      <c r="C4981" s="1" t="s">
        <v>222</v>
      </c>
      <c r="D4981">
        <v>5953</v>
      </c>
      <c r="E4981" s="1"/>
      <c r="F4981" s="1" t="s">
        <v>357</v>
      </c>
      <c r="G4981" s="1" t="s">
        <v>222</v>
      </c>
      <c r="H4981" s="1" t="s">
        <v>1396</v>
      </c>
      <c r="I4981">
        <v>2012</v>
      </c>
      <c r="J4981" s="93">
        <v>5225.03</v>
      </c>
      <c r="K4981">
        <v>15</v>
      </c>
      <c r="L4981" s="1" t="s">
        <v>552</v>
      </c>
      <c r="M4981">
        <v>0</v>
      </c>
      <c r="N4981">
        <v>272</v>
      </c>
      <c r="O4981">
        <v>19.202608999999999</v>
      </c>
      <c r="P4981">
        <v>2</v>
      </c>
      <c r="Q4981" s="1" t="s">
        <v>569</v>
      </c>
      <c r="R4981" s="93">
        <v>5225.03</v>
      </c>
      <c r="S4981">
        <v>2090.02</v>
      </c>
      <c r="T4981">
        <v>0</v>
      </c>
      <c r="U4981" s="1" t="s">
        <v>1169</v>
      </c>
      <c r="V4981" s="1"/>
      <c r="W4981">
        <v>5225.0484999999999</v>
      </c>
      <c r="X4981">
        <v>0</v>
      </c>
      <c r="Y4981">
        <v>59977</v>
      </c>
    </row>
    <row r="4982" spans="1:25" ht="15" hidden="1" customHeight="1" x14ac:dyDescent="0.25">
      <c r="A4982" s="1" t="s">
        <v>40</v>
      </c>
      <c r="B4982" s="1" t="s">
        <v>47</v>
      </c>
      <c r="C4982" s="1" t="s">
        <v>222</v>
      </c>
      <c r="D4982">
        <v>5953</v>
      </c>
      <c r="E4982" s="1"/>
      <c r="F4982" s="1" t="s">
        <v>357</v>
      </c>
      <c r="G4982" s="1" t="s">
        <v>222</v>
      </c>
      <c r="H4982" s="1" t="s">
        <v>1396</v>
      </c>
      <c r="I4982">
        <v>2011</v>
      </c>
      <c r="J4982" s="93">
        <v>6101.06</v>
      </c>
      <c r="K4982">
        <v>9</v>
      </c>
      <c r="L4982" s="1" t="s">
        <v>552</v>
      </c>
      <c r="M4982">
        <v>0</v>
      </c>
      <c r="N4982">
        <v>272</v>
      </c>
      <c r="O4982">
        <v>22.422124</v>
      </c>
      <c r="P4982">
        <v>2</v>
      </c>
      <c r="Q4982" s="1" t="s">
        <v>569</v>
      </c>
      <c r="R4982" s="93">
        <v>6101.06</v>
      </c>
      <c r="S4982">
        <v>2861.41</v>
      </c>
      <c r="T4982">
        <v>0</v>
      </c>
      <c r="U4982" s="1" t="s">
        <v>1169</v>
      </c>
      <c r="V4982" s="1"/>
      <c r="W4982">
        <v>6101.0653899999998</v>
      </c>
      <c r="X4982">
        <v>0</v>
      </c>
      <c r="Y4982">
        <v>59977</v>
      </c>
    </row>
    <row r="4983" spans="1:25" ht="15" hidden="1" customHeight="1" x14ac:dyDescent="0.25">
      <c r="A4983" s="1" t="s">
        <v>40</v>
      </c>
      <c r="B4983" s="1" t="s">
        <v>47</v>
      </c>
      <c r="C4983" s="1" t="s">
        <v>222</v>
      </c>
      <c r="D4983">
        <v>5953</v>
      </c>
      <c r="E4983" s="1"/>
      <c r="F4983" s="1" t="s">
        <v>357</v>
      </c>
      <c r="G4983" s="1" t="s">
        <v>222</v>
      </c>
      <c r="H4983" s="1" t="s">
        <v>1396</v>
      </c>
      <c r="I4983">
        <v>2010</v>
      </c>
      <c r="J4983" s="93">
        <v>6083.71</v>
      </c>
      <c r="K4983">
        <v>4</v>
      </c>
      <c r="L4983" s="1" t="s">
        <v>552</v>
      </c>
      <c r="M4983">
        <v>0</v>
      </c>
      <c r="N4983">
        <v>272</v>
      </c>
      <c r="O4983">
        <v>22.358360000000001</v>
      </c>
      <c r="P4983">
        <v>2</v>
      </c>
      <c r="Q4983" s="1" t="s">
        <v>569</v>
      </c>
      <c r="R4983" s="93">
        <v>6083.71</v>
      </c>
      <c r="S4983">
        <v>2853.26</v>
      </c>
      <c r="T4983">
        <v>0</v>
      </c>
      <c r="U4983" s="1" t="s">
        <v>1169</v>
      </c>
      <c r="V4983" s="1"/>
      <c r="W4983">
        <v>6083.7143800000003</v>
      </c>
      <c r="X4983">
        <v>0</v>
      </c>
      <c r="Y4983">
        <v>59977</v>
      </c>
    </row>
    <row r="4984" spans="1:25" ht="15" hidden="1" customHeight="1" x14ac:dyDescent="0.25">
      <c r="A4984" s="1" t="s">
        <v>40</v>
      </c>
      <c r="B4984" s="1" t="s">
        <v>47</v>
      </c>
      <c r="C4984" s="1" t="s">
        <v>222</v>
      </c>
      <c r="D4984">
        <v>5953</v>
      </c>
      <c r="E4984" s="1"/>
      <c r="F4984" s="1" t="s">
        <v>357</v>
      </c>
      <c r="G4984" s="1" t="s">
        <v>222</v>
      </c>
      <c r="H4984" s="1" t="s">
        <v>1396</v>
      </c>
      <c r="I4984">
        <v>2009</v>
      </c>
      <c r="J4984" s="93">
        <v>5864.61</v>
      </c>
      <c r="K4984">
        <v>1</v>
      </c>
      <c r="L4984" s="1" t="s">
        <v>552</v>
      </c>
      <c r="M4984">
        <v>0</v>
      </c>
      <c r="N4984">
        <v>272</v>
      </c>
      <c r="O4984">
        <v>21.553142000000001</v>
      </c>
      <c r="P4984">
        <v>2</v>
      </c>
      <c r="Q4984" s="1" t="s">
        <v>569</v>
      </c>
      <c r="R4984" s="93">
        <v>5864.61</v>
      </c>
      <c r="S4984">
        <v>2750.52</v>
      </c>
      <c r="T4984">
        <v>0</v>
      </c>
      <c r="U4984" s="1" t="s">
        <v>1169</v>
      </c>
      <c r="V4984" s="1"/>
      <c r="W4984">
        <v>5864.6577100000004</v>
      </c>
      <c r="X4984">
        <v>0</v>
      </c>
      <c r="Y4984">
        <v>59977</v>
      </c>
    </row>
    <row r="4985" spans="1:25" ht="15" hidden="1" customHeight="1" x14ac:dyDescent="0.25">
      <c r="A4985" s="1" t="s">
        <v>40</v>
      </c>
      <c r="B4985" s="1" t="s">
        <v>47</v>
      </c>
      <c r="C4985" s="1" t="s">
        <v>222</v>
      </c>
      <c r="D4985">
        <v>5953</v>
      </c>
      <c r="E4985" s="1"/>
      <c r="F4985" s="1" t="s">
        <v>357</v>
      </c>
      <c r="G4985" s="1" t="s">
        <v>222</v>
      </c>
      <c r="H4985" s="1" t="s">
        <v>1396</v>
      </c>
      <c r="I4985">
        <v>2008</v>
      </c>
      <c r="J4985" s="93">
        <v>5936.11</v>
      </c>
      <c r="K4985">
        <v>3</v>
      </c>
      <c r="L4985" s="1" t="s">
        <v>552</v>
      </c>
      <c r="M4985">
        <v>0</v>
      </c>
      <c r="N4985">
        <v>272</v>
      </c>
      <c r="O4985">
        <v>21.815912999999998</v>
      </c>
      <c r="P4985">
        <v>2</v>
      </c>
      <c r="Q4985" s="1" t="s">
        <v>569</v>
      </c>
      <c r="R4985" s="93">
        <v>5936.11</v>
      </c>
      <c r="S4985">
        <v>2784.04</v>
      </c>
      <c r="T4985">
        <v>0</v>
      </c>
      <c r="U4985" s="1" t="s">
        <v>1169</v>
      </c>
      <c r="V4985" s="1"/>
      <c r="W4985">
        <v>5936.1000100000001</v>
      </c>
      <c r="X4985">
        <v>0</v>
      </c>
      <c r="Y4985">
        <v>59977</v>
      </c>
    </row>
    <row r="4986" spans="1:25" ht="15" hidden="1" customHeight="1" x14ac:dyDescent="0.25">
      <c r="A4986" s="1" t="s">
        <v>40</v>
      </c>
      <c r="B4986" s="1"/>
      <c r="C4986" s="1" t="s">
        <v>223</v>
      </c>
      <c r="D4986">
        <v>13534</v>
      </c>
      <c r="E4986" s="1" t="s">
        <v>243</v>
      </c>
      <c r="F4986" s="1" t="s">
        <v>223</v>
      </c>
      <c r="G4986" s="1" t="s">
        <v>223</v>
      </c>
      <c r="H4986" s="1" t="s">
        <v>1396</v>
      </c>
      <c r="I4986">
        <v>2015</v>
      </c>
      <c r="J4986" s="93">
        <v>11282.66</v>
      </c>
      <c r="K4986">
        <v>4</v>
      </c>
      <c r="L4986" s="1" t="s">
        <v>421</v>
      </c>
      <c r="M4986">
        <v>0</v>
      </c>
      <c r="N4986">
        <v>2088</v>
      </c>
      <c r="O4986">
        <v>5.403314</v>
      </c>
      <c r="P4986">
        <v>2</v>
      </c>
      <c r="Q4986" s="1" t="s">
        <v>569</v>
      </c>
      <c r="R4986" s="93">
        <v>11282.66</v>
      </c>
      <c r="S4986">
        <v>3384.8</v>
      </c>
      <c r="T4986">
        <v>0</v>
      </c>
      <c r="U4986" s="1" t="s">
        <v>1170</v>
      </c>
      <c r="V4986" s="1"/>
      <c r="W4986">
        <v>11282.657139999999</v>
      </c>
      <c r="X4986">
        <v>0</v>
      </c>
      <c r="Y4986">
        <v>90569</v>
      </c>
    </row>
    <row r="4987" spans="1:25" ht="15" hidden="1" customHeight="1" x14ac:dyDescent="0.25">
      <c r="A4987" s="1" t="s">
        <v>40</v>
      </c>
      <c r="B4987" s="1"/>
      <c r="C4987" s="1" t="s">
        <v>223</v>
      </c>
      <c r="D4987">
        <v>13534</v>
      </c>
      <c r="E4987" s="1" t="s">
        <v>243</v>
      </c>
      <c r="F4987" s="1" t="s">
        <v>223</v>
      </c>
      <c r="G4987" s="1" t="s">
        <v>223</v>
      </c>
      <c r="H4987" s="1" t="s">
        <v>1396</v>
      </c>
      <c r="I4987">
        <v>2013</v>
      </c>
      <c r="J4987" s="93">
        <v>45887.09</v>
      </c>
      <c r="K4987">
        <v>6</v>
      </c>
      <c r="L4987" s="1" t="s">
        <v>421</v>
      </c>
      <c r="M4987">
        <v>0</v>
      </c>
      <c r="N4987">
        <v>2088</v>
      </c>
      <c r="O4987">
        <v>21.975522999999999</v>
      </c>
      <c r="P4987">
        <v>2</v>
      </c>
      <c r="Q4987" s="1" t="s">
        <v>569</v>
      </c>
      <c r="R4987" s="93">
        <v>45887.09</v>
      </c>
      <c r="S4987">
        <v>13766.13</v>
      </c>
      <c r="T4987">
        <v>0</v>
      </c>
      <c r="U4987" s="1" t="s">
        <v>1170</v>
      </c>
      <c r="V4987" s="1"/>
      <c r="W4987">
        <v>45887.085599999999</v>
      </c>
      <c r="X4987">
        <v>0</v>
      </c>
      <c r="Y4987">
        <v>90569</v>
      </c>
    </row>
    <row r="4988" spans="1:25" ht="15" hidden="1" customHeight="1" x14ac:dyDescent="0.25">
      <c r="A4988" s="1" t="s">
        <v>40</v>
      </c>
      <c r="B4988" s="1"/>
      <c r="C4988" s="1" t="s">
        <v>223</v>
      </c>
      <c r="D4988">
        <v>13534</v>
      </c>
      <c r="E4988" s="1" t="s">
        <v>243</v>
      </c>
      <c r="F4988" s="1" t="s">
        <v>223</v>
      </c>
      <c r="G4988" s="1" t="s">
        <v>223</v>
      </c>
      <c r="H4988" s="1" t="s">
        <v>1396</v>
      </c>
      <c r="I4988">
        <v>2012</v>
      </c>
      <c r="J4988" s="93">
        <v>42056.86</v>
      </c>
      <c r="K4988">
        <v>8</v>
      </c>
      <c r="L4988" s="1" t="s">
        <v>421</v>
      </c>
      <c r="M4988">
        <v>0</v>
      </c>
      <c r="N4988">
        <v>2088</v>
      </c>
      <c r="O4988">
        <v>20.141209</v>
      </c>
      <c r="P4988">
        <v>2</v>
      </c>
      <c r="Q4988" s="1" t="s">
        <v>569</v>
      </c>
      <c r="R4988" s="93">
        <v>42056.86</v>
      </c>
      <c r="S4988">
        <v>16822.73</v>
      </c>
      <c r="T4988">
        <v>0</v>
      </c>
      <c r="U4988" s="1" t="s">
        <v>1170</v>
      </c>
      <c r="V4988" s="1"/>
      <c r="W4988">
        <v>42056.86391</v>
      </c>
      <c r="X4988">
        <v>0</v>
      </c>
      <c r="Y4988">
        <v>90569</v>
      </c>
    </row>
    <row r="4989" spans="1:25" ht="15" hidden="1" customHeight="1" x14ac:dyDescent="0.25">
      <c r="A4989" s="1" t="s">
        <v>40</v>
      </c>
      <c r="B4989" s="1"/>
      <c r="C4989" s="1" t="s">
        <v>223</v>
      </c>
      <c r="D4989">
        <v>13534</v>
      </c>
      <c r="E4989" s="1" t="s">
        <v>243</v>
      </c>
      <c r="F4989" s="1" t="s">
        <v>223</v>
      </c>
      <c r="G4989" s="1" t="s">
        <v>223</v>
      </c>
      <c r="H4989" s="1" t="s">
        <v>1396</v>
      </c>
      <c r="I4989">
        <v>2011</v>
      </c>
      <c r="J4989" s="93">
        <v>41902.07</v>
      </c>
      <c r="K4989">
        <v>2</v>
      </c>
      <c r="L4989" s="1" t="s">
        <v>421</v>
      </c>
      <c r="M4989">
        <v>0</v>
      </c>
      <c r="N4989">
        <v>2088</v>
      </c>
      <c r="O4989">
        <v>20.067080000000001</v>
      </c>
      <c r="P4989">
        <v>2</v>
      </c>
      <c r="Q4989" s="1" t="s">
        <v>569</v>
      </c>
      <c r="R4989" s="93">
        <v>41902.07</v>
      </c>
      <c r="S4989">
        <v>19652.060000000001</v>
      </c>
      <c r="T4989">
        <v>0</v>
      </c>
      <c r="U4989" s="1" t="s">
        <v>1170</v>
      </c>
      <c r="V4989" s="1"/>
      <c r="W4989">
        <v>41902.082110000003</v>
      </c>
      <c r="X4989">
        <v>0</v>
      </c>
      <c r="Y4989">
        <v>90569</v>
      </c>
    </row>
    <row r="4990" spans="1:25" ht="15" hidden="1" customHeight="1" x14ac:dyDescent="0.25">
      <c r="A4990" s="1" t="s">
        <v>40</v>
      </c>
      <c r="B4990" s="1"/>
      <c r="C4990" s="1" t="s">
        <v>223</v>
      </c>
      <c r="D4990">
        <v>13534</v>
      </c>
      <c r="E4990" s="1" t="s">
        <v>243</v>
      </c>
      <c r="F4990" s="1" t="s">
        <v>223</v>
      </c>
      <c r="G4990" s="1" t="s">
        <v>223</v>
      </c>
      <c r="H4990" s="1" t="s">
        <v>1396</v>
      </c>
      <c r="I4990">
        <v>2010</v>
      </c>
      <c r="J4990" s="93">
        <v>42230.76</v>
      </c>
      <c r="K4990">
        <v>3</v>
      </c>
      <c r="L4990" s="1" t="s">
        <v>421</v>
      </c>
      <c r="M4990">
        <v>0</v>
      </c>
      <c r="N4990">
        <v>2088</v>
      </c>
      <c r="O4990">
        <v>20.224491</v>
      </c>
      <c r="P4990">
        <v>2</v>
      </c>
      <c r="Q4990" s="1" t="s">
        <v>569</v>
      </c>
      <c r="R4990" s="93">
        <v>42230.76</v>
      </c>
      <c r="S4990">
        <v>19806.240000000002</v>
      </c>
      <c r="T4990">
        <v>0</v>
      </c>
      <c r="U4990" s="1" t="s">
        <v>1170</v>
      </c>
      <c r="V4990" s="1"/>
      <c r="W4990">
        <v>42230.782050000002</v>
      </c>
      <c r="X4990">
        <v>0</v>
      </c>
      <c r="Y4990">
        <v>90569</v>
      </c>
    </row>
    <row r="4991" spans="1:25" ht="15" hidden="1" customHeight="1" x14ac:dyDescent="0.25">
      <c r="A4991" s="1" t="s">
        <v>40</v>
      </c>
      <c r="B4991" s="1"/>
      <c r="C4991" s="1" t="s">
        <v>223</v>
      </c>
      <c r="D4991">
        <v>13534</v>
      </c>
      <c r="E4991" s="1" t="s">
        <v>243</v>
      </c>
      <c r="F4991" s="1" t="s">
        <v>223</v>
      </c>
      <c r="G4991" s="1" t="s">
        <v>223</v>
      </c>
      <c r="H4991" s="1" t="s">
        <v>1396</v>
      </c>
      <c r="I4991">
        <v>2009</v>
      </c>
      <c r="J4991" s="93">
        <v>26340.48</v>
      </c>
      <c r="K4991">
        <v>1</v>
      </c>
      <c r="L4991" s="1" t="s">
        <v>421</v>
      </c>
      <c r="M4991">
        <v>0</v>
      </c>
      <c r="N4991">
        <v>2088</v>
      </c>
      <c r="O4991">
        <v>12.614568</v>
      </c>
      <c r="P4991">
        <v>2</v>
      </c>
      <c r="Q4991" s="1" t="s">
        <v>569</v>
      </c>
      <c r="R4991" s="93">
        <v>26340.48</v>
      </c>
      <c r="S4991">
        <v>12353.7</v>
      </c>
      <c r="T4991">
        <v>0</v>
      </c>
      <c r="U4991" s="1" t="s">
        <v>1170</v>
      </c>
      <c r="V4991" s="1"/>
      <c r="W4991">
        <v>26340.490669999999</v>
      </c>
      <c r="X4991">
        <v>0</v>
      </c>
      <c r="Y4991">
        <v>90569</v>
      </c>
    </row>
    <row r="4992" spans="1:25" ht="15" hidden="1" customHeight="1" x14ac:dyDescent="0.25">
      <c r="A4992" s="1" t="s">
        <v>40</v>
      </c>
      <c r="B4992" s="1" t="s">
        <v>94</v>
      </c>
      <c r="C4992" s="1" t="s">
        <v>224</v>
      </c>
      <c r="D4992">
        <v>5465</v>
      </c>
      <c r="E4992" s="1"/>
      <c r="F4992" s="1" t="s">
        <v>224</v>
      </c>
      <c r="G4992" s="1" t="s">
        <v>224</v>
      </c>
      <c r="H4992" s="1" t="s">
        <v>1396</v>
      </c>
      <c r="I4992">
        <v>2015</v>
      </c>
      <c r="J4992" s="93">
        <v>41459.78</v>
      </c>
      <c r="K4992">
        <v>5</v>
      </c>
      <c r="L4992" s="1"/>
      <c r="M4992">
        <v>0</v>
      </c>
      <c r="N4992">
        <v>1384</v>
      </c>
      <c r="O4992">
        <v>29.954324</v>
      </c>
      <c r="P4992">
        <v>1</v>
      </c>
      <c r="Q4992" s="1" t="s">
        <v>563</v>
      </c>
      <c r="R4992" s="93">
        <v>46788.79</v>
      </c>
      <c r="S4992">
        <v>248091.89</v>
      </c>
      <c r="T4992">
        <v>1</v>
      </c>
      <c r="U4992" s="1" t="s">
        <v>929</v>
      </c>
      <c r="V4992" s="1"/>
      <c r="W4992">
        <v>1188.3</v>
      </c>
      <c r="X4992">
        <v>57760</v>
      </c>
      <c r="Y4992">
        <v>57765</v>
      </c>
    </row>
    <row r="4993" spans="1:25" ht="15" hidden="1" customHeight="1" x14ac:dyDescent="0.25">
      <c r="A4993" s="1" t="s">
        <v>40</v>
      </c>
      <c r="B4993" s="1" t="s">
        <v>94</v>
      </c>
      <c r="C4993" s="1" t="s">
        <v>224</v>
      </c>
      <c r="D4993">
        <v>5465</v>
      </c>
      <c r="E4993" s="1"/>
      <c r="F4993" s="1" t="s">
        <v>224</v>
      </c>
      <c r="G4993" s="1" t="s">
        <v>224</v>
      </c>
      <c r="H4993" s="1" t="s">
        <v>1396</v>
      </c>
      <c r="I4993">
        <v>2013</v>
      </c>
      <c r="J4993" s="93">
        <v>73638.81</v>
      </c>
      <c r="K4993">
        <v>12</v>
      </c>
      <c r="L4993" s="1"/>
      <c r="M4993">
        <v>0</v>
      </c>
      <c r="N4993">
        <v>1384</v>
      </c>
      <c r="O4993">
        <v>53.203387999999997</v>
      </c>
      <c r="P4993">
        <v>1</v>
      </c>
      <c r="Q4993" s="1" t="s">
        <v>563</v>
      </c>
      <c r="R4993" s="93">
        <v>75322.509999999995</v>
      </c>
      <c r="S4993">
        <v>399.38</v>
      </c>
      <c r="T4993">
        <v>1</v>
      </c>
      <c r="U4993" s="1" t="s">
        <v>929</v>
      </c>
      <c r="V4993" s="1"/>
      <c r="W4993">
        <v>2110.6</v>
      </c>
      <c r="X4993">
        <v>57760</v>
      </c>
      <c r="Y4993">
        <v>57765</v>
      </c>
    </row>
    <row r="4994" spans="1:25" ht="15" hidden="1" customHeight="1" x14ac:dyDescent="0.25">
      <c r="A4994" s="1" t="s">
        <v>40</v>
      </c>
      <c r="B4994" s="1" t="s">
        <v>94</v>
      </c>
      <c r="C4994" s="1" t="s">
        <v>224</v>
      </c>
      <c r="D4994">
        <v>5465</v>
      </c>
      <c r="E4994" s="1"/>
      <c r="F4994" s="1" t="s">
        <v>224</v>
      </c>
      <c r="G4994" s="1" t="s">
        <v>224</v>
      </c>
      <c r="H4994" s="1" t="s">
        <v>1396</v>
      </c>
      <c r="I4994">
        <v>2012</v>
      </c>
      <c r="J4994" s="93">
        <v>80208.62</v>
      </c>
      <c r="K4994">
        <v>12</v>
      </c>
      <c r="L4994" s="1"/>
      <c r="M4994">
        <v>0</v>
      </c>
      <c r="N4994">
        <v>1384</v>
      </c>
      <c r="O4994">
        <v>57.950018</v>
      </c>
      <c r="P4994">
        <v>1</v>
      </c>
      <c r="Q4994" s="1" t="s">
        <v>563</v>
      </c>
      <c r="R4994" s="93">
        <v>84136.24</v>
      </c>
      <c r="S4994">
        <v>446.13</v>
      </c>
      <c r="T4994">
        <v>1</v>
      </c>
      <c r="U4994" s="1" t="s">
        <v>929</v>
      </c>
      <c r="V4994" s="1"/>
      <c r="W4994">
        <v>2298.9</v>
      </c>
      <c r="X4994">
        <v>57760</v>
      </c>
      <c r="Y4994">
        <v>57765</v>
      </c>
    </row>
    <row r="4995" spans="1:25" ht="15" hidden="1" customHeight="1" x14ac:dyDescent="0.25">
      <c r="A4995" s="1" t="s">
        <v>40</v>
      </c>
      <c r="B4995" s="1" t="s">
        <v>94</v>
      </c>
      <c r="C4995" s="1" t="s">
        <v>224</v>
      </c>
      <c r="D4995">
        <v>5465</v>
      </c>
      <c r="E4995" s="1"/>
      <c r="F4995" s="1" t="s">
        <v>224</v>
      </c>
      <c r="G4995" s="1" t="s">
        <v>224</v>
      </c>
      <c r="H4995" s="1" t="s">
        <v>1396</v>
      </c>
      <c r="I4995">
        <v>2011</v>
      </c>
      <c r="J4995" s="93">
        <v>85815.45</v>
      </c>
      <c r="K4995">
        <v>12</v>
      </c>
      <c r="L4995" s="1"/>
      <c r="M4995">
        <v>0</v>
      </c>
      <c r="N4995">
        <v>1384</v>
      </c>
      <c r="O4995">
        <v>62.000903000000001</v>
      </c>
      <c r="P4995">
        <v>1</v>
      </c>
      <c r="Q4995" s="1" t="s">
        <v>563</v>
      </c>
      <c r="R4995" s="93">
        <v>91149.07</v>
      </c>
      <c r="S4995">
        <v>483.3</v>
      </c>
      <c r="T4995">
        <v>1</v>
      </c>
      <c r="U4995" s="1" t="s">
        <v>929</v>
      </c>
      <c r="V4995" s="1"/>
      <c r="W4995">
        <v>2459.6</v>
      </c>
      <c r="X4995">
        <v>57760</v>
      </c>
      <c r="Y4995">
        <v>57765</v>
      </c>
    </row>
    <row r="4996" spans="1:25" ht="15" hidden="1" customHeight="1" x14ac:dyDescent="0.25">
      <c r="A4996" s="1" t="s">
        <v>40</v>
      </c>
      <c r="B4996" s="1" t="s">
        <v>94</v>
      </c>
      <c r="C4996" s="1" t="s">
        <v>224</v>
      </c>
      <c r="D4996">
        <v>5465</v>
      </c>
      <c r="E4996" s="1"/>
      <c r="F4996" s="1" t="s">
        <v>224</v>
      </c>
      <c r="G4996" s="1" t="s">
        <v>224</v>
      </c>
      <c r="H4996" s="1" t="s">
        <v>1396</v>
      </c>
      <c r="I4996">
        <v>2010</v>
      </c>
      <c r="J4996" s="93">
        <v>111539.82</v>
      </c>
      <c r="K4996">
        <v>12</v>
      </c>
      <c r="L4996" s="1"/>
      <c r="M4996">
        <v>0</v>
      </c>
      <c r="N4996">
        <v>1384</v>
      </c>
      <c r="O4996">
        <v>80.586532000000005</v>
      </c>
      <c r="P4996">
        <v>1</v>
      </c>
      <c r="Q4996" s="1" t="s">
        <v>563</v>
      </c>
      <c r="R4996" s="93">
        <v>101960.32000000001</v>
      </c>
      <c r="S4996">
        <v>540.63</v>
      </c>
      <c r="T4996">
        <v>1</v>
      </c>
      <c r="U4996" s="1" t="s">
        <v>929</v>
      </c>
      <c r="V4996" s="1"/>
      <c r="W4996">
        <v>3196.9</v>
      </c>
      <c r="X4996">
        <v>57760</v>
      </c>
      <c r="Y4996">
        <v>57765</v>
      </c>
    </row>
    <row r="4997" spans="1:25" ht="15" hidden="1" customHeight="1" x14ac:dyDescent="0.25">
      <c r="A4997" s="1" t="s">
        <v>40</v>
      </c>
      <c r="B4997" s="1" t="s">
        <v>94</v>
      </c>
      <c r="C4997" s="1" t="s">
        <v>224</v>
      </c>
      <c r="D4997">
        <v>5465</v>
      </c>
      <c r="E4997" s="1"/>
      <c r="F4997" s="1" t="s">
        <v>224</v>
      </c>
      <c r="G4997" s="1" t="s">
        <v>224</v>
      </c>
      <c r="H4997" s="1" t="s">
        <v>1396</v>
      </c>
      <c r="I4997">
        <v>2009</v>
      </c>
      <c r="J4997" s="93">
        <v>91010.55</v>
      </c>
      <c r="K4997">
        <v>12</v>
      </c>
      <c r="L4997" s="1"/>
      <c r="M4997">
        <v>0</v>
      </c>
      <c r="N4997">
        <v>1384</v>
      </c>
      <c r="O4997">
        <v>65.754316000000003</v>
      </c>
      <c r="P4997">
        <v>1</v>
      </c>
      <c r="Q4997" s="1" t="s">
        <v>563</v>
      </c>
      <c r="R4997" s="93">
        <v>95124.39</v>
      </c>
      <c r="S4997">
        <v>504.38</v>
      </c>
      <c r="T4997">
        <v>1</v>
      </c>
      <c r="U4997" s="1" t="s">
        <v>929</v>
      </c>
      <c r="V4997" s="1"/>
      <c r="W4997">
        <v>2608.5</v>
      </c>
      <c r="X4997">
        <v>57760</v>
      </c>
      <c r="Y4997">
        <v>57765</v>
      </c>
    </row>
    <row r="4998" spans="1:25" hidden="1" x14ac:dyDescent="0.25">
      <c r="A4998" s="1" t="s">
        <v>40</v>
      </c>
      <c r="B4998" s="1" t="s">
        <v>94</v>
      </c>
      <c r="C4998" s="1" t="s">
        <v>224</v>
      </c>
      <c r="D4998">
        <v>5465</v>
      </c>
      <c r="E4998" s="1"/>
      <c r="F4998" s="1" t="s">
        <v>224</v>
      </c>
      <c r="G4998" s="1" t="s">
        <v>224</v>
      </c>
      <c r="H4998" s="1" t="s">
        <v>1396</v>
      </c>
      <c r="I4998">
        <v>2008</v>
      </c>
      <c r="J4998" s="93">
        <v>81443.73</v>
      </c>
      <c r="K4998">
        <v>12</v>
      </c>
      <c r="L4998" s="1"/>
      <c r="M4998">
        <v>0</v>
      </c>
      <c r="N4998">
        <v>1384</v>
      </c>
      <c r="O4998">
        <v>58.842374</v>
      </c>
      <c r="P4998">
        <v>1</v>
      </c>
      <c r="Q4998" s="1" t="s">
        <v>563</v>
      </c>
      <c r="R4998" s="93">
        <v>91848.75</v>
      </c>
      <c r="S4998">
        <v>487.01</v>
      </c>
      <c r="T4998">
        <v>1</v>
      </c>
      <c r="U4998" s="1" t="s">
        <v>929</v>
      </c>
      <c r="V4998" s="1"/>
      <c r="W4998">
        <v>2334.3000000000002</v>
      </c>
      <c r="X4998">
        <v>57760</v>
      </c>
      <c r="Y4998">
        <v>57765</v>
      </c>
    </row>
    <row r="4999" spans="1:25" hidden="1" x14ac:dyDescent="0.25">
      <c r="G4999" s="1"/>
      <c r="H4999" s="1"/>
      <c r="J4999" s="93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2"/>
  <sheetViews>
    <sheetView tabSelected="1" zoomScale="85" zoomScaleNormal="85" workbookViewId="0">
      <pane xSplit="1" ySplit="1" topLeftCell="B82" activePane="bottomRight" state="frozen"/>
      <selection pane="topRight" activeCell="B1" sqref="B1"/>
      <selection pane="bottomLeft" activeCell="A2" sqref="A2"/>
      <selection pane="bottomRight" activeCell="N113" sqref="N113"/>
    </sheetView>
  </sheetViews>
  <sheetFormatPr defaultRowHeight="15" x14ac:dyDescent="0.25"/>
  <cols>
    <col min="1" max="1" width="35.28515625" style="65" customWidth="1"/>
    <col min="2" max="9" width="11.7109375" style="19" customWidth="1"/>
    <col min="10" max="13" width="13.85546875" style="19" customWidth="1"/>
    <col min="14" max="14" width="26.42578125" style="19" customWidth="1"/>
    <col min="15" max="15" width="17.7109375" style="19" customWidth="1"/>
    <col min="16" max="16" width="17.5703125" style="19" customWidth="1"/>
    <col min="17" max="21" width="13.85546875" style="19" customWidth="1"/>
    <col min="22" max="22" width="13.85546875" style="65" customWidth="1"/>
    <col min="23" max="16384" width="9.140625" style="19"/>
  </cols>
  <sheetData>
    <row r="1" spans="1:22" ht="28.5" x14ac:dyDescent="0.45">
      <c r="A1" s="61" t="s">
        <v>1501</v>
      </c>
      <c r="B1" s="62"/>
      <c r="C1" s="62"/>
      <c r="D1" s="62"/>
      <c r="E1" s="62"/>
      <c r="F1" s="62"/>
      <c r="G1" s="62"/>
      <c r="H1" s="62"/>
      <c r="I1" s="62"/>
      <c r="J1" s="62"/>
      <c r="V1" s="63"/>
    </row>
    <row r="2" spans="1:22" hidden="1" x14ac:dyDescent="0.25">
      <c r="A2" s="64"/>
      <c r="B2" s="62"/>
      <c r="C2" s="62"/>
      <c r="D2" s="62"/>
      <c r="E2" s="62"/>
      <c r="F2" s="62"/>
      <c r="G2" s="62"/>
      <c r="H2" s="62"/>
      <c r="I2" s="62"/>
      <c r="J2" s="62"/>
    </row>
    <row r="3" spans="1:22" ht="45" x14ac:dyDescent="0.25">
      <c r="A3" s="12" t="s">
        <v>1484</v>
      </c>
      <c r="B3" s="13">
        <v>2008</v>
      </c>
      <c r="C3" s="13">
        <v>2009</v>
      </c>
      <c r="D3" s="13">
        <v>2010</v>
      </c>
      <c r="E3" s="13">
        <v>2011</v>
      </c>
      <c r="F3" s="13">
        <v>2012</v>
      </c>
      <c r="G3" s="13">
        <v>2013</v>
      </c>
      <c r="H3" s="13">
        <v>2014</v>
      </c>
      <c r="I3" s="13">
        <v>2015</v>
      </c>
      <c r="J3" s="10" t="s">
        <v>1374</v>
      </c>
      <c r="K3" s="10" t="s">
        <v>1441</v>
      </c>
      <c r="L3" s="10" t="s">
        <v>1406</v>
      </c>
      <c r="M3" s="10" t="s">
        <v>1442</v>
      </c>
      <c r="N3" s="10" t="s">
        <v>1448</v>
      </c>
      <c r="O3" s="130" t="s">
        <v>1502</v>
      </c>
      <c r="P3" s="130" t="s">
        <v>1503</v>
      </c>
    </row>
    <row r="4" spans="1:22" x14ac:dyDescent="0.25">
      <c r="A4" s="66" t="s">
        <v>1483</v>
      </c>
      <c r="B4" s="67">
        <v>128191</v>
      </c>
      <c r="C4" s="67">
        <v>155628</v>
      </c>
      <c r="D4" s="67">
        <v>153815</v>
      </c>
      <c r="E4" s="67">
        <v>154834</v>
      </c>
      <c r="F4" s="67">
        <v>154584</v>
      </c>
      <c r="G4" s="67">
        <v>142268</v>
      </c>
      <c r="H4" s="67">
        <v>153256</v>
      </c>
      <c r="I4" s="67">
        <v>146140.84</v>
      </c>
      <c r="J4" s="97">
        <f>(H4-B4)/B4</f>
        <v>0.19552854724590649</v>
      </c>
      <c r="K4" s="97">
        <f>(I4-B4)/B4</f>
        <v>0.14002418266492964</v>
      </c>
      <c r="L4" s="97">
        <f>(H4-G4)/G4</f>
        <v>7.7234515140439178E-2</v>
      </c>
      <c r="M4" s="97">
        <f>(I4-H4)/H4</f>
        <v>-4.6426632562509812E-2</v>
      </c>
      <c r="N4"/>
      <c r="Q4" s="113" t="s">
        <v>1479</v>
      </c>
      <c r="R4" s="71"/>
    </row>
    <row r="5" spans="1:22" ht="15" customHeight="1" x14ac:dyDescent="0.25">
      <c r="A5" s="66" t="s">
        <v>1372</v>
      </c>
      <c r="B5" s="67">
        <v>617990</v>
      </c>
      <c r="C5" s="67">
        <v>599229</v>
      </c>
      <c r="D5" s="67">
        <v>604980</v>
      </c>
      <c r="E5" s="67">
        <v>528791</v>
      </c>
      <c r="F5" s="67">
        <v>457743</v>
      </c>
      <c r="G5" s="67">
        <v>529976.1</v>
      </c>
      <c r="H5" s="67">
        <v>508801.66</v>
      </c>
      <c r="I5" s="67">
        <v>501479.83</v>
      </c>
      <c r="J5" s="97">
        <f>(H5-B5)/B5</f>
        <v>-0.17668302076085377</v>
      </c>
      <c r="K5" s="97">
        <f>(I5-B5)/B5</f>
        <v>-0.18853083383226263</v>
      </c>
      <c r="L5" s="97">
        <f>(H5-G5)/G5</f>
        <v>-3.9953575264997807E-2</v>
      </c>
      <c r="M5" s="97">
        <f>(I5-H5)/H5</f>
        <v>-1.4390342201320567E-2</v>
      </c>
      <c r="N5"/>
      <c r="Q5" s="113" t="s">
        <v>1480</v>
      </c>
      <c r="R5" s="71"/>
    </row>
    <row r="6" spans="1:22" ht="15" customHeight="1" x14ac:dyDescent="0.25">
      <c r="A6" s="68" t="s">
        <v>1370</v>
      </c>
      <c r="B6" s="69"/>
      <c r="C6" s="69"/>
      <c r="D6" s="69"/>
      <c r="E6" s="69"/>
      <c r="F6" s="69"/>
      <c r="G6" s="69"/>
      <c r="H6" s="69"/>
      <c r="I6" s="69"/>
      <c r="J6" s="69"/>
      <c r="R6" s="71"/>
    </row>
    <row r="7" spans="1:22" ht="15" customHeight="1" x14ac:dyDescent="0.25">
      <c r="A7" s="66"/>
      <c r="B7" s="70"/>
      <c r="C7" s="70"/>
      <c r="D7" s="70"/>
      <c r="E7" s="70"/>
      <c r="F7" s="70"/>
      <c r="G7" s="70"/>
      <c r="H7" s="70"/>
      <c r="I7" s="70"/>
      <c r="J7" s="70"/>
      <c r="R7" s="71"/>
    </row>
    <row r="8" spans="1:22" ht="15" hidden="1" customHeight="1" x14ac:dyDescent="0.25">
      <c r="A8" s="66"/>
      <c r="B8" s="70"/>
      <c r="C8" s="70"/>
      <c r="D8" s="70"/>
      <c r="E8" s="70"/>
      <c r="F8" s="70"/>
      <c r="G8" s="70"/>
      <c r="H8" s="70"/>
      <c r="I8" s="70"/>
      <c r="J8" s="70"/>
      <c r="R8" s="71"/>
    </row>
    <row r="9" spans="1:22" ht="52.5" customHeight="1" x14ac:dyDescent="0.25">
      <c r="A9" s="12" t="s">
        <v>1485</v>
      </c>
      <c r="B9" s="13">
        <v>2008</v>
      </c>
      <c r="C9" s="13">
        <v>2009</v>
      </c>
      <c r="D9" s="13">
        <v>2010</v>
      </c>
      <c r="E9" s="13">
        <v>2011</v>
      </c>
      <c r="F9" s="13">
        <v>2012</v>
      </c>
      <c r="G9" s="13">
        <v>2013</v>
      </c>
      <c r="H9" s="13">
        <v>2014</v>
      </c>
      <c r="I9" s="13">
        <v>2015</v>
      </c>
      <c r="J9" s="10" t="s">
        <v>1374</v>
      </c>
      <c r="K9" s="10" t="s">
        <v>1441</v>
      </c>
      <c r="L9" s="10" t="s">
        <v>1406</v>
      </c>
      <c r="M9" s="10" t="s">
        <v>1442</v>
      </c>
      <c r="N9" s="10" t="s">
        <v>1448</v>
      </c>
      <c r="O9" s="130" t="s">
        <v>1502</v>
      </c>
      <c r="P9" s="130" t="s">
        <v>1503</v>
      </c>
      <c r="R9" s="71"/>
    </row>
    <row r="10" spans="1:22" x14ac:dyDescent="0.25">
      <c r="A10" s="15" t="s">
        <v>1370</v>
      </c>
      <c r="B10" s="67">
        <v>2321000</v>
      </c>
      <c r="C10" s="67">
        <v>2121000</v>
      </c>
      <c r="D10" s="67">
        <v>2194000</v>
      </c>
      <c r="E10" s="67">
        <v>2176000</v>
      </c>
      <c r="F10" s="67">
        <v>2141300</v>
      </c>
      <c r="G10" s="67">
        <v>2152947</v>
      </c>
      <c r="H10" s="67">
        <v>2103047</v>
      </c>
      <c r="I10" s="67">
        <v>2037500</v>
      </c>
      <c r="J10" s="97">
        <f>(H10-B10)/B10</f>
        <v>-9.3904782421370098E-2</v>
      </c>
      <c r="K10" s="97">
        <f>(I10-B10)/B10</f>
        <v>-0.12214562688496337</v>
      </c>
      <c r="L10" s="97">
        <f>(H10-G10)/G10</f>
        <v>-2.3177532935088507E-2</v>
      </c>
      <c r="M10" s="97">
        <f>(I10-H10)/H10</f>
        <v>-3.1167634389531001E-2</v>
      </c>
      <c r="N10"/>
      <c r="Q10" s="114" t="s">
        <v>1481</v>
      </c>
      <c r="R10" s="71"/>
    </row>
    <row r="11" spans="1:22" x14ac:dyDescent="0.25">
      <c r="A11" s="66"/>
      <c r="B11" s="62"/>
      <c r="C11" s="62"/>
      <c r="D11" s="62"/>
      <c r="E11" s="62"/>
      <c r="F11" s="62"/>
      <c r="G11" s="62"/>
      <c r="H11" s="62"/>
      <c r="I11" s="62"/>
      <c r="R11" s="71"/>
    </row>
    <row r="12" spans="1:22" hidden="1" x14ac:dyDescent="0.25">
      <c r="A12" s="73"/>
      <c r="R12" s="71"/>
    </row>
    <row r="13" spans="1:22" s="72" customFormat="1" ht="44.25" customHeight="1" x14ac:dyDescent="0.25">
      <c r="A13" s="8" t="s">
        <v>1367</v>
      </c>
      <c r="B13" s="9">
        <v>2008</v>
      </c>
      <c r="C13" s="9">
        <v>2009</v>
      </c>
      <c r="D13" s="9">
        <v>2010</v>
      </c>
      <c r="E13" s="9">
        <v>2011</v>
      </c>
      <c r="F13" s="9">
        <v>2012</v>
      </c>
      <c r="G13" s="9">
        <v>2013</v>
      </c>
      <c r="H13" s="9">
        <v>2014</v>
      </c>
      <c r="I13" s="9">
        <v>2015</v>
      </c>
      <c r="J13" s="10" t="s">
        <v>1374</v>
      </c>
      <c r="K13" s="10" t="s">
        <v>1441</v>
      </c>
      <c r="L13" s="10" t="s">
        <v>1406</v>
      </c>
      <c r="M13" s="10" t="s">
        <v>1442</v>
      </c>
      <c r="N13" s="10" t="s">
        <v>1448</v>
      </c>
      <c r="O13" s="130" t="s">
        <v>1502</v>
      </c>
      <c r="P13" s="130" t="s">
        <v>1503</v>
      </c>
      <c r="R13" s="71"/>
      <c r="V13" s="63"/>
    </row>
    <row r="14" spans="1:22" x14ac:dyDescent="0.25">
      <c r="A14" s="74" t="s">
        <v>24</v>
      </c>
      <c r="B14" s="75">
        <f>GETPIVOTDATA("Forbrugt",'Ark4'!$A$3,"Niveau3","Administration","Aar",2008,"Forsyning","El kWh")</f>
        <v>711111.61</v>
      </c>
      <c r="C14" s="75">
        <f>GETPIVOTDATA("Forbrugt",'Ark4'!$A$3,"Niveau3","Administration","Aar",2009,"Forsyning","El kWh")</f>
        <v>694533.28</v>
      </c>
      <c r="D14" s="75">
        <f>GETPIVOTDATA("Forbrugt",'Ark4'!$A$3,"Niveau3","Administration","Aar",2010,"Forsyning","El kWh")</f>
        <v>686716.95</v>
      </c>
      <c r="E14" s="75">
        <f>GETPIVOTDATA("Forbrugt",'Ark4'!$A$3,"Niveau3","Administration","Aar",2011,"Forsyning","El kWh")</f>
        <v>563540.88</v>
      </c>
      <c r="F14" s="75">
        <f>GETPIVOTDATA("Forbrugt",'Ark4'!$A$3,"Niveau3","Administration","Aar",2012,"Forsyning","El kWh")</f>
        <v>525229.57999999996</v>
      </c>
      <c r="G14" s="75">
        <f>GETPIVOTDATA("Forbrugt",'Ark4'!$A$3,"Niveau3","Administration","Aar",2013,"Forsyning","El kWh")</f>
        <v>492096.17000000004</v>
      </c>
      <c r="H14" s="75">
        <f>GETPIVOTDATA("Forbrugt",'Ark4'!$A$3,"Niveau3","Administration","Aar",2014,"Forsyning","El kWh")</f>
        <v>499949.81</v>
      </c>
      <c r="I14" s="75">
        <f>GETPIVOTDATA("Forbrugt",'Ark4'!$A$3,"Niveau3","Administration","Aar",2015,"Forsyning","El kWh")</f>
        <v>482814</v>
      </c>
      <c r="J14" s="95">
        <f t="shared" ref="J14:J31" si="0">(H14-B14)/B14</f>
        <v>-0.29694607292377068</v>
      </c>
      <c r="K14" s="95">
        <f t="shared" ref="K14:K31" si="1">(I14-B14)/B14</f>
        <v>-0.32104328883056765</v>
      </c>
      <c r="L14" s="95">
        <f t="shared" ref="L14:L32" si="2">(H14-G14)/G14</f>
        <v>1.5959563351204208E-2</v>
      </c>
      <c r="M14" s="95">
        <f t="shared" ref="M14:M32" si="3">(I14-H14)/H14</f>
        <v>-3.4275060530576051E-2</v>
      </c>
      <c r="N14"/>
      <c r="O14" s="131">
        <f t="shared" ref="O14:O32" si="4">(H14*$H$114)-($H$113*G14)</f>
        <v>2880.9734000000171</v>
      </c>
      <c r="P14" s="131">
        <f t="shared" ref="P14:P32" si="5">(I14*$H$115)-(H14*$H$114)</f>
        <v>-34857.378000000026</v>
      </c>
      <c r="Q14" s="115" t="s">
        <v>1487</v>
      </c>
      <c r="R14" s="71"/>
    </row>
    <row r="15" spans="1:22" x14ac:dyDescent="0.25">
      <c r="A15" s="74" t="s">
        <v>25</v>
      </c>
      <c r="B15" s="75">
        <f>GETPIVOTDATA("Forbrugt",'Ark4'!$A$3,"Niveau3","Afvikling","Aar",2008,"Forsyning","El kWh")</f>
        <v>44956.71</v>
      </c>
      <c r="C15" s="75">
        <f>GETPIVOTDATA("Forbrugt",'Ark4'!$A$3,"Niveau3","Afvikling","Aar",2009,"Forsyning","El kWh")</f>
        <v>45331.040000000001</v>
      </c>
      <c r="D15" s="75">
        <f>GETPIVOTDATA("Forbrugt",'Ark4'!$A$3,"Niveau3","Afvikling","Aar",2010,"Forsyning","El kWh")</f>
        <v>35040.160000000003</v>
      </c>
      <c r="E15" s="75">
        <f>GETPIVOTDATA("Forbrugt",'Ark4'!$A$3,"Niveau3","Afvikling","Aar",2011,"Forsyning","El kWh")</f>
        <v>28086.98</v>
      </c>
      <c r="F15" s="75">
        <f>GETPIVOTDATA("Forbrugt",'Ark4'!$A$3,"Niveau3","Afvikling","Aar",2012,"Forsyning","El kWh")</f>
        <v>33102.660000000003</v>
      </c>
      <c r="G15" s="75">
        <f>GETPIVOTDATA("Forbrugt",'Ark4'!$A$3,"Niveau3","Afvikling","Aar",2013,"Forsyning","El kWh")</f>
        <v>36244.120000000003</v>
      </c>
      <c r="H15" s="75">
        <f>GETPIVOTDATA("Forbrugt",'Ark4'!$A$3,"Niveau3","Afvikling","Aar",2014,"Forsyning","El kWh")</f>
        <v>18664.57</v>
      </c>
      <c r="I15" s="75">
        <f>GETPIVOTDATA("Forbrugt",'Ark4'!$A$3,"Niveau3","Afvikling","Aar",2015,"Forsyning","El kWh")</f>
        <v>10252</v>
      </c>
      <c r="J15" s="95">
        <f t="shared" si="0"/>
        <v>-0.58483238653362313</v>
      </c>
      <c r="K15" s="95">
        <f t="shared" si="1"/>
        <v>-0.7719584017602712</v>
      </c>
      <c r="L15" s="95">
        <f t="shared" si="2"/>
        <v>-0.48503177894786798</v>
      </c>
      <c r="M15" s="95">
        <f t="shared" si="3"/>
        <v>-0.45072401882282848</v>
      </c>
      <c r="N15"/>
      <c r="O15" s="131">
        <f t="shared" si="4"/>
        <v>-29203.753400000001</v>
      </c>
      <c r="P15" s="131">
        <f t="shared" si="5"/>
        <v>-13779.067800000001</v>
      </c>
      <c r="Q15" s="115" t="s">
        <v>1488</v>
      </c>
      <c r="R15" s="71"/>
    </row>
    <row r="16" spans="1:22" x14ac:dyDescent="0.25">
      <c r="A16" s="74" t="s">
        <v>26</v>
      </c>
      <c r="B16" s="75">
        <f>GETPIVOTDATA("Forbrugt",'Ark4'!$A$3,"Niveau3","Andre kommunale ejendomme","Aar",2008,"Forsyning","El kWh")</f>
        <v>380005.83</v>
      </c>
      <c r="C16" s="75">
        <f>GETPIVOTDATA("Forbrugt",'Ark4'!$A$3,"Niveau3","Andre kommunale ejendomme","Aar",2009,"Forsyning","El kWh")</f>
        <v>274151.42</v>
      </c>
      <c r="D16" s="75">
        <f>GETPIVOTDATA("Forbrugt",'Ark4'!$A$3,"Niveau3","Andre kommunale ejendomme","Aar",2010,"Forsyning","El kWh")</f>
        <v>233521.86</v>
      </c>
      <c r="E16" s="75">
        <f>GETPIVOTDATA("Forbrugt",'Ark4'!$A$3,"Niveau3","Andre kommunale ejendomme","Aar",2011,"Forsyning","El kWh")</f>
        <v>160356.94</v>
      </c>
      <c r="F16" s="75">
        <f>GETPIVOTDATA("Forbrugt",'Ark4'!$A$3,"Niveau3","Andre kommunale ejendomme","Aar",2012,"Forsyning","El kWh")</f>
        <v>191366.07</v>
      </c>
      <c r="G16" s="75">
        <f>GETPIVOTDATA("Forbrugt",'Ark4'!$A$3,"Niveau3","Andre kommunale ejendomme","Aar",2013,"Forsyning","El kWh")</f>
        <v>325750.42</v>
      </c>
      <c r="H16" s="75">
        <f>GETPIVOTDATA("Forbrugt",'Ark4'!$A$3,"Niveau3","Andre kommunale ejendomme","Aar",2014,"Forsyning","El kWh")</f>
        <v>443297.16000000003</v>
      </c>
      <c r="I16" s="75">
        <f>GETPIVOTDATA("Forbrugt",'Ark4'!$A$3,"Niveau3","Andre kommunale ejendomme","Aar",2015,"Forsyning","El kWh")</f>
        <v>323178</v>
      </c>
      <c r="J16" s="95">
        <f t="shared" si="0"/>
        <v>0.1665535762964479</v>
      </c>
      <c r="K16" s="95">
        <f t="shared" si="1"/>
        <v>-0.14954462672322688</v>
      </c>
      <c r="L16" s="95">
        <f t="shared" si="2"/>
        <v>0.3608490819443918</v>
      </c>
      <c r="M16" s="95">
        <f t="shared" si="3"/>
        <v>-0.27096758300910395</v>
      </c>
      <c r="N16"/>
      <c r="O16" s="131">
        <f t="shared" si="4"/>
        <v>183910.71040000021</v>
      </c>
      <c r="P16" s="131">
        <f t="shared" si="5"/>
        <v>-199343.7558000001</v>
      </c>
      <c r="Q16" s="115" t="s">
        <v>1489</v>
      </c>
      <c r="R16" s="71"/>
    </row>
    <row r="17" spans="1:22" x14ac:dyDescent="0.25">
      <c r="A17" s="74" t="s">
        <v>27</v>
      </c>
      <c r="B17" s="75">
        <f>GETPIVOTDATA("Forbrugt",'Ark4'!$A$3,"Niveau3","Daginstitutioner","Aar",2008,"Forsyning","El kWh")</f>
        <v>909145.41999999981</v>
      </c>
      <c r="C17" s="75">
        <f>GETPIVOTDATA("Forbrugt",'Ark4'!$A$3,"Niveau3","Daginstitutioner","Aar",2009,"Forsyning","El kWh")</f>
        <v>921645.44000000006</v>
      </c>
      <c r="D17" s="75">
        <f>GETPIVOTDATA("Forbrugt",'Ark4'!$A$3,"Niveau3","Daginstitutioner","Aar",2010,"Forsyning","El kWh")</f>
        <v>926524.50000000012</v>
      </c>
      <c r="E17" s="75">
        <f>GETPIVOTDATA("Forbrugt",'Ark4'!$A$3,"Niveau3","Daginstitutioner","Aar",2011,"Forsyning","El kWh")</f>
        <v>870894.04000000015</v>
      </c>
      <c r="F17" s="75">
        <f>GETPIVOTDATA("Forbrugt",'Ark4'!$A$3,"Niveau3","Daginstitutioner","Aar",2012,"Forsyning","El kWh")</f>
        <v>854114.08</v>
      </c>
      <c r="G17" s="75">
        <f>GETPIVOTDATA("Forbrugt",'Ark4'!$A$3,"Niveau3","Daginstitutioner","Aar",2013,"Forsyning","El kWh")</f>
        <v>824532.67</v>
      </c>
      <c r="H17" s="75">
        <f>GETPIVOTDATA("Forbrugt",'Ark4'!$A$3,"Niveau3","Daginstitutioner","Aar",2014,"Forsyning","El kWh")</f>
        <v>802208.97000000009</v>
      </c>
      <c r="I17" s="75">
        <f>GETPIVOTDATA("Forbrugt",'Ark4'!$A$3,"Niveau3","Daginstitutioner","Aar",2015,"Forsyning","El kWh")</f>
        <v>795534</v>
      </c>
      <c r="J17" s="95">
        <f t="shared" si="0"/>
        <v>-0.11762304208715009</v>
      </c>
      <c r="K17" s="95">
        <f t="shared" si="1"/>
        <v>-0.12496506884454175</v>
      </c>
      <c r="L17" s="95">
        <f t="shared" si="2"/>
        <v>-2.7074366865293468E-2</v>
      </c>
      <c r="M17" s="95">
        <f t="shared" si="3"/>
        <v>-8.3207371764991451E-3</v>
      </c>
      <c r="N17"/>
      <c r="O17" s="131">
        <f t="shared" si="4"/>
        <v>-52655.047399999807</v>
      </c>
      <c r="P17" s="131">
        <f t="shared" si="5"/>
        <v>-22507.801200000336</v>
      </c>
      <c r="Q17" s="115" t="s">
        <v>1490</v>
      </c>
      <c r="R17" s="71"/>
    </row>
    <row r="18" spans="1:22" x14ac:dyDescent="0.25">
      <c r="A18" s="74" t="s">
        <v>28</v>
      </c>
      <c r="B18" s="75">
        <f>GETPIVOTDATA("Forbrugt",'Ark4'!$A$3,"Niveau3","Flygtningebolig","Aar",2008,"Forsyning","El kWh")</f>
        <v>11829.369999999999</v>
      </c>
      <c r="C18" s="75">
        <f>GETPIVOTDATA("Forbrugt",'Ark4'!$A$3,"Niveau3","Flygtningebolig","Aar",2009,"Forsyning","El kWh")</f>
        <v>5917.5300000000007</v>
      </c>
      <c r="D18" s="75">
        <f>GETPIVOTDATA("Forbrugt",'Ark4'!$A$3,"Niveau3","Flygtningebolig","Aar",2010,"Forsyning","El kWh")</f>
        <v>7116.4</v>
      </c>
      <c r="E18" s="75">
        <f>GETPIVOTDATA("Forbrugt",'Ark4'!$A$3,"Niveau3","Flygtningebolig","Aar",2011,"Forsyning","El kWh")</f>
        <v>15919.779999999999</v>
      </c>
      <c r="F18" s="75">
        <f>GETPIVOTDATA("Forbrugt",'Ark4'!$A$3,"Niveau3","Flygtningebolig","Aar",2012,"Forsyning","El kWh")</f>
        <v>10142.200000000001</v>
      </c>
      <c r="G18" s="75">
        <f>GETPIVOTDATA("Forbrugt",'Ark4'!$A$3,"Niveau3","Flygtningebolig","Aar",2013,"Forsyning","El kWh")</f>
        <v>9809.3100000000013</v>
      </c>
      <c r="H18" s="75">
        <f>GETPIVOTDATA("Forbrugt",'Ark4'!$A$3,"Niveau3","Flygtningebolig","Aar",2014,"Forsyning","El kWh")</f>
        <v>8064.8499999999995</v>
      </c>
      <c r="I18" s="75">
        <f>GETPIVOTDATA("Forbrugt",'Ark4'!$A$3,"Niveau3","Flygtningebolig","Aar",2015,"Forsyning","El kWh")</f>
        <v>77365</v>
      </c>
      <c r="J18" s="95">
        <f t="shared" si="0"/>
        <v>-0.31823503703071254</v>
      </c>
      <c r="K18" s="95">
        <f t="shared" si="1"/>
        <v>5.5400777894342648</v>
      </c>
      <c r="L18" s="95">
        <f t="shared" si="2"/>
        <v>-0.1778371771307056</v>
      </c>
      <c r="M18" s="95">
        <f t="shared" si="3"/>
        <v>8.5928628554777831</v>
      </c>
      <c r="N18"/>
      <c r="O18" s="131">
        <f t="shared" si="4"/>
        <v>-3022.2114000000001</v>
      </c>
      <c r="P18" s="131">
        <f t="shared" si="5"/>
        <v>111128.97749999999</v>
      </c>
      <c r="Q18" s="115" t="s">
        <v>1474</v>
      </c>
      <c r="R18" s="71"/>
    </row>
    <row r="19" spans="1:22" x14ac:dyDescent="0.25">
      <c r="A19" s="74" t="s">
        <v>29</v>
      </c>
      <c r="B19" s="75">
        <f>GETPIVOTDATA("Forbrugt",'Ark4'!$A$3,"Niveau3","Forsamlingshuse","Aar",2008,"Forsyning","El kWh")</f>
        <v>44437.8</v>
      </c>
      <c r="C19" s="75">
        <f>GETPIVOTDATA("Forbrugt",'Ark4'!$A$3,"Niveau3","Forsamlingshuse","Aar",2009,"Forsyning","El kWh")</f>
        <v>55376.380000000005</v>
      </c>
      <c r="D19" s="75">
        <f>GETPIVOTDATA("Forbrugt",'Ark4'!$A$3,"Niveau3","Forsamlingshuse","Aar",2010,"Forsyning","El kWh")</f>
        <v>53381.090000000004</v>
      </c>
      <c r="E19" s="75">
        <f>GETPIVOTDATA("Forbrugt",'Ark4'!$A$3,"Niveau3","Forsamlingshuse","Aar",2011,"Forsyning","El kWh")</f>
        <v>51807.66</v>
      </c>
      <c r="F19" s="75">
        <f>GETPIVOTDATA("Forbrugt",'Ark4'!$A$3,"Niveau3","Forsamlingshuse","Aar",2012,"Forsyning","El kWh")</f>
        <v>53171.039999999994</v>
      </c>
      <c r="G19" s="75">
        <f>GETPIVOTDATA("Forbrugt",'Ark4'!$A$3,"Niveau3","Forsamlingshuse","Aar",2013,"Forsyning","El kWh")</f>
        <v>49638.749999999993</v>
      </c>
      <c r="H19" s="75">
        <f>GETPIVOTDATA("Forbrugt",'Ark4'!$A$3,"Niveau3","Forsamlingshuse","Aar",2014,"Forsyning","El kWh")</f>
        <v>44937.01</v>
      </c>
      <c r="I19" s="75">
        <f>GETPIVOTDATA("Forbrugt",'Ark4'!$A$3,"Niveau3","Forsamlingshuse","Aar",2015,"Forsyning","El kWh")</f>
        <v>44337</v>
      </c>
      <c r="J19" s="95">
        <f t="shared" si="0"/>
        <v>1.1233904468718053E-2</v>
      </c>
      <c r="K19" s="95">
        <f t="shared" si="1"/>
        <v>-2.2683391166980118E-3</v>
      </c>
      <c r="L19" s="95">
        <f t="shared" si="2"/>
        <v>-9.4719145828611545E-2</v>
      </c>
      <c r="M19" s="95">
        <f t="shared" si="3"/>
        <v>-1.3352245732415263E-2</v>
      </c>
      <c r="N19"/>
      <c r="O19" s="131">
        <f t="shared" si="4"/>
        <v>-8609.5937999999733</v>
      </c>
      <c r="P19" s="131">
        <f t="shared" si="5"/>
        <v>-1623.7701000000234</v>
      </c>
      <c r="Q19" s="115" t="s">
        <v>1491</v>
      </c>
      <c r="R19" s="71"/>
    </row>
    <row r="20" spans="1:22" x14ac:dyDescent="0.25">
      <c r="A20" s="74" t="s">
        <v>30</v>
      </c>
      <c r="B20" s="75">
        <f>GETPIVOTDATA("Forbrugt",'Ark4'!$A$3,"Niveau3","Fritidsklubber","Aar",2008,"Forsyning","El kWh")</f>
        <v>239834.18</v>
      </c>
      <c r="C20" s="75">
        <f>GETPIVOTDATA("Forbrugt",'Ark4'!$A$3,"Niveau3","Fritidsklubber","Aar",2009,"Forsyning","El kWh")</f>
        <v>264546.71999999997</v>
      </c>
      <c r="D20" s="75">
        <f>GETPIVOTDATA("Forbrugt",'Ark4'!$A$3,"Niveau3","Fritidsklubber","Aar",2010,"Forsyning","El kWh")</f>
        <v>249584.83000000002</v>
      </c>
      <c r="E20" s="75">
        <f>GETPIVOTDATA("Forbrugt",'Ark4'!$A$3,"Niveau3","Fritidsklubber","Aar",2011,"Forsyning","El kWh")</f>
        <v>225881.99000000002</v>
      </c>
      <c r="F20" s="75">
        <f>GETPIVOTDATA("Forbrugt",'Ark4'!$A$3,"Niveau3","Fritidsklubber","Aar",2012,"Forsyning","El kWh")</f>
        <v>214399.85</v>
      </c>
      <c r="G20" s="75">
        <f>GETPIVOTDATA("Forbrugt",'Ark4'!$A$3,"Niveau3","Fritidsklubber","Aar",2013,"Forsyning","El kWh")</f>
        <v>202568.85000000003</v>
      </c>
      <c r="H20" s="75">
        <f>GETPIVOTDATA("Forbrugt",'Ark4'!$A$3,"Niveau3","Fritidsklubber","Aar",2014,"Forsyning","El kWh")</f>
        <v>193217.66</v>
      </c>
      <c r="I20" s="75">
        <f>GETPIVOTDATA("Forbrugt",'Ark4'!$A$3,"Niveau3","Fritidsklubber","Aar",2015,"Forsyning","El kWh")</f>
        <v>194515</v>
      </c>
      <c r="J20" s="95">
        <f t="shared" si="0"/>
        <v>-0.19436979332970802</v>
      </c>
      <c r="K20" s="95">
        <f t="shared" si="1"/>
        <v>-0.1889604726065317</v>
      </c>
      <c r="L20" s="95">
        <f t="shared" si="2"/>
        <v>-4.6163020622371258E-2</v>
      </c>
      <c r="M20" s="95">
        <f t="shared" si="3"/>
        <v>6.7143966032918341E-3</v>
      </c>
      <c r="N20"/>
      <c r="O20" s="131">
        <f t="shared" si="4"/>
        <v>-19200.304800000042</v>
      </c>
      <c r="P20" s="131">
        <f t="shared" si="5"/>
        <v>-757.67970000003697</v>
      </c>
      <c r="Q20" s="115" t="s">
        <v>1475</v>
      </c>
      <c r="R20" s="71"/>
    </row>
    <row r="21" spans="1:22" x14ac:dyDescent="0.25">
      <c r="A21" s="74" t="s">
        <v>31</v>
      </c>
      <c r="B21" s="75">
        <f>GETPIVOTDATA("Forbrugt",'Ark4'!$A$3,"Niveau3","Idræt og Fritid","Aar",2008,"Forsyning","El kWh")</f>
        <v>852905.91</v>
      </c>
      <c r="C21" s="75">
        <f>GETPIVOTDATA("Forbrugt",'Ark4'!$A$3,"Niveau3","Idræt og Fritid","Aar",2009,"Forsyning","El kWh")</f>
        <v>860709.3</v>
      </c>
      <c r="D21" s="75">
        <f>GETPIVOTDATA("Forbrugt",'Ark4'!$A$3,"Niveau3","Idræt og Fritid","Aar",2010,"Forsyning","El kWh")</f>
        <v>907534.98</v>
      </c>
      <c r="E21" s="75">
        <f>GETPIVOTDATA("Forbrugt",'Ark4'!$A$3,"Niveau3","Idræt og Fritid","Aar",2011,"Forsyning","El kWh")</f>
        <v>905993.83000000007</v>
      </c>
      <c r="F21" s="75">
        <f>GETPIVOTDATA("Forbrugt",'Ark4'!$A$3,"Niveau3","Idræt og Fritid","Aar",2012,"Forsyning","El kWh")</f>
        <v>904875.46</v>
      </c>
      <c r="G21" s="75">
        <f>GETPIVOTDATA("Forbrugt",'Ark4'!$A$3,"Niveau3","Idræt og Fritid","Aar",2013,"Forsyning","El kWh")</f>
        <v>836823.15999999992</v>
      </c>
      <c r="H21" s="75">
        <f>GETPIVOTDATA("Forbrugt",'Ark4'!$A$3,"Niveau3","Idræt og Fritid","Aar",2014,"Forsyning","El kWh")</f>
        <v>839081.66999999993</v>
      </c>
      <c r="I21" s="75">
        <f>GETPIVOTDATA("Forbrugt",'Ark4'!$A$3,"Niveau3","Idræt og Fritid","Aar",2015,"Forsyning","El kWh")</f>
        <v>785870</v>
      </c>
      <c r="J21" s="95">
        <f t="shared" si="0"/>
        <v>-1.6208399822203255E-2</v>
      </c>
      <c r="K21" s="95">
        <f t="shared" si="1"/>
        <v>-7.8597075262381549E-2</v>
      </c>
      <c r="L21" s="95">
        <f t="shared" si="2"/>
        <v>2.6989095282688035E-3</v>
      </c>
      <c r="M21" s="95">
        <f t="shared" si="3"/>
        <v>-6.3416556340695568E-2</v>
      </c>
      <c r="N21"/>
      <c r="O21" s="131">
        <f t="shared" si="4"/>
        <v>-13077.676999999909</v>
      </c>
      <c r="P21" s="131">
        <f t="shared" si="5"/>
        <v>-97755.19439999992</v>
      </c>
      <c r="Q21" s="115" t="s">
        <v>1492</v>
      </c>
      <c r="R21" s="71"/>
    </row>
    <row r="22" spans="1:22" x14ac:dyDescent="0.25">
      <c r="A22" s="74" t="s">
        <v>32</v>
      </c>
      <c r="B22" s="75">
        <f>GETPIVOTDATA("Forbrugt",'Ark4'!$A$3,"Niveau3","Idrætsklubber","Aar",2008,"Forsyning","El kWh")</f>
        <v>355561.17000000004</v>
      </c>
      <c r="C22" s="75">
        <f>GETPIVOTDATA("Forbrugt",'Ark4'!$A$3,"Niveau3","Idrætsklubber","Aar",2009,"Forsyning","El kWh")</f>
        <v>398349.38</v>
      </c>
      <c r="D22" s="75">
        <f>GETPIVOTDATA("Forbrugt",'Ark4'!$A$3,"Niveau3","Idrætsklubber","Aar",2010,"Forsyning","El kWh")</f>
        <v>385335.54</v>
      </c>
      <c r="E22" s="75">
        <f>GETPIVOTDATA("Forbrugt",'Ark4'!$A$3,"Niveau3","Idrætsklubber","Aar",2011,"Forsyning","El kWh")</f>
        <v>352265.72000000003</v>
      </c>
      <c r="F22" s="75">
        <f>GETPIVOTDATA("Forbrugt",'Ark4'!$A$3,"Niveau3","Idrætsklubber","Aar",2012,"Forsyning","El kWh")</f>
        <v>338317.16</v>
      </c>
      <c r="G22" s="75">
        <f>GETPIVOTDATA("Forbrugt",'Ark4'!$A$3,"Niveau3","Idrætsklubber","Aar",2013,"Forsyning","El kWh")</f>
        <v>332668.28999999998</v>
      </c>
      <c r="H22" s="75">
        <f>GETPIVOTDATA("Forbrugt",'Ark4'!$A$3,"Niveau3","Idrætsklubber","Aar",2014,"Forsyning","El kWh")</f>
        <v>339539.89</v>
      </c>
      <c r="I22" s="75">
        <f>GETPIVOTDATA("Forbrugt",'Ark4'!$A$3,"Niveau3","Idrætsklubber","Aar",2015,"Forsyning","El kWh")</f>
        <v>115048</v>
      </c>
      <c r="J22" s="95">
        <f t="shared" si="0"/>
        <v>-4.5059138488041384E-2</v>
      </c>
      <c r="K22" s="95">
        <f t="shared" si="1"/>
        <v>-0.67643260933132832</v>
      </c>
      <c r="L22" s="95">
        <f t="shared" si="2"/>
        <v>2.0656011428080611E-2</v>
      </c>
      <c r="M22" s="95">
        <f t="shared" si="3"/>
        <v>-0.66116499595967948</v>
      </c>
      <c r="N22"/>
      <c r="O22" s="131">
        <f t="shared" si="4"/>
        <v>4478.6262000001734</v>
      </c>
      <c r="P22" s="131">
        <f t="shared" si="5"/>
        <v>-365368.06740000006</v>
      </c>
      <c r="Q22" s="115" t="s">
        <v>1493</v>
      </c>
      <c r="R22" s="71"/>
    </row>
    <row r="23" spans="1:22" x14ac:dyDescent="0.25">
      <c r="A23" s="74" t="s">
        <v>33</v>
      </c>
      <c r="B23" s="75">
        <f>GETPIVOTDATA("Forbrugt",'Ark4'!$A$3,"Niveau3","Kulturhuse","Aar",2008,"Forsyning","El kWh")</f>
        <v>611169.37</v>
      </c>
      <c r="C23" s="75">
        <f>GETPIVOTDATA("Forbrugt",'Ark4'!$A$3,"Niveau3","Kulturhuse","Aar",2009,"Forsyning","El kWh")</f>
        <v>553258.36</v>
      </c>
      <c r="D23" s="75">
        <f>GETPIVOTDATA("Forbrugt",'Ark4'!$A$3,"Niveau3","Kulturhuse","Aar",2010,"Forsyning","El kWh")</f>
        <v>573008.21</v>
      </c>
      <c r="E23" s="75">
        <f>GETPIVOTDATA("Forbrugt",'Ark4'!$A$3,"Niveau3","Kulturhuse","Aar",2011,"Forsyning","El kWh")</f>
        <v>519481.76</v>
      </c>
      <c r="F23" s="75">
        <f>GETPIVOTDATA("Forbrugt",'Ark4'!$A$3,"Niveau3","Kulturhuse","Aar",2012,"Forsyning","El kWh")</f>
        <v>543576.21</v>
      </c>
      <c r="G23" s="75">
        <f>GETPIVOTDATA("Forbrugt",'Ark4'!$A$3,"Niveau3","Kulturhuse","Aar",2013,"Forsyning","El kWh")</f>
        <v>453612.25</v>
      </c>
      <c r="H23" s="75">
        <f>GETPIVOTDATA("Forbrugt",'Ark4'!$A$3,"Niveau3","Kulturhuse","Aar",2014,"Forsyning","El kWh")</f>
        <v>320802.13</v>
      </c>
      <c r="I23" s="75">
        <f>GETPIVOTDATA("Forbrugt",'Ark4'!$A$3,"Niveau3","Kulturhuse","Aar",2015,"Forsyning","El kWh")</f>
        <v>257719</v>
      </c>
      <c r="J23" s="95">
        <f t="shared" si="0"/>
        <v>-0.47510110004367528</v>
      </c>
      <c r="K23" s="95">
        <f t="shared" si="1"/>
        <v>-0.57831820007602797</v>
      </c>
      <c r="L23" s="95">
        <f t="shared" si="2"/>
        <v>-0.29278336288316725</v>
      </c>
      <c r="M23" s="95">
        <f t="shared" si="3"/>
        <v>-0.19664186768335984</v>
      </c>
      <c r="N23"/>
      <c r="O23" s="131">
        <f t="shared" si="4"/>
        <v>-224224.63939999993</v>
      </c>
      <c r="P23" s="131">
        <f t="shared" si="5"/>
        <v>-105983.13990000007</v>
      </c>
      <c r="Q23" s="115" t="s">
        <v>1494</v>
      </c>
      <c r="R23" s="71"/>
    </row>
    <row r="24" spans="1:22" x14ac:dyDescent="0.25">
      <c r="A24" s="74" t="s">
        <v>34</v>
      </c>
      <c r="B24" s="75">
        <f>GETPIVOTDATA("Forbrugt",'Ark4'!$A$3,"Niveau3","Museum","Aar",2008,"Forsyning","El kWh")</f>
        <v>64780.53</v>
      </c>
      <c r="C24" s="75">
        <f>GETPIVOTDATA("Forbrugt",'Ark4'!$A$3,"Niveau3","Museum","Aar",2009,"Forsyning","El kWh")</f>
        <v>70912.790000000008</v>
      </c>
      <c r="D24" s="75">
        <f>GETPIVOTDATA("Forbrugt",'Ark4'!$A$3,"Niveau3","Museum","Aar",2010,"Forsyning","El kWh")</f>
        <v>67343.929999999993</v>
      </c>
      <c r="E24" s="75">
        <f>GETPIVOTDATA("Forbrugt",'Ark4'!$A$3,"Niveau3","Museum","Aar",2011,"Forsyning","El kWh")</f>
        <v>58317.77</v>
      </c>
      <c r="F24" s="75">
        <f>GETPIVOTDATA("Forbrugt",'Ark4'!$A$3,"Niveau3","Museum","Aar",2012,"Forsyning","El kWh")</f>
        <v>46314.55</v>
      </c>
      <c r="G24" s="75">
        <f>GETPIVOTDATA("Forbrugt",'Ark4'!$A$3,"Niveau3","Museum","Aar",2013,"Forsyning","El kWh")</f>
        <v>51539.4</v>
      </c>
      <c r="H24" s="75">
        <f>GETPIVOTDATA("Forbrugt",'Ark4'!$A$3,"Niveau3","Museum","Aar",2014,"Forsyning","El kWh")</f>
        <v>45885.94</v>
      </c>
      <c r="I24" s="75">
        <f>GETPIVOTDATA("Forbrugt",'Ark4'!$A$3,"Niveau3","Museum","Aar",2015,"Forsyning","El kWh")</f>
        <v>42603</v>
      </c>
      <c r="J24" s="95">
        <f t="shared" si="0"/>
        <v>-0.29167081528971739</v>
      </c>
      <c r="K24" s="95">
        <f t="shared" si="1"/>
        <v>-0.34234869643703131</v>
      </c>
      <c r="L24" s="95">
        <f t="shared" si="2"/>
        <v>-0.10969200262323579</v>
      </c>
      <c r="M24" s="95">
        <f t="shared" si="3"/>
        <v>-7.154566300701265E-2</v>
      </c>
      <c r="N24"/>
      <c r="O24" s="131">
        <f t="shared" si="4"/>
        <v>-10189.393199999991</v>
      </c>
      <c r="P24" s="131">
        <f t="shared" si="5"/>
        <v>-5944.6269000000029</v>
      </c>
      <c r="Q24" s="115" t="s">
        <v>1495</v>
      </c>
      <c r="R24" s="71"/>
    </row>
    <row r="25" spans="1:22" x14ac:dyDescent="0.25">
      <c r="A25" s="74" t="s">
        <v>35</v>
      </c>
      <c r="B25" s="75">
        <f>GETPIVOTDATA("Forbrugt",'Ark4'!$A$3,"Niveau3","Pleje og omsorg","Aar",2008,"Forsyning","El kWh")</f>
        <v>160310.17000000001</v>
      </c>
      <c r="C25" s="75">
        <f>GETPIVOTDATA("Forbrugt",'Ark4'!$A$3,"Niveau3","Pleje og omsorg","Aar",2009,"Forsyning","El kWh")</f>
        <v>161062.43</v>
      </c>
      <c r="D25" s="75">
        <f>GETPIVOTDATA("Forbrugt",'Ark4'!$A$3,"Niveau3","Pleje og omsorg","Aar",2010,"Forsyning","El kWh")</f>
        <v>154420.50999999998</v>
      </c>
      <c r="E25" s="75">
        <f>GETPIVOTDATA("Forbrugt",'Ark4'!$A$3,"Niveau3","Pleje og omsorg","Aar",2011,"Forsyning","El kWh")</f>
        <v>159756.65</v>
      </c>
      <c r="F25" s="75">
        <f>GETPIVOTDATA("Forbrugt",'Ark4'!$A$3,"Niveau3","Pleje og omsorg","Aar",2012,"Forsyning","El kWh")</f>
        <v>147179.82000000004</v>
      </c>
      <c r="G25" s="75">
        <f>GETPIVOTDATA("Forbrugt",'Ark4'!$A$3,"Niveau3","Pleje og omsorg","Aar",2013,"Forsyning","El kWh")</f>
        <v>171264.59000000003</v>
      </c>
      <c r="H25" s="75">
        <f>GETPIVOTDATA("Forbrugt",'Ark4'!$A$3,"Niveau3","Pleje og omsorg","Aar",2014,"Forsyning","El kWh")</f>
        <v>170756.83000000002</v>
      </c>
      <c r="I25" s="75">
        <f>GETPIVOTDATA("Forbrugt",'Ark4'!$A$3,"Niveau3","Pleje og omsorg","Aar",2015,"Forsyning","El kWh")</f>
        <v>156593</v>
      </c>
      <c r="J25" s="95">
        <f t="shared" si="0"/>
        <v>6.51652979970017E-2</v>
      </c>
      <c r="K25" s="95">
        <f t="shared" si="1"/>
        <v>-2.3187362348876635E-2</v>
      </c>
      <c r="L25" s="95">
        <f t="shared" si="2"/>
        <v>-2.9647693081214818E-3</v>
      </c>
      <c r="M25" s="95">
        <f t="shared" si="3"/>
        <v>-8.2947370245746624E-2</v>
      </c>
      <c r="N25"/>
      <c r="O25" s="131">
        <f t="shared" si="4"/>
        <v>-4247.8630000000121</v>
      </c>
      <c r="P25" s="131">
        <f t="shared" si="5"/>
        <v>-25247.321700000059</v>
      </c>
      <c r="Q25" s="115" t="s">
        <v>1496</v>
      </c>
      <c r="R25" s="71"/>
    </row>
    <row r="26" spans="1:22" x14ac:dyDescent="0.25">
      <c r="A26" s="74" t="s">
        <v>36</v>
      </c>
      <c r="B26" s="75">
        <f>GETPIVOTDATA("Forbrugt",'Ark4'!$A$3,"Niveau3","Plejecenter","Aar",2008,"Forsyning","El kWh")</f>
        <v>433140.38000000006</v>
      </c>
      <c r="C26" s="75">
        <f>GETPIVOTDATA("Forbrugt",'Ark4'!$A$3,"Niveau3","Plejecenter","Aar",2009,"Forsyning","El kWh")</f>
        <v>404675.11</v>
      </c>
      <c r="D26" s="75">
        <f>GETPIVOTDATA("Forbrugt",'Ark4'!$A$3,"Niveau3","Plejecenter","Aar",2010,"Forsyning","El kWh")</f>
        <v>418184.91</v>
      </c>
      <c r="E26" s="75">
        <f>GETPIVOTDATA("Forbrugt",'Ark4'!$A$3,"Niveau3","Plejecenter","Aar",2011,"Forsyning","El kWh")</f>
        <v>402530.11</v>
      </c>
      <c r="F26" s="75">
        <f>GETPIVOTDATA("Forbrugt",'Ark4'!$A$3,"Niveau3","Plejecenter","Aar",2012,"Forsyning","El kWh")</f>
        <v>397572.86999999994</v>
      </c>
      <c r="G26" s="75">
        <f>GETPIVOTDATA("Forbrugt",'Ark4'!$A$3,"Niveau3","Plejecenter","Aar",2013,"Forsyning","El kWh")</f>
        <v>389190.82</v>
      </c>
      <c r="H26" s="75">
        <f>GETPIVOTDATA("Forbrugt",'Ark4'!$A$3,"Niveau3","Plejecenter","Aar",2014,"Forsyning","El kWh")</f>
        <v>380350.08</v>
      </c>
      <c r="I26" s="75">
        <f>GETPIVOTDATA("Forbrugt",'Ark4'!$A$3,"Niveau3","Plejecenter","Aar",2015,"Forsyning","El kWh")</f>
        <v>287706</v>
      </c>
      <c r="J26" s="95">
        <f t="shared" si="0"/>
        <v>-0.12187803870883625</v>
      </c>
      <c r="K26" s="95">
        <f t="shared" si="1"/>
        <v>-0.33576730943441485</v>
      </c>
      <c r="L26" s="95">
        <f t="shared" si="2"/>
        <v>-2.27156950927054E-2</v>
      </c>
      <c r="M26" s="95">
        <f t="shared" si="3"/>
        <v>-0.24357581310354925</v>
      </c>
      <c r="N26"/>
      <c r="O26" s="131">
        <f t="shared" si="4"/>
        <v>-22105.815199999837</v>
      </c>
      <c r="P26" s="131">
        <f t="shared" si="5"/>
        <v>-154312.68780000013</v>
      </c>
      <c r="Q26" s="115" t="s">
        <v>1497</v>
      </c>
      <c r="R26" s="71"/>
    </row>
    <row r="27" spans="1:22" x14ac:dyDescent="0.25">
      <c r="A27" s="74" t="s">
        <v>37</v>
      </c>
      <c r="B27" s="75">
        <f>GETPIVOTDATA("Forbrugt",'Ark4'!$A$3,"Niveau3","Skoler","Aar",2008,"Forsyning","El kWh")</f>
        <v>2701034.26</v>
      </c>
      <c r="C27" s="75">
        <f>GETPIVOTDATA("Forbrugt",'Ark4'!$A$3,"Niveau3","Skoler","Aar",2009,"Forsyning","El kWh")</f>
        <v>2723188.17</v>
      </c>
      <c r="D27" s="75">
        <f>GETPIVOTDATA("Forbrugt",'Ark4'!$A$3,"Niveau3","Skoler","Aar",2010,"Forsyning","El kWh")</f>
        <v>2559369.33</v>
      </c>
      <c r="E27" s="75">
        <f>GETPIVOTDATA("Forbrugt",'Ark4'!$A$3,"Niveau3","Skoler","Aar",2011,"Forsyning","El kWh")</f>
        <v>2397778.7999999998</v>
      </c>
      <c r="F27" s="75">
        <f>GETPIVOTDATA("Forbrugt",'Ark4'!$A$3,"Niveau3","Skoler","Aar",2012,"Forsyning","El kWh")</f>
        <v>1966675.87</v>
      </c>
      <c r="G27" s="75">
        <f>GETPIVOTDATA("Forbrugt",'Ark4'!$A$3,"Niveau3","Skoler","Aar",2013,"Forsyning","El kWh")</f>
        <v>1783730.0499999998</v>
      </c>
      <c r="H27" s="75">
        <f>GETPIVOTDATA("Forbrugt",'Ark4'!$A$3,"Niveau3","Skoler","Aar",2014,"Forsyning","El kWh")</f>
        <v>1805097.81</v>
      </c>
      <c r="I27" s="75">
        <f>GETPIVOTDATA("Forbrugt",'Ark4'!$A$3,"Niveau3","Skoler","Aar",2015,"Forsyning","El kWh")</f>
        <v>1743301</v>
      </c>
      <c r="J27" s="95">
        <f t="shared" si="0"/>
        <v>-0.33170125357832364</v>
      </c>
      <c r="K27" s="95">
        <f t="shared" si="1"/>
        <v>-0.35458019699461341</v>
      </c>
      <c r="L27" s="95">
        <f t="shared" si="2"/>
        <v>1.1979256614531019E-2</v>
      </c>
      <c r="M27" s="95">
        <f t="shared" si="3"/>
        <v>-3.4234604716516751E-2</v>
      </c>
      <c r="N27"/>
      <c r="O27" s="131">
        <f t="shared" si="4"/>
        <v>-1058.8297999994829</v>
      </c>
      <c r="P27" s="131">
        <f t="shared" si="5"/>
        <v>-125737.35690000048</v>
      </c>
      <c r="Q27" s="115" t="s">
        <v>1498</v>
      </c>
      <c r="R27" s="71"/>
    </row>
    <row r="28" spans="1:22" x14ac:dyDescent="0.25">
      <c r="A28" s="74" t="s">
        <v>38</v>
      </c>
      <c r="B28" s="75">
        <f>GETPIVOTDATA("Forbrugt",'Ark4'!$A$3,"Niveau3","Spejderhytter","Aar",2008,"Forsyning","El kWh")</f>
        <v>35504.47</v>
      </c>
      <c r="C28" s="75">
        <f>GETPIVOTDATA("Forbrugt",'Ark4'!$A$3,"Niveau3","Spejderhytter","Aar",2009,"Forsyning","El kWh")</f>
        <v>34471.120000000003</v>
      </c>
      <c r="D28" s="75">
        <f>GETPIVOTDATA("Forbrugt",'Ark4'!$A$3,"Niveau3","Spejderhytter","Aar",2010,"Forsyning","El kWh")</f>
        <v>25926.700000000004</v>
      </c>
      <c r="E28" s="75">
        <f>GETPIVOTDATA("Forbrugt",'Ark4'!$A$3,"Niveau3","Spejderhytter","Aar",2011,"Forsyning","El kWh")</f>
        <v>24813.99</v>
      </c>
      <c r="F28" s="75">
        <f>GETPIVOTDATA("Forbrugt",'Ark4'!$A$3,"Niveau3","Spejderhytter","Aar",2012,"Forsyning","El kWh")</f>
        <v>31909.800000000003</v>
      </c>
      <c r="G28" s="75">
        <f>GETPIVOTDATA("Forbrugt",'Ark4'!$A$3,"Niveau3","Spejderhytter","Aar",2013,"Forsyning","El kWh")</f>
        <v>34324.1</v>
      </c>
      <c r="H28" s="75">
        <f>GETPIVOTDATA("Forbrugt",'Ark4'!$A$3,"Niveau3","Spejderhytter","Aar",2014,"Forsyning","El kWh")</f>
        <v>33076.519999999997</v>
      </c>
      <c r="I28" s="75">
        <f>GETPIVOTDATA("Forbrugt",'Ark4'!$A$3,"Niveau3","Spejderhytter","Aar",2015,"Forsyning","El kWh")</f>
        <v>30073</v>
      </c>
      <c r="J28" s="95">
        <f t="shared" si="0"/>
        <v>-6.8384347097703593E-2</v>
      </c>
      <c r="K28" s="95">
        <f t="shared" si="1"/>
        <v>-0.15297989239101445</v>
      </c>
      <c r="L28" s="95">
        <f t="shared" si="2"/>
        <v>-3.6347056441392543E-2</v>
      </c>
      <c r="M28" s="95">
        <f t="shared" si="3"/>
        <v>-9.0805199579641296E-2</v>
      </c>
      <c r="N28"/>
      <c r="O28" s="131">
        <f t="shared" si="4"/>
        <v>-2707.5616000000009</v>
      </c>
      <c r="P28" s="131">
        <f t="shared" si="5"/>
        <v>-5307.7754999999961</v>
      </c>
      <c r="Q28" s="115" t="s">
        <v>1499</v>
      </c>
      <c r="R28" s="71"/>
    </row>
    <row r="29" spans="1:22" x14ac:dyDescent="0.25">
      <c r="A29" s="74" t="s">
        <v>39</v>
      </c>
      <c r="B29" s="75">
        <f>GETPIVOTDATA("Forbrugt",'Ark4'!$A$3,"Niveau3","Svømmehaller","Aar",2008,"Forsyning","El kWh")</f>
        <v>1451714.78</v>
      </c>
      <c r="C29" s="75">
        <f>GETPIVOTDATA("Forbrugt",'Ark4'!$A$3,"Niveau3","Svømmehaller","Aar",2009,"Forsyning","El kWh")</f>
        <v>1364167.19</v>
      </c>
      <c r="D29" s="75">
        <f>GETPIVOTDATA("Forbrugt",'Ark4'!$A$3,"Niveau3","Svømmehaller","Aar",2010,"Forsyning","El kWh")</f>
        <v>1282386.6700000002</v>
      </c>
      <c r="E29" s="75">
        <f>GETPIVOTDATA("Forbrugt",'Ark4'!$A$3,"Niveau3","Svømmehaller","Aar",2011,"Forsyning","El kWh")</f>
        <v>1085189.95</v>
      </c>
      <c r="F29" s="75">
        <f>GETPIVOTDATA("Forbrugt",'Ark4'!$A$3,"Niveau3","Svømmehaller","Aar",2012,"Forsyning","El kWh")</f>
        <v>1005401.34</v>
      </c>
      <c r="G29" s="75">
        <f>GETPIVOTDATA("Forbrugt",'Ark4'!$A$3,"Niveau3","Svømmehaller","Aar",2013,"Forsyning","El kWh")</f>
        <v>1002117.16</v>
      </c>
      <c r="H29" s="75">
        <f>GETPIVOTDATA("Forbrugt",'Ark4'!$A$3,"Niveau3","Svømmehaller","Aar",2014,"Forsyning","El kWh")</f>
        <v>1079194.56</v>
      </c>
      <c r="I29" s="75">
        <f>GETPIVOTDATA("Forbrugt",'Ark4'!$A$3,"Niveau3","Svømmehaller","Aar",2015,"Forsyning","El kWh")</f>
        <v>1120411</v>
      </c>
      <c r="J29" s="95">
        <f t="shared" si="0"/>
        <v>-0.25660703130679702</v>
      </c>
      <c r="K29" s="95">
        <f t="shared" si="1"/>
        <v>-0.2282154763210443</v>
      </c>
      <c r="L29" s="95">
        <f t="shared" si="2"/>
        <v>7.6914559571058555E-2</v>
      </c>
      <c r="M29" s="95">
        <f t="shared" si="3"/>
        <v>3.8191853005634074E-2</v>
      </c>
      <c r="N29"/>
      <c r="O29" s="131">
        <f t="shared" si="4"/>
        <v>104823.04480000027</v>
      </c>
      <c r="P29" s="131">
        <f t="shared" si="5"/>
        <v>50300.591099999612</v>
      </c>
      <c r="Q29" s="115" t="s">
        <v>1477</v>
      </c>
      <c r="R29" s="71"/>
    </row>
    <row r="30" spans="1:22" s="120" customFormat="1" x14ac:dyDescent="0.25">
      <c r="A30" s="74" t="s">
        <v>42</v>
      </c>
      <c r="B30" s="75">
        <f>GETPIVOTDATA("Forbrugt",'Ark4'!$A$3,"Niveau3","Tekniske installationer","Aar",2008,"Forsyning","El kWh")</f>
        <v>0</v>
      </c>
      <c r="C30" s="75">
        <f>GETPIVOTDATA("Forbrugt",'Ark4'!$A$3,"Niveau3","Tekniske installationer","Aar",2009,"Forsyning","El kWh")</f>
        <v>0</v>
      </c>
      <c r="D30" s="75">
        <f>GETPIVOTDATA("Forbrugt",'Ark4'!$A$3,"Niveau3","Tekniske installationer","Aar",2010,"Forsyning","El kWh")</f>
        <v>0</v>
      </c>
      <c r="E30" s="75">
        <f>GETPIVOTDATA("Forbrugt",'Ark4'!$A$3,"Niveau3","Tekniske installationer","Aar",2011,"Forsyning","El kWh")</f>
        <v>0</v>
      </c>
      <c r="F30" s="75">
        <f>GETPIVOTDATA("Forbrugt",'Ark4'!$A$3,"Niveau3","Tekniske installationer","Aar",2012,"Forsyning","El kWh")</f>
        <v>0</v>
      </c>
      <c r="G30" s="75">
        <f>GETPIVOTDATA("Forbrugt",'Ark4'!$A$3,"Niveau3","Tekniske installationer","Aar",2013,"Forsyning","El kWh")</f>
        <v>1495.61</v>
      </c>
      <c r="H30" s="75">
        <f>GETPIVOTDATA("Forbrugt",'Ark4'!$A$3,"Niveau3","Tekniske installationer","Aar",2014,"Forsyning","El kWh")</f>
        <v>2712.87</v>
      </c>
      <c r="I30" s="75">
        <f>GETPIVOTDATA("Forbrugt",'Ark4'!$A$3,"Niveau3","Tekniske installationer","Aar",2015,"Forsyning","El kWh")</f>
        <v>2132</v>
      </c>
      <c r="J30" s="95">
        <v>0</v>
      </c>
      <c r="K30" s="95">
        <v>0</v>
      </c>
      <c r="L30" s="95">
        <f t="shared" ref="L30" si="6">(H30-G30)/G30</f>
        <v>0.81388864744151224</v>
      </c>
      <c r="M30" s="95">
        <f t="shared" ref="M30" si="7">(I30-H30)/H30</f>
        <v>-0.21411641545669344</v>
      </c>
      <c r="N30"/>
      <c r="O30" s="131">
        <f t="shared" si="4"/>
        <v>1942.0490000000004</v>
      </c>
      <c r="P30" s="131">
        <f t="shared" si="5"/>
        <v>-972.34979999999996</v>
      </c>
      <c r="Q30" s="120" t="s">
        <v>1478</v>
      </c>
      <c r="R30" s="71"/>
      <c r="V30" s="65"/>
    </row>
    <row r="31" spans="1:22" x14ac:dyDescent="0.25">
      <c r="A31" s="74" t="s">
        <v>40</v>
      </c>
      <c r="B31" s="75">
        <f>'Ark1'!B5</f>
        <v>208660.23</v>
      </c>
      <c r="C31" s="75">
        <f>'Ark1'!E5</f>
        <v>191537.47</v>
      </c>
      <c r="D31" s="75">
        <f>'Ark1'!H5</f>
        <v>195709.88</v>
      </c>
      <c r="E31" s="75">
        <f>'Ark1'!K5</f>
        <v>198535.16</v>
      </c>
      <c r="F31" s="75">
        <f>'Ark1'!N5</f>
        <v>200641.45</v>
      </c>
      <c r="G31" s="75">
        <f>'Ark1'!Q5</f>
        <v>439646.73</v>
      </c>
      <c r="H31" s="75">
        <f>'Ark1'!T5</f>
        <v>483611.78</v>
      </c>
      <c r="I31" s="75">
        <f>'Ark1'!W5</f>
        <v>426468.01</v>
      </c>
      <c r="J31" s="95">
        <f t="shared" si="0"/>
        <v>1.3176998319229305</v>
      </c>
      <c r="K31" s="95">
        <f t="shared" si="1"/>
        <v>1.0438394513415421</v>
      </c>
      <c r="L31" s="95">
        <f t="shared" si="2"/>
        <v>0.10000085750666234</v>
      </c>
      <c r="M31" s="95">
        <f t="shared" si="3"/>
        <v>-0.11816041784590114</v>
      </c>
      <c r="N31"/>
      <c r="O31" s="131">
        <f t="shared" si="4"/>
        <v>62430.446400000248</v>
      </c>
      <c r="P31" s="131">
        <f t="shared" si="5"/>
        <v>-98841.987147000153</v>
      </c>
      <c r="Q31" s="115"/>
      <c r="R31" s="71"/>
    </row>
    <row r="32" spans="1:22" s="72" customFormat="1" ht="30" customHeight="1" x14ac:dyDescent="0.25">
      <c r="A32" s="6" t="s">
        <v>1370</v>
      </c>
      <c r="B32" s="7">
        <f t="shared" ref="B32:I32" si="8">SUM(B14:B31)</f>
        <v>9216102.1899999995</v>
      </c>
      <c r="C32" s="7">
        <f t="shared" si="8"/>
        <v>9023833.1300000008</v>
      </c>
      <c r="D32" s="7">
        <f t="shared" si="8"/>
        <v>8761106.4500000011</v>
      </c>
      <c r="E32" s="7">
        <f t="shared" si="8"/>
        <v>8021152.0100000016</v>
      </c>
      <c r="F32" s="7">
        <f t="shared" si="8"/>
        <v>7463990.0099999998</v>
      </c>
      <c r="G32" s="7">
        <f t="shared" si="8"/>
        <v>7437052.4499999993</v>
      </c>
      <c r="H32" s="7">
        <f t="shared" si="8"/>
        <v>7510450.1100000013</v>
      </c>
      <c r="I32" s="7">
        <f t="shared" si="8"/>
        <v>6895919.0099999998</v>
      </c>
      <c r="J32" s="96">
        <f>(H32-B32)/B32</f>
        <v>-0.18507304333612193</v>
      </c>
      <c r="K32" s="95">
        <f>(I32-B32)/B32</f>
        <v>-0.25175319589202599</v>
      </c>
      <c r="L32" s="95">
        <f t="shared" si="2"/>
        <v>9.8691868174201215E-3</v>
      </c>
      <c r="M32" s="95">
        <f t="shared" si="3"/>
        <v>-8.182347142973051E-2</v>
      </c>
      <c r="N32"/>
      <c r="O32" s="131">
        <f t="shared" si="4"/>
        <v>-29836.839799994603</v>
      </c>
      <c r="P32" s="131">
        <f t="shared" si="5"/>
        <v>-1096910.3914470039</v>
      </c>
      <c r="R32" s="71"/>
      <c r="V32" s="63"/>
    </row>
    <row r="33" spans="1:22" hidden="1" x14ac:dyDescent="0.25">
      <c r="R33" s="71"/>
    </row>
    <row r="34" spans="1:22" x14ac:dyDescent="0.25">
      <c r="R34" s="71"/>
    </row>
    <row r="35" spans="1:22" s="72" customFormat="1" ht="51" customHeight="1" x14ac:dyDescent="0.25">
      <c r="A35" s="8" t="s">
        <v>1368</v>
      </c>
      <c r="B35" s="9">
        <v>2008</v>
      </c>
      <c r="C35" s="9">
        <v>2009</v>
      </c>
      <c r="D35" s="9">
        <v>2010</v>
      </c>
      <c r="E35" s="9">
        <v>2011</v>
      </c>
      <c r="F35" s="9">
        <v>2012</v>
      </c>
      <c r="G35" s="9">
        <v>2013</v>
      </c>
      <c r="H35" s="9">
        <v>2014</v>
      </c>
      <c r="I35" s="9">
        <v>2015</v>
      </c>
      <c r="J35" s="10" t="s">
        <v>1374</v>
      </c>
      <c r="K35" s="10" t="s">
        <v>1441</v>
      </c>
      <c r="L35" s="10" t="s">
        <v>1406</v>
      </c>
      <c r="M35" s="10" t="s">
        <v>1442</v>
      </c>
      <c r="N35" s="10" t="s">
        <v>1448</v>
      </c>
      <c r="O35" s="130" t="s">
        <v>1502</v>
      </c>
      <c r="P35" s="130" t="s">
        <v>1503</v>
      </c>
      <c r="R35" s="71"/>
      <c r="V35" s="63"/>
    </row>
    <row r="36" spans="1:22" x14ac:dyDescent="0.25">
      <c r="A36" s="74" t="s">
        <v>24</v>
      </c>
      <c r="B36" s="75">
        <f>GETPIVOTDATA("Forbrugt",'Ark5'!$A$3,"Niveau3","Administration","Aar",2008)</f>
        <v>593478.98</v>
      </c>
      <c r="C36" s="75">
        <f>GETPIVOTDATA("Forbrugt",'Ark5'!$A$3,"Niveau3","Administration","Aar",2009)</f>
        <v>523221.01</v>
      </c>
      <c r="D36" s="75">
        <f>GETPIVOTDATA("Forbrugt",'Ark5'!$A$3,"Niveau3","Administration","Aar",2010)</f>
        <v>728470</v>
      </c>
      <c r="E36" s="75">
        <f>GETPIVOTDATA("Forbrugt",'Ark5'!$A$3,"Niveau3","Administration","Aar",2011)</f>
        <v>587363.69999999995</v>
      </c>
      <c r="F36" s="75">
        <f>GETPIVOTDATA("Forbrugt",'Ark5'!$A$3,"Niveau3","Administration","Aar",2012)</f>
        <v>618841.31000000006</v>
      </c>
      <c r="G36" s="75">
        <f>GETPIVOTDATA("Forbrugt",'Ark5'!$A$3,"Niveau3","Administration","Aar",2013)</f>
        <v>593255</v>
      </c>
      <c r="H36" s="75">
        <f>GETPIVOTDATA("Forbrugt",'Ark5'!$A$3,"Niveau3","Administration","Aar",2014)</f>
        <v>464039.01</v>
      </c>
      <c r="I36" s="75">
        <f>GETPIVOTDATA("Forbrugt",'Ark5'!$A$3,"Niveau3","Administration","Aar",2015)</f>
        <v>417954</v>
      </c>
      <c r="J36" s="95">
        <f t="shared" ref="J36:J52" si="9">(H36-B36)/B36</f>
        <v>-0.21810371447359428</v>
      </c>
      <c r="K36" s="95">
        <f t="shared" ref="K36:K52" si="10">(I36-B36)/B36</f>
        <v>-0.29575601818281749</v>
      </c>
      <c r="L36" s="95">
        <f t="shared" ref="L36:L52" si="11">(H36-G36)/G36</f>
        <v>-0.21780851404539361</v>
      </c>
      <c r="M36" s="95">
        <f t="shared" ref="M36:M52" si="12">(I36-H36)/H36</f>
        <v>-9.9312792689562904E-2</v>
      </c>
      <c r="N36"/>
      <c r="R36" s="71"/>
    </row>
    <row r="37" spans="1:22" x14ac:dyDescent="0.25">
      <c r="A37" s="74" t="s">
        <v>26</v>
      </c>
      <c r="B37" s="75">
        <f>GETPIVOTDATA("Forbrugt",'Ark5'!$A$3,"Niveau3","Andre kommunale ejendomme","Aar",2008)</f>
        <v>961328.27999999991</v>
      </c>
      <c r="C37" s="75">
        <f>GETPIVOTDATA("Forbrugt",'Ark5'!$A$3,"Niveau3","Andre kommunale ejendomme","Aar",2009)</f>
        <v>998138.06</v>
      </c>
      <c r="D37" s="75">
        <f>GETPIVOTDATA("Forbrugt",'Ark5'!$A$3,"Niveau3","Andre kommunale ejendomme","Aar",2010)</f>
        <v>1050773.1099999999</v>
      </c>
      <c r="E37" s="75">
        <f>GETPIVOTDATA("Forbrugt",'Ark5'!$A$3,"Niveau3","Andre kommunale ejendomme","Aar",2011)</f>
        <v>818157.15</v>
      </c>
      <c r="F37" s="75">
        <f>GETPIVOTDATA("Forbrugt",'Ark5'!$A$3,"Niveau3","Andre kommunale ejendomme","Aar",2012)</f>
        <v>942356.77</v>
      </c>
      <c r="G37" s="75">
        <f>GETPIVOTDATA("Forbrugt",'Ark5'!$A$3,"Niveau3","Andre kommunale ejendomme","Aar",2013)</f>
        <v>933015.34</v>
      </c>
      <c r="H37" s="75">
        <f>GETPIVOTDATA("Forbrugt",'Ark5'!$A$3,"Niveau3","Andre kommunale ejendomme","Aar",2014)</f>
        <v>787267.75</v>
      </c>
      <c r="I37" s="75">
        <f>GETPIVOTDATA("Forbrugt",'Ark5'!$A$3,"Niveau3","Andre kommunale ejendomme","Aar",2015)</f>
        <v>787349</v>
      </c>
      <c r="J37" s="95">
        <f t="shared" si="9"/>
        <v>-0.1810625294410354</v>
      </c>
      <c r="K37" s="95">
        <f t="shared" si="10"/>
        <v>-0.18097801096624341</v>
      </c>
      <c r="L37" s="95">
        <f t="shared" si="11"/>
        <v>-0.15621135446711945</v>
      </c>
      <c r="M37" s="95">
        <f t="shared" si="12"/>
        <v>1.032050404706658E-4</v>
      </c>
      <c r="N37"/>
      <c r="R37" s="71"/>
    </row>
    <row r="38" spans="1:22" x14ac:dyDescent="0.25">
      <c r="A38" s="74" t="s">
        <v>27</v>
      </c>
      <c r="B38" s="75">
        <f>GETPIVOTDATA("Forbrugt",'Ark5'!$A$3,"Niveau3","Daginstitutioner","Aar",2008)</f>
        <v>2404500.67</v>
      </c>
      <c r="C38" s="75">
        <f>GETPIVOTDATA("Forbrugt",'Ark5'!$A$3,"Niveau3","Daginstitutioner","Aar",2009)</f>
        <v>2596523.33</v>
      </c>
      <c r="D38" s="75">
        <f>GETPIVOTDATA("Forbrugt",'Ark5'!$A$3,"Niveau3","Daginstitutioner","Aar",2010)</f>
        <v>2718290.12</v>
      </c>
      <c r="E38" s="75">
        <f>GETPIVOTDATA("Forbrugt",'Ark5'!$A$3,"Niveau3","Daginstitutioner","Aar",2011)</f>
        <v>2433784.17</v>
      </c>
      <c r="F38" s="75">
        <f>GETPIVOTDATA("Forbrugt",'Ark5'!$A$3,"Niveau3","Daginstitutioner","Aar",2012)</f>
        <v>2512765.84</v>
      </c>
      <c r="G38" s="75">
        <f>GETPIVOTDATA("Forbrugt",'Ark5'!$A$3,"Niveau3","Daginstitutioner","Aar",2013)</f>
        <v>2395022.25</v>
      </c>
      <c r="H38" s="75">
        <f>GETPIVOTDATA("Forbrugt",'Ark5'!$A$3,"Niveau3","Daginstitutioner","Aar",2014)</f>
        <v>1970227.7000000002</v>
      </c>
      <c r="I38" s="75">
        <f>GETPIVOTDATA("Forbrugt",'Ark5'!$A$3,"Niveau3","Daginstitutioner","Aar",2015)</f>
        <v>1969774</v>
      </c>
      <c r="J38" s="95">
        <f t="shared" si="9"/>
        <v>-0.1806083797015535</v>
      </c>
      <c r="K38" s="95">
        <f t="shared" si="10"/>
        <v>-0.18079706752587427</v>
      </c>
      <c r="L38" s="95">
        <f t="shared" si="11"/>
        <v>-0.17736559649915562</v>
      </c>
      <c r="M38" s="95">
        <f t="shared" si="12"/>
        <v>-2.3027795213730181E-4</v>
      </c>
      <c r="N38"/>
      <c r="R38" s="71"/>
    </row>
    <row r="39" spans="1:22" x14ac:dyDescent="0.25">
      <c r="A39" s="74" t="s">
        <v>1413</v>
      </c>
      <c r="B39" s="75">
        <f>GETPIVOTDATA("Forbrugt",'Ark5'!$A$3,"Niveau3","Flygtningebolig","Aar",2008)</f>
        <v>54771.729999999996</v>
      </c>
      <c r="C39" s="75">
        <f>GETPIVOTDATA("Forbrugt",'Ark5'!$A$3,"Niveau3","Flygtningebolig","Aar",2009)</f>
        <v>45775.4</v>
      </c>
      <c r="D39" s="75">
        <f>GETPIVOTDATA("Forbrugt",'Ark5'!$A$3,"Niveau3","Flygtningebolig","Aar",2010)</f>
        <v>72094.16</v>
      </c>
      <c r="E39" s="75">
        <f>GETPIVOTDATA("Forbrugt",'Ark5'!$A$3,"Niveau3","Flygtningebolig","Aar",2011)</f>
        <v>37670.239999999998</v>
      </c>
      <c r="F39" s="75">
        <f>GETPIVOTDATA("Forbrugt",'Ark5'!$A$3,"Niveau3","Flygtningebolig","Aar",2012)</f>
        <v>31675.16</v>
      </c>
      <c r="G39" s="75">
        <f>GETPIVOTDATA("Forbrugt",'Ark5'!$A$3,"Niveau3","Flygtningebolig","Aar",2013)</f>
        <v>32910.129999999997</v>
      </c>
      <c r="H39" s="75">
        <f>GETPIVOTDATA("Forbrugt",'Ark5'!$A$3,"Niveau3","Flygtningebolig","Aar",2014)</f>
        <v>73202.89</v>
      </c>
      <c r="I39" s="75">
        <f>GETPIVOTDATA("Forbrugt",'Ark5'!$A$3,"Niveau3","Flygtningebolig","Aar",2015)</f>
        <v>383986</v>
      </c>
      <c r="J39" s="95">
        <f t="shared" si="9"/>
        <v>0.33650863319453311</v>
      </c>
      <c r="K39" s="95">
        <f t="shared" si="10"/>
        <v>6.0106604264645291</v>
      </c>
      <c r="L39" s="95">
        <f t="shared" si="11"/>
        <v>1.2243269777421117</v>
      </c>
      <c r="M39" s="95">
        <f t="shared" si="12"/>
        <v>4.245503285457719</v>
      </c>
      <c r="N39"/>
      <c r="R39" s="71"/>
    </row>
    <row r="40" spans="1:22" x14ac:dyDescent="0.25">
      <c r="A40" s="74" t="s">
        <v>29</v>
      </c>
      <c r="B40" s="75">
        <f>GETPIVOTDATA("Forbrugt",'Ark5'!$A$3,"Niveau3","Forsamlingshuse","Aar",2008)</f>
        <v>344373.65</v>
      </c>
      <c r="C40" s="75">
        <f>GETPIVOTDATA("Forbrugt",'Ark5'!$A$3,"Niveau3","Forsamlingshuse","Aar",2009)</f>
        <v>346846.1</v>
      </c>
      <c r="D40" s="75">
        <f>GETPIVOTDATA("Forbrugt",'Ark5'!$A$3,"Niveau3","Forsamlingshuse","Aar",2010)</f>
        <v>373431.39</v>
      </c>
      <c r="E40" s="75">
        <f>GETPIVOTDATA("Forbrugt",'Ark5'!$A$3,"Niveau3","Forsamlingshuse","Aar",2011)</f>
        <v>305344.48</v>
      </c>
      <c r="F40" s="75">
        <f>GETPIVOTDATA("Forbrugt",'Ark5'!$A$3,"Niveau3","Forsamlingshuse","Aar",2012)</f>
        <v>340104.33</v>
      </c>
      <c r="G40" s="75">
        <f>GETPIVOTDATA("Forbrugt",'Ark5'!$A$3,"Niveau3","Forsamlingshuse","Aar",2013)</f>
        <v>305276.90000000002</v>
      </c>
      <c r="H40" s="75">
        <f>GETPIVOTDATA("Forbrugt",'Ark5'!$A$3,"Niveau3","Forsamlingshuse","Aar",2014)</f>
        <v>254480.31</v>
      </c>
      <c r="I40" s="75">
        <f>GETPIVOTDATA("Forbrugt",'Ark5'!$A$3,"Niveau3","Forsamlingshuse","Aar",2015)</f>
        <v>266758</v>
      </c>
      <c r="J40" s="95">
        <f t="shared" si="9"/>
        <v>-0.26103431548842376</v>
      </c>
      <c r="K40" s="95">
        <f t="shared" si="10"/>
        <v>-0.22538208135262386</v>
      </c>
      <c r="L40" s="95">
        <f t="shared" si="11"/>
        <v>-0.16639513176398221</v>
      </c>
      <c r="M40" s="95">
        <f t="shared" si="12"/>
        <v>4.824612953355803E-2</v>
      </c>
      <c r="N40"/>
      <c r="R40" s="71"/>
    </row>
    <row r="41" spans="1:22" x14ac:dyDescent="0.25">
      <c r="A41" s="74" t="s">
        <v>30</v>
      </c>
      <c r="B41" s="75">
        <f>GETPIVOTDATA("Forbrugt",'Ark5'!$A$3,"Niveau3","Fritidsklubber","Aar",2008)</f>
        <v>537622.17000000004</v>
      </c>
      <c r="C41" s="75">
        <f>GETPIVOTDATA("Forbrugt",'Ark5'!$A$3,"Niveau3","Fritidsklubber","Aar",2009)</f>
        <v>601855.46000000008</v>
      </c>
      <c r="D41" s="75">
        <f>GETPIVOTDATA("Forbrugt",'Ark5'!$A$3,"Niveau3","Fritidsklubber","Aar",2010)</f>
        <v>703953.26</v>
      </c>
      <c r="E41" s="75">
        <f>GETPIVOTDATA("Forbrugt",'Ark5'!$A$3,"Niveau3","Fritidsklubber","Aar",2011)</f>
        <v>626033.25</v>
      </c>
      <c r="F41" s="75">
        <f>GETPIVOTDATA("Forbrugt",'Ark5'!$A$3,"Niveau3","Fritidsklubber","Aar",2012)</f>
        <v>622002.48</v>
      </c>
      <c r="G41" s="75">
        <f>GETPIVOTDATA("Forbrugt",'Ark5'!$A$3,"Niveau3","Fritidsklubber","Aar",2013)</f>
        <v>559434.11</v>
      </c>
      <c r="H41" s="75">
        <f>GETPIVOTDATA("Forbrugt",'Ark5'!$A$3,"Niveau3","Fritidsklubber","Aar",2014)</f>
        <v>459060.24000000005</v>
      </c>
      <c r="I41" s="75">
        <f>GETPIVOTDATA("Forbrugt",'Ark5'!$A$3,"Niveau3","Fritidsklubber","Aar",2015)</f>
        <v>485358</v>
      </c>
      <c r="J41" s="95">
        <f t="shared" si="9"/>
        <v>-0.14612851624031797</v>
      </c>
      <c r="K41" s="95">
        <f t="shared" si="10"/>
        <v>-9.7213569150245496E-2</v>
      </c>
      <c r="L41" s="95">
        <f t="shared" si="11"/>
        <v>-0.1794203610502047</v>
      </c>
      <c r="M41" s="95">
        <f t="shared" si="12"/>
        <v>5.7286076441732239E-2</v>
      </c>
      <c r="N41"/>
      <c r="R41" s="71"/>
    </row>
    <row r="42" spans="1:22" x14ac:dyDescent="0.25">
      <c r="A42" s="74" t="s">
        <v>31</v>
      </c>
      <c r="B42" s="75">
        <f>GETPIVOTDATA("Forbrugt",'Ark5'!$A$3,"Niveau3","Idræt og Fritid","Aar",2009)</f>
        <v>1587182.25</v>
      </c>
      <c r="C42" s="75">
        <f>GETPIVOTDATA("Forbrugt",'Ark5'!$A$3,"Niveau3","Idræt og Fritid","Aar",2009)</f>
        <v>1587182.25</v>
      </c>
      <c r="D42" s="75">
        <f>GETPIVOTDATA("Forbrugt",'Ark5'!$A$3,"Niveau3","Idræt og Fritid","Aar",2010)</f>
        <v>1759683.2</v>
      </c>
      <c r="E42" s="75">
        <f>GETPIVOTDATA("Forbrugt",'Ark5'!$A$3,"Niveau3","Idræt og Fritid","Aar",2011)</f>
        <v>1416668.48</v>
      </c>
      <c r="F42" s="75">
        <f>GETPIVOTDATA("Forbrugt",'Ark5'!$A$3,"Niveau3","Idræt og Fritid","Aar",2012)</f>
        <v>1351133</v>
      </c>
      <c r="G42" s="75">
        <f>GETPIVOTDATA("Forbrugt",'Ark5'!$A$3,"Niveau3","Idræt og Fritid","Aar",2013)</f>
        <v>1288111</v>
      </c>
      <c r="H42" s="75">
        <f>GETPIVOTDATA("Forbrugt",'Ark5'!$A$3,"Niveau3","Idræt og Fritid","Aar",2014)</f>
        <v>1017926</v>
      </c>
      <c r="I42" s="75">
        <f>GETPIVOTDATA("Forbrugt",'Ark5'!$A$3,"Niveau3","Idræt og Fritid","Aar",2015)</f>
        <v>1045296</v>
      </c>
      <c r="J42" s="95">
        <f t="shared" si="9"/>
        <v>-0.35865840233533358</v>
      </c>
      <c r="K42" s="95">
        <f t="shared" si="10"/>
        <v>-0.34141400585849546</v>
      </c>
      <c r="L42" s="95">
        <f t="shared" si="11"/>
        <v>-0.20975288620313001</v>
      </c>
      <c r="M42" s="95">
        <f t="shared" si="12"/>
        <v>2.6888005611409867E-2</v>
      </c>
      <c r="N42"/>
      <c r="R42" s="71"/>
    </row>
    <row r="43" spans="1:22" x14ac:dyDescent="0.25">
      <c r="A43" s="74" t="s">
        <v>32</v>
      </c>
      <c r="B43" s="75">
        <f>GETPIVOTDATA("Forbrugt",'Ark5'!$A$3,"Niveau3","Idrætsklubber","Aar",2008)</f>
        <v>869560.33</v>
      </c>
      <c r="C43" s="75">
        <f>GETPIVOTDATA("Forbrugt",'Ark5'!$A$3,"Niveau3","Idrætsklubber","Aar",2009)</f>
        <v>975325.25000000012</v>
      </c>
      <c r="D43" s="75">
        <f>GETPIVOTDATA("Forbrugt",'Ark5'!$A$3,"Niveau3","Idrætsklubber","Aar",2010)</f>
        <v>994808.67999999993</v>
      </c>
      <c r="E43" s="75">
        <f>GETPIVOTDATA("Forbrugt",'Ark5'!$A$3,"Niveau3","Idrætsklubber","Aar",2011)</f>
        <v>857763.99999999988</v>
      </c>
      <c r="F43" s="75">
        <f>GETPIVOTDATA("Forbrugt",'Ark5'!$A$3,"Niveau3","Idrætsklubber","Aar",2012)</f>
        <v>885727.4</v>
      </c>
      <c r="G43" s="75">
        <f>GETPIVOTDATA("Forbrugt",'Ark5'!$A$3,"Niveau3","Idrætsklubber","Aar",2013)</f>
        <v>818535.1</v>
      </c>
      <c r="H43" s="75">
        <f>GETPIVOTDATA("Forbrugt",'Ark5'!$A$3,"Niveau3","Idrætsklubber","Aar",2014)</f>
        <v>717810.68</v>
      </c>
      <c r="I43" s="75">
        <f>GETPIVOTDATA("Forbrugt",'Ark5'!$A$3,"Niveau3","Idrætsklubber","Aar",2015)</f>
        <v>272089</v>
      </c>
      <c r="J43" s="95">
        <f t="shared" si="9"/>
        <v>-0.17451307835075677</v>
      </c>
      <c r="K43" s="95">
        <f t="shared" si="10"/>
        <v>-0.68709589132245719</v>
      </c>
      <c r="L43" s="95">
        <f t="shared" si="11"/>
        <v>-0.12305449088255339</v>
      </c>
      <c r="M43" s="95">
        <f t="shared" si="12"/>
        <v>-0.620946013230118</v>
      </c>
      <c r="N43"/>
      <c r="R43" s="71"/>
    </row>
    <row r="44" spans="1:22" x14ac:dyDescent="0.25">
      <c r="A44" s="74" t="s">
        <v>33</v>
      </c>
      <c r="B44" s="75">
        <f>GETPIVOTDATA("Forbrugt",'Ark5'!$A$3,"Niveau3","Kulturhuse","Aar",2008)</f>
        <v>1255099.1600000001</v>
      </c>
      <c r="C44" s="75">
        <f>GETPIVOTDATA("Forbrugt",'Ark5'!$A$3,"Niveau3","Kulturhuse","Aar",2009)</f>
        <v>1340505.98</v>
      </c>
      <c r="D44" s="75">
        <f>GETPIVOTDATA("Forbrugt",'Ark5'!$A$3,"Niveau3","Kulturhuse","Aar",2010)</f>
        <v>1556672.15</v>
      </c>
      <c r="E44" s="75">
        <f>GETPIVOTDATA("Forbrugt",'Ark5'!$A$3,"Niveau3","Kulturhuse","Aar",2011)</f>
        <v>1339809.79</v>
      </c>
      <c r="F44" s="75">
        <f>GETPIVOTDATA("Forbrugt",'Ark5'!$A$3,"Niveau3","Kulturhuse","Aar",2012)</f>
        <v>1335999.22</v>
      </c>
      <c r="G44" s="75">
        <f>GETPIVOTDATA("Forbrugt",'Ark5'!$A$3,"Niveau3","Kulturhuse","Aar",2013)</f>
        <v>1276739</v>
      </c>
      <c r="H44" s="75">
        <f>GETPIVOTDATA("Forbrugt",'Ark5'!$A$3,"Niveau3","Kulturhuse","Aar",2014)</f>
        <v>1177988</v>
      </c>
      <c r="I44" s="75">
        <f>GETPIVOTDATA("Forbrugt",'Ark5'!$A$3,"Niveau3","Kulturhuse","Aar",2015)</f>
        <v>1187288</v>
      </c>
      <c r="J44" s="95">
        <f t="shared" si="9"/>
        <v>-6.1438301018383393E-2</v>
      </c>
      <c r="K44" s="95">
        <f t="shared" si="10"/>
        <v>-5.402852791328467E-2</v>
      </c>
      <c r="L44" s="95">
        <f t="shared" si="11"/>
        <v>-7.7346270459349956E-2</v>
      </c>
      <c r="M44" s="95">
        <f t="shared" si="12"/>
        <v>7.8948172646920011E-3</v>
      </c>
      <c r="N44"/>
      <c r="R44" s="71"/>
    </row>
    <row r="45" spans="1:22" x14ac:dyDescent="0.25">
      <c r="A45" s="74" t="s">
        <v>34</v>
      </c>
      <c r="B45" s="75">
        <f>GETPIVOTDATA("Forbrugt",'Ark5'!$A$3,"Niveau3","Museum","Aar",2008)</f>
        <v>175864.91999999998</v>
      </c>
      <c r="C45" s="75">
        <f>GETPIVOTDATA("Forbrugt",'Ark5'!$A$3,"Niveau3","Museum","Aar",2009)</f>
        <v>192471.19999999998</v>
      </c>
      <c r="D45" s="75">
        <f>GETPIVOTDATA("Forbrugt",'Ark5'!$A$3,"Niveau3","Museum","Aar",2010)</f>
        <v>218836.40999999997</v>
      </c>
      <c r="E45" s="75">
        <f>GETPIVOTDATA("Forbrugt",'Ark5'!$A$3,"Niveau3","Museum","Aar",2011)</f>
        <v>199119.74</v>
      </c>
      <c r="F45" s="75">
        <f>GETPIVOTDATA("Forbrugt",'Ark5'!$A$3,"Niveau3","Museum","Aar",2012)</f>
        <v>220971.56999999998</v>
      </c>
      <c r="G45" s="75">
        <f>GETPIVOTDATA("Forbrugt",'Ark5'!$A$3,"Niveau3","Museum","Aar",2013)</f>
        <v>210518.89</v>
      </c>
      <c r="H45" s="75">
        <f>GETPIVOTDATA("Forbrugt",'Ark5'!$A$3,"Niveau3","Museum","Aar",2014)</f>
        <v>157173.14000000001</v>
      </c>
      <c r="I45" s="75">
        <f>GETPIVOTDATA("Forbrugt",'Ark5'!$A$3,"Niveau3","Museum","Aar",2015)</f>
        <v>191885</v>
      </c>
      <c r="J45" s="95">
        <f t="shared" si="9"/>
        <v>-0.10628486909157307</v>
      </c>
      <c r="K45" s="95">
        <f t="shared" si="10"/>
        <v>9.109309576918477E-2</v>
      </c>
      <c r="L45" s="95">
        <f t="shared" si="11"/>
        <v>-0.25340125059561164</v>
      </c>
      <c r="M45" s="95">
        <f t="shared" si="12"/>
        <v>0.22085109453180093</v>
      </c>
      <c r="N45"/>
      <c r="R45" s="71"/>
    </row>
    <row r="46" spans="1:22" x14ac:dyDescent="0.25">
      <c r="A46" s="74" t="s">
        <v>35</v>
      </c>
      <c r="B46" s="75">
        <f>GETPIVOTDATA("Forbrugt",'Ark5'!$A$3,"Niveau3","Pleje og omsorg","Aar",2008)</f>
        <v>363480.79000000004</v>
      </c>
      <c r="C46" s="75">
        <f>GETPIVOTDATA("Forbrugt",'Ark5'!$A$3,"Niveau3","Pleje og omsorg","Aar",2009)</f>
        <v>396422.15</v>
      </c>
      <c r="D46" s="75">
        <f>GETPIVOTDATA("Forbrugt",'Ark5'!$A$3,"Niveau3","Pleje og omsorg","Aar",2010)</f>
        <v>391905.03</v>
      </c>
      <c r="E46" s="75">
        <f>GETPIVOTDATA("Forbrugt",'Ark5'!$A$3,"Niveau3","Pleje og omsorg","Aar",2011)</f>
        <v>335129.17000000004</v>
      </c>
      <c r="F46" s="75">
        <f>GETPIVOTDATA("Forbrugt",'Ark5'!$A$3,"Niveau3","Pleje og omsorg","Aar",2012)</f>
        <v>377760.66</v>
      </c>
      <c r="G46" s="75">
        <f>GETPIVOTDATA("Forbrugt",'Ark5'!$A$3,"Niveau3","Pleje og omsorg","Aar",2013)</f>
        <v>382332.09</v>
      </c>
      <c r="H46" s="75">
        <f>GETPIVOTDATA("Forbrugt",'Ark5'!$A$3,"Niveau3","Pleje og omsorg","Aar",2014)</f>
        <v>341897.41000000003</v>
      </c>
      <c r="I46" s="75">
        <f>GETPIVOTDATA("Forbrugt",'Ark5'!$A$3,"Niveau3","Pleje og omsorg","Aar",2015)</f>
        <v>398844</v>
      </c>
      <c r="J46" s="95">
        <f t="shared" si="9"/>
        <v>-5.9379699268288712E-2</v>
      </c>
      <c r="K46" s="95">
        <f t="shared" si="10"/>
        <v>9.729045103043811E-2</v>
      </c>
      <c r="L46" s="95">
        <f t="shared" si="11"/>
        <v>-0.10575800739090457</v>
      </c>
      <c r="M46" s="95">
        <f t="shared" si="12"/>
        <v>0.16656046034393757</v>
      </c>
      <c r="N46"/>
      <c r="R46" s="71"/>
    </row>
    <row r="47" spans="1:22" x14ac:dyDescent="0.25">
      <c r="A47" s="74" t="s">
        <v>36</v>
      </c>
      <c r="B47" s="75">
        <f>GETPIVOTDATA("Forbrugt",'Ark5'!$A$3,"Niveau3","Plejecenter","Aar",2008)</f>
        <v>964727.22</v>
      </c>
      <c r="C47" s="75">
        <f>GETPIVOTDATA("Forbrugt",'Ark5'!$A$3,"Niveau3","Plejecenter","Aar",2009)</f>
        <v>1021409.17</v>
      </c>
      <c r="D47" s="75">
        <f>GETPIVOTDATA("Forbrugt",'Ark5'!$A$3,"Niveau3","Plejecenter","Aar",2010)</f>
        <v>1076848.1200000001</v>
      </c>
      <c r="E47" s="75">
        <f>GETPIVOTDATA("Forbrugt",'Ark5'!$A$3,"Niveau3","Plejecenter","Aar",2011)</f>
        <v>1011237.02</v>
      </c>
      <c r="F47" s="75">
        <f>GETPIVOTDATA("Forbrugt",'Ark5'!$A$3,"Niveau3","Plejecenter","Aar",2012)</f>
        <v>973370.98</v>
      </c>
      <c r="G47" s="75">
        <f>GETPIVOTDATA("Forbrugt",'Ark5'!$A$3,"Niveau3","Plejecenter","Aar",2013)</f>
        <v>981725.02</v>
      </c>
      <c r="H47" s="75">
        <f>GETPIVOTDATA("Forbrugt",'Ark5'!$A$3,"Niveau3","Plejecenter","Aar",2014)</f>
        <v>850440.97</v>
      </c>
      <c r="I47" s="75">
        <f>GETPIVOTDATA("Forbrugt",'Ark5'!$A$3,"Niveau3","Plejecenter","Aar",2015)</f>
        <v>579512</v>
      </c>
      <c r="J47" s="95">
        <f t="shared" si="9"/>
        <v>-0.11846483402842101</v>
      </c>
      <c r="K47" s="95">
        <f t="shared" si="10"/>
        <v>-0.3992996279300588</v>
      </c>
      <c r="L47" s="95">
        <f t="shared" si="11"/>
        <v>-0.13372792515769849</v>
      </c>
      <c r="M47" s="95">
        <f t="shared" si="12"/>
        <v>-0.31857469190366028</v>
      </c>
      <c r="N47"/>
      <c r="R47" s="71"/>
    </row>
    <row r="48" spans="1:22" x14ac:dyDescent="0.25">
      <c r="A48" s="74" t="s">
        <v>37</v>
      </c>
      <c r="B48" s="75">
        <f>GETPIVOTDATA("Forbrugt",'Ark5'!$A$3,"Niveau3","Skoler","Aar",2008)</f>
        <v>8205805.3399999989</v>
      </c>
      <c r="C48" s="75">
        <f>GETPIVOTDATA("Forbrugt",'Ark5'!$A$3,"Niveau3","Skoler","Aar",2009)</f>
        <v>8900874.7699999996</v>
      </c>
      <c r="D48" s="75">
        <f>GETPIVOTDATA("Forbrugt",'Ark5'!$A$3,"Niveau3","Skoler","Aar",2010)</f>
        <v>10317748.529999999</v>
      </c>
      <c r="E48" s="75">
        <f>GETPIVOTDATA("Forbrugt",'Ark5'!$A$3,"Niveau3","Skoler","Aar",2011)</f>
        <v>8561507.9399999995</v>
      </c>
      <c r="F48" s="75">
        <f>GETPIVOTDATA("Forbrugt",'Ark5'!$A$3,"Niveau3","Skoler","Aar",2012)</f>
        <v>8226267.8699999992</v>
      </c>
      <c r="G48" s="75">
        <f>GETPIVOTDATA("Forbrugt",'Ark5'!$A$3,"Niveau3","Skoler","Aar",2013)</f>
        <v>7658173.6899999995</v>
      </c>
      <c r="H48" s="75">
        <f>GETPIVOTDATA("Forbrugt",'Ark5'!$A$3,"Niveau3","Skoler","Aar",2014)</f>
        <v>6795026.6399999997</v>
      </c>
      <c r="I48" s="75">
        <f>GETPIVOTDATA("Forbrugt",'Ark5'!$A$3,"Niveau3","Skoler","Aar",2015)</f>
        <v>6507407.5099999998</v>
      </c>
      <c r="J48" s="95">
        <f t="shared" si="9"/>
        <v>-0.17192446585626653</v>
      </c>
      <c r="K48" s="95">
        <f t="shared" si="10"/>
        <v>-0.20697515473843783</v>
      </c>
      <c r="L48" s="95">
        <f t="shared" si="11"/>
        <v>-0.11270925483540448</v>
      </c>
      <c r="M48" s="95">
        <f t="shared" si="12"/>
        <v>-4.2327888504054473E-2</v>
      </c>
      <c r="N48"/>
      <c r="R48" s="71"/>
    </row>
    <row r="49" spans="1:22" x14ac:dyDescent="0.25">
      <c r="A49" s="74" t="s">
        <v>38</v>
      </c>
      <c r="B49" s="75">
        <f>GETPIVOTDATA("Forbrugt",'Ark5'!$A$3,"Niveau3","Spejderhytter","Aar",2008)</f>
        <v>57418.729999999996</v>
      </c>
      <c r="C49" s="75">
        <f>GETPIVOTDATA("Forbrugt",'Ark5'!$A$3,"Niveau3","Spejderhytter","Aar",2009)</f>
        <v>58060.170000000006</v>
      </c>
      <c r="D49" s="75">
        <f>GETPIVOTDATA("Forbrugt",'Ark5'!$A$3,"Niveau3","Spejderhytter","Aar",2010)</f>
        <v>49898.99</v>
      </c>
      <c r="E49" s="75">
        <f>GETPIVOTDATA("Forbrugt",'Ark5'!$A$3,"Niveau3","Spejderhytter","Aar",2011)</f>
        <v>79020.679999999993</v>
      </c>
      <c r="F49" s="75">
        <f>GETPIVOTDATA("Forbrugt",'Ark5'!$A$3,"Niveau3","Spejderhytter","Aar",2012)</f>
        <v>90927.360000000001</v>
      </c>
      <c r="G49" s="75">
        <f>GETPIVOTDATA("Forbrugt",'Ark5'!$A$3,"Niveau3","Spejderhytter","Aar",2013)</f>
        <v>71633.66</v>
      </c>
      <c r="H49" s="75">
        <f>GETPIVOTDATA("Forbrugt",'Ark5'!$A$3,"Niveau3","Spejderhytter","Aar",2014)</f>
        <v>39011.97</v>
      </c>
      <c r="I49" s="75">
        <f>GETPIVOTDATA("Forbrugt",'Ark5'!$A$3,"Niveau3","Spejderhytter","Aar",2015)</f>
        <v>41322</v>
      </c>
      <c r="J49" s="95">
        <f t="shared" si="9"/>
        <v>-0.32057065699641907</v>
      </c>
      <c r="K49" s="95">
        <f t="shared" si="10"/>
        <v>-0.28033935964797546</v>
      </c>
      <c r="L49" s="95">
        <f t="shared" si="11"/>
        <v>-0.45539610847749507</v>
      </c>
      <c r="M49" s="95">
        <f t="shared" si="12"/>
        <v>5.9213364513506977E-2</v>
      </c>
      <c r="N49"/>
      <c r="R49" s="71"/>
    </row>
    <row r="50" spans="1:22" s="120" customFormat="1" x14ac:dyDescent="0.25">
      <c r="A50" s="74" t="s">
        <v>39</v>
      </c>
      <c r="B50" s="75">
        <f>GETPIVOTDATA("Forbrugt",'Ark5'!$A$3,"Niveau3","Svømmehaller","Aar",2008)</f>
        <v>2550106.66</v>
      </c>
      <c r="C50" s="75">
        <f>GETPIVOTDATA("Forbrugt",'Ark5'!$A$3,"Niveau3","Svømmehaller","Aar",2009)</f>
        <v>2598030</v>
      </c>
      <c r="D50" s="75">
        <f>GETPIVOTDATA("Forbrugt",'Ark5'!$A$3,"Niveau3","Svømmehaller","Aar",2010)</f>
        <v>2800770</v>
      </c>
      <c r="E50" s="75">
        <f>GETPIVOTDATA("Forbrugt",'Ark5'!$A$3,"Niveau3","Svømmehaller","Aar",2011)</f>
        <v>2674490</v>
      </c>
      <c r="F50" s="75">
        <f>GETPIVOTDATA("Forbrugt",'Ark5'!$A$3,"Niveau3","Svømmehaller","Aar",2012)</f>
        <v>2905545</v>
      </c>
      <c r="G50" s="75">
        <f>GETPIVOTDATA("Forbrugt",'Ark5'!$A$3,"Niveau3","Svømmehaller","Aar",2013)</f>
        <v>2777075</v>
      </c>
      <c r="H50" s="75">
        <f>GETPIVOTDATA("Forbrugt",'Ark5'!$A$3,"Niveau3","Svømmehaller","Aar",2014)</f>
        <v>2628900</v>
      </c>
      <c r="I50" s="75">
        <f>GETPIVOTDATA("Forbrugt",'Ark5'!$A$3,"Niveau3","Svømmehaller","Aar",2015)</f>
        <v>2795040</v>
      </c>
      <c r="J50" s="95">
        <f t="shared" ref="J50" si="13">(H50-B50)/B50</f>
        <v>3.0898056632658592E-2</v>
      </c>
      <c r="K50" s="95">
        <f t="shared" ref="K50" si="14">(I50-B50)/B50</f>
        <v>9.6048272741658516E-2</v>
      </c>
      <c r="L50" s="95">
        <f t="shared" ref="L50" si="15">(H50-G50)/G50</f>
        <v>-5.3356499194296157E-2</v>
      </c>
      <c r="M50" s="95">
        <f t="shared" ref="M50" si="16">(I50-H50)/H50</f>
        <v>6.3197535090722359E-2</v>
      </c>
      <c r="N50"/>
      <c r="R50" s="71"/>
      <c r="V50" s="65"/>
    </row>
    <row r="51" spans="1:22" x14ac:dyDescent="0.25">
      <c r="A51" s="74" t="s">
        <v>40</v>
      </c>
      <c r="B51" s="75">
        <f>'Ark1'!$D$13</f>
        <v>257750</v>
      </c>
      <c r="C51" s="75">
        <f>'Ark1'!$F$13</f>
        <v>263390</v>
      </c>
      <c r="D51" s="75">
        <f>'Ark1'!$H$13</f>
        <v>338650</v>
      </c>
      <c r="E51" s="75">
        <f>'Ark1'!$J$13</f>
        <v>288140</v>
      </c>
      <c r="F51" s="75">
        <f>'Ark1'!$L$13</f>
        <v>302980</v>
      </c>
      <c r="G51" s="75">
        <f>'Ark1'!$N$13</f>
        <v>332970</v>
      </c>
      <c r="H51" s="75">
        <f>'Ark1'!$P$13</f>
        <v>205950</v>
      </c>
      <c r="I51" s="75">
        <f>'Ark1'!$R$13</f>
        <v>232030</v>
      </c>
      <c r="J51" s="95">
        <f t="shared" si="9"/>
        <v>-0.20096993210475267</v>
      </c>
      <c r="K51" s="95">
        <f t="shared" si="10"/>
        <v>-9.9786614936954413E-2</v>
      </c>
      <c r="L51" s="95">
        <f t="shared" si="11"/>
        <v>-0.38147580863140823</v>
      </c>
      <c r="M51" s="95">
        <f t="shared" si="12"/>
        <v>0.12663267783442583</v>
      </c>
      <c r="N51"/>
      <c r="R51" s="71"/>
    </row>
    <row r="52" spans="1:22" s="72" customFormat="1" ht="30" customHeight="1" x14ac:dyDescent="0.25">
      <c r="A52" s="6" t="s">
        <v>1370</v>
      </c>
      <c r="B52" s="7">
        <f t="shared" ref="B52:I52" si="17">SUM(B36:B51)</f>
        <v>21183070.879999999</v>
      </c>
      <c r="C52" s="7">
        <f t="shared" si="17"/>
        <v>22446030.300000001</v>
      </c>
      <c r="D52" s="7">
        <f t="shared" si="17"/>
        <v>25152833.149999995</v>
      </c>
      <c r="E52" s="7">
        <f t="shared" si="17"/>
        <v>21571239.810000002</v>
      </c>
      <c r="F52" s="7">
        <f t="shared" si="17"/>
        <v>21738428.950000003</v>
      </c>
      <c r="G52" s="7">
        <f t="shared" si="17"/>
        <v>20616727.18</v>
      </c>
      <c r="H52" s="7">
        <f t="shared" si="17"/>
        <v>17940402.710000001</v>
      </c>
      <c r="I52" s="7">
        <f t="shared" si="17"/>
        <v>17561892.509999998</v>
      </c>
      <c r="J52" s="96">
        <f t="shared" si="9"/>
        <v>-0.15307828540863563</v>
      </c>
      <c r="K52" s="95">
        <f t="shared" si="10"/>
        <v>-0.17094680891706487</v>
      </c>
      <c r="L52" s="95">
        <f t="shared" si="11"/>
        <v>-0.12981325535491706</v>
      </c>
      <c r="M52" s="95">
        <f t="shared" si="12"/>
        <v>-2.1098199751615438E-2</v>
      </c>
      <c r="N52"/>
      <c r="R52" s="71"/>
      <c r="V52" s="63"/>
    </row>
    <row r="53" spans="1:22" hidden="1" x14ac:dyDescent="0.25">
      <c r="R53" s="71"/>
    </row>
    <row r="54" spans="1:22" ht="14.25" customHeight="1" x14ac:dyDescent="0.25">
      <c r="R54" s="71"/>
    </row>
    <row r="55" spans="1:22" s="72" customFormat="1" ht="49.5" customHeight="1" x14ac:dyDescent="0.25">
      <c r="A55" s="6" t="s">
        <v>1369</v>
      </c>
      <c r="B55" s="9">
        <v>2008</v>
      </c>
      <c r="C55" s="9">
        <v>2009</v>
      </c>
      <c r="D55" s="9">
        <v>2010</v>
      </c>
      <c r="E55" s="9">
        <v>2011</v>
      </c>
      <c r="F55" s="9">
        <v>2012</v>
      </c>
      <c r="G55" s="9">
        <v>2013</v>
      </c>
      <c r="H55" s="9">
        <v>2014</v>
      </c>
      <c r="I55" s="9">
        <v>2015</v>
      </c>
      <c r="J55" s="10" t="s">
        <v>1374</v>
      </c>
      <c r="K55" s="10" t="s">
        <v>1441</v>
      </c>
      <c r="L55" s="10" t="s">
        <v>1406</v>
      </c>
      <c r="M55" s="10" t="s">
        <v>1442</v>
      </c>
      <c r="N55" s="10" t="s">
        <v>1448</v>
      </c>
      <c r="O55" s="130" t="s">
        <v>1502</v>
      </c>
      <c r="P55" s="130" t="s">
        <v>1503</v>
      </c>
      <c r="R55" s="71"/>
      <c r="V55" s="63"/>
    </row>
    <row r="56" spans="1:22" x14ac:dyDescent="0.25">
      <c r="A56" s="74" t="s">
        <v>24</v>
      </c>
      <c r="B56" s="75">
        <f>GETPIVOTDATA("Forbrugt",'Ark4'!$A$3,"Niveau3","Administration","Aar",2008,"Forsyning","Vand m3")</f>
        <v>3001.9100000000003</v>
      </c>
      <c r="C56" s="75">
        <f>GETPIVOTDATA("Forbrugt",'Ark4'!$A$3,"Niveau3","Administration","Aar",2009,"Forsyning","Vand m3")</f>
        <v>2808.4399999999996</v>
      </c>
      <c r="D56" s="75">
        <f>GETPIVOTDATA("Forbrugt",'Ark4'!$A$3,"Niveau3","Administration","Aar",2010,"Forsyning","Vand m3")</f>
        <v>2610.9499999999998</v>
      </c>
      <c r="E56" s="75">
        <f>GETPIVOTDATA("Forbrugt",'Ark4'!$A$3,"Niveau3","Administration","Aar",2011,"Forsyning","Vand m3")</f>
        <v>2587.5</v>
      </c>
      <c r="F56" s="75">
        <f>GETPIVOTDATA("Forbrugt",'Ark4'!$A$3,"Niveau3","Administration","Aar",2012,"Forsyning","Vand m3")</f>
        <v>2602.96</v>
      </c>
      <c r="G56" s="75">
        <f>GETPIVOTDATA("Forbrugt",'Ark4'!$A$3,"Niveau3","Administration","Aar",2013,"Forsyning","Vand m3")</f>
        <v>2293.63</v>
      </c>
      <c r="H56" s="75">
        <f>GETPIVOTDATA("Forbrugt",'Ark4'!$A$3,"Niveau3","Administration","Aar",2014,"Forsyning","Vand m3")</f>
        <v>2251.9699999999998</v>
      </c>
      <c r="I56" s="75">
        <f>GETPIVOTDATA("Forbrugt",'Ark4'!$A$3,"Niveau3","Administration","Aar",2015,"Forsyning","Vand m3")</f>
        <v>2114</v>
      </c>
      <c r="J56" s="95">
        <f t="shared" ref="J56:J72" si="18">(H56-B56)/B56</f>
        <v>-0.24982094733019991</v>
      </c>
      <c r="K56" s="95">
        <f t="shared" ref="K56:K72" si="19">(I56-C56)/C56</f>
        <v>-0.24726894646138059</v>
      </c>
      <c r="L56" s="95">
        <f t="shared" ref="L56:L73" si="20">(H56-G56)/G56</f>
        <v>-1.8163348055266239E-2</v>
      </c>
      <c r="M56" s="95">
        <f t="shared" ref="M56:M73" si="21">(I56-H56)/H56</f>
        <v>-6.1266357899971938E-2</v>
      </c>
      <c r="N56"/>
      <c r="O56" s="131">
        <f t="shared" ref="O56:O73" si="22">(H56*$I$114)-(G56*$I$113)</f>
        <v>2343.7099999999773</v>
      </c>
      <c r="P56" s="131">
        <f t="shared" ref="P56:P73" si="23">(I56*$I$115)-(H56*$I$114)</f>
        <v>-5794.6201599999913</v>
      </c>
      <c r="Q56" s="116" t="s">
        <v>1464</v>
      </c>
      <c r="R56" s="71"/>
    </row>
    <row r="57" spans="1:22" x14ac:dyDescent="0.25">
      <c r="A57" s="74" t="s">
        <v>25</v>
      </c>
      <c r="B57" s="75">
        <f>GETPIVOTDATA("Forbrugt",'Ark4'!$A$3,"Niveau3","Afvikling","Aar",2008,"Forsyning","Vand m3")</f>
        <v>84</v>
      </c>
      <c r="C57" s="75">
        <f>GETPIVOTDATA("Forbrugt",'Ark4'!$A$3,"Niveau3","Afvikling","Aar",2009,"Forsyning","Vand m3")</f>
        <v>73.989999999999995</v>
      </c>
      <c r="D57" s="75">
        <f>GETPIVOTDATA("Forbrugt",'Ark4'!$A$3,"Niveau3","Afvikling","Aar",2010,"Forsyning","Vand m3")</f>
        <v>159.57</v>
      </c>
      <c r="E57" s="75">
        <f>GETPIVOTDATA("Forbrugt",'Ark4'!$A$3,"Niveau3","Afvikling","Aar",2011,"Forsyning","Vand m3")</f>
        <v>166.98</v>
      </c>
      <c r="F57" s="75">
        <f>GETPIVOTDATA("Forbrugt",'Ark4'!$A$3,"Niveau3","Afvikling","Aar",2012,"Forsyning","Vand m3")</f>
        <v>310.10000000000002</v>
      </c>
      <c r="G57" s="75">
        <f>GETPIVOTDATA("Forbrugt",'Ark4'!$A$3,"Niveau3","Afvikling","Aar",2013,"Forsyning","Vand m3")</f>
        <v>18.3</v>
      </c>
      <c r="H57" s="75">
        <f>GETPIVOTDATA("Forbrugt",'Ark4'!$A$3,"Niveau3","Afvikling","Aar",2014,"Forsyning","Vand m3")</f>
        <v>61.8</v>
      </c>
      <c r="I57" s="75">
        <f>GETPIVOTDATA("Forbrugt",'Ark4'!$A$3,"Niveau3","Afvikling","Aar",2015,"Forsyning","Vand m3")</f>
        <v>2</v>
      </c>
      <c r="J57" s="95">
        <f t="shared" si="18"/>
        <v>-0.26428571428571435</v>
      </c>
      <c r="K57" s="95">
        <f t="shared" si="19"/>
        <v>-0.97296932017840243</v>
      </c>
      <c r="L57" s="95">
        <f t="shared" si="20"/>
        <v>2.3770491803278686</v>
      </c>
      <c r="M57" s="95">
        <f t="shared" si="21"/>
        <v>-0.96763754045307449</v>
      </c>
      <c r="N57"/>
      <c r="O57" s="131">
        <f t="shared" si="22"/>
        <v>2128.2647999999999</v>
      </c>
      <c r="P57" s="131">
        <f t="shared" si="23"/>
        <v>-2877.2543999999998</v>
      </c>
      <c r="Q57" s="116" t="s">
        <v>607</v>
      </c>
      <c r="R57" s="71"/>
    </row>
    <row r="58" spans="1:22" x14ac:dyDescent="0.25">
      <c r="A58" s="74" t="s">
        <v>26</v>
      </c>
      <c r="B58" s="75">
        <f>GETPIVOTDATA("Forbrugt",'Ark4'!$A$3,"Niveau3","Andre kommunale ejendomme","Aar",2008,"Forsyning","Vand m3")</f>
        <v>2560.46</v>
      </c>
      <c r="C58" s="75">
        <f>GETPIVOTDATA("Forbrugt",'Ark4'!$A$3,"Niveau3","Andre kommunale ejendomme","Aar",2009,"Forsyning","Vand m3")</f>
        <v>2347.7199999999998</v>
      </c>
      <c r="D58" s="75">
        <f>GETPIVOTDATA("Forbrugt",'Ark4'!$A$3,"Niveau3","Andre kommunale ejendomme","Aar",2010,"Forsyning","Vand m3")</f>
        <v>2199.69</v>
      </c>
      <c r="E58" s="75">
        <f>GETPIVOTDATA("Forbrugt",'Ark4'!$A$3,"Niveau3","Andre kommunale ejendomme","Aar",2011,"Forsyning","Vand m3")</f>
        <v>2195.5</v>
      </c>
      <c r="F58" s="75">
        <f>GETPIVOTDATA("Forbrugt",'Ark4'!$A$3,"Niveau3","Andre kommunale ejendomme","Aar",2012,"Forsyning","Vand m3")</f>
        <v>2495.02</v>
      </c>
      <c r="G58" s="75">
        <f>GETPIVOTDATA("Forbrugt",'Ark4'!$A$3,"Niveau3","Andre kommunale ejendomme","Aar",2013,"Forsyning","Vand m3")</f>
        <v>2896.93</v>
      </c>
      <c r="H58" s="75">
        <f>GETPIVOTDATA("Forbrugt",'Ark4'!$A$3,"Niveau3","Andre kommunale ejendomme","Aar",2014,"Forsyning","Vand m3")</f>
        <v>2864.9999999999995</v>
      </c>
      <c r="I58" s="75">
        <f>GETPIVOTDATA("Forbrugt",'Ark4'!$A$3,"Niveau3","Andre kommunale ejendomme","Aar",2015,"Forsyning","Vand m3")</f>
        <v>2235</v>
      </c>
      <c r="J58" s="95">
        <f t="shared" si="18"/>
        <v>0.11893956554681562</v>
      </c>
      <c r="K58" s="95">
        <f t="shared" si="19"/>
        <v>-4.8012539825873529E-2</v>
      </c>
      <c r="L58" s="95">
        <f t="shared" si="20"/>
        <v>-1.1022012958545872E-2</v>
      </c>
      <c r="M58" s="95">
        <f t="shared" si="21"/>
        <v>-0.21989528795811505</v>
      </c>
      <c r="N58"/>
      <c r="O58" s="131">
        <f t="shared" si="22"/>
        <v>3955.8522399999783</v>
      </c>
      <c r="P58" s="131">
        <f t="shared" si="23"/>
        <v>-29426.63999999997</v>
      </c>
      <c r="Q58" s="116" t="s">
        <v>1465</v>
      </c>
      <c r="R58" s="71"/>
    </row>
    <row r="59" spans="1:22" x14ac:dyDescent="0.25">
      <c r="A59" s="74" t="s">
        <v>27</v>
      </c>
      <c r="B59" s="75">
        <f>GETPIVOTDATA("Forbrugt",'Ark4'!$A$3,"Niveau3","Daginstitutioner","Aar",2008,"Forsyning","Vand m3")</f>
        <v>13625.550000000001</v>
      </c>
      <c r="C59" s="75">
        <f>GETPIVOTDATA("Forbrugt",'Ark4'!$A$3,"Niveau3","Daginstitutioner","Aar",2009,"Forsyning","Vand m3")</f>
        <v>13482.63</v>
      </c>
      <c r="D59" s="75">
        <f>GETPIVOTDATA("Forbrugt",'Ark4'!$A$3,"Niveau3","Daginstitutioner","Aar",2010,"Forsyning","Vand m3")</f>
        <v>14125.930000000002</v>
      </c>
      <c r="E59" s="75">
        <f>GETPIVOTDATA("Forbrugt",'Ark4'!$A$3,"Niveau3","Daginstitutioner","Aar",2011,"Forsyning","Vand m3")</f>
        <v>13971.889999999998</v>
      </c>
      <c r="F59" s="75">
        <f>GETPIVOTDATA("Forbrugt",'Ark4'!$A$3,"Niveau3","Daginstitutioner","Aar",2012,"Forsyning","Vand m3")</f>
        <v>14633.23</v>
      </c>
      <c r="G59" s="75">
        <f>GETPIVOTDATA("Forbrugt",'Ark4'!$A$3,"Niveau3","Daginstitutioner","Aar",2013,"Forsyning","Vand m3")</f>
        <v>13886.540000000003</v>
      </c>
      <c r="H59" s="75">
        <f>GETPIVOTDATA("Forbrugt",'Ark4'!$A$3,"Niveau3","Daginstitutioner","Aar",2014,"Forsyning","Vand m3")</f>
        <v>12580.08</v>
      </c>
      <c r="I59" s="75">
        <f>GETPIVOTDATA("Forbrugt",'Ark4'!$A$3,"Niveau3","Daginstitutioner","Aar",2015,"Forsyning","Vand m3")</f>
        <v>14259.5</v>
      </c>
      <c r="J59" s="95">
        <f t="shared" si="18"/>
        <v>-7.6728645816132271E-2</v>
      </c>
      <c r="K59" s="95">
        <f t="shared" si="19"/>
        <v>5.7620063741273091E-2</v>
      </c>
      <c r="L59" s="95">
        <f t="shared" si="20"/>
        <v>-9.4081030983960187E-2</v>
      </c>
      <c r="M59" s="95">
        <f t="shared" si="21"/>
        <v>0.13349835613128058</v>
      </c>
      <c r="N59"/>
      <c r="O59" s="131">
        <f t="shared" si="22"/>
        <v>-36548.427040000097</v>
      </c>
      <c r="P59" s="131">
        <f t="shared" si="23"/>
        <v>86530.925759999896</v>
      </c>
      <c r="Q59" s="116" t="s">
        <v>1466</v>
      </c>
      <c r="R59" s="71"/>
    </row>
    <row r="60" spans="1:22" x14ac:dyDescent="0.25">
      <c r="A60" s="74" t="s">
        <v>28</v>
      </c>
      <c r="B60" s="75">
        <f>GETPIVOTDATA("Forbrugt",'Ark4'!$A$3,"Niveau3","Flygtningebolig","Aar",2008,"Forsyning","Vand m3")</f>
        <v>297.83000000000004</v>
      </c>
      <c r="C60" s="75">
        <f>GETPIVOTDATA("Forbrugt",'Ark4'!$A$3,"Niveau3","Flygtningebolig","Aar",2009,"Forsyning","Vand m3")</f>
        <v>99.88</v>
      </c>
      <c r="D60" s="75">
        <f>GETPIVOTDATA("Forbrugt",'Ark4'!$A$3,"Niveau3","Flygtningebolig","Aar",2010,"Forsyning","Vand m3")</f>
        <v>188.8</v>
      </c>
      <c r="E60" s="75">
        <f>GETPIVOTDATA("Forbrugt",'Ark4'!$A$3,"Niveau3","Flygtningebolig","Aar",2011,"Forsyning","Vand m3")</f>
        <v>250.06</v>
      </c>
      <c r="F60" s="75">
        <f>GETPIVOTDATA("Forbrugt",'Ark4'!$A$3,"Niveau3","Flygtningebolig","Aar",2012,"Forsyning","Vand m3")</f>
        <v>122.78</v>
      </c>
      <c r="G60" s="75">
        <f>GETPIVOTDATA("Forbrugt",'Ark4'!$A$3,"Niveau3","Flygtningebolig","Aar",2013,"Forsyning","Vand m3")</f>
        <v>57.940000000000005</v>
      </c>
      <c r="H60" s="75">
        <f>GETPIVOTDATA("Forbrugt",'Ark4'!$A$3,"Niveau3","Flygtningebolig","Aar",2014,"Forsyning","Vand m3")</f>
        <v>47.870000000000005</v>
      </c>
      <c r="I60" s="75">
        <f>GETPIVOTDATA("Forbrugt",'Ark4'!$A$3,"Niveau3","Flygtningebolig","Aar",2015,"Forsyning","Vand m3")</f>
        <v>1457</v>
      </c>
      <c r="J60" s="95">
        <f t="shared" si="18"/>
        <v>-0.83927072491018362</v>
      </c>
      <c r="K60" s="95">
        <f t="shared" si="19"/>
        <v>13.587505006007207</v>
      </c>
      <c r="L60" s="95">
        <f t="shared" si="20"/>
        <v>-0.1738004832585433</v>
      </c>
      <c r="M60" s="95">
        <f t="shared" si="21"/>
        <v>29.436599122623772</v>
      </c>
      <c r="N60"/>
      <c r="O60" s="131">
        <f t="shared" si="22"/>
        <v>-374.79471999999987</v>
      </c>
      <c r="P60" s="131">
        <f t="shared" si="23"/>
        <v>68401.408640000009</v>
      </c>
      <c r="Q60" s="116" t="s">
        <v>1467</v>
      </c>
      <c r="R60" s="71"/>
    </row>
    <row r="61" spans="1:22" x14ac:dyDescent="0.25">
      <c r="A61" s="74" t="s">
        <v>29</v>
      </c>
      <c r="B61" s="75">
        <f>GETPIVOTDATA("Forbrugt",'Ark4'!$A$3,"Niveau3","Forsamlingshuse","Aar",2008,"Forsyning","Vand m3")</f>
        <v>554.83000000000004</v>
      </c>
      <c r="C61" s="75">
        <f>GETPIVOTDATA("Forbrugt",'Ark4'!$A$3,"Niveau3","Forsamlingshuse","Aar",2009,"Forsyning","Vand m3")</f>
        <v>470.51</v>
      </c>
      <c r="D61" s="75">
        <f>GETPIVOTDATA("Forbrugt",'Ark4'!$A$3,"Niveau3","Forsamlingshuse","Aar",2010,"Forsyning","Vand m3")</f>
        <v>354.31</v>
      </c>
      <c r="E61" s="75">
        <f>GETPIVOTDATA("Forbrugt",'Ark4'!$A$3,"Niveau3","Forsamlingshuse","Aar",2011,"Forsyning","Vand m3")</f>
        <v>360.76</v>
      </c>
      <c r="F61" s="75">
        <f>GETPIVOTDATA("Forbrugt",'Ark4'!$A$3,"Niveau3","Forsamlingshuse","Aar",2012,"Forsyning","Vand m3")</f>
        <v>381.73</v>
      </c>
      <c r="G61" s="75">
        <f>GETPIVOTDATA("Forbrugt",'Ark4'!$A$3,"Niveau3","Forsamlingshuse","Aar",2013,"Forsyning","Vand m3")</f>
        <v>617.15000000000009</v>
      </c>
      <c r="H61" s="75">
        <f>GETPIVOTDATA("Forbrugt",'Ark4'!$A$3,"Niveau3","Forsamlingshuse","Aar",2014,"Forsyning","Vand m3")</f>
        <v>529.48</v>
      </c>
      <c r="I61" s="75">
        <f>GETPIVOTDATA("Forbrugt",'Ark4'!$A$3,"Niveau3","Forsamlingshuse","Aar",2015,"Forsyning","Vand m3")</f>
        <v>1702</v>
      </c>
      <c r="J61" s="95">
        <f t="shared" si="18"/>
        <v>-4.5689670709947228E-2</v>
      </c>
      <c r="K61" s="95">
        <f t="shared" si="19"/>
        <v>2.617351384667701</v>
      </c>
      <c r="L61" s="95">
        <f t="shared" si="20"/>
        <v>-0.14205622620108574</v>
      </c>
      <c r="M61" s="95">
        <f t="shared" si="21"/>
        <v>2.2144745788320614</v>
      </c>
      <c r="N61"/>
      <c r="O61" s="131">
        <f t="shared" si="22"/>
        <v>-3049.2653600000012</v>
      </c>
      <c r="P61" s="131">
        <f t="shared" si="23"/>
        <v>57111.842560000005</v>
      </c>
      <c r="Q61" s="116" t="s">
        <v>607</v>
      </c>
      <c r="R61" s="71"/>
    </row>
    <row r="62" spans="1:22" x14ac:dyDescent="0.25">
      <c r="A62" s="74" t="s">
        <v>30</v>
      </c>
      <c r="B62" s="75">
        <f>GETPIVOTDATA("Forbrugt",'Ark4'!$A$3,"Niveau3","Fritidsklubber","Aar",2008,"Forsyning","Vand m3")</f>
        <v>2115.0100000000002</v>
      </c>
      <c r="C62" s="75">
        <f>GETPIVOTDATA("Forbrugt",'Ark4'!$A$3,"Niveau3","Fritidsklubber","Aar",2009,"Forsyning","Vand m3")</f>
        <v>2080.12</v>
      </c>
      <c r="D62" s="75">
        <f>GETPIVOTDATA("Forbrugt",'Ark4'!$A$3,"Niveau3","Fritidsklubber","Aar",2010,"Forsyning","Vand m3")</f>
        <v>1796.54</v>
      </c>
      <c r="E62" s="75">
        <f>GETPIVOTDATA("Forbrugt",'Ark4'!$A$3,"Niveau3","Fritidsklubber","Aar",2011,"Forsyning","Vand m3")</f>
        <v>1803.72</v>
      </c>
      <c r="F62" s="75">
        <f>GETPIVOTDATA("Forbrugt",'Ark4'!$A$3,"Niveau3","Fritidsklubber","Aar",2012,"Forsyning","Vand m3")</f>
        <v>1664.3400000000001</v>
      </c>
      <c r="G62" s="75">
        <f>GETPIVOTDATA("Forbrugt",'Ark4'!$A$3,"Niveau3","Fritidsklubber","Aar",2013,"Forsyning","Vand m3")</f>
        <v>1900.81</v>
      </c>
      <c r="H62" s="75">
        <f>GETPIVOTDATA("Forbrugt",'Ark4'!$A$3,"Niveau3","Fritidsklubber","Aar",2014,"Forsyning","Vand m3")</f>
        <v>1770.8299999999997</v>
      </c>
      <c r="I62" s="75">
        <f>GETPIVOTDATA("Forbrugt",'Ark4'!$A$3,"Niveau3","Fritidsklubber","Aar",2015,"Forsyning","Vand m3")</f>
        <v>1829</v>
      </c>
      <c r="J62" s="95">
        <f t="shared" si="18"/>
        <v>-0.16273209110122433</v>
      </c>
      <c r="K62" s="95">
        <f t="shared" si="19"/>
        <v>-0.12072380439590019</v>
      </c>
      <c r="L62" s="95">
        <f t="shared" si="20"/>
        <v>-6.8381374256238261E-2</v>
      </c>
      <c r="M62" s="95">
        <f t="shared" si="21"/>
        <v>3.2849003009888196E-2</v>
      </c>
      <c r="N62"/>
      <c r="O62" s="131">
        <f t="shared" si="22"/>
        <v>-2651.7416800000065</v>
      </c>
      <c r="P62" s="131">
        <f t="shared" si="23"/>
        <v>3531.2057600000117</v>
      </c>
      <c r="Q62" s="116" t="s">
        <v>1469</v>
      </c>
      <c r="R62" s="71"/>
    </row>
    <row r="63" spans="1:22" x14ac:dyDescent="0.25">
      <c r="A63" s="74" t="s">
        <v>31</v>
      </c>
      <c r="B63" s="75">
        <f>GETPIVOTDATA("Forbrugt",'Ark4'!$A$3,"Niveau3","Idræt og Fritid","Aar",2008,"Forsyning","Vand m3")</f>
        <v>6585.12</v>
      </c>
      <c r="C63" s="75">
        <f>GETPIVOTDATA("Forbrugt",'Ark4'!$A$3,"Niveau3","Idræt og Fritid","Aar",2009,"Forsyning","Vand m3")</f>
        <v>6773.97</v>
      </c>
      <c r="D63" s="75">
        <f>GETPIVOTDATA("Forbrugt",'Ark4'!$A$3,"Niveau3","Idræt og Fritid","Aar",2010,"Forsyning","Vand m3")</f>
        <v>6294.71</v>
      </c>
      <c r="E63" s="75">
        <f>GETPIVOTDATA("Forbrugt",'Ark4'!$A$3,"Niveau3","Idræt og Fritid","Aar",2011,"Forsyning","Vand m3")</f>
        <v>5347.83</v>
      </c>
      <c r="F63" s="75">
        <f>GETPIVOTDATA("Forbrugt",'Ark4'!$A$3,"Niveau3","Idræt og Fritid","Aar",2012,"Forsyning","Vand m3")</f>
        <v>5947.87</v>
      </c>
      <c r="G63" s="75">
        <f>GETPIVOTDATA("Forbrugt",'Ark4'!$A$3,"Niveau3","Idræt og Fritid","Aar",2013,"Forsyning","Vand m3")</f>
        <v>6176.2800000000007</v>
      </c>
      <c r="H63" s="75">
        <f>GETPIVOTDATA("Forbrugt",'Ark4'!$A$3,"Niveau3","Idræt og Fritid","Aar",2014,"Forsyning","Vand m3")</f>
        <v>6243.07</v>
      </c>
      <c r="I63" s="75">
        <f>GETPIVOTDATA("Forbrugt",'Ark4'!$A$3,"Niveau3","Idræt og Fritid","Aar",2015,"Forsyning","Vand m3")</f>
        <v>4655</v>
      </c>
      <c r="J63" s="95">
        <f t="shared" si="18"/>
        <v>-5.1942865126224001E-2</v>
      </c>
      <c r="K63" s="95">
        <f t="shared" si="19"/>
        <v>-0.31281065608498415</v>
      </c>
      <c r="L63" s="95">
        <f t="shared" si="20"/>
        <v>1.0813952735303297E-2</v>
      </c>
      <c r="M63" s="95">
        <f t="shared" si="21"/>
        <v>-0.25437324905855607</v>
      </c>
      <c r="N63"/>
      <c r="O63" s="131">
        <f t="shared" si="22"/>
        <v>14924.695999999938</v>
      </c>
      <c r="P63" s="131">
        <f t="shared" si="23"/>
        <v>-74568.632959999988</v>
      </c>
      <c r="Q63" s="116" t="s">
        <v>1468</v>
      </c>
      <c r="R63" s="71"/>
    </row>
    <row r="64" spans="1:22" x14ac:dyDescent="0.25">
      <c r="A64" s="74" t="s">
        <v>32</v>
      </c>
      <c r="B64" s="75">
        <f>GETPIVOTDATA("Forbrugt",'Ark4'!$A$3,"Niveau3","Idrætsklubber","Aar",2008,"Forsyning","Vand m3")</f>
        <v>6855.0199999999995</v>
      </c>
      <c r="C64" s="75">
        <f>GETPIVOTDATA("Forbrugt",'Ark4'!$A$3,"Niveau3","Idrætsklubber","Aar",2009,"Forsyning","Vand m3")</f>
        <v>7219.69</v>
      </c>
      <c r="D64" s="75">
        <f>GETPIVOTDATA("Forbrugt",'Ark4'!$A$3,"Niveau3","Idrætsklubber","Aar",2010,"Forsyning","Vand m3")</f>
        <v>4752.76</v>
      </c>
      <c r="E64" s="75">
        <f>GETPIVOTDATA("Forbrugt",'Ark4'!$A$3,"Niveau3","Idrætsklubber","Aar",2011,"Forsyning","Vand m3")</f>
        <v>5221.88</v>
      </c>
      <c r="F64" s="75">
        <f>GETPIVOTDATA("Forbrugt",'Ark4'!$A$3,"Niveau3","Idrætsklubber","Aar",2012,"Forsyning","Vand m3")</f>
        <v>6788.2900000000009</v>
      </c>
      <c r="G64" s="75">
        <f>GETPIVOTDATA("Forbrugt",'Ark4'!$A$3,"Niveau3","Idrætsklubber","Aar",2013,"Forsyning","Vand m3")</f>
        <v>4683.2499999999991</v>
      </c>
      <c r="H64" s="75">
        <f>GETPIVOTDATA("Forbrugt",'Ark4'!$A$3,"Niveau3","Idrætsklubber","Aar",2014,"Forsyning","Vand m3")</f>
        <v>6974.1400000000012</v>
      </c>
      <c r="I64" s="75">
        <f>GETPIVOTDATA("Forbrugt",'Ark4'!$A$3,"Niveau3","Idrætsklubber","Aar",2015,"Forsyning","Vand m3")</f>
        <v>2301</v>
      </c>
      <c r="J64" s="95">
        <f t="shared" si="18"/>
        <v>1.7377046310587237E-2</v>
      </c>
      <c r="K64" s="95">
        <f t="shared" si="19"/>
        <v>-0.68128825475886079</v>
      </c>
      <c r="L64" s="95">
        <f t="shared" si="20"/>
        <v>0.48916671115144456</v>
      </c>
      <c r="M64" s="95">
        <f t="shared" si="21"/>
        <v>-0.6700668469517389</v>
      </c>
      <c r="N64"/>
      <c r="O64" s="131">
        <f t="shared" si="22"/>
        <v>119135.3959200001</v>
      </c>
      <c r="P64" s="131">
        <f t="shared" si="23"/>
        <v>-223988.48192000005</v>
      </c>
      <c r="Q64" s="116" t="s">
        <v>93</v>
      </c>
      <c r="R64" s="71"/>
    </row>
    <row r="65" spans="1:25" x14ac:dyDescent="0.25">
      <c r="A65" s="74" t="s">
        <v>33</v>
      </c>
      <c r="B65" s="75">
        <f>GETPIVOTDATA("Forbrugt",'Ark4'!$A$3,"Niveau3","Kulturhuse","Aar",2008,"Forsyning","Vand m3")</f>
        <v>2193.23</v>
      </c>
      <c r="C65" s="75">
        <f>GETPIVOTDATA("Forbrugt",'Ark4'!$A$3,"Niveau3","Kulturhuse","Aar",2009,"Forsyning","Vand m3")</f>
        <v>2316.1</v>
      </c>
      <c r="D65" s="75">
        <f>GETPIVOTDATA("Forbrugt",'Ark4'!$A$3,"Niveau3","Kulturhuse","Aar",2010,"Forsyning","Vand m3")</f>
        <v>2174.6</v>
      </c>
      <c r="E65" s="75">
        <f>GETPIVOTDATA("Forbrugt",'Ark4'!$A$3,"Niveau3","Kulturhuse","Aar",2011,"Forsyning","Vand m3")</f>
        <v>1928.8999999999999</v>
      </c>
      <c r="F65" s="75">
        <f>GETPIVOTDATA("Forbrugt",'Ark4'!$A$3,"Niveau3","Kulturhuse","Aar",2012,"Forsyning","Vand m3")</f>
        <v>2401.4</v>
      </c>
      <c r="G65" s="75">
        <f>GETPIVOTDATA("Forbrugt",'Ark4'!$A$3,"Niveau3","Kulturhuse","Aar",2013,"Forsyning","Vand m3")</f>
        <v>2525.6</v>
      </c>
      <c r="H65" s="75">
        <f>GETPIVOTDATA("Forbrugt",'Ark4'!$A$3,"Niveau3","Kulturhuse","Aar",2014,"Forsyning","Vand m3")</f>
        <v>1891.7600000000002</v>
      </c>
      <c r="I65" s="75">
        <f>GETPIVOTDATA("Forbrugt",'Ark4'!$A$3,"Niveau3","Kulturhuse","Aar",2015,"Forsyning","Vand m3")</f>
        <v>1685</v>
      </c>
      <c r="J65" s="95">
        <f t="shared" si="18"/>
        <v>-0.1374548041017129</v>
      </c>
      <c r="K65" s="95">
        <f t="shared" si="19"/>
        <v>-0.27248391692932084</v>
      </c>
      <c r="L65" s="95">
        <f t="shared" si="20"/>
        <v>-0.25096610706366795</v>
      </c>
      <c r="M65" s="95">
        <f t="shared" si="21"/>
        <v>-0.10929504799763194</v>
      </c>
      <c r="N65"/>
      <c r="O65" s="131">
        <f t="shared" si="22"/>
        <v>-25716.913919999992</v>
      </c>
      <c r="P65" s="131">
        <f t="shared" si="23"/>
        <v>-9276.9452800000145</v>
      </c>
      <c r="Q65" s="116" t="s">
        <v>1470</v>
      </c>
      <c r="R65" s="71"/>
    </row>
    <row r="66" spans="1:25" x14ac:dyDescent="0.25">
      <c r="A66" s="74" t="s">
        <v>34</v>
      </c>
      <c r="B66" s="75">
        <f>GETPIVOTDATA("Forbrugt",'Ark4'!$A$3,"Niveau3","Museum","Aar",2008,"Forsyning","Vand m3")</f>
        <v>87.47999999999999</v>
      </c>
      <c r="C66" s="75">
        <f>GETPIVOTDATA("Forbrugt",'Ark4'!$A$3,"Niveau3","Museum","Aar",2009,"Forsyning","Vand m3")</f>
        <v>100.76</v>
      </c>
      <c r="D66" s="75">
        <f>GETPIVOTDATA("Forbrugt",'Ark4'!$A$3,"Niveau3","Museum","Aar",2010,"Forsyning","Vand m3")</f>
        <v>126.38999999999999</v>
      </c>
      <c r="E66" s="75">
        <f>GETPIVOTDATA("Forbrugt",'Ark4'!$A$3,"Niveau3","Museum","Aar",2011,"Forsyning","Vand m3")</f>
        <v>127.86999999999999</v>
      </c>
      <c r="F66" s="75">
        <f>GETPIVOTDATA("Forbrugt",'Ark4'!$A$3,"Niveau3","Museum","Aar",2012,"Forsyning","Vand m3")</f>
        <v>78.649999999999991</v>
      </c>
      <c r="G66" s="75">
        <f>GETPIVOTDATA("Forbrugt",'Ark4'!$A$3,"Niveau3","Museum","Aar",2013,"Forsyning","Vand m3")</f>
        <v>89.66</v>
      </c>
      <c r="H66" s="75">
        <f>GETPIVOTDATA("Forbrugt",'Ark4'!$A$3,"Niveau3","Museum","Aar",2014,"Forsyning","Vand m3")</f>
        <v>96.990000000000009</v>
      </c>
      <c r="I66" s="75">
        <f>GETPIVOTDATA("Forbrugt",'Ark4'!$A$3,"Niveau3","Museum","Aar",2015,"Forsyning","Vand m3")</f>
        <v>85</v>
      </c>
      <c r="J66" s="95">
        <f t="shared" si="18"/>
        <v>0.10871056241426635</v>
      </c>
      <c r="K66" s="95">
        <f t="shared" si="19"/>
        <v>-0.15641127431520449</v>
      </c>
      <c r="L66" s="95">
        <f t="shared" si="20"/>
        <v>8.1753290207450507E-2</v>
      </c>
      <c r="M66" s="95">
        <f t="shared" si="21"/>
        <v>-0.12362099185483048</v>
      </c>
      <c r="N66"/>
      <c r="O66" s="131">
        <f t="shared" si="22"/>
        <v>522.77360000000044</v>
      </c>
      <c r="P66" s="131">
        <f t="shared" si="23"/>
        <v>-543.05472000000009</v>
      </c>
      <c r="Q66" s="116" t="s">
        <v>1471</v>
      </c>
      <c r="R66" s="71"/>
    </row>
    <row r="67" spans="1:25" x14ac:dyDescent="0.25">
      <c r="A67" s="74" t="s">
        <v>35</v>
      </c>
      <c r="B67" s="75">
        <f>GETPIVOTDATA("Forbrugt",'Ark4'!$A$3,"Niveau3","Pleje og omsorg","Aar",2008,"Forsyning","Vand m3")</f>
        <v>923.81999999999994</v>
      </c>
      <c r="C67" s="75">
        <f>GETPIVOTDATA("Forbrugt",'Ark4'!$A$3,"Niveau3","Pleje og omsorg","Aar",2009,"Forsyning","Vand m3")</f>
        <v>878</v>
      </c>
      <c r="D67" s="75">
        <f>GETPIVOTDATA("Forbrugt",'Ark4'!$A$3,"Niveau3","Pleje og omsorg","Aar",2010,"Forsyning","Vand m3")</f>
        <v>745.03</v>
      </c>
      <c r="E67" s="75">
        <f>GETPIVOTDATA("Forbrugt",'Ark4'!$A$3,"Niveau3","Pleje og omsorg","Aar",2011,"Forsyning","Vand m3")</f>
        <v>757.81999999999994</v>
      </c>
      <c r="F67" s="75">
        <f>GETPIVOTDATA("Forbrugt",'Ark4'!$A$3,"Niveau3","Pleje og omsorg","Aar",2012,"Forsyning","Vand m3")</f>
        <v>762.79000000000008</v>
      </c>
      <c r="G67" s="75">
        <f>GETPIVOTDATA("Forbrugt",'Ark4'!$A$3,"Niveau3","Pleje og omsorg","Aar",2013,"Forsyning","Vand m3")</f>
        <v>819.05</v>
      </c>
      <c r="H67" s="75">
        <f>GETPIVOTDATA("Forbrugt",'Ark4'!$A$3,"Niveau3","Pleje og omsorg","Aar",2014,"Forsyning","Vand m3")</f>
        <v>928.15000000000009</v>
      </c>
      <c r="I67" s="75">
        <f>GETPIVOTDATA("Forbrugt",'Ark4'!$A$3,"Niveau3","Pleje og omsorg","Aar",2015,"Forsyning","Vand m3")</f>
        <v>1063</v>
      </c>
      <c r="J67" s="95">
        <f t="shared" si="18"/>
        <v>4.6870602498323864E-3</v>
      </c>
      <c r="K67" s="95">
        <f t="shared" si="19"/>
        <v>0.21070615034168566</v>
      </c>
      <c r="L67" s="95">
        <f t="shared" si="20"/>
        <v>0.1332031011537759</v>
      </c>
      <c r="M67" s="95">
        <f t="shared" si="21"/>
        <v>0.14528901578408651</v>
      </c>
      <c r="N67"/>
      <c r="O67" s="131">
        <f t="shared" si="22"/>
        <v>6803.6836000000112</v>
      </c>
      <c r="P67" s="131">
        <f t="shared" si="23"/>
        <v>6915.2607999999891</v>
      </c>
      <c r="Q67" s="116" t="s">
        <v>93</v>
      </c>
      <c r="R67" s="71"/>
    </row>
    <row r="68" spans="1:25" x14ac:dyDescent="0.25">
      <c r="A68" s="74" t="s">
        <v>36</v>
      </c>
      <c r="B68" s="75">
        <f>GETPIVOTDATA("Forbrugt",'Ark4'!$A$3,"Niveau3","Plejecenter","Aar",2008,"Forsyning","Vand m3")</f>
        <v>4250.6399999999994</v>
      </c>
      <c r="C68" s="75">
        <f>GETPIVOTDATA("Forbrugt",'Ark4'!$A$3,"Niveau3","Plejecenter","Aar",2009,"Forsyning","Vand m3")</f>
        <v>4750.8500000000004</v>
      </c>
      <c r="D68" s="75">
        <f>GETPIVOTDATA("Forbrugt",'Ark4'!$A$3,"Niveau3","Plejecenter","Aar",2010,"Forsyning","Vand m3")</f>
        <v>4968.67</v>
      </c>
      <c r="E68" s="75">
        <f>GETPIVOTDATA("Forbrugt",'Ark4'!$A$3,"Niveau3","Plejecenter","Aar",2011,"Forsyning","Vand m3")</f>
        <v>4469.6499999999996</v>
      </c>
      <c r="F68" s="75">
        <f>GETPIVOTDATA("Forbrugt",'Ark4'!$A$3,"Niveau3","Plejecenter","Aar",2012,"Forsyning","Vand m3")</f>
        <v>3938.61</v>
      </c>
      <c r="G68" s="75">
        <f>GETPIVOTDATA("Forbrugt",'Ark4'!$A$3,"Niveau3","Plejecenter","Aar",2013,"Forsyning","Vand m3")</f>
        <v>3817.7799999999997</v>
      </c>
      <c r="H68" s="75">
        <f>GETPIVOTDATA("Forbrugt",'Ark4'!$A$3,"Niveau3","Plejecenter","Aar",2014,"Forsyning","Vand m3")</f>
        <v>3852.77</v>
      </c>
      <c r="I68" s="75">
        <f>GETPIVOTDATA("Forbrugt",'Ark4'!$A$3,"Niveau3","Plejecenter","Aar",2015,"Forsyning","Vand m3")</f>
        <v>2723</v>
      </c>
      <c r="J68" s="95">
        <f t="shared" si="18"/>
        <v>-9.3602375171738722E-2</v>
      </c>
      <c r="K68" s="95">
        <f t="shared" si="19"/>
        <v>-0.42683940768494061</v>
      </c>
      <c r="L68" s="95">
        <f t="shared" si="20"/>
        <v>9.1650121274668098E-3</v>
      </c>
      <c r="M68" s="95">
        <f t="shared" si="21"/>
        <v>-0.29323577581843713</v>
      </c>
      <c r="N68"/>
      <c r="O68" s="131">
        <f t="shared" si="22"/>
        <v>8922.5095999999903</v>
      </c>
      <c r="P68" s="131">
        <f t="shared" si="23"/>
        <v>-53284.370559999981</v>
      </c>
      <c r="Q68" s="116" t="s">
        <v>1472</v>
      </c>
      <c r="R68" s="71"/>
    </row>
    <row r="69" spans="1:25" x14ac:dyDescent="0.25">
      <c r="A69" s="74" t="s">
        <v>37</v>
      </c>
      <c r="B69" s="75">
        <f>GETPIVOTDATA("Forbrugt",'Ark4'!$A$3,"Niveau3","Skoler","Aar",2008,"Forsyning","Vand m3")</f>
        <v>14816.760000000002</v>
      </c>
      <c r="C69" s="75">
        <f>GETPIVOTDATA("Forbrugt",'Ark4'!$A$3,"Niveau3","Skoler","Aar",2009,"Forsyning","Vand m3")</f>
        <v>16685.28</v>
      </c>
      <c r="D69" s="75">
        <f>GETPIVOTDATA("Forbrugt",'Ark4'!$A$3,"Niveau3","Skoler","Aar",2010,"Forsyning","Vand m3")</f>
        <v>14988.71</v>
      </c>
      <c r="E69" s="75">
        <f>GETPIVOTDATA("Forbrugt",'Ark4'!$A$3,"Niveau3","Skoler","Aar",2011,"Forsyning","Vand m3")</f>
        <v>14686.419999999996</v>
      </c>
      <c r="F69" s="75">
        <f>GETPIVOTDATA("Forbrugt",'Ark4'!$A$3,"Niveau3","Skoler","Aar",2012,"Forsyning","Vand m3")</f>
        <v>14863.96</v>
      </c>
      <c r="G69" s="75">
        <f>GETPIVOTDATA("Forbrugt",'Ark4'!$A$3,"Niveau3","Skoler","Aar",2013,"Forsyning","Vand m3")</f>
        <v>13480.17</v>
      </c>
      <c r="H69" s="75">
        <f>GETPIVOTDATA("Forbrugt",'Ark4'!$A$3,"Niveau3","Skoler","Aar",2014,"Forsyning","Vand m3")</f>
        <v>13959.819999999998</v>
      </c>
      <c r="I69" s="75">
        <f>GETPIVOTDATA("Forbrugt",'Ark4'!$A$3,"Niveau3","Skoler","Aar",2015,"Forsyning","Vand m3")</f>
        <v>12900.74</v>
      </c>
      <c r="J69" s="95">
        <f t="shared" si="18"/>
        <v>-5.78358561520875E-2</v>
      </c>
      <c r="K69" s="95">
        <f t="shared" si="19"/>
        <v>-0.22681908844202789</v>
      </c>
      <c r="L69" s="95">
        <f t="shared" si="20"/>
        <v>3.5581895480546445E-2</v>
      </c>
      <c r="M69" s="95">
        <f t="shared" si="21"/>
        <v>-7.5866307731761465E-2</v>
      </c>
      <c r="N69"/>
      <c r="O69" s="131">
        <f t="shared" si="22"/>
        <v>48642.997519999859</v>
      </c>
      <c r="P69" s="131">
        <f t="shared" si="23"/>
        <v>-45811.106239999877</v>
      </c>
      <c r="Q69" s="116" t="s">
        <v>1466</v>
      </c>
      <c r="R69" s="71"/>
    </row>
    <row r="70" spans="1:25" x14ac:dyDescent="0.25">
      <c r="A70" s="74" t="s">
        <v>38</v>
      </c>
      <c r="B70" s="75">
        <f>GETPIVOTDATA("Forbrugt",'Ark4'!$A$3,"Niveau3","Spejderhytter","Aar",2008,"Forsyning","Vand m3")</f>
        <v>308.48</v>
      </c>
      <c r="C70" s="75">
        <f>GETPIVOTDATA("Forbrugt",'Ark4'!$A$3,"Niveau3","Spejderhytter","Aar",2009,"Forsyning","Vand m3")</f>
        <v>320.85000000000002</v>
      </c>
      <c r="D70" s="75">
        <f>GETPIVOTDATA("Forbrugt",'Ark4'!$A$3,"Niveau3","Spejderhytter","Aar",2010,"Forsyning","Vand m3")</f>
        <v>30.53</v>
      </c>
      <c r="E70" s="75">
        <f>GETPIVOTDATA("Forbrugt",'Ark4'!$A$3,"Niveau3","Spejderhytter","Aar",2011,"Forsyning","Vand m3")</f>
        <v>135.68</v>
      </c>
      <c r="F70" s="75">
        <f>GETPIVOTDATA("Forbrugt",'Ark4'!$A$3,"Niveau3","Spejderhytter","Aar",2012,"Forsyning","Vand m3")</f>
        <v>263.93</v>
      </c>
      <c r="G70" s="75">
        <f>GETPIVOTDATA("Forbrugt",'Ark4'!$A$3,"Niveau3","Spejderhytter","Aar",2013,"Forsyning","Vand m3")</f>
        <v>325.72000000000003</v>
      </c>
      <c r="H70" s="75">
        <f>GETPIVOTDATA("Forbrugt",'Ark4'!$A$3,"Niveau3","Spejderhytter","Aar",2014,"Forsyning","Vand m3")</f>
        <v>169.75</v>
      </c>
      <c r="I70" s="75">
        <f>GETPIVOTDATA("Forbrugt",'Ark4'!$A$3,"Niveau3","Spejderhytter","Aar",2015,"Forsyning","Vand m3")</f>
        <v>61</v>
      </c>
      <c r="J70" s="95">
        <f t="shared" si="18"/>
        <v>-0.4497212136929461</v>
      </c>
      <c r="K70" s="95">
        <f t="shared" si="19"/>
        <v>-0.80988000623344247</v>
      </c>
      <c r="L70" s="95">
        <f t="shared" si="20"/>
        <v>-0.47884686233574852</v>
      </c>
      <c r="M70" s="95">
        <f t="shared" si="21"/>
        <v>-0.64064801178203246</v>
      </c>
      <c r="N70"/>
      <c r="O70" s="131">
        <f t="shared" si="22"/>
        <v>-6888.9590400000006</v>
      </c>
      <c r="P70" s="131">
        <f t="shared" si="23"/>
        <v>-5209.5200000000004</v>
      </c>
      <c r="Q70" s="116" t="s">
        <v>1473</v>
      </c>
      <c r="R70" s="71"/>
    </row>
    <row r="71" spans="1:25" s="120" customFormat="1" x14ac:dyDescent="0.25">
      <c r="A71" s="74" t="s">
        <v>39</v>
      </c>
      <c r="B71" s="75">
        <f>GETPIVOTDATA("Forbrugt",'Ark4'!$A$3,"Niveau3","Svømmehaller","Aar",2008,"Forsyning","Vand m3")</f>
        <v>28356.250000000004</v>
      </c>
      <c r="C71" s="75">
        <f>GETPIVOTDATA("Forbrugt",'Ark4'!$A$3,"Niveau3","Svømmehaller","Aar",2009,"Forsyning","Vand m3")</f>
        <v>31508</v>
      </c>
      <c r="D71" s="75">
        <f>GETPIVOTDATA("Forbrugt",'Ark4'!$A$3,"Niveau3","Svømmehaller","Aar",2010,"Forsyning","Vand m3")</f>
        <v>34518.89</v>
      </c>
      <c r="E71" s="75">
        <f>GETPIVOTDATA("Forbrugt",'Ark4'!$A$3,"Niveau3","Svømmehaller","Aar",2011,"Forsyning","Vand m3")</f>
        <v>30374.68</v>
      </c>
      <c r="F71" s="75">
        <f>GETPIVOTDATA("Forbrugt",'Ark4'!$A$3,"Niveau3","Svømmehaller","Aar",2012,"Forsyning","Vand m3")</f>
        <v>33744.6</v>
      </c>
      <c r="G71" s="75">
        <f>GETPIVOTDATA("Forbrugt",'Ark4'!$A$3,"Niveau3","Svømmehaller","Aar",2013,"Forsyning","Vand m3")</f>
        <v>29146.37</v>
      </c>
      <c r="H71" s="75">
        <f>GETPIVOTDATA("Forbrugt",'Ark4'!$A$3,"Niveau3","Svømmehaller","Aar",2014,"Forsyning","Vand m3")</f>
        <v>27401.119999999999</v>
      </c>
      <c r="I71" s="75">
        <f>GETPIVOTDATA("Forbrugt",'Ark4'!$A$3,"Niveau3","Svømmehaller","Aar",2015,"Forsyning","Vand m3")</f>
        <v>26685</v>
      </c>
      <c r="J71" s="95">
        <f t="shared" ref="J71" si="24">(H71-B71)/B71</f>
        <v>-3.3683226801851603E-2</v>
      </c>
      <c r="K71" s="95">
        <f t="shared" ref="K71" si="25">(I71-C71)/C71</f>
        <v>-0.153072235622699</v>
      </c>
      <c r="L71" s="95">
        <f t="shared" ref="L71" si="26">(H71-G71)/G71</f>
        <v>-5.9878811666770171E-2</v>
      </c>
      <c r="M71" s="95">
        <f t="shared" ref="M71" si="27">(I71-H71)/H71</f>
        <v>-2.6134698143725477E-2</v>
      </c>
      <c r="N71"/>
      <c r="O71" s="131">
        <f t="shared" si="22"/>
        <v>-28733.874479999766</v>
      </c>
      <c r="P71" s="131">
        <f t="shared" si="23"/>
        <v>-23791.423360000132</v>
      </c>
      <c r="Q71" s="116" t="s">
        <v>1500</v>
      </c>
      <c r="R71" s="71"/>
      <c r="S71" s="19"/>
      <c r="T71" s="19"/>
      <c r="U71" s="19"/>
      <c r="V71" s="65"/>
      <c r="W71" s="19"/>
      <c r="X71" s="19"/>
      <c r="Y71" s="19"/>
    </row>
    <row r="72" spans="1:25" x14ac:dyDescent="0.25">
      <c r="A72" s="74" t="s">
        <v>40</v>
      </c>
      <c r="B72" s="75">
        <f>'Ark1'!C5</f>
        <v>2695.7</v>
      </c>
      <c r="C72" s="75">
        <f>'Ark1'!F5</f>
        <v>2068.7800000000002</v>
      </c>
      <c r="D72" s="75">
        <f>'Ark1'!I5</f>
        <v>2147.71</v>
      </c>
      <c r="E72" s="75">
        <f>'Ark1'!L5</f>
        <v>2824.37</v>
      </c>
      <c r="F72" s="75">
        <f>'Ark1'!O5</f>
        <v>2592.1299999999997</v>
      </c>
      <c r="G72" s="75">
        <f>'Ark1'!R5</f>
        <v>2344.6600000000003</v>
      </c>
      <c r="H72" s="75">
        <f>'Ark1'!U5</f>
        <v>2606.3200000000002</v>
      </c>
      <c r="I72" s="75">
        <f>'Ark1'!X5</f>
        <v>1984</v>
      </c>
      <c r="J72" s="95">
        <f t="shared" si="18"/>
        <v>-3.3156508513558502E-2</v>
      </c>
      <c r="K72" s="95">
        <f t="shared" si="19"/>
        <v>-4.0980674600489271E-2</v>
      </c>
      <c r="L72" s="95">
        <f t="shared" si="20"/>
        <v>0.1115982701116579</v>
      </c>
      <c r="M72" s="95">
        <f t="shared" si="21"/>
        <v>-0.23877344301543943</v>
      </c>
      <c r="N72"/>
      <c r="O72" s="131">
        <f t="shared" si="22"/>
        <v>17038.647840000005</v>
      </c>
      <c r="P72" s="131">
        <f t="shared" si="23"/>
        <v>-29157.416960000017</v>
      </c>
      <c r="V72" s="19"/>
    </row>
    <row r="73" spans="1:25" ht="30" customHeight="1" x14ac:dyDescent="0.25">
      <c r="A73" s="6" t="s">
        <v>1370</v>
      </c>
      <c r="B73" s="7">
        <f t="shared" ref="B73:I73" si="28">SUM(B56:B72)</f>
        <v>89312.090000000011</v>
      </c>
      <c r="C73" s="7">
        <f t="shared" si="28"/>
        <v>93985.569999999992</v>
      </c>
      <c r="D73" s="7">
        <f t="shared" si="28"/>
        <v>92183.79</v>
      </c>
      <c r="E73" s="7">
        <f t="shared" si="28"/>
        <v>87211.51</v>
      </c>
      <c r="F73" s="7">
        <f t="shared" si="28"/>
        <v>93592.39</v>
      </c>
      <c r="G73" s="7">
        <f t="shared" si="28"/>
        <v>85079.840000000011</v>
      </c>
      <c r="H73" s="7">
        <f t="shared" si="28"/>
        <v>84230.92</v>
      </c>
      <c r="I73" s="7">
        <f t="shared" si="28"/>
        <v>77741.239999999991</v>
      </c>
      <c r="J73" s="96">
        <f>(H73-B73)/B73</f>
        <v>-5.6892297560162487E-2</v>
      </c>
      <c r="K73" s="95">
        <f>(I73-B73)/B73</f>
        <v>-0.12955524834319765</v>
      </c>
      <c r="L73" s="95">
        <f t="shared" si="20"/>
        <v>-9.9779219142867772E-3</v>
      </c>
      <c r="M73" s="95">
        <f t="shared" si="21"/>
        <v>-7.7046291314401022E-2</v>
      </c>
      <c r="N73"/>
      <c r="O73" s="131">
        <f t="shared" si="22"/>
        <v>120454.55487999925</v>
      </c>
      <c r="P73" s="131">
        <f t="shared" si="23"/>
        <v>-281238.82304000063</v>
      </c>
      <c r="Q73" s="116" t="s">
        <v>1476</v>
      </c>
      <c r="R73" s="71"/>
    </row>
    <row r="74" spans="1:25" hidden="1" x14ac:dyDescent="0.25">
      <c r="R74" s="71"/>
    </row>
    <row r="75" spans="1:25" ht="9" customHeight="1" x14ac:dyDescent="0.25">
      <c r="R75" s="71"/>
    </row>
    <row r="76" spans="1:25" ht="54.75" customHeight="1" x14ac:dyDescent="0.25">
      <c r="A76" s="8" t="s">
        <v>1486</v>
      </c>
      <c r="B76" s="9">
        <v>2008</v>
      </c>
      <c r="C76" s="9">
        <v>2009</v>
      </c>
      <c r="D76" s="9">
        <v>2010</v>
      </c>
      <c r="E76" s="9">
        <v>2011</v>
      </c>
      <c r="F76" s="9">
        <v>2012</v>
      </c>
      <c r="G76" s="9">
        <v>2013</v>
      </c>
      <c r="H76" s="9">
        <v>2014</v>
      </c>
      <c r="I76" s="9">
        <v>2015</v>
      </c>
      <c r="J76" s="10" t="s">
        <v>1374</v>
      </c>
      <c r="K76" s="10" t="s">
        <v>1441</v>
      </c>
      <c r="L76" s="10" t="s">
        <v>1406</v>
      </c>
      <c r="M76" s="10" t="s">
        <v>1442</v>
      </c>
      <c r="N76" s="10" t="s">
        <v>1448</v>
      </c>
      <c r="O76" s="130" t="s">
        <v>1502</v>
      </c>
      <c r="P76" s="130" t="s">
        <v>1503</v>
      </c>
      <c r="R76" s="71"/>
    </row>
    <row r="77" spans="1:25" x14ac:dyDescent="0.25">
      <c r="A77" s="76" t="s">
        <v>24</v>
      </c>
      <c r="B77" s="75">
        <f>GETPIVOTDATA("KlimaKorrigeretKwh",'Ark6'!$A$3,"Niveau3","Administration","Aar",2008)</f>
        <v>713212.73</v>
      </c>
      <c r="C77" s="75">
        <f>GETPIVOTDATA("KlimaKorrigeretKwh",'Ark6'!$A$3,"Niveau3","Administration","Aar",2009)</f>
        <v>557438.66999999993</v>
      </c>
      <c r="D77" s="75">
        <f>GETPIVOTDATA("KlimaKorrigeretKwh",'Ark6'!$A$3,"Niveau3","Administration","Aar",2010)</f>
        <v>661382.62</v>
      </c>
      <c r="E77" s="75">
        <f>GETPIVOTDATA("KlimaKorrigeretKwh",'Ark6'!$A$3,"Niveau3","Administration","Aar",2011)</f>
        <v>640304.55999999994</v>
      </c>
      <c r="F77" s="75">
        <f>GETPIVOTDATA("KlimaKorrigeretKwh",'Ark6'!$A$3,"Niveau3","Administration","Aar",2012)</f>
        <v>653291.24999999988</v>
      </c>
      <c r="G77" s="75">
        <f>GETPIVOTDATA("KlimaKorrigeretKwh",'Ark6'!$A$3,"Niveau3","Administration","Aar",2013)</f>
        <v>623081.38</v>
      </c>
      <c r="H77" s="75">
        <f>GETPIVOTDATA("KlimaKorrigeretKwh",'Ark6'!$A$3,"Niveau3","Administration","Aar",2014)</f>
        <v>561892.96</v>
      </c>
      <c r="I77" s="75">
        <f>GETPIVOTDATA("KlimaKorrigeretKwh",'Ark6'!$A$3,"Niveau3","Administration","Aar",2015)</f>
        <v>485387</v>
      </c>
      <c r="J77" s="95">
        <f t="shared" ref="J77:J93" si="29">(H77-B77)/B77</f>
        <v>-0.21216638968292115</v>
      </c>
      <c r="K77" s="95">
        <f t="shared" ref="K77:K93" si="30">(I77-B77)/B77</f>
        <v>-0.31943587153863617</v>
      </c>
      <c r="L77" s="95">
        <f t="shared" ref="L77:L93" si="31">(H77-G77)/G77</f>
        <v>-9.8202934582959353E-2</v>
      </c>
      <c r="M77" s="95">
        <f t="shared" ref="M77:M93" si="32">(I77-H77)/H77</f>
        <v>-0.13615753434604336</v>
      </c>
      <c r="N77" s="2"/>
      <c r="O77" s="148">
        <f>'Energipriser - varme'!S19-'Energipriser - varme'!R19</f>
        <v>-73001.184815000044</v>
      </c>
      <c r="P77" s="148">
        <f>'Energipriser - varme'!T19-'Energipriser - varme'!S19</f>
        <v>-79250.095709199988</v>
      </c>
      <c r="Q77" s="120" t="s">
        <v>1457</v>
      </c>
      <c r="R77" s="71"/>
    </row>
    <row r="78" spans="1:25" x14ac:dyDescent="0.25">
      <c r="A78" s="76" t="s">
        <v>26</v>
      </c>
      <c r="B78" s="75">
        <f>GETPIVOTDATA("KlimaKorrigeretKwh",'Ark6'!$A$3,"Niveau3","Andre kommunale ejendomme","Aar",2008)</f>
        <v>1115139.8699999999</v>
      </c>
      <c r="C78" s="75">
        <f>GETPIVOTDATA("KlimaKorrigeretKwh",'Ark6'!$A$3,"Niveau3","Andre kommunale ejendomme","Aar",2009)</f>
        <v>1102111.95</v>
      </c>
      <c r="D78" s="75">
        <f>GETPIVOTDATA("KlimaKorrigeretKwh",'Ark6'!$A$3,"Niveau3","Andre kommunale ejendomme","Aar",2010)</f>
        <v>977319.5</v>
      </c>
      <c r="E78" s="75">
        <f>GETPIVOTDATA("KlimaKorrigeretKwh",'Ark6'!$A$3,"Niveau3","Andre kommunale ejendomme","Aar",2011)</f>
        <v>890808.03</v>
      </c>
      <c r="F78" s="75">
        <f>GETPIVOTDATA("KlimaKorrigeretKwh",'Ark6'!$A$3,"Niveau3","Andre kommunale ejendomme","Aar",2012)</f>
        <v>987502.37</v>
      </c>
      <c r="G78" s="75">
        <f>GETPIVOTDATA("KlimaKorrigeretKwh",'Ark6'!$A$3,"Niveau3","Andre kommunale ejendomme","Aar",2013)</f>
        <v>983145.11</v>
      </c>
      <c r="H78" s="75">
        <f>GETPIVOTDATA("KlimaKorrigeretKwh",'Ark6'!$A$3,"Niveau3","Andre kommunale ejendomme","Aar",2014)</f>
        <v>959854.26000000013</v>
      </c>
      <c r="I78" s="75">
        <f>GETPIVOTDATA("KlimaKorrigeretKwh",'Ark6'!$A$3,"Niveau3","Andre kommunale ejendomme","Aar",2015)</f>
        <v>921510</v>
      </c>
      <c r="J78" s="95">
        <f t="shared" si="29"/>
        <v>-0.1392521370435798</v>
      </c>
      <c r="K78" s="95">
        <f t="shared" si="30"/>
        <v>-0.17363729448575801</v>
      </c>
      <c r="L78" s="95">
        <f t="shared" si="31"/>
        <v>-2.3690144784425424E-2</v>
      </c>
      <c r="M78" s="95">
        <f t="shared" si="32"/>
        <v>-3.9948002106069851E-2</v>
      </c>
      <c r="N78" s="2"/>
      <c r="O78" s="148">
        <f>'Energipriser - varme'!S20-'Energipriser - varme'!R20</f>
        <v>-80604.978312963678</v>
      </c>
      <c r="P78" s="148">
        <f>'Energipriser - varme'!T20-'Energipriser - varme'!S20</f>
        <v>-98527.965982490918</v>
      </c>
      <c r="Q78" s="120" t="s">
        <v>1458</v>
      </c>
      <c r="R78" s="71"/>
    </row>
    <row r="79" spans="1:25" x14ac:dyDescent="0.25">
      <c r="A79" s="76" t="s">
        <v>27</v>
      </c>
      <c r="B79" s="75">
        <f>GETPIVOTDATA("KlimaKorrigeretKwh",'Ark6'!$A$3,"Niveau3","Daginstitutioner","Aar",2008)</f>
        <v>2803059.7600000002</v>
      </c>
      <c r="C79" s="75">
        <f>GETPIVOTDATA("KlimaKorrigeretKwh",'Ark6'!$A$3,"Niveau3","Daginstitutioner","Aar",2009)</f>
        <v>3118437.91</v>
      </c>
      <c r="D79" s="75">
        <f>GETPIVOTDATA("KlimaKorrigeretKwh",'Ark6'!$A$3,"Niveau3","Daginstitutioner","Aar",2010)</f>
        <v>2753183.0599999996</v>
      </c>
      <c r="E79" s="75">
        <f>GETPIVOTDATA("KlimaKorrigeretKwh",'Ark6'!$A$3,"Niveau3","Daginstitutioner","Aar",2011)</f>
        <v>2711649.58</v>
      </c>
      <c r="F79" s="75">
        <f>GETPIVOTDATA("KlimaKorrigeretKwh",'Ark6'!$A$3,"Niveau3","Daginstitutioner","Aar",2012)</f>
        <v>2667248.4400000004</v>
      </c>
      <c r="G79" s="75">
        <f>GETPIVOTDATA("KlimaKorrigeretKwh",'Ark6'!$A$3,"Niveau3","Daginstitutioner","Aar",2013)</f>
        <v>2638099.9500000002</v>
      </c>
      <c r="H79" s="75">
        <f>GETPIVOTDATA("KlimaKorrigeretKwh",'Ark6'!$A$3,"Niveau3","Daginstitutioner","Aar",2014)</f>
        <v>2316005.8299999996</v>
      </c>
      <c r="I79" s="75">
        <f>GETPIVOTDATA("KlimaKorrigeretKwh",'Ark6'!$A$3,"Niveau3","Daginstitutioner","Aar",2015)</f>
        <v>2278525</v>
      </c>
      <c r="J79" s="95">
        <f t="shared" si="29"/>
        <v>-0.17375795441478586</v>
      </c>
      <c r="K79" s="95">
        <f t="shared" si="30"/>
        <v>-0.18712935324646815</v>
      </c>
      <c r="L79" s="95">
        <f t="shared" si="31"/>
        <v>-0.12209322091833577</v>
      </c>
      <c r="M79" s="95">
        <f t="shared" si="32"/>
        <v>-1.6183391904501215E-2</v>
      </c>
      <c r="N79" s="2"/>
      <c r="O79" s="148">
        <f>'Energipriser - varme'!S21-'Energipriser - varme'!R21</f>
        <v>-246327.76204141835</v>
      </c>
      <c r="P79" s="148">
        <f>'Energipriser - varme'!T21-'Energipriser - varme'!S21</f>
        <v>-197867.68120414531</v>
      </c>
      <c r="Q79" s="120" t="s">
        <v>1449</v>
      </c>
      <c r="R79" s="71"/>
    </row>
    <row r="80" spans="1:25" x14ac:dyDescent="0.25">
      <c r="A80" s="76" t="s">
        <v>1413</v>
      </c>
      <c r="B80" s="75">
        <f>GETPIVOTDATA("KlimaKorrigeretKwh",'Ark6'!$A$3,"Niveau3","Flygtningebolig","Aar",2008)</f>
        <v>63336.47</v>
      </c>
      <c r="C80" s="75">
        <f>GETPIVOTDATA("KlimaKorrigeretKwh",'Ark6'!$A$3,"Niveau3","Flygtningebolig","Aar",2009)</f>
        <v>57542.94</v>
      </c>
      <c r="D80" s="75">
        <f>GETPIVOTDATA("KlimaKorrigeretKwh",'Ark6'!$A$3,"Niveau3","Flygtningebolig","Aar",2010)</f>
        <v>87398</v>
      </c>
      <c r="E80" s="75">
        <f>GETPIVOTDATA("KlimaKorrigeretKwh",'Ark6'!$A$3,"Niveau3","Flygtningebolig","Aar",2011)</f>
        <v>42271.21</v>
      </c>
      <c r="F80" s="75">
        <f>GETPIVOTDATA("KlimaKorrigeretKwh",'Ark6'!$A$3,"Niveau3","Flygtningebolig","Aar",2012)</f>
        <v>34908.649999999994</v>
      </c>
      <c r="G80" s="75">
        <f>GETPIVOTDATA("KlimaKorrigeretKwh",'Ark6'!$A$3,"Niveau3","Flygtningebolig","Aar",2013)</f>
        <v>35113.360000000001</v>
      </c>
      <c r="H80" s="75">
        <f>GETPIVOTDATA("KlimaKorrigeretKwh",'Ark6'!$A$3,"Niveau3","Flygtningebolig","Aar",2014)</f>
        <v>86832.55</v>
      </c>
      <c r="I80" s="75">
        <f>GETPIVOTDATA("KlimaKorrigeretKwh",'Ark6'!$A$3,"Niveau3","Flygtningebolig","Aar",2015)</f>
        <v>480324</v>
      </c>
      <c r="J80" s="95">
        <f t="shared" si="29"/>
        <v>0.37097236394765926</v>
      </c>
      <c r="K80" s="95">
        <f t="shared" si="30"/>
        <v>6.5836875657895053</v>
      </c>
      <c r="L80" s="95">
        <f t="shared" si="31"/>
        <v>1.4729205635689664</v>
      </c>
      <c r="M80" s="95">
        <f t="shared" si="32"/>
        <v>4.5316122813391981</v>
      </c>
      <c r="N80" s="2"/>
      <c r="O80" s="148">
        <f>'Energipriser - varme'!S22-'Energipriser - varme'!R22</f>
        <v>26894.148009218177</v>
      </c>
      <c r="P80" s="148">
        <f>'Energipriser - varme'!T22-'Energipriser - varme'!S22</f>
        <v>198360.92082714543</v>
      </c>
      <c r="Q80" s="120" t="s">
        <v>1450</v>
      </c>
      <c r="R80" s="71"/>
    </row>
    <row r="81" spans="1:22" x14ac:dyDescent="0.25">
      <c r="A81" s="76" t="s">
        <v>29</v>
      </c>
      <c r="B81" s="75">
        <f>GETPIVOTDATA("KlimaKorrigeretKwh",'Ark6'!$A$3,"Niveau3","Forsamlingshuse","Aar",2008)</f>
        <v>422577.74000000005</v>
      </c>
      <c r="C81" s="75">
        <f>GETPIVOTDATA("KlimaKorrigeretKwh",'Ark6'!$A$3,"Niveau3","Forsamlingshuse","Aar",2009)</f>
        <v>451819.07</v>
      </c>
      <c r="D81" s="75">
        <f>GETPIVOTDATA("KlimaKorrigeretKwh",'Ark6'!$A$3,"Niveau3","Forsamlingshuse","Aar",2010)</f>
        <v>451500.41000000003</v>
      </c>
      <c r="E81" s="75">
        <f>GETPIVOTDATA("KlimaKorrigeretKwh",'Ark6'!$A$3,"Niveau3","Forsamlingshuse","Aar",2011)</f>
        <v>356765.48000000004</v>
      </c>
      <c r="F81" s="75">
        <f>GETPIVOTDATA("KlimaKorrigeretKwh",'Ark6'!$A$3,"Niveau3","Forsamlingshuse","Aar",2012)</f>
        <v>363078.39</v>
      </c>
      <c r="G81" s="75">
        <f>GETPIVOTDATA("KlimaKorrigeretKwh",'Ark6'!$A$3,"Niveau3","Forsamlingshuse","Aar",2013)</f>
        <v>326862.69</v>
      </c>
      <c r="H81" s="75">
        <f>GETPIVOTDATA("KlimaKorrigeretKwh",'Ark6'!$A$3,"Niveau3","Forsamlingshuse","Aar",2014)</f>
        <v>308666.18</v>
      </c>
      <c r="I81" s="75">
        <f>GETPIVOTDATA("KlimaKorrigeretKwh",'Ark6'!$A$3,"Niveau3","Forsamlingshuse","Aar",2015)</f>
        <v>313090</v>
      </c>
      <c r="J81" s="95">
        <f t="shared" si="29"/>
        <v>-0.26956356006826115</v>
      </c>
      <c r="K81" s="95">
        <f t="shared" si="30"/>
        <v>-0.25909490641887584</v>
      </c>
      <c r="L81" s="95">
        <f t="shared" si="31"/>
        <v>-5.5670195946805702E-2</v>
      </c>
      <c r="M81" s="95">
        <f t="shared" si="32"/>
        <v>1.4332052834554168E-2</v>
      </c>
      <c r="N81" s="2"/>
      <c r="O81" s="148">
        <f>'Energipriser - varme'!S23-'Energipriser - varme'!R23</f>
        <v>-17713.283633236366</v>
      </c>
      <c r="P81" s="148">
        <f>'Energipriser - varme'!T23-'Energipriser - varme'!S23</f>
        <v>-20360.809339490894</v>
      </c>
      <c r="Q81" s="120" t="s">
        <v>1451</v>
      </c>
      <c r="R81" s="71"/>
    </row>
    <row r="82" spans="1:22" x14ac:dyDescent="0.25">
      <c r="A82" s="76" t="s">
        <v>30</v>
      </c>
      <c r="B82" s="75">
        <f>GETPIVOTDATA("KlimaKorrigeretKwh",'Ark6'!$A$3,"Niveau3","Fritidsklubber","Aar",2008)</f>
        <v>612230.3899999999</v>
      </c>
      <c r="C82" s="75">
        <f>GETPIVOTDATA("KlimaKorrigeretKwh",'Ark6'!$A$3,"Niveau3","Fritidsklubber","Aar",2009)</f>
        <v>675695.01</v>
      </c>
      <c r="D82" s="75">
        <f>GETPIVOTDATA("KlimaKorrigeretKwh",'Ark6'!$A$3,"Niveau3","Fritidsklubber","Aar",2010)</f>
        <v>653029.17000000004</v>
      </c>
      <c r="E82" s="75">
        <f>GETPIVOTDATA("KlimaKorrigeretKwh",'Ark6'!$A$3,"Niveau3","Fritidsklubber","Aar",2011)</f>
        <v>702764.16</v>
      </c>
      <c r="F82" s="75">
        <f>GETPIVOTDATA("KlimaKorrigeretKwh",'Ark6'!$A$3,"Niveau3","Fritidsklubber","Aar",2012)</f>
        <v>654692.89</v>
      </c>
      <c r="G82" s="75">
        <f>GETPIVOTDATA("KlimaKorrigeretKwh",'Ark6'!$A$3,"Niveau3","Fritidsklubber","Aar",2013)</f>
        <v>587293.91</v>
      </c>
      <c r="H82" s="75">
        <f>GETPIVOTDATA("KlimaKorrigeretKwh",'Ark6'!$A$3,"Niveau3","Fritidsklubber","Aar",2014)</f>
        <v>548354.46000000008</v>
      </c>
      <c r="I82" s="75">
        <f>GETPIVOTDATA("KlimaKorrigeretKwh",'Ark6'!$A$3,"Niveau3","Fritidsklubber","Aar",2015)</f>
        <v>557496</v>
      </c>
      <c r="J82" s="95">
        <f t="shared" si="29"/>
        <v>-0.1043331579799556</v>
      </c>
      <c r="K82" s="95">
        <f t="shared" si="30"/>
        <v>-8.9401622157305696E-2</v>
      </c>
      <c r="L82" s="95">
        <f t="shared" si="31"/>
        <v>-6.6303173482592306E-2</v>
      </c>
      <c r="M82" s="95">
        <f t="shared" si="32"/>
        <v>1.6670859210299701E-2</v>
      </c>
      <c r="N82" s="2"/>
      <c r="O82" s="148">
        <f>'Energipriser - varme'!S24-'Energipriser - varme'!R24</f>
        <v>-35627.879363727232</v>
      </c>
      <c r="P82" s="148">
        <f>'Energipriser - varme'!T24-'Energipriser - varme'!S24</f>
        <v>-35560.263550236414</v>
      </c>
      <c r="Q82" s="120" t="s">
        <v>1452</v>
      </c>
      <c r="R82" s="71"/>
    </row>
    <row r="83" spans="1:22" x14ac:dyDescent="0.25">
      <c r="A83" s="76" t="s">
        <v>31</v>
      </c>
      <c r="B83" s="75">
        <f>GETPIVOTDATA("KlimaKorrigeretKwh",'Ark6'!$A$3,"Niveau3","Idræt og Fritid","Aar",2008)</f>
        <v>1601215.18</v>
      </c>
      <c r="C83" s="75">
        <f>GETPIVOTDATA("KlimaKorrigeretKwh",'Ark6'!$A$3,"Niveau3","Idræt og Fritid","Aar",2009)</f>
        <v>1657662.73</v>
      </c>
      <c r="D83" s="75">
        <f>GETPIVOTDATA("KlimaKorrigeretKwh",'Ark6'!$A$3,"Niveau3","Idræt og Fritid","Aar",2010)</f>
        <v>1638070.43</v>
      </c>
      <c r="E83" s="75">
        <f>GETPIVOTDATA("KlimaKorrigeretKwh",'Ark6'!$A$3,"Niveau3","Idræt og Fritid","Aar",2011)</f>
        <v>1520008.97</v>
      </c>
      <c r="F83" s="75">
        <f>GETPIVOTDATA("KlimaKorrigeretKwh",'Ark6'!$A$3,"Niveau3","Idræt og Fritid","Aar",2012)</f>
        <v>1418060.19</v>
      </c>
      <c r="G83" s="75">
        <f>GETPIVOTDATA("KlimaKorrigeretKwh",'Ark6'!$A$3,"Niveau3","Idræt og Fritid","Aar",2013)</f>
        <v>1325210.4100000001</v>
      </c>
      <c r="H83" s="75">
        <f>GETPIVOTDATA("KlimaKorrigeretKwh",'Ark6'!$A$3,"Niveau3","Idræt og Fritid","Aar",2014)</f>
        <v>1192713.5899999999</v>
      </c>
      <c r="I83" s="75">
        <f>GETPIVOTDATA("KlimaKorrigeretKwh",'Ark6'!$A$3,"Niveau3","Idræt og Fritid","Aar",2015)</f>
        <v>1215195</v>
      </c>
      <c r="J83" s="95">
        <f t="shared" si="29"/>
        <v>-0.25511973350140243</v>
      </c>
      <c r="K83" s="95">
        <f t="shared" si="30"/>
        <v>-0.24107951562137947</v>
      </c>
      <c r="L83" s="95">
        <f t="shared" si="31"/>
        <v>-9.9981722902403314E-2</v>
      </c>
      <c r="M83" s="95">
        <f t="shared" si="32"/>
        <v>1.8848959371713162E-2</v>
      </c>
      <c r="N83" s="2"/>
      <c r="O83" s="148">
        <f>'Energipriser - varme'!S25-'Energipriser - varme'!R25</f>
        <v>-98351.493955000071</v>
      </c>
      <c r="P83" s="148">
        <f>'Energipriser - varme'!T25-'Energipriser - varme'!S25</f>
        <v>-88291.046987199923</v>
      </c>
      <c r="Q83" s="120" t="s">
        <v>1454</v>
      </c>
      <c r="R83" s="71"/>
    </row>
    <row r="84" spans="1:22" x14ac:dyDescent="0.25">
      <c r="A84" s="76" t="s">
        <v>32</v>
      </c>
      <c r="B84" s="75">
        <f>GETPIVOTDATA("KlimaKorrigeretKwh",'Ark6'!$A$3,"Niveau3","Idrætsklubber","Aar",2008)</f>
        <v>1020681.51</v>
      </c>
      <c r="C84" s="75">
        <f>GETPIVOTDATA("KlimaKorrigeretKwh",'Ark6'!$A$3,"Niveau3","Idrætsklubber","Aar",2009)</f>
        <v>1213248.6599999999</v>
      </c>
      <c r="D84" s="75">
        <f>GETPIVOTDATA("KlimaKorrigeretKwh",'Ark6'!$A$3,"Niveau3","Idrætsklubber","Aar",2010)</f>
        <v>1114733.3699999999</v>
      </c>
      <c r="E84" s="75">
        <f>GETPIVOTDATA("KlimaKorrigeretKwh",'Ark6'!$A$3,"Niveau3","Idrætsklubber","Aar",2011)</f>
        <v>971233.95999999985</v>
      </c>
      <c r="F84" s="75">
        <f>GETPIVOTDATA("KlimaKorrigeretKwh",'Ark6'!$A$3,"Niveau3","Idrætsklubber","Aar",2012)</f>
        <v>945092.32</v>
      </c>
      <c r="G84" s="75">
        <f>GETPIVOTDATA("KlimaKorrigeretKwh",'Ark6'!$A$3,"Niveau3","Idrætsklubber","Aar",2013)</f>
        <v>940580.92000000016</v>
      </c>
      <c r="H84" s="75">
        <f>GETPIVOTDATA("KlimaKorrigeretKwh",'Ark6'!$A$3,"Niveau3","Idrætsklubber","Aar",2014)</f>
        <v>849835.51000000024</v>
      </c>
      <c r="I84" s="75">
        <f>GETPIVOTDATA("KlimaKorrigeretKwh",'Ark6'!$A$3,"Niveau3","Idrætsklubber","Aar",2015)</f>
        <v>313219</v>
      </c>
      <c r="J84" s="95">
        <f t="shared" si="29"/>
        <v>-0.16738424114295924</v>
      </c>
      <c r="K84" s="95">
        <f t="shared" si="30"/>
        <v>-0.69312758492117688</v>
      </c>
      <c r="L84" s="95">
        <f t="shared" si="31"/>
        <v>-9.64780467798559E-2</v>
      </c>
      <c r="M84" s="95">
        <f t="shared" si="32"/>
        <v>-0.6314357351342027</v>
      </c>
      <c r="N84" s="2"/>
      <c r="O84" s="148">
        <f>'Energipriser - varme'!S26-'Energipriser - varme'!R26</f>
        <v>-44775.618008490768</v>
      </c>
      <c r="P84" s="148">
        <f>'Energipriser - varme'!T26-'Energipriser - varme'!S26</f>
        <v>-322267.51922709111</v>
      </c>
      <c r="Q84" s="120" t="s">
        <v>1453</v>
      </c>
      <c r="R84" s="71"/>
    </row>
    <row r="85" spans="1:22" x14ac:dyDescent="0.25">
      <c r="A85" s="76" t="s">
        <v>33</v>
      </c>
      <c r="B85" s="75">
        <f>GETPIVOTDATA("KlimaKorrigeretKwh",'Ark6'!$A$3,"Niveau3","Kulturhuse","Aar",2008)</f>
        <v>1497494.4100000001</v>
      </c>
      <c r="C85" s="75">
        <f>GETPIVOTDATA("KlimaKorrigeretKwh",'Ark6'!$A$3,"Niveau3","Kulturhuse","Aar",2009)</f>
        <v>1486939.8800000001</v>
      </c>
      <c r="D85" s="75">
        <f>GETPIVOTDATA("KlimaKorrigeretKwh",'Ark6'!$A$3,"Niveau3","Kulturhuse","Aar",2010)</f>
        <v>1414365.66</v>
      </c>
      <c r="E85" s="75">
        <f>GETPIVOTDATA("KlimaKorrigeretKwh",'Ark6'!$A$3,"Niveau3","Kulturhuse","Aar",2011)</f>
        <v>1511542.73</v>
      </c>
      <c r="F85" s="75">
        <f>GETPIVOTDATA("KlimaKorrigeretKwh",'Ark6'!$A$3,"Niveau3","Kulturhuse","Aar",2012)</f>
        <v>1439108.15</v>
      </c>
      <c r="G85" s="75">
        <f>GETPIVOTDATA("KlimaKorrigeretKwh",'Ark6'!$A$3,"Niveau3","Kulturhuse","Aar",2013)</f>
        <v>1361282.92</v>
      </c>
      <c r="H85" s="75">
        <f>GETPIVOTDATA("KlimaKorrigeretKwh",'Ark6'!$A$3,"Niveau3","Kulturhuse","Aar",2014)</f>
        <v>1483546.1800000002</v>
      </c>
      <c r="I85" s="75">
        <f>GETPIVOTDATA("KlimaKorrigeretKwh",'Ark6'!$A$3,"Niveau3","Kulturhuse","Aar",2015)</f>
        <v>1429204</v>
      </c>
      <c r="J85" s="95">
        <f t="shared" si="29"/>
        <v>-9.3143786760445935E-3</v>
      </c>
      <c r="K85" s="95">
        <f t="shared" si="30"/>
        <v>-4.5603115139508363E-2</v>
      </c>
      <c r="L85" s="95">
        <f t="shared" si="31"/>
        <v>8.981473153281043E-2</v>
      </c>
      <c r="M85" s="95">
        <f t="shared" si="32"/>
        <v>-3.6629921422466377E-2</v>
      </c>
      <c r="N85" s="2"/>
      <c r="O85" s="148">
        <f>'Energipriser - varme'!S27-'Energipriser - varme'!R27</f>
        <v>-8649.2797511999961</v>
      </c>
      <c r="P85" s="148">
        <f>'Energipriser - varme'!T27-'Energipriser - varme'!S27</f>
        <v>-138111.79863360012</v>
      </c>
      <c r="Q85" s="120" t="s">
        <v>1455</v>
      </c>
      <c r="R85" s="71"/>
    </row>
    <row r="86" spans="1:22" x14ac:dyDescent="0.25">
      <c r="A86" s="76" t="s">
        <v>34</v>
      </c>
      <c r="B86" s="75">
        <f>GETPIVOTDATA("KlimaKorrigeretKwh",'Ark6'!$A$3,"Niveau3","Museum","Aar",2008)</f>
        <v>204396.85</v>
      </c>
      <c r="C86" s="75">
        <f>GETPIVOTDATA("KlimaKorrigeretKwh",'Ark6'!$A$3,"Niveau3","Museum","Aar",2009)</f>
        <v>217102.38</v>
      </c>
      <c r="D86" s="75">
        <f>GETPIVOTDATA("KlimaKorrigeretKwh",'Ark6'!$A$3,"Niveau3","Museum","Aar",2010)</f>
        <v>238784.58000000002</v>
      </c>
      <c r="E86" s="75">
        <f>GETPIVOTDATA("KlimaKorrigeretKwh",'Ark6'!$A$3,"Niveau3","Museum","Aar",2011)</f>
        <v>229724.46999999997</v>
      </c>
      <c r="F86" s="75">
        <f>GETPIVOTDATA("KlimaKorrigeretKwh",'Ark6'!$A$3,"Niveau3","Museum","Aar",2012)</f>
        <v>234466.96</v>
      </c>
      <c r="G86" s="75">
        <f>GETPIVOTDATA("KlimaKorrigeretKwh",'Ark6'!$A$3,"Niveau3","Museum","Aar",2013)</f>
        <v>223319.82</v>
      </c>
      <c r="H86" s="75">
        <f>GETPIVOTDATA("KlimaKorrigeretKwh",'Ark6'!$A$3,"Niveau3","Museum","Aar",2014)</f>
        <v>190430.22</v>
      </c>
      <c r="I86" s="75">
        <f>GETPIVOTDATA("KlimaKorrigeretKwh",'Ark6'!$A$3,"Niveau3","Museum","Aar",2015)</f>
        <v>221437</v>
      </c>
      <c r="J86" s="95">
        <f t="shared" si="29"/>
        <v>-6.8330945413297733E-2</v>
      </c>
      <c r="K86" s="95">
        <f t="shared" si="30"/>
        <v>8.3367967754884642E-2</v>
      </c>
      <c r="L86" s="95">
        <f t="shared" si="31"/>
        <v>-0.14727577695522057</v>
      </c>
      <c r="M86" s="95">
        <f t="shared" si="32"/>
        <v>0.16282489197355335</v>
      </c>
      <c r="N86" s="2"/>
      <c r="O86" s="148">
        <f>'Energipriser - varme'!S28-'Energipriser - varme'!R28</f>
        <v>-16247.107095654559</v>
      </c>
      <c r="P86" s="148">
        <f>'Energipriser - varme'!T28-'Energipriser - varme'!S28</f>
        <v>-46478.906622727285</v>
      </c>
      <c r="Q86" s="120" t="s">
        <v>1456</v>
      </c>
      <c r="R86" s="71"/>
    </row>
    <row r="87" spans="1:22" x14ac:dyDescent="0.25">
      <c r="A87" s="76" t="s">
        <v>35</v>
      </c>
      <c r="B87" s="75">
        <f>GETPIVOTDATA("KlimaKorrigeretKwh",'Ark6'!$A$3,"Niveau3","Pleje og omsorg","Aar",2008)</f>
        <v>421296.85999999993</v>
      </c>
      <c r="C87" s="75">
        <f>GETPIVOTDATA("KlimaKorrigeretKwh",'Ark6'!$A$3,"Niveau3","Pleje og omsorg","Aar",2009)</f>
        <v>435644.58999999997</v>
      </c>
      <c r="D87" s="75">
        <f>GETPIVOTDATA("KlimaKorrigeretKwh",'Ark6'!$A$3,"Niveau3","Pleje og omsorg","Aar",2010)</f>
        <v>373452.25999999995</v>
      </c>
      <c r="E87" s="75">
        <f>GETPIVOTDATA("KlimaKorrigeretKwh",'Ark6'!$A$3,"Niveau3","Pleje og omsorg","Aar",2011)</f>
        <v>366558.47000000003</v>
      </c>
      <c r="F87" s="75">
        <f>GETPIVOTDATA("KlimaKorrigeretKwh",'Ark6'!$A$3,"Niveau3","Pleje og omsorg","Aar",2012)</f>
        <v>397335.39</v>
      </c>
      <c r="G87" s="75">
        <f>GETPIVOTDATA("KlimaKorrigeretKwh",'Ark6'!$A$3,"Niveau3","Pleje og omsorg","Aar",2013)</f>
        <v>397538.64</v>
      </c>
      <c r="H87" s="75">
        <f>GETPIVOTDATA("KlimaKorrigeretKwh",'Ark6'!$A$3,"Niveau3","Pleje og omsorg","Aar",2014)</f>
        <v>405549.77999999991</v>
      </c>
      <c r="I87" s="75">
        <f>GETPIVOTDATA("KlimaKorrigeretKwh",'Ark6'!$A$3,"Niveau3","Pleje og omsorg","Aar",2015)</f>
        <v>456314</v>
      </c>
      <c r="J87" s="95">
        <f t="shared" si="29"/>
        <v>-3.7377634383508149E-2</v>
      </c>
      <c r="K87" s="95">
        <f t="shared" si="30"/>
        <v>8.3117495819931053E-2</v>
      </c>
      <c r="L87" s="95">
        <f t="shared" si="31"/>
        <v>2.015185240861089E-2</v>
      </c>
      <c r="M87" s="95">
        <f t="shared" si="32"/>
        <v>0.12517383192761219</v>
      </c>
      <c r="N87" s="2"/>
      <c r="O87" s="148">
        <f>'Energipriser - varme'!S29-'Energipriser - varme'!R29</f>
        <v>2176.9311262909032</v>
      </c>
      <c r="P87" s="148">
        <f>'Energipriser - varme'!T29-'Energipriser - varme'!S29</f>
        <v>-11862.319531818182</v>
      </c>
      <c r="Q87" s="120" t="s">
        <v>1459</v>
      </c>
      <c r="R87" s="71"/>
    </row>
    <row r="88" spans="1:22" x14ac:dyDescent="0.25">
      <c r="A88" s="76" t="s">
        <v>36</v>
      </c>
      <c r="B88" s="75">
        <f>GETPIVOTDATA("KlimaKorrigeretKwh",'Ark6'!$A$3,"Niveau3","Plejecenter","Aar",2008)</f>
        <v>1190167.1100000001</v>
      </c>
      <c r="C88" s="75">
        <f>GETPIVOTDATA("KlimaKorrigeretKwh",'Ark6'!$A$3,"Niveau3","Plejecenter","Aar",2009)</f>
        <v>1417534.0299999998</v>
      </c>
      <c r="D88" s="75">
        <f>GETPIVOTDATA("KlimaKorrigeretKwh",'Ark6'!$A$3,"Niveau3","Plejecenter","Aar",2010)</f>
        <v>1159125.8999999999</v>
      </c>
      <c r="E88" s="75">
        <f>GETPIVOTDATA("KlimaKorrigeretKwh",'Ark6'!$A$3,"Niveau3","Plejecenter","Aar",2011)</f>
        <v>1146378.8399999999</v>
      </c>
      <c r="F88" s="75">
        <f>GETPIVOTDATA("KlimaKorrigeretKwh",'Ark6'!$A$3,"Niveau3","Plejecenter","Aar",2012)</f>
        <v>1020540.51</v>
      </c>
      <c r="G88" s="75">
        <f>GETPIVOTDATA("KlimaKorrigeretKwh",'Ark6'!$A$3,"Niveau3","Plejecenter","Aar",2013)</f>
        <v>1041650.68</v>
      </c>
      <c r="H88" s="75">
        <f>GETPIVOTDATA("KlimaKorrigeretKwh",'Ark6'!$A$3,"Niveau3","Plejecenter","Aar",2014)</f>
        <v>1008292.8200000001</v>
      </c>
      <c r="I88" s="75">
        <f>GETPIVOTDATA("KlimaKorrigeretKwh",'Ark6'!$A$3,"Niveau3","Plejecenter","Aar",2015)</f>
        <v>695746</v>
      </c>
      <c r="J88" s="95">
        <f t="shared" si="29"/>
        <v>-0.15281407835240887</v>
      </c>
      <c r="K88" s="95">
        <f t="shared" si="30"/>
        <v>-0.41542158730970147</v>
      </c>
      <c r="L88" s="95">
        <f t="shared" si="31"/>
        <v>-3.2024037079301848E-2</v>
      </c>
      <c r="M88" s="95">
        <f t="shared" si="32"/>
        <v>-0.30997624281406672</v>
      </c>
      <c r="N88" s="2"/>
      <c r="O88" s="148">
        <f>'Energipriser - varme'!S30-'Energipriser - varme'!R30</f>
        <v>-43097.97726847278</v>
      </c>
      <c r="P88" s="148">
        <f>'Energipriser - varme'!T30-'Energipriser - varme'!S30</f>
        <v>-208581.30956363643</v>
      </c>
      <c r="Q88" s="120" t="s">
        <v>1460</v>
      </c>
      <c r="R88" s="71"/>
    </row>
    <row r="89" spans="1:22" x14ac:dyDescent="0.25">
      <c r="A89" s="76" t="s">
        <v>37</v>
      </c>
      <c r="B89" s="75">
        <f>GETPIVOTDATA("KlimaKorrigeretKwh",'Ark6'!$A$3,"Niveau3","Skoler","Aar",2008)</f>
        <v>9563662.4500000011</v>
      </c>
      <c r="C89" s="75">
        <f>GETPIVOTDATA("KlimaKorrigeretKwh",'Ark6'!$A$3,"Niveau3","Skoler","Aar",2009)</f>
        <v>9845092.0899999999</v>
      </c>
      <c r="D89" s="75">
        <f>GETPIVOTDATA("KlimaKorrigeretKwh",'Ark6'!$A$3,"Niveau3","Skoler","Aar",2010)</f>
        <v>10227671.08</v>
      </c>
      <c r="E89" s="75">
        <f>GETPIVOTDATA("KlimaKorrigeretKwh",'Ark6'!$A$3,"Niveau3","Skoler","Aar",2011)</f>
        <v>9469222.2100000009</v>
      </c>
      <c r="F89" s="75">
        <f>GETPIVOTDATA("KlimaKorrigeretKwh",'Ark6'!$A$3,"Niveau3","Skoler","Aar",2012)</f>
        <v>8728525.8800000008</v>
      </c>
      <c r="G89" s="75">
        <f>GETPIVOTDATA("KlimaKorrigeretKwh",'Ark6'!$A$3,"Niveau3","Skoler","Aar",2013)</f>
        <v>8033928.209999999</v>
      </c>
      <c r="H89" s="75">
        <f>GETPIVOTDATA("KlimaKorrigeretKwh",'Ark6'!$A$3,"Niveau3","Skoler","Aar",2014)</f>
        <v>8212201.7000000002</v>
      </c>
      <c r="I89" s="75">
        <f>GETPIVOTDATA("KlimaKorrigeretKwh",'Ark6'!$A$3,"Niveau3","Skoler","Aar",2015)</f>
        <v>7580340.1399999997</v>
      </c>
      <c r="J89" s="95">
        <f t="shared" si="29"/>
        <v>-0.14131205038504896</v>
      </c>
      <c r="K89" s="95">
        <f t="shared" si="30"/>
        <v>-0.20738104469590529</v>
      </c>
      <c r="L89" s="95">
        <f t="shared" si="31"/>
        <v>2.2190077548626886E-2</v>
      </c>
      <c r="M89" s="95">
        <f t="shared" si="32"/>
        <v>-7.6941797471925283E-2</v>
      </c>
      <c r="N89" s="2"/>
      <c r="O89" s="148">
        <f>'Energipriser - varme'!S31-'Energipriser - varme'!R31</f>
        <v>46469.264329181053</v>
      </c>
      <c r="P89" s="148">
        <f>'Energipriser - varme'!T31-'Energipriser - varme'!S31</f>
        <v>-953358.75518285437</v>
      </c>
      <c r="Q89" s="120" t="s">
        <v>1461</v>
      </c>
      <c r="R89" s="71"/>
    </row>
    <row r="90" spans="1:22" x14ac:dyDescent="0.25">
      <c r="A90" s="76" t="s">
        <v>38</v>
      </c>
      <c r="B90" s="75">
        <f>GETPIVOTDATA("KlimaKorrigeretKwh",'Ark6'!$A$3,"Niveau3","Spejderhytter","Aar",2008)</f>
        <v>62982.630000000005</v>
      </c>
      <c r="C90" s="75">
        <f>GETPIVOTDATA("KlimaKorrigeretKwh",'Ark6'!$A$3,"Niveau3","Spejderhytter","Aar",2009)</f>
        <v>68143.360000000001</v>
      </c>
      <c r="D90" s="75">
        <f>GETPIVOTDATA("KlimaKorrigeretKwh",'Ark6'!$A$3,"Niveau3","Spejderhytter","Aar",2010)</f>
        <v>53222.27</v>
      </c>
      <c r="E90" s="75">
        <f>GETPIVOTDATA("KlimaKorrigeretKwh",'Ark6'!$A$3,"Niveau3","Spejderhytter","Aar",2011)</f>
        <v>89558.68</v>
      </c>
      <c r="F90" s="75">
        <f>GETPIVOTDATA("KlimaKorrigeretKwh",'Ark6'!$A$3,"Niveau3","Spejderhytter","Aar",2012)</f>
        <v>95563.47</v>
      </c>
      <c r="G90" s="75">
        <f>GETPIVOTDATA("KlimaKorrigeretKwh",'Ark6'!$A$3,"Niveau3","Spejderhytter","Aar",2013)</f>
        <v>73761.679999999993</v>
      </c>
      <c r="H90" s="75">
        <f>GETPIVOTDATA("KlimaKorrigeretKwh",'Ark6'!$A$3,"Niveau3","Spejderhytter","Aar",2014)</f>
        <v>44724.840000000004</v>
      </c>
      <c r="I90" s="75">
        <f>GETPIVOTDATA("KlimaKorrigeretKwh",'Ark6'!$A$3,"Niveau3","Spejderhytter","Aar",2015)</f>
        <v>45527</v>
      </c>
      <c r="J90" s="95">
        <f t="shared" si="29"/>
        <v>-0.28988611621966248</v>
      </c>
      <c r="K90" s="95">
        <f t="shared" si="30"/>
        <v>-0.27714990625193014</v>
      </c>
      <c r="L90" s="95">
        <f t="shared" si="31"/>
        <v>-0.39365751973111229</v>
      </c>
      <c r="M90" s="95">
        <f t="shared" si="32"/>
        <v>1.7935447058055349E-2</v>
      </c>
      <c r="N90" s="2"/>
      <c r="O90" s="148">
        <f>'Energipriser - varme'!S32-'Energipriser - varme'!R32</f>
        <v>-15234.105987199997</v>
      </c>
      <c r="P90" s="148">
        <f>'Energipriser - varme'!T32-'Energipriser - varme'!S32</f>
        <v>-3445.6228000000046</v>
      </c>
      <c r="Q90" s="120" t="s">
        <v>1462</v>
      </c>
      <c r="R90" s="71"/>
    </row>
    <row r="91" spans="1:22" s="120" customFormat="1" x14ac:dyDescent="0.25">
      <c r="A91" s="76" t="s">
        <v>39</v>
      </c>
      <c r="B91" s="75">
        <f>GETPIVOTDATA("KlimaKorrigeretKwh",'Ark6'!$A$3,"Niveau3","Svømmehaller","Aar",2008)</f>
        <v>2794298.6500000004</v>
      </c>
      <c r="C91" s="75">
        <f>GETPIVOTDATA("KlimaKorrigeretKwh",'Ark6'!$A$3,"Niveau3","Svømmehaller","Aar",2009)</f>
        <v>2765791.73</v>
      </c>
      <c r="D91" s="75">
        <f>GETPIVOTDATA("KlimaKorrigeretKwh",'Ark6'!$A$3,"Niveau3","Svømmehaller","Aar",2010)</f>
        <v>2679862.92</v>
      </c>
      <c r="E91" s="75">
        <f>GETPIVOTDATA("KlimaKorrigeretKwh",'Ark6'!$A$3,"Niveau3","Svømmehaller","Aar",2011)</f>
        <v>2824499.4299999997</v>
      </c>
      <c r="F91" s="75">
        <f>GETPIVOTDATA("KlimaKorrigeretKwh",'Ark6'!$A$3,"Niveau3","Svømmehaller","Aar",2012)</f>
        <v>3000891.67</v>
      </c>
      <c r="G91" s="75">
        <f>GETPIVOTDATA("KlimaKorrigeretKwh",'Ark6'!$A$3,"Niveau3","Svømmehaller","Aar",2013)</f>
        <v>2916685.55</v>
      </c>
      <c r="H91" s="75">
        <f>GETPIVOTDATA("KlimaKorrigeretKwh",'Ark6'!$A$3,"Niveau3","Svømmehaller","Aar",2014)</f>
        <v>2942599.51</v>
      </c>
      <c r="I91" s="75">
        <f>GETPIVOTDATA("KlimaKorrigeretKwh",'Ark6'!$A$3,"Niveau3","Svømmehaller","Aar",2015)</f>
        <v>3023438</v>
      </c>
      <c r="J91" s="95">
        <f t="shared" ref="J91" si="33">(H91-B91)/B91</f>
        <v>5.3072659216293644E-2</v>
      </c>
      <c r="K91" s="95">
        <f t="shared" ref="K91" si="34">(I91-B91)/B91</f>
        <v>8.200245524936986E-2</v>
      </c>
      <c r="L91" s="95">
        <f t="shared" ref="L91" si="35">(H91-G91)/G91</f>
        <v>8.8847287634417644E-3</v>
      </c>
      <c r="M91" s="95">
        <f t="shared" ref="M91" si="36">(I91-H91)/H91</f>
        <v>2.7471794828104294E-2</v>
      </c>
      <c r="N91" s="2"/>
      <c r="O91" s="148">
        <f>'Energipriser - varme'!S33-'Energipriser - varme'!R33</f>
        <v>-84754.910811800277</v>
      </c>
      <c r="P91" s="148">
        <f>'Energipriser - varme'!T33-'Energipriser - varme'!S33</f>
        <v>-193784.2289195999</v>
      </c>
      <c r="Q91" s="120" t="s">
        <v>1463</v>
      </c>
      <c r="R91" s="71"/>
      <c r="V91" s="65"/>
    </row>
    <row r="92" spans="1:22" x14ac:dyDescent="0.25">
      <c r="A92" s="74" t="s">
        <v>40</v>
      </c>
      <c r="B92" s="75">
        <f>'Ark1'!D20</f>
        <v>301897.73</v>
      </c>
      <c r="C92" s="75">
        <f>'Ark1'!F20</f>
        <v>281820.25</v>
      </c>
      <c r="D92" s="75">
        <f>'Ark1'!H20</f>
        <v>309620.09999999998</v>
      </c>
      <c r="E92" s="75">
        <f>'Ark1'!J20</f>
        <v>315405.76</v>
      </c>
      <c r="F92" s="75">
        <f>'Ark1'!L20</f>
        <v>318429.57</v>
      </c>
      <c r="G92" s="75">
        <f>'Ark1'!N20</f>
        <v>359760.67</v>
      </c>
      <c r="H92" s="75">
        <f>'Ark1'!P20</f>
        <v>247667.78</v>
      </c>
      <c r="I92" s="75">
        <f>'Ark1'!R20</f>
        <v>268387</v>
      </c>
      <c r="J92" s="95">
        <f t="shared" si="29"/>
        <v>-0.17963020126053941</v>
      </c>
      <c r="K92" s="95">
        <f t="shared" si="30"/>
        <v>-0.11100027151578776</v>
      </c>
      <c r="L92" s="95">
        <f t="shared" si="31"/>
        <v>-0.31157627652850434</v>
      </c>
      <c r="M92" s="95">
        <f t="shared" si="32"/>
        <v>8.3657308996753638E-2</v>
      </c>
      <c r="N92" s="2"/>
      <c r="O92" s="148">
        <f>'Energipriser - varme'!L79-'Energipriser - varme'!J79</f>
        <v>-112092.88999999998</v>
      </c>
      <c r="P92" s="148">
        <f>'Energipriser - varme'!T34-'Energipriser - varme'!S34</f>
        <v>-7455.0638875999866</v>
      </c>
      <c r="R92" s="71"/>
    </row>
    <row r="93" spans="1:22" ht="30" customHeight="1" x14ac:dyDescent="0.25">
      <c r="A93" s="11" t="s">
        <v>1364</v>
      </c>
      <c r="B93" s="7">
        <f>SUM(B77:B92)</f>
        <v>24387650.34</v>
      </c>
      <c r="C93" s="7">
        <f t="shared" ref="C93:I93" si="37">SUM(C77:C92)</f>
        <v>25352025.250000004</v>
      </c>
      <c r="D93" s="7">
        <f t="shared" si="37"/>
        <v>24792721.329999998</v>
      </c>
      <c r="E93" s="7">
        <f t="shared" si="37"/>
        <v>23788696.540000003</v>
      </c>
      <c r="F93" s="7">
        <f t="shared" si="37"/>
        <v>22958736.100000001</v>
      </c>
      <c r="G93" s="7">
        <f t="shared" si="37"/>
        <v>21867315.900000002</v>
      </c>
      <c r="H93" s="7">
        <f t="shared" si="37"/>
        <v>21359168.170000002</v>
      </c>
      <c r="I93" s="7">
        <f t="shared" si="37"/>
        <v>20285139.140000001</v>
      </c>
      <c r="J93" s="96">
        <f t="shared" si="29"/>
        <v>-0.12418097388548986</v>
      </c>
      <c r="K93" s="95">
        <f t="shared" si="30"/>
        <v>-0.16822084714209493</v>
      </c>
      <c r="L93" s="95">
        <f t="shared" si="31"/>
        <v>-2.3237773319952835E-2</v>
      </c>
      <c r="M93" s="95">
        <f t="shared" si="32"/>
        <v>-5.028421619473588E-2</v>
      </c>
      <c r="N93" s="2"/>
      <c r="O93" s="148">
        <f>SUM(O77:O92)</f>
        <v>-800938.12757947412</v>
      </c>
      <c r="P93" s="148">
        <f>SUM(P77:P92)</f>
        <v>-2206842.4663145449</v>
      </c>
      <c r="R93" s="71"/>
    </row>
    <row r="94" spans="1:22" ht="8.25" customHeight="1" x14ac:dyDescent="0.25">
      <c r="A94" s="5"/>
    </row>
    <row r="95" spans="1:22" hidden="1" x14ac:dyDescent="0.25">
      <c r="A95" s="5"/>
    </row>
    <row r="96" spans="1:22" hidden="1" x14ac:dyDescent="0.25"/>
    <row r="97" spans="1:22" x14ac:dyDescent="0.25">
      <c r="A97" s="260" t="s">
        <v>1544</v>
      </c>
      <c r="B97" s="260"/>
    </row>
    <row r="98" spans="1:22" x14ac:dyDescent="0.25">
      <c r="A98" s="260"/>
      <c r="B98" s="260"/>
      <c r="J98" s="118" t="s">
        <v>1545</v>
      </c>
      <c r="K98" s="119"/>
      <c r="L98" s="118" t="s">
        <v>1545</v>
      </c>
      <c r="M98" s="123"/>
      <c r="N98" s="16" t="s">
        <v>1391</v>
      </c>
      <c r="O98" s="17"/>
      <c r="P98" s="261" t="s">
        <v>1391</v>
      </c>
      <c r="Q98" s="262"/>
      <c r="R98" s="261" t="s">
        <v>1391</v>
      </c>
      <c r="S98" s="262"/>
      <c r="T98" s="261" t="s">
        <v>1392</v>
      </c>
      <c r="U98" s="262"/>
      <c r="V98" s="262"/>
    </row>
    <row r="99" spans="1:22" x14ac:dyDescent="0.25">
      <c r="A99" s="8" t="s">
        <v>1375</v>
      </c>
      <c r="B99" s="9">
        <v>2008</v>
      </c>
      <c r="C99" s="9">
        <v>2009</v>
      </c>
      <c r="D99" s="9">
        <v>2010</v>
      </c>
      <c r="E99" s="9">
        <v>2011</v>
      </c>
      <c r="F99" s="9">
        <v>2012</v>
      </c>
      <c r="G99" s="9">
        <v>2013</v>
      </c>
      <c r="H99" s="9">
        <v>2014</v>
      </c>
      <c r="I99" s="9">
        <v>2015</v>
      </c>
      <c r="J99" s="117" t="s">
        <v>1389</v>
      </c>
      <c r="K99" s="117" t="s">
        <v>1443</v>
      </c>
      <c r="L99" s="117" t="s">
        <v>1390</v>
      </c>
      <c r="M99" s="117" t="s">
        <v>1444</v>
      </c>
      <c r="N99" s="18" t="s">
        <v>1416</v>
      </c>
      <c r="O99" s="18" t="s">
        <v>1417</v>
      </c>
      <c r="P99" s="9" t="s">
        <v>1389</v>
      </c>
      <c r="Q99" s="9" t="s">
        <v>1443</v>
      </c>
      <c r="R99" s="9" t="s">
        <v>1390</v>
      </c>
      <c r="S99" s="9" t="s">
        <v>1444</v>
      </c>
      <c r="T99" s="9">
        <v>2008</v>
      </c>
      <c r="U99" s="9">
        <v>2014</v>
      </c>
      <c r="V99" s="9">
        <v>2015</v>
      </c>
    </row>
    <row r="100" spans="1:22" x14ac:dyDescent="0.25">
      <c r="A100" s="65" t="s">
        <v>1371</v>
      </c>
      <c r="B100" s="77">
        <f>SUM('CO2 beregning'!I8:I9)</f>
        <v>409008.75999999995</v>
      </c>
      <c r="C100" s="77">
        <f>SUM('CO2 beregning'!I13:I14)</f>
        <v>471780.75599999999</v>
      </c>
      <c r="D100" s="77">
        <f>SUM('CO2 beregning'!I18:I19)</f>
        <v>468372.72</v>
      </c>
      <c r="E100" s="77">
        <f>SUM('CO2 beregning'!I23:I24)+'CO2 beregning'!I26</f>
        <v>482873.32399999996</v>
      </c>
      <c r="F100" s="77">
        <f>SUM('CO2 beregning'!I30:I31)+'CO2 beregning'!I33</f>
        <v>471994.20199999999</v>
      </c>
      <c r="G100" s="77">
        <f>SUM('CO2 beregning'!I37:I38)+'CO2 beregning'!I40</f>
        <v>452317.76400000002</v>
      </c>
      <c r="H100" s="77">
        <f>SUM('CO2 beregning'!I44:I45)+'CO2 beregning'!I47</f>
        <v>475400.17800000001</v>
      </c>
      <c r="I100" s="77">
        <f>SUM('CO2 beregning'!I51:I52)+'CO2 beregning'!I54</f>
        <v>457366.48099999991</v>
      </c>
      <c r="J100" s="78">
        <f>H100-B100</f>
        <v>66391.418000000063</v>
      </c>
      <c r="K100" s="78">
        <f>H100-G100</f>
        <v>23082.41399999999</v>
      </c>
      <c r="L100" s="128">
        <f>H100-G100</f>
        <v>23082.41399999999</v>
      </c>
      <c r="M100" s="128">
        <f>I100-H100</f>
        <v>-18033.697000000102</v>
      </c>
      <c r="N100" s="94">
        <f>(G100-B100)/B100</f>
        <v>0.10588771741710393</v>
      </c>
      <c r="O100" s="94">
        <f>(G100-F100)/F100</f>
        <v>-4.1687880733755213E-2</v>
      </c>
      <c r="P100" s="94">
        <f>J100/B100</f>
        <v>0.1623227287356879</v>
      </c>
      <c r="Q100" s="94">
        <f>(I100-B100)/B100</f>
        <v>0.11823150438147087</v>
      </c>
      <c r="R100" s="94">
        <f>(H100-G100)/G100</f>
        <v>5.1031411625036216E-2</v>
      </c>
      <c r="S100" s="94">
        <f>(I100-H100)/H100</f>
        <v>-3.7933719494737131E-2</v>
      </c>
      <c r="T100" s="94">
        <f>B100/$B$105</f>
        <v>3.278357983487095E-2</v>
      </c>
      <c r="U100" s="94">
        <f>H100/$H$105</f>
        <v>6.1653005171327921E-2</v>
      </c>
      <c r="V100" s="125">
        <f>I100/$I$105</f>
        <v>6.5436709117171976E-2</v>
      </c>
    </row>
    <row r="101" spans="1:22" x14ac:dyDescent="0.25">
      <c r="A101" s="65" t="s">
        <v>1373</v>
      </c>
      <c r="B101" s="77">
        <f>B10*$D$111</f>
        <v>1088549</v>
      </c>
      <c r="C101" s="77">
        <f>C10*$D$111</f>
        <v>994748.99999999988</v>
      </c>
      <c r="D101" s="77">
        <f>D10*$D$111</f>
        <v>1028985.9999999999</v>
      </c>
      <c r="E101" s="77">
        <f>E10*$D$112</f>
        <v>837760</v>
      </c>
      <c r="F101" s="77">
        <f>F10*$D$113</f>
        <v>625259.6</v>
      </c>
      <c r="G101" s="77">
        <f>G10*$D$113</f>
        <v>628660.52399999998</v>
      </c>
      <c r="H101" s="77">
        <f>H10*$D$113</f>
        <v>614089.72399999993</v>
      </c>
      <c r="I101" s="77">
        <f>I10*D113</f>
        <v>594950</v>
      </c>
      <c r="J101" s="78">
        <f t="shared" ref="J101:J105" si="38">H101-B101</f>
        <v>-474459.27600000007</v>
      </c>
      <c r="K101" s="78">
        <f t="shared" ref="K101:K105" si="39">H101-G101</f>
        <v>-14570.800000000047</v>
      </c>
      <c r="L101" s="128">
        <f t="shared" ref="L101:L105" si="40">H101-G101</f>
        <v>-14570.800000000047</v>
      </c>
      <c r="M101" s="128">
        <f t="shared" ref="M101:M105" si="41">I101-H101</f>
        <v>-19139.723999999929</v>
      </c>
      <c r="N101" s="94">
        <f t="shared" ref="N101:N105" si="42">(G101-B101)/B101</f>
        <v>-0.42247843321706235</v>
      </c>
      <c r="O101" s="94">
        <f t="shared" ref="O101:O105" si="43">(G101-F101)/F101</f>
        <v>5.4392191659272393E-3</v>
      </c>
      <c r="P101" s="94">
        <f t="shared" ref="P101:P105" si="44">J101/B101</f>
        <v>-0.43586395835189784</v>
      </c>
      <c r="Q101" s="94">
        <f t="shared" ref="Q101:Q105" si="45">(I101-B101)/B101</f>
        <v>-0.4534467442439431</v>
      </c>
      <c r="R101" s="94">
        <f t="shared" ref="R101:R105" si="46">(H101-G101)/G101</f>
        <v>-2.3177532935088584E-2</v>
      </c>
      <c r="S101" s="94">
        <f t="shared" ref="S101:S105" si="47">(I101-H101)/H101</f>
        <v>-3.1167634389530886E-2</v>
      </c>
      <c r="T101" s="94">
        <f>B101/$B$105</f>
        <v>8.7251268275205018E-2</v>
      </c>
      <c r="U101" s="94">
        <f t="shared" ref="U101:U105" si="48">H101/$H$105</f>
        <v>7.9639172809546854E-2</v>
      </c>
      <c r="V101" s="125">
        <f t="shared" ref="V101:V105" si="49">I101/$I$105</f>
        <v>8.5121170235606905E-2</v>
      </c>
    </row>
    <row r="102" spans="1:22" x14ac:dyDescent="0.25">
      <c r="A102" s="65" t="s">
        <v>1376</v>
      </c>
      <c r="B102" s="78">
        <f>B32*$D$111</f>
        <v>4322351.9271099996</v>
      </c>
      <c r="C102" s="78">
        <f>C32*$D$111</f>
        <v>4232177.7379700001</v>
      </c>
      <c r="D102" s="78">
        <f>D32*$D$111</f>
        <v>4108958.9250500002</v>
      </c>
      <c r="E102" s="78">
        <f>E32*$D$112</f>
        <v>3088143.5238500009</v>
      </c>
      <c r="F102" s="78">
        <f>F32*$D$113</f>
        <v>2179485.08292</v>
      </c>
      <c r="G102" s="78">
        <f>G32*$D$113</f>
        <v>2171619.3153999997</v>
      </c>
      <c r="H102" s="78">
        <f>H32*$D$113</f>
        <v>2193051.43212</v>
      </c>
      <c r="I102" s="78">
        <f>I32*D113</f>
        <v>2013608.3509199999</v>
      </c>
      <c r="J102" s="78">
        <f t="shared" si="38"/>
        <v>-2129300.4949899996</v>
      </c>
      <c r="K102" s="78">
        <f t="shared" si="39"/>
        <v>21432.116720000282</v>
      </c>
      <c r="L102" s="128">
        <f t="shared" si="40"/>
        <v>21432.116720000282</v>
      </c>
      <c r="M102" s="128">
        <f t="shared" si="41"/>
        <v>-179443.08120000013</v>
      </c>
      <c r="N102" s="94">
        <f t="shared" si="42"/>
        <v>-0.49758387284952466</v>
      </c>
      <c r="O102" s="94">
        <f t="shared" si="43"/>
        <v>-3.609002686754772E-3</v>
      </c>
      <c r="P102" s="94">
        <f t="shared" si="44"/>
        <v>-0.49262543423059196</v>
      </c>
      <c r="Q102" s="94">
        <f t="shared" si="45"/>
        <v>-0.53414058251699692</v>
      </c>
      <c r="R102" s="94">
        <f t="shared" si="46"/>
        <v>9.8691868174199809E-3</v>
      </c>
      <c r="S102" s="94">
        <f t="shared" si="47"/>
        <v>-8.1823471429730385E-2</v>
      </c>
      <c r="T102" s="94">
        <f t="shared" ref="T102:T104" si="50">B102/$B$105</f>
        <v>0.34645265171537892</v>
      </c>
      <c r="U102" s="94">
        <f t="shared" si="48"/>
        <v>0.28440925675354389</v>
      </c>
      <c r="V102" s="125">
        <f t="shared" si="49"/>
        <v>0.28809261152449955</v>
      </c>
    </row>
    <row r="103" spans="1:22" x14ac:dyDescent="0.25">
      <c r="A103" s="65" t="s">
        <v>1377</v>
      </c>
      <c r="B103" s="78">
        <f>B93*D114</f>
        <v>6584665.5918000005</v>
      </c>
      <c r="C103" s="78">
        <f>C93*D114</f>
        <v>6845046.8175000018</v>
      </c>
      <c r="D103" s="78">
        <f>D93*$D$115</f>
        <v>5776704.0698899999</v>
      </c>
      <c r="E103" s="121">
        <f t="shared" ref="E103:G103" si="51">E93*$D$115</f>
        <v>5542766.2938200012</v>
      </c>
      <c r="F103" s="121">
        <f t="shared" si="51"/>
        <v>5349385.5113000004</v>
      </c>
      <c r="G103" s="121">
        <f t="shared" si="51"/>
        <v>5095084.604700001</v>
      </c>
      <c r="H103" s="78">
        <f>'CO2 beregning'!U15</f>
        <v>4360974.2611600002</v>
      </c>
      <c r="I103" s="121">
        <f>'CO2 beregning'!U16</f>
        <v>3861330.2576000001</v>
      </c>
      <c r="J103" s="78">
        <f t="shared" si="38"/>
        <v>-2223691.3306400003</v>
      </c>
      <c r="K103" s="78">
        <f t="shared" si="39"/>
        <v>-734110.34354000073</v>
      </c>
      <c r="L103" s="128">
        <f t="shared" si="40"/>
        <v>-734110.34354000073</v>
      </c>
      <c r="M103" s="128">
        <f t="shared" si="41"/>
        <v>-499644.0035600001</v>
      </c>
      <c r="N103" s="94">
        <f t="shared" si="42"/>
        <v>-0.22621968668462084</v>
      </c>
      <c r="O103" s="94">
        <f t="shared" si="43"/>
        <v>-4.7538339882742822E-2</v>
      </c>
      <c r="P103" s="94">
        <f t="shared" si="44"/>
        <v>-0.33770755699563576</v>
      </c>
      <c r="Q103" s="124">
        <f t="shared" si="45"/>
        <v>-0.41358749297632025</v>
      </c>
      <c r="R103" s="124">
        <f t="shared" si="46"/>
        <v>-0.14408207134829809</v>
      </c>
      <c r="S103" s="124">
        <f t="shared" si="47"/>
        <v>-0.11457164698493244</v>
      </c>
      <c r="T103" s="94">
        <f t="shared" si="50"/>
        <v>0.52778554208644124</v>
      </c>
      <c r="U103" s="94">
        <f t="shared" si="48"/>
        <v>0.56555967186727785</v>
      </c>
      <c r="V103" s="125">
        <f t="shared" si="49"/>
        <v>0.55245138279362882</v>
      </c>
    </row>
    <row r="104" spans="1:22" x14ac:dyDescent="0.25">
      <c r="A104" s="65" t="s">
        <v>1378</v>
      </c>
      <c r="B104" s="78">
        <f t="shared" ref="B104:H104" si="52">B73*$D$118</f>
        <v>71449.672000000006</v>
      </c>
      <c r="C104" s="78">
        <f t="shared" si="52"/>
        <v>75188.455999999991</v>
      </c>
      <c r="D104" s="78">
        <f t="shared" si="52"/>
        <v>73747.031999999992</v>
      </c>
      <c r="E104" s="78">
        <f t="shared" si="52"/>
        <v>69769.207999999999</v>
      </c>
      <c r="F104" s="78">
        <f t="shared" si="52"/>
        <v>74873.911999999997</v>
      </c>
      <c r="G104" s="78">
        <f t="shared" si="52"/>
        <v>68063.872000000018</v>
      </c>
      <c r="H104" s="78">
        <f t="shared" si="52"/>
        <v>67384.736000000004</v>
      </c>
      <c r="I104" s="78">
        <f>I73*D118</f>
        <v>62192.991999999998</v>
      </c>
      <c r="J104" s="78">
        <f t="shared" si="38"/>
        <v>-4064.9360000000015</v>
      </c>
      <c r="K104" s="78">
        <f t="shared" si="39"/>
        <v>-679.13600000001315</v>
      </c>
      <c r="L104" s="128">
        <f t="shared" si="40"/>
        <v>-679.13600000001315</v>
      </c>
      <c r="M104" s="128">
        <f t="shared" si="41"/>
        <v>-5191.7440000000061</v>
      </c>
      <c r="N104" s="94">
        <f t="shared" si="42"/>
        <v>-4.7387201441596374E-2</v>
      </c>
      <c r="O104" s="94">
        <f t="shared" si="43"/>
        <v>-9.0953441834319804E-2</v>
      </c>
      <c r="P104" s="94">
        <f t="shared" si="44"/>
        <v>-5.6892297560162362E-2</v>
      </c>
      <c r="Q104" s="124">
        <f t="shared" si="45"/>
        <v>-0.12955524834319754</v>
      </c>
      <c r="R104" s="124">
        <f t="shared" si="46"/>
        <v>-9.9779219142868188E-3</v>
      </c>
      <c r="S104" s="124">
        <f t="shared" si="47"/>
        <v>-7.7046291314401022E-2</v>
      </c>
      <c r="T104" s="94">
        <f t="shared" si="50"/>
        <v>5.7269580881038938E-3</v>
      </c>
      <c r="U104" s="94">
        <f t="shared" si="48"/>
        <v>8.738893398303622E-3</v>
      </c>
      <c r="V104" s="125">
        <f t="shared" si="49"/>
        <v>8.898126329092761E-3</v>
      </c>
    </row>
    <row r="105" spans="1:22" ht="15.75" thickBot="1" x14ac:dyDescent="0.3">
      <c r="A105" s="63" t="s">
        <v>1379</v>
      </c>
      <c r="B105" s="79">
        <f>SUM(B100:B104)</f>
        <v>12476024.95091</v>
      </c>
      <c r="C105" s="79">
        <f t="shared" ref="C105:H105" si="53">SUM(C100:C104)</f>
        <v>12618942.767470002</v>
      </c>
      <c r="D105" s="79">
        <f t="shared" si="53"/>
        <v>11456768.74694</v>
      </c>
      <c r="E105" s="79">
        <f t="shared" si="53"/>
        <v>10021312.349670002</v>
      </c>
      <c r="F105" s="79">
        <f t="shared" si="53"/>
        <v>8700998.3082200009</v>
      </c>
      <c r="G105" s="79">
        <f t="shared" si="53"/>
        <v>8415746.0800999999</v>
      </c>
      <c r="H105" s="79">
        <f t="shared" si="53"/>
        <v>7710900.3312799996</v>
      </c>
      <c r="I105" s="122">
        <f>SUM(I100:I104)</f>
        <v>6989448.0815199995</v>
      </c>
      <c r="J105" s="79">
        <f t="shared" si="38"/>
        <v>-4765124.6196300006</v>
      </c>
      <c r="K105" s="112">
        <f t="shared" si="39"/>
        <v>-704845.74882000033</v>
      </c>
      <c r="L105" s="129">
        <f t="shared" si="40"/>
        <v>-704845.74882000033</v>
      </c>
      <c r="M105" s="129">
        <f t="shared" si="41"/>
        <v>-721452.24976000004</v>
      </c>
      <c r="N105" s="111">
        <f t="shared" si="42"/>
        <v>-0.32544651736319619</v>
      </c>
      <c r="O105" s="111">
        <f t="shared" si="43"/>
        <v>-3.2783850543967784E-2</v>
      </c>
      <c r="P105" s="111">
        <f t="shared" si="44"/>
        <v>-0.38194253685605467</v>
      </c>
      <c r="Q105" s="111">
        <f t="shared" si="45"/>
        <v>-0.4397696294275053</v>
      </c>
      <c r="R105" s="111">
        <f t="shared" si="46"/>
        <v>-8.3753210007926598E-2</v>
      </c>
      <c r="S105" s="111">
        <f t="shared" si="47"/>
        <v>-9.3562647520336953E-2</v>
      </c>
      <c r="T105" s="126">
        <f>SUM(T100:T104)</f>
        <v>1</v>
      </c>
      <c r="U105" s="126">
        <f t="shared" si="48"/>
        <v>1</v>
      </c>
      <c r="V105" s="127">
        <f t="shared" si="49"/>
        <v>1</v>
      </c>
    </row>
    <row r="106" spans="1:22" hidden="1" x14ac:dyDescent="0.25">
      <c r="K106" s="65"/>
      <c r="L106" s="65"/>
    </row>
    <row r="107" spans="1:22" ht="15.75" hidden="1" thickBot="1" x14ac:dyDescent="0.3">
      <c r="H107" s="65"/>
      <c r="I107" s="65"/>
      <c r="J107" s="85"/>
      <c r="K107" s="86"/>
      <c r="L107" s="86"/>
      <c r="M107" s="86"/>
      <c r="R107" s="87"/>
      <c r="S107" s="87"/>
    </row>
    <row r="108" spans="1:22" x14ac:dyDescent="0.25">
      <c r="C108" s="251" t="s">
        <v>1543</v>
      </c>
      <c r="D108" s="250"/>
      <c r="E108" s="80"/>
      <c r="I108" s="200"/>
      <c r="N108" s="88"/>
      <c r="O108" s="88"/>
      <c r="P108" s="88"/>
      <c r="Q108" s="88"/>
      <c r="R108" s="87"/>
      <c r="S108" s="87"/>
    </row>
    <row r="109" spans="1:22" ht="15.75" thickBot="1" x14ac:dyDescent="0.3">
      <c r="C109" s="81" t="s">
        <v>1380</v>
      </c>
      <c r="D109" s="223" t="s">
        <v>1418</v>
      </c>
      <c r="E109" s="82"/>
      <c r="N109" s="88"/>
      <c r="O109" s="88"/>
      <c r="P109" s="88"/>
      <c r="Q109" s="88"/>
      <c r="R109" s="87"/>
      <c r="S109" s="87"/>
    </row>
    <row r="110" spans="1:22" x14ac:dyDescent="0.25">
      <c r="C110" s="81" t="s">
        <v>1381</v>
      </c>
      <c r="D110" s="223">
        <v>0.16400000000000001</v>
      </c>
      <c r="E110" s="82" t="s">
        <v>1382</v>
      </c>
      <c r="G110" s="149" t="s">
        <v>1507</v>
      </c>
      <c r="H110" s="150"/>
      <c r="I110" s="150"/>
      <c r="J110" s="150"/>
      <c r="K110" s="150"/>
      <c r="L110" s="141"/>
      <c r="N110" s="88"/>
      <c r="O110" s="88"/>
      <c r="P110" s="88"/>
      <c r="Q110" s="88"/>
      <c r="R110" s="87"/>
      <c r="S110" s="87"/>
      <c r="T110" s="86"/>
    </row>
    <row r="111" spans="1:22" x14ac:dyDescent="0.25">
      <c r="C111" s="81" t="s">
        <v>1383</v>
      </c>
      <c r="D111" s="223">
        <v>0.46899999999999997</v>
      </c>
      <c r="E111" s="82" t="s">
        <v>1384</v>
      </c>
      <c r="G111" s="139"/>
      <c r="H111" s="264" t="s">
        <v>1376</v>
      </c>
      <c r="I111" s="265" t="s">
        <v>1378</v>
      </c>
      <c r="J111" s="263" t="s">
        <v>1506</v>
      </c>
      <c r="K111" s="263"/>
      <c r="L111" s="266" t="s">
        <v>1415</v>
      </c>
      <c r="N111" s="88"/>
      <c r="O111" s="88"/>
      <c r="P111" s="88"/>
      <c r="Q111" s="88"/>
      <c r="T111" s="86"/>
    </row>
    <row r="112" spans="1:22" x14ac:dyDescent="0.25">
      <c r="C112" s="81" t="s">
        <v>1385</v>
      </c>
      <c r="D112" s="223">
        <v>0.38500000000000001</v>
      </c>
      <c r="E112" s="82" t="s">
        <v>1384</v>
      </c>
      <c r="G112" s="139"/>
      <c r="H112" s="264"/>
      <c r="I112" s="265"/>
      <c r="J112" s="140" t="s">
        <v>1505</v>
      </c>
      <c r="K112" s="151" t="s">
        <v>1504</v>
      </c>
      <c r="L112" s="267"/>
      <c r="N112" s="88"/>
      <c r="O112" s="88"/>
      <c r="P112" s="88"/>
      <c r="Q112" s="88"/>
      <c r="T112" s="86"/>
    </row>
    <row r="113" spans="3:20" x14ac:dyDescent="0.25">
      <c r="C113" s="81" t="s">
        <v>1386</v>
      </c>
      <c r="D113" s="223">
        <v>0.29199999999999998</v>
      </c>
      <c r="E113" s="82" t="s">
        <v>1384</v>
      </c>
      <c r="G113" s="137">
        <v>2013</v>
      </c>
      <c r="H113" s="144">
        <v>1.64</v>
      </c>
      <c r="I113" s="146">
        <f>57.79/1.25</f>
        <v>46.231999999999999</v>
      </c>
      <c r="J113" s="133">
        <v>625</v>
      </c>
      <c r="K113" s="144">
        <v>505.42</v>
      </c>
      <c r="L113" s="134">
        <v>6.48</v>
      </c>
      <c r="N113" s="88"/>
      <c r="O113" s="143"/>
      <c r="P113" s="88"/>
      <c r="Q113" s="88"/>
      <c r="T113" s="86"/>
    </row>
    <row r="114" spans="3:20" ht="23.25" x14ac:dyDescent="0.25">
      <c r="C114" s="81" t="s">
        <v>1541</v>
      </c>
      <c r="D114" s="224">
        <v>0.27</v>
      </c>
      <c r="E114" s="82" t="s">
        <v>1384</v>
      </c>
      <c r="G114" s="137">
        <v>2014</v>
      </c>
      <c r="H114" s="144">
        <v>1.62</v>
      </c>
      <c r="I114" s="146">
        <f>60.16/1.25</f>
        <v>48.128</v>
      </c>
      <c r="J114" s="133">
        <v>539.41999999999996</v>
      </c>
      <c r="K114" s="144">
        <v>520</v>
      </c>
      <c r="L114" s="134">
        <v>6.53</v>
      </c>
      <c r="T114" s="86"/>
    </row>
    <row r="115" spans="3:20" ht="24" thickBot="1" x14ac:dyDescent="0.3">
      <c r="C115" s="81" t="s">
        <v>1542</v>
      </c>
      <c r="D115" s="224">
        <v>0.23300000000000001</v>
      </c>
      <c r="E115" s="82" t="s">
        <v>1384</v>
      </c>
      <c r="G115" s="138">
        <v>2015</v>
      </c>
      <c r="H115" s="145">
        <v>1.6052999999999999</v>
      </c>
      <c r="I115" s="147">
        <f>60.66/1.25</f>
        <v>48.527999999999999</v>
      </c>
      <c r="J115" s="135">
        <v>470</v>
      </c>
      <c r="K115" s="145">
        <v>431.25</v>
      </c>
      <c r="L115" s="136">
        <v>5.72</v>
      </c>
    </row>
    <row r="116" spans="3:20" ht="23.25" x14ac:dyDescent="0.25">
      <c r="C116" s="81" t="s">
        <v>1419</v>
      </c>
      <c r="D116" s="225" t="s">
        <v>1531</v>
      </c>
      <c r="E116" s="82"/>
      <c r="H116" s="19" t="s">
        <v>1533</v>
      </c>
      <c r="I116" s="19" t="s">
        <v>1532</v>
      </c>
      <c r="J116" s="19" t="s">
        <v>1508</v>
      </c>
      <c r="K116" s="120" t="s">
        <v>1508</v>
      </c>
      <c r="L116" s="19" t="s">
        <v>1532</v>
      </c>
    </row>
    <row r="117" spans="3:20" ht="23.25" x14ac:dyDescent="0.25">
      <c r="C117" s="81" t="s">
        <v>1530</v>
      </c>
      <c r="D117" s="225" t="s">
        <v>1531</v>
      </c>
      <c r="E117" s="226"/>
    </row>
    <row r="118" spans="3:20" ht="15.75" thickBot="1" x14ac:dyDescent="0.3">
      <c r="C118" s="83" t="s">
        <v>1387</v>
      </c>
      <c r="D118" s="252">
        <v>0.8</v>
      </c>
      <c r="E118" s="84" t="s">
        <v>1388</v>
      </c>
    </row>
    <row r="120" spans="3:20" x14ac:dyDescent="0.25">
      <c r="M120" s="75"/>
      <c r="N120" s="75"/>
      <c r="O120" s="75"/>
    </row>
    <row r="121" spans="3:20" x14ac:dyDescent="0.25">
      <c r="M121" s="131"/>
      <c r="N121" s="131"/>
      <c r="O121" s="131"/>
    </row>
    <row r="122" spans="3:20" x14ac:dyDescent="0.25">
      <c r="N122" s="131"/>
      <c r="O122" s="131"/>
    </row>
  </sheetData>
  <mergeCells count="8">
    <mergeCell ref="A97:B98"/>
    <mergeCell ref="T98:V98"/>
    <mergeCell ref="P98:Q98"/>
    <mergeCell ref="R98:S98"/>
    <mergeCell ref="J111:K111"/>
    <mergeCell ref="H111:H112"/>
    <mergeCell ref="I111:I112"/>
    <mergeCell ref="L111:L112"/>
  </mergeCells>
  <pageMargins left="0.39370078740157483" right="0.39370078740157483" top="0.39370078740157483" bottom="0.39370078740157483" header="0.31496062992125984" footer="0.31496062992125984"/>
  <pageSetup paperSize="8" scale="8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'CO2regnskab2008-2015'!B30:I30</xm:f>
              <xm:sqref>N30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'CO2regnskab2008-2015'!B77:I77</xm:f>
              <xm:sqref>N77</xm:sqref>
            </x14:sparkline>
            <x14:sparkline>
              <xm:f>'CO2regnskab2008-2015'!B78:I78</xm:f>
              <xm:sqref>N78</xm:sqref>
            </x14:sparkline>
            <x14:sparkline>
              <xm:f>'CO2regnskab2008-2015'!B79:I79</xm:f>
              <xm:sqref>N79</xm:sqref>
            </x14:sparkline>
            <x14:sparkline>
              <xm:f>'CO2regnskab2008-2015'!B80:I80</xm:f>
              <xm:sqref>N80</xm:sqref>
            </x14:sparkline>
            <x14:sparkline>
              <xm:f>'CO2regnskab2008-2015'!B81:I81</xm:f>
              <xm:sqref>N81</xm:sqref>
            </x14:sparkline>
            <x14:sparkline>
              <xm:f>'CO2regnskab2008-2015'!B82:I82</xm:f>
              <xm:sqref>N82</xm:sqref>
            </x14:sparkline>
            <x14:sparkline>
              <xm:f>'CO2regnskab2008-2015'!B83:I83</xm:f>
              <xm:sqref>N83</xm:sqref>
            </x14:sparkline>
            <x14:sparkline>
              <xm:f>'CO2regnskab2008-2015'!B84:I84</xm:f>
              <xm:sqref>N84</xm:sqref>
            </x14:sparkline>
            <x14:sparkline>
              <xm:f>'CO2regnskab2008-2015'!B85:I85</xm:f>
              <xm:sqref>N85</xm:sqref>
            </x14:sparkline>
            <x14:sparkline>
              <xm:f>'CO2regnskab2008-2015'!B86:I86</xm:f>
              <xm:sqref>N86</xm:sqref>
            </x14:sparkline>
            <x14:sparkline>
              <xm:f>'CO2regnskab2008-2015'!B87:I87</xm:f>
              <xm:sqref>N87</xm:sqref>
            </x14:sparkline>
            <x14:sparkline>
              <xm:f>'CO2regnskab2008-2015'!B88:I88</xm:f>
              <xm:sqref>N88</xm:sqref>
            </x14:sparkline>
            <x14:sparkline>
              <xm:f>'CO2regnskab2008-2015'!B89:I89</xm:f>
              <xm:sqref>N89</xm:sqref>
            </x14:sparkline>
            <x14:sparkline>
              <xm:f>'CO2regnskab2008-2015'!B90:I90</xm:f>
              <xm:sqref>N90</xm:sqref>
            </x14:sparkline>
            <x14:sparkline>
              <xm:f>'CO2regnskab2008-2015'!B91:I91</xm:f>
              <xm:sqref>N91</xm:sqref>
            </x14:sparkline>
            <x14:sparkline>
              <xm:f>'CO2regnskab2008-2015'!B92:I92</xm:f>
              <xm:sqref>N92</xm:sqref>
            </x14:sparkline>
            <x14:sparkline>
              <xm:f>'CO2regnskab2008-2015'!B93:I93</xm:f>
              <xm:sqref>N93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'CO2regnskab2008-2015'!B56:I56</xm:f>
              <xm:sqref>N56</xm:sqref>
            </x14:sparkline>
            <x14:sparkline>
              <xm:f>'CO2regnskab2008-2015'!B57:I57</xm:f>
              <xm:sqref>N57</xm:sqref>
            </x14:sparkline>
            <x14:sparkline>
              <xm:f>'CO2regnskab2008-2015'!B58:I58</xm:f>
              <xm:sqref>N58</xm:sqref>
            </x14:sparkline>
            <x14:sparkline>
              <xm:f>'CO2regnskab2008-2015'!B59:I59</xm:f>
              <xm:sqref>N59</xm:sqref>
            </x14:sparkline>
            <x14:sparkline>
              <xm:f>'CO2regnskab2008-2015'!B60:I60</xm:f>
              <xm:sqref>N60</xm:sqref>
            </x14:sparkline>
            <x14:sparkline>
              <xm:f>'CO2regnskab2008-2015'!B61:I61</xm:f>
              <xm:sqref>N61</xm:sqref>
            </x14:sparkline>
            <x14:sparkline>
              <xm:f>'CO2regnskab2008-2015'!B62:I62</xm:f>
              <xm:sqref>N62</xm:sqref>
            </x14:sparkline>
            <x14:sparkline>
              <xm:f>'CO2regnskab2008-2015'!B63:I63</xm:f>
              <xm:sqref>N63</xm:sqref>
            </x14:sparkline>
            <x14:sparkline>
              <xm:f>'CO2regnskab2008-2015'!B64:I64</xm:f>
              <xm:sqref>N64</xm:sqref>
            </x14:sparkline>
            <x14:sparkline>
              <xm:f>'CO2regnskab2008-2015'!B65:I65</xm:f>
              <xm:sqref>N65</xm:sqref>
            </x14:sparkline>
            <x14:sparkline>
              <xm:f>'CO2regnskab2008-2015'!B66:I66</xm:f>
              <xm:sqref>N66</xm:sqref>
            </x14:sparkline>
            <x14:sparkline>
              <xm:f>'CO2regnskab2008-2015'!B67:I67</xm:f>
              <xm:sqref>N67</xm:sqref>
            </x14:sparkline>
            <x14:sparkline>
              <xm:f>'CO2regnskab2008-2015'!B68:I68</xm:f>
              <xm:sqref>N68</xm:sqref>
            </x14:sparkline>
            <x14:sparkline>
              <xm:f>'CO2regnskab2008-2015'!B69:I69</xm:f>
              <xm:sqref>N69</xm:sqref>
            </x14:sparkline>
            <x14:sparkline>
              <xm:f>'CO2regnskab2008-2015'!B70:I70</xm:f>
              <xm:sqref>N70</xm:sqref>
            </x14:sparkline>
            <x14:sparkline>
              <xm:f>'CO2regnskab2008-2015'!B71:I71</xm:f>
              <xm:sqref>N71</xm:sqref>
            </x14:sparkline>
            <x14:sparkline>
              <xm:f>'CO2regnskab2008-2015'!B72:I72</xm:f>
              <xm:sqref>N72</xm:sqref>
            </x14:sparkline>
            <x14:sparkline>
              <xm:f>'CO2regnskab2008-2015'!B73:I73</xm:f>
              <xm:sqref>N73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'CO2regnskab2008-2015'!B36:I36</xm:f>
              <xm:sqref>N36</xm:sqref>
            </x14:sparkline>
            <x14:sparkline>
              <xm:f>'CO2regnskab2008-2015'!B37:I37</xm:f>
              <xm:sqref>N37</xm:sqref>
            </x14:sparkline>
            <x14:sparkline>
              <xm:f>'CO2regnskab2008-2015'!B38:I38</xm:f>
              <xm:sqref>N38</xm:sqref>
            </x14:sparkline>
            <x14:sparkline>
              <xm:f>'CO2regnskab2008-2015'!B39:I39</xm:f>
              <xm:sqref>N39</xm:sqref>
            </x14:sparkline>
            <x14:sparkline>
              <xm:f>'CO2regnskab2008-2015'!B40:I40</xm:f>
              <xm:sqref>N40</xm:sqref>
            </x14:sparkline>
            <x14:sparkline>
              <xm:f>'CO2regnskab2008-2015'!B41:I41</xm:f>
              <xm:sqref>N41</xm:sqref>
            </x14:sparkline>
            <x14:sparkline>
              <xm:f>'CO2regnskab2008-2015'!B42:I42</xm:f>
              <xm:sqref>N42</xm:sqref>
            </x14:sparkline>
            <x14:sparkline>
              <xm:f>'CO2regnskab2008-2015'!B43:I43</xm:f>
              <xm:sqref>N43</xm:sqref>
            </x14:sparkline>
            <x14:sparkline>
              <xm:f>'CO2regnskab2008-2015'!B44:I44</xm:f>
              <xm:sqref>N44</xm:sqref>
            </x14:sparkline>
            <x14:sparkline>
              <xm:f>'CO2regnskab2008-2015'!B45:I45</xm:f>
              <xm:sqref>N45</xm:sqref>
            </x14:sparkline>
            <x14:sparkline>
              <xm:f>'CO2regnskab2008-2015'!B46:I46</xm:f>
              <xm:sqref>N46</xm:sqref>
            </x14:sparkline>
            <x14:sparkline>
              <xm:f>'CO2regnskab2008-2015'!B47:I47</xm:f>
              <xm:sqref>N47</xm:sqref>
            </x14:sparkline>
            <x14:sparkline>
              <xm:f>'CO2regnskab2008-2015'!B48:I48</xm:f>
              <xm:sqref>N48</xm:sqref>
            </x14:sparkline>
            <x14:sparkline>
              <xm:f>'CO2regnskab2008-2015'!B49:I49</xm:f>
              <xm:sqref>N49</xm:sqref>
            </x14:sparkline>
            <x14:sparkline>
              <xm:f>'CO2regnskab2008-2015'!B50:I50</xm:f>
              <xm:sqref>N50</xm:sqref>
            </x14:sparkline>
            <x14:sparkline>
              <xm:f>'CO2regnskab2008-2015'!B51:I51</xm:f>
              <xm:sqref>N51</xm:sqref>
            </x14:sparkline>
            <x14:sparkline>
              <xm:f>'CO2regnskab2008-2015'!B52:I52</xm:f>
              <xm:sqref>N52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'CO2regnskab2008-2015'!B14:I14</xm:f>
              <xm:sqref>N14</xm:sqref>
            </x14:sparkline>
            <x14:sparkline>
              <xm:f>'CO2regnskab2008-2015'!B15:I15</xm:f>
              <xm:sqref>N15</xm:sqref>
            </x14:sparkline>
            <x14:sparkline>
              <xm:f>'CO2regnskab2008-2015'!B16:I16</xm:f>
              <xm:sqref>N16</xm:sqref>
            </x14:sparkline>
            <x14:sparkline>
              <xm:f>'CO2regnskab2008-2015'!B17:I17</xm:f>
              <xm:sqref>N17</xm:sqref>
            </x14:sparkline>
            <x14:sparkline>
              <xm:f>'CO2regnskab2008-2015'!B18:I18</xm:f>
              <xm:sqref>N18</xm:sqref>
            </x14:sparkline>
            <x14:sparkline>
              <xm:f>'CO2regnskab2008-2015'!B19:I19</xm:f>
              <xm:sqref>N19</xm:sqref>
            </x14:sparkline>
            <x14:sparkline>
              <xm:f>'CO2regnskab2008-2015'!B20:I20</xm:f>
              <xm:sqref>N20</xm:sqref>
            </x14:sparkline>
            <x14:sparkline>
              <xm:f>'CO2regnskab2008-2015'!B21:I21</xm:f>
              <xm:sqref>N21</xm:sqref>
            </x14:sparkline>
            <x14:sparkline>
              <xm:f>'CO2regnskab2008-2015'!B22:I22</xm:f>
              <xm:sqref>N22</xm:sqref>
            </x14:sparkline>
            <x14:sparkline>
              <xm:f>'CO2regnskab2008-2015'!B23:I23</xm:f>
              <xm:sqref>N23</xm:sqref>
            </x14:sparkline>
            <x14:sparkline>
              <xm:f>'CO2regnskab2008-2015'!B24:I24</xm:f>
              <xm:sqref>N24</xm:sqref>
            </x14:sparkline>
            <x14:sparkline>
              <xm:f>'CO2regnskab2008-2015'!B25:I25</xm:f>
              <xm:sqref>N25</xm:sqref>
            </x14:sparkline>
            <x14:sparkline>
              <xm:f>'CO2regnskab2008-2015'!B26:I26</xm:f>
              <xm:sqref>N26</xm:sqref>
            </x14:sparkline>
            <x14:sparkline>
              <xm:f>'CO2regnskab2008-2015'!B27:I27</xm:f>
              <xm:sqref>N27</xm:sqref>
            </x14:sparkline>
            <x14:sparkline>
              <xm:f>'CO2regnskab2008-2015'!B28:I28</xm:f>
              <xm:sqref>N28</xm:sqref>
            </x14:sparkline>
            <x14:sparkline>
              <xm:f>'CO2regnskab2008-2015'!B29:I29</xm:f>
              <xm:sqref>N29</xm:sqref>
            </x14:sparkline>
            <x14:sparkline>
              <xm:f>'CO2regnskab2008-2015'!B31:I31</xm:f>
              <xm:sqref>N31</xm:sqref>
            </x14:sparkline>
            <x14:sparkline>
              <xm:f>'CO2regnskab2008-2015'!B32:I32</xm:f>
              <xm:sqref>N32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'CO2regnskab2008-2015'!B10:I10</xm:f>
              <xm:sqref>N10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'CO2regnskab2008-2015'!B4:I4</xm:f>
              <xm:sqref>N4</xm:sqref>
            </x14:sparkline>
            <x14:sparkline>
              <xm:f>'CO2regnskab2008-2015'!B5:I5</xm:f>
              <xm:sqref>N5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8"/>
  <sheetViews>
    <sheetView topLeftCell="A25" zoomScale="85" zoomScaleNormal="85" workbookViewId="0">
      <selection activeCell="A65" sqref="A65:E74"/>
    </sheetView>
  </sheetViews>
  <sheetFormatPr defaultRowHeight="15" x14ac:dyDescent="0.25"/>
  <cols>
    <col min="1" max="1" width="45.85546875" customWidth="1"/>
    <col min="2" max="2" width="17.7109375" customWidth="1"/>
    <col min="3" max="4" width="11.5703125" customWidth="1"/>
    <col min="5" max="5" width="12.28515625" customWidth="1"/>
    <col min="6" max="7" width="11.5703125" customWidth="1"/>
    <col min="8" max="8" width="12.28515625" customWidth="1"/>
    <col min="9" max="9" width="11.5703125" customWidth="1"/>
    <col min="10" max="10" width="11.28515625" customWidth="1"/>
    <col min="11" max="11" width="10.5703125" customWidth="1"/>
    <col min="12" max="12" width="11.5703125" customWidth="1"/>
    <col min="13" max="13" width="11.28515625" customWidth="1"/>
    <col min="14" max="14" width="10.5703125" customWidth="1"/>
    <col min="15" max="15" width="11.5703125" customWidth="1"/>
    <col min="16" max="16" width="11.28515625" customWidth="1"/>
    <col min="17" max="17" width="10.5703125" customWidth="1"/>
    <col min="18" max="18" width="11.5703125" customWidth="1"/>
    <col min="19" max="19" width="11.28515625" customWidth="1"/>
    <col min="20" max="20" width="10.5703125" customWidth="1"/>
    <col min="21" max="21" width="11.5703125" customWidth="1"/>
    <col min="22" max="22" width="11.28515625" customWidth="1"/>
    <col min="23" max="23" width="10.5703125" customWidth="1"/>
    <col min="24" max="24" width="11.5703125" customWidth="1"/>
    <col min="25" max="25" width="11.28515625" customWidth="1"/>
    <col min="26" max="26" width="12.28515625" customWidth="1"/>
    <col min="27" max="27" width="9" customWidth="1"/>
    <col min="28" max="29" width="10.140625" customWidth="1"/>
    <col min="30" max="30" width="11.28515625" customWidth="1"/>
    <col min="31" max="31" width="9" customWidth="1"/>
    <col min="32" max="33" width="10.140625" customWidth="1"/>
    <col min="34" max="34" width="11.28515625" customWidth="1"/>
    <col min="35" max="35" width="12.28515625" customWidth="1"/>
    <col min="36" max="36" width="15.28515625" customWidth="1"/>
    <col min="37" max="38" width="13.28515625" customWidth="1"/>
    <col min="39" max="39" width="11.5703125" customWidth="1"/>
    <col min="40" max="40" width="14.28515625" customWidth="1"/>
    <col min="41" max="41" width="15.28515625" customWidth="1"/>
    <col min="42" max="42" width="14.28515625" customWidth="1"/>
    <col min="43" max="44" width="13.28515625" customWidth="1"/>
    <col min="45" max="45" width="11.5703125" customWidth="1"/>
    <col min="46" max="46" width="10.5703125" customWidth="1"/>
    <col min="47" max="47" width="14.28515625" customWidth="1"/>
    <col min="48" max="48" width="13.28515625" customWidth="1"/>
    <col min="49" max="49" width="14.28515625" customWidth="1"/>
    <col min="50" max="51" width="13.28515625" customWidth="1"/>
    <col min="52" max="52" width="11.5703125" customWidth="1"/>
    <col min="53" max="53" width="10.5703125" customWidth="1"/>
    <col min="54" max="54" width="14.28515625" customWidth="1"/>
    <col min="55" max="55" width="15.28515625" customWidth="1"/>
    <col min="56" max="56" width="15.140625" bestFit="1" customWidth="1"/>
    <col min="57" max="57" width="25.85546875" bestFit="1" customWidth="1"/>
    <col min="58" max="58" width="15.140625" bestFit="1" customWidth="1"/>
    <col min="59" max="59" width="25.85546875" bestFit="1" customWidth="1"/>
    <col min="60" max="60" width="15.140625" bestFit="1" customWidth="1"/>
    <col min="61" max="61" width="25.85546875" bestFit="1" customWidth="1"/>
    <col min="62" max="62" width="15.140625" bestFit="1" customWidth="1"/>
    <col min="63" max="63" width="25.85546875" bestFit="1" customWidth="1"/>
    <col min="64" max="64" width="19.7109375" bestFit="1" customWidth="1"/>
    <col min="65" max="65" width="30.42578125" bestFit="1" customWidth="1"/>
    <col min="66" max="66" width="15.140625" bestFit="1" customWidth="1"/>
    <col min="67" max="67" width="25.85546875" bestFit="1" customWidth="1"/>
    <col min="68" max="68" width="15.140625" bestFit="1" customWidth="1"/>
    <col min="69" max="69" width="25.85546875" bestFit="1" customWidth="1"/>
    <col min="70" max="70" width="15.140625" bestFit="1" customWidth="1"/>
    <col min="71" max="71" width="25.85546875" bestFit="1" customWidth="1"/>
    <col min="72" max="72" width="15.140625" bestFit="1" customWidth="1"/>
    <col min="73" max="73" width="25.85546875" bestFit="1" customWidth="1"/>
    <col min="74" max="74" width="15.140625" bestFit="1" customWidth="1"/>
    <col min="75" max="75" width="25.85546875" bestFit="1" customWidth="1"/>
    <col min="76" max="76" width="15.140625" bestFit="1" customWidth="1"/>
    <col min="77" max="77" width="25.85546875" bestFit="1" customWidth="1"/>
    <col min="78" max="78" width="19.7109375" bestFit="1" customWidth="1"/>
    <col min="79" max="79" width="30.42578125" bestFit="1" customWidth="1"/>
    <col min="80" max="80" width="15.140625" bestFit="1" customWidth="1"/>
    <col min="81" max="81" width="25.85546875" bestFit="1" customWidth="1"/>
    <col min="82" max="82" width="15.140625" bestFit="1" customWidth="1"/>
    <col min="83" max="83" width="25.85546875" bestFit="1" customWidth="1"/>
    <col min="84" max="84" width="15.140625" bestFit="1" customWidth="1"/>
    <col min="85" max="85" width="25.85546875" bestFit="1" customWidth="1"/>
    <col min="86" max="86" width="15.140625" bestFit="1" customWidth="1"/>
    <col min="87" max="87" width="25.85546875" bestFit="1" customWidth="1"/>
    <col min="88" max="88" width="15.140625" bestFit="1" customWidth="1"/>
    <col min="89" max="89" width="25.85546875" bestFit="1" customWidth="1"/>
    <col min="90" max="90" width="15.140625" bestFit="1" customWidth="1"/>
    <col min="91" max="91" width="25.85546875" bestFit="1" customWidth="1"/>
    <col min="92" max="92" width="19.7109375" bestFit="1" customWidth="1"/>
    <col min="93" max="93" width="30.42578125" bestFit="1" customWidth="1"/>
    <col min="94" max="94" width="15.140625" bestFit="1" customWidth="1"/>
    <col min="95" max="95" width="25.85546875" bestFit="1" customWidth="1"/>
    <col min="96" max="96" width="15.140625" bestFit="1" customWidth="1"/>
    <col min="97" max="97" width="25.85546875" bestFit="1" customWidth="1"/>
    <col min="98" max="98" width="15.140625" bestFit="1" customWidth="1"/>
    <col min="99" max="99" width="25.85546875" bestFit="1" customWidth="1"/>
    <col min="100" max="100" width="15.140625" bestFit="1" customWidth="1"/>
    <col min="101" max="101" width="25.85546875" bestFit="1" customWidth="1"/>
    <col min="102" max="102" width="15.140625" bestFit="1" customWidth="1"/>
    <col min="103" max="103" width="25.85546875" bestFit="1" customWidth="1"/>
    <col min="104" max="104" width="15.140625" bestFit="1" customWidth="1"/>
    <col min="105" max="105" width="25.85546875" bestFit="1" customWidth="1"/>
    <col min="106" max="106" width="19.7109375" bestFit="1" customWidth="1"/>
    <col min="107" max="107" width="30.42578125" bestFit="1" customWidth="1"/>
    <col min="108" max="108" width="20.140625" bestFit="1" customWidth="1"/>
    <col min="109" max="109" width="30.85546875" bestFit="1" customWidth="1"/>
  </cols>
  <sheetData>
    <row r="1" spans="1:5" x14ac:dyDescent="0.25">
      <c r="A1" s="106" t="s">
        <v>1395</v>
      </c>
      <c r="B1" s="107" t="s">
        <v>1405</v>
      </c>
    </row>
    <row r="3" spans="1:5" x14ac:dyDescent="0.25">
      <c r="A3" s="106" t="s">
        <v>1414</v>
      </c>
      <c r="B3" s="106" t="s">
        <v>1365</v>
      </c>
      <c r="C3" s="107"/>
      <c r="D3" s="107"/>
      <c r="E3" s="107"/>
    </row>
    <row r="4" spans="1:5" x14ac:dyDescent="0.25">
      <c r="A4" s="107"/>
      <c r="B4" s="107">
        <v>2013</v>
      </c>
      <c r="C4" s="107">
        <v>2014</v>
      </c>
      <c r="D4" s="107">
        <v>2015</v>
      </c>
      <c r="E4" s="107" t="s">
        <v>1364</v>
      </c>
    </row>
    <row r="5" spans="1:5" x14ac:dyDescent="0.25">
      <c r="A5" s="106" t="s">
        <v>1363</v>
      </c>
      <c r="B5" s="107"/>
      <c r="C5" s="107"/>
      <c r="D5" s="107"/>
      <c r="E5" s="107"/>
    </row>
    <row r="6" spans="1:5" x14ac:dyDescent="0.25">
      <c r="A6" s="108" t="s">
        <v>24</v>
      </c>
      <c r="B6" s="107">
        <v>623081.38</v>
      </c>
      <c r="C6" s="107">
        <v>561892.96</v>
      </c>
      <c r="D6" s="107">
        <v>485387</v>
      </c>
      <c r="E6" s="107">
        <v>1670361.3399999999</v>
      </c>
    </row>
    <row r="7" spans="1:5" x14ac:dyDescent="0.25">
      <c r="A7" s="109" t="s">
        <v>98</v>
      </c>
      <c r="B7" s="107">
        <v>487627.87</v>
      </c>
      <c r="C7" s="107">
        <v>414150.76</v>
      </c>
      <c r="D7" s="107">
        <v>300746</v>
      </c>
      <c r="E7" s="107">
        <v>1202524.6299999999</v>
      </c>
    </row>
    <row r="8" spans="1:5" x14ac:dyDescent="0.25">
      <c r="A8" s="109" t="s">
        <v>99</v>
      </c>
      <c r="B8" s="107">
        <v>135453.51</v>
      </c>
      <c r="C8" s="107">
        <v>147742.20000000001</v>
      </c>
      <c r="D8" s="107">
        <v>184641</v>
      </c>
      <c r="E8" s="107">
        <v>467836.71</v>
      </c>
    </row>
    <row r="9" spans="1:5" x14ac:dyDescent="0.25">
      <c r="A9" s="108" t="s">
        <v>26</v>
      </c>
      <c r="B9" s="107">
        <v>683857.16</v>
      </c>
      <c r="C9" s="107">
        <v>830107.47</v>
      </c>
      <c r="D9" s="107">
        <v>921510</v>
      </c>
      <c r="E9" s="107">
        <v>2435474.6300000004</v>
      </c>
    </row>
    <row r="10" spans="1:5" x14ac:dyDescent="0.25">
      <c r="A10" s="109" t="s">
        <v>106</v>
      </c>
      <c r="B10" s="107">
        <v>683857.16</v>
      </c>
      <c r="C10" s="107">
        <v>743319.27</v>
      </c>
      <c r="D10" s="107">
        <v>701533</v>
      </c>
      <c r="E10" s="107">
        <v>2128709.4300000002</v>
      </c>
    </row>
    <row r="11" spans="1:5" x14ac:dyDescent="0.25">
      <c r="A11" s="109" t="s">
        <v>107</v>
      </c>
      <c r="B11" s="107"/>
      <c r="C11" s="107">
        <v>86788.200000000012</v>
      </c>
      <c r="D11" s="107">
        <v>219977</v>
      </c>
      <c r="E11" s="107">
        <v>306765.2</v>
      </c>
    </row>
    <row r="12" spans="1:5" x14ac:dyDescent="0.25">
      <c r="A12" s="108" t="s">
        <v>27</v>
      </c>
      <c r="B12" s="107">
        <v>1401768.96</v>
      </c>
      <c r="C12" s="107">
        <v>1378021.35</v>
      </c>
      <c r="D12" s="107">
        <v>1419859</v>
      </c>
      <c r="E12" s="107">
        <v>4199649.3100000005</v>
      </c>
    </row>
    <row r="13" spans="1:5" x14ac:dyDescent="0.25">
      <c r="A13" s="109" t="s">
        <v>256</v>
      </c>
      <c r="B13" s="107">
        <v>42755.66</v>
      </c>
      <c r="C13" s="107">
        <v>39838.67</v>
      </c>
      <c r="D13" s="107">
        <v>35282</v>
      </c>
      <c r="E13" s="107">
        <v>117876.33</v>
      </c>
    </row>
    <row r="14" spans="1:5" x14ac:dyDescent="0.25">
      <c r="A14" s="109" t="s">
        <v>110</v>
      </c>
      <c r="B14" s="107">
        <v>66574.94</v>
      </c>
      <c r="C14" s="107">
        <v>57460.4</v>
      </c>
      <c r="D14" s="107">
        <v>62951</v>
      </c>
      <c r="E14" s="107">
        <v>186986.34</v>
      </c>
    </row>
    <row r="15" spans="1:5" x14ac:dyDescent="0.25">
      <c r="A15" s="109" t="s">
        <v>258</v>
      </c>
      <c r="B15" s="107">
        <v>150590.19</v>
      </c>
      <c r="C15" s="107">
        <v>140747.71</v>
      </c>
      <c r="D15" s="107">
        <v>145495</v>
      </c>
      <c r="E15" s="107">
        <v>436832.9</v>
      </c>
    </row>
    <row r="16" spans="1:5" x14ac:dyDescent="0.25">
      <c r="A16" s="109" t="s">
        <v>113</v>
      </c>
      <c r="B16" s="107">
        <v>65139.77</v>
      </c>
      <c r="C16" s="107">
        <v>65457.01</v>
      </c>
      <c r="D16" s="107">
        <v>62398</v>
      </c>
      <c r="E16" s="107">
        <v>192994.78</v>
      </c>
    </row>
    <row r="17" spans="1:5" x14ac:dyDescent="0.25">
      <c r="A17" s="109" t="s">
        <v>116</v>
      </c>
      <c r="B17" s="107">
        <v>93961.78</v>
      </c>
      <c r="C17" s="107">
        <v>94387.36</v>
      </c>
      <c r="D17" s="107">
        <v>87408</v>
      </c>
      <c r="E17" s="107">
        <v>275757.14</v>
      </c>
    </row>
    <row r="18" spans="1:5" x14ac:dyDescent="0.25">
      <c r="A18" s="109" t="s">
        <v>119</v>
      </c>
      <c r="B18" s="107">
        <v>40059.440000000002</v>
      </c>
      <c r="C18" s="107">
        <v>39974.5</v>
      </c>
      <c r="D18" s="107">
        <v>42700</v>
      </c>
      <c r="E18" s="107">
        <v>122733.94</v>
      </c>
    </row>
    <row r="19" spans="1:5" x14ac:dyDescent="0.25">
      <c r="A19" s="109" t="s">
        <v>120</v>
      </c>
      <c r="B19" s="107">
        <v>69516.69</v>
      </c>
      <c r="C19" s="107">
        <v>65902.320000000007</v>
      </c>
      <c r="D19" s="107">
        <v>66431</v>
      </c>
      <c r="E19" s="107">
        <v>201850.01</v>
      </c>
    </row>
    <row r="20" spans="1:5" x14ac:dyDescent="0.25">
      <c r="A20" s="109" t="s">
        <v>122</v>
      </c>
      <c r="B20" s="107">
        <v>100974.14</v>
      </c>
      <c r="C20" s="107">
        <v>98514.1</v>
      </c>
      <c r="D20" s="107">
        <v>142387</v>
      </c>
      <c r="E20" s="107">
        <v>341875.24</v>
      </c>
    </row>
    <row r="21" spans="1:5" x14ac:dyDescent="0.25">
      <c r="A21" s="109" t="s">
        <v>123</v>
      </c>
      <c r="B21" s="107">
        <v>55991.35</v>
      </c>
      <c r="C21" s="107">
        <v>59249.89</v>
      </c>
      <c r="D21" s="107">
        <v>58156</v>
      </c>
      <c r="E21" s="107">
        <v>173397.24</v>
      </c>
    </row>
    <row r="22" spans="1:5" x14ac:dyDescent="0.25">
      <c r="A22" s="109" t="s">
        <v>266</v>
      </c>
      <c r="B22" s="107">
        <v>75990.58</v>
      </c>
      <c r="C22" s="107">
        <v>67100.22</v>
      </c>
      <c r="D22" s="107">
        <v>62934</v>
      </c>
      <c r="E22" s="107">
        <v>206024.8</v>
      </c>
    </row>
    <row r="23" spans="1:5" x14ac:dyDescent="0.25">
      <c r="A23" s="109" t="s">
        <v>269</v>
      </c>
      <c r="B23" s="107">
        <v>52648.22</v>
      </c>
      <c r="C23" s="107">
        <v>53256.36</v>
      </c>
      <c r="D23" s="107">
        <v>46544</v>
      </c>
      <c r="E23" s="107">
        <v>152448.58000000002</v>
      </c>
    </row>
    <row r="24" spans="1:5" x14ac:dyDescent="0.25">
      <c r="A24" s="109" t="s">
        <v>130</v>
      </c>
      <c r="B24" s="107">
        <v>95565.3</v>
      </c>
      <c r="C24" s="107">
        <v>105831.62</v>
      </c>
      <c r="D24" s="107">
        <v>94730</v>
      </c>
      <c r="E24" s="107">
        <v>296126.92</v>
      </c>
    </row>
    <row r="25" spans="1:5" x14ac:dyDescent="0.25">
      <c r="A25" s="109" t="s">
        <v>271</v>
      </c>
      <c r="B25" s="107">
        <v>42025.16</v>
      </c>
      <c r="C25" s="107">
        <v>38840.92</v>
      </c>
      <c r="D25" s="107">
        <v>45084</v>
      </c>
      <c r="E25" s="107">
        <v>125950.08</v>
      </c>
    </row>
    <row r="26" spans="1:5" x14ac:dyDescent="0.25">
      <c r="A26" s="109" t="s">
        <v>132</v>
      </c>
      <c r="B26" s="107">
        <v>49439.76</v>
      </c>
      <c r="C26" s="107">
        <v>43183.82</v>
      </c>
      <c r="D26" s="107">
        <v>53465</v>
      </c>
      <c r="E26" s="107">
        <v>146088.58000000002</v>
      </c>
    </row>
    <row r="27" spans="1:5" x14ac:dyDescent="0.25">
      <c r="A27" s="109" t="s">
        <v>136</v>
      </c>
      <c r="B27" s="107">
        <v>79244.94</v>
      </c>
      <c r="C27" s="107">
        <v>77726.320000000007</v>
      </c>
      <c r="D27" s="107">
        <v>61402</v>
      </c>
      <c r="E27" s="107">
        <v>218373.26</v>
      </c>
    </row>
    <row r="28" spans="1:5" x14ac:dyDescent="0.25">
      <c r="A28" s="109" t="s">
        <v>139</v>
      </c>
      <c r="B28" s="107">
        <v>152805.20000000001</v>
      </c>
      <c r="C28" s="107">
        <v>145047.82999999999</v>
      </c>
      <c r="D28" s="107">
        <v>151946</v>
      </c>
      <c r="E28" s="107">
        <v>449799.03</v>
      </c>
    </row>
    <row r="29" spans="1:5" x14ac:dyDescent="0.25">
      <c r="A29" s="109" t="s">
        <v>140</v>
      </c>
      <c r="B29" s="107">
        <v>168485.84</v>
      </c>
      <c r="C29" s="107">
        <v>185502.3</v>
      </c>
      <c r="D29" s="107">
        <v>200546</v>
      </c>
      <c r="E29" s="107">
        <v>554534.14</v>
      </c>
    </row>
    <row r="30" spans="1:5" x14ac:dyDescent="0.25">
      <c r="A30" s="108" t="s">
        <v>28</v>
      </c>
      <c r="B30" s="107"/>
      <c r="C30" s="107">
        <v>73185.47</v>
      </c>
      <c r="D30" s="107">
        <v>76569</v>
      </c>
      <c r="E30" s="107">
        <v>149754.47</v>
      </c>
    </row>
    <row r="31" spans="1:5" x14ac:dyDescent="0.25">
      <c r="A31" s="109" t="s">
        <v>141</v>
      </c>
      <c r="B31" s="107"/>
      <c r="C31" s="107">
        <v>73185.47</v>
      </c>
      <c r="D31" s="107">
        <v>76569</v>
      </c>
      <c r="E31" s="107">
        <v>149754.47</v>
      </c>
    </row>
    <row r="32" spans="1:5" x14ac:dyDescent="0.25">
      <c r="A32" s="108" t="s">
        <v>29</v>
      </c>
      <c r="B32" s="107">
        <v>99697.7</v>
      </c>
      <c r="C32" s="107">
        <v>88845.119999999995</v>
      </c>
      <c r="D32" s="107">
        <v>94980</v>
      </c>
      <c r="E32" s="107">
        <v>283522.82</v>
      </c>
    </row>
    <row r="33" spans="1:5" x14ac:dyDescent="0.25">
      <c r="A33" s="109" t="s">
        <v>144</v>
      </c>
      <c r="B33" s="107">
        <v>54567.67</v>
      </c>
      <c r="C33" s="107">
        <v>50069.58</v>
      </c>
      <c r="D33" s="107">
        <v>51121</v>
      </c>
      <c r="E33" s="107">
        <v>155758.25</v>
      </c>
    </row>
    <row r="34" spans="1:5" x14ac:dyDescent="0.25">
      <c r="A34" s="109" t="s">
        <v>147</v>
      </c>
      <c r="B34" s="107">
        <v>45130.03</v>
      </c>
      <c r="C34" s="107">
        <v>38775.54</v>
      </c>
      <c r="D34" s="107">
        <v>43859</v>
      </c>
      <c r="E34" s="107">
        <v>127764.57</v>
      </c>
    </row>
    <row r="35" spans="1:5" x14ac:dyDescent="0.25">
      <c r="A35" s="108" t="s">
        <v>30</v>
      </c>
      <c r="B35" s="107">
        <v>311957.89999999997</v>
      </c>
      <c r="C35" s="107">
        <v>281547.71000000002</v>
      </c>
      <c r="D35" s="107">
        <v>275268</v>
      </c>
      <c r="E35" s="107">
        <v>868773.61</v>
      </c>
    </row>
    <row r="36" spans="1:5" x14ac:dyDescent="0.25">
      <c r="A36" s="109" t="s">
        <v>152</v>
      </c>
      <c r="B36" s="107">
        <v>57987.6</v>
      </c>
      <c r="C36" s="107">
        <v>60151.33</v>
      </c>
      <c r="D36" s="107">
        <v>70127</v>
      </c>
      <c r="E36" s="107">
        <v>188265.93</v>
      </c>
    </row>
    <row r="37" spans="1:5" x14ac:dyDescent="0.25">
      <c r="A37" s="109" t="s">
        <v>133</v>
      </c>
      <c r="B37" s="107">
        <v>83125.95</v>
      </c>
      <c r="C37" s="107">
        <v>75968.83</v>
      </c>
      <c r="D37" s="107">
        <v>67250</v>
      </c>
      <c r="E37" s="107">
        <v>226344.78</v>
      </c>
    </row>
    <row r="38" spans="1:5" x14ac:dyDescent="0.25">
      <c r="A38" s="109" t="s">
        <v>153</v>
      </c>
      <c r="B38" s="107">
        <v>111100.78</v>
      </c>
      <c r="C38" s="107">
        <v>103003.98</v>
      </c>
      <c r="D38" s="107">
        <v>88683</v>
      </c>
      <c r="E38" s="107">
        <v>302787.76</v>
      </c>
    </row>
    <row r="39" spans="1:5" x14ac:dyDescent="0.25">
      <c r="A39" s="109" t="s">
        <v>154</v>
      </c>
      <c r="B39" s="107">
        <v>59743.57</v>
      </c>
      <c r="C39" s="107">
        <v>42423.57</v>
      </c>
      <c r="D39" s="107">
        <v>49208</v>
      </c>
      <c r="E39" s="107">
        <v>151375.14000000001</v>
      </c>
    </row>
    <row r="40" spans="1:5" x14ac:dyDescent="0.25">
      <c r="A40" s="108" t="s">
        <v>31</v>
      </c>
      <c r="B40" s="107">
        <v>1325210.4100000001</v>
      </c>
      <c r="C40" s="107">
        <v>1192713.5899999999</v>
      </c>
      <c r="D40" s="107">
        <v>1215195</v>
      </c>
      <c r="E40" s="107">
        <v>3733119</v>
      </c>
    </row>
    <row r="41" spans="1:5" x14ac:dyDescent="0.25">
      <c r="A41" s="109" t="s">
        <v>156</v>
      </c>
      <c r="B41" s="107">
        <v>482844</v>
      </c>
      <c r="C41" s="107">
        <v>461574.16</v>
      </c>
      <c r="D41" s="107">
        <v>434347</v>
      </c>
      <c r="E41" s="107">
        <v>1378765.16</v>
      </c>
    </row>
    <row r="42" spans="1:5" x14ac:dyDescent="0.25">
      <c r="A42" s="109" t="s">
        <v>157</v>
      </c>
      <c r="B42" s="107">
        <v>157887.53</v>
      </c>
      <c r="C42" s="107">
        <v>151151.85999999999</v>
      </c>
      <c r="D42" s="107">
        <v>184978</v>
      </c>
      <c r="E42" s="107">
        <v>494017.39</v>
      </c>
    </row>
    <row r="43" spans="1:5" x14ac:dyDescent="0.25">
      <c r="A43" s="109" t="s">
        <v>158</v>
      </c>
      <c r="B43" s="107">
        <v>284953.06</v>
      </c>
      <c r="C43" s="107">
        <v>228247.22</v>
      </c>
      <c r="D43" s="107">
        <v>233592</v>
      </c>
      <c r="E43" s="107">
        <v>746792.28</v>
      </c>
    </row>
    <row r="44" spans="1:5" x14ac:dyDescent="0.25">
      <c r="A44" s="109" t="s">
        <v>1397</v>
      </c>
      <c r="B44" s="107">
        <v>399525.82</v>
      </c>
      <c r="C44" s="107">
        <v>351740.35</v>
      </c>
      <c r="D44" s="107">
        <v>362278</v>
      </c>
      <c r="E44" s="107">
        <v>1113544.17</v>
      </c>
    </row>
    <row r="45" spans="1:5" x14ac:dyDescent="0.25">
      <c r="A45" s="108" t="s">
        <v>32</v>
      </c>
      <c r="B45" s="107">
        <v>369515.39</v>
      </c>
      <c r="C45" s="107">
        <v>341953.82</v>
      </c>
      <c r="D45" s="107">
        <v>66863</v>
      </c>
      <c r="E45" s="107">
        <v>778332.21</v>
      </c>
    </row>
    <row r="46" spans="1:5" x14ac:dyDescent="0.25">
      <c r="A46" s="109" t="s">
        <v>160</v>
      </c>
      <c r="B46" s="107">
        <v>9023.92</v>
      </c>
      <c r="C46" s="107">
        <v>8260.4</v>
      </c>
      <c r="D46" s="107">
        <v>6868</v>
      </c>
      <c r="E46" s="107">
        <v>24152.32</v>
      </c>
    </row>
    <row r="47" spans="1:5" x14ac:dyDescent="0.25">
      <c r="A47" s="109" t="s">
        <v>162</v>
      </c>
      <c r="B47" s="107">
        <v>60702.42</v>
      </c>
      <c r="C47" s="107">
        <v>59305.27</v>
      </c>
      <c r="D47" s="107">
        <v>59995</v>
      </c>
      <c r="E47" s="107">
        <v>180002.69</v>
      </c>
    </row>
    <row r="48" spans="1:5" x14ac:dyDescent="0.25">
      <c r="A48" s="109" t="s">
        <v>163</v>
      </c>
      <c r="B48" s="107">
        <v>299789.05</v>
      </c>
      <c r="C48" s="107">
        <v>274388.15000000002</v>
      </c>
      <c r="D48" s="107"/>
      <c r="E48" s="107">
        <v>574177.19999999995</v>
      </c>
    </row>
    <row r="49" spans="1:5" x14ac:dyDescent="0.25">
      <c r="A49" s="108" t="s">
        <v>33</v>
      </c>
      <c r="B49" s="107">
        <v>1361282.92</v>
      </c>
      <c r="C49" s="107">
        <v>1483546.1800000002</v>
      </c>
      <c r="D49" s="107">
        <v>1429204</v>
      </c>
      <c r="E49" s="107">
        <v>4274033.0999999996</v>
      </c>
    </row>
    <row r="50" spans="1:5" x14ac:dyDescent="0.25">
      <c r="A50" s="109" t="s">
        <v>169</v>
      </c>
      <c r="B50" s="107">
        <v>33415.31</v>
      </c>
      <c r="C50" s="107">
        <v>28380.560000000001</v>
      </c>
      <c r="D50" s="107">
        <v>34426</v>
      </c>
      <c r="E50" s="107">
        <v>96221.87</v>
      </c>
    </row>
    <row r="51" spans="1:5" x14ac:dyDescent="0.25">
      <c r="A51" s="109" t="s">
        <v>171</v>
      </c>
      <c r="B51" s="107">
        <v>83565.42</v>
      </c>
      <c r="C51" s="107">
        <v>86237.94</v>
      </c>
      <c r="D51" s="107">
        <v>83787</v>
      </c>
      <c r="E51" s="107">
        <v>253590.36</v>
      </c>
    </row>
    <row r="52" spans="1:5" x14ac:dyDescent="0.25">
      <c r="A52" s="109" t="s">
        <v>172</v>
      </c>
      <c r="B52" s="107">
        <v>905629.67</v>
      </c>
      <c r="C52" s="107">
        <v>1012676.02</v>
      </c>
      <c r="D52" s="107">
        <v>925711</v>
      </c>
      <c r="E52" s="107">
        <v>2844016.69</v>
      </c>
    </row>
    <row r="53" spans="1:5" x14ac:dyDescent="0.25">
      <c r="A53" s="109" t="s">
        <v>175</v>
      </c>
      <c r="B53" s="107">
        <v>338672.52</v>
      </c>
      <c r="C53" s="107">
        <v>356251.66000000003</v>
      </c>
      <c r="D53" s="107">
        <v>385280</v>
      </c>
      <c r="E53" s="107">
        <v>1080204.1800000002</v>
      </c>
    </row>
    <row r="54" spans="1:5" x14ac:dyDescent="0.25">
      <c r="A54" s="108" t="s">
        <v>34</v>
      </c>
      <c r="B54" s="107">
        <v>93361</v>
      </c>
      <c r="C54" s="107">
        <v>75445</v>
      </c>
      <c r="D54" s="107">
        <v>104366</v>
      </c>
      <c r="E54" s="107">
        <v>273172</v>
      </c>
    </row>
    <row r="55" spans="1:5" x14ac:dyDescent="0.25">
      <c r="A55" s="109" t="s">
        <v>177</v>
      </c>
      <c r="B55" s="107">
        <v>93361</v>
      </c>
      <c r="C55" s="107">
        <v>75445</v>
      </c>
      <c r="D55" s="107">
        <v>104366</v>
      </c>
      <c r="E55" s="107">
        <v>273172</v>
      </c>
    </row>
    <row r="56" spans="1:5" x14ac:dyDescent="0.25">
      <c r="A56" s="108" t="s">
        <v>35</v>
      </c>
      <c r="B56" s="107">
        <v>103337.34</v>
      </c>
      <c r="C56" s="107">
        <v>176979.08000000002</v>
      </c>
      <c r="D56" s="107">
        <v>241449</v>
      </c>
      <c r="E56" s="107">
        <v>521765.42</v>
      </c>
    </row>
    <row r="57" spans="1:5" x14ac:dyDescent="0.25">
      <c r="A57" s="109" t="s">
        <v>180</v>
      </c>
      <c r="B57" s="107">
        <v>5686.6</v>
      </c>
      <c r="C57" s="107">
        <v>29877.1</v>
      </c>
      <c r="D57" s="107">
        <v>30458</v>
      </c>
      <c r="E57" s="107">
        <v>66021.7</v>
      </c>
    </row>
    <row r="58" spans="1:5" x14ac:dyDescent="0.25">
      <c r="A58" s="109" t="s">
        <v>181</v>
      </c>
      <c r="B58" s="107">
        <v>54449.69</v>
      </c>
      <c r="C58" s="107">
        <v>52607.78</v>
      </c>
      <c r="D58" s="107">
        <v>50572</v>
      </c>
      <c r="E58" s="107">
        <v>157629.47</v>
      </c>
    </row>
    <row r="59" spans="1:5" x14ac:dyDescent="0.25">
      <c r="A59" s="109" t="s">
        <v>182</v>
      </c>
      <c r="B59" s="107">
        <v>30034.55</v>
      </c>
      <c r="C59" s="107">
        <v>27136.25</v>
      </c>
      <c r="D59" s="107">
        <v>31643</v>
      </c>
      <c r="E59" s="107">
        <v>88813.8</v>
      </c>
    </row>
    <row r="60" spans="1:5" x14ac:dyDescent="0.25">
      <c r="A60" s="109" t="s">
        <v>174</v>
      </c>
      <c r="B60" s="107"/>
      <c r="C60" s="107">
        <v>56460.83</v>
      </c>
      <c r="D60" s="107">
        <v>121153</v>
      </c>
      <c r="E60" s="107">
        <v>177613.83000000002</v>
      </c>
    </row>
    <row r="61" spans="1:5" x14ac:dyDescent="0.25">
      <c r="A61" s="109" t="s">
        <v>183</v>
      </c>
      <c r="B61" s="107">
        <v>13166.5</v>
      </c>
      <c r="C61" s="107">
        <v>10897.12</v>
      </c>
      <c r="D61" s="107">
        <v>7623</v>
      </c>
      <c r="E61" s="107">
        <v>31686.620000000003</v>
      </c>
    </row>
    <row r="62" spans="1:5" x14ac:dyDescent="0.25">
      <c r="A62" s="108" t="s">
        <v>36</v>
      </c>
      <c r="B62" s="107">
        <v>391207.36</v>
      </c>
      <c r="C62" s="107">
        <v>368979.98</v>
      </c>
      <c r="D62" s="107">
        <v>367019</v>
      </c>
      <c r="E62" s="107">
        <v>1127206.3400000001</v>
      </c>
    </row>
    <row r="63" spans="1:5" x14ac:dyDescent="0.25">
      <c r="A63" s="109" t="s">
        <v>190</v>
      </c>
      <c r="B63" s="107">
        <v>243500.19</v>
      </c>
      <c r="C63" s="107">
        <v>237543.7</v>
      </c>
      <c r="D63" s="107">
        <v>222646</v>
      </c>
      <c r="E63" s="107">
        <v>703689.89</v>
      </c>
    </row>
    <row r="64" spans="1:5" x14ac:dyDescent="0.25">
      <c r="A64" s="109" t="s">
        <v>1482</v>
      </c>
      <c r="B64" s="107">
        <v>147707.17000000001</v>
      </c>
      <c r="C64" s="107">
        <v>131436.28</v>
      </c>
      <c r="D64" s="107">
        <v>144373</v>
      </c>
      <c r="E64" s="107">
        <v>423516.45</v>
      </c>
    </row>
    <row r="65" spans="1:5" x14ac:dyDescent="0.25">
      <c r="A65" s="108" t="s">
        <v>37</v>
      </c>
      <c r="B65" s="107">
        <v>5737652.7199999988</v>
      </c>
      <c r="C65" s="107">
        <v>5827671.4900000002</v>
      </c>
      <c r="D65" s="107">
        <v>5347023.1400000006</v>
      </c>
      <c r="E65" s="107">
        <v>16912347.349999998</v>
      </c>
    </row>
    <row r="66" spans="1:5" x14ac:dyDescent="0.25">
      <c r="A66" s="109" t="s">
        <v>320</v>
      </c>
      <c r="B66" s="107">
        <v>60539.97</v>
      </c>
      <c r="C66" s="107">
        <v>59844.959999999999</v>
      </c>
      <c r="D66" s="107">
        <v>53668</v>
      </c>
      <c r="E66" s="107">
        <v>174052.93</v>
      </c>
    </row>
    <row r="67" spans="1:5" x14ac:dyDescent="0.25">
      <c r="A67" s="109" t="s">
        <v>1400</v>
      </c>
      <c r="B67" s="107">
        <v>19005.64</v>
      </c>
      <c r="C67" s="107">
        <v>20176.22</v>
      </c>
      <c r="D67" s="107">
        <v>18233</v>
      </c>
      <c r="E67" s="107">
        <v>57414.86</v>
      </c>
    </row>
    <row r="68" spans="1:5" x14ac:dyDescent="0.25">
      <c r="A68" s="109" t="s">
        <v>1398</v>
      </c>
      <c r="B68" s="107">
        <v>1240457.97</v>
      </c>
      <c r="C68" s="107">
        <v>1303136.05</v>
      </c>
      <c r="D68" s="107">
        <v>1128021.1400000001</v>
      </c>
      <c r="E68" s="107">
        <v>3671615.16</v>
      </c>
    </row>
    <row r="69" spans="1:5" x14ac:dyDescent="0.25">
      <c r="A69" s="109" t="s">
        <v>194</v>
      </c>
      <c r="B69" s="107">
        <v>1159041.3399999999</v>
      </c>
      <c r="C69" s="107">
        <v>1131573.3</v>
      </c>
      <c r="D69" s="107">
        <v>1039131</v>
      </c>
      <c r="E69" s="107">
        <v>3329745.6399999997</v>
      </c>
    </row>
    <row r="70" spans="1:5" x14ac:dyDescent="0.25">
      <c r="A70" s="109" t="s">
        <v>1399</v>
      </c>
      <c r="B70" s="107">
        <v>632988.22</v>
      </c>
      <c r="C70" s="107">
        <v>650682.89999999991</v>
      </c>
      <c r="D70" s="107">
        <v>572302</v>
      </c>
      <c r="E70" s="107">
        <v>1855973.1199999999</v>
      </c>
    </row>
    <row r="71" spans="1:5" x14ac:dyDescent="0.25">
      <c r="A71" s="109" t="s">
        <v>197</v>
      </c>
      <c r="B71" s="107">
        <v>25761.84</v>
      </c>
      <c r="C71" s="107">
        <v>28152.75</v>
      </c>
      <c r="D71" s="107">
        <v>26255</v>
      </c>
      <c r="E71" s="107">
        <v>80169.59</v>
      </c>
    </row>
    <row r="72" spans="1:5" x14ac:dyDescent="0.25">
      <c r="A72" s="109" t="s">
        <v>200</v>
      </c>
      <c r="B72" s="107">
        <v>845619.11</v>
      </c>
      <c r="C72" s="107">
        <v>893478.07000000007</v>
      </c>
      <c r="D72" s="107">
        <v>855655</v>
      </c>
      <c r="E72" s="107">
        <v>2594752.1800000002</v>
      </c>
    </row>
    <row r="73" spans="1:5" x14ac:dyDescent="0.25">
      <c r="A73" s="109" t="s">
        <v>336</v>
      </c>
      <c r="B73" s="107">
        <v>856611.57</v>
      </c>
      <c r="C73" s="107">
        <v>894514.33</v>
      </c>
      <c r="D73" s="107">
        <v>875522</v>
      </c>
      <c r="E73" s="107">
        <v>2626647.9</v>
      </c>
    </row>
    <row r="74" spans="1:5" x14ac:dyDescent="0.25">
      <c r="A74" s="109" t="s">
        <v>338</v>
      </c>
      <c r="B74" s="107">
        <v>897627.06</v>
      </c>
      <c r="C74" s="107">
        <v>846112.91</v>
      </c>
      <c r="D74" s="107">
        <v>778236</v>
      </c>
      <c r="E74" s="107">
        <v>2521975.9700000002</v>
      </c>
    </row>
    <row r="75" spans="1:5" x14ac:dyDescent="0.25">
      <c r="A75" s="108" t="s">
        <v>38</v>
      </c>
      <c r="B75" s="107">
        <v>49921.16</v>
      </c>
      <c r="C75" s="107">
        <v>34072.990000000005</v>
      </c>
      <c r="D75" s="107">
        <v>34686</v>
      </c>
      <c r="E75" s="107">
        <v>118680.15000000001</v>
      </c>
    </row>
    <row r="76" spans="1:5" x14ac:dyDescent="0.25">
      <c r="A76" s="109" t="s">
        <v>1401</v>
      </c>
      <c r="B76" s="107">
        <v>49921.16</v>
      </c>
      <c r="C76" s="107">
        <v>34072.990000000005</v>
      </c>
      <c r="D76" s="107">
        <v>34686</v>
      </c>
      <c r="E76" s="107">
        <v>118680.15000000001</v>
      </c>
    </row>
    <row r="77" spans="1:5" x14ac:dyDescent="0.25">
      <c r="A77" s="108" t="s">
        <v>39</v>
      </c>
      <c r="B77" s="107">
        <v>2916685.55</v>
      </c>
      <c r="C77" s="107">
        <v>2942599.51</v>
      </c>
      <c r="D77" s="107">
        <v>3023438</v>
      </c>
      <c r="E77" s="107">
        <v>8882723.0599999987</v>
      </c>
    </row>
    <row r="78" spans="1:5" x14ac:dyDescent="0.25">
      <c r="A78" s="109" t="s">
        <v>1402</v>
      </c>
      <c r="B78" s="107">
        <v>1444354.88</v>
      </c>
      <c r="C78" s="107">
        <v>1645752.38</v>
      </c>
      <c r="D78" s="107">
        <v>1663752</v>
      </c>
      <c r="E78" s="107">
        <v>4753859.26</v>
      </c>
    </row>
    <row r="79" spans="1:5" x14ac:dyDescent="0.25">
      <c r="A79" s="109" t="s">
        <v>209</v>
      </c>
      <c r="B79" s="107">
        <v>1472330.67</v>
      </c>
      <c r="C79" s="107">
        <v>1296847.1299999999</v>
      </c>
      <c r="D79" s="107">
        <v>1359686</v>
      </c>
      <c r="E79" s="107">
        <v>4128863.8</v>
      </c>
    </row>
    <row r="80" spans="1:5" x14ac:dyDescent="0.25">
      <c r="A80" s="108" t="s">
        <v>40</v>
      </c>
      <c r="B80" s="107">
        <v>359760.67</v>
      </c>
      <c r="C80" s="107">
        <v>247667.78</v>
      </c>
      <c r="D80" s="107">
        <v>268387</v>
      </c>
      <c r="E80" s="107">
        <v>875815.45</v>
      </c>
    </row>
    <row r="81" spans="1:11" x14ac:dyDescent="0.25">
      <c r="A81" s="109" t="s">
        <v>213</v>
      </c>
      <c r="B81" s="107">
        <v>359760.67</v>
      </c>
      <c r="C81" s="107">
        <v>247667.78</v>
      </c>
      <c r="D81" s="107">
        <v>268387</v>
      </c>
      <c r="E81" s="107">
        <v>875815.45</v>
      </c>
    </row>
    <row r="82" spans="1:11" x14ac:dyDescent="0.25">
      <c r="A82" s="108" t="s">
        <v>1364</v>
      </c>
      <c r="B82" s="107">
        <v>15828297.619999997</v>
      </c>
      <c r="C82" s="107">
        <v>15905229.499999998</v>
      </c>
      <c r="D82" s="107">
        <v>15371203.140000001</v>
      </c>
      <c r="E82" s="107">
        <v>47104730.25999999</v>
      </c>
    </row>
    <row r="90" spans="1:11" x14ac:dyDescent="0.25">
      <c r="G90" s="107"/>
      <c r="H90" s="107"/>
      <c r="I90" s="107"/>
    </row>
    <row r="91" spans="1:11" x14ac:dyDescent="0.25">
      <c r="G91" s="107"/>
      <c r="H91" s="107"/>
      <c r="I91" s="107"/>
    </row>
    <row r="92" spans="1:11" x14ac:dyDescent="0.25">
      <c r="G92" s="107"/>
      <c r="H92" s="107"/>
      <c r="I92" s="107"/>
    </row>
    <row r="93" spans="1:11" x14ac:dyDescent="0.25">
      <c r="G93" s="107"/>
      <c r="H93" s="107"/>
      <c r="I93" s="107"/>
      <c r="J93" s="107"/>
      <c r="K93" s="107"/>
    </row>
    <row r="94" spans="1:11" x14ac:dyDescent="0.25">
      <c r="G94" s="107"/>
      <c r="H94" s="107"/>
      <c r="I94" s="107"/>
      <c r="J94" s="107"/>
      <c r="K94" s="107"/>
    </row>
    <row r="95" spans="1:11" x14ac:dyDescent="0.25">
      <c r="G95" s="107"/>
      <c r="H95" s="107"/>
      <c r="I95" s="107"/>
      <c r="J95" s="107"/>
      <c r="K95" s="107"/>
    </row>
    <row r="96" spans="1:11" x14ac:dyDescent="0.25">
      <c r="G96" s="108"/>
      <c r="H96" s="107"/>
      <c r="I96" s="107"/>
      <c r="J96" s="107"/>
      <c r="K96" s="107"/>
    </row>
    <row r="97" spans="7:11" x14ac:dyDescent="0.25">
      <c r="G97" s="109"/>
      <c r="H97" s="107"/>
      <c r="I97" s="107"/>
      <c r="J97" s="107"/>
      <c r="K97" s="107"/>
    </row>
    <row r="98" spans="7:11" x14ac:dyDescent="0.25">
      <c r="G98" s="109"/>
      <c r="H98" s="107"/>
      <c r="I98" s="107"/>
      <c r="J98" s="107"/>
      <c r="K98" s="107"/>
    </row>
    <row r="99" spans="7:11" x14ac:dyDescent="0.25">
      <c r="G99" s="108"/>
      <c r="H99" s="107"/>
      <c r="I99" s="107"/>
      <c r="J99" s="107"/>
      <c r="K99" s="107"/>
    </row>
    <row r="100" spans="7:11" x14ac:dyDescent="0.25">
      <c r="G100" s="109"/>
      <c r="H100" s="107"/>
      <c r="I100" s="107"/>
      <c r="J100" s="107"/>
      <c r="K100" s="107"/>
    </row>
    <row r="101" spans="7:11" x14ac:dyDescent="0.25">
      <c r="G101" s="108"/>
      <c r="H101" s="107"/>
      <c r="I101" s="107"/>
      <c r="J101" s="107"/>
      <c r="K101" s="107"/>
    </row>
    <row r="102" spans="7:11" x14ac:dyDescent="0.25">
      <c r="G102" s="109"/>
      <c r="H102" s="107"/>
      <c r="I102" s="107"/>
      <c r="J102" s="107"/>
      <c r="K102" s="107"/>
    </row>
    <row r="103" spans="7:11" x14ac:dyDescent="0.25">
      <c r="G103" s="109"/>
      <c r="H103" s="107"/>
      <c r="I103" s="107"/>
      <c r="J103" s="107"/>
      <c r="K103" s="107"/>
    </row>
    <row r="104" spans="7:11" x14ac:dyDescent="0.25">
      <c r="G104" s="109"/>
      <c r="H104" s="107"/>
      <c r="I104" s="107"/>
      <c r="J104" s="107"/>
      <c r="K104" s="107"/>
    </row>
    <row r="105" spans="7:11" x14ac:dyDescent="0.25">
      <c r="G105" s="109"/>
      <c r="H105" s="107"/>
      <c r="I105" s="107"/>
      <c r="J105" s="107"/>
      <c r="K105" s="107"/>
    </row>
    <row r="106" spans="7:11" x14ac:dyDescent="0.25">
      <c r="G106" s="108"/>
      <c r="H106" s="107"/>
      <c r="I106" s="107"/>
      <c r="J106" s="107"/>
      <c r="K106" s="107"/>
    </row>
    <row r="107" spans="7:11" x14ac:dyDescent="0.25">
      <c r="G107" s="109"/>
      <c r="H107" s="107"/>
      <c r="I107" s="107"/>
      <c r="J107" s="107"/>
      <c r="K107" s="107"/>
    </row>
    <row r="108" spans="7:11" x14ac:dyDescent="0.25">
      <c r="G108" s="109"/>
      <c r="H108" s="107"/>
      <c r="I108" s="107"/>
      <c r="J108" s="107"/>
      <c r="K108" s="107"/>
    </row>
    <row r="109" spans="7:11" x14ac:dyDescent="0.25">
      <c r="G109" s="109"/>
      <c r="H109" s="107"/>
      <c r="I109" s="107"/>
      <c r="J109" s="107"/>
      <c r="K109" s="107"/>
    </row>
    <row r="110" spans="7:11" x14ac:dyDescent="0.25">
      <c r="G110" s="109"/>
      <c r="H110" s="107"/>
      <c r="I110" s="107"/>
      <c r="J110" s="107"/>
      <c r="K110" s="107"/>
    </row>
    <row r="111" spans="7:11" x14ac:dyDescent="0.25">
      <c r="G111" s="109"/>
      <c r="H111" s="107"/>
      <c r="I111" s="107"/>
      <c r="J111" s="107"/>
      <c r="K111" s="107"/>
    </row>
    <row r="112" spans="7:11" x14ac:dyDescent="0.25">
      <c r="G112" s="109"/>
      <c r="H112" s="107"/>
      <c r="I112" s="107"/>
      <c r="J112" s="107"/>
      <c r="K112" s="107"/>
    </row>
    <row r="113" spans="6:11" x14ac:dyDescent="0.25">
      <c r="G113" s="109"/>
      <c r="H113" s="107"/>
      <c r="I113" s="107"/>
      <c r="J113" s="107"/>
      <c r="K113" s="107"/>
    </row>
    <row r="114" spans="6:11" x14ac:dyDescent="0.25">
      <c r="G114" s="109"/>
      <c r="H114" s="107"/>
      <c r="I114" s="107"/>
      <c r="J114" s="107"/>
      <c r="K114" s="107"/>
    </row>
    <row r="115" spans="6:11" x14ac:dyDescent="0.25">
      <c r="F115" s="107"/>
      <c r="G115" s="109"/>
      <c r="H115" s="107"/>
      <c r="I115" s="107"/>
      <c r="J115" s="107"/>
      <c r="K115" s="107"/>
    </row>
    <row r="116" spans="6:11" x14ac:dyDescent="0.25">
      <c r="F116" s="107"/>
      <c r="G116" s="109"/>
      <c r="H116" s="107"/>
      <c r="I116" s="107"/>
      <c r="J116" s="107"/>
      <c r="K116" s="107"/>
    </row>
    <row r="117" spans="6:11" x14ac:dyDescent="0.25">
      <c r="F117" s="107"/>
      <c r="G117" s="109"/>
      <c r="H117" s="107"/>
      <c r="I117" s="107"/>
      <c r="J117" s="107"/>
      <c r="K117" s="107"/>
    </row>
    <row r="118" spans="6:11" x14ac:dyDescent="0.25">
      <c r="F118" s="107"/>
      <c r="G118" s="109"/>
      <c r="H118" s="107"/>
      <c r="I118" s="107"/>
      <c r="J118" s="107"/>
      <c r="K118" s="107"/>
    </row>
    <row r="119" spans="6:11" x14ac:dyDescent="0.25">
      <c r="F119" s="107"/>
      <c r="G119" s="109"/>
      <c r="H119" s="107"/>
      <c r="I119" s="107"/>
      <c r="J119" s="107"/>
      <c r="K119" s="107"/>
    </row>
    <row r="120" spans="6:11" x14ac:dyDescent="0.25">
      <c r="F120" s="107"/>
      <c r="G120" s="109"/>
      <c r="H120" s="107"/>
      <c r="I120" s="107"/>
      <c r="J120" s="107"/>
      <c r="K120" s="107"/>
    </row>
    <row r="121" spans="6:11" x14ac:dyDescent="0.25">
      <c r="F121" s="107"/>
      <c r="G121" s="109"/>
      <c r="H121" s="107"/>
      <c r="I121" s="107"/>
      <c r="J121" s="107"/>
      <c r="K121" s="107"/>
    </row>
    <row r="122" spans="6:11" x14ac:dyDescent="0.25">
      <c r="F122" s="107"/>
      <c r="G122" s="109"/>
      <c r="H122" s="107"/>
      <c r="I122" s="107"/>
      <c r="J122" s="107"/>
      <c r="K122" s="107"/>
    </row>
    <row r="123" spans="6:11" x14ac:dyDescent="0.25">
      <c r="F123" s="107"/>
      <c r="G123" s="109"/>
      <c r="H123" s="107"/>
      <c r="I123" s="107"/>
      <c r="J123" s="107"/>
      <c r="K123" s="107"/>
    </row>
    <row r="124" spans="6:11" x14ac:dyDescent="0.25">
      <c r="F124" s="107"/>
      <c r="G124" s="109"/>
      <c r="H124" s="107"/>
      <c r="I124" s="107"/>
      <c r="J124" s="107"/>
      <c r="K124" s="107"/>
    </row>
    <row r="125" spans="6:11" x14ac:dyDescent="0.25">
      <c r="F125" s="107"/>
      <c r="G125" s="109"/>
      <c r="H125" s="107"/>
      <c r="I125" s="107"/>
      <c r="J125" s="107"/>
      <c r="K125" s="107"/>
    </row>
    <row r="126" spans="6:11" x14ac:dyDescent="0.25">
      <c r="F126" s="107"/>
      <c r="G126" s="109"/>
      <c r="H126" s="107"/>
      <c r="I126" s="107"/>
      <c r="J126" s="107"/>
      <c r="K126" s="107"/>
    </row>
    <row r="127" spans="6:11" x14ac:dyDescent="0.25">
      <c r="F127" s="107"/>
      <c r="G127" s="109"/>
      <c r="H127" s="107"/>
      <c r="I127" s="107"/>
      <c r="J127" s="107"/>
      <c r="K127" s="107"/>
    </row>
    <row r="128" spans="6:11" x14ac:dyDescent="0.25">
      <c r="F128" s="107"/>
      <c r="G128" s="109"/>
      <c r="H128" s="107"/>
      <c r="I128" s="107"/>
      <c r="J128" s="107"/>
      <c r="K128" s="107"/>
    </row>
    <row r="129" spans="5:11" x14ac:dyDescent="0.25">
      <c r="F129" s="107"/>
      <c r="G129" s="109"/>
      <c r="H129" s="107"/>
      <c r="I129" s="107"/>
      <c r="J129" s="107"/>
      <c r="K129" s="107"/>
    </row>
    <row r="130" spans="5:11" x14ac:dyDescent="0.25">
      <c r="F130" s="107"/>
      <c r="G130" s="109"/>
      <c r="H130" s="107"/>
      <c r="I130" s="107"/>
      <c r="J130" s="107"/>
      <c r="K130" s="107"/>
    </row>
    <row r="131" spans="5:11" x14ac:dyDescent="0.25">
      <c r="F131" s="107"/>
      <c r="G131" s="109"/>
      <c r="H131" s="107"/>
      <c r="I131" s="107"/>
      <c r="J131" s="107"/>
      <c r="K131" s="107"/>
    </row>
    <row r="132" spans="5:11" x14ac:dyDescent="0.25">
      <c r="F132" s="107"/>
      <c r="G132" s="109"/>
      <c r="H132" s="107"/>
      <c r="I132" s="107"/>
      <c r="J132" s="107"/>
      <c r="K132" s="107"/>
    </row>
    <row r="133" spans="5:11" x14ac:dyDescent="0.25">
      <c r="F133" s="107"/>
      <c r="G133" s="109"/>
      <c r="H133" s="107"/>
      <c r="I133" s="107"/>
      <c r="J133" s="107"/>
      <c r="K133" s="107"/>
    </row>
    <row r="134" spans="5:11" x14ac:dyDescent="0.25">
      <c r="F134" s="107"/>
      <c r="G134" s="109"/>
      <c r="H134" s="107"/>
      <c r="I134" s="107"/>
      <c r="J134" s="107"/>
      <c r="K134" s="107"/>
    </row>
    <row r="135" spans="5:11" x14ac:dyDescent="0.25">
      <c r="F135" s="107"/>
      <c r="G135" s="109"/>
      <c r="H135" s="107"/>
      <c r="I135" s="107"/>
      <c r="J135" s="107"/>
      <c r="K135" s="107"/>
    </row>
    <row r="136" spans="5:11" x14ac:dyDescent="0.25">
      <c r="F136" s="107"/>
      <c r="G136" s="109"/>
      <c r="H136" s="107"/>
      <c r="I136" s="107"/>
      <c r="J136" s="107"/>
      <c r="K136" s="107"/>
    </row>
    <row r="137" spans="5:11" x14ac:dyDescent="0.25">
      <c r="F137" s="107"/>
      <c r="G137" s="109"/>
      <c r="H137" s="107"/>
      <c r="I137" s="107"/>
      <c r="J137" s="107"/>
      <c r="K137" s="107"/>
    </row>
    <row r="138" spans="5:11" x14ac:dyDescent="0.25">
      <c r="F138" s="107"/>
      <c r="G138" s="108"/>
      <c r="H138" s="107"/>
      <c r="I138" s="107"/>
      <c r="J138" s="107"/>
      <c r="K138" s="107"/>
    </row>
    <row r="139" spans="5:11" x14ac:dyDescent="0.25">
      <c r="E139" s="109"/>
      <c r="F139" s="107"/>
      <c r="G139" s="109"/>
      <c r="H139" s="107"/>
      <c r="I139" s="107"/>
      <c r="J139" s="107"/>
      <c r="K139" s="107"/>
    </row>
    <row r="140" spans="5:11" x14ac:dyDescent="0.25">
      <c r="E140" s="108"/>
      <c r="F140" s="107"/>
      <c r="G140" s="109"/>
      <c r="H140" s="107"/>
      <c r="I140" s="107"/>
      <c r="J140" s="107"/>
      <c r="K140" s="107"/>
    </row>
    <row r="141" spans="5:11" x14ac:dyDescent="0.25">
      <c r="E141" s="109"/>
      <c r="F141" s="107"/>
      <c r="G141" s="109"/>
      <c r="H141" s="107"/>
      <c r="I141" s="107"/>
      <c r="J141" s="107"/>
      <c r="K141" s="107"/>
    </row>
    <row r="142" spans="5:11" x14ac:dyDescent="0.25">
      <c r="E142" s="109"/>
      <c r="F142" s="107"/>
      <c r="G142" s="109"/>
      <c r="H142" s="107"/>
      <c r="I142" s="107"/>
      <c r="J142" s="107"/>
      <c r="K142" s="107"/>
    </row>
    <row r="143" spans="5:11" x14ac:dyDescent="0.25">
      <c r="E143" s="109"/>
      <c r="F143" s="107"/>
      <c r="G143" s="108"/>
      <c r="H143" s="107"/>
      <c r="I143" s="107"/>
      <c r="J143" s="107"/>
      <c r="K143" s="107"/>
    </row>
    <row r="144" spans="5:11" x14ac:dyDescent="0.25">
      <c r="E144" s="109"/>
      <c r="F144" s="107"/>
      <c r="G144" s="109"/>
      <c r="H144" s="107"/>
      <c r="I144" s="107"/>
      <c r="J144" s="107"/>
      <c r="K144" s="107"/>
    </row>
    <row r="145" spans="5:11" x14ac:dyDescent="0.25">
      <c r="E145" s="109"/>
      <c r="F145" s="107"/>
      <c r="G145" s="109"/>
      <c r="H145" s="107"/>
      <c r="I145" s="107"/>
      <c r="J145" s="107"/>
      <c r="K145" s="107"/>
    </row>
    <row r="146" spans="5:11" x14ac:dyDescent="0.25">
      <c r="E146" s="109"/>
      <c r="F146" s="107"/>
      <c r="G146" s="109"/>
      <c r="H146" s="107"/>
      <c r="I146" s="107"/>
      <c r="J146" s="107"/>
      <c r="K146" s="107"/>
    </row>
    <row r="147" spans="5:11" x14ac:dyDescent="0.25">
      <c r="E147" s="108"/>
      <c r="F147" s="107"/>
      <c r="G147" s="109"/>
      <c r="H147" s="107"/>
      <c r="I147" s="107"/>
      <c r="J147" s="107"/>
      <c r="K147" s="107"/>
    </row>
    <row r="148" spans="5:11" x14ac:dyDescent="0.25">
      <c r="E148" s="109"/>
      <c r="F148" s="107"/>
      <c r="G148" s="109"/>
      <c r="H148" s="107"/>
      <c r="I148" s="107"/>
      <c r="J148" s="107"/>
      <c r="K148" s="107"/>
    </row>
    <row r="149" spans="5:11" x14ac:dyDescent="0.25">
      <c r="E149" s="109"/>
      <c r="F149" s="107"/>
      <c r="G149" s="109"/>
      <c r="H149" s="107"/>
      <c r="I149" s="107"/>
      <c r="J149" s="107"/>
      <c r="K149" s="107"/>
    </row>
    <row r="150" spans="5:11" x14ac:dyDescent="0.25">
      <c r="E150" s="109"/>
      <c r="F150" s="107"/>
      <c r="G150" s="108"/>
      <c r="H150" s="107"/>
      <c r="I150" s="107"/>
      <c r="J150" s="107"/>
      <c r="K150" s="107"/>
    </row>
    <row r="151" spans="5:11" x14ac:dyDescent="0.25">
      <c r="E151" s="109"/>
      <c r="F151" s="107"/>
      <c r="G151" s="109"/>
      <c r="H151" s="107"/>
      <c r="I151" s="107"/>
      <c r="J151" s="107"/>
      <c r="K151" s="107"/>
    </row>
    <row r="152" spans="5:11" x14ac:dyDescent="0.25">
      <c r="E152" s="109"/>
      <c r="F152" s="107"/>
      <c r="G152" s="109"/>
      <c r="H152" s="107"/>
      <c r="I152" s="107"/>
      <c r="J152" s="107"/>
      <c r="K152" s="107"/>
    </row>
    <row r="153" spans="5:11" x14ac:dyDescent="0.25">
      <c r="E153" s="109"/>
      <c r="F153" s="107"/>
      <c r="G153" s="109"/>
      <c r="H153" s="107"/>
      <c r="I153" s="107"/>
      <c r="J153" s="107"/>
      <c r="K153" s="107"/>
    </row>
    <row r="154" spans="5:11" x14ac:dyDescent="0.25">
      <c r="E154" s="109"/>
      <c r="F154" s="107"/>
      <c r="G154" s="109"/>
      <c r="H154" s="107"/>
      <c r="I154" s="107"/>
      <c r="J154" s="107"/>
      <c r="K154" s="107"/>
    </row>
    <row r="155" spans="5:11" x14ac:dyDescent="0.25">
      <c r="E155" s="109"/>
      <c r="F155" s="107"/>
      <c r="G155" s="109"/>
      <c r="H155" s="107"/>
      <c r="I155" s="107"/>
      <c r="J155" s="107"/>
      <c r="K155" s="107"/>
    </row>
    <row r="156" spans="5:11" x14ac:dyDescent="0.25">
      <c r="E156" s="108"/>
      <c r="F156" s="107"/>
      <c r="G156" s="109"/>
      <c r="H156" s="107"/>
      <c r="I156" s="107"/>
      <c r="J156" s="107"/>
      <c r="K156" s="107"/>
    </row>
    <row r="157" spans="5:11" x14ac:dyDescent="0.25">
      <c r="E157" s="109"/>
      <c r="F157" s="107"/>
      <c r="G157" s="109"/>
      <c r="H157" s="107"/>
      <c r="I157" s="107"/>
      <c r="J157" s="107"/>
      <c r="K157" s="107"/>
    </row>
    <row r="158" spans="5:11" x14ac:dyDescent="0.25">
      <c r="E158" s="109"/>
      <c r="F158" s="107"/>
      <c r="G158" s="109"/>
      <c r="H158" s="107"/>
      <c r="I158" s="107"/>
      <c r="J158" s="107"/>
      <c r="K158" s="107"/>
    </row>
    <row r="159" spans="5:11" x14ac:dyDescent="0.25">
      <c r="E159" s="109"/>
      <c r="F159" s="107"/>
      <c r="G159" s="108"/>
      <c r="H159" s="107"/>
      <c r="I159" s="107"/>
      <c r="J159" s="107"/>
      <c r="K159" s="107"/>
    </row>
    <row r="160" spans="5:11" x14ac:dyDescent="0.25">
      <c r="E160" s="109"/>
      <c r="F160" s="107"/>
      <c r="G160" s="109"/>
      <c r="H160" s="107"/>
      <c r="I160" s="107"/>
      <c r="J160" s="107"/>
      <c r="K160" s="107"/>
    </row>
    <row r="161" spans="5:11" x14ac:dyDescent="0.25">
      <c r="E161" s="108"/>
      <c r="F161" s="107"/>
      <c r="G161" s="109"/>
      <c r="H161" s="107"/>
      <c r="I161" s="107"/>
      <c r="J161" s="107"/>
      <c r="K161" s="107"/>
    </row>
    <row r="162" spans="5:11" x14ac:dyDescent="0.25">
      <c r="E162" s="109"/>
      <c r="F162" s="107"/>
      <c r="G162" s="109"/>
      <c r="H162" s="107"/>
      <c r="I162" s="107"/>
      <c r="J162" s="107"/>
      <c r="K162" s="107"/>
    </row>
    <row r="163" spans="5:11" x14ac:dyDescent="0.25">
      <c r="E163" s="109"/>
      <c r="F163" s="107"/>
      <c r="G163" s="109"/>
      <c r="H163" s="107"/>
      <c r="I163" s="107"/>
      <c r="J163" s="107"/>
      <c r="K163" s="107"/>
    </row>
    <row r="164" spans="5:11" x14ac:dyDescent="0.25">
      <c r="E164" s="109"/>
      <c r="F164" s="107"/>
      <c r="G164" s="108"/>
      <c r="H164" s="107"/>
      <c r="I164" s="107"/>
      <c r="J164" s="107"/>
      <c r="K164" s="107"/>
    </row>
    <row r="165" spans="5:11" x14ac:dyDescent="0.25">
      <c r="E165" s="109"/>
      <c r="F165" s="107"/>
      <c r="G165" s="109"/>
      <c r="H165" s="107"/>
      <c r="I165" s="107"/>
      <c r="J165" s="107"/>
      <c r="K165" s="107"/>
    </row>
    <row r="166" spans="5:11" x14ac:dyDescent="0.25">
      <c r="E166" s="109"/>
      <c r="F166" s="107"/>
      <c r="G166" s="109"/>
      <c r="H166" s="107"/>
      <c r="I166" s="107"/>
      <c r="J166" s="107"/>
      <c r="K166" s="107"/>
    </row>
    <row r="167" spans="5:11" x14ac:dyDescent="0.25">
      <c r="E167" s="109"/>
      <c r="F167" s="107"/>
      <c r="G167" s="109"/>
      <c r="H167" s="107"/>
      <c r="I167" s="107"/>
      <c r="J167" s="107"/>
      <c r="K167" s="107"/>
    </row>
    <row r="168" spans="5:11" x14ac:dyDescent="0.25">
      <c r="E168" s="109"/>
      <c r="F168" s="107"/>
      <c r="G168" s="109"/>
      <c r="H168" s="107"/>
      <c r="I168" s="107"/>
      <c r="J168" s="107"/>
      <c r="K168" s="107"/>
    </row>
    <row r="169" spans="5:11" x14ac:dyDescent="0.25">
      <c r="E169" s="109"/>
      <c r="F169" s="107"/>
      <c r="G169" s="109"/>
      <c r="H169" s="107"/>
      <c r="I169" s="107"/>
      <c r="J169" s="107"/>
      <c r="K169" s="107"/>
    </row>
    <row r="170" spans="5:11" x14ac:dyDescent="0.25">
      <c r="E170" s="109"/>
      <c r="F170" s="107"/>
      <c r="G170" s="109"/>
      <c r="H170" s="107"/>
      <c r="I170" s="107"/>
      <c r="J170" s="107"/>
      <c r="K170" s="107"/>
    </row>
    <row r="171" spans="5:11" x14ac:dyDescent="0.25">
      <c r="E171" s="109"/>
      <c r="F171" s="107"/>
      <c r="G171" s="109"/>
      <c r="H171" s="107"/>
      <c r="I171" s="107"/>
      <c r="J171" s="107"/>
      <c r="K171" s="107"/>
    </row>
    <row r="172" spans="5:11" x14ac:dyDescent="0.25">
      <c r="E172" s="108"/>
      <c r="F172" s="107"/>
      <c r="G172" s="109"/>
      <c r="H172" s="107"/>
      <c r="I172" s="107"/>
      <c r="J172" s="107"/>
      <c r="K172" s="107"/>
    </row>
    <row r="173" spans="5:11" x14ac:dyDescent="0.25">
      <c r="E173" s="109"/>
      <c r="F173" s="107"/>
      <c r="G173" s="109"/>
      <c r="H173" s="107"/>
      <c r="I173" s="107"/>
      <c r="J173" s="107"/>
      <c r="K173" s="107"/>
    </row>
    <row r="174" spans="5:11" x14ac:dyDescent="0.25">
      <c r="E174" s="109"/>
      <c r="F174" s="107"/>
      <c r="G174" s="109"/>
      <c r="H174" s="107"/>
      <c r="I174" s="107"/>
      <c r="J174" s="107"/>
      <c r="K174" s="107"/>
    </row>
    <row r="175" spans="5:11" x14ac:dyDescent="0.25">
      <c r="E175" s="109"/>
      <c r="F175" s="107"/>
      <c r="G175" s="108"/>
      <c r="H175" s="107"/>
      <c r="I175" s="107"/>
      <c r="J175" s="107"/>
      <c r="K175" s="107"/>
    </row>
    <row r="176" spans="5:11" x14ac:dyDescent="0.25">
      <c r="E176" s="109"/>
      <c r="F176" s="107"/>
      <c r="G176" s="109"/>
      <c r="H176" s="107"/>
      <c r="I176" s="107"/>
      <c r="J176" s="107"/>
      <c r="K176" s="107"/>
    </row>
    <row r="177" spans="5:11" x14ac:dyDescent="0.25">
      <c r="E177" s="108"/>
      <c r="F177" s="107"/>
      <c r="G177" s="109"/>
      <c r="H177" s="107"/>
      <c r="I177" s="107"/>
      <c r="J177" s="107"/>
      <c r="K177" s="107"/>
    </row>
    <row r="178" spans="5:11" x14ac:dyDescent="0.25">
      <c r="E178" s="109"/>
      <c r="F178" s="107"/>
      <c r="G178" s="109"/>
      <c r="H178" s="107"/>
      <c r="I178" s="107"/>
      <c r="J178" s="107"/>
      <c r="K178" s="107"/>
    </row>
    <row r="179" spans="5:11" x14ac:dyDescent="0.25">
      <c r="E179" s="109"/>
      <c r="F179" s="107"/>
      <c r="G179" s="109"/>
      <c r="H179" s="107"/>
      <c r="I179" s="107"/>
      <c r="J179" s="107"/>
      <c r="K179" s="107"/>
    </row>
    <row r="180" spans="5:11" x14ac:dyDescent="0.25">
      <c r="E180" s="109"/>
      <c r="F180" s="107"/>
      <c r="G180" s="108"/>
      <c r="H180" s="107"/>
      <c r="I180" s="107"/>
      <c r="J180" s="107"/>
      <c r="K180" s="107"/>
    </row>
    <row r="181" spans="5:11" x14ac:dyDescent="0.25">
      <c r="E181" s="109"/>
      <c r="F181" s="107"/>
      <c r="G181" s="109"/>
      <c r="H181" s="107"/>
      <c r="I181" s="107"/>
      <c r="J181" s="107"/>
      <c r="K181" s="107"/>
    </row>
    <row r="182" spans="5:11" x14ac:dyDescent="0.25">
      <c r="E182" s="108"/>
      <c r="F182" s="107"/>
      <c r="G182" s="109"/>
      <c r="H182" s="107"/>
      <c r="I182" s="107"/>
      <c r="J182" s="107"/>
      <c r="K182" s="107"/>
    </row>
    <row r="183" spans="5:11" x14ac:dyDescent="0.25">
      <c r="E183" s="109"/>
      <c r="F183" s="107"/>
      <c r="G183" s="109"/>
      <c r="H183" s="107"/>
      <c r="I183" s="107"/>
      <c r="J183" s="107"/>
      <c r="K183" s="107"/>
    </row>
    <row r="184" spans="5:11" x14ac:dyDescent="0.25">
      <c r="E184" s="109"/>
      <c r="F184" s="107"/>
      <c r="G184" s="109"/>
      <c r="H184" s="107"/>
      <c r="I184" s="107"/>
      <c r="J184" s="107"/>
      <c r="K184" s="107"/>
    </row>
    <row r="185" spans="5:11" x14ac:dyDescent="0.25">
      <c r="E185" s="109"/>
      <c r="F185" s="107"/>
      <c r="G185" s="108"/>
      <c r="H185" s="107"/>
      <c r="I185" s="107"/>
      <c r="J185" s="107"/>
      <c r="K185" s="107"/>
    </row>
    <row r="186" spans="5:11" x14ac:dyDescent="0.25">
      <c r="E186" s="109"/>
      <c r="F186" s="107"/>
      <c r="G186" s="109"/>
      <c r="H186" s="107"/>
      <c r="I186" s="107"/>
      <c r="J186" s="107"/>
      <c r="K186" s="107"/>
    </row>
    <row r="187" spans="5:11" x14ac:dyDescent="0.25">
      <c r="E187" s="109"/>
      <c r="F187" s="107"/>
      <c r="G187" s="109"/>
      <c r="H187" s="107"/>
      <c r="I187" s="107"/>
      <c r="J187" s="107"/>
      <c r="K187" s="107"/>
    </row>
    <row r="188" spans="5:11" x14ac:dyDescent="0.25">
      <c r="E188" s="109"/>
      <c r="F188" s="107"/>
      <c r="G188" s="109"/>
      <c r="H188" s="107"/>
      <c r="I188" s="107"/>
      <c r="J188" s="107"/>
      <c r="K188" s="107"/>
    </row>
    <row r="189" spans="5:11" x14ac:dyDescent="0.25">
      <c r="E189" s="109"/>
      <c r="F189" s="107"/>
      <c r="G189" s="109"/>
      <c r="H189" s="107"/>
      <c r="I189" s="107"/>
      <c r="J189" s="107"/>
      <c r="K189" s="107"/>
    </row>
    <row r="190" spans="5:11" x14ac:dyDescent="0.25">
      <c r="E190" s="109"/>
      <c r="F190" s="107"/>
      <c r="G190" s="109"/>
      <c r="H190" s="107"/>
      <c r="I190" s="107"/>
      <c r="J190" s="107"/>
      <c r="K190" s="107"/>
    </row>
    <row r="191" spans="5:11" x14ac:dyDescent="0.25">
      <c r="E191" s="109"/>
      <c r="F191" s="107"/>
      <c r="G191" s="109"/>
      <c r="H191" s="107"/>
      <c r="I191" s="107"/>
      <c r="J191" s="107"/>
      <c r="K191" s="107"/>
    </row>
    <row r="192" spans="5:11" x14ac:dyDescent="0.25">
      <c r="E192" s="109"/>
      <c r="F192" s="107"/>
      <c r="G192" s="109"/>
      <c r="H192" s="107"/>
      <c r="I192" s="107"/>
      <c r="J192" s="107"/>
      <c r="K192" s="107"/>
    </row>
    <row r="193" spans="5:11" x14ac:dyDescent="0.25">
      <c r="E193" s="108"/>
      <c r="F193" s="107"/>
      <c r="G193" s="109"/>
      <c r="H193" s="107"/>
      <c r="I193" s="107"/>
      <c r="J193" s="107"/>
      <c r="K193" s="107"/>
    </row>
    <row r="194" spans="5:11" x14ac:dyDescent="0.25">
      <c r="E194" s="109"/>
      <c r="F194" s="107"/>
      <c r="G194" s="109"/>
      <c r="H194" s="107"/>
      <c r="I194" s="107"/>
      <c r="J194" s="107"/>
      <c r="K194" s="107"/>
    </row>
    <row r="195" spans="5:11" x14ac:dyDescent="0.25">
      <c r="E195" s="109"/>
      <c r="F195" s="107"/>
      <c r="G195" s="109"/>
      <c r="H195" s="107"/>
      <c r="I195" s="107"/>
      <c r="J195" s="107"/>
      <c r="K195" s="107"/>
    </row>
    <row r="196" spans="5:11" x14ac:dyDescent="0.25">
      <c r="E196" s="109"/>
      <c r="F196" s="107"/>
      <c r="G196" s="108"/>
      <c r="H196" s="107"/>
      <c r="I196" s="107"/>
      <c r="J196" s="107"/>
      <c r="K196" s="107"/>
    </row>
    <row r="197" spans="5:11" x14ac:dyDescent="0.25">
      <c r="E197" s="109"/>
      <c r="F197" s="107"/>
      <c r="G197" s="109"/>
      <c r="H197" s="107"/>
      <c r="I197" s="107"/>
      <c r="J197" s="107"/>
      <c r="K197" s="107"/>
    </row>
    <row r="198" spans="5:11" x14ac:dyDescent="0.25">
      <c r="E198" s="109"/>
      <c r="F198" s="107"/>
      <c r="G198" s="109"/>
      <c r="H198" s="107"/>
      <c r="I198" s="107"/>
      <c r="J198" s="107"/>
      <c r="K198" s="107"/>
    </row>
    <row r="199" spans="5:11" x14ac:dyDescent="0.25">
      <c r="E199" s="109"/>
      <c r="F199" s="107"/>
      <c r="G199" s="109"/>
      <c r="H199" s="107"/>
      <c r="I199" s="107"/>
      <c r="J199" s="107"/>
      <c r="K199" s="107"/>
    </row>
    <row r="200" spans="5:11" x14ac:dyDescent="0.25">
      <c r="E200" s="108"/>
      <c r="F200" s="107"/>
      <c r="G200" s="109"/>
      <c r="H200" s="107"/>
      <c r="I200" s="107"/>
      <c r="J200" s="107"/>
      <c r="K200" s="107"/>
    </row>
    <row r="201" spans="5:11" x14ac:dyDescent="0.25">
      <c r="E201" s="109"/>
      <c r="F201" s="107"/>
      <c r="G201" s="109"/>
      <c r="H201" s="107"/>
      <c r="I201" s="107"/>
      <c r="J201" s="107"/>
      <c r="K201" s="107"/>
    </row>
    <row r="202" spans="5:11" x14ac:dyDescent="0.25">
      <c r="E202" s="109"/>
      <c r="F202" s="107"/>
      <c r="G202" s="109"/>
      <c r="H202" s="107"/>
      <c r="I202" s="107"/>
      <c r="J202" s="107"/>
      <c r="K202" s="107"/>
    </row>
    <row r="203" spans="5:11" x14ac:dyDescent="0.25">
      <c r="E203" s="109"/>
      <c r="F203" s="107"/>
      <c r="G203" s="108"/>
      <c r="H203" s="107"/>
      <c r="I203" s="107"/>
      <c r="J203" s="107"/>
      <c r="K203" s="107"/>
    </row>
    <row r="204" spans="5:11" x14ac:dyDescent="0.25">
      <c r="E204" s="109"/>
      <c r="F204" s="107"/>
      <c r="G204" s="109"/>
      <c r="H204" s="107"/>
      <c r="I204" s="107"/>
      <c r="J204" s="107"/>
      <c r="K204" s="107"/>
    </row>
    <row r="205" spans="5:11" x14ac:dyDescent="0.25">
      <c r="E205" s="109"/>
      <c r="F205" s="107"/>
      <c r="G205" s="109"/>
      <c r="H205" s="107"/>
      <c r="I205" s="107"/>
      <c r="J205" s="107"/>
      <c r="K205" s="107"/>
    </row>
    <row r="206" spans="5:11" x14ac:dyDescent="0.25">
      <c r="E206" s="109"/>
      <c r="F206" s="107"/>
      <c r="G206" s="109"/>
      <c r="H206" s="107"/>
      <c r="I206" s="107"/>
      <c r="J206" s="107"/>
      <c r="K206" s="107"/>
    </row>
    <row r="207" spans="5:11" x14ac:dyDescent="0.25">
      <c r="E207" s="109"/>
      <c r="F207" s="107"/>
      <c r="G207" s="109"/>
      <c r="H207" s="107"/>
      <c r="I207" s="107"/>
      <c r="J207" s="107"/>
      <c r="K207" s="107"/>
    </row>
    <row r="208" spans="5:11" x14ac:dyDescent="0.25">
      <c r="E208" s="109"/>
      <c r="F208" s="107"/>
      <c r="G208" s="109"/>
      <c r="H208" s="107"/>
      <c r="I208" s="107"/>
      <c r="J208" s="107"/>
      <c r="K208" s="107"/>
    </row>
    <row r="209" spans="5:11" x14ac:dyDescent="0.25">
      <c r="E209" s="109"/>
      <c r="F209" s="107"/>
      <c r="G209" s="109"/>
      <c r="H209" s="107"/>
      <c r="I209" s="107"/>
      <c r="J209" s="107"/>
      <c r="K209" s="107"/>
    </row>
    <row r="210" spans="5:11" x14ac:dyDescent="0.25">
      <c r="E210" s="109"/>
      <c r="F210" s="107"/>
      <c r="G210" s="109"/>
      <c r="H210" s="107"/>
      <c r="I210" s="107"/>
      <c r="J210" s="107"/>
      <c r="K210" s="107"/>
    </row>
    <row r="211" spans="5:11" x14ac:dyDescent="0.25">
      <c r="E211" s="109"/>
      <c r="F211" s="107"/>
      <c r="G211" s="109"/>
      <c r="H211" s="107"/>
      <c r="I211" s="107"/>
      <c r="J211" s="107"/>
      <c r="K211" s="107"/>
    </row>
    <row r="212" spans="5:11" x14ac:dyDescent="0.25">
      <c r="E212" s="109"/>
      <c r="F212" s="107"/>
      <c r="G212" s="109"/>
      <c r="H212" s="107"/>
      <c r="I212" s="107"/>
      <c r="J212" s="107"/>
      <c r="K212" s="107"/>
    </row>
    <row r="213" spans="5:11" x14ac:dyDescent="0.25">
      <c r="E213" s="109"/>
      <c r="F213" s="107"/>
      <c r="G213" s="109"/>
      <c r="H213" s="107"/>
      <c r="I213" s="107"/>
      <c r="J213" s="107"/>
      <c r="K213" s="107"/>
    </row>
    <row r="214" spans="5:11" x14ac:dyDescent="0.25">
      <c r="E214" s="109"/>
      <c r="F214" s="107"/>
      <c r="G214" s="109"/>
      <c r="H214" s="107"/>
      <c r="I214" s="107"/>
      <c r="J214" s="107"/>
      <c r="K214" s="107"/>
    </row>
    <row r="215" spans="5:11" x14ac:dyDescent="0.25">
      <c r="E215" s="108"/>
      <c r="F215" s="107"/>
      <c r="G215" s="109"/>
      <c r="H215" s="107"/>
      <c r="I215" s="107"/>
      <c r="J215" s="107"/>
      <c r="K215" s="107"/>
    </row>
    <row r="216" spans="5:11" x14ac:dyDescent="0.25">
      <c r="E216" s="109"/>
      <c r="F216" s="107"/>
      <c r="G216" s="109"/>
      <c r="H216" s="107"/>
      <c r="I216" s="107"/>
      <c r="J216" s="107"/>
      <c r="K216" s="107"/>
    </row>
    <row r="217" spans="5:11" x14ac:dyDescent="0.25">
      <c r="E217" s="109"/>
      <c r="F217" s="107"/>
      <c r="G217" s="109"/>
      <c r="H217" s="107"/>
      <c r="I217" s="107"/>
      <c r="J217" s="107"/>
      <c r="K217" s="107"/>
    </row>
    <row r="218" spans="5:11" x14ac:dyDescent="0.25">
      <c r="E218" s="109"/>
      <c r="F218" s="107"/>
      <c r="G218" s="108"/>
      <c r="H218" s="107"/>
      <c r="I218" s="107"/>
      <c r="J218" s="107"/>
      <c r="K218" s="107"/>
    </row>
    <row r="219" spans="5:11" x14ac:dyDescent="0.25">
      <c r="E219" s="109"/>
      <c r="F219" s="107"/>
      <c r="G219" s="109"/>
      <c r="H219" s="107"/>
      <c r="I219" s="107"/>
      <c r="J219" s="107"/>
      <c r="K219" s="107"/>
    </row>
    <row r="220" spans="5:11" x14ac:dyDescent="0.25">
      <c r="E220" s="108"/>
      <c r="F220" s="107"/>
      <c r="G220" s="109"/>
      <c r="H220" s="107"/>
      <c r="I220" s="107"/>
      <c r="J220" s="107"/>
      <c r="K220" s="107"/>
    </row>
    <row r="221" spans="5:11" x14ac:dyDescent="0.25">
      <c r="E221" s="109"/>
      <c r="F221" s="107"/>
      <c r="G221" s="109"/>
      <c r="H221" s="107"/>
      <c r="I221" s="107"/>
      <c r="J221" s="107"/>
      <c r="K221" s="107"/>
    </row>
    <row r="222" spans="5:11" x14ac:dyDescent="0.25">
      <c r="E222" s="109"/>
      <c r="F222" s="107"/>
      <c r="G222" s="109"/>
      <c r="H222" s="107"/>
      <c r="I222" s="107"/>
      <c r="J222" s="107"/>
      <c r="K222" s="107"/>
    </row>
    <row r="223" spans="5:11" x14ac:dyDescent="0.25">
      <c r="E223" s="108"/>
      <c r="F223" s="107"/>
      <c r="G223" s="108"/>
      <c r="H223" s="107"/>
      <c r="I223" s="107"/>
      <c r="J223" s="107"/>
      <c r="K223" s="107"/>
    </row>
    <row r="224" spans="5:11" x14ac:dyDescent="0.25">
      <c r="E224" s="109"/>
      <c r="F224" s="107"/>
      <c r="G224" s="109"/>
      <c r="H224" s="107"/>
      <c r="I224" s="107"/>
      <c r="J224" s="107"/>
      <c r="K224" s="107"/>
    </row>
    <row r="225" spans="5:11" x14ac:dyDescent="0.25">
      <c r="E225" s="108"/>
      <c r="F225" s="107"/>
      <c r="G225" s="109"/>
      <c r="H225" s="107"/>
      <c r="I225" s="107"/>
      <c r="J225" s="107"/>
      <c r="K225" s="107"/>
    </row>
    <row r="226" spans="5:11" x14ac:dyDescent="0.25">
      <c r="G226" s="108"/>
      <c r="H226" s="107"/>
      <c r="I226" s="107"/>
      <c r="J226" s="107"/>
      <c r="K226" s="107"/>
    </row>
    <row r="227" spans="5:11" x14ac:dyDescent="0.25">
      <c r="G227" s="109"/>
      <c r="H227" s="107"/>
      <c r="I227" s="107"/>
      <c r="J227" s="107"/>
      <c r="K227" s="107"/>
    </row>
    <row r="228" spans="5:11" x14ac:dyDescent="0.25">
      <c r="G228" s="108"/>
      <c r="H228" s="107"/>
      <c r="I228" s="107"/>
      <c r="J228" s="107"/>
      <c r="K228" s="107"/>
    </row>
  </sheetData>
  <pageMargins left="0.7" right="0.7" top="0.75" bottom="0.75" header="0.3" footer="0.3"/>
  <pageSetup paperSize="9" scale="88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59"/>
  <sheetViews>
    <sheetView workbookViewId="0">
      <selection activeCell="P7" sqref="P7"/>
    </sheetView>
  </sheetViews>
  <sheetFormatPr defaultRowHeight="15" x14ac:dyDescent="0.25"/>
  <cols>
    <col min="1" max="1" width="9.140625" style="19"/>
    <col min="2" max="2" width="9.140625" style="19" customWidth="1"/>
    <col min="3" max="3" width="29.85546875" style="19" bestFit="1" customWidth="1"/>
    <col min="4" max="4" width="12" style="19" bestFit="1" customWidth="1"/>
    <col min="5" max="5" width="7.7109375" style="19" bestFit="1" customWidth="1"/>
    <col min="6" max="6" width="10" style="19" bestFit="1" customWidth="1"/>
    <col min="7" max="7" width="6" style="19" bestFit="1" customWidth="1"/>
    <col min="8" max="8" width="8.42578125" style="19" bestFit="1" customWidth="1"/>
    <col min="9" max="9" width="15" style="19" bestFit="1" customWidth="1"/>
    <col min="10" max="10" width="11" style="19" bestFit="1" customWidth="1"/>
    <col min="11" max="11" width="11" style="19" customWidth="1"/>
    <col min="12" max="12" width="7.5703125" style="19" bestFit="1" customWidth="1"/>
    <col min="13" max="13" width="28.42578125" style="19" bestFit="1" customWidth="1"/>
    <col min="14" max="14" width="9.140625" style="19"/>
    <col min="15" max="15" width="26.42578125" style="19" bestFit="1" customWidth="1"/>
    <col min="16" max="16" width="13.7109375" style="19" bestFit="1" customWidth="1"/>
    <col min="17" max="17" width="18.140625" style="19" bestFit="1" customWidth="1"/>
    <col min="18" max="18" width="9.140625" style="19"/>
    <col min="19" max="19" width="14.28515625" style="19" bestFit="1" customWidth="1"/>
    <col min="20" max="20" width="12" style="19" bestFit="1" customWidth="1"/>
    <col min="21" max="21" width="18.140625" style="19" bestFit="1" customWidth="1"/>
    <col min="22" max="16384" width="9.140625" style="19"/>
  </cols>
  <sheetData>
    <row r="2" spans="2:23" ht="15.75" thickBot="1" x14ac:dyDescent="0.3"/>
    <row r="3" spans="2:23" x14ac:dyDescent="0.25">
      <c r="B3" s="60"/>
      <c r="C3" s="59"/>
      <c r="D3" s="59"/>
      <c r="E3" s="59"/>
      <c r="F3" s="59"/>
      <c r="G3" s="59"/>
      <c r="H3" s="59"/>
      <c r="I3" s="59"/>
      <c r="J3" s="58"/>
      <c r="K3" s="20"/>
      <c r="L3" s="60"/>
      <c r="M3" s="59"/>
      <c r="N3" s="59"/>
      <c r="O3" s="59"/>
      <c r="P3" s="59"/>
      <c r="Q3" s="59"/>
      <c r="R3" s="59"/>
      <c r="S3" s="59"/>
      <c r="T3" s="59"/>
      <c r="U3" s="59"/>
      <c r="V3" s="58"/>
    </row>
    <row r="4" spans="2:23" ht="15" customHeight="1" x14ac:dyDescent="0.3">
      <c r="B4" s="276" t="s">
        <v>1434</v>
      </c>
      <c r="C4" s="277"/>
      <c r="D4" s="277"/>
      <c r="E4" s="277"/>
      <c r="F4" s="277"/>
      <c r="G4" s="277"/>
      <c r="H4" s="277"/>
      <c r="I4" s="277"/>
      <c r="J4" s="278"/>
      <c r="K4" s="20"/>
      <c r="L4" s="276" t="s">
        <v>1435</v>
      </c>
      <c r="M4" s="277"/>
      <c r="N4" s="277"/>
      <c r="O4" s="277"/>
      <c r="P4" s="277"/>
      <c r="Q4" s="277"/>
      <c r="R4" s="277"/>
      <c r="S4" s="277"/>
      <c r="T4" s="277"/>
      <c r="U4" s="277"/>
      <c r="V4" s="278"/>
    </row>
    <row r="5" spans="2:23" ht="15.75" thickBot="1" x14ac:dyDescent="0.3">
      <c r="B5" s="28"/>
      <c r="C5" s="26"/>
      <c r="D5" s="26"/>
      <c r="E5" s="26"/>
      <c r="F5" s="26"/>
      <c r="G5" s="26"/>
      <c r="H5" s="26"/>
      <c r="I5" s="26"/>
      <c r="J5" s="24"/>
      <c r="K5" s="20"/>
      <c r="L5" s="28"/>
      <c r="M5" s="26"/>
      <c r="N5" s="26"/>
      <c r="O5" s="26"/>
      <c r="P5" s="26"/>
      <c r="Q5" s="26"/>
      <c r="R5" s="26"/>
      <c r="S5" s="26"/>
      <c r="T5" s="26"/>
      <c r="U5" s="26"/>
      <c r="V5" s="24"/>
    </row>
    <row r="6" spans="2:23" x14ac:dyDescent="0.25">
      <c r="B6" s="28"/>
      <c r="C6" s="270">
        <v>2008</v>
      </c>
      <c r="D6" s="271"/>
      <c r="E6" s="271"/>
      <c r="F6" s="271"/>
      <c r="G6" s="271"/>
      <c r="H6" s="271"/>
      <c r="I6" s="272"/>
      <c r="J6" s="24"/>
      <c r="K6" s="20"/>
      <c r="L6" s="28"/>
      <c r="M6" s="54"/>
      <c r="N6" s="279" t="s">
        <v>1427</v>
      </c>
      <c r="O6" s="280"/>
      <c r="P6" s="197" t="s">
        <v>1433</v>
      </c>
      <c r="Q6" s="57" t="s">
        <v>1538</v>
      </c>
      <c r="R6" s="281" t="s">
        <v>1432</v>
      </c>
      <c r="S6" s="281"/>
      <c r="T6" s="282"/>
      <c r="U6" s="53" t="s">
        <v>1538</v>
      </c>
      <c r="V6" s="24"/>
    </row>
    <row r="7" spans="2:23" x14ac:dyDescent="0.25">
      <c r="B7" s="28"/>
      <c r="C7" s="43"/>
      <c r="D7" s="20"/>
      <c r="E7" s="41"/>
      <c r="F7" s="41" t="s">
        <v>1428</v>
      </c>
      <c r="G7" s="273" t="s">
        <v>1427</v>
      </c>
      <c r="H7" s="273"/>
      <c r="I7" s="42" t="s">
        <v>1426</v>
      </c>
      <c r="J7" s="24"/>
      <c r="K7" s="20"/>
      <c r="L7" s="28"/>
      <c r="M7" s="52" t="s">
        <v>1522</v>
      </c>
      <c r="N7" s="56">
        <v>0.27</v>
      </c>
      <c r="O7" s="51" t="s">
        <v>1430</v>
      </c>
      <c r="P7" s="202">
        <v>5978444.4000000004</v>
      </c>
      <c r="Q7" s="203">
        <f>P7*N7</f>
        <v>1614179.9880000001</v>
      </c>
      <c r="R7" s="204"/>
      <c r="S7" s="205">
        <v>7135102.9500000002</v>
      </c>
      <c r="T7" s="206"/>
      <c r="U7" s="207">
        <f>S7*N7</f>
        <v>1926477.7965000002</v>
      </c>
      <c r="V7" s="24"/>
    </row>
    <row r="8" spans="2:23" x14ac:dyDescent="0.25">
      <c r="B8" s="28"/>
      <c r="C8" s="37" t="s">
        <v>1424</v>
      </c>
      <c r="D8" s="36">
        <v>0</v>
      </c>
      <c r="E8" s="36">
        <v>0</v>
      </c>
      <c r="F8" s="36">
        <v>128191</v>
      </c>
      <c r="G8" s="34">
        <v>2.4</v>
      </c>
      <c r="H8" s="41" t="s">
        <v>1425</v>
      </c>
      <c r="I8" s="47">
        <f>F8*G8</f>
        <v>307658.39999999997</v>
      </c>
      <c r="J8" s="24"/>
      <c r="K8" s="20"/>
      <c r="L8" s="28"/>
      <c r="M8" s="52" t="s">
        <v>1523</v>
      </c>
      <c r="N8" s="20">
        <v>0.25800000000000001</v>
      </c>
      <c r="O8" s="51" t="s">
        <v>1430</v>
      </c>
      <c r="P8" s="208">
        <v>5903276</v>
      </c>
      <c r="Q8" s="203">
        <f t="shared" ref="Q8:Q14" si="0">P8*N8</f>
        <v>1523045.2080000001</v>
      </c>
      <c r="R8" s="209"/>
      <c r="S8" s="67">
        <v>6832121</v>
      </c>
      <c r="T8" s="210"/>
      <c r="U8" s="207">
        <f t="shared" ref="U8:U14" si="1">S8*N8</f>
        <v>1762687.2180000001</v>
      </c>
      <c r="V8" s="24"/>
    </row>
    <row r="9" spans="2:23" ht="15.75" thickBot="1" x14ac:dyDescent="0.3">
      <c r="B9" s="28"/>
      <c r="C9" s="32" t="s">
        <v>1423</v>
      </c>
      <c r="D9" s="31">
        <v>0</v>
      </c>
      <c r="E9" s="31">
        <v>0</v>
      </c>
      <c r="F9" s="31">
        <v>617990</v>
      </c>
      <c r="G9" s="30">
        <v>0.16400000000000001</v>
      </c>
      <c r="H9" s="30" t="s">
        <v>1422</v>
      </c>
      <c r="I9" s="48">
        <f>F9*G9</f>
        <v>101350.36</v>
      </c>
      <c r="J9" s="24"/>
      <c r="K9" s="20"/>
      <c r="L9" s="28"/>
      <c r="M9" s="52" t="s">
        <v>1524</v>
      </c>
      <c r="N9" s="20">
        <v>0.16400000000000001</v>
      </c>
      <c r="O9" s="51" t="s">
        <v>1430</v>
      </c>
      <c r="P9" s="208">
        <v>6351513.4699999997</v>
      </c>
      <c r="Q9" s="203">
        <f t="shared" si="0"/>
        <v>1041648.2090800001</v>
      </c>
      <c r="R9" s="209"/>
      <c r="S9" s="67">
        <v>7518430.0099999998</v>
      </c>
      <c r="T9" s="210"/>
      <c r="U9" s="207">
        <f t="shared" si="1"/>
        <v>1233022.5216399999</v>
      </c>
      <c r="V9" s="24"/>
    </row>
    <row r="10" spans="2:23" ht="15.75" thickBot="1" x14ac:dyDescent="0.3">
      <c r="B10" s="28"/>
      <c r="C10" s="26"/>
      <c r="D10" s="26"/>
      <c r="E10" s="26"/>
      <c r="F10" s="26"/>
      <c r="G10" s="26"/>
      <c r="H10" s="26"/>
      <c r="I10" s="26"/>
      <c r="J10" s="24"/>
      <c r="K10" s="20"/>
      <c r="L10" s="28"/>
      <c r="M10" s="52" t="s">
        <v>1525</v>
      </c>
      <c r="N10" s="56">
        <v>0.14000000000000001</v>
      </c>
      <c r="O10" s="51" t="s">
        <v>1430</v>
      </c>
      <c r="P10" s="208">
        <v>6182406.5099999998</v>
      </c>
      <c r="Q10" s="203">
        <f t="shared" si="0"/>
        <v>865536.9114000001</v>
      </c>
      <c r="R10" s="209"/>
      <c r="S10" s="67">
        <v>7100366.1399999997</v>
      </c>
      <c r="T10" s="210"/>
      <c r="U10" s="207">
        <f t="shared" si="1"/>
        <v>994051.25959999999</v>
      </c>
      <c r="V10" s="199"/>
    </row>
    <row r="11" spans="2:23" x14ac:dyDescent="0.25">
      <c r="B11" s="28"/>
      <c r="C11" s="270">
        <v>2009</v>
      </c>
      <c r="D11" s="271"/>
      <c r="E11" s="271"/>
      <c r="F11" s="271"/>
      <c r="G11" s="271"/>
      <c r="H11" s="271"/>
      <c r="I11" s="272"/>
      <c r="J11" s="24"/>
      <c r="K11" s="20"/>
      <c r="L11" s="28"/>
      <c r="M11" s="52" t="s">
        <v>1526</v>
      </c>
      <c r="N11" s="20">
        <v>7.0999999999999994E-2</v>
      </c>
      <c r="O11" s="51" t="s">
        <v>1430</v>
      </c>
      <c r="P11" s="208">
        <v>1037554.19</v>
      </c>
      <c r="Q11" s="203">
        <f t="shared" si="0"/>
        <v>73666.347489999986</v>
      </c>
      <c r="R11" s="209"/>
      <c r="S11" s="67">
        <v>1251696.54</v>
      </c>
      <c r="T11" s="210"/>
      <c r="U11" s="207">
        <f t="shared" si="1"/>
        <v>88870.454339999997</v>
      </c>
      <c r="V11" s="24"/>
      <c r="W11" s="20"/>
    </row>
    <row r="12" spans="2:23" x14ac:dyDescent="0.25">
      <c r="B12" s="28"/>
      <c r="C12" s="43"/>
      <c r="D12" s="20"/>
      <c r="E12" s="41"/>
      <c r="F12" s="41" t="s">
        <v>1428</v>
      </c>
      <c r="G12" s="273" t="s">
        <v>1427</v>
      </c>
      <c r="H12" s="273"/>
      <c r="I12" s="42" t="s">
        <v>1426</v>
      </c>
      <c r="J12" s="24"/>
      <c r="K12" s="20"/>
      <c r="L12" s="28"/>
      <c r="M12" s="52" t="s">
        <v>1527</v>
      </c>
      <c r="N12" s="56">
        <v>7.0999999999999994E-2</v>
      </c>
      <c r="O12" s="51" t="s">
        <v>1430</v>
      </c>
      <c r="P12" s="211">
        <v>1226679</v>
      </c>
      <c r="Q12" s="203">
        <f t="shared" si="0"/>
        <v>87094.208999999988</v>
      </c>
      <c r="R12" s="212"/>
      <c r="S12" s="213">
        <v>1438716</v>
      </c>
      <c r="T12" s="214"/>
      <c r="U12" s="207">
        <f t="shared" si="1"/>
        <v>102148.836</v>
      </c>
      <c r="V12" s="24"/>
      <c r="W12" s="20"/>
    </row>
    <row r="13" spans="2:23" x14ac:dyDescent="0.25">
      <c r="B13" s="28"/>
      <c r="C13" s="37" t="s">
        <v>1424</v>
      </c>
      <c r="D13" s="36">
        <v>0</v>
      </c>
      <c r="E13" s="36">
        <v>0</v>
      </c>
      <c r="F13" s="36">
        <v>155628</v>
      </c>
      <c r="G13" s="34">
        <v>2.4</v>
      </c>
      <c r="H13" s="41" t="s">
        <v>1425</v>
      </c>
      <c r="I13" s="47">
        <f>F13*G13</f>
        <v>373507.2</v>
      </c>
      <c r="J13" s="24"/>
      <c r="K13" s="20"/>
      <c r="L13" s="28"/>
      <c r="M13" s="52" t="s">
        <v>1528</v>
      </c>
      <c r="N13" s="201">
        <v>0.20399999999999999</v>
      </c>
      <c r="O13" s="51" t="s">
        <v>1430</v>
      </c>
      <c r="P13" s="208">
        <v>4572890.6500000004</v>
      </c>
      <c r="Q13" s="203">
        <f t="shared" si="0"/>
        <v>932869.69260000007</v>
      </c>
      <c r="R13" s="209"/>
      <c r="S13" s="67">
        <v>5453938.6699999999</v>
      </c>
      <c r="T13" s="210"/>
      <c r="U13" s="207">
        <f t="shared" si="1"/>
        <v>1112603.48868</v>
      </c>
      <c r="V13" s="24"/>
      <c r="W13" s="20"/>
    </row>
    <row r="14" spans="2:23" ht="15.75" thickBot="1" x14ac:dyDescent="0.3">
      <c r="B14" s="28"/>
      <c r="C14" s="32" t="s">
        <v>1423</v>
      </c>
      <c r="D14" s="31">
        <v>0</v>
      </c>
      <c r="E14" s="31">
        <v>0</v>
      </c>
      <c r="F14" s="31">
        <v>599229</v>
      </c>
      <c r="G14" s="30">
        <v>0.16400000000000001</v>
      </c>
      <c r="H14" s="30" t="s">
        <v>1422</v>
      </c>
      <c r="I14" s="48">
        <f>F14*G14</f>
        <v>98273.555999999997</v>
      </c>
      <c r="J14" s="24"/>
      <c r="K14" s="20"/>
      <c r="L14" s="28"/>
      <c r="M14" s="90" t="s">
        <v>1529</v>
      </c>
      <c r="N14" s="91">
        <v>0.20399999999999999</v>
      </c>
      <c r="O14" s="92" t="s">
        <v>1430</v>
      </c>
      <c r="P14" s="215">
        <v>4249531</v>
      </c>
      <c r="Q14" s="216">
        <f t="shared" si="0"/>
        <v>866904.32399999991</v>
      </c>
      <c r="R14" s="217"/>
      <c r="S14" s="218">
        <v>4913936</v>
      </c>
      <c r="T14" s="219"/>
      <c r="U14" s="220">
        <f t="shared" si="1"/>
        <v>1002442.9439999999</v>
      </c>
      <c r="V14" s="24"/>
      <c r="W14" s="20"/>
    </row>
    <row r="15" spans="2:23" ht="15.75" thickBot="1" x14ac:dyDescent="0.3">
      <c r="B15" s="28"/>
      <c r="C15" s="26"/>
      <c r="D15" s="26"/>
      <c r="E15" s="26"/>
      <c r="F15" s="26"/>
      <c r="G15" s="26"/>
      <c r="H15" s="26"/>
      <c r="I15" s="26"/>
      <c r="J15" s="24"/>
      <c r="K15" s="20"/>
      <c r="L15" s="28"/>
      <c r="M15" s="43" t="s">
        <v>1539</v>
      </c>
      <c r="N15" s="20">
        <v>0.20399999999999999</v>
      </c>
      <c r="O15" s="248" t="s">
        <v>1430</v>
      </c>
      <c r="P15" s="249">
        <f>P7+P9+P11+P13</f>
        <v>17940402.710000001</v>
      </c>
      <c r="Q15" s="209">
        <f>Q7+Q9+Q11+Q13</f>
        <v>3662364.2371700006</v>
      </c>
      <c r="R15" s="209"/>
      <c r="S15" s="209">
        <f t="shared" ref="S15:U15" si="2">S7+S9+S11+S13</f>
        <v>21359168.170000002</v>
      </c>
      <c r="T15" s="209"/>
      <c r="U15" s="207">
        <f t="shared" si="2"/>
        <v>4360974.2611600002</v>
      </c>
      <c r="V15" s="24"/>
      <c r="W15" s="20"/>
    </row>
    <row r="16" spans="2:23" ht="15.75" thickBot="1" x14ac:dyDescent="0.3">
      <c r="B16" s="28"/>
      <c r="C16" s="270">
        <v>2010</v>
      </c>
      <c r="D16" s="271"/>
      <c r="E16" s="271"/>
      <c r="F16" s="271"/>
      <c r="G16" s="271"/>
      <c r="H16" s="271"/>
      <c r="I16" s="272"/>
      <c r="J16" s="24"/>
      <c r="K16" s="20"/>
      <c r="L16" s="28"/>
      <c r="M16" s="55" t="s">
        <v>1540</v>
      </c>
      <c r="N16" s="247">
        <v>0.19</v>
      </c>
      <c r="O16" s="50" t="s">
        <v>1430</v>
      </c>
      <c r="P16" s="221">
        <f>P8+P10+P12+P14</f>
        <v>17561892.509999998</v>
      </c>
      <c r="Q16" s="221">
        <f>Q8+Q10+Q12+Q14</f>
        <v>3342580.6524</v>
      </c>
      <c r="R16" s="221"/>
      <c r="S16" s="221">
        <f t="shared" ref="S16:U16" si="3">S8+S10+S12+S14</f>
        <v>20285139.140000001</v>
      </c>
      <c r="T16" s="221"/>
      <c r="U16" s="222">
        <f t="shared" si="3"/>
        <v>3861330.2576000001</v>
      </c>
      <c r="V16" s="24"/>
      <c r="W16" s="20"/>
    </row>
    <row r="17" spans="2:22" ht="15.75" thickBot="1" x14ac:dyDescent="0.3">
      <c r="B17" s="28"/>
      <c r="C17" s="43"/>
      <c r="D17" s="20"/>
      <c r="E17" s="41"/>
      <c r="F17" s="41" t="s">
        <v>1428</v>
      </c>
      <c r="G17" s="273" t="s">
        <v>1427</v>
      </c>
      <c r="H17" s="273"/>
      <c r="I17" s="42" t="s">
        <v>1426</v>
      </c>
      <c r="J17" s="24"/>
      <c r="K17" s="20"/>
      <c r="L17" s="49"/>
      <c r="M17" s="22"/>
      <c r="N17" s="22"/>
      <c r="O17" s="22"/>
      <c r="P17" s="22"/>
      <c r="Q17" s="22"/>
      <c r="R17" s="22"/>
      <c r="S17" s="22"/>
      <c r="T17" s="22"/>
      <c r="U17" s="22"/>
      <c r="V17" s="21"/>
    </row>
    <row r="18" spans="2:22" x14ac:dyDescent="0.25">
      <c r="B18" s="28"/>
      <c r="C18" s="37" t="s">
        <v>1424</v>
      </c>
      <c r="D18" s="36">
        <v>0</v>
      </c>
      <c r="E18" s="36">
        <v>0</v>
      </c>
      <c r="F18" s="36">
        <v>153815</v>
      </c>
      <c r="G18" s="34">
        <v>2.4</v>
      </c>
      <c r="H18" s="41" t="s">
        <v>1425</v>
      </c>
      <c r="I18" s="47">
        <f>F18*G18</f>
        <v>369156</v>
      </c>
      <c r="J18" s="24"/>
      <c r="K18" s="20"/>
      <c r="S18" s="89"/>
      <c r="T18" s="89"/>
      <c r="U18" s="89"/>
    </row>
    <row r="19" spans="2:22" ht="15.75" thickBot="1" x14ac:dyDescent="0.3">
      <c r="B19" s="28"/>
      <c r="C19" s="32" t="s">
        <v>1423</v>
      </c>
      <c r="D19" s="31">
        <v>0</v>
      </c>
      <c r="E19" s="31">
        <v>0</v>
      </c>
      <c r="F19" s="31">
        <v>604980</v>
      </c>
      <c r="G19" s="30">
        <v>0.16400000000000001</v>
      </c>
      <c r="H19" s="30" t="s">
        <v>1422</v>
      </c>
      <c r="I19" s="48">
        <f>F19*G19</f>
        <v>99216.72</v>
      </c>
      <c r="J19" s="24"/>
      <c r="K19" s="20"/>
      <c r="S19" s="89"/>
      <c r="T19" s="89"/>
      <c r="U19" s="89"/>
    </row>
    <row r="20" spans="2:22" ht="15.75" thickBot="1" x14ac:dyDescent="0.3">
      <c r="B20" s="28"/>
      <c r="C20" s="26"/>
      <c r="D20" s="26"/>
      <c r="E20" s="26"/>
      <c r="F20" s="26"/>
      <c r="G20" s="26"/>
      <c r="H20" s="26"/>
      <c r="I20" s="26"/>
      <c r="J20" s="24"/>
      <c r="K20" s="20"/>
      <c r="O20" s="241"/>
    </row>
    <row r="21" spans="2:22" x14ac:dyDescent="0.25">
      <c r="B21" s="28"/>
      <c r="C21" s="270">
        <v>2011</v>
      </c>
      <c r="D21" s="271"/>
      <c r="E21" s="271"/>
      <c r="F21" s="271"/>
      <c r="G21" s="271"/>
      <c r="H21" s="271"/>
      <c r="I21" s="272"/>
      <c r="J21" s="24"/>
      <c r="K21" s="20"/>
      <c r="M21" s="233"/>
      <c r="P21" s="233"/>
    </row>
    <row r="22" spans="2:22" x14ac:dyDescent="0.25">
      <c r="B22" s="28"/>
      <c r="C22" s="43"/>
      <c r="D22" s="20" t="s">
        <v>107</v>
      </c>
      <c r="E22" s="41" t="s">
        <v>1429</v>
      </c>
      <c r="F22" s="41" t="s">
        <v>1428</v>
      </c>
      <c r="G22" s="273" t="s">
        <v>1427</v>
      </c>
      <c r="H22" s="273"/>
      <c r="I22" s="42" t="s">
        <v>1426</v>
      </c>
      <c r="J22" s="24"/>
      <c r="K22" s="20"/>
    </row>
    <row r="23" spans="2:22" x14ac:dyDescent="0.25">
      <c r="B23" s="28"/>
      <c r="C23" s="37" t="s">
        <v>1439</v>
      </c>
      <c r="D23" s="35">
        <v>13284</v>
      </c>
      <c r="E23" s="35">
        <v>43350</v>
      </c>
      <c r="F23" s="35">
        <f>SUM(D23:E23)</f>
        <v>56634</v>
      </c>
      <c r="G23" s="41">
        <v>2.4</v>
      </c>
      <c r="H23" s="41" t="s">
        <v>1425</v>
      </c>
      <c r="I23" s="33">
        <f>F23*G23</f>
        <v>135921.60000000001</v>
      </c>
      <c r="J23" s="24"/>
      <c r="K23" s="20"/>
    </row>
    <row r="24" spans="2:22" x14ac:dyDescent="0.25">
      <c r="B24" s="28"/>
      <c r="C24" s="37" t="s">
        <v>1440</v>
      </c>
      <c r="D24" s="35">
        <v>78288</v>
      </c>
      <c r="E24" s="35">
        <v>19912</v>
      </c>
      <c r="F24" s="35">
        <f>SUM(D24:E24)</f>
        <v>98200</v>
      </c>
      <c r="G24" s="41">
        <v>2.65</v>
      </c>
      <c r="H24" s="41" t="s">
        <v>1425</v>
      </c>
      <c r="I24" s="33">
        <f>F24*G24</f>
        <v>260230</v>
      </c>
      <c r="J24" s="39"/>
      <c r="K24" s="38"/>
      <c r="M24" s="85"/>
    </row>
    <row r="25" spans="2:22" x14ac:dyDescent="0.25">
      <c r="B25" s="28"/>
      <c r="C25" s="37" t="s">
        <v>1436</v>
      </c>
      <c r="D25" s="36">
        <f>SUM(D23:D24)</f>
        <v>91572</v>
      </c>
      <c r="E25" s="36">
        <f>SUM(E23:E24)</f>
        <v>63262</v>
      </c>
      <c r="F25" s="36">
        <f>SUM(F23:F24)</f>
        <v>154834</v>
      </c>
      <c r="G25" s="34">
        <v>2.4</v>
      </c>
      <c r="H25" s="41" t="s">
        <v>1425</v>
      </c>
      <c r="I25" s="47">
        <f>F25*G25</f>
        <v>371601.6</v>
      </c>
      <c r="J25" s="39"/>
      <c r="K25" s="38"/>
    </row>
    <row r="26" spans="2:22" ht="15.75" thickBot="1" x14ac:dyDescent="0.3">
      <c r="B26" s="28"/>
      <c r="C26" s="32" t="s">
        <v>1423</v>
      </c>
      <c r="D26" s="31">
        <v>0</v>
      </c>
      <c r="E26" s="31">
        <v>0</v>
      </c>
      <c r="F26" s="31">
        <v>528791</v>
      </c>
      <c r="G26" s="30">
        <v>0.16400000000000001</v>
      </c>
      <c r="H26" s="30" t="s">
        <v>1422</v>
      </c>
      <c r="I26" s="48">
        <f>F26*G26</f>
        <v>86721.724000000002</v>
      </c>
      <c r="J26" s="39"/>
      <c r="K26" s="38"/>
    </row>
    <row r="27" spans="2:22" ht="15.75" thickBot="1" x14ac:dyDescent="0.3">
      <c r="B27" s="28"/>
      <c r="C27" s="46"/>
      <c r="D27" s="45"/>
      <c r="E27" s="45"/>
      <c r="F27" s="45"/>
      <c r="G27" s="44"/>
      <c r="H27" s="44"/>
      <c r="I27" s="45"/>
      <c r="J27" s="39"/>
      <c r="K27" s="38"/>
      <c r="M27" s="85"/>
    </row>
    <row r="28" spans="2:22" x14ac:dyDescent="0.25">
      <c r="B28" s="28"/>
      <c r="C28" s="270">
        <v>2012</v>
      </c>
      <c r="D28" s="271"/>
      <c r="E28" s="271"/>
      <c r="F28" s="271"/>
      <c r="G28" s="271"/>
      <c r="H28" s="271"/>
      <c r="I28" s="272"/>
      <c r="J28" s="39"/>
      <c r="K28" s="38"/>
    </row>
    <row r="29" spans="2:22" x14ac:dyDescent="0.25">
      <c r="B29" s="28"/>
      <c r="C29" s="43"/>
      <c r="D29" s="20" t="s">
        <v>107</v>
      </c>
      <c r="E29" s="41" t="s">
        <v>1429</v>
      </c>
      <c r="F29" s="41" t="s">
        <v>1428</v>
      </c>
      <c r="G29" s="273" t="s">
        <v>1427</v>
      </c>
      <c r="H29" s="273"/>
      <c r="I29" s="42" t="s">
        <v>1426</v>
      </c>
      <c r="J29" s="39"/>
      <c r="K29" s="38"/>
    </row>
    <row r="30" spans="2:22" x14ac:dyDescent="0.25">
      <c r="B30" s="28"/>
      <c r="C30" s="37" t="s">
        <v>1439</v>
      </c>
      <c r="D30" s="36">
        <v>13606</v>
      </c>
      <c r="E30" s="35">
        <v>37287</v>
      </c>
      <c r="F30" s="35">
        <f>SUM(D30:E30)</f>
        <v>50893</v>
      </c>
      <c r="G30" s="41">
        <v>2.4</v>
      </c>
      <c r="H30" s="41" t="s">
        <v>1425</v>
      </c>
      <c r="I30" s="40">
        <f>F30*2.4</f>
        <v>122143.2</v>
      </c>
      <c r="J30" s="39"/>
      <c r="K30" s="38"/>
      <c r="M30" s="85"/>
    </row>
    <row r="31" spans="2:22" x14ac:dyDescent="0.25">
      <c r="B31" s="28"/>
      <c r="C31" s="37" t="s">
        <v>1440</v>
      </c>
      <c r="D31" s="35">
        <v>81756</v>
      </c>
      <c r="E31" s="35">
        <v>21935</v>
      </c>
      <c r="F31" s="35">
        <f>SUM(D31:E31)</f>
        <v>103691</v>
      </c>
      <c r="G31" s="41">
        <v>2.65</v>
      </c>
      <c r="H31" s="41" t="s">
        <v>1425</v>
      </c>
      <c r="I31" s="40">
        <f>F31*2.65</f>
        <v>274781.14999999997</v>
      </c>
      <c r="J31" s="39"/>
      <c r="K31" s="38"/>
    </row>
    <row r="32" spans="2:22" x14ac:dyDescent="0.25">
      <c r="B32" s="28"/>
      <c r="C32" s="37" t="s">
        <v>1436</v>
      </c>
      <c r="D32" s="35">
        <f>SUM(D30:D31)</f>
        <v>95362</v>
      </c>
      <c r="E32" s="35">
        <f>SUM(E30:E31)</f>
        <v>59222</v>
      </c>
      <c r="F32" s="35">
        <f>SUM(F30:F31)</f>
        <v>154584</v>
      </c>
      <c r="G32" s="34">
        <v>2.4</v>
      </c>
      <c r="H32" s="41" t="s">
        <v>1425</v>
      </c>
      <c r="I32" s="33">
        <f>F32*G32</f>
        <v>371001.59999999998</v>
      </c>
      <c r="J32" s="39"/>
      <c r="K32" s="38"/>
    </row>
    <row r="33" spans="2:13" ht="15.75" thickBot="1" x14ac:dyDescent="0.3">
      <c r="B33" s="28"/>
      <c r="C33" s="32" t="s">
        <v>1423</v>
      </c>
      <c r="D33" s="31">
        <v>0</v>
      </c>
      <c r="E33" s="31">
        <v>0</v>
      </c>
      <c r="F33" s="31">
        <v>457743</v>
      </c>
      <c r="G33" s="30">
        <v>0.16400000000000001</v>
      </c>
      <c r="H33" s="30" t="s">
        <v>1422</v>
      </c>
      <c r="I33" s="29">
        <f>F33*G33</f>
        <v>75069.851999999999</v>
      </c>
      <c r="J33" s="39"/>
      <c r="K33" s="38"/>
      <c r="M33" s="85"/>
    </row>
    <row r="34" spans="2:13" ht="15.75" thickBot="1" x14ac:dyDescent="0.3">
      <c r="B34" s="28"/>
      <c r="C34" s="46"/>
      <c r="D34" s="26"/>
      <c r="E34" s="26"/>
      <c r="F34" s="26"/>
      <c r="G34" s="26"/>
      <c r="H34" s="26"/>
      <c r="I34" s="26"/>
      <c r="J34" s="39"/>
      <c r="K34" s="38"/>
    </row>
    <row r="35" spans="2:13" x14ac:dyDescent="0.25">
      <c r="B35" s="28"/>
      <c r="C35" s="270">
        <v>2013</v>
      </c>
      <c r="D35" s="271"/>
      <c r="E35" s="271"/>
      <c r="F35" s="271"/>
      <c r="G35" s="271"/>
      <c r="H35" s="271"/>
      <c r="I35" s="272"/>
      <c r="J35" s="39"/>
      <c r="K35" s="38"/>
    </row>
    <row r="36" spans="2:13" x14ac:dyDescent="0.25">
      <c r="B36" s="28"/>
      <c r="C36" s="43"/>
      <c r="D36" s="20" t="s">
        <v>107</v>
      </c>
      <c r="E36" s="41" t="s">
        <v>1429</v>
      </c>
      <c r="F36" s="41" t="s">
        <v>1428</v>
      </c>
      <c r="G36" s="273" t="s">
        <v>1427</v>
      </c>
      <c r="H36" s="273"/>
      <c r="I36" s="42" t="s">
        <v>1426</v>
      </c>
      <c r="J36" s="39"/>
      <c r="K36" s="38"/>
    </row>
    <row r="37" spans="2:13" x14ac:dyDescent="0.25">
      <c r="B37" s="28"/>
      <c r="C37" s="37" t="s">
        <v>1439</v>
      </c>
      <c r="D37" s="35">
        <v>9615</v>
      </c>
      <c r="E37" s="35">
        <v>36819</v>
      </c>
      <c r="F37" s="35">
        <f>SUM(D37:E37)</f>
        <v>46434</v>
      </c>
      <c r="G37" s="41">
        <v>2.4</v>
      </c>
      <c r="H37" s="41" t="s">
        <v>1425</v>
      </c>
      <c r="I37" s="40">
        <f>F37*2.4</f>
        <v>111441.59999999999</v>
      </c>
      <c r="J37" s="39"/>
      <c r="K37" s="38"/>
    </row>
    <row r="38" spans="2:13" x14ac:dyDescent="0.25">
      <c r="B38" s="28"/>
      <c r="C38" s="37" t="s">
        <v>1440</v>
      </c>
      <c r="D38" s="35">
        <f>72891+9729</f>
        <v>82620</v>
      </c>
      <c r="E38" s="35">
        <v>13214</v>
      </c>
      <c r="F38" s="35">
        <f>SUM(D38:E38)</f>
        <v>95834</v>
      </c>
      <c r="G38" s="41">
        <v>2.65</v>
      </c>
      <c r="H38" s="41" t="s">
        <v>1425</v>
      </c>
      <c r="I38" s="40">
        <f>F38*2.65</f>
        <v>253960.1</v>
      </c>
      <c r="J38" s="39"/>
      <c r="K38" s="38"/>
    </row>
    <row r="39" spans="2:13" x14ac:dyDescent="0.25">
      <c r="B39" s="28"/>
      <c r="C39" s="37" t="s">
        <v>1436</v>
      </c>
      <c r="D39" s="36">
        <f>SUM(D37:D38)</f>
        <v>92235</v>
      </c>
      <c r="E39" s="36">
        <f>SUM(E37:E38)</f>
        <v>50033</v>
      </c>
      <c r="F39" s="36">
        <f>SUM(F37:F38)</f>
        <v>142268</v>
      </c>
      <c r="G39" s="34">
        <v>2.4</v>
      </c>
      <c r="H39" s="41" t="s">
        <v>1425</v>
      </c>
      <c r="I39" s="47">
        <f>F39*G39</f>
        <v>341443.2</v>
      </c>
      <c r="J39" s="39"/>
      <c r="K39" s="38"/>
    </row>
    <row r="40" spans="2:13" ht="15.75" thickBot="1" x14ac:dyDescent="0.3">
      <c r="B40" s="28"/>
      <c r="C40" s="32" t="s">
        <v>1423</v>
      </c>
      <c r="D40" s="31">
        <v>0</v>
      </c>
      <c r="E40" s="31">
        <v>0</v>
      </c>
      <c r="F40" s="31">
        <v>529976</v>
      </c>
      <c r="G40" s="30">
        <v>0.16400000000000001</v>
      </c>
      <c r="H40" s="30" t="s">
        <v>1422</v>
      </c>
      <c r="I40" s="29">
        <f>F40*G40</f>
        <v>86916.063999999998</v>
      </c>
      <c r="J40" s="39"/>
      <c r="K40" s="38"/>
    </row>
    <row r="41" spans="2:13" ht="15.75" thickBot="1" x14ac:dyDescent="0.3">
      <c r="B41" s="28"/>
      <c r="C41" s="46"/>
      <c r="D41" s="26"/>
      <c r="E41" s="26"/>
      <c r="F41" s="45"/>
      <c r="G41" s="44"/>
      <c r="H41" s="44"/>
      <c r="I41" s="26"/>
      <c r="J41" s="39"/>
      <c r="K41" s="38"/>
    </row>
    <row r="42" spans="2:13" x14ac:dyDescent="0.25">
      <c r="B42" s="28"/>
      <c r="C42" s="270">
        <v>2014</v>
      </c>
      <c r="D42" s="271"/>
      <c r="E42" s="271"/>
      <c r="F42" s="271"/>
      <c r="G42" s="271"/>
      <c r="H42" s="271"/>
      <c r="I42" s="272"/>
      <c r="J42" s="39"/>
      <c r="K42" s="38"/>
    </row>
    <row r="43" spans="2:13" x14ac:dyDescent="0.25">
      <c r="B43" s="28"/>
      <c r="C43" s="43"/>
      <c r="D43" s="20" t="s">
        <v>107</v>
      </c>
      <c r="E43" s="41" t="s">
        <v>1429</v>
      </c>
      <c r="F43" s="41" t="s">
        <v>1428</v>
      </c>
      <c r="G43" s="273" t="s">
        <v>1427</v>
      </c>
      <c r="H43" s="273"/>
      <c r="I43" s="42" t="s">
        <v>1426</v>
      </c>
      <c r="J43" s="39"/>
      <c r="K43" s="38"/>
    </row>
    <row r="44" spans="2:13" x14ac:dyDescent="0.25">
      <c r="B44" s="28"/>
      <c r="C44" s="37" t="s">
        <v>1439</v>
      </c>
      <c r="D44" s="36">
        <v>9745</v>
      </c>
      <c r="E44" s="36">
        <v>46942</v>
      </c>
      <c r="F44" s="35">
        <f>SUM(D44:E44)</f>
        <v>56687</v>
      </c>
      <c r="G44" s="41">
        <v>2.4</v>
      </c>
      <c r="H44" s="41" t="s">
        <v>1425</v>
      </c>
      <c r="I44" s="40">
        <f>F44*G44</f>
        <v>136048.79999999999</v>
      </c>
      <c r="J44" s="39"/>
      <c r="K44" s="38"/>
    </row>
    <row r="45" spans="2:13" x14ac:dyDescent="0.25">
      <c r="B45" s="28"/>
      <c r="C45" s="37" t="s">
        <v>1440</v>
      </c>
      <c r="D45" s="36">
        <v>84830</v>
      </c>
      <c r="E45" s="36">
        <v>11739</v>
      </c>
      <c r="F45" s="35">
        <f>SUM(D45:E45)</f>
        <v>96569</v>
      </c>
      <c r="G45" s="41">
        <v>2.65</v>
      </c>
      <c r="H45" s="41" t="s">
        <v>1425</v>
      </c>
      <c r="I45" s="40">
        <f>G45*F45</f>
        <v>255907.85</v>
      </c>
      <c r="J45" s="39"/>
      <c r="K45" s="38"/>
    </row>
    <row r="46" spans="2:13" x14ac:dyDescent="0.25">
      <c r="B46" s="28"/>
      <c r="C46" s="37" t="s">
        <v>1436</v>
      </c>
      <c r="D46" s="36">
        <f>SUM(D44:D45)</f>
        <v>94575</v>
      </c>
      <c r="E46" s="36">
        <f>SUM(E44:E45)</f>
        <v>58681</v>
      </c>
      <c r="F46" s="35">
        <f>SUM(D46:E46)</f>
        <v>153256</v>
      </c>
      <c r="G46" s="34">
        <v>2.4</v>
      </c>
      <c r="H46" s="41" t="s">
        <v>1425</v>
      </c>
      <c r="I46" s="33">
        <f>F46*G46</f>
        <v>367814.39999999997</v>
      </c>
      <c r="J46" s="24"/>
      <c r="K46" s="20"/>
    </row>
    <row r="47" spans="2:13" ht="15.75" thickBot="1" x14ac:dyDescent="0.3">
      <c r="B47" s="28"/>
      <c r="C47" s="32" t="s">
        <v>1423</v>
      </c>
      <c r="D47" s="31">
        <v>0</v>
      </c>
      <c r="E47" s="31">
        <v>0</v>
      </c>
      <c r="F47" s="31">
        <v>508802</v>
      </c>
      <c r="G47" s="30">
        <v>0.16400000000000001</v>
      </c>
      <c r="H47" s="30" t="s">
        <v>1422</v>
      </c>
      <c r="I47" s="29">
        <f>F47*G47</f>
        <v>83443.528000000006</v>
      </c>
      <c r="J47" s="24"/>
      <c r="K47" s="20"/>
    </row>
    <row r="48" spans="2:13" ht="15.75" thickBot="1" x14ac:dyDescent="0.3">
      <c r="B48" s="28"/>
      <c r="C48" s="26"/>
      <c r="D48" s="26"/>
      <c r="E48" s="26"/>
      <c r="F48" s="26"/>
      <c r="G48" s="26"/>
      <c r="H48" s="26"/>
      <c r="I48" s="26"/>
      <c r="J48" s="24"/>
      <c r="K48" s="20"/>
    </row>
    <row r="49" spans="2:11" x14ac:dyDescent="0.25">
      <c r="B49" s="28"/>
      <c r="C49" s="270">
        <v>2015</v>
      </c>
      <c r="D49" s="271"/>
      <c r="E49" s="271"/>
      <c r="F49" s="271"/>
      <c r="G49" s="271"/>
      <c r="H49" s="271"/>
      <c r="I49" s="272"/>
      <c r="J49" s="24"/>
      <c r="K49" s="20"/>
    </row>
    <row r="50" spans="2:11" x14ac:dyDescent="0.25">
      <c r="B50" s="28"/>
      <c r="C50" s="43"/>
      <c r="D50" s="274" t="s">
        <v>1447</v>
      </c>
      <c r="E50" s="274"/>
      <c r="F50" s="41" t="s">
        <v>1428</v>
      </c>
      <c r="G50" s="273" t="s">
        <v>1427</v>
      </c>
      <c r="H50" s="273"/>
      <c r="I50" s="42" t="s">
        <v>1426</v>
      </c>
      <c r="J50" s="24"/>
      <c r="K50" s="20"/>
    </row>
    <row r="51" spans="2:11" x14ac:dyDescent="0.25">
      <c r="B51" s="28"/>
      <c r="C51" s="37" t="s">
        <v>1439</v>
      </c>
      <c r="D51" s="275">
        <v>48597.86</v>
      </c>
      <c r="E51" s="275"/>
      <c r="F51" s="35">
        <f>SUM(D51:E51)</f>
        <v>48597.86</v>
      </c>
      <c r="G51" s="41">
        <v>2.4</v>
      </c>
      <c r="H51" s="41" t="s">
        <v>1425</v>
      </c>
      <c r="I51" s="40">
        <f>F51*G51</f>
        <v>116634.864</v>
      </c>
      <c r="J51" s="24"/>
      <c r="K51" s="20"/>
    </row>
    <row r="52" spans="2:11" x14ac:dyDescent="0.25">
      <c r="B52" s="28"/>
      <c r="C52" s="37" t="s">
        <v>1440</v>
      </c>
      <c r="D52" s="275">
        <v>97542.98</v>
      </c>
      <c r="E52" s="275"/>
      <c r="F52" s="35">
        <f>SUM(D52:E52)</f>
        <v>97542.98</v>
      </c>
      <c r="G52" s="41">
        <v>2.65</v>
      </c>
      <c r="H52" s="41" t="s">
        <v>1425</v>
      </c>
      <c r="I52" s="40">
        <f>G52*F52</f>
        <v>258488.89699999997</v>
      </c>
      <c r="J52" s="24"/>
      <c r="K52" s="20"/>
    </row>
    <row r="53" spans="2:11" x14ac:dyDescent="0.25">
      <c r="B53" s="28"/>
      <c r="C53" s="37" t="s">
        <v>1436</v>
      </c>
      <c r="D53" s="268">
        <v>146141</v>
      </c>
      <c r="E53" s="268"/>
      <c r="F53" s="35">
        <f>SUM(D53:E53)</f>
        <v>146141</v>
      </c>
      <c r="G53" s="34">
        <v>2.4</v>
      </c>
      <c r="H53" s="41" t="s">
        <v>1425</v>
      </c>
      <c r="I53" s="33">
        <f>F53*G53</f>
        <v>350738.39999999997</v>
      </c>
      <c r="J53" s="24"/>
      <c r="K53" s="20"/>
    </row>
    <row r="54" spans="2:11" ht="15.75" thickBot="1" x14ac:dyDescent="0.3">
      <c r="B54" s="28"/>
      <c r="C54" s="32" t="s">
        <v>1423</v>
      </c>
      <c r="D54" s="269">
        <v>0</v>
      </c>
      <c r="E54" s="269"/>
      <c r="F54" s="31">
        <v>501480</v>
      </c>
      <c r="G54" s="30">
        <v>0.16400000000000001</v>
      </c>
      <c r="H54" s="30" t="s">
        <v>1422</v>
      </c>
      <c r="I54" s="29">
        <f>F54*G54</f>
        <v>82242.720000000001</v>
      </c>
      <c r="J54" s="24"/>
    </row>
    <row r="55" spans="2:11" x14ac:dyDescent="0.25">
      <c r="B55" s="28"/>
      <c r="C55" s="26" t="s">
        <v>1437</v>
      </c>
      <c r="D55" s="26"/>
      <c r="E55" s="26"/>
      <c r="F55" s="26"/>
      <c r="G55" s="26"/>
      <c r="H55" s="26"/>
      <c r="I55" s="26"/>
      <c r="J55" s="24"/>
    </row>
    <row r="56" spans="2:11" x14ac:dyDescent="0.25">
      <c r="B56" s="28"/>
      <c r="C56" s="26" t="s">
        <v>1438</v>
      </c>
      <c r="D56" s="26"/>
      <c r="E56" s="26"/>
      <c r="F56" s="26"/>
      <c r="G56" s="26"/>
      <c r="H56" s="26"/>
      <c r="I56" s="26"/>
      <c r="J56" s="24"/>
    </row>
    <row r="57" spans="2:11" x14ac:dyDescent="0.25">
      <c r="B57" s="28"/>
      <c r="C57" s="26" t="s">
        <v>1421</v>
      </c>
      <c r="D57" s="26"/>
      <c r="E57" s="26"/>
      <c r="F57" s="26"/>
      <c r="G57" s="26"/>
      <c r="H57" s="26"/>
      <c r="I57" s="26"/>
      <c r="J57" s="24"/>
    </row>
    <row r="58" spans="2:11" x14ac:dyDescent="0.25">
      <c r="B58" s="27"/>
      <c r="C58" s="25" t="s">
        <v>1420</v>
      </c>
      <c r="D58" s="26"/>
      <c r="E58" s="26"/>
      <c r="F58" s="26"/>
      <c r="G58" s="26"/>
      <c r="H58" s="26"/>
      <c r="I58" s="25"/>
      <c r="J58" s="24"/>
    </row>
    <row r="59" spans="2:11" ht="15.75" thickBot="1" x14ac:dyDescent="0.3">
      <c r="B59" s="23"/>
      <c r="C59" s="22"/>
      <c r="D59" s="22"/>
      <c r="E59" s="22"/>
      <c r="F59" s="22"/>
      <c r="G59" s="22"/>
      <c r="H59" s="22"/>
      <c r="I59" s="22"/>
      <c r="J59" s="21"/>
    </row>
  </sheetData>
  <mergeCells count="25">
    <mergeCell ref="B4:J4"/>
    <mergeCell ref="L4:V4"/>
    <mergeCell ref="C42:I42"/>
    <mergeCell ref="N6:O6"/>
    <mergeCell ref="R6:T6"/>
    <mergeCell ref="G43:H43"/>
    <mergeCell ref="G36:H36"/>
    <mergeCell ref="G29:H29"/>
    <mergeCell ref="G22:H22"/>
    <mergeCell ref="C6:I6"/>
    <mergeCell ref="G7:H7"/>
    <mergeCell ref="C11:I11"/>
    <mergeCell ref="G12:H12"/>
    <mergeCell ref="C16:I16"/>
    <mergeCell ref="C28:I28"/>
    <mergeCell ref="C35:I35"/>
    <mergeCell ref="G17:H17"/>
    <mergeCell ref="C21:I21"/>
    <mergeCell ref="D53:E53"/>
    <mergeCell ref="D54:E54"/>
    <mergeCell ref="C49:I49"/>
    <mergeCell ref="G50:H50"/>
    <mergeCell ref="D50:E50"/>
    <mergeCell ref="D51:E51"/>
    <mergeCell ref="D52:E5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25"/>
  <sheetViews>
    <sheetView workbookViewId="0">
      <selection activeCell="F22" sqref="F22"/>
    </sheetView>
  </sheetViews>
  <sheetFormatPr defaultRowHeight="15" x14ac:dyDescent="0.25"/>
  <cols>
    <col min="1" max="1" width="29.140625" customWidth="1"/>
    <col min="2" max="2" width="17.7109375" bestFit="1" customWidth="1"/>
    <col min="3" max="3" width="11" customWidth="1"/>
    <col min="4" max="4" width="12.42578125" bestFit="1" customWidth="1"/>
    <col min="5" max="5" width="10" bestFit="1" customWidth="1"/>
    <col min="6" max="7" width="12.42578125" bestFit="1" customWidth="1"/>
    <col min="8" max="8" width="11" bestFit="1" customWidth="1"/>
    <col min="9" max="9" width="10" bestFit="1" customWidth="1"/>
    <col min="10" max="10" width="13.5703125" bestFit="1" customWidth="1"/>
    <col min="11" max="11" width="12.42578125" bestFit="1" customWidth="1"/>
    <col min="12" max="12" width="11" bestFit="1" customWidth="1"/>
    <col min="13" max="13" width="13.5703125" bestFit="1" customWidth="1"/>
    <col min="14" max="14" width="10" bestFit="1" customWidth="1"/>
    <col min="15" max="16" width="12.42578125" bestFit="1" customWidth="1"/>
    <col min="17" max="17" width="11" bestFit="1" customWidth="1"/>
    <col min="18" max="18" width="10" bestFit="1" customWidth="1"/>
    <col min="19" max="19" width="13.5703125" bestFit="1" customWidth="1"/>
    <col min="20" max="20" width="12.42578125" bestFit="1" customWidth="1"/>
    <col min="21" max="21" width="11" bestFit="1" customWidth="1"/>
    <col min="22" max="22" width="13.5703125" bestFit="1" customWidth="1"/>
    <col min="23" max="23" width="10" bestFit="1" customWidth="1"/>
    <col min="24" max="25" width="12.42578125" bestFit="1" customWidth="1"/>
    <col min="26" max="26" width="11" bestFit="1" customWidth="1"/>
    <col min="27" max="27" width="10" bestFit="1" customWidth="1"/>
    <col min="28" max="28" width="13.5703125" bestFit="1" customWidth="1"/>
    <col min="29" max="29" width="12.42578125" customWidth="1"/>
    <col min="30" max="30" width="11" bestFit="1" customWidth="1"/>
    <col min="31" max="31" width="12.42578125" bestFit="1" customWidth="1"/>
    <col min="32" max="32" width="10" bestFit="1" customWidth="1"/>
    <col min="33" max="34" width="12.42578125" bestFit="1" customWidth="1"/>
    <col min="35" max="35" width="11" bestFit="1" customWidth="1"/>
    <col min="36" max="36" width="10.28515625" bestFit="1" customWidth="1"/>
    <col min="37" max="37" width="10" bestFit="1" customWidth="1"/>
    <col min="38" max="38" width="13.5703125" bestFit="1" customWidth="1"/>
    <col min="39" max="39" width="12.42578125" bestFit="1" customWidth="1"/>
    <col min="40" max="40" width="13.5703125" bestFit="1" customWidth="1"/>
    <col min="41" max="41" width="10" bestFit="1" customWidth="1"/>
    <col min="42" max="43" width="12.42578125" bestFit="1" customWidth="1"/>
    <col min="44" max="44" width="11" bestFit="1" customWidth="1"/>
    <col min="45" max="45" width="10.28515625" bestFit="1" customWidth="1"/>
    <col min="46" max="46" width="10" bestFit="1" customWidth="1"/>
    <col min="47" max="47" width="13.5703125" bestFit="1" customWidth="1"/>
    <col min="48" max="48" width="12.42578125" bestFit="1" customWidth="1"/>
    <col min="49" max="49" width="13.5703125" bestFit="1" customWidth="1"/>
    <col min="50" max="50" width="10" bestFit="1" customWidth="1"/>
    <col min="51" max="52" width="12.42578125" bestFit="1" customWidth="1"/>
    <col min="53" max="53" width="11" bestFit="1" customWidth="1"/>
    <col min="54" max="54" width="10.28515625" bestFit="1" customWidth="1"/>
    <col min="55" max="55" width="10" bestFit="1" customWidth="1"/>
    <col min="56" max="56" width="13.5703125" bestFit="1" customWidth="1"/>
    <col min="57" max="58" width="12.42578125" bestFit="1" customWidth="1"/>
    <col min="59" max="59" width="10" bestFit="1" customWidth="1"/>
    <col min="60" max="60" width="12.42578125" customWidth="1"/>
    <col min="61" max="61" width="12.42578125" bestFit="1" customWidth="1"/>
    <col min="62" max="62" width="11" bestFit="1" customWidth="1"/>
    <col min="63" max="63" width="10.28515625" bestFit="1" customWidth="1"/>
    <col min="64" max="64" width="10" bestFit="1" customWidth="1"/>
    <col min="65" max="65" width="13.5703125" bestFit="1" customWidth="1"/>
    <col min="66" max="67" width="12.42578125" bestFit="1" customWidth="1"/>
    <col min="68" max="68" width="10" bestFit="1" customWidth="1"/>
    <col min="69" max="70" width="12.42578125" bestFit="1" customWidth="1"/>
    <col min="71" max="71" width="11" bestFit="1" customWidth="1"/>
    <col min="72" max="72" width="10.28515625" bestFit="1" customWidth="1"/>
    <col min="73" max="73" width="10" bestFit="1" customWidth="1"/>
    <col min="74" max="74" width="13.5703125" bestFit="1" customWidth="1"/>
    <col min="75" max="75" width="14.5703125" bestFit="1" customWidth="1"/>
    <col min="76" max="76" width="12" bestFit="1" customWidth="1"/>
    <col min="77" max="79" width="11" bestFit="1" customWidth="1"/>
    <col min="80" max="80" width="10.140625" bestFit="1" customWidth="1"/>
    <col min="81" max="81" width="16.85546875" bestFit="1" customWidth="1"/>
    <col min="82" max="82" width="10" bestFit="1" customWidth="1"/>
    <col min="83" max="83" width="9" bestFit="1" customWidth="1"/>
    <col min="84" max="84" width="21.7109375" bestFit="1" customWidth="1"/>
    <col min="85" max="86" width="12" bestFit="1" customWidth="1"/>
  </cols>
  <sheetData>
    <row r="1" spans="1:75" x14ac:dyDescent="0.25">
      <c r="A1" s="102" t="s">
        <v>1395</v>
      </c>
      <c r="B1" s="103" t="s">
        <v>1446</v>
      </c>
    </row>
    <row r="3" spans="1:75" x14ac:dyDescent="0.25">
      <c r="A3" s="102" t="s">
        <v>1366</v>
      </c>
      <c r="B3" s="102" t="s">
        <v>1365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</row>
    <row r="4" spans="1:75" x14ac:dyDescent="0.25">
      <c r="A4" s="103"/>
      <c r="B4" s="103">
        <v>2008</v>
      </c>
      <c r="C4" s="103"/>
      <c r="D4" s="103"/>
      <c r="E4" s="103"/>
      <c r="F4" s="103"/>
      <c r="G4" s="103"/>
      <c r="H4" s="103"/>
      <c r="I4" s="103"/>
      <c r="J4" s="103" t="s">
        <v>1407</v>
      </c>
      <c r="K4" s="103">
        <v>2009</v>
      </c>
      <c r="L4" s="103"/>
      <c r="M4" s="103"/>
      <c r="N4" s="103"/>
      <c r="O4" s="103"/>
      <c r="P4" s="103"/>
      <c r="Q4" s="103"/>
      <c r="R4" s="103"/>
      <c r="S4" s="103" t="s">
        <v>1408</v>
      </c>
      <c r="T4" s="103">
        <v>2010</v>
      </c>
      <c r="U4" s="103"/>
      <c r="V4" s="103"/>
      <c r="W4" s="103"/>
      <c r="X4" s="103"/>
      <c r="Y4" s="103"/>
      <c r="Z4" s="103"/>
      <c r="AA4" s="103"/>
      <c r="AB4" s="103" t="s">
        <v>1409</v>
      </c>
      <c r="AC4" s="103">
        <v>2011</v>
      </c>
      <c r="AD4" s="103"/>
      <c r="AE4" s="103"/>
      <c r="AF4" s="103"/>
      <c r="AG4" s="103"/>
      <c r="AH4" s="103"/>
      <c r="AI4" s="103"/>
      <c r="AJ4" s="103"/>
      <c r="AK4" s="103"/>
      <c r="AL4" s="103" t="s">
        <v>1410</v>
      </c>
      <c r="AM4" s="103">
        <v>2012</v>
      </c>
      <c r="AN4" s="103"/>
      <c r="AO4" s="103"/>
      <c r="AP4" s="103"/>
      <c r="AQ4" s="103"/>
      <c r="AR4" s="103"/>
      <c r="AS4" s="103"/>
      <c r="AT4" s="103"/>
      <c r="AU4" s="103" t="s">
        <v>1411</v>
      </c>
      <c r="AV4" s="103">
        <v>2013</v>
      </c>
      <c r="AW4" s="103"/>
      <c r="AX4" s="103"/>
      <c r="AY4" s="103"/>
      <c r="AZ4" s="103"/>
      <c r="BA4" s="103"/>
      <c r="BB4" s="103"/>
      <c r="BC4" s="103"/>
      <c r="BD4" s="103" t="s">
        <v>1412</v>
      </c>
      <c r="BE4" s="103">
        <v>2014</v>
      </c>
      <c r="BF4" s="103"/>
      <c r="BG4" s="103"/>
      <c r="BH4" s="103"/>
      <c r="BI4" s="103"/>
      <c r="BJ4" s="103"/>
      <c r="BK4" s="103"/>
      <c r="BL4" s="103"/>
      <c r="BM4" s="103" t="s">
        <v>1403</v>
      </c>
      <c r="BN4" s="103">
        <v>2015</v>
      </c>
      <c r="BO4" s="103"/>
      <c r="BP4" s="103"/>
      <c r="BQ4" s="103"/>
      <c r="BR4" s="103"/>
      <c r="BS4" s="103"/>
      <c r="BT4" s="103"/>
      <c r="BU4" s="103"/>
      <c r="BV4" s="103" t="s">
        <v>1445</v>
      </c>
      <c r="BW4" s="103" t="s">
        <v>1364</v>
      </c>
    </row>
    <row r="5" spans="1:75" x14ac:dyDescent="0.25">
      <c r="A5" s="102" t="s">
        <v>1363</v>
      </c>
      <c r="B5" s="103" t="s">
        <v>569</v>
      </c>
      <c r="C5" s="103" t="s">
        <v>567</v>
      </c>
      <c r="D5" s="103" t="s">
        <v>562</v>
      </c>
      <c r="E5" s="103" t="s">
        <v>563</v>
      </c>
      <c r="F5" s="103" t="s">
        <v>565</v>
      </c>
      <c r="G5" s="103" t="s">
        <v>564</v>
      </c>
      <c r="H5" s="103" t="s">
        <v>566</v>
      </c>
      <c r="I5" s="103" t="s">
        <v>560</v>
      </c>
      <c r="J5" s="103"/>
      <c r="K5" s="103" t="s">
        <v>569</v>
      </c>
      <c r="L5" s="103" t="s">
        <v>567</v>
      </c>
      <c r="M5" s="103" t="s">
        <v>562</v>
      </c>
      <c r="N5" s="103" t="s">
        <v>563</v>
      </c>
      <c r="O5" s="103" t="s">
        <v>565</v>
      </c>
      <c r="P5" s="103" t="s">
        <v>564</v>
      </c>
      <c r="Q5" s="103" t="s">
        <v>566</v>
      </c>
      <c r="R5" s="103" t="s">
        <v>560</v>
      </c>
      <c r="S5" s="103"/>
      <c r="T5" s="103" t="s">
        <v>569</v>
      </c>
      <c r="U5" s="103" t="s">
        <v>567</v>
      </c>
      <c r="V5" s="103" t="s">
        <v>562</v>
      </c>
      <c r="W5" s="103" t="s">
        <v>563</v>
      </c>
      <c r="X5" s="103" t="s">
        <v>565</v>
      </c>
      <c r="Y5" s="103" t="s">
        <v>564</v>
      </c>
      <c r="Z5" s="103" t="s">
        <v>566</v>
      </c>
      <c r="AA5" s="103" t="s">
        <v>560</v>
      </c>
      <c r="AB5" s="103"/>
      <c r="AC5" s="103" t="s">
        <v>569</v>
      </c>
      <c r="AD5" s="103" t="s">
        <v>567</v>
      </c>
      <c r="AE5" s="103" t="s">
        <v>562</v>
      </c>
      <c r="AF5" s="103" t="s">
        <v>563</v>
      </c>
      <c r="AG5" s="103" t="s">
        <v>565</v>
      </c>
      <c r="AH5" s="103" t="s">
        <v>564</v>
      </c>
      <c r="AI5" s="103" t="s">
        <v>566</v>
      </c>
      <c r="AJ5" s="103" t="s">
        <v>561</v>
      </c>
      <c r="AK5" s="103" t="s">
        <v>560</v>
      </c>
      <c r="AL5" s="103"/>
      <c r="AM5" s="103" t="s">
        <v>569</v>
      </c>
      <c r="AN5" s="103" t="s">
        <v>562</v>
      </c>
      <c r="AO5" s="103" t="s">
        <v>563</v>
      </c>
      <c r="AP5" s="103" t="s">
        <v>565</v>
      </c>
      <c r="AQ5" s="103" t="s">
        <v>564</v>
      </c>
      <c r="AR5" s="103" t="s">
        <v>566</v>
      </c>
      <c r="AS5" s="103" t="s">
        <v>561</v>
      </c>
      <c r="AT5" s="103" t="s">
        <v>560</v>
      </c>
      <c r="AU5" s="103"/>
      <c r="AV5" s="103" t="s">
        <v>569</v>
      </c>
      <c r="AW5" s="103" t="s">
        <v>562</v>
      </c>
      <c r="AX5" s="103" t="s">
        <v>563</v>
      </c>
      <c r="AY5" s="103" t="s">
        <v>565</v>
      </c>
      <c r="AZ5" s="103" t="s">
        <v>564</v>
      </c>
      <c r="BA5" s="103" t="s">
        <v>566</v>
      </c>
      <c r="BB5" s="103" t="s">
        <v>561</v>
      </c>
      <c r="BC5" s="103" t="s">
        <v>560</v>
      </c>
      <c r="BD5" s="103"/>
      <c r="BE5" s="103" t="s">
        <v>569</v>
      </c>
      <c r="BF5" s="103" t="s">
        <v>562</v>
      </c>
      <c r="BG5" s="103" t="s">
        <v>563</v>
      </c>
      <c r="BH5" s="103" t="s">
        <v>565</v>
      </c>
      <c r="BI5" s="103" t="s">
        <v>564</v>
      </c>
      <c r="BJ5" s="103" t="s">
        <v>566</v>
      </c>
      <c r="BK5" s="103" t="s">
        <v>561</v>
      </c>
      <c r="BL5" s="103" t="s">
        <v>560</v>
      </c>
      <c r="BM5" s="103"/>
      <c r="BN5" s="103" t="s">
        <v>569</v>
      </c>
      <c r="BO5" s="103" t="s">
        <v>562</v>
      </c>
      <c r="BP5" s="103" t="s">
        <v>563</v>
      </c>
      <c r="BQ5" s="103" t="s">
        <v>565</v>
      </c>
      <c r="BR5" s="103" t="s">
        <v>564</v>
      </c>
      <c r="BS5" s="103" t="s">
        <v>566</v>
      </c>
      <c r="BT5" s="103" t="s">
        <v>561</v>
      </c>
      <c r="BU5" s="103" t="s">
        <v>560</v>
      </c>
      <c r="BV5" s="103"/>
      <c r="BW5" s="103"/>
    </row>
    <row r="6" spans="1:75" x14ac:dyDescent="0.25">
      <c r="A6" s="104" t="s">
        <v>24</v>
      </c>
      <c r="B6" s="103">
        <v>711111.61</v>
      </c>
      <c r="C6" s="103"/>
      <c r="D6" s="103">
        <v>593478.98</v>
      </c>
      <c r="E6" s="103"/>
      <c r="F6" s="103"/>
      <c r="G6" s="103"/>
      <c r="H6" s="103"/>
      <c r="I6" s="103">
        <v>3001.9100000000003</v>
      </c>
      <c r="J6" s="103">
        <v>1307592.4999999998</v>
      </c>
      <c r="K6" s="103">
        <v>694533.28</v>
      </c>
      <c r="L6" s="103"/>
      <c r="M6" s="103">
        <v>523221.01</v>
      </c>
      <c r="N6" s="103"/>
      <c r="O6" s="103"/>
      <c r="P6" s="103"/>
      <c r="Q6" s="103"/>
      <c r="R6" s="103">
        <v>2808.4399999999996</v>
      </c>
      <c r="S6" s="103">
        <v>1220562.73</v>
      </c>
      <c r="T6" s="103">
        <v>686716.95</v>
      </c>
      <c r="U6" s="103"/>
      <c r="V6" s="103">
        <v>728470</v>
      </c>
      <c r="W6" s="103"/>
      <c r="X6" s="103"/>
      <c r="Y6" s="103"/>
      <c r="Z6" s="103"/>
      <c r="AA6" s="103">
        <v>2610.9499999999998</v>
      </c>
      <c r="AB6" s="103">
        <v>1417797.9</v>
      </c>
      <c r="AC6" s="103">
        <v>563540.88</v>
      </c>
      <c r="AD6" s="103"/>
      <c r="AE6" s="103">
        <v>587363.69999999995</v>
      </c>
      <c r="AF6" s="103"/>
      <c r="AG6" s="103"/>
      <c r="AH6" s="103"/>
      <c r="AI6" s="103"/>
      <c r="AJ6" s="103"/>
      <c r="AK6" s="103">
        <v>2587.5</v>
      </c>
      <c r="AL6" s="103">
        <v>1153492.08</v>
      </c>
      <c r="AM6" s="103">
        <v>525229.57999999996</v>
      </c>
      <c r="AN6" s="103">
        <v>618841.31000000006</v>
      </c>
      <c r="AO6" s="103"/>
      <c r="AP6" s="103"/>
      <c r="AQ6" s="103"/>
      <c r="AR6" s="103"/>
      <c r="AS6" s="103"/>
      <c r="AT6" s="103">
        <v>2602.96</v>
      </c>
      <c r="AU6" s="103">
        <v>1146673.8500000001</v>
      </c>
      <c r="AV6" s="103">
        <v>492096.17000000004</v>
      </c>
      <c r="AW6" s="103">
        <v>593255</v>
      </c>
      <c r="AX6" s="103"/>
      <c r="AY6" s="103"/>
      <c r="AZ6" s="103"/>
      <c r="BA6" s="103"/>
      <c r="BB6" s="103"/>
      <c r="BC6" s="103">
        <v>2293.63</v>
      </c>
      <c r="BD6" s="103">
        <v>1087644.7999999998</v>
      </c>
      <c r="BE6" s="103">
        <v>499949.81</v>
      </c>
      <c r="BF6" s="103">
        <v>464039.01</v>
      </c>
      <c r="BG6" s="103"/>
      <c r="BH6" s="103"/>
      <c r="BI6" s="103"/>
      <c r="BJ6" s="103"/>
      <c r="BK6" s="103"/>
      <c r="BL6" s="103">
        <v>2251.9699999999998</v>
      </c>
      <c r="BM6" s="103">
        <v>966240.79</v>
      </c>
      <c r="BN6" s="103">
        <v>482814</v>
      </c>
      <c r="BO6" s="103">
        <v>417954</v>
      </c>
      <c r="BP6" s="103"/>
      <c r="BQ6" s="103"/>
      <c r="BR6" s="103"/>
      <c r="BS6" s="103"/>
      <c r="BT6" s="103"/>
      <c r="BU6" s="103">
        <v>2114</v>
      </c>
      <c r="BV6" s="103">
        <v>902882</v>
      </c>
      <c r="BW6" s="103">
        <v>9202886.6499999985</v>
      </c>
    </row>
    <row r="7" spans="1:75" x14ac:dyDescent="0.25">
      <c r="A7" s="104" t="s">
        <v>25</v>
      </c>
      <c r="B7" s="103">
        <v>44956.71</v>
      </c>
      <c r="C7" s="103"/>
      <c r="D7" s="103"/>
      <c r="E7" s="103"/>
      <c r="F7" s="103"/>
      <c r="G7" s="103"/>
      <c r="H7" s="103"/>
      <c r="I7" s="103">
        <v>84</v>
      </c>
      <c r="J7" s="103">
        <v>45040.71</v>
      </c>
      <c r="K7" s="103">
        <v>45331.040000000001</v>
      </c>
      <c r="L7" s="103"/>
      <c r="M7" s="103"/>
      <c r="N7" s="103"/>
      <c r="O7" s="103"/>
      <c r="P7" s="103"/>
      <c r="Q7" s="103"/>
      <c r="R7" s="103">
        <v>73.989999999999995</v>
      </c>
      <c r="S7" s="103">
        <v>45405.03</v>
      </c>
      <c r="T7" s="103">
        <v>35040.160000000003</v>
      </c>
      <c r="U7" s="103"/>
      <c r="V7" s="103"/>
      <c r="W7" s="103"/>
      <c r="X7" s="103"/>
      <c r="Y7" s="103"/>
      <c r="Z7" s="103"/>
      <c r="AA7" s="103">
        <v>159.57</v>
      </c>
      <c r="AB7" s="103">
        <v>35199.730000000003</v>
      </c>
      <c r="AC7" s="103">
        <v>28086.98</v>
      </c>
      <c r="AD7" s="103"/>
      <c r="AE7" s="103"/>
      <c r="AF7" s="103"/>
      <c r="AG7" s="103"/>
      <c r="AH7" s="103"/>
      <c r="AI7" s="103"/>
      <c r="AJ7" s="103"/>
      <c r="AK7" s="103">
        <v>166.98</v>
      </c>
      <c r="AL7" s="103">
        <v>28253.96</v>
      </c>
      <c r="AM7" s="103">
        <v>33102.660000000003</v>
      </c>
      <c r="AN7" s="103"/>
      <c r="AO7" s="103"/>
      <c r="AP7" s="103"/>
      <c r="AQ7" s="103"/>
      <c r="AR7" s="103"/>
      <c r="AS7" s="103"/>
      <c r="AT7" s="103">
        <v>310.10000000000002</v>
      </c>
      <c r="AU7" s="103">
        <v>33412.76</v>
      </c>
      <c r="AV7" s="103">
        <v>36244.120000000003</v>
      </c>
      <c r="AW7" s="103"/>
      <c r="AX7" s="103"/>
      <c r="AY7" s="103"/>
      <c r="AZ7" s="103"/>
      <c r="BA7" s="103"/>
      <c r="BB7" s="103"/>
      <c r="BC7" s="103">
        <v>18.3</v>
      </c>
      <c r="BD7" s="103">
        <v>36262.420000000006</v>
      </c>
      <c r="BE7" s="103">
        <v>18664.57</v>
      </c>
      <c r="BF7" s="103"/>
      <c r="BG7" s="103"/>
      <c r="BH7" s="103"/>
      <c r="BI7" s="103"/>
      <c r="BJ7" s="103"/>
      <c r="BK7" s="103"/>
      <c r="BL7" s="103">
        <v>61.8</v>
      </c>
      <c r="BM7" s="103">
        <v>18726.37</v>
      </c>
      <c r="BN7" s="103">
        <v>10252</v>
      </c>
      <c r="BO7" s="103"/>
      <c r="BP7" s="103"/>
      <c r="BQ7" s="103"/>
      <c r="BR7" s="103"/>
      <c r="BS7" s="103"/>
      <c r="BT7" s="103"/>
      <c r="BU7" s="103">
        <v>2</v>
      </c>
      <c r="BV7" s="103">
        <v>10254</v>
      </c>
      <c r="BW7" s="103">
        <v>252554.98</v>
      </c>
    </row>
    <row r="8" spans="1:75" x14ac:dyDescent="0.25">
      <c r="A8" s="104" t="s">
        <v>26</v>
      </c>
      <c r="B8" s="103">
        <v>380005.83</v>
      </c>
      <c r="C8" s="103"/>
      <c r="D8" s="103">
        <v>732640</v>
      </c>
      <c r="E8" s="103"/>
      <c r="F8" s="103"/>
      <c r="G8" s="103">
        <v>228688.27999999997</v>
      </c>
      <c r="H8" s="103"/>
      <c r="I8" s="103">
        <v>2560.46</v>
      </c>
      <c r="J8" s="103">
        <v>1343894.57</v>
      </c>
      <c r="K8" s="103">
        <v>274151.42</v>
      </c>
      <c r="L8" s="103"/>
      <c r="M8" s="103">
        <v>723465</v>
      </c>
      <c r="N8" s="103"/>
      <c r="O8" s="103"/>
      <c r="P8" s="103">
        <v>274673.06</v>
      </c>
      <c r="Q8" s="103"/>
      <c r="R8" s="103">
        <v>2347.7199999999998</v>
      </c>
      <c r="S8" s="103">
        <v>1274637.2</v>
      </c>
      <c r="T8" s="103">
        <v>233521.86</v>
      </c>
      <c r="U8" s="103"/>
      <c r="V8" s="103">
        <v>697655.01</v>
      </c>
      <c r="W8" s="103"/>
      <c r="X8" s="103"/>
      <c r="Y8" s="103">
        <v>353118.1</v>
      </c>
      <c r="Z8" s="103"/>
      <c r="AA8" s="103">
        <v>2199.69</v>
      </c>
      <c r="AB8" s="103">
        <v>1286494.6599999999</v>
      </c>
      <c r="AC8" s="103">
        <v>160356.94</v>
      </c>
      <c r="AD8" s="103"/>
      <c r="AE8" s="103">
        <v>505700</v>
      </c>
      <c r="AF8" s="103"/>
      <c r="AG8" s="103"/>
      <c r="AH8" s="103">
        <v>312457.15000000002</v>
      </c>
      <c r="AI8" s="103"/>
      <c r="AJ8" s="103"/>
      <c r="AK8" s="103">
        <v>2195.5</v>
      </c>
      <c r="AL8" s="103">
        <v>980709.59</v>
      </c>
      <c r="AM8" s="103">
        <v>191366.07</v>
      </c>
      <c r="AN8" s="103">
        <v>603580</v>
      </c>
      <c r="AO8" s="103"/>
      <c r="AP8" s="103"/>
      <c r="AQ8" s="103">
        <v>338776.77</v>
      </c>
      <c r="AR8" s="103"/>
      <c r="AS8" s="103"/>
      <c r="AT8" s="103">
        <v>2495.02</v>
      </c>
      <c r="AU8" s="103">
        <v>1136217.8600000001</v>
      </c>
      <c r="AV8" s="103">
        <v>325750.42</v>
      </c>
      <c r="AW8" s="103">
        <v>645550</v>
      </c>
      <c r="AX8" s="103"/>
      <c r="AY8" s="103"/>
      <c r="AZ8" s="103">
        <v>287465.33999999997</v>
      </c>
      <c r="BA8" s="103"/>
      <c r="BB8" s="103"/>
      <c r="BC8" s="103">
        <v>2896.93</v>
      </c>
      <c r="BD8" s="103">
        <v>1261662.6899999997</v>
      </c>
      <c r="BE8" s="103">
        <v>443297.16000000003</v>
      </c>
      <c r="BF8" s="103">
        <v>682190</v>
      </c>
      <c r="BG8" s="103"/>
      <c r="BH8" s="103"/>
      <c r="BI8" s="103">
        <v>105077.75</v>
      </c>
      <c r="BJ8" s="103"/>
      <c r="BK8" s="103"/>
      <c r="BL8" s="103">
        <v>2864.9999999999995</v>
      </c>
      <c r="BM8" s="103">
        <v>1233429.9100000001</v>
      </c>
      <c r="BN8" s="103">
        <v>323178</v>
      </c>
      <c r="BO8" s="103">
        <v>787349</v>
      </c>
      <c r="BP8" s="103"/>
      <c r="BQ8" s="103"/>
      <c r="BR8" s="103">
        <v>0</v>
      </c>
      <c r="BS8" s="103"/>
      <c r="BT8" s="103"/>
      <c r="BU8" s="103">
        <v>2235</v>
      </c>
      <c r="BV8" s="103">
        <v>1112762</v>
      </c>
      <c r="BW8" s="103">
        <v>9629808.4800000004</v>
      </c>
    </row>
    <row r="9" spans="1:75" x14ac:dyDescent="0.25">
      <c r="A9" s="104" t="s">
        <v>27</v>
      </c>
      <c r="B9" s="103">
        <v>909145.41999999981</v>
      </c>
      <c r="C9" s="103">
        <v>200381.46000000002</v>
      </c>
      <c r="D9" s="103">
        <v>938901.51</v>
      </c>
      <c r="E9" s="103"/>
      <c r="F9" s="103">
        <v>70326.37</v>
      </c>
      <c r="G9" s="103">
        <v>944771.8</v>
      </c>
      <c r="H9" s="103">
        <v>250119.53</v>
      </c>
      <c r="I9" s="103">
        <v>13625.550000000001</v>
      </c>
      <c r="J9" s="103">
        <v>3327271.6399999992</v>
      </c>
      <c r="K9" s="103">
        <v>921645.44000000006</v>
      </c>
      <c r="L9" s="103">
        <v>286652.83999999997</v>
      </c>
      <c r="M9" s="103">
        <v>1013215.89</v>
      </c>
      <c r="N9" s="103"/>
      <c r="O9" s="103">
        <v>91735.94</v>
      </c>
      <c r="P9" s="103">
        <v>924060.22</v>
      </c>
      <c r="Q9" s="103">
        <v>280858.44</v>
      </c>
      <c r="R9" s="103">
        <v>13482.63</v>
      </c>
      <c r="S9" s="103">
        <v>3531651.4</v>
      </c>
      <c r="T9" s="103">
        <v>926524.50000000012</v>
      </c>
      <c r="U9" s="103">
        <v>296247.84999999998</v>
      </c>
      <c r="V9" s="103">
        <v>1048783.26</v>
      </c>
      <c r="W9" s="103"/>
      <c r="X9" s="103">
        <v>94808.36</v>
      </c>
      <c r="Y9" s="103">
        <v>1012687.7300000001</v>
      </c>
      <c r="Z9" s="103">
        <v>265762.92</v>
      </c>
      <c r="AA9" s="103">
        <v>14125.930000000002</v>
      </c>
      <c r="AB9" s="103">
        <v>3658940.5500000003</v>
      </c>
      <c r="AC9" s="103">
        <v>870894.04000000015</v>
      </c>
      <c r="AD9" s="103">
        <v>166391.03999999998</v>
      </c>
      <c r="AE9" s="103">
        <v>904350.04</v>
      </c>
      <c r="AF9" s="103"/>
      <c r="AG9" s="103">
        <v>187630.01</v>
      </c>
      <c r="AH9" s="103">
        <v>924391.54</v>
      </c>
      <c r="AI9" s="103">
        <v>251021.54000000004</v>
      </c>
      <c r="AJ9" s="103"/>
      <c r="AK9" s="103">
        <v>13971.889999999998</v>
      </c>
      <c r="AL9" s="103">
        <v>3318650.1</v>
      </c>
      <c r="AM9" s="103">
        <v>854114.08</v>
      </c>
      <c r="AN9" s="103">
        <v>973089.26</v>
      </c>
      <c r="AO9" s="103"/>
      <c r="AP9" s="103">
        <v>324710</v>
      </c>
      <c r="AQ9" s="103">
        <v>976757.03</v>
      </c>
      <c r="AR9" s="103">
        <v>238209.55</v>
      </c>
      <c r="AS9" s="103"/>
      <c r="AT9" s="103">
        <v>14633.23</v>
      </c>
      <c r="AU9" s="103">
        <v>3381513.15</v>
      </c>
      <c r="AV9" s="103">
        <v>824532.67</v>
      </c>
      <c r="AW9" s="103">
        <v>1038580.63</v>
      </c>
      <c r="AX9" s="103"/>
      <c r="AY9" s="103">
        <v>301845</v>
      </c>
      <c r="AZ9" s="103">
        <v>863660.15</v>
      </c>
      <c r="BA9" s="103">
        <v>190936.47</v>
      </c>
      <c r="BB9" s="103"/>
      <c r="BC9" s="103">
        <v>13886.540000000003</v>
      </c>
      <c r="BD9" s="103">
        <v>3233441.46</v>
      </c>
      <c r="BE9" s="103">
        <v>802208.97000000009</v>
      </c>
      <c r="BF9" s="103">
        <v>888248.66999999993</v>
      </c>
      <c r="BG9" s="103"/>
      <c r="BH9" s="103">
        <v>270015.01</v>
      </c>
      <c r="BI9" s="103">
        <v>628286.47</v>
      </c>
      <c r="BJ9" s="103">
        <v>183677.55</v>
      </c>
      <c r="BK9" s="103"/>
      <c r="BL9" s="103">
        <v>12580.08</v>
      </c>
      <c r="BM9" s="103">
        <v>2785016.75</v>
      </c>
      <c r="BN9" s="103">
        <v>795534</v>
      </c>
      <c r="BO9" s="103">
        <v>936004</v>
      </c>
      <c r="BP9" s="103"/>
      <c r="BQ9" s="103">
        <v>284626</v>
      </c>
      <c r="BR9" s="103">
        <v>538141</v>
      </c>
      <c r="BS9" s="103">
        <v>211003</v>
      </c>
      <c r="BT9" s="103"/>
      <c r="BU9" s="103">
        <v>14259.5</v>
      </c>
      <c r="BV9" s="103">
        <v>2779567.5</v>
      </c>
      <c r="BW9" s="103">
        <v>26016052.549999997</v>
      </c>
    </row>
    <row r="10" spans="1:75" x14ac:dyDescent="0.25">
      <c r="A10" s="104" t="s">
        <v>28</v>
      </c>
      <c r="B10" s="103">
        <v>11829.369999999999</v>
      </c>
      <c r="C10" s="103"/>
      <c r="D10" s="103"/>
      <c r="E10" s="103"/>
      <c r="F10" s="103"/>
      <c r="G10" s="103">
        <v>54771.729999999996</v>
      </c>
      <c r="H10" s="103"/>
      <c r="I10" s="103">
        <v>297.83000000000004</v>
      </c>
      <c r="J10" s="103">
        <v>66898.929999999993</v>
      </c>
      <c r="K10" s="103">
        <v>5917.5300000000007</v>
      </c>
      <c r="L10" s="103"/>
      <c r="M10" s="103"/>
      <c r="N10" s="103"/>
      <c r="O10" s="103"/>
      <c r="P10" s="103">
        <v>45775.4</v>
      </c>
      <c r="Q10" s="103"/>
      <c r="R10" s="103">
        <v>99.88</v>
      </c>
      <c r="S10" s="103">
        <v>51792.81</v>
      </c>
      <c r="T10" s="103">
        <v>7116.4</v>
      </c>
      <c r="U10" s="103"/>
      <c r="V10" s="103"/>
      <c r="W10" s="103"/>
      <c r="X10" s="103"/>
      <c r="Y10" s="103">
        <v>72094.16</v>
      </c>
      <c r="Z10" s="103"/>
      <c r="AA10" s="103">
        <v>188.8</v>
      </c>
      <c r="AB10" s="103">
        <v>79399.360000000001</v>
      </c>
      <c r="AC10" s="103">
        <v>15919.779999999999</v>
      </c>
      <c r="AD10" s="103"/>
      <c r="AE10" s="103"/>
      <c r="AF10" s="103"/>
      <c r="AG10" s="103"/>
      <c r="AH10" s="103">
        <v>37670.239999999998</v>
      </c>
      <c r="AI10" s="103"/>
      <c r="AJ10" s="103"/>
      <c r="AK10" s="103">
        <v>250.06</v>
      </c>
      <c r="AL10" s="103">
        <v>53840.079999999994</v>
      </c>
      <c r="AM10" s="103">
        <v>10142.200000000001</v>
      </c>
      <c r="AN10" s="103"/>
      <c r="AO10" s="103"/>
      <c r="AP10" s="103"/>
      <c r="AQ10" s="103">
        <v>31675.16</v>
      </c>
      <c r="AR10" s="103"/>
      <c r="AS10" s="103"/>
      <c r="AT10" s="103">
        <v>122.78</v>
      </c>
      <c r="AU10" s="103">
        <v>41940.14</v>
      </c>
      <c r="AV10" s="103">
        <v>9809.3100000000013</v>
      </c>
      <c r="AW10" s="103"/>
      <c r="AX10" s="103"/>
      <c r="AY10" s="103"/>
      <c r="AZ10" s="103">
        <v>32910.129999999997</v>
      </c>
      <c r="BA10" s="103"/>
      <c r="BB10" s="103"/>
      <c r="BC10" s="103">
        <v>57.940000000000005</v>
      </c>
      <c r="BD10" s="103">
        <v>42777.380000000005</v>
      </c>
      <c r="BE10" s="103">
        <v>8064.8499999999995</v>
      </c>
      <c r="BF10" s="103"/>
      <c r="BG10" s="103"/>
      <c r="BH10" s="103">
        <v>61750.78</v>
      </c>
      <c r="BI10" s="103">
        <v>11452.11</v>
      </c>
      <c r="BJ10" s="103"/>
      <c r="BK10" s="103"/>
      <c r="BL10" s="103">
        <v>47.870000000000005</v>
      </c>
      <c r="BM10" s="103">
        <v>81315.61</v>
      </c>
      <c r="BN10" s="103">
        <v>77365</v>
      </c>
      <c r="BO10" s="103"/>
      <c r="BP10" s="103"/>
      <c r="BQ10" s="103">
        <v>54136</v>
      </c>
      <c r="BR10" s="103">
        <v>329850</v>
      </c>
      <c r="BS10" s="103"/>
      <c r="BT10" s="103"/>
      <c r="BU10" s="103">
        <v>1457</v>
      </c>
      <c r="BV10" s="103">
        <v>462808</v>
      </c>
      <c r="BW10" s="103">
        <v>880772.30999999994</v>
      </c>
    </row>
    <row r="11" spans="1:75" x14ac:dyDescent="0.25">
      <c r="A11" s="104" t="s">
        <v>29</v>
      </c>
      <c r="B11" s="103">
        <v>44437.8</v>
      </c>
      <c r="C11" s="103"/>
      <c r="D11" s="103">
        <v>74139.86</v>
      </c>
      <c r="E11" s="103"/>
      <c r="F11" s="103">
        <v>52664.46</v>
      </c>
      <c r="G11" s="103">
        <v>217569.33</v>
      </c>
      <c r="H11" s="103"/>
      <c r="I11" s="103">
        <v>554.83000000000004</v>
      </c>
      <c r="J11" s="103">
        <v>389366.27999999997</v>
      </c>
      <c r="K11" s="103">
        <v>55376.380000000005</v>
      </c>
      <c r="L11" s="103"/>
      <c r="M11" s="103">
        <v>72138.13</v>
      </c>
      <c r="N11" s="103"/>
      <c r="O11" s="103">
        <v>55225.74</v>
      </c>
      <c r="P11" s="103">
        <v>219482.23</v>
      </c>
      <c r="Q11" s="103"/>
      <c r="R11" s="103">
        <v>470.51</v>
      </c>
      <c r="S11" s="103">
        <v>402692.99</v>
      </c>
      <c r="T11" s="103">
        <v>53381.090000000004</v>
      </c>
      <c r="U11" s="103"/>
      <c r="V11" s="103">
        <v>69108.960000000006</v>
      </c>
      <c r="W11" s="103"/>
      <c r="X11" s="103">
        <v>68009.72</v>
      </c>
      <c r="Y11" s="103">
        <v>236312.71</v>
      </c>
      <c r="Z11" s="103"/>
      <c r="AA11" s="103">
        <v>354.31</v>
      </c>
      <c r="AB11" s="103">
        <v>427166.79</v>
      </c>
      <c r="AC11" s="103">
        <v>51807.66</v>
      </c>
      <c r="AD11" s="103"/>
      <c r="AE11" s="103">
        <v>58616.27</v>
      </c>
      <c r="AF11" s="103"/>
      <c r="AG11" s="103">
        <v>54706.74</v>
      </c>
      <c r="AH11" s="103">
        <v>192021.47000000003</v>
      </c>
      <c r="AI11" s="103"/>
      <c r="AJ11" s="103"/>
      <c r="AK11" s="103">
        <v>360.76</v>
      </c>
      <c r="AL11" s="103">
        <v>357512.9</v>
      </c>
      <c r="AM11" s="103">
        <v>53171.039999999994</v>
      </c>
      <c r="AN11" s="103">
        <v>64573.02</v>
      </c>
      <c r="AO11" s="103"/>
      <c r="AP11" s="103">
        <v>54812.06</v>
      </c>
      <c r="AQ11" s="103">
        <v>220719.25</v>
      </c>
      <c r="AR11" s="103"/>
      <c r="AS11" s="103"/>
      <c r="AT11" s="103">
        <v>381.73</v>
      </c>
      <c r="AU11" s="103">
        <v>393657.1</v>
      </c>
      <c r="AV11" s="103">
        <v>49638.749999999993</v>
      </c>
      <c r="AW11" s="103">
        <v>41581.360000000001</v>
      </c>
      <c r="AX11" s="103"/>
      <c r="AY11" s="103">
        <v>52650.42</v>
      </c>
      <c r="AZ11" s="103">
        <v>211045.12</v>
      </c>
      <c r="BA11" s="103"/>
      <c r="BB11" s="103"/>
      <c r="BC11" s="103">
        <v>617.15000000000009</v>
      </c>
      <c r="BD11" s="103">
        <v>355532.79999999999</v>
      </c>
      <c r="BE11" s="103">
        <v>44937.01</v>
      </c>
      <c r="BF11" s="103">
        <v>32376.06</v>
      </c>
      <c r="BG11" s="103"/>
      <c r="BH11" s="103">
        <v>40969.050000000003</v>
      </c>
      <c r="BI11" s="103">
        <v>181135.2</v>
      </c>
      <c r="BJ11" s="103"/>
      <c r="BK11" s="103"/>
      <c r="BL11" s="103">
        <v>529.48</v>
      </c>
      <c r="BM11" s="103">
        <v>299946.8</v>
      </c>
      <c r="BN11" s="103">
        <v>44337</v>
      </c>
      <c r="BO11" s="103">
        <v>37343</v>
      </c>
      <c r="BP11" s="103"/>
      <c r="BQ11" s="103">
        <v>43448</v>
      </c>
      <c r="BR11" s="103">
        <v>185967</v>
      </c>
      <c r="BS11" s="103"/>
      <c r="BT11" s="103"/>
      <c r="BU11" s="103">
        <v>1702</v>
      </c>
      <c r="BV11" s="103">
        <v>312797</v>
      </c>
      <c r="BW11" s="103">
        <v>2938672.66</v>
      </c>
    </row>
    <row r="12" spans="1:75" x14ac:dyDescent="0.25">
      <c r="A12" s="104" t="s">
        <v>30</v>
      </c>
      <c r="B12" s="103">
        <v>239834.18</v>
      </c>
      <c r="C12" s="103"/>
      <c r="D12" s="103">
        <v>168681.47</v>
      </c>
      <c r="E12" s="103"/>
      <c r="F12" s="103">
        <v>106006.58</v>
      </c>
      <c r="G12" s="103">
        <v>262934.12</v>
      </c>
      <c r="H12" s="103"/>
      <c r="I12" s="103">
        <v>2115.0100000000002</v>
      </c>
      <c r="J12" s="103">
        <v>779571.3600000001</v>
      </c>
      <c r="K12" s="103">
        <v>264546.71999999997</v>
      </c>
      <c r="L12" s="103"/>
      <c r="M12" s="103">
        <v>201590.32</v>
      </c>
      <c r="N12" s="103"/>
      <c r="O12" s="103">
        <v>119743.44</v>
      </c>
      <c r="P12" s="103">
        <v>280521.7</v>
      </c>
      <c r="Q12" s="103"/>
      <c r="R12" s="103">
        <v>2080.12</v>
      </c>
      <c r="S12" s="103">
        <v>868482.29999999993</v>
      </c>
      <c r="T12" s="103">
        <v>249584.83000000002</v>
      </c>
      <c r="U12" s="103"/>
      <c r="V12" s="103">
        <v>241002.21000000002</v>
      </c>
      <c r="W12" s="103"/>
      <c r="X12" s="103">
        <v>147791.57999999999</v>
      </c>
      <c r="Y12" s="103">
        <v>315159.47000000003</v>
      </c>
      <c r="Z12" s="103"/>
      <c r="AA12" s="103">
        <v>1796.54</v>
      </c>
      <c r="AB12" s="103">
        <v>955334.63000000012</v>
      </c>
      <c r="AC12" s="103">
        <v>225881.99000000002</v>
      </c>
      <c r="AD12" s="103"/>
      <c r="AE12" s="103">
        <v>226949</v>
      </c>
      <c r="AF12" s="103"/>
      <c r="AG12" s="103">
        <v>101765.17</v>
      </c>
      <c r="AH12" s="103">
        <v>297319.08</v>
      </c>
      <c r="AI12" s="103"/>
      <c r="AJ12" s="103"/>
      <c r="AK12" s="103">
        <v>1803.72</v>
      </c>
      <c r="AL12" s="103">
        <v>853718.96</v>
      </c>
      <c r="AM12" s="103">
        <v>214399.85</v>
      </c>
      <c r="AN12" s="103">
        <v>220783</v>
      </c>
      <c r="AO12" s="103"/>
      <c r="AP12" s="103">
        <v>104364.54</v>
      </c>
      <c r="AQ12" s="103">
        <v>296854.94</v>
      </c>
      <c r="AR12" s="103"/>
      <c r="AS12" s="103"/>
      <c r="AT12" s="103">
        <v>1664.3400000000001</v>
      </c>
      <c r="AU12" s="103">
        <v>838066.67</v>
      </c>
      <c r="AV12" s="103">
        <v>202568.85000000003</v>
      </c>
      <c r="AW12" s="103">
        <v>190998</v>
      </c>
      <c r="AX12" s="103"/>
      <c r="AY12" s="103">
        <v>104934</v>
      </c>
      <c r="AZ12" s="103">
        <v>263502.11000000004</v>
      </c>
      <c r="BA12" s="103"/>
      <c r="BB12" s="103"/>
      <c r="BC12" s="103">
        <v>1900.81</v>
      </c>
      <c r="BD12" s="103">
        <v>763903.77000000014</v>
      </c>
      <c r="BE12" s="103">
        <v>193217.66</v>
      </c>
      <c r="BF12" s="103">
        <v>149133.66</v>
      </c>
      <c r="BG12" s="103"/>
      <c r="BH12" s="103">
        <v>85929.83</v>
      </c>
      <c r="BI12" s="103">
        <v>223996.75</v>
      </c>
      <c r="BJ12" s="103"/>
      <c r="BK12" s="103"/>
      <c r="BL12" s="103">
        <v>1770.8299999999997</v>
      </c>
      <c r="BM12" s="103">
        <v>654048.73</v>
      </c>
      <c r="BN12" s="103">
        <v>194515</v>
      </c>
      <c r="BO12" s="103">
        <v>164694</v>
      </c>
      <c r="BP12" s="103"/>
      <c r="BQ12" s="103">
        <v>76440</v>
      </c>
      <c r="BR12" s="103">
        <v>244224</v>
      </c>
      <c r="BS12" s="103"/>
      <c r="BT12" s="103"/>
      <c r="BU12" s="103">
        <v>1829</v>
      </c>
      <c r="BV12" s="103">
        <v>681702</v>
      </c>
      <c r="BW12" s="103">
        <v>6394828.4200000009</v>
      </c>
    </row>
    <row r="13" spans="1:75" x14ac:dyDescent="0.25">
      <c r="A13" s="104" t="s">
        <v>31</v>
      </c>
      <c r="B13" s="103">
        <v>852905.91</v>
      </c>
      <c r="C13" s="103"/>
      <c r="D13" s="103">
        <v>941676</v>
      </c>
      <c r="E13" s="103"/>
      <c r="F13" s="103">
        <v>492292.21</v>
      </c>
      <c r="G13" s="103"/>
      <c r="H13" s="103"/>
      <c r="I13" s="103">
        <v>6585.12</v>
      </c>
      <c r="J13" s="103">
        <v>2293459.2400000002</v>
      </c>
      <c r="K13" s="103">
        <v>860709.3</v>
      </c>
      <c r="L13" s="103"/>
      <c r="M13" s="103">
        <v>992649.5</v>
      </c>
      <c r="N13" s="103"/>
      <c r="O13" s="103">
        <v>594532.75</v>
      </c>
      <c r="P13" s="103"/>
      <c r="Q13" s="103"/>
      <c r="R13" s="103">
        <v>6773.97</v>
      </c>
      <c r="S13" s="103">
        <v>2454665.52</v>
      </c>
      <c r="T13" s="103">
        <v>907534.98</v>
      </c>
      <c r="U13" s="103"/>
      <c r="V13" s="103">
        <v>1213576.5</v>
      </c>
      <c r="W13" s="103"/>
      <c r="X13" s="103">
        <v>546106.69999999995</v>
      </c>
      <c r="Y13" s="103"/>
      <c r="Z13" s="103"/>
      <c r="AA13" s="103">
        <v>6294.71</v>
      </c>
      <c r="AB13" s="103">
        <v>2673512.8899999997</v>
      </c>
      <c r="AC13" s="103">
        <v>905993.83000000007</v>
      </c>
      <c r="AD13" s="103"/>
      <c r="AE13" s="103">
        <v>1025326</v>
      </c>
      <c r="AF13" s="103"/>
      <c r="AG13" s="103">
        <v>391342.48</v>
      </c>
      <c r="AH13" s="103"/>
      <c r="AI13" s="103"/>
      <c r="AJ13" s="103"/>
      <c r="AK13" s="103">
        <v>5347.83</v>
      </c>
      <c r="AL13" s="103">
        <v>2328010.14</v>
      </c>
      <c r="AM13" s="103">
        <v>904875.46</v>
      </c>
      <c r="AN13" s="103">
        <v>1178011</v>
      </c>
      <c r="AO13" s="103"/>
      <c r="AP13" s="103">
        <v>173122</v>
      </c>
      <c r="AQ13" s="103"/>
      <c r="AR13" s="103"/>
      <c r="AS13" s="103"/>
      <c r="AT13" s="103">
        <v>5947.87</v>
      </c>
      <c r="AU13" s="103">
        <v>2261956.33</v>
      </c>
      <c r="AV13" s="103">
        <v>836823.15999999992</v>
      </c>
      <c r="AW13" s="103">
        <v>1135811</v>
      </c>
      <c r="AX13" s="103"/>
      <c r="AY13" s="103">
        <v>152300</v>
      </c>
      <c r="AZ13" s="103"/>
      <c r="BA13" s="103"/>
      <c r="BB13" s="103"/>
      <c r="BC13" s="103">
        <v>6176.2800000000007</v>
      </c>
      <c r="BD13" s="103">
        <v>2131110.44</v>
      </c>
      <c r="BE13" s="103">
        <v>839081.66999999993</v>
      </c>
      <c r="BF13" s="103">
        <v>888563</v>
      </c>
      <c r="BG13" s="103"/>
      <c r="BH13" s="103">
        <v>129363</v>
      </c>
      <c r="BI13" s="103"/>
      <c r="BJ13" s="103"/>
      <c r="BK13" s="103"/>
      <c r="BL13" s="103">
        <v>6243.07</v>
      </c>
      <c r="BM13" s="103">
        <v>1863250.74</v>
      </c>
      <c r="BN13" s="103">
        <v>785870</v>
      </c>
      <c r="BO13" s="103">
        <v>881269</v>
      </c>
      <c r="BP13" s="103"/>
      <c r="BQ13" s="103">
        <v>164027</v>
      </c>
      <c r="BR13" s="103"/>
      <c r="BS13" s="103"/>
      <c r="BT13" s="103"/>
      <c r="BU13" s="103">
        <v>4655</v>
      </c>
      <c r="BV13" s="103">
        <v>1835821</v>
      </c>
      <c r="BW13" s="103">
        <v>17841786.299999997</v>
      </c>
    </row>
    <row r="14" spans="1:75" x14ac:dyDescent="0.25">
      <c r="A14" s="104" t="s">
        <v>32</v>
      </c>
      <c r="B14" s="103">
        <v>355561.17000000004</v>
      </c>
      <c r="C14" s="103"/>
      <c r="D14" s="103">
        <v>62304.649999999994</v>
      </c>
      <c r="E14" s="103"/>
      <c r="F14" s="103">
        <v>273399.74</v>
      </c>
      <c r="G14" s="103">
        <v>499631.22000000003</v>
      </c>
      <c r="H14" s="103">
        <v>34224.720000000001</v>
      </c>
      <c r="I14" s="103">
        <v>6855.0199999999995</v>
      </c>
      <c r="J14" s="103">
        <v>1231976.52</v>
      </c>
      <c r="K14" s="103">
        <v>398349.38</v>
      </c>
      <c r="L14" s="103"/>
      <c r="M14" s="103">
        <v>86252.08</v>
      </c>
      <c r="N14" s="103"/>
      <c r="O14" s="103">
        <v>290570.01</v>
      </c>
      <c r="P14" s="103">
        <v>572582.73</v>
      </c>
      <c r="Q14" s="103">
        <v>25920.43</v>
      </c>
      <c r="R14" s="103">
        <v>7219.69</v>
      </c>
      <c r="S14" s="103">
        <v>1380894.3199999998</v>
      </c>
      <c r="T14" s="103">
        <v>385335.54</v>
      </c>
      <c r="U14" s="103"/>
      <c r="V14" s="103">
        <v>93172.84</v>
      </c>
      <c r="W14" s="103"/>
      <c r="X14" s="103">
        <v>315170.49</v>
      </c>
      <c r="Y14" s="103">
        <v>566178.11</v>
      </c>
      <c r="Z14" s="103">
        <v>20287.240000000002</v>
      </c>
      <c r="AA14" s="103">
        <v>4752.76</v>
      </c>
      <c r="AB14" s="103">
        <v>1384896.98</v>
      </c>
      <c r="AC14" s="103">
        <v>352265.72000000003</v>
      </c>
      <c r="AD14" s="103"/>
      <c r="AE14" s="103">
        <v>82315.75</v>
      </c>
      <c r="AF14" s="103"/>
      <c r="AG14" s="103">
        <v>259319.07</v>
      </c>
      <c r="AH14" s="103">
        <v>488582.37999999995</v>
      </c>
      <c r="AI14" s="103">
        <v>27546.799999999999</v>
      </c>
      <c r="AJ14" s="103"/>
      <c r="AK14" s="103">
        <v>5221.88</v>
      </c>
      <c r="AL14" s="103">
        <v>1215251.5999999999</v>
      </c>
      <c r="AM14" s="103">
        <v>338317.16</v>
      </c>
      <c r="AN14" s="103">
        <v>82648.89</v>
      </c>
      <c r="AO14" s="103"/>
      <c r="AP14" s="103">
        <v>265459.15999999997</v>
      </c>
      <c r="AQ14" s="103">
        <v>507554.87</v>
      </c>
      <c r="AR14" s="103">
        <v>30064.48</v>
      </c>
      <c r="AS14" s="103"/>
      <c r="AT14" s="103">
        <v>6788.2900000000009</v>
      </c>
      <c r="AU14" s="103">
        <v>1230832.8500000001</v>
      </c>
      <c r="AV14" s="103">
        <v>332668.28999999998</v>
      </c>
      <c r="AW14" s="103">
        <v>84652.58</v>
      </c>
      <c r="AX14" s="103"/>
      <c r="AY14" s="103">
        <v>236615.15</v>
      </c>
      <c r="AZ14" s="103">
        <v>471620.94</v>
      </c>
      <c r="BA14" s="103">
        <v>25646.43</v>
      </c>
      <c r="BB14" s="103"/>
      <c r="BC14" s="103">
        <v>4683.2499999999991</v>
      </c>
      <c r="BD14" s="103">
        <v>1155886.6399999999</v>
      </c>
      <c r="BE14" s="103">
        <v>339539.89</v>
      </c>
      <c r="BF14" s="103">
        <v>82616.27</v>
      </c>
      <c r="BG14" s="103"/>
      <c r="BH14" s="103">
        <v>206956.29</v>
      </c>
      <c r="BI14" s="103">
        <v>401423.97</v>
      </c>
      <c r="BJ14" s="103">
        <v>26814.15</v>
      </c>
      <c r="BK14" s="103"/>
      <c r="BL14" s="103">
        <v>6974.1400000000012</v>
      </c>
      <c r="BM14" s="103">
        <v>1064324.71</v>
      </c>
      <c r="BN14" s="103">
        <v>115048</v>
      </c>
      <c r="BO14" s="103"/>
      <c r="BP14" s="103"/>
      <c r="BQ14" s="103">
        <v>57654</v>
      </c>
      <c r="BR14" s="103">
        <v>186371</v>
      </c>
      <c r="BS14" s="103">
        <v>28064</v>
      </c>
      <c r="BT14" s="103"/>
      <c r="BU14" s="103">
        <v>2301</v>
      </c>
      <c r="BV14" s="103">
        <v>389438</v>
      </c>
      <c r="BW14" s="103">
        <v>9053501.620000001</v>
      </c>
    </row>
    <row r="15" spans="1:75" x14ac:dyDescent="0.25">
      <c r="A15" s="104" t="s">
        <v>33</v>
      </c>
      <c r="B15" s="103">
        <v>611169.37</v>
      </c>
      <c r="C15" s="103"/>
      <c r="D15" s="103">
        <v>1183621</v>
      </c>
      <c r="E15" s="103"/>
      <c r="F15" s="103">
        <v>71478.16</v>
      </c>
      <c r="G15" s="103"/>
      <c r="H15" s="103"/>
      <c r="I15" s="103">
        <v>2193.23</v>
      </c>
      <c r="J15" s="103">
        <v>1868461.76</v>
      </c>
      <c r="K15" s="103">
        <v>553258.36</v>
      </c>
      <c r="L15" s="103"/>
      <c r="M15" s="103">
        <v>1311618.77</v>
      </c>
      <c r="N15" s="103"/>
      <c r="O15" s="103">
        <v>28887.21</v>
      </c>
      <c r="P15" s="103"/>
      <c r="Q15" s="103"/>
      <c r="R15" s="103">
        <v>2316.1</v>
      </c>
      <c r="S15" s="103">
        <v>1896080.44</v>
      </c>
      <c r="T15" s="103">
        <v>573008.21</v>
      </c>
      <c r="U15" s="103"/>
      <c r="V15" s="103">
        <v>1527098.2</v>
      </c>
      <c r="W15" s="103"/>
      <c r="X15" s="103">
        <v>29573.95</v>
      </c>
      <c r="Y15" s="103"/>
      <c r="Z15" s="103"/>
      <c r="AA15" s="103">
        <v>2174.6</v>
      </c>
      <c r="AB15" s="103">
        <v>2131854.9600000004</v>
      </c>
      <c r="AC15" s="103">
        <v>519481.76</v>
      </c>
      <c r="AD15" s="103"/>
      <c r="AE15" s="103">
        <v>1308222</v>
      </c>
      <c r="AF15" s="103"/>
      <c r="AG15" s="103">
        <v>31587.79</v>
      </c>
      <c r="AH15" s="103"/>
      <c r="AI15" s="103"/>
      <c r="AJ15" s="103"/>
      <c r="AK15" s="103">
        <v>1928.8999999999999</v>
      </c>
      <c r="AL15" s="103">
        <v>1861220.45</v>
      </c>
      <c r="AM15" s="103">
        <v>543576.21</v>
      </c>
      <c r="AN15" s="103">
        <v>1303543</v>
      </c>
      <c r="AO15" s="103"/>
      <c r="AP15" s="103">
        <v>32456.22</v>
      </c>
      <c r="AQ15" s="103"/>
      <c r="AR15" s="103"/>
      <c r="AS15" s="103"/>
      <c r="AT15" s="103">
        <v>2401.4</v>
      </c>
      <c r="AU15" s="103">
        <v>1881976.8299999998</v>
      </c>
      <c r="AV15" s="103">
        <v>453612.25</v>
      </c>
      <c r="AW15" s="103">
        <v>1244322</v>
      </c>
      <c r="AX15" s="103"/>
      <c r="AY15" s="103">
        <v>32417</v>
      </c>
      <c r="AZ15" s="103"/>
      <c r="BA15" s="103"/>
      <c r="BB15" s="103"/>
      <c r="BC15" s="103">
        <v>2525.6</v>
      </c>
      <c r="BD15" s="103">
        <v>1732876.85</v>
      </c>
      <c r="BE15" s="103">
        <v>320802.13</v>
      </c>
      <c r="BF15" s="103">
        <v>1153905</v>
      </c>
      <c r="BG15" s="103"/>
      <c r="BH15" s="103">
        <v>24083</v>
      </c>
      <c r="BI15" s="103"/>
      <c r="BJ15" s="103"/>
      <c r="BK15" s="103"/>
      <c r="BL15" s="103">
        <v>1891.7600000000002</v>
      </c>
      <c r="BM15" s="103">
        <v>1500681.89</v>
      </c>
      <c r="BN15" s="103">
        <v>257719</v>
      </c>
      <c r="BO15" s="103">
        <v>1157221</v>
      </c>
      <c r="BP15" s="103"/>
      <c r="BQ15" s="103">
        <v>30067</v>
      </c>
      <c r="BR15" s="103"/>
      <c r="BS15" s="103"/>
      <c r="BT15" s="103"/>
      <c r="BU15" s="103">
        <v>1685</v>
      </c>
      <c r="BV15" s="103">
        <v>1446692</v>
      </c>
      <c r="BW15" s="103">
        <v>14319845.180000002</v>
      </c>
    </row>
    <row r="16" spans="1:75" x14ac:dyDescent="0.25">
      <c r="A16" s="104" t="s">
        <v>34</v>
      </c>
      <c r="B16" s="103">
        <v>64780.53</v>
      </c>
      <c r="C16" s="103"/>
      <c r="D16" s="103"/>
      <c r="E16" s="103"/>
      <c r="F16" s="103">
        <v>77713.37</v>
      </c>
      <c r="G16" s="103">
        <v>98151.55</v>
      </c>
      <c r="H16" s="103"/>
      <c r="I16" s="103">
        <v>87.47999999999999</v>
      </c>
      <c r="J16" s="103">
        <v>240732.93000000002</v>
      </c>
      <c r="K16" s="103">
        <v>70912.790000000008</v>
      </c>
      <c r="L16" s="103"/>
      <c r="M16" s="103"/>
      <c r="N16" s="103"/>
      <c r="O16" s="103">
        <v>81038.06</v>
      </c>
      <c r="P16" s="103">
        <v>111433.14</v>
      </c>
      <c r="Q16" s="103"/>
      <c r="R16" s="103">
        <v>100.76</v>
      </c>
      <c r="S16" s="103">
        <v>263484.75</v>
      </c>
      <c r="T16" s="103">
        <v>67343.929999999993</v>
      </c>
      <c r="U16" s="103"/>
      <c r="V16" s="103"/>
      <c r="W16" s="103"/>
      <c r="X16" s="103">
        <v>92718.99</v>
      </c>
      <c r="Y16" s="103">
        <v>126117.42</v>
      </c>
      <c r="Z16" s="103"/>
      <c r="AA16" s="103">
        <v>126.38999999999999</v>
      </c>
      <c r="AB16" s="103">
        <v>286306.73</v>
      </c>
      <c r="AC16" s="103">
        <v>58317.77</v>
      </c>
      <c r="AD16" s="103"/>
      <c r="AE16" s="103"/>
      <c r="AF16" s="103"/>
      <c r="AG16" s="103">
        <v>87084.06</v>
      </c>
      <c r="AH16" s="103">
        <v>112035.68</v>
      </c>
      <c r="AI16" s="103"/>
      <c r="AJ16" s="103"/>
      <c r="AK16" s="103">
        <v>127.86999999999999</v>
      </c>
      <c r="AL16" s="103">
        <v>257565.37999999998</v>
      </c>
      <c r="AM16" s="103">
        <v>46314.55</v>
      </c>
      <c r="AN16" s="103">
        <v>95866</v>
      </c>
      <c r="AO16" s="103"/>
      <c r="AP16" s="103"/>
      <c r="AQ16" s="103">
        <v>125105.56999999999</v>
      </c>
      <c r="AR16" s="103"/>
      <c r="AS16" s="103"/>
      <c r="AT16" s="103">
        <v>78.649999999999991</v>
      </c>
      <c r="AU16" s="103">
        <v>267364.77</v>
      </c>
      <c r="AV16" s="103">
        <v>51539.4</v>
      </c>
      <c r="AW16" s="103">
        <v>88756</v>
      </c>
      <c r="AX16" s="103"/>
      <c r="AY16" s="103"/>
      <c r="AZ16" s="103">
        <v>121762.89</v>
      </c>
      <c r="BA16" s="103"/>
      <c r="BB16" s="103"/>
      <c r="BC16" s="103">
        <v>89.66</v>
      </c>
      <c r="BD16" s="103">
        <v>262147.94999999995</v>
      </c>
      <c r="BE16" s="103">
        <v>45885.94</v>
      </c>
      <c r="BF16" s="103">
        <v>61737</v>
      </c>
      <c r="BG16" s="103"/>
      <c r="BH16" s="103"/>
      <c r="BI16" s="103">
        <v>95436.14</v>
      </c>
      <c r="BJ16" s="103"/>
      <c r="BK16" s="103"/>
      <c r="BL16" s="103">
        <v>96.990000000000009</v>
      </c>
      <c r="BM16" s="103">
        <v>203156.07</v>
      </c>
      <c r="BN16" s="103">
        <v>42603</v>
      </c>
      <c r="BO16" s="103">
        <v>89895</v>
      </c>
      <c r="BP16" s="103"/>
      <c r="BQ16" s="103"/>
      <c r="BR16" s="103">
        <v>101990</v>
      </c>
      <c r="BS16" s="103"/>
      <c r="BT16" s="103"/>
      <c r="BU16" s="103">
        <v>85</v>
      </c>
      <c r="BV16" s="103">
        <v>234573</v>
      </c>
      <c r="BW16" s="103">
        <v>2015331.5799999996</v>
      </c>
    </row>
    <row r="17" spans="1:75" x14ac:dyDescent="0.25">
      <c r="A17" s="104" t="s">
        <v>35</v>
      </c>
      <c r="B17" s="103">
        <v>160310.17000000001</v>
      </c>
      <c r="C17" s="103"/>
      <c r="D17" s="103">
        <v>88574.9</v>
      </c>
      <c r="E17" s="103"/>
      <c r="F17" s="103"/>
      <c r="G17" s="103">
        <v>274905.89</v>
      </c>
      <c r="H17" s="103"/>
      <c r="I17" s="103">
        <v>923.81999999999994</v>
      </c>
      <c r="J17" s="103">
        <v>524714.78</v>
      </c>
      <c r="K17" s="103">
        <v>161062.43</v>
      </c>
      <c r="L17" s="103"/>
      <c r="M17" s="103">
        <v>88528.04</v>
      </c>
      <c r="N17" s="103"/>
      <c r="O17" s="103"/>
      <c r="P17" s="103">
        <v>307894.11</v>
      </c>
      <c r="Q17" s="103"/>
      <c r="R17" s="103">
        <v>878</v>
      </c>
      <c r="S17" s="103">
        <v>558362.57999999996</v>
      </c>
      <c r="T17" s="103">
        <v>154420.50999999998</v>
      </c>
      <c r="U17" s="103"/>
      <c r="V17" s="103">
        <v>93187.66</v>
      </c>
      <c r="W17" s="103"/>
      <c r="X17" s="103"/>
      <c r="Y17" s="103">
        <v>298717.37</v>
      </c>
      <c r="Z17" s="103"/>
      <c r="AA17" s="103">
        <v>745.03</v>
      </c>
      <c r="AB17" s="103">
        <v>547070.57000000007</v>
      </c>
      <c r="AC17" s="103">
        <v>159756.65</v>
      </c>
      <c r="AD17" s="103"/>
      <c r="AE17" s="103">
        <v>81491.89</v>
      </c>
      <c r="AF17" s="103"/>
      <c r="AG17" s="103"/>
      <c r="AH17" s="103">
        <v>253637.27999999997</v>
      </c>
      <c r="AI17" s="103"/>
      <c r="AJ17" s="103"/>
      <c r="AK17" s="103">
        <v>757.81999999999994</v>
      </c>
      <c r="AL17" s="103">
        <v>495643.63999999996</v>
      </c>
      <c r="AM17" s="103">
        <v>147179.82000000004</v>
      </c>
      <c r="AN17" s="103">
        <v>94171.87</v>
      </c>
      <c r="AO17" s="103"/>
      <c r="AP17" s="103"/>
      <c r="AQ17" s="103">
        <v>283588.79000000004</v>
      </c>
      <c r="AR17" s="103"/>
      <c r="AS17" s="103"/>
      <c r="AT17" s="103">
        <v>762.79000000000008</v>
      </c>
      <c r="AU17" s="103">
        <v>525703.27000000014</v>
      </c>
      <c r="AV17" s="103">
        <v>171264.59000000003</v>
      </c>
      <c r="AW17" s="103">
        <v>96432.799999999988</v>
      </c>
      <c r="AX17" s="103"/>
      <c r="AY17" s="103"/>
      <c r="AZ17" s="103">
        <v>285899.29000000004</v>
      </c>
      <c r="BA17" s="103"/>
      <c r="BB17" s="103"/>
      <c r="BC17" s="103">
        <v>819.05</v>
      </c>
      <c r="BD17" s="103">
        <v>554415.7300000001</v>
      </c>
      <c r="BE17" s="103">
        <v>170756.83000000002</v>
      </c>
      <c r="BF17" s="103">
        <v>147803.03</v>
      </c>
      <c r="BG17" s="103"/>
      <c r="BH17" s="103"/>
      <c r="BI17" s="103">
        <v>194094.38</v>
      </c>
      <c r="BJ17" s="103"/>
      <c r="BK17" s="103"/>
      <c r="BL17" s="103">
        <v>928.15000000000009</v>
      </c>
      <c r="BM17" s="103">
        <v>513582.39</v>
      </c>
      <c r="BN17" s="103">
        <v>156593</v>
      </c>
      <c r="BO17" s="103">
        <v>210317</v>
      </c>
      <c r="BP17" s="103"/>
      <c r="BQ17" s="103"/>
      <c r="BR17" s="103">
        <v>188527</v>
      </c>
      <c r="BS17" s="103"/>
      <c r="BT17" s="103"/>
      <c r="BU17" s="103">
        <v>1063</v>
      </c>
      <c r="BV17" s="103">
        <v>556500</v>
      </c>
      <c r="BW17" s="103">
        <v>4275992.959999999</v>
      </c>
    </row>
    <row r="18" spans="1:75" x14ac:dyDescent="0.25">
      <c r="A18" s="104" t="s">
        <v>36</v>
      </c>
      <c r="B18" s="103">
        <v>433140.38000000006</v>
      </c>
      <c r="C18" s="103"/>
      <c r="D18" s="103">
        <v>111150</v>
      </c>
      <c r="E18" s="103"/>
      <c r="F18" s="103">
        <v>258469.56</v>
      </c>
      <c r="G18" s="103">
        <v>595107.65999999992</v>
      </c>
      <c r="H18" s="103"/>
      <c r="I18" s="103">
        <v>4250.6399999999994</v>
      </c>
      <c r="J18" s="103">
        <v>1402118.24</v>
      </c>
      <c r="K18" s="103">
        <v>404675.11</v>
      </c>
      <c r="L18" s="103"/>
      <c r="M18" s="103">
        <v>128630</v>
      </c>
      <c r="N18" s="103"/>
      <c r="O18" s="103">
        <v>246217.34</v>
      </c>
      <c r="P18" s="103">
        <v>646561.83000000007</v>
      </c>
      <c r="Q18" s="103"/>
      <c r="R18" s="103">
        <v>4750.8500000000004</v>
      </c>
      <c r="S18" s="103">
        <v>1430835.1300000001</v>
      </c>
      <c r="T18" s="103">
        <v>418184.91</v>
      </c>
      <c r="U18" s="103"/>
      <c r="V18" s="103">
        <v>169800</v>
      </c>
      <c r="W18" s="103"/>
      <c r="X18" s="103">
        <v>307106.57</v>
      </c>
      <c r="Y18" s="103">
        <v>599941.55000000005</v>
      </c>
      <c r="Z18" s="103"/>
      <c r="AA18" s="103">
        <v>4968.67</v>
      </c>
      <c r="AB18" s="103">
        <v>1500001.7</v>
      </c>
      <c r="AC18" s="103">
        <v>402530.11</v>
      </c>
      <c r="AD18" s="103"/>
      <c r="AE18" s="103">
        <v>165138.33000000002</v>
      </c>
      <c r="AF18" s="103"/>
      <c r="AG18" s="103">
        <v>234636.59</v>
      </c>
      <c r="AH18" s="103">
        <v>611462.10000000009</v>
      </c>
      <c r="AI18" s="103"/>
      <c r="AJ18" s="103"/>
      <c r="AK18" s="103">
        <v>4469.6499999999996</v>
      </c>
      <c r="AL18" s="103">
        <v>1418236.7799999998</v>
      </c>
      <c r="AM18" s="103">
        <v>397572.86999999994</v>
      </c>
      <c r="AN18" s="103">
        <v>390691.37</v>
      </c>
      <c r="AO18" s="103"/>
      <c r="AP18" s="103"/>
      <c r="AQ18" s="103">
        <v>582679.61</v>
      </c>
      <c r="AR18" s="103"/>
      <c r="AS18" s="103"/>
      <c r="AT18" s="103">
        <v>3938.61</v>
      </c>
      <c r="AU18" s="103">
        <v>1374882.4600000002</v>
      </c>
      <c r="AV18" s="103">
        <v>389190.82</v>
      </c>
      <c r="AW18" s="103">
        <v>374079.67000000004</v>
      </c>
      <c r="AX18" s="103"/>
      <c r="AY18" s="103"/>
      <c r="AZ18" s="103">
        <v>607645.35</v>
      </c>
      <c r="BA18" s="103"/>
      <c r="BB18" s="103"/>
      <c r="BC18" s="103">
        <v>3817.7799999999997</v>
      </c>
      <c r="BD18" s="103">
        <v>1374733.6199999999</v>
      </c>
      <c r="BE18" s="103">
        <v>380350.08</v>
      </c>
      <c r="BF18" s="103">
        <v>311790.01</v>
      </c>
      <c r="BG18" s="103"/>
      <c r="BH18" s="103"/>
      <c r="BI18" s="103">
        <v>538650.96</v>
      </c>
      <c r="BJ18" s="103"/>
      <c r="BK18" s="103"/>
      <c r="BL18" s="103">
        <v>3852.77</v>
      </c>
      <c r="BM18" s="103">
        <v>1234643.82</v>
      </c>
      <c r="BN18" s="103">
        <v>287706</v>
      </c>
      <c r="BO18" s="103">
        <v>304966</v>
      </c>
      <c r="BP18" s="103"/>
      <c r="BQ18" s="103"/>
      <c r="BR18" s="103">
        <v>274546</v>
      </c>
      <c r="BS18" s="103"/>
      <c r="BT18" s="103"/>
      <c r="BU18" s="103">
        <v>2723</v>
      </c>
      <c r="BV18" s="103">
        <v>869941</v>
      </c>
      <c r="BW18" s="103">
        <v>10605392.75</v>
      </c>
    </row>
    <row r="19" spans="1:75" x14ac:dyDescent="0.25">
      <c r="A19" s="104" t="s">
        <v>37</v>
      </c>
      <c r="B19" s="103">
        <v>2701034.26</v>
      </c>
      <c r="C19" s="103"/>
      <c r="D19" s="103">
        <v>2764317.26</v>
      </c>
      <c r="E19" s="103">
        <v>10774.04</v>
      </c>
      <c r="F19" s="103">
        <v>1963287.09</v>
      </c>
      <c r="G19" s="103">
        <v>3467426.95</v>
      </c>
      <c r="H19" s="103"/>
      <c r="I19" s="103">
        <v>14816.760000000002</v>
      </c>
      <c r="J19" s="103">
        <v>10921656.359999999</v>
      </c>
      <c r="K19" s="103">
        <v>2723188.17</v>
      </c>
      <c r="L19" s="103"/>
      <c r="M19" s="103">
        <v>3171540.02</v>
      </c>
      <c r="N19" s="103">
        <v>18708.009999999998</v>
      </c>
      <c r="O19" s="103">
        <v>2239808.7000000002</v>
      </c>
      <c r="P19" s="103">
        <v>3470818.04</v>
      </c>
      <c r="Q19" s="103"/>
      <c r="R19" s="103">
        <v>16685.28</v>
      </c>
      <c r="S19" s="103">
        <v>11640748.219999999</v>
      </c>
      <c r="T19" s="103">
        <v>2559369.33</v>
      </c>
      <c r="U19" s="103"/>
      <c r="V19" s="103">
        <v>3759268.3100000005</v>
      </c>
      <c r="W19" s="103">
        <v>16806.52</v>
      </c>
      <c r="X19" s="103">
        <v>2700519.51</v>
      </c>
      <c r="Y19" s="103">
        <v>3841154.19</v>
      </c>
      <c r="Z19" s="103"/>
      <c r="AA19" s="103">
        <v>14988.71</v>
      </c>
      <c r="AB19" s="103">
        <v>12892106.57</v>
      </c>
      <c r="AC19" s="103">
        <v>2397778.7999999998</v>
      </c>
      <c r="AD19" s="103"/>
      <c r="AE19" s="103">
        <v>3104356.0899999994</v>
      </c>
      <c r="AF19" s="103">
        <v>61280.82</v>
      </c>
      <c r="AG19" s="103">
        <v>2248632.77</v>
      </c>
      <c r="AH19" s="103">
        <v>3147238.2600000002</v>
      </c>
      <c r="AI19" s="103"/>
      <c r="AJ19" s="103">
        <v>2.54</v>
      </c>
      <c r="AK19" s="103">
        <v>14686.419999999996</v>
      </c>
      <c r="AL19" s="103">
        <v>10973975.699999997</v>
      </c>
      <c r="AM19" s="103">
        <v>1966675.87</v>
      </c>
      <c r="AN19" s="103">
        <v>2932677.8</v>
      </c>
      <c r="AO19" s="103">
        <v>56553.2</v>
      </c>
      <c r="AP19" s="103">
        <v>2568411.5</v>
      </c>
      <c r="AQ19" s="103">
        <v>2668625.3699999996</v>
      </c>
      <c r="AR19" s="103"/>
      <c r="AS19" s="103">
        <v>39.81</v>
      </c>
      <c r="AT19" s="103">
        <v>14863.96</v>
      </c>
      <c r="AU19" s="103">
        <v>10207847.510000002</v>
      </c>
      <c r="AV19" s="103">
        <v>1783730.0499999998</v>
      </c>
      <c r="AW19" s="103">
        <v>3068991.37</v>
      </c>
      <c r="AX19" s="103">
        <v>69312.479999999996</v>
      </c>
      <c r="AY19" s="103">
        <v>2321941.37</v>
      </c>
      <c r="AZ19" s="103">
        <v>2197928.4700000002</v>
      </c>
      <c r="BA19" s="103"/>
      <c r="BB19" s="103">
        <v>49.9</v>
      </c>
      <c r="BC19" s="103">
        <v>13480.17</v>
      </c>
      <c r="BD19" s="103">
        <v>9455433.8100000005</v>
      </c>
      <c r="BE19" s="103">
        <v>1805097.81</v>
      </c>
      <c r="BF19" s="103">
        <v>2764156.5</v>
      </c>
      <c r="BG19" s="103">
        <v>51295.28</v>
      </c>
      <c r="BH19" s="103">
        <v>2005725.6099999999</v>
      </c>
      <c r="BI19" s="103">
        <v>1973849.25</v>
      </c>
      <c r="BJ19" s="103"/>
      <c r="BK19" s="103">
        <v>67.39</v>
      </c>
      <c r="BL19" s="103">
        <v>13959.819999999998</v>
      </c>
      <c r="BM19" s="103">
        <v>8614151.660000002</v>
      </c>
      <c r="BN19" s="103">
        <v>1743301</v>
      </c>
      <c r="BO19" s="103">
        <v>2431282</v>
      </c>
      <c r="BP19" s="103">
        <v>38218.51</v>
      </c>
      <c r="BQ19" s="103">
        <v>2086371</v>
      </c>
      <c r="BR19" s="103">
        <v>1951536</v>
      </c>
      <c r="BS19" s="103"/>
      <c r="BT19" s="103">
        <v>66</v>
      </c>
      <c r="BU19" s="103">
        <v>12900.74</v>
      </c>
      <c r="BV19" s="103">
        <v>8263675.25</v>
      </c>
      <c r="BW19" s="103">
        <v>82969595.079999983</v>
      </c>
    </row>
    <row r="20" spans="1:75" x14ac:dyDescent="0.25">
      <c r="A20" s="104" t="s">
        <v>38</v>
      </c>
      <c r="B20" s="103">
        <v>35504.47</v>
      </c>
      <c r="C20" s="103"/>
      <c r="D20" s="103">
        <v>40033.18</v>
      </c>
      <c r="E20" s="103"/>
      <c r="F20" s="103"/>
      <c r="G20" s="103">
        <v>17385.55</v>
      </c>
      <c r="H20" s="103"/>
      <c r="I20" s="103">
        <v>308.48</v>
      </c>
      <c r="J20" s="103">
        <v>93231.679999999993</v>
      </c>
      <c r="K20" s="103">
        <v>34471.120000000003</v>
      </c>
      <c r="L20" s="103"/>
      <c r="M20" s="103">
        <v>37094.06</v>
      </c>
      <c r="N20" s="103"/>
      <c r="O20" s="103"/>
      <c r="P20" s="103">
        <v>20966.11</v>
      </c>
      <c r="Q20" s="103"/>
      <c r="R20" s="103">
        <v>320.85000000000002</v>
      </c>
      <c r="S20" s="103">
        <v>92852.14</v>
      </c>
      <c r="T20" s="103">
        <v>25926.700000000004</v>
      </c>
      <c r="U20" s="103"/>
      <c r="V20" s="103">
        <v>21720.7</v>
      </c>
      <c r="W20" s="103"/>
      <c r="X20" s="103"/>
      <c r="Y20" s="103">
        <v>28178.29</v>
      </c>
      <c r="Z20" s="103"/>
      <c r="AA20" s="103">
        <v>30.53</v>
      </c>
      <c r="AB20" s="103">
        <v>75856.22</v>
      </c>
      <c r="AC20" s="103">
        <v>24813.99</v>
      </c>
      <c r="AD20" s="103"/>
      <c r="AE20" s="103">
        <v>38525.009999999995</v>
      </c>
      <c r="AF20" s="103"/>
      <c r="AG20" s="103"/>
      <c r="AH20" s="103">
        <v>40495.67</v>
      </c>
      <c r="AI20" s="103"/>
      <c r="AJ20" s="103"/>
      <c r="AK20" s="103">
        <v>135.68</v>
      </c>
      <c r="AL20" s="103">
        <v>103970.34999999999</v>
      </c>
      <c r="AM20" s="103">
        <v>31909.800000000003</v>
      </c>
      <c r="AN20" s="103">
        <v>55628</v>
      </c>
      <c r="AO20" s="103"/>
      <c r="AP20" s="103"/>
      <c r="AQ20" s="103">
        <v>35299.360000000001</v>
      </c>
      <c r="AR20" s="103"/>
      <c r="AS20" s="103"/>
      <c r="AT20" s="103">
        <v>263.93</v>
      </c>
      <c r="AU20" s="103">
        <v>123101.09</v>
      </c>
      <c r="AV20" s="103">
        <v>34324.1</v>
      </c>
      <c r="AW20" s="103">
        <v>48806</v>
      </c>
      <c r="AX20" s="103"/>
      <c r="AY20" s="103"/>
      <c r="AZ20" s="103">
        <v>22827.66</v>
      </c>
      <c r="BA20" s="103"/>
      <c r="BB20" s="103"/>
      <c r="BC20" s="103">
        <v>325.72000000000003</v>
      </c>
      <c r="BD20" s="103">
        <v>106283.48000000001</v>
      </c>
      <c r="BE20" s="103">
        <v>33076.519999999997</v>
      </c>
      <c r="BF20" s="103">
        <v>30016</v>
      </c>
      <c r="BG20" s="103"/>
      <c r="BH20" s="103"/>
      <c r="BI20" s="103">
        <v>8995.9699999999993</v>
      </c>
      <c r="BJ20" s="103"/>
      <c r="BK20" s="103"/>
      <c r="BL20" s="103">
        <v>169.75</v>
      </c>
      <c r="BM20" s="103">
        <v>72258.239999999991</v>
      </c>
      <c r="BN20" s="103">
        <v>30073</v>
      </c>
      <c r="BO20" s="103">
        <v>32010</v>
      </c>
      <c r="BP20" s="103"/>
      <c r="BQ20" s="103"/>
      <c r="BR20" s="103">
        <v>9312</v>
      </c>
      <c r="BS20" s="103"/>
      <c r="BT20" s="103"/>
      <c r="BU20" s="103">
        <v>61</v>
      </c>
      <c r="BV20" s="103">
        <v>71456</v>
      </c>
      <c r="BW20" s="103">
        <v>739009.2</v>
      </c>
    </row>
    <row r="21" spans="1:75" x14ac:dyDescent="0.25">
      <c r="A21" s="104" t="s">
        <v>39</v>
      </c>
      <c r="B21" s="103">
        <v>1451714.78</v>
      </c>
      <c r="C21" s="103"/>
      <c r="D21" s="103">
        <v>1916906.66</v>
      </c>
      <c r="E21" s="103"/>
      <c r="F21" s="103">
        <v>633200</v>
      </c>
      <c r="G21" s="103"/>
      <c r="H21" s="103"/>
      <c r="I21" s="103">
        <v>28356.250000000004</v>
      </c>
      <c r="J21" s="103">
        <v>4030177.69</v>
      </c>
      <c r="K21" s="103">
        <v>1364167.19</v>
      </c>
      <c r="L21" s="103"/>
      <c r="M21" s="103">
        <v>1413930</v>
      </c>
      <c r="N21" s="103"/>
      <c r="O21" s="103">
        <v>1184100</v>
      </c>
      <c r="P21" s="103"/>
      <c r="Q21" s="103"/>
      <c r="R21" s="103">
        <v>31508</v>
      </c>
      <c r="S21" s="103">
        <v>3993705.19</v>
      </c>
      <c r="T21" s="103">
        <v>1282386.6700000002</v>
      </c>
      <c r="U21" s="103"/>
      <c r="V21" s="103">
        <v>1492670</v>
      </c>
      <c r="W21" s="103"/>
      <c r="X21" s="103">
        <v>1308100</v>
      </c>
      <c r="Y21" s="103"/>
      <c r="Z21" s="103"/>
      <c r="AA21" s="103">
        <v>34518.89</v>
      </c>
      <c r="AB21" s="103">
        <v>4117675.56</v>
      </c>
      <c r="AC21" s="103">
        <v>1085189.95</v>
      </c>
      <c r="AD21" s="103"/>
      <c r="AE21" s="103">
        <v>1391490</v>
      </c>
      <c r="AF21" s="103"/>
      <c r="AG21" s="103">
        <v>1283000</v>
      </c>
      <c r="AH21" s="103"/>
      <c r="AI21" s="103"/>
      <c r="AJ21" s="103"/>
      <c r="AK21" s="103">
        <v>30374.68</v>
      </c>
      <c r="AL21" s="103">
        <v>3790054.6300000004</v>
      </c>
      <c r="AM21" s="103">
        <v>1005401.34</v>
      </c>
      <c r="AN21" s="103">
        <v>1531145</v>
      </c>
      <c r="AO21" s="103"/>
      <c r="AP21" s="103">
        <v>1374400</v>
      </c>
      <c r="AQ21" s="103"/>
      <c r="AR21" s="103"/>
      <c r="AS21" s="103"/>
      <c r="AT21" s="103">
        <v>33744.6</v>
      </c>
      <c r="AU21" s="103">
        <v>3944690.94</v>
      </c>
      <c r="AV21" s="103">
        <v>1002117.16</v>
      </c>
      <c r="AW21" s="103">
        <v>1400275</v>
      </c>
      <c r="AX21" s="103"/>
      <c r="AY21" s="103">
        <v>1376800</v>
      </c>
      <c r="AZ21" s="103"/>
      <c r="BA21" s="103"/>
      <c r="BB21" s="103"/>
      <c r="BC21" s="103">
        <v>29146.37</v>
      </c>
      <c r="BD21" s="103">
        <v>3808338.5300000003</v>
      </c>
      <c r="BE21" s="103">
        <v>1079194.56</v>
      </c>
      <c r="BF21" s="103">
        <v>1480800</v>
      </c>
      <c r="BG21" s="103"/>
      <c r="BH21" s="103">
        <v>1148100</v>
      </c>
      <c r="BI21" s="103"/>
      <c r="BJ21" s="103"/>
      <c r="BK21" s="103"/>
      <c r="BL21" s="103">
        <v>27401.119999999999</v>
      </c>
      <c r="BM21" s="103">
        <v>3735495.68</v>
      </c>
      <c r="BN21" s="103">
        <v>1120411</v>
      </c>
      <c r="BO21" s="103">
        <v>1526640</v>
      </c>
      <c r="BP21" s="103"/>
      <c r="BQ21" s="103">
        <v>1268400</v>
      </c>
      <c r="BR21" s="103"/>
      <c r="BS21" s="103"/>
      <c r="BT21" s="103"/>
      <c r="BU21" s="103">
        <v>26685</v>
      </c>
      <c r="BV21" s="103">
        <v>3942136</v>
      </c>
      <c r="BW21" s="103">
        <v>31362274.220000003</v>
      </c>
    </row>
    <row r="22" spans="1:75" x14ac:dyDescent="0.25">
      <c r="A22" s="104" t="s">
        <v>42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>
        <v>1495.61</v>
      </c>
      <c r="AW22" s="103"/>
      <c r="AX22" s="103"/>
      <c r="AY22" s="103"/>
      <c r="AZ22" s="103"/>
      <c r="BA22" s="103"/>
      <c r="BB22" s="103"/>
      <c r="BC22" s="103"/>
      <c r="BD22" s="103">
        <v>1495.61</v>
      </c>
      <c r="BE22" s="103">
        <v>2712.87</v>
      </c>
      <c r="BF22" s="103"/>
      <c r="BG22" s="103"/>
      <c r="BH22" s="103"/>
      <c r="BI22" s="103"/>
      <c r="BJ22" s="103"/>
      <c r="BK22" s="103"/>
      <c r="BL22" s="103"/>
      <c r="BM22" s="103">
        <v>2712.87</v>
      </c>
      <c r="BN22" s="103">
        <v>2132</v>
      </c>
      <c r="BO22" s="103"/>
      <c r="BP22" s="103"/>
      <c r="BQ22" s="103"/>
      <c r="BR22" s="103"/>
      <c r="BS22" s="103"/>
      <c r="BT22" s="103"/>
      <c r="BU22" s="103"/>
      <c r="BV22" s="103">
        <v>2132</v>
      </c>
      <c r="BW22" s="103">
        <v>6340.48</v>
      </c>
    </row>
    <row r="23" spans="1:75" x14ac:dyDescent="0.25">
      <c r="A23" s="104" t="s">
        <v>40</v>
      </c>
      <c r="B23" s="103">
        <v>208660.23</v>
      </c>
      <c r="C23" s="103"/>
      <c r="D23" s="103">
        <v>122760</v>
      </c>
      <c r="E23" s="103"/>
      <c r="F23" s="103">
        <v>134990</v>
      </c>
      <c r="G23" s="103"/>
      <c r="H23" s="103"/>
      <c r="I23" s="103">
        <v>2695.7</v>
      </c>
      <c r="J23" s="103">
        <v>469105.93</v>
      </c>
      <c r="K23" s="103">
        <v>191537.47</v>
      </c>
      <c r="L23" s="103"/>
      <c r="M23" s="103">
        <v>263390</v>
      </c>
      <c r="N23" s="103"/>
      <c r="O23" s="103"/>
      <c r="P23" s="103"/>
      <c r="Q23" s="103"/>
      <c r="R23" s="103">
        <v>2068.7800000000002</v>
      </c>
      <c r="S23" s="103">
        <v>456996.25</v>
      </c>
      <c r="T23" s="103">
        <v>195709.88</v>
      </c>
      <c r="U23" s="103"/>
      <c r="V23" s="103">
        <v>338650</v>
      </c>
      <c r="W23" s="103"/>
      <c r="X23" s="103"/>
      <c r="Y23" s="103"/>
      <c r="Z23" s="103"/>
      <c r="AA23" s="103">
        <v>2147.71</v>
      </c>
      <c r="AB23" s="103">
        <v>536507.59</v>
      </c>
      <c r="AC23" s="103">
        <v>198535.16</v>
      </c>
      <c r="AD23" s="103"/>
      <c r="AE23" s="103">
        <v>288140</v>
      </c>
      <c r="AF23" s="103"/>
      <c r="AG23" s="103"/>
      <c r="AH23" s="103"/>
      <c r="AI23" s="103"/>
      <c r="AJ23" s="103"/>
      <c r="AK23" s="103">
        <v>2824.37</v>
      </c>
      <c r="AL23" s="103">
        <v>489499.53</v>
      </c>
      <c r="AM23" s="103">
        <v>200641.45</v>
      </c>
      <c r="AN23" s="103">
        <v>302980</v>
      </c>
      <c r="AO23" s="103"/>
      <c r="AP23" s="103"/>
      <c r="AQ23" s="103"/>
      <c r="AR23" s="103"/>
      <c r="AS23" s="103"/>
      <c r="AT23" s="103">
        <v>2592.1299999999997</v>
      </c>
      <c r="AU23" s="103">
        <v>506213.58</v>
      </c>
      <c r="AV23" s="103">
        <v>439646.73</v>
      </c>
      <c r="AW23" s="103">
        <v>332970</v>
      </c>
      <c r="AX23" s="103"/>
      <c r="AY23" s="103"/>
      <c r="AZ23" s="103"/>
      <c r="BA23" s="103"/>
      <c r="BB23" s="103"/>
      <c r="BC23" s="103">
        <v>2344.6600000000003</v>
      </c>
      <c r="BD23" s="103">
        <v>774961.39</v>
      </c>
      <c r="BE23" s="103">
        <v>483611.78</v>
      </c>
      <c r="BF23" s="103">
        <v>205950</v>
      </c>
      <c r="BG23" s="103"/>
      <c r="BH23" s="103"/>
      <c r="BI23" s="103"/>
      <c r="BJ23" s="103"/>
      <c r="BK23" s="103"/>
      <c r="BL23" s="103">
        <v>2606.3200000000002</v>
      </c>
      <c r="BM23" s="103">
        <v>692168.1</v>
      </c>
      <c r="BN23" s="103">
        <v>426468.01</v>
      </c>
      <c r="BO23" s="103">
        <v>232030</v>
      </c>
      <c r="BP23" s="103"/>
      <c r="BQ23" s="103"/>
      <c r="BR23" s="103"/>
      <c r="BS23" s="103"/>
      <c r="BT23" s="103"/>
      <c r="BU23" s="103">
        <v>1984</v>
      </c>
      <c r="BV23" s="103">
        <v>660482.01</v>
      </c>
      <c r="BW23" s="103">
        <v>4585934.38</v>
      </c>
    </row>
    <row r="24" spans="1:75" x14ac:dyDescent="0.25">
      <c r="A24" s="193" t="s">
        <v>213</v>
      </c>
      <c r="B24" s="103">
        <v>208660.23</v>
      </c>
      <c r="C24" s="103"/>
      <c r="D24" s="103">
        <v>122760</v>
      </c>
      <c r="E24" s="103"/>
      <c r="F24" s="103">
        <v>134990</v>
      </c>
      <c r="G24" s="103"/>
      <c r="H24" s="103"/>
      <c r="I24" s="103">
        <v>2695.7</v>
      </c>
      <c r="J24" s="103">
        <v>469105.93</v>
      </c>
      <c r="K24" s="103">
        <v>191537.47</v>
      </c>
      <c r="L24" s="103"/>
      <c r="M24" s="103">
        <v>263390</v>
      </c>
      <c r="N24" s="103"/>
      <c r="O24" s="103"/>
      <c r="P24" s="103"/>
      <c r="Q24" s="103"/>
      <c r="R24" s="103">
        <v>2068.7800000000002</v>
      </c>
      <c r="S24" s="103">
        <v>456996.25</v>
      </c>
      <c r="T24" s="103">
        <v>195709.88</v>
      </c>
      <c r="U24" s="103"/>
      <c r="V24" s="103">
        <v>338650</v>
      </c>
      <c r="W24" s="103"/>
      <c r="X24" s="103"/>
      <c r="Y24" s="103"/>
      <c r="Z24" s="103"/>
      <c r="AA24" s="103">
        <v>2147.71</v>
      </c>
      <c r="AB24" s="103">
        <v>536507.59</v>
      </c>
      <c r="AC24" s="103">
        <v>198535.16</v>
      </c>
      <c r="AD24" s="103"/>
      <c r="AE24" s="103">
        <v>288140</v>
      </c>
      <c r="AF24" s="103"/>
      <c r="AG24" s="103"/>
      <c r="AH24" s="103"/>
      <c r="AI24" s="103"/>
      <c r="AJ24" s="103"/>
      <c r="AK24" s="103">
        <v>2824.37</v>
      </c>
      <c r="AL24" s="103">
        <v>489499.53</v>
      </c>
      <c r="AM24" s="103">
        <v>200641.45</v>
      </c>
      <c r="AN24" s="103">
        <v>302980</v>
      </c>
      <c r="AO24" s="103"/>
      <c r="AP24" s="103"/>
      <c r="AQ24" s="103"/>
      <c r="AR24" s="103"/>
      <c r="AS24" s="103"/>
      <c r="AT24" s="103">
        <v>2592.1299999999997</v>
      </c>
      <c r="AU24" s="103">
        <v>506213.58</v>
      </c>
      <c r="AV24" s="103">
        <v>439646.73</v>
      </c>
      <c r="AW24" s="103">
        <v>332970</v>
      </c>
      <c r="AX24" s="103"/>
      <c r="AY24" s="103"/>
      <c r="AZ24" s="103"/>
      <c r="BA24" s="103"/>
      <c r="BB24" s="103"/>
      <c r="BC24" s="103">
        <v>2344.6600000000003</v>
      </c>
      <c r="BD24" s="103">
        <v>774961.39</v>
      </c>
      <c r="BE24" s="103">
        <v>483611.78</v>
      </c>
      <c r="BF24" s="103">
        <v>205950</v>
      </c>
      <c r="BG24" s="103"/>
      <c r="BH24" s="103"/>
      <c r="BI24" s="103"/>
      <c r="BJ24" s="103"/>
      <c r="BK24" s="103"/>
      <c r="BL24" s="103">
        <v>2606.3200000000002</v>
      </c>
      <c r="BM24" s="103">
        <v>692168.1</v>
      </c>
      <c r="BN24" s="103">
        <v>426468.01</v>
      </c>
      <c r="BO24" s="103">
        <v>232030</v>
      </c>
      <c r="BP24" s="103"/>
      <c r="BQ24" s="103"/>
      <c r="BR24" s="103"/>
      <c r="BS24" s="103"/>
      <c r="BT24" s="103"/>
      <c r="BU24" s="103">
        <v>1984</v>
      </c>
      <c r="BV24" s="103">
        <v>660482.01</v>
      </c>
      <c r="BW24" s="103">
        <v>4585934.38</v>
      </c>
    </row>
    <row r="25" spans="1:75" x14ac:dyDescent="0.25">
      <c r="A25" s="104" t="s">
        <v>1364</v>
      </c>
      <c r="B25" s="103">
        <v>9216102.1899999995</v>
      </c>
      <c r="C25" s="103">
        <v>200381.46000000002</v>
      </c>
      <c r="D25" s="103">
        <v>9739185.4700000007</v>
      </c>
      <c r="E25" s="103">
        <v>10774.04</v>
      </c>
      <c r="F25" s="103">
        <v>4133827.54</v>
      </c>
      <c r="G25" s="103">
        <v>6661344.0800000001</v>
      </c>
      <c r="H25" s="103">
        <v>284344.25</v>
      </c>
      <c r="I25" s="103">
        <v>89312.090000000011</v>
      </c>
      <c r="J25" s="103">
        <v>30335271.120000001</v>
      </c>
      <c r="K25" s="103">
        <v>9023833.1300000008</v>
      </c>
      <c r="L25" s="103">
        <v>286652.83999999997</v>
      </c>
      <c r="M25" s="103">
        <v>10027262.82</v>
      </c>
      <c r="N25" s="103">
        <v>18708.009999999998</v>
      </c>
      <c r="O25" s="103">
        <v>4931859.1900000004</v>
      </c>
      <c r="P25" s="103">
        <v>6874768.5700000003</v>
      </c>
      <c r="Q25" s="103">
        <v>306778.87</v>
      </c>
      <c r="R25" s="103">
        <v>93985.569999999992</v>
      </c>
      <c r="S25" s="103">
        <v>31563849</v>
      </c>
      <c r="T25" s="103">
        <v>8761106.4500000011</v>
      </c>
      <c r="U25" s="103">
        <v>296247.84999999998</v>
      </c>
      <c r="V25" s="103">
        <v>11494163.649999999</v>
      </c>
      <c r="W25" s="103">
        <v>16806.52</v>
      </c>
      <c r="X25" s="103">
        <v>5609905.8700000001</v>
      </c>
      <c r="Y25" s="103">
        <v>7449659.1000000006</v>
      </c>
      <c r="Z25" s="103">
        <v>286050.15999999997</v>
      </c>
      <c r="AA25" s="103">
        <v>92183.79</v>
      </c>
      <c r="AB25" s="103">
        <v>34006123.390000001</v>
      </c>
      <c r="AC25" s="103">
        <v>8021152.0100000016</v>
      </c>
      <c r="AD25" s="103">
        <v>166391.03999999998</v>
      </c>
      <c r="AE25" s="103">
        <v>9767984.0799999982</v>
      </c>
      <c r="AF25" s="103">
        <v>61280.82</v>
      </c>
      <c r="AG25" s="103">
        <v>4879704.68</v>
      </c>
      <c r="AH25" s="103">
        <v>6417310.8499999996</v>
      </c>
      <c r="AI25" s="103">
        <v>278568.34000000003</v>
      </c>
      <c r="AJ25" s="103">
        <v>2.54</v>
      </c>
      <c r="AK25" s="103">
        <v>87211.51</v>
      </c>
      <c r="AL25" s="103">
        <v>29679605.870000001</v>
      </c>
      <c r="AM25" s="103">
        <v>7463990.0099999998</v>
      </c>
      <c r="AN25" s="103">
        <v>10448229.52</v>
      </c>
      <c r="AO25" s="103">
        <v>56553.2</v>
      </c>
      <c r="AP25" s="103">
        <v>4897735.4800000004</v>
      </c>
      <c r="AQ25" s="103">
        <v>6067636.7199999997</v>
      </c>
      <c r="AR25" s="103">
        <v>268274.02999999997</v>
      </c>
      <c r="AS25" s="103">
        <v>39.81</v>
      </c>
      <c r="AT25" s="103">
        <v>93592.39</v>
      </c>
      <c r="AU25" s="103">
        <v>29296051.16</v>
      </c>
      <c r="AV25" s="103">
        <v>7437052.4499999993</v>
      </c>
      <c r="AW25" s="103">
        <v>10385061.41</v>
      </c>
      <c r="AX25" s="103">
        <v>69312.479999999996</v>
      </c>
      <c r="AY25" s="103">
        <v>4579502.9399999995</v>
      </c>
      <c r="AZ25" s="103">
        <v>5366267.4500000011</v>
      </c>
      <c r="BA25" s="103">
        <v>216582.9</v>
      </c>
      <c r="BB25" s="103">
        <v>49.9</v>
      </c>
      <c r="BC25" s="103">
        <v>85079.840000000011</v>
      </c>
      <c r="BD25" s="103">
        <v>28138909.370000001</v>
      </c>
      <c r="BE25" s="103">
        <v>7510450.1100000013</v>
      </c>
      <c r="BF25" s="103">
        <v>9343324.2100000009</v>
      </c>
      <c r="BG25" s="103">
        <v>51295.28</v>
      </c>
      <c r="BH25" s="103">
        <v>3972892.57</v>
      </c>
      <c r="BI25" s="103">
        <v>4362398.95</v>
      </c>
      <c r="BJ25" s="103">
        <v>210491.69999999998</v>
      </c>
      <c r="BK25" s="103">
        <v>67.39</v>
      </c>
      <c r="BL25" s="103">
        <v>84230.92</v>
      </c>
      <c r="BM25" s="103">
        <v>25535151.130000003</v>
      </c>
      <c r="BN25" s="103">
        <v>6895919.0099999998</v>
      </c>
      <c r="BO25" s="103">
        <v>9208974</v>
      </c>
      <c r="BP25" s="103">
        <v>38218.51</v>
      </c>
      <c r="BQ25" s="103">
        <v>4065169</v>
      </c>
      <c r="BR25" s="103">
        <v>4010464</v>
      </c>
      <c r="BS25" s="103">
        <v>239067</v>
      </c>
      <c r="BT25" s="103">
        <v>66</v>
      </c>
      <c r="BU25" s="103">
        <v>77741.239999999991</v>
      </c>
      <c r="BV25" s="103">
        <v>24535618.760000002</v>
      </c>
      <c r="BW25" s="103">
        <v>233090579.79999995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activeCell="F22" sqref="F22"/>
    </sheetView>
  </sheetViews>
  <sheetFormatPr defaultRowHeight="15" x14ac:dyDescent="0.25"/>
  <cols>
    <col min="1" max="1" width="39" bestFit="1" customWidth="1"/>
    <col min="2" max="2" width="14.42578125" customWidth="1"/>
    <col min="3" max="9" width="11" bestFit="1" customWidth="1"/>
    <col min="10" max="10" width="12" bestFit="1" customWidth="1"/>
    <col min="11" max="11" width="10" bestFit="1" customWidth="1"/>
    <col min="12" max="12" width="12" bestFit="1" customWidth="1"/>
    <col min="13" max="13" width="9" bestFit="1" customWidth="1"/>
    <col min="14" max="14" width="12" bestFit="1" customWidth="1"/>
    <col min="15" max="15" width="10" bestFit="1" customWidth="1"/>
    <col min="16" max="16" width="12" bestFit="1" customWidth="1"/>
    <col min="17" max="17" width="9" bestFit="1" customWidth="1"/>
    <col min="18" max="18" width="12" bestFit="1" customWidth="1"/>
    <col min="19" max="19" width="10" bestFit="1" customWidth="1"/>
    <col min="20" max="20" width="12" bestFit="1" customWidth="1"/>
    <col min="21" max="21" width="9" bestFit="1" customWidth="1"/>
    <col min="22" max="22" width="12" bestFit="1" customWidth="1"/>
    <col min="23" max="23" width="11" bestFit="1" customWidth="1"/>
    <col min="24" max="24" width="10" bestFit="1" customWidth="1"/>
    <col min="25" max="25" width="12" bestFit="1" customWidth="1"/>
    <col min="26" max="26" width="9" bestFit="1" customWidth="1"/>
    <col min="27" max="27" width="12" bestFit="1" customWidth="1"/>
    <col min="28" max="28" width="11" bestFit="1" customWidth="1"/>
    <col min="29" max="29" width="10" bestFit="1" customWidth="1"/>
    <col min="30" max="30" width="12" bestFit="1" customWidth="1"/>
    <col min="31" max="31" width="9" bestFit="1" customWidth="1"/>
    <col min="32" max="32" width="12" bestFit="1" customWidth="1"/>
    <col min="33" max="33" width="11" bestFit="1" customWidth="1"/>
    <col min="34" max="34" width="10" customWidth="1"/>
    <col min="35" max="35" width="12" bestFit="1" customWidth="1"/>
    <col min="36" max="36" width="9" bestFit="1" customWidth="1"/>
    <col min="37" max="37" width="12" bestFit="1" customWidth="1"/>
    <col min="38" max="38" width="11" customWidth="1"/>
    <col min="39" max="39" width="10" bestFit="1" customWidth="1"/>
    <col min="40" max="40" width="12" bestFit="1" customWidth="1"/>
    <col min="41" max="41" width="9" bestFit="1" customWidth="1"/>
    <col min="42" max="42" width="12" bestFit="1" customWidth="1"/>
    <col min="43" max="43" width="12" customWidth="1"/>
    <col min="44" max="44" width="11" customWidth="1"/>
    <col min="45" max="45" width="12" customWidth="1"/>
    <col min="46" max="46" width="11" bestFit="1" customWidth="1"/>
    <col min="47" max="48" width="11" customWidth="1"/>
    <col min="49" max="49" width="10.140625" customWidth="1"/>
    <col min="50" max="50" width="16.85546875" bestFit="1" customWidth="1"/>
    <col min="51" max="52" width="10" customWidth="1"/>
    <col min="53" max="56" width="12" customWidth="1"/>
    <col min="57" max="58" width="11" customWidth="1"/>
    <col min="59" max="59" width="10.140625" customWidth="1"/>
    <col min="60" max="60" width="16.85546875" bestFit="1" customWidth="1"/>
    <col min="61" max="62" width="10" customWidth="1"/>
    <col min="63" max="63" width="12" customWidth="1"/>
    <col min="64" max="64" width="11" customWidth="1"/>
    <col min="65" max="65" width="12" customWidth="1"/>
    <col min="66" max="68" width="11" customWidth="1"/>
    <col min="69" max="69" width="10.140625" customWidth="1"/>
    <col min="70" max="70" width="16.85546875" customWidth="1"/>
    <col min="71" max="72" width="10" customWidth="1"/>
    <col min="73" max="73" width="21.7109375" bestFit="1" customWidth="1"/>
    <col min="74" max="74" width="12" customWidth="1"/>
    <col min="75" max="75" width="11" customWidth="1"/>
    <col min="76" max="76" width="12" customWidth="1"/>
    <col min="77" max="77" width="11" bestFit="1" customWidth="1"/>
    <col min="78" max="79" width="11" customWidth="1"/>
    <col min="80" max="80" width="10.140625" customWidth="1"/>
    <col min="81" max="81" width="16.85546875" customWidth="1"/>
    <col min="82" max="82" width="10" customWidth="1"/>
    <col min="83" max="83" width="9" customWidth="1"/>
    <col min="84" max="84" width="21.7109375" bestFit="1" customWidth="1"/>
    <col min="85" max="85" width="12" customWidth="1"/>
    <col min="86" max="86" width="12" bestFit="1" customWidth="1"/>
  </cols>
  <sheetData>
    <row r="1" spans="1:10" x14ac:dyDescent="0.25">
      <c r="A1" s="98" t="s">
        <v>1395</v>
      </c>
      <c r="B1" s="99" t="s">
        <v>1405</v>
      </c>
    </row>
    <row r="3" spans="1:10" x14ac:dyDescent="0.25">
      <c r="A3" s="98" t="s">
        <v>1366</v>
      </c>
      <c r="B3" s="98" t="s">
        <v>1365</v>
      </c>
      <c r="C3" s="99"/>
      <c r="D3" s="99"/>
      <c r="E3" s="99"/>
      <c r="F3" s="99"/>
      <c r="G3" s="99"/>
      <c r="H3" s="99"/>
      <c r="I3" s="99"/>
      <c r="J3" s="99"/>
    </row>
    <row r="4" spans="1:10" x14ac:dyDescent="0.25">
      <c r="A4" s="99"/>
      <c r="B4" s="99">
        <v>2008</v>
      </c>
      <c r="C4" s="99">
        <v>2009</v>
      </c>
      <c r="D4" s="99">
        <v>2010</v>
      </c>
      <c r="E4" s="99">
        <v>2011</v>
      </c>
      <c r="F4" s="99">
        <v>2012</v>
      </c>
      <c r="G4" s="99">
        <v>2013</v>
      </c>
      <c r="H4" s="99">
        <v>2014</v>
      </c>
      <c r="I4" s="99">
        <v>2015</v>
      </c>
      <c r="J4" s="99" t="s">
        <v>1364</v>
      </c>
    </row>
    <row r="5" spans="1:10" x14ac:dyDescent="0.25">
      <c r="A5" s="98" t="s">
        <v>1363</v>
      </c>
      <c r="B5" s="99"/>
      <c r="C5" s="99"/>
      <c r="D5" s="99"/>
      <c r="E5" s="99"/>
      <c r="F5" s="99"/>
      <c r="G5" s="99"/>
      <c r="H5" s="99"/>
      <c r="I5" s="99"/>
      <c r="J5" s="99"/>
    </row>
    <row r="6" spans="1:10" x14ac:dyDescent="0.25">
      <c r="A6" s="100" t="s">
        <v>24</v>
      </c>
      <c r="B6" s="105">
        <v>593478.98</v>
      </c>
      <c r="C6" s="105">
        <v>523221.01</v>
      </c>
      <c r="D6" s="105">
        <v>728470</v>
      </c>
      <c r="E6" s="105">
        <v>587363.69999999995</v>
      </c>
      <c r="F6" s="105">
        <v>618841.31000000006</v>
      </c>
      <c r="G6" s="105">
        <v>593255</v>
      </c>
      <c r="H6" s="105">
        <v>464039.01</v>
      </c>
      <c r="I6" s="105">
        <v>417954</v>
      </c>
      <c r="J6" s="105">
        <v>4526623.01</v>
      </c>
    </row>
    <row r="7" spans="1:10" x14ac:dyDescent="0.25">
      <c r="A7" s="101" t="s">
        <v>98</v>
      </c>
      <c r="B7" s="105">
        <v>467218.98</v>
      </c>
      <c r="C7" s="105">
        <v>382881.01</v>
      </c>
      <c r="D7" s="105">
        <v>564399.99</v>
      </c>
      <c r="E7" s="105">
        <v>465980</v>
      </c>
      <c r="F7" s="105">
        <v>502365</v>
      </c>
      <c r="G7" s="105">
        <v>463765</v>
      </c>
      <c r="H7" s="105">
        <v>338689.01</v>
      </c>
      <c r="I7" s="105">
        <v>259544</v>
      </c>
      <c r="J7" s="105">
        <v>3444842.99</v>
      </c>
    </row>
    <row r="8" spans="1:10" x14ac:dyDescent="0.25">
      <c r="A8" s="101" t="s">
        <v>99</v>
      </c>
      <c r="B8" s="105">
        <v>126260</v>
      </c>
      <c r="C8" s="105">
        <v>140340</v>
      </c>
      <c r="D8" s="105">
        <v>164070.01</v>
      </c>
      <c r="E8" s="105">
        <v>121383.7</v>
      </c>
      <c r="F8" s="105">
        <v>116476.31</v>
      </c>
      <c r="G8" s="105">
        <v>129490</v>
      </c>
      <c r="H8" s="105">
        <v>125350</v>
      </c>
      <c r="I8" s="105">
        <v>158410</v>
      </c>
      <c r="J8" s="105">
        <v>1081780.02</v>
      </c>
    </row>
    <row r="9" spans="1:10" x14ac:dyDescent="0.25">
      <c r="A9" s="100" t="s">
        <v>26</v>
      </c>
      <c r="B9" s="105">
        <v>961328.27999999991</v>
      </c>
      <c r="C9" s="105">
        <v>998138.06</v>
      </c>
      <c r="D9" s="105">
        <v>1050773.1099999999</v>
      </c>
      <c r="E9" s="105">
        <v>818157.15</v>
      </c>
      <c r="F9" s="105">
        <v>942356.77</v>
      </c>
      <c r="G9" s="105">
        <v>933015.34</v>
      </c>
      <c r="H9" s="105">
        <v>787267.75</v>
      </c>
      <c r="I9" s="105">
        <v>787349</v>
      </c>
      <c r="J9" s="105">
        <v>7278385.459999999</v>
      </c>
    </row>
    <row r="10" spans="1:10" x14ac:dyDescent="0.25">
      <c r="A10" s="100" t="s">
        <v>27</v>
      </c>
      <c r="B10" s="105">
        <v>2404500.67</v>
      </c>
      <c r="C10" s="105">
        <v>2596523.33</v>
      </c>
      <c r="D10" s="105">
        <v>2718290.12</v>
      </c>
      <c r="E10" s="105">
        <v>2433784.17</v>
      </c>
      <c r="F10" s="105">
        <v>2512765.84</v>
      </c>
      <c r="G10" s="105">
        <v>2395022.25</v>
      </c>
      <c r="H10" s="105">
        <v>1970227.7000000002</v>
      </c>
      <c r="I10" s="105">
        <v>1969774</v>
      </c>
      <c r="J10" s="105">
        <v>19000888.079999998</v>
      </c>
    </row>
    <row r="11" spans="1:10" x14ac:dyDescent="0.25">
      <c r="A11" s="100" t="s">
        <v>28</v>
      </c>
      <c r="B11" s="105">
        <v>54771.729999999996</v>
      </c>
      <c r="C11" s="105">
        <v>45775.4</v>
      </c>
      <c r="D11" s="105">
        <v>72094.16</v>
      </c>
      <c r="E11" s="105">
        <v>37670.239999999998</v>
      </c>
      <c r="F11" s="105">
        <v>31675.16</v>
      </c>
      <c r="G11" s="105">
        <v>32910.129999999997</v>
      </c>
      <c r="H11" s="105">
        <v>73202.89</v>
      </c>
      <c r="I11" s="105">
        <v>383986</v>
      </c>
      <c r="J11" s="105">
        <v>732085.71</v>
      </c>
    </row>
    <row r="12" spans="1:10" x14ac:dyDescent="0.25">
      <c r="A12" s="100" t="s">
        <v>29</v>
      </c>
      <c r="B12" s="105">
        <v>344373.65</v>
      </c>
      <c r="C12" s="105">
        <v>346846.1</v>
      </c>
      <c r="D12" s="105">
        <v>373431.39</v>
      </c>
      <c r="E12" s="105">
        <v>305344.48</v>
      </c>
      <c r="F12" s="105">
        <v>340104.33</v>
      </c>
      <c r="G12" s="105">
        <v>305276.90000000002</v>
      </c>
      <c r="H12" s="105">
        <v>254480.31</v>
      </c>
      <c r="I12" s="105">
        <v>266758</v>
      </c>
      <c r="J12" s="105">
        <v>2536615.16</v>
      </c>
    </row>
    <row r="13" spans="1:10" x14ac:dyDescent="0.25">
      <c r="A13" s="100" t="s">
        <v>30</v>
      </c>
      <c r="B13" s="105">
        <v>537622.17000000004</v>
      </c>
      <c r="C13" s="105">
        <v>601855.46000000008</v>
      </c>
      <c r="D13" s="105">
        <v>703953.26</v>
      </c>
      <c r="E13" s="105">
        <v>626033.25</v>
      </c>
      <c r="F13" s="105">
        <v>622002.48</v>
      </c>
      <c r="G13" s="105">
        <v>559434.11</v>
      </c>
      <c r="H13" s="105">
        <v>459060.24000000005</v>
      </c>
      <c r="I13" s="105">
        <v>485358</v>
      </c>
      <c r="J13" s="105">
        <v>4595318.9700000007</v>
      </c>
    </row>
    <row r="14" spans="1:10" x14ac:dyDescent="0.25">
      <c r="A14" s="100" t="s">
        <v>31</v>
      </c>
      <c r="B14" s="105">
        <v>1433968.21</v>
      </c>
      <c r="C14" s="105">
        <v>1587182.25</v>
      </c>
      <c r="D14" s="105">
        <v>1759683.2</v>
      </c>
      <c r="E14" s="105">
        <v>1416668.48</v>
      </c>
      <c r="F14" s="105">
        <v>1351133</v>
      </c>
      <c r="G14" s="105">
        <v>1288111</v>
      </c>
      <c r="H14" s="105">
        <v>1017926</v>
      </c>
      <c r="I14" s="105">
        <v>1045296</v>
      </c>
      <c r="J14" s="105">
        <v>10899968.140000001</v>
      </c>
    </row>
    <row r="15" spans="1:10" x14ac:dyDescent="0.25">
      <c r="A15" s="100" t="s">
        <v>32</v>
      </c>
      <c r="B15" s="105">
        <v>869560.33</v>
      </c>
      <c r="C15" s="105">
        <v>975325.25000000012</v>
      </c>
      <c r="D15" s="105">
        <v>994808.67999999993</v>
      </c>
      <c r="E15" s="105">
        <v>857763.99999999988</v>
      </c>
      <c r="F15" s="105">
        <v>885727.4</v>
      </c>
      <c r="G15" s="105">
        <v>818535.1</v>
      </c>
      <c r="H15" s="105">
        <v>717810.68</v>
      </c>
      <c r="I15" s="105">
        <v>272089</v>
      </c>
      <c r="J15" s="105">
        <v>6391620.4399999995</v>
      </c>
    </row>
    <row r="16" spans="1:10" x14ac:dyDescent="0.25">
      <c r="A16" s="100" t="s">
        <v>33</v>
      </c>
      <c r="B16" s="105">
        <v>1255099.1600000001</v>
      </c>
      <c r="C16" s="105">
        <v>1340505.98</v>
      </c>
      <c r="D16" s="105">
        <v>1556672.15</v>
      </c>
      <c r="E16" s="105">
        <v>1339809.79</v>
      </c>
      <c r="F16" s="105">
        <v>1335999.22</v>
      </c>
      <c r="G16" s="105">
        <v>1276739</v>
      </c>
      <c r="H16" s="105">
        <v>1177988</v>
      </c>
      <c r="I16" s="105">
        <v>1187288</v>
      </c>
      <c r="J16" s="105">
        <v>10470101.300000001</v>
      </c>
    </row>
    <row r="17" spans="1:10" x14ac:dyDescent="0.25">
      <c r="A17" s="100" t="s">
        <v>34</v>
      </c>
      <c r="B17" s="105">
        <v>175864.91999999998</v>
      </c>
      <c r="C17" s="105">
        <v>192471.19999999998</v>
      </c>
      <c r="D17" s="105">
        <v>218836.40999999997</v>
      </c>
      <c r="E17" s="105">
        <v>199119.74</v>
      </c>
      <c r="F17" s="105">
        <v>220971.56999999998</v>
      </c>
      <c r="G17" s="105">
        <v>210518.89</v>
      </c>
      <c r="H17" s="105">
        <v>157173.14000000001</v>
      </c>
      <c r="I17" s="105">
        <v>191885</v>
      </c>
      <c r="J17" s="105">
        <v>1566840.87</v>
      </c>
    </row>
    <row r="18" spans="1:10" x14ac:dyDescent="0.25">
      <c r="A18" s="101" t="s">
        <v>226</v>
      </c>
      <c r="B18" s="105">
        <v>57226.8</v>
      </c>
      <c r="C18" s="105">
        <v>62430.68</v>
      </c>
      <c r="D18" s="105">
        <v>73212.56</v>
      </c>
      <c r="E18" s="105">
        <v>62701.36</v>
      </c>
      <c r="F18" s="105">
        <v>69631.039999999994</v>
      </c>
      <c r="G18" s="105">
        <v>66414.84</v>
      </c>
      <c r="H18" s="105">
        <v>52699.79</v>
      </c>
      <c r="I18" s="105">
        <v>50053</v>
      </c>
      <c r="J18" s="105">
        <v>494370.07</v>
      </c>
    </row>
    <row r="19" spans="1:10" x14ac:dyDescent="0.25">
      <c r="A19" s="101" t="s">
        <v>177</v>
      </c>
      <c r="B19" s="105">
        <v>77713.37</v>
      </c>
      <c r="C19" s="105">
        <v>81038.06</v>
      </c>
      <c r="D19" s="105">
        <v>92718.99</v>
      </c>
      <c r="E19" s="105">
        <v>87084.06</v>
      </c>
      <c r="F19" s="105">
        <v>95866</v>
      </c>
      <c r="G19" s="105">
        <v>88756</v>
      </c>
      <c r="H19" s="105">
        <v>61737</v>
      </c>
      <c r="I19" s="105">
        <v>89895</v>
      </c>
      <c r="J19" s="105">
        <v>674808.48</v>
      </c>
    </row>
    <row r="20" spans="1:10" x14ac:dyDescent="0.25">
      <c r="A20" s="101" t="s">
        <v>178</v>
      </c>
      <c r="B20" s="105">
        <v>40924.75</v>
      </c>
      <c r="C20" s="105">
        <v>49002.46</v>
      </c>
      <c r="D20" s="105">
        <v>52904.86</v>
      </c>
      <c r="E20" s="105">
        <v>49334.32</v>
      </c>
      <c r="F20" s="105">
        <v>55474.53</v>
      </c>
      <c r="G20" s="105">
        <v>55348.05</v>
      </c>
      <c r="H20" s="105">
        <v>42736.35</v>
      </c>
      <c r="I20" s="105">
        <v>51937</v>
      </c>
      <c r="J20" s="105">
        <v>397662.32</v>
      </c>
    </row>
    <row r="21" spans="1:10" x14ac:dyDescent="0.25">
      <c r="A21" s="100" t="s">
        <v>35</v>
      </c>
      <c r="B21" s="105">
        <v>363480.79000000004</v>
      </c>
      <c r="C21" s="105">
        <v>396422.15</v>
      </c>
      <c r="D21" s="105">
        <v>391905.03</v>
      </c>
      <c r="E21" s="105">
        <v>335129.17000000004</v>
      </c>
      <c r="F21" s="105">
        <v>377760.66</v>
      </c>
      <c r="G21" s="105">
        <v>382332.09</v>
      </c>
      <c r="H21" s="105">
        <v>341897.41000000003</v>
      </c>
      <c r="I21" s="105">
        <v>398844</v>
      </c>
      <c r="J21" s="105">
        <v>2987771.3000000003</v>
      </c>
    </row>
    <row r="22" spans="1:10" x14ac:dyDescent="0.25">
      <c r="A22" s="100" t="s">
        <v>36</v>
      </c>
      <c r="B22" s="105">
        <v>964727.22</v>
      </c>
      <c r="C22" s="105">
        <v>1021409.17</v>
      </c>
      <c r="D22" s="105">
        <v>1076848.1200000001</v>
      </c>
      <c r="E22" s="105">
        <v>1011237.02</v>
      </c>
      <c r="F22" s="105">
        <v>973370.98</v>
      </c>
      <c r="G22" s="105">
        <v>981725.02</v>
      </c>
      <c r="H22" s="105">
        <v>850440.97</v>
      </c>
      <c r="I22" s="105">
        <v>579512</v>
      </c>
      <c r="J22" s="105">
        <v>7459270.4999999991</v>
      </c>
    </row>
    <row r="23" spans="1:10" x14ac:dyDescent="0.25">
      <c r="A23" s="100" t="s">
        <v>37</v>
      </c>
      <c r="B23" s="105">
        <v>8205805.3399999989</v>
      </c>
      <c r="C23" s="105">
        <v>8900874.7699999996</v>
      </c>
      <c r="D23" s="105">
        <v>10317748.529999999</v>
      </c>
      <c r="E23" s="105">
        <v>8561507.9399999995</v>
      </c>
      <c r="F23" s="105">
        <v>8226267.8699999992</v>
      </c>
      <c r="G23" s="105">
        <v>7658173.6899999995</v>
      </c>
      <c r="H23" s="105">
        <v>6795026.6399999997</v>
      </c>
      <c r="I23" s="105">
        <v>6507407.5099999998</v>
      </c>
      <c r="J23" s="105">
        <v>65172812.289999992</v>
      </c>
    </row>
    <row r="24" spans="1:10" x14ac:dyDescent="0.25">
      <c r="A24" s="100" t="s">
        <v>38</v>
      </c>
      <c r="B24" s="105">
        <v>57418.729999999996</v>
      </c>
      <c r="C24" s="105">
        <v>58060.170000000006</v>
      </c>
      <c r="D24" s="105">
        <v>49898.99</v>
      </c>
      <c r="E24" s="105">
        <v>79020.679999999993</v>
      </c>
      <c r="F24" s="105">
        <v>90927.360000000001</v>
      </c>
      <c r="G24" s="105">
        <v>71633.66</v>
      </c>
      <c r="H24" s="105">
        <v>39011.97</v>
      </c>
      <c r="I24" s="105">
        <v>41322</v>
      </c>
      <c r="J24" s="105">
        <v>487293.55999999994</v>
      </c>
    </row>
    <row r="25" spans="1:10" x14ac:dyDescent="0.25">
      <c r="A25" s="100" t="s">
        <v>39</v>
      </c>
      <c r="B25" s="105">
        <v>2550106.66</v>
      </c>
      <c r="C25" s="105">
        <v>2598030</v>
      </c>
      <c r="D25" s="105">
        <v>2800770</v>
      </c>
      <c r="E25" s="105">
        <v>2674490</v>
      </c>
      <c r="F25" s="105">
        <v>2905545</v>
      </c>
      <c r="G25" s="105">
        <v>2777075</v>
      </c>
      <c r="H25" s="105">
        <v>2628900</v>
      </c>
      <c r="I25" s="105">
        <v>2795040</v>
      </c>
      <c r="J25" s="105">
        <v>21729956.66</v>
      </c>
    </row>
    <row r="26" spans="1:10" x14ac:dyDescent="0.25">
      <c r="A26" s="100" t="s">
        <v>40</v>
      </c>
      <c r="B26" s="105">
        <v>257750</v>
      </c>
      <c r="C26" s="105">
        <v>263390</v>
      </c>
      <c r="D26" s="105">
        <v>338650</v>
      </c>
      <c r="E26" s="105">
        <v>288140</v>
      </c>
      <c r="F26" s="105">
        <v>302980</v>
      </c>
      <c r="G26" s="105">
        <v>332970</v>
      </c>
      <c r="H26" s="105">
        <v>205950</v>
      </c>
      <c r="I26" s="105">
        <v>232030</v>
      </c>
      <c r="J26" s="105">
        <v>2221860</v>
      </c>
    </row>
    <row r="27" spans="1:10" x14ac:dyDescent="0.25">
      <c r="A27" s="101" t="s">
        <v>213</v>
      </c>
      <c r="B27" s="105">
        <v>257750</v>
      </c>
      <c r="C27" s="105">
        <v>263390</v>
      </c>
      <c r="D27" s="105">
        <v>338650</v>
      </c>
      <c r="E27" s="105">
        <v>288140</v>
      </c>
      <c r="F27" s="105">
        <v>302980</v>
      </c>
      <c r="G27" s="105">
        <v>332970</v>
      </c>
      <c r="H27" s="105">
        <v>205950</v>
      </c>
      <c r="I27" s="105">
        <v>232030</v>
      </c>
      <c r="J27" s="105">
        <v>2221860</v>
      </c>
    </row>
    <row r="28" spans="1:10" x14ac:dyDescent="0.25">
      <c r="A28" s="100" t="s">
        <v>1364</v>
      </c>
      <c r="B28" s="105">
        <v>21029856.84</v>
      </c>
      <c r="C28" s="105">
        <v>22446030.300000004</v>
      </c>
      <c r="D28" s="105">
        <v>25152833.149999995</v>
      </c>
      <c r="E28" s="105">
        <v>21571239.810000002</v>
      </c>
      <c r="F28" s="105">
        <v>21738428.949999999</v>
      </c>
      <c r="G28" s="105">
        <v>20616727.18</v>
      </c>
      <c r="H28" s="105">
        <v>17940402.710000001</v>
      </c>
      <c r="I28" s="105">
        <v>17561892.509999998</v>
      </c>
      <c r="J28" s="105">
        <v>168057411.44999996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F22" sqref="F22"/>
    </sheetView>
  </sheetViews>
  <sheetFormatPr defaultRowHeight="15" x14ac:dyDescent="0.25"/>
  <cols>
    <col min="1" max="1" width="28" bestFit="1" customWidth="1"/>
    <col min="2" max="2" width="14.42578125" bestFit="1" customWidth="1"/>
    <col min="3" max="9" width="11" bestFit="1" customWidth="1"/>
    <col min="10" max="10" width="12" customWidth="1"/>
    <col min="11" max="11" width="9.140625" customWidth="1"/>
    <col min="12" max="12" width="10.140625" customWidth="1"/>
    <col min="13" max="13" width="9.85546875" customWidth="1"/>
    <col min="14" max="14" width="12" customWidth="1"/>
    <col min="15" max="15" width="9.140625" customWidth="1"/>
    <col min="16" max="16" width="10.140625" customWidth="1"/>
    <col min="17" max="17" width="9.85546875" customWidth="1"/>
    <col min="18" max="18" width="12" customWidth="1"/>
    <col min="19" max="19" width="9.140625" customWidth="1"/>
    <col min="20" max="20" width="10.140625" customWidth="1"/>
    <col min="21" max="21" width="9.85546875" customWidth="1"/>
    <col min="22" max="22" width="12" customWidth="1"/>
    <col min="23" max="23" width="9.140625" customWidth="1"/>
    <col min="24" max="24" width="10.140625" customWidth="1"/>
    <col min="25" max="25" width="9.85546875" customWidth="1"/>
    <col min="26" max="26" width="12" customWidth="1"/>
    <col min="27" max="27" width="9.5703125" customWidth="1"/>
    <col min="28" max="28" width="9.140625" customWidth="1"/>
    <col min="29" max="29" width="10.140625" customWidth="1"/>
    <col min="30" max="30" width="9.85546875" customWidth="1"/>
    <col min="31" max="31" width="12" customWidth="1"/>
    <col min="32" max="32" width="9.5703125" customWidth="1"/>
    <col min="33" max="33" width="9.140625" customWidth="1"/>
    <col min="34" max="34" width="10.140625" customWidth="1"/>
    <col min="35" max="35" width="9.85546875" customWidth="1"/>
    <col min="36" max="36" width="12" customWidth="1"/>
    <col min="37" max="37" width="9.5703125" customWidth="1"/>
    <col min="38" max="38" width="9.140625" customWidth="1"/>
    <col min="39" max="39" width="10.140625" bestFit="1" customWidth="1"/>
    <col min="40" max="40" width="9.85546875" customWidth="1"/>
    <col min="41" max="41" width="12" customWidth="1"/>
    <col min="42" max="42" width="9.5703125" customWidth="1"/>
    <col min="43" max="43" width="9.140625" customWidth="1"/>
    <col min="44" max="44" width="10.140625" customWidth="1"/>
    <col min="45" max="45" width="9.85546875" customWidth="1"/>
    <col min="46" max="46" width="12" customWidth="1"/>
    <col min="47" max="47" width="10.140625" customWidth="1"/>
    <col min="48" max="48" width="10" customWidth="1"/>
    <col min="49" max="49" width="9" customWidth="1"/>
    <col min="50" max="50" width="12" customWidth="1"/>
    <col min="51" max="51" width="11" bestFit="1" customWidth="1"/>
    <col min="52" max="52" width="12" bestFit="1" customWidth="1"/>
    <col min="53" max="54" width="11" customWidth="1"/>
    <col min="55" max="55" width="10.140625" customWidth="1"/>
    <col min="56" max="56" width="10" customWidth="1"/>
    <col min="57" max="57" width="9" customWidth="1"/>
    <col min="58" max="59" width="11" bestFit="1" customWidth="1"/>
    <col min="60" max="60" width="9" customWidth="1"/>
    <col min="61" max="61" width="9.5703125" customWidth="1"/>
    <col min="62" max="62" width="9.140625" customWidth="1"/>
    <col min="63" max="63" width="10.140625" customWidth="1"/>
    <col min="64" max="64" width="10" customWidth="1"/>
    <col min="65" max="65" width="9" customWidth="1"/>
    <col min="66" max="67" width="12" bestFit="1" customWidth="1"/>
    <col min="68" max="68" width="11" bestFit="1" customWidth="1"/>
    <col min="69" max="69" width="10.140625" bestFit="1" customWidth="1"/>
    <col min="70" max="70" width="16.85546875" bestFit="1" customWidth="1"/>
    <col min="71" max="72" width="10" bestFit="1" customWidth="1"/>
    <col min="73" max="73" width="21.7109375" bestFit="1" customWidth="1"/>
    <col min="74" max="74" width="12" bestFit="1" customWidth="1"/>
    <col min="75" max="75" width="11" bestFit="1" customWidth="1"/>
    <col min="76" max="76" width="12" bestFit="1" customWidth="1"/>
    <col min="77" max="78" width="11" bestFit="1" customWidth="1"/>
    <col min="79" max="79" width="10" bestFit="1" customWidth="1"/>
    <col min="80" max="80" width="10.140625" bestFit="1" customWidth="1"/>
    <col min="81" max="81" width="16.85546875" bestFit="1" customWidth="1"/>
    <col min="82" max="82" width="10" bestFit="1" customWidth="1"/>
    <col min="83" max="83" width="9" bestFit="1" customWidth="1"/>
    <col min="84" max="84" width="21.7109375" bestFit="1" customWidth="1"/>
    <col min="85" max="86" width="12" bestFit="1" customWidth="1"/>
  </cols>
  <sheetData>
    <row r="1" spans="1:10" x14ac:dyDescent="0.25">
      <c r="A1" s="98" t="s">
        <v>1395</v>
      </c>
      <c r="B1" s="99" t="s">
        <v>1405</v>
      </c>
    </row>
    <row r="3" spans="1:10" x14ac:dyDescent="0.25">
      <c r="A3" s="98" t="s">
        <v>1414</v>
      </c>
      <c r="B3" s="98" t="s">
        <v>1365</v>
      </c>
      <c r="C3" s="99"/>
      <c r="D3" s="99"/>
      <c r="E3" s="99"/>
      <c r="F3" s="99"/>
      <c r="G3" s="99"/>
      <c r="H3" s="99"/>
      <c r="I3" s="99"/>
      <c r="J3" s="99"/>
    </row>
    <row r="4" spans="1:10" x14ac:dyDescent="0.25">
      <c r="A4" s="99"/>
      <c r="B4" s="99">
        <v>2008</v>
      </c>
      <c r="C4" s="99">
        <v>2009</v>
      </c>
      <c r="D4" s="99">
        <v>2010</v>
      </c>
      <c r="E4" s="99">
        <v>2011</v>
      </c>
      <c r="F4" s="99">
        <v>2012</v>
      </c>
      <c r="G4" s="99">
        <v>2013</v>
      </c>
      <c r="H4" s="99">
        <v>2014</v>
      </c>
      <c r="I4" s="99">
        <v>2015</v>
      </c>
      <c r="J4" s="99" t="s">
        <v>1364</v>
      </c>
    </row>
    <row r="5" spans="1:10" x14ac:dyDescent="0.25">
      <c r="A5" s="98" t="s">
        <v>1363</v>
      </c>
      <c r="B5" s="99"/>
      <c r="C5" s="99"/>
      <c r="D5" s="99"/>
      <c r="E5" s="99"/>
      <c r="F5" s="99"/>
      <c r="G5" s="99"/>
      <c r="H5" s="99"/>
      <c r="I5" s="99"/>
      <c r="J5" s="99"/>
    </row>
    <row r="6" spans="1:10" x14ac:dyDescent="0.25">
      <c r="A6" s="100" t="s">
        <v>24</v>
      </c>
      <c r="B6" s="105">
        <v>713212.73</v>
      </c>
      <c r="C6" s="105">
        <v>557438.66999999993</v>
      </c>
      <c r="D6" s="105">
        <v>661382.62</v>
      </c>
      <c r="E6" s="105">
        <v>640304.55999999994</v>
      </c>
      <c r="F6" s="105">
        <v>653291.24999999988</v>
      </c>
      <c r="G6" s="105">
        <v>623081.38</v>
      </c>
      <c r="H6" s="105">
        <v>561892.96</v>
      </c>
      <c r="I6" s="105">
        <v>485387</v>
      </c>
      <c r="J6" s="105">
        <v>4895991.17</v>
      </c>
    </row>
    <row r="7" spans="1:10" x14ac:dyDescent="0.25">
      <c r="A7" s="100" t="s">
        <v>26</v>
      </c>
      <c r="B7" s="105">
        <v>1115139.8699999999</v>
      </c>
      <c r="C7" s="105">
        <v>1102111.95</v>
      </c>
      <c r="D7" s="105">
        <v>977319.5</v>
      </c>
      <c r="E7" s="105">
        <v>890808.03</v>
      </c>
      <c r="F7" s="105">
        <v>987502.37</v>
      </c>
      <c r="G7" s="105">
        <v>983145.11</v>
      </c>
      <c r="H7" s="105">
        <v>959854.26000000013</v>
      </c>
      <c r="I7" s="105">
        <v>921510</v>
      </c>
      <c r="J7" s="105">
        <v>7937391.0899999999</v>
      </c>
    </row>
    <row r="8" spans="1:10" x14ac:dyDescent="0.25">
      <c r="A8" s="100" t="s">
        <v>27</v>
      </c>
      <c r="B8" s="105">
        <v>2803059.7600000002</v>
      </c>
      <c r="C8" s="105">
        <v>3118437.91</v>
      </c>
      <c r="D8" s="105">
        <v>2753183.0599999996</v>
      </c>
      <c r="E8" s="105">
        <v>2711649.58</v>
      </c>
      <c r="F8" s="105">
        <v>2667248.4400000004</v>
      </c>
      <c r="G8" s="105">
        <v>2638099.9500000002</v>
      </c>
      <c r="H8" s="105">
        <v>2316005.8299999996</v>
      </c>
      <c r="I8" s="105">
        <v>2278525</v>
      </c>
      <c r="J8" s="105">
        <v>21286209.529999997</v>
      </c>
    </row>
    <row r="9" spans="1:10" x14ac:dyDescent="0.25">
      <c r="A9" s="100" t="s">
        <v>28</v>
      </c>
      <c r="B9" s="105">
        <v>63336.47</v>
      </c>
      <c r="C9" s="105">
        <v>57542.94</v>
      </c>
      <c r="D9" s="105">
        <v>87398</v>
      </c>
      <c r="E9" s="105">
        <v>42271.21</v>
      </c>
      <c r="F9" s="105">
        <v>34908.649999999994</v>
      </c>
      <c r="G9" s="105">
        <v>35113.360000000001</v>
      </c>
      <c r="H9" s="105">
        <v>86832.55</v>
      </c>
      <c r="I9" s="105">
        <v>480324</v>
      </c>
      <c r="J9" s="105">
        <v>887727.17999999993</v>
      </c>
    </row>
    <row r="10" spans="1:10" x14ac:dyDescent="0.25">
      <c r="A10" s="100" t="s">
        <v>29</v>
      </c>
      <c r="B10" s="105">
        <v>422577.74000000005</v>
      </c>
      <c r="C10" s="105">
        <v>451819.07</v>
      </c>
      <c r="D10" s="105">
        <v>451500.41000000003</v>
      </c>
      <c r="E10" s="105">
        <v>356765.48000000004</v>
      </c>
      <c r="F10" s="105">
        <v>363078.39</v>
      </c>
      <c r="G10" s="105">
        <v>326862.69</v>
      </c>
      <c r="H10" s="105">
        <v>308666.18</v>
      </c>
      <c r="I10" s="105">
        <v>313090</v>
      </c>
      <c r="J10" s="105">
        <v>2994359.9600000004</v>
      </c>
    </row>
    <row r="11" spans="1:10" x14ac:dyDescent="0.25">
      <c r="A11" s="100" t="s">
        <v>30</v>
      </c>
      <c r="B11" s="105">
        <v>612230.3899999999</v>
      </c>
      <c r="C11" s="105">
        <v>675695.01</v>
      </c>
      <c r="D11" s="105">
        <v>653029.17000000004</v>
      </c>
      <c r="E11" s="105">
        <v>702764.16</v>
      </c>
      <c r="F11" s="105">
        <v>654692.89</v>
      </c>
      <c r="G11" s="105">
        <v>587293.91</v>
      </c>
      <c r="H11" s="105">
        <v>548354.46000000008</v>
      </c>
      <c r="I11" s="105">
        <v>557496</v>
      </c>
      <c r="J11" s="105">
        <v>4991555.99</v>
      </c>
    </row>
    <row r="12" spans="1:10" x14ac:dyDescent="0.25">
      <c r="A12" s="100" t="s">
        <v>31</v>
      </c>
      <c r="B12" s="105">
        <v>1601215.18</v>
      </c>
      <c r="C12" s="105">
        <v>1657662.73</v>
      </c>
      <c r="D12" s="105">
        <v>1638070.43</v>
      </c>
      <c r="E12" s="105">
        <v>1520008.97</v>
      </c>
      <c r="F12" s="105">
        <v>1418060.19</v>
      </c>
      <c r="G12" s="105">
        <v>1325210.4100000001</v>
      </c>
      <c r="H12" s="105">
        <v>1192713.5899999999</v>
      </c>
      <c r="I12" s="105">
        <v>1215195</v>
      </c>
      <c r="J12" s="105">
        <v>11568136.5</v>
      </c>
    </row>
    <row r="13" spans="1:10" x14ac:dyDescent="0.25">
      <c r="A13" s="100" t="s">
        <v>32</v>
      </c>
      <c r="B13" s="105">
        <v>1020681.51</v>
      </c>
      <c r="C13" s="105">
        <v>1213248.6599999999</v>
      </c>
      <c r="D13" s="105">
        <v>1114733.3699999999</v>
      </c>
      <c r="E13" s="105">
        <v>971233.95999999985</v>
      </c>
      <c r="F13" s="105">
        <v>945092.32</v>
      </c>
      <c r="G13" s="105">
        <v>940580.92000000016</v>
      </c>
      <c r="H13" s="105">
        <v>849835.51000000024</v>
      </c>
      <c r="I13" s="105">
        <v>313219</v>
      </c>
      <c r="J13" s="105">
        <v>7368625.25</v>
      </c>
    </row>
    <row r="14" spans="1:10" x14ac:dyDescent="0.25">
      <c r="A14" s="100" t="s">
        <v>33</v>
      </c>
      <c r="B14" s="105">
        <v>1497494.4100000001</v>
      </c>
      <c r="C14" s="105">
        <v>1486939.8800000001</v>
      </c>
      <c r="D14" s="105">
        <v>1414365.66</v>
      </c>
      <c r="E14" s="105">
        <v>1511542.73</v>
      </c>
      <c r="F14" s="105">
        <v>1439108.15</v>
      </c>
      <c r="G14" s="105">
        <v>1361282.92</v>
      </c>
      <c r="H14" s="105">
        <v>1483546.1800000002</v>
      </c>
      <c r="I14" s="105">
        <v>1429204</v>
      </c>
      <c r="J14" s="105">
        <v>11623483.93</v>
      </c>
    </row>
    <row r="15" spans="1:10" x14ac:dyDescent="0.25">
      <c r="A15" s="100" t="s">
        <v>34</v>
      </c>
      <c r="B15" s="105">
        <v>204396.85</v>
      </c>
      <c r="C15" s="105">
        <v>217102.38</v>
      </c>
      <c r="D15" s="105">
        <v>238784.58000000002</v>
      </c>
      <c r="E15" s="105">
        <v>229724.46999999997</v>
      </c>
      <c r="F15" s="105">
        <v>234466.96</v>
      </c>
      <c r="G15" s="105">
        <v>223319.82</v>
      </c>
      <c r="H15" s="105">
        <v>190430.22</v>
      </c>
      <c r="I15" s="105">
        <v>221437</v>
      </c>
      <c r="J15" s="105">
        <v>1759662.28</v>
      </c>
    </row>
    <row r="16" spans="1:10" x14ac:dyDescent="0.25">
      <c r="A16" s="100" t="s">
        <v>35</v>
      </c>
      <c r="B16" s="105">
        <v>421296.85999999993</v>
      </c>
      <c r="C16" s="105">
        <v>435644.58999999997</v>
      </c>
      <c r="D16" s="105">
        <v>373452.25999999995</v>
      </c>
      <c r="E16" s="105">
        <v>366558.47000000003</v>
      </c>
      <c r="F16" s="105">
        <v>397335.39</v>
      </c>
      <c r="G16" s="105">
        <v>397538.64</v>
      </c>
      <c r="H16" s="105">
        <v>405549.77999999991</v>
      </c>
      <c r="I16" s="105">
        <v>456314</v>
      </c>
      <c r="J16" s="105">
        <v>3253689.9899999998</v>
      </c>
    </row>
    <row r="17" spans="1:10" x14ac:dyDescent="0.25">
      <c r="A17" s="100" t="s">
        <v>36</v>
      </c>
      <c r="B17" s="105">
        <v>1190167.1100000001</v>
      </c>
      <c r="C17" s="105">
        <v>1417534.0299999998</v>
      </c>
      <c r="D17" s="105">
        <v>1159125.8999999999</v>
      </c>
      <c r="E17" s="105">
        <v>1146378.8399999999</v>
      </c>
      <c r="F17" s="105">
        <v>1020540.51</v>
      </c>
      <c r="G17" s="105">
        <v>1041650.68</v>
      </c>
      <c r="H17" s="105">
        <v>1008292.8200000001</v>
      </c>
      <c r="I17" s="105">
        <v>695746</v>
      </c>
      <c r="J17" s="105">
        <v>8679435.8899999987</v>
      </c>
    </row>
    <row r="18" spans="1:10" x14ac:dyDescent="0.25">
      <c r="A18" s="100" t="s">
        <v>37</v>
      </c>
      <c r="B18" s="105">
        <v>9563662.4500000011</v>
      </c>
      <c r="C18" s="105">
        <v>9845092.0899999999</v>
      </c>
      <c r="D18" s="105">
        <v>10227671.08</v>
      </c>
      <c r="E18" s="105">
        <v>9469222.2100000009</v>
      </c>
      <c r="F18" s="105">
        <v>8728525.8800000008</v>
      </c>
      <c r="G18" s="105">
        <v>8033928.209999999</v>
      </c>
      <c r="H18" s="105">
        <v>8212201.7000000002</v>
      </c>
      <c r="I18" s="105">
        <v>7580340.1399999997</v>
      </c>
      <c r="J18" s="105">
        <v>71660643.760000005</v>
      </c>
    </row>
    <row r="19" spans="1:10" x14ac:dyDescent="0.25">
      <c r="A19" s="100" t="s">
        <v>38</v>
      </c>
      <c r="B19" s="105">
        <v>62982.630000000005</v>
      </c>
      <c r="C19" s="105">
        <v>68143.360000000001</v>
      </c>
      <c r="D19" s="105">
        <v>53222.27</v>
      </c>
      <c r="E19" s="105">
        <v>89558.68</v>
      </c>
      <c r="F19" s="105">
        <v>95563.47</v>
      </c>
      <c r="G19" s="105">
        <v>73761.679999999993</v>
      </c>
      <c r="H19" s="105">
        <v>44724.840000000004</v>
      </c>
      <c r="I19" s="105">
        <v>45527</v>
      </c>
      <c r="J19" s="105">
        <v>533483.92999999993</v>
      </c>
    </row>
    <row r="20" spans="1:10" x14ac:dyDescent="0.25">
      <c r="A20" s="100" t="s">
        <v>39</v>
      </c>
      <c r="B20" s="105">
        <v>2794298.6500000004</v>
      </c>
      <c r="C20" s="105">
        <v>2765791.73</v>
      </c>
      <c r="D20" s="105">
        <v>2679862.92</v>
      </c>
      <c r="E20" s="105">
        <v>2824499.4299999997</v>
      </c>
      <c r="F20" s="105">
        <v>3000891.67</v>
      </c>
      <c r="G20" s="105">
        <v>2916685.55</v>
      </c>
      <c r="H20" s="105">
        <v>2942599.51</v>
      </c>
      <c r="I20" s="105">
        <v>3023438</v>
      </c>
      <c r="J20" s="105">
        <v>22948067.460000001</v>
      </c>
    </row>
    <row r="21" spans="1:10" x14ac:dyDescent="0.25">
      <c r="A21" s="100" t="s">
        <v>40</v>
      </c>
      <c r="B21" s="105">
        <v>301897.73</v>
      </c>
      <c r="C21" s="105">
        <v>281820.25</v>
      </c>
      <c r="D21" s="105">
        <v>309620.09999999998</v>
      </c>
      <c r="E21" s="105">
        <v>315405.76</v>
      </c>
      <c r="F21" s="105">
        <v>318429.57</v>
      </c>
      <c r="G21" s="105">
        <v>359760.67</v>
      </c>
      <c r="H21" s="105">
        <v>247667.78</v>
      </c>
      <c r="I21" s="105">
        <v>268387</v>
      </c>
      <c r="J21" s="105">
        <v>2402988.86</v>
      </c>
    </row>
    <row r="22" spans="1:10" x14ac:dyDescent="0.25">
      <c r="A22" s="101" t="s">
        <v>213</v>
      </c>
      <c r="B22" s="105">
        <v>301897.73</v>
      </c>
      <c r="C22" s="105">
        <v>281820.25</v>
      </c>
      <c r="D22" s="105">
        <v>309620.09999999998</v>
      </c>
      <c r="E22" s="105">
        <v>315405.76</v>
      </c>
      <c r="F22" s="105">
        <v>318429.57</v>
      </c>
      <c r="G22" s="105">
        <v>359760.67</v>
      </c>
      <c r="H22" s="105">
        <v>247667.78</v>
      </c>
      <c r="I22" s="105">
        <v>268387</v>
      </c>
      <c r="J22" s="105">
        <v>2402988.86</v>
      </c>
    </row>
    <row r="23" spans="1:10" x14ac:dyDescent="0.25">
      <c r="A23" s="100" t="s">
        <v>1364</v>
      </c>
      <c r="B23" s="105">
        <v>24387650.34</v>
      </c>
      <c r="C23" s="105">
        <v>25352025.250000004</v>
      </c>
      <c r="D23" s="105">
        <v>24792721.329999998</v>
      </c>
      <c r="E23" s="105">
        <v>23788696.540000003</v>
      </c>
      <c r="F23" s="105">
        <v>22958736.100000001</v>
      </c>
      <c r="G23" s="105">
        <v>21867315.900000002</v>
      </c>
      <c r="H23" s="105">
        <v>21359168.170000002</v>
      </c>
      <c r="I23" s="105">
        <v>20285139.140000001</v>
      </c>
      <c r="J23" s="105">
        <v>184791452.77000001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topLeftCell="A25" workbookViewId="0">
      <selection activeCell="O66" sqref="O66"/>
    </sheetView>
  </sheetViews>
  <sheetFormatPr defaultRowHeight="15" x14ac:dyDescent="0.25"/>
  <cols>
    <col min="1" max="1" width="5.5703125" style="120" bestFit="1" customWidth="1"/>
    <col min="2" max="3" width="10.5703125" style="120" bestFit="1" customWidth="1"/>
    <col min="4" max="4" width="15.42578125" style="120" bestFit="1" customWidth="1"/>
    <col min="5" max="5" width="12.7109375" style="120" bestFit="1" customWidth="1"/>
    <col min="6" max="6" width="9.85546875" style="120" bestFit="1" customWidth="1"/>
    <col min="7" max="7" width="15.7109375" style="120" bestFit="1" customWidth="1"/>
    <col min="8" max="8" width="9.140625" style="120"/>
    <col min="9" max="9" width="41.7109375" style="120" bestFit="1" customWidth="1"/>
    <col min="10" max="10" width="13" style="120" customWidth="1"/>
    <col min="11" max="11" width="15.42578125" style="120" bestFit="1" customWidth="1"/>
    <col min="12" max="12" width="15.140625" style="120" bestFit="1" customWidth="1"/>
    <col min="13" max="13" width="15.42578125" style="120" bestFit="1" customWidth="1"/>
    <col min="14" max="14" width="15.140625" style="120" bestFit="1" customWidth="1"/>
    <col min="15" max="15" width="15.42578125" style="120" bestFit="1" customWidth="1"/>
    <col min="16" max="16" width="11.140625" style="120" bestFit="1" customWidth="1"/>
    <col min="17" max="17" width="30.85546875" style="120" bestFit="1" customWidth="1"/>
    <col min="18" max="23" width="15.42578125" style="120" bestFit="1" customWidth="1"/>
    <col min="24" max="16384" width="9.140625" style="120"/>
  </cols>
  <sheetData>
    <row r="1" spans="1:23" ht="18.75" x14ac:dyDescent="0.3">
      <c r="A1" s="293" t="s">
        <v>1506</v>
      </c>
      <c r="B1" s="294"/>
      <c r="C1" s="294"/>
      <c r="D1" s="294"/>
      <c r="E1" s="294"/>
      <c r="F1" s="294"/>
      <c r="G1" s="295"/>
      <c r="I1" s="287" t="s">
        <v>1517</v>
      </c>
      <c r="J1" s="287"/>
      <c r="K1" s="287"/>
      <c r="L1" s="287"/>
      <c r="M1" s="287"/>
      <c r="N1" s="287"/>
      <c r="O1" s="287"/>
      <c r="Q1" s="168"/>
      <c r="R1" s="283" t="s">
        <v>1518</v>
      </c>
      <c r="S1" s="283"/>
      <c r="T1" s="283"/>
      <c r="U1" s="283" t="s">
        <v>1516</v>
      </c>
      <c r="V1" s="283"/>
      <c r="W1" s="283"/>
    </row>
    <row r="2" spans="1:23" x14ac:dyDescent="0.25">
      <c r="A2" s="179" t="s">
        <v>1512</v>
      </c>
      <c r="B2" s="132" t="s">
        <v>1505</v>
      </c>
      <c r="C2" s="132"/>
      <c r="D2" s="132" t="s">
        <v>1509</v>
      </c>
      <c r="E2" s="132" t="s">
        <v>1504</v>
      </c>
      <c r="F2" s="132"/>
      <c r="G2" s="166" t="s">
        <v>1510</v>
      </c>
      <c r="I2" s="168"/>
      <c r="J2" s="286">
        <v>2013</v>
      </c>
      <c r="K2" s="286"/>
      <c r="L2" s="285">
        <v>2014</v>
      </c>
      <c r="M2" s="285"/>
      <c r="N2" s="285">
        <v>2015</v>
      </c>
      <c r="O2" s="285"/>
      <c r="Q2" s="168"/>
      <c r="R2" s="172">
        <v>2013</v>
      </c>
      <c r="S2" s="172">
        <v>2014</v>
      </c>
      <c r="T2" s="176">
        <v>2015</v>
      </c>
      <c r="U2" s="172">
        <v>2013</v>
      </c>
      <c r="V2" s="172">
        <v>2014</v>
      </c>
      <c r="W2" s="172">
        <v>2015</v>
      </c>
    </row>
    <row r="3" spans="1:23" x14ac:dyDescent="0.25">
      <c r="A3" s="179">
        <v>2013</v>
      </c>
      <c r="B3" s="157">
        <f>6651246/1000</f>
        <v>6651.2460000000001</v>
      </c>
      <c r="C3" s="67" t="s">
        <v>1511</v>
      </c>
      <c r="D3" s="152">
        <f>B3*D17</f>
        <v>4157028.75</v>
      </c>
      <c r="E3" s="67">
        <f>8414992/1000</f>
        <v>8414.9920000000002</v>
      </c>
      <c r="F3" s="67" t="s">
        <v>1511</v>
      </c>
      <c r="G3" s="153">
        <f>E3*E17</f>
        <v>4253105.2566400003</v>
      </c>
      <c r="I3" s="168"/>
      <c r="J3" s="186" t="s">
        <v>1505</v>
      </c>
      <c r="K3" s="253" t="s">
        <v>1504</v>
      </c>
      <c r="L3" s="186" t="s">
        <v>1505</v>
      </c>
      <c r="M3" s="253" t="s">
        <v>1504</v>
      </c>
      <c r="N3" s="186" t="s">
        <v>1505</v>
      </c>
      <c r="O3" s="186" t="s">
        <v>1504</v>
      </c>
      <c r="Q3" s="169" t="s">
        <v>26</v>
      </c>
      <c r="R3" s="173">
        <v>299287.95</v>
      </c>
      <c r="S3" s="173">
        <v>129746.79</v>
      </c>
      <c r="T3" s="174">
        <v>0</v>
      </c>
      <c r="U3" s="175">
        <f t="shared" ref="U3:U13" si="0">(R3*$T$15)*$F$17</f>
        <v>176307.81054545456</v>
      </c>
      <c r="V3" s="175">
        <f t="shared" ref="V3:V13" si="1">(S3*$T$15)*$F$18</f>
        <v>77022.412609090912</v>
      </c>
      <c r="W3" s="175">
        <f t="shared" ref="W3:W13" si="2">(T3*$T$15)*$F$19</f>
        <v>0</v>
      </c>
    </row>
    <row r="4" spans="1:23" x14ac:dyDescent="0.25">
      <c r="A4" s="179">
        <v>2014</v>
      </c>
      <c r="B4" s="157">
        <f>6937505/1000</f>
        <v>6937.5050000000001</v>
      </c>
      <c r="C4" s="67" t="s">
        <v>1511</v>
      </c>
      <c r="D4" s="152">
        <f>B4*D18</f>
        <v>3742228.9471</v>
      </c>
      <c r="E4" s="67">
        <f>8214293/1000</f>
        <v>8214.2929999999997</v>
      </c>
      <c r="F4" s="67" t="s">
        <v>1511</v>
      </c>
      <c r="G4" s="153">
        <f>E4*E18</f>
        <v>4271432.3599999994</v>
      </c>
      <c r="I4" s="169" t="s">
        <v>24</v>
      </c>
      <c r="J4" s="240">
        <f>(SUM(J5:J6)*D17)/1000</f>
        <v>304767.41875000001</v>
      </c>
      <c r="K4" s="254">
        <f>(SUM(K5:K6)*E17)/1000</f>
        <v>68460.91302420001</v>
      </c>
      <c r="L4" s="240">
        <f>(SUM(L5:L6)*D18)/1000</f>
        <v>223401.20295919999</v>
      </c>
      <c r="M4" s="254">
        <f>(SUM(M5:M6)*E18)/1000</f>
        <v>76825.944000000003</v>
      </c>
      <c r="N4" s="240">
        <f>(SUM(N5:N6)*D19)/1000</f>
        <v>141350.62</v>
      </c>
      <c r="O4" s="240">
        <f>(SUM(O5:O6)*E19)/1000</f>
        <v>79626.431249999994</v>
      </c>
      <c r="Q4" s="169" t="s">
        <v>27</v>
      </c>
      <c r="R4" s="173">
        <v>1236330.99</v>
      </c>
      <c r="S4" s="173">
        <v>937984.48</v>
      </c>
      <c r="T4" s="174">
        <v>858666</v>
      </c>
      <c r="U4" s="175">
        <f t="shared" si="0"/>
        <v>728311.34683636366</v>
      </c>
      <c r="V4" s="175">
        <f t="shared" si="1"/>
        <v>556821.69585454545</v>
      </c>
      <c r="W4" s="175">
        <f t="shared" si="2"/>
        <v>446506.32</v>
      </c>
    </row>
    <row r="5" spans="1:23" ht="15.75" thickBot="1" x14ac:dyDescent="0.3">
      <c r="A5" s="180">
        <v>2015</v>
      </c>
      <c r="B5" s="158">
        <f>6519875/1000</f>
        <v>6519.875</v>
      </c>
      <c r="C5" s="154" t="s">
        <v>1511</v>
      </c>
      <c r="D5" s="155">
        <f>B5*D19</f>
        <v>3064341.25</v>
      </c>
      <c r="E5" s="154">
        <f>8219416/1000</f>
        <v>8219.4159999999993</v>
      </c>
      <c r="F5" s="154" t="s">
        <v>1511</v>
      </c>
      <c r="G5" s="156">
        <f>E5*E19</f>
        <v>3544623.15</v>
      </c>
      <c r="I5" s="170" t="s">
        <v>98</v>
      </c>
      <c r="J5" s="171">
        <v>487627.87</v>
      </c>
      <c r="K5" s="255"/>
      <c r="L5" s="171">
        <v>414150.76</v>
      </c>
      <c r="M5" s="255"/>
      <c r="N5" s="171">
        <v>300746</v>
      </c>
      <c r="O5" s="142"/>
      <c r="Q5" s="169" t="s">
        <v>28</v>
      </c>
      <c r="R5" s="173">
        <v>35113.360000000001</v>
      </c>
      <c r="S5" s="173">
        <v>13647.08</v>
      </c>
      <c r="T5" s="174">
        <v>403755</v>
      </c>
      <c r="U5" s="175">
        <f t="shared" si="0"/>
        <v>20684.961163636366</v>
      </c>
      <c r="V5" s="175">
        <f t="shared" si="1"/>
        <v>8101.4029454545462</v>
      </c>
      <c r="W5" s="175">
        <f t="shared" si="2"/>
        <v>209952.59999999998</v>
      </c>
    </row>
    <row r="6" spans="1:23" ht="15.75" thickBot="1" x14ac:dyDescent="0.3">
      <c r="I6" s="170" t="s">
        <v>99</v>
      </c>
      <c r="J6" s="142"/>
      <c r="K6" s="256">
        <v>135453.51</v>
      </c>
      <c r="L6" s="142"/>
      <c r="M6" s="256">
        <v>147742.20000000001</v>
      </c>
      <c r="N6" s="142"/>
      <c r="O6" s="171">
        <v>184641</v>
      </c>
      <c r="Q6" s="169" t="s">
        <v>29</v>
      </c>
      <c r="R6" s="173">
        <v>227164.99</v>
      </c>
      <c r="S6" s="173">
        <v>219821.06</v>
      </c>
      <c r="T6" s="174">
        <v>218110</v>
      </c>
      <c r="U6" s="175">
        <f t="shared" si="0"/>
        <v>133820.83047272728</v>
      </c>
      <c r="V6" s="175">
        <f t="shared" si="1"/>
        <v>130493.77470909091</v>
      </c>
      <c r="W6" s="175">
        <f t="shared" si="2"/>
        <v>113417.20000000001</v>
      </c>
    </row>
    <row r="7" spans="1:23" x14ac:dyDescent="0.25">
      <c r="A7" s="290" t="s">
        <v>1415</v>
      </c>
      <c r="B7" s="291"/>
      <c r="C7" s="291"/>
      <c r="D7" s="291"/>
      <c r="E7" s="292"/>
      <c r="I7" s="169" t="s">
        <v>26</v>
      </c>
      <c r="J7" s="240">
        <f>(SUM(J8:J9)*D17)/1000</f>
        <v>427410.72499999998</v>
      </c>
      <c r="K7" s="254">
        <f>(SUM(K8:K9)*E17)/1000</f>
        <v>0</v>
      </c>
      <c r="L7" s="240">
        <f>(SUM(L8:L9)*D18)/1000</f>
        <v>400961.2806234</v>
      </c>
      <c r="M7" s="254">
        <f>(SUM(M8:M9)*E18)/1000</f>
        <v>45129.864000000009</v>
      </c>
      <c r="N7" s="240">
        <f>(SUM(N8:N9)*D19)/1000</f>
        <v>329720.51</v>
      </c>
      <c r="O7" s="240">
        <f>(SUM(O8:O9)*E19)/1000</f>
        <v>94865.081250000003</v>
      </c>
      <c r="Q7" s="169" t="s">
        <v>30</v>
      </c>
      <c r="R7" s="173">
        <v>275336.01</v>
      </c>
      <c r="S7" s="173">
        <v>266806.75</v>
      </c>
      <c r="T7" s="174">
        <v>282228</v>
      </c>
      <c r="U7" s="175">
        <f t="shared" si="0"/>
        <v>162197.94043636366</v>
      </c>
      <c r="V7" s="175">
        <f t="shared" si="1"/>
        <v>158386.18886363637</v>
      </c>
      <c r="W7" s="175">
        <f t="shared" si="2"/>
        <v>146758.56</v>
      </c>
    </row>
    <row r="8" spans="1:23" x14ac:dyDescent="0.25">
      <c r="A8" s="177" t="s">
        <v>1512</v>
      </c>
      <c r="B8" s="140" t="s">
        <v>1513</v>
      </c>
      <c r="C8" s="140" t="s">
        <v>1514</v>
      </c>
      <c r="D8" s="140" t="s">
        <v>1515</v>
      </c>
      <c r="E8" s="167" t="s">
        <v>1516</v>
      </c>
      <c r="I8" s="170" t="s">
        <v>106</v>
      </c>
      <c r="J8" s="171">
        <v>683857.16</v>
      </c>
      <c r="K8" s="255"/>
      <c r="L8" s="171">
        <v>743319.27</v>
      </c>
      <c r="M8" s="255"/>
      <c r="N8" s="171">
        <v>701533</v>
      </c>
      <c r="O8" s="142"/>
      <c r="Q8" s="169" t="s">
        <v>32</v>
      </c>
      <c r="R8" s="173">
        <v>571065.53</v>
      </c>
      <c r="S8" s="173">
        <v>507881.69000000006</v>
      </c>
      <c r="T8" s="174">
        <v>246356</v>
      </c>
      <c r="U8" s="175">
        <f t="shared" si="0"/>
        <v>336409.51221818186</v>
      </c>
      <c r="V8" s="175">
        <f t="shared" si="1"/>
        <v>301497.03960909101</v>
      </c>
      <c r="W8" s="175">
        <f t="shared" si="2"/>
        <v>128105.12</v>
      </c>
    </row>
    <row r="9" spans="1:23" x14ac:dyDescent="0.25">
      <c r="A9" s="177">
        <v>2013</v>
      </c>
      <c r="B9" s="159">
        <v>6039018</v>
      </c>
      <c r="C9" s="110">
        <v>9.0999999999999998E-2</v>
      </c>
      <c r="D9" s="160">
        <f>C9*B9</f>
        <v>549550.63800000004</v>
      </c>
      <c r="E9" s="161">
        <f>D9*F17</f>
        <v>3561088.1342400005</v>
      </c>
      <c r="I9" s="170" t="s">
        <v>107</v>
      </c>
      <c r="J9" s="171"/>
      <c r="K9" s="255"/>
      <c r="L9" s="142"/>
      <c r="M9" s="256">
        <v>86788.200000000012</v>
      </c>
      <c r="N9" s="142"/>
      <c r="O9" s="171">
        <v>219977</v>
      </c>
      <c r="Q9" s="169" t="s">
        <v>34</v>
      </c>
      <c r="R9" s="173">
        <v>129958.82</v>
      </c>
      <c r="S9" s="173">
        <v>114985.22</v>
      </c>
      <c r="T9" s="174">
        <v>117071</v>
      </c>
      <c r="U9" s="175">
        <f t="shared" si="0"/>
        <v>76557.559418181831</v>
      </c>
      <c r="V9" s="175">
        <f t="shared" si="1"/>
        <v>68259.407872727272</v>
      </c>
      <c r="W9" s="175">
        <f t="shared" si="2"/>
        <v>60876.92</v>
      </c>
    </row>
    <row r="10" spans="1:23" x14ac:dyDescent="0.25">
      <c r="A10" s="177">
        <v>2014</v>
      </c>
      <c r="B10" s="159">
        <v>5453939</v>
      </c>
      <c r="C10" s="110">
        <v>9.0999999999999998E-2</v>
      </c>
      <c r="D10" s="160">
        <f>C10*B10</f>
        <v>496308.44899999996</v>
      </c>
      <c r="E10" s="161">
        <f>D10*F18</f>
        <v>3240894.17197</v>
      </c>
      <c r="I10" s="169" t="s">
        <v>27</v>
      </c>
      <c r="J10" s="240">
        <f>(SUM(J11:J27)*D17)/1000</f>
        <v>515832</v>
      </c>
      <c r="K10" s="254">
        <f>(SUM(K11:K27)*E17)/1000</f>
        <v>291343.17265920003</v>
      </c>
      <c r="L10" s="240">
        <f>(SUM(L11:L27)*D18)/1000</f>
        <v>437923.4771995999</v>
      </c>
      <c r="M10" s="254">
        <f>(SUM(M11:M27)*E18)/1000</f>
        <v>294413.58439999999</v>
      </c>
      <c r="N10" s="240">
        <f>(SUM(N11:N27)*D19)/1000</f>
        <v>393836.5</v>
      </c>
      <c r="O10" s="240">
        <f>(SUM(O11:O27)*E19)/1000</f>
        <v>250948.25625000001</v>
      </c>
      <c r="Q10" s="169" t="s">
        <v>35</v>
      </c>
      <c r="R10" s="173">
        <v>294201.3</v>
      </c>
      <c r="S10" s="173">
        <v>228570.7</v>
      </c>
      <c r="T10" s="174">
        <v>214865</v>
      </c>
      <c r="U10" s="175">
        <f t="shared" si="0"/>
        <v>173311.3112727273</v>
      </c>
      <c r="V10" s="175">
        <f t="shared" si="1"/>
        <v>135687.87918181819</v>
      </c>
      <c r="W10" s="175">
        <f t="shared" si="2"/>
        <v>111729.8</v>
      </c>
    </row>
    <row r="11" spans="1:23" ht="15.75" thickBot="1" x14ac:dyDescent="0.3">
      <c r="A11" s="178">
        <v>2015</v>
      </c>
      <c r="B11" s="162">
        <v>4913936</v>
      </c>
      <c r="C11" s="163">
        <v>9.0999999999999998E-2</v>
      </c>
      <c r="D11" s="164">
        <f>C11*B11</f>
        <v>447168.17599999998</v>
      </c>
      <c r="E11" s="165">
        <f>D11*F19</f>
        <v>2557801.9667199999</v>
      </c>
      <c r="I11" s="170" t="s">
        <v>256</v>
      </c>
      <c r="J11" s="171">
        <v>42755.66</v>
      </c>
      <c r="K11" s="255"/>
      <c r="L11" s="171">
        <v>39838.67</v>
      </c>
      <c r="M11" s="255"/>
      <c r="N11" s="171">
        <v>35282</v>
      </c>
      <c r="O11" s="142"/>
      <c r="Q11" s="169" t="s">
        <v>36</v>
      </c>
      <c r="R11" s="173">
        <v>650443.32000000007</v>
      </c>
      <c r="S11" s="173">
        <v>639312.84000000008</v>
      </c>
      <c r="T11" s="174">
        <v>328727</v>
      </c>
      <c r="U11" s="175">
        <f t="shared" si="0"/>
        <v>383170.24669090915</v>
      </c>
      <c r="V11" s="175">
        <f t="shared" si="1"/>
        <v>379519.34956363641</v>
      </c>
      <c r="W11" s="175">
        <f t="shared" si="2"/>
        <v>170938.04</v>
      </c>
    </row>
    <row r="12" spans="1:23" x14ac:dyDescent="0.25">
      <c r="I12" s="170" t="s">
        <v>110</v>
      </c>
      <c r="J12" s="142"/>
      <c r="K12" s="256">
        <v>66574.94</v>
      </c>
      <c r="L12" s="142"/>
      <c r="M12" s="256">
        <v>57460.4</v>
      </c>
      <c r="N12" s="142"/>
      <c r="O12" s="171">
        <v>62951</v>
      </c>
      <c r="Q12" s="169" t="s">
        <v>37</v>
      </c>
      <c r="R12" s="173">
        <v>2296275.4900000002</v>
      </c>
      <c r="S12" s="173">
        <v>2384530.21</v>
      </c>
      <c r="T12" s="174">
        <v>2233317</v>
      </c>
      <c r="U12" s="175">
        <f t="shared" si="0"/>
        <v>1352715.0159272728</v>
      </c>
      <c r="V12" s="175">
        <f t="shared" si="1"/>
        <v>1415543.8428454546</v>
      </c>
      <c r="W12" s="175">
        <f t="shared" si="2"/>
        <v>1161324.8399999999</v>
      </c>
    </row>
    <row r="13" spans="1:23" ht="15.75" thickBot="1" x14ac:dyDescent="0.3">
      <c r="B13" s="77"/>
      <c r="C13" s="77"/>
      <c r="I13" s="170" t="s">
        <v>258</v>
      </c>
      <c r="J13" s="142"/>
      <c r="K13" s="256">
        <v>150590.19</v>
      </c>
      <c r="L13" s="142"/>
      <c r="M13" s="256">
        <v>140747.71</v>
      </c>
      <c r="N13" s="142"/>
      <c r="O13" s="171">
        <v>145495</v>
      </c>
      <c r="Q13" s="169" t="s">
        <v>38</v>
      </c>
      <c r="R13" s="173">
        <v>23840.52</v>
      </c>
      <c r="S13" s="173">
        <v>10651.85</v>
      </c>
      <c r="T13" s="174">
        <v>10841</v>
      </c>
      <c r="U13" s="175">
        <f t="shared" si="0"/>
        <v>14044.233600000001</v>
      </c>
      <c r="V13" s="175">
        <f t="shared" si="1"/>
        <v>6323.3255000000008</v>
      </c>
      <c r="W13" s="175">
        <f t="shared" si="2"/>
        <v>5637.3200000000006</v>
      </c>
    </row>
    <row r="14" spans="1:23" x14ac:dyDescent="0.25">
      <c r="A14" s="296" t="s">
        <v>1507</v>
      </c>
      <c r="B14" s="297"/>
      <c r="C14" s="297"/>
      <c r="D14" s="297"/>
      <c r="E14" s="297"/>
      <c r="F14" s="298"/>
      <c r="I14" s="170" t="s">
        <v>113</v>
      </c>
      <c r="J14" s="171">
        <v>65139.77</v>
      </c>
      <c r="K14" s="255"/>
      <c r="L14" s="171">
        <v>65457.01</v>
      </c>
      <c r="M14" s="255"/>
      <c r="N14" s="171">
        <v>62398</v>
      </c>
      <c r="O14" s="142"/>
    </row>
    <row r="15" spans="1:23" x14ac:dyDescent="0.25">
      <c r="A15" s="139"/>
      <c r="B15" s="264" t="s">
        <v>1376</v>
      </c>
      <c r="C15" s="265" t="s">
        <v>1378</v>
      </c>
      <c r="D15" s="288" t="s">
        <v>1506</v>
      </c>
      <c r="E15" s="289"/>
      <c r="F15" s="266" t="s">
        <v>1415</v>
      </c>
      <c r="I15" s="170" t="s">
        <v>116</v>
      </c>
      <c r="J15" s="171">
        <v>93961.78</v>
      </c>
      <c r="K15" s="255"/>
      <c r="L15" s="171">
        <v>94387.36</v>
      </c>
      <c r="M15" s="255"/>
      <c r="N15" s="171">
        <v>87408</v>
      </c>
      <c r="O15" s="142"/>
      <c r="Q15" s="120" t="s">
        <v>1519</v>
      </c>
      <c r="T15" s="198">
        <f>1/11</f>
        <v>9.0909090909090912E-2</v>
      </c>
    </row>
    <row r="16" spans="1:23" x14ac:dyDescent="0.25">
      <c r="A16" s="177" t="s">
        <v>1512</v>
      </c>
      <c r="B16" s="264"/>
      <c r="C16" s="265"/>
      <c r="D16" s="140" t="s">
        <v>1505</v>
      </c>
      <c r="E16" s="151" t="s">
        <v>1504</v>
      </c>
      <c r="F16" s="266"/>
      <c r="I16" s="170" t="s">
        <v>119</v>
      </c>
      <c r="J16" s="171">
        <v>40059.440000000002</v>
      </c>
      <c r="K16" s="255"/>
      <c r="L16" s="171">
        <v>39974.5</v>
      </c>
      <c r="M16" s="255"/>
      <c r="N16" s="171">
        <v>42700</v>
      </c>
      <c r="O16" s="142"/>
    </row>
    <row r="17" spans="1:20" x14ac:dyDescent="0.25">
      <c r="A17" s="177">
        <v>2013</v>
      </c>
      <c r="B17" s="144">
        <v>1.64</v>
      </c>
      <c r="C17" s="146">
        <f>57.79/1.25</f>
        <v>46.231999999999999</v>
      </c>
      <c r="D17" s="133">
        <v>625</v>
      </c>
      <c r="E17" s="144">
        <v>505.42</v>
      </c>
      <c r="F17" s="134">
        <v>6.48</v>
      </c>
      <c r="I17" s="170" t="s">
        <v>120</v>
      </c>
      <c r="J17" s="142"/>
      <c r="K17" s="256">
        <v>69516.69</v>
      </c>
      <c r="L17" s="142"/>
      <c r="M17" s="256">
        <v>65902.320000000007</v>
      </c>
      <c r="N17" s="142"/>
      <c r="O17" s="171">
        <v>66431</v>
      </c>
    </row>
    <row r="18" spans="1:20" x14ac:dyDescent="0.25">
      <c r="A18" s="177">
        <v>2014</v>
      </c>
      <c r="B18" s="144">
        <v>1.62</v>
      </c>
      <c r="C18" s="146">
        <f>60.16/1.25</f>
        <v>48.128</v>
      </c>
      <c r="D18" s="133">
        <v>539.41999999999996</v>
      </c>
      <c r="E18" s="144">
        <v>520</v>
      </c>
      <c r="F18" s="134">
        <v>6.53</v>
      </c>
      <c r="I18" s="170" t="s">
        <v>122</v>
      </c>
      <c r="J18" s="171">
        <v>100974.14</v>
      </c>
      <c r="K18" s="255"/>
      <c r="L18" s="171">
        <v>98514.1</v>
      </c>
      <c r="M18" s="255"/>
      <c r="N18" s="171">
        <v>142387</v>
      </c>
      <c r="O18" s="142"/>
      <c r="Q18" s="168"/>
      <c r="R18" s="172">
        <v>2013</v>
      </c>
      <c r="S18" s="172">
        <v>2014</v>
      </c>
      <c r="T18" s="172">
        <v>2015</v>
      </c>
    </row>
    <row r="19" spans="1:20" ht="15.75" thickBot="1" x14ac:dyDescent="0.3">
      <c r="A19" s="178">
        <v>2015</v>
      </c>
      <c r="B19" s="145">
        <v>1.6052999999999999</v>
      </c>
      <c r="C19" s="147">
        <f>60.66/1.25</f>
        <v>48.527999999999999</v>
      </c>
      <c r="D19" s="135">
        <v>470</v>
      </c>
      <c r="E19" s="145">
        <v>431.25</v>
      </c>
      <c r="F19" s="136">
        <v>5.72</v>
      </c>
      <c r="I19" s="170" t="s">
        <v>123</v>
      </c>
      <c r="J19" s="171">
        <v>55991.35</v>
      </c>
      <c r="K19" s="255"/>
      <c r="L19" s="171">
        <v>59249.89</v>
      </c>
      <c r="M19" s="255"/>
      <c r="N19" s="171">
        <v>58156</v>
      </c>
      <c r="O19" s="142"/>
      <c r="Q19" s="169" t="s">
        <v>24</v>
      </c>
      <c r="R19" s="175">
        <f>SUM(J4:K4)</f>
        <v>373228.33177420002</v>
      </c>
      <c r="S19" s="175">
        <f>SUM(L4:M4)</f>
        <v>300227.14695919998</v>
      </c>
      <c r="T19" s="175">
        <f>SUM(N4:O4)</f>
        <v>220977.05124999999</v>
      </c>
    </row>
    <row r="20" spans="1:20" x14ac:dyDescent="0.25">
      <c r="I20" s="170" t="s">
        <v>266</v>
      </c>
      <c r="J20" s="171">
        <v>75990.58</v>
      </c>
      <c r="K20" s="255"/>
      <c r="L20" s="171">
        <v>67100.22</v>
      </c>
      <c r="M20" s="255"/>
      <c r="N20" s="171">
        <v>62934</v>
      </c>
      <c r="O20" s="142"/>
      <c r="Q20" s="169" t="s">
        <v>26</v>
      </c>
      <c r="R20" s="175">
        <f>SUM(J7:K7)+U3</f>
        <v>603718.53554545459</v>
      </c>
      <c r="S20" s="175">
        <f>SUM(L7:M7)+V3</f>
        <v>523113.55723249092</v>
      </c>
      <c r="T20" s="175">
        <f>SUM(N7:O7)+W3</f>
        <v>424585.59125</v>
      </c>
    </row>
    <row r="21" spans="1:20" x14ac:dyDescent="0.25">
      <c r="A21" s="284"/>
      <c r="B21" s="284"/>
      <c r="C21" s="284"/>
      <c r="D21" s="284"/>
      <c r="I21" s="170" t="s">
        <v>269</v>
      </c>
      <c r="J21" s="171">
        <v>52648.22</v>
      </c>
      <c r="K21" s="255"/>
      <c r="L21" s="171">
        <v>53256.36</v>
      </c>
      <c r="M21" s="255"/>
      <c r="N21" s="171">
        <v>46544</v>
      </c>
      <c r="O21" s="142"/>
      <c r="Q21" s="169" t="s">
        <v>27</v>
      </c>
      <c r="R21" s="175">
        <f>SUM(J10:K10)+U4</f>
        <v>1535486.5194955636</v>
      </c>
      <c r="S21" s="175">
        <f>SUM(L10:M10)+V4</f>
        <v>1289158.7574541452</v>
      </c>
      <c r="T21" s="175">
        <f>SUM(N10:O10)+W4</f>
        <v>1091291.0762499999</v>
      </c>
    </row>
    <row r="22" spans="1:20" x14ac:dyDescent="0.25">
      <c r="A22" s="181"/>
      <c r="B22" s="182"/>
      <c r="C22" s="182"/>
      <c r="D22" s="182"/>
      <c r="I22" s="170" t="s">
        <v>130</v>
      </c>
      <c r="J22" s="171">
        <v>95565.3</v>
      </c>
      <c r="K22" s="255"/>
      <c r="L22" s="171">
        <v>105831.62</v>
      </c>
      <c r="M22" s="255"/>
      <c r="N22" s="171">
        <v>94730</v>
      </c>
      <c r="O22" s="142"/>
      <c r="Q22" s="169" t="s">
        <v>28</v>
      </c>
      <c r="R22" s="175">
        <f>SUM(J28:K28)+U5</f>
        <v>20684.961163636366</v>
      </c>
      <c r="S22" s="175">
        <f>SUM(L28:M28)+V5</f>
        <v>47579.109172854543</v>
      </c>
      <c r="T22" s="175">
        <f>SUM(N28:O28)+W5</f>
        <v>245940.02999999997</v>
      </c>
    </row>
    <row r="23" spans="1:20" x14ac:dyDescent="0.25">
      <c r="A23" s="183"/>
      <c r="B23" s="184"/>
      <c r="C23" s="184"/>
      <c r="D23" s="184"/>
      <c r="I23" s="170" t="s">
        <v>271</v>
      </c>
      <c r="J23" s="142"/>
      <c r="K23" s="256">
        <v>42025.16</v>
      </c>
      <c r="L23" s="142"/>
      <c r="M23" s="256">
        <v>38840.92</v>
      </c>
      <c r="N23" s="142"/>
      <c r="O23" s="171">
        <v>45084</v>
      </c>
      <c r="Q23" s="169" t="s">
        <v>29</v>
      </c>
      <c r="R23" s="175">
        <f>SUM(J30:K30)+U6</f>
        <v>196131.89297272728</v>
      </c>
      <c r="S23" s="175">
        <f>SUM(L30:M30)+V6</f>
        <v>178418.60933949091</v>
      </c>
      <c r="T23" s="175">
        <f>SUM(N30:O30)+W6</f>
        <v>158057.80000000002</v>
      </c>
    </row>
    <row r="24" spans="1:20" x14ac:dyDescent="0.25">
      <c r="A24" s="183"/>
      <c r="B24" s="184"/>
      <c r="C24" s="184"/>
      <c r="D24" s="184"/>
      <c r="I24" s="170" t="s">
        <v>132</v>
      </c>
      <c r="J24" s="171">
        <v>49439.76</v>
      </c>
      <c r="K24" s="255"/>
      <c r="L24" s="171">
        <v>43183.82</v>
      </c>
      <c r="M24" s="255"/>
      <c r="N24" s="171">
        <v>53465</v>
      </c>
      <c r="O24" s="142"/>
      <c r="Q24" s="169" t="s">
        <v>30</v>
      </c>
      <c r="R24" s="175">
        <f>SUM(J33:K33)+U7</f>
        <v>343886.19666396361</v>
      </c>
      <c r="S24" s="175">
        <f>SUM(L33:M33)+V7</f>
        <v>308258.31730023638</v>
      </c>
      <c r="T24" s="175">
        <f>SUM(N33:O33)+W7</f>
        <v>272698.05374999996</v>
      </c>
    </row>
    <row r="25" spans="1:20" x14ac:dyDescent="0.25">
      <c r="A25" s="183"/>
      <c r="B25" s="184"/>
      <c r="C25" s="184"/>
      <c r="D25" s="184"/>
      <c r="I25" s="170" t="s">
        <v>136</v>
      </c>
      <c r="J25" s="142"/>
      <c r="K25" s="256">
        <v>79244.94</v>
      </c>
      <c r="L25" s="142"/>
      <c r="M25" s="256">
        <v>77726.320000000007</v>
      </c>
      <c r="N25" s="142"/>
      <c r="O25" s="171">
        <v>61402</v>
      </c>
      <c r="Q25" s="169" t="s">
        <v>31</v>
      </c>
      <c r="R25" s="175">
        <f>SUM(J38:K38)</f>
        <v>727526.33094220003</v>
      </c>
      <c r="S25" s="175">
        <f>SUM(L38:M38)</f>
        <v>629174.83698719996</v>
      </c>
      <c r="T25" s="175">
        <f>SUM(N38:O38)</f>
        <v>540883.79</v>
      </c>
    </row>
    <row r="26" spans="1:20" x14ac:dyDescent="0.25">
      <c r="A26" s="183"/>
      <c r="B26" s="184"/>
      <c r="C26" s="184"/>
      <c r="D26" s="184"/>
      <c r="I26" s="170" t="s">
        <v>139</v>
      </c>
      <c r="J26" s="171">
        <v>152805.20000000001</v>
      </c>
      <c r="K26" s="255"/>
      <c r="L26" s="171">
        <v>145047.82999999999</v>
      </c>
      <c r="M26" s="255"/>
      <c r="N26" s="171">
        <v>151946</v>
      </c>
      <c r="O26" s="142"/>
      <c r="Q26" s="169" t="s">
        <v>32</v>
      </c>
      <c r="R26" s="175">
        <f>SUM(J43:K43)+U8</f>
        <v>524249.06098558183</v>
      </c>
      <c r="S26" s="175">
        <f>SUM(L43:M43)+V8</f>
        <v>479473.44297709106</v>
      </c>
      <c r="T26" s="175">
        <f>SUM(N43:O43)+W8</f>
        <v>157205.92374999999</v>
      </c>
    </row>
    <row r="27" spans="1:20" x14ac:dyDescent="0.25">
      <c r="A27" s="183"/>
      <c r="B27" s="184"/>
      <c r="C27" s="184"/>
      <c r="D27" s="184"/>
      <c r="I27" s="170" t="s">
        <v>140</v>
      </c>
      <c r="J27" s="142"/>
      <c r="K27" s="256">
        <v>168485.84</v>
      </c>
      <c r="L27" s="142"/>
      <c r="M27" s="256">
        <v>185502.3</v>
      </c>
      <c r="N27" s="142"/>
      <c r="O27" s="171">
        <v>200546</v>
      </c>
      <c r="Q27" s="169" t="s">
        <v>33</v>
      </c>
      <c r="R27" s="175">
        <f>SUM(J47:K47)</f>
        <v>800310.61213480006</v>
      </c>
      <c r="S27" s="175">
        <f>SUM(L47:M47)</f>
        <v>791661.33238360006</v>
      </c>
      <c r="T27" s="175">
        <f>SUM(N47:O47)</f>
        <v>653549.53374999994</v>
      </c>
    </row>
    <row r="28" spans="1:20" x14ac:dyDescent="0.25">
      <c r="A28" s="183"/>
      <c r="B28" s="184"/>
      <c r="C28" s="184"/>
      <c r="D28" s="184"/>
      <c r="I28" s="169" t="s">
        <v>28</v>
      </c>
      <c r="J28" s="240">
        <f>(SUM(J29*D17))/1000</f>
        <v>0</v>
      </c>
      <c r="K28" s="254">
        <f>(SUM(K29*E17))/1000</f>
        <v>0</v>
      </c>
      <c r="L28" s="240">
        <f>(SUM(L29*D18))/1000</f>
        <v>39477.706227399998</v>
      </c>
      <c r="M28" s="254">
        <f>(SUM(M29*E18))/1000</f>
        <v>0</v>
      </c>
      <c r="N28" s="240">
        <f>(SUM(N29*D19))/1000</f>
        <v>35987.43</v>
      </c>
      <c r="O28" s="240">
        <f>(SUM(O29*E19))/1000</f>
        <v>0</v>
      </c>
      <c r="Q28" s="169" t="s">
        <v>34</v>
      </c>
      <c r="R28" s="175">
        <f>SUM(J52:K52)+U9</f>
        <v>123737.91496838184</v>
      </c>
      <c r="S28" s="175">
        <f>SUM(L52:M52)+V9</f>
        <v>107490.80787272728</v>
      </c>
      <c r="T28" s="175">
        <f>SUM(N52:O52)+W9</f>
        <v>61011.901249999995</v>
      </c>
    </row>
    <row r="29" spans="1:20" x14ac:dyDescent="0.25">
      <c r="A29" s="183"/>
      <c r="B29" s="184"/>
      <c r="C29" s="184"/>
      <c r="D29" s="184"/>
      <c r="I29" s="170" t="s">
        <v>141</v>
      </c>
      <c r="J29" s="171"/>
      <c r="K29" s="255"/>
      <c r="L29" s="171">
        <v>73185.47</v>
      </c>
      <c r="M29" s="255"/>
      <c r="N29" s="171">
        <v>76569</v>
      </c>
      <c r="O29" s="142"/>
      <c r="Q29" s="169" t="s">
        <v>35</v>
      </c>
      <c r="R29" s="175">
        <f>SUM(J54:K54)+U10</f>
        <v>225540.0696555273</v>
      </c>
      <c r="S29" s="175">
        <f>SUM(L54:M54)+V10</f>
        <v>227717.00078181821</v>
      </c>
      <c r="T29" s="175">
        <f>SUM(N54:O54)+W10</f>
        <v>215854.68125000002</v>
      </c>
    </row>
    <row r="30" spans="1:20" x14ac:dyDescent="0.25">
      <c r="A30" s="183"/>
      <c r="B30" s="184"/>
      <c r="C30" s="184"/>
      <c r="D30" s="184"/>
      <c r="I30" s="169" t="s">
        <v>29</v>
      </c>
      <c r="J30" s="240">
        <f>(SUM(J31:J32)*D17)/1000</f>
        <v>62311.0625</v>
      </c>
      <c r="K30" s="254">
        <f>(SUM(K31:K32)*E17)/1000</f>
        <v>0</v>
      </c>
      <c r="L30" s="240">
        <f>(SUM(L31:L32)*D18)/1000</f>
        <v>47924.834630399993</v>
      </c>
      <c r="M30" s="254">
        <f>(SUM(M31:M32)*E18)/1000</f>
        <v>0</v>
      </c>
      <c r="N30" s="240">
        <f>(SUM(N31:N32)*D19)/1000</f>
        <v>44640.6</v>
      </c>
      <c r="O30" s="240">
        <f>(SUM(O31:O32)*E19)/1000</f>
        <v>0</v>
      </c>
      <c r="Q30" s="169" t="s">
        <v>36</v>
      </c>
      <c r="R30" s="175">
        <f>SUM(J60:K60)+U11</f>
        <v>580894.27058210922</v>
      </c>
      <c r="S30" s="175">
        <f>SUM(N60:O60)+V11</f>
        <v>537796.29331363644</v>
      </c>
      <c r="T30" s="175">
        <f>SUM(N60:O60)+W11</f>
        <v>329214.98375000001</v>
      </c>
    </row>
    <row r="31" spans="1:20" x14ac:dyDescent="0.25">
      <c r="A31" s="183"/>
      <c r="B31" s="184"/>
      <c r="C31" s="184"/>
      <c r="D31" s="184"/>
      <c r="I31" s="170" t="s">
        <v>144</v>
      </c>
      <c r="J31" s="171">
        <v>54567.67</v>
      </c>
      <c r="K31" s="255"/>
      <c r="L31" s="171">
        <v>50069.58</v>
      </c>
      <c r="M31" s="255"/>
      <c r="N31" s="171">
        <v>51121</v>
      </c>
      <c r="O31" s="142"/>
      <c r="Q31" s="169" t="s">
        <v>37</v>
      </c>
      <c r="R31" s="175">
        <f>SUM(J63:K63)+U12</f>
        <v>4429451.3333536731</v>
      </c>
      <c r="S31" s="175">
        <f>SUM(L63:M63)+V12</f>
        <v>4475920.5976828542</v>
      </c>
      <c r="T31" s="175">
        <f>SUM(N63:O63)+W12</f>
        <v>3522561.8424999998</v>
      </c>
    </row>
    <row r="32" spans="1:20" x14ac:dyDescent="0.25">
      <c r="A32" s="183"/>
      <c r="B32" s="184"/>
      <c r="C32" s="184"/>
      <c r="D32" s="184"/>
      <c r="I32" s="170" t="s">
        <v>147</v>
      </c>
      <c r="J32" s="171">
        <v>45130.03</v>
      </c>
      <c r="K32" s="255"/>
      <c r="L32" s="171">
        <v>38775.54</v>
      </c>
      <c r="M32" s="255"/>
      <c r="N32" s="171">
        <v>43859</v>
      </c>
      <c r="O32" s="142"/>
      <c r="Q32" s="169" t="s">
        <v>38</v>
      </c>
      <c r="R32" s="175">
        <f>SUM(J73:K73)+U13</f>
        <v>39275.386287200003</v>
      </c>
      <c r="S32" s="175">
        <f>SUM(L73:M73)+V13</f>
        <v>24041.280300000006</v>
      </c>
      <c r="T32" s="175">
        <f>SUM(N73:O73)+W13</f>
        <v>20595.657500000001</v>
      </c>
    </row>
    <row r="33" spans="1:20" x14ac:dyDescent="0.25">
      <c r="A33" s="183"/>
      <c r="B33" s="184"/>
      <c r="C33" s="184"/>
      <c r="D33" s="184"/>
      <c r="I33" s="169" t="s">
        <v>30</v>
      </c>
      <c r="J33" s="238">
        <f>(SUM(J34:J37)*D17)/1000</f>
        <v>125535.7</v>
      </c>
      <c r="K33" s="257">
        <f>(SUM(K34:K37)*E17)/1000</f>
        <v>56152.556227599998</v>
      </c>
      <c r="L33" s="238">
        <f>(SUM(L34:L37)*D18)/1000</f>
        <v>96310.058836600001</v>
      </c>
      <c r="M33" s="257">
        <f>(SUM(M34:M37)*E18)/1000</f>
        <v>53562.069600000003</v>
      </c>
      <c r="N33" s="238">
        <f>(SUM(N34:N37)*D19)/1000</f>
        <v>87694.95</v>
      </c>
      <c r="O33" s="238">
        <f>(SUM(O34:O37)*E19)/1000</f>
        <v>38244.543749999997</v>
      </c>
      <c r="Q33" s="169" t="s">
        <v>39</v>
      </c>
      <c r="R33" s="175">
        <f>SUM(J75:K75)</f>
        <v>1646867.1672314</v>
      </c>
      <c r="S33" s="175">
        <f>SUM(L75:M75)</f>
        <v>1562112.2564195998</v>
      </c>
      <c r="T33" s="175">
        <f>SUM(N75:O75)</f>
        <v>1368328.0274999999</v>
      </c>
    </row>
    <row r="34" spans="1:20" x14ac:dyDescent="0.25">
      <c r="I34" s="170" t="s">
        <v>152</v>
      </c>
      <c r="J34" s="171">
        <v>57987.6</v>
      </c>
      <c r="K34" s="255"/>
      <c r="L34" s="171">
        <v>60151.33</v>
      </c>
      <c r="M34" s="255"/>
      <c r="N34" s="171">
        <v>70127</v>
      </c>
      <c r="O34" s="142"/>
      <c r="Q34" s="169" t="s">
        <v>40</v>
      </c>
      <c r="R34" s="175">
        <f>SUM(J78)</f>
        <v>224850.41875000001</v>
      </c>
      <c r="S34" s="175">
        <f>SUM(L78)</f>
        <v>133596.95388759999</v>
      </c>
      <c r="T34" s="175">
        <f>SUM(N78)</f>
        <v>126141.89</v>
      </c>
    </row>
    <row r="35" spans="1:20" x14ac:dyDescent="0.25">
      <c r="I35" s="170" t="s">
        <v>133</v>
      </c>
      <c r="J35" s="171">
        <v>83125.95</v>
      </c>
      <c r="K35" s="255"/>
      <c r="L35" s="171">
        <v>75968.83</v>
      </c>
      <c r="M35" s="255"/>
      <c r="N35" s="171">
        <v>67250</v>
      </c>
      <c r="O35" s="142"/>
    </row>
    <row r="36" spans="1:20" x14ac:dyDescent="0.25">
      <c r="I36" s="170" t="s">
        <v>153</v>
      </c>
      <c r="J36" s="142"/>
      <c r="K36" s="256">
        <v>111100.78</v>
      </c>
      <c r="L36" s="142"/>
      <c r="M36" s="256">
        <v>103003.98</v>
      </c>
      <c r="N36" s="142"/>
      <c r="O36" s="171">
        <v>88683</v>
      </c>
    </row>
    <row r="37" spans="1:20" x14ac:dyDescent="0.25">
      <c r="I37" s="170" t="s">
        <v>154</v>
      </c>
      <c r="J37" s="171">
        <v>59743.57</v>
      </c>
      <c r="K37" s="255"/>
      <c r="L37" s="171">
        <v>42423.57</v>
      </c>
      <c r="M37" s="255"/>
      <c r="N37" s="171">
        <v>49208</v>
      </c>
      <c r="O37" s="142"/>
    </row>
    <row r="38" spans="1:20" x14ac:dyDescent="0.25">
      <c r="I38" s="169" t="s">
        <v>31</v>
      </c>
      <c r="J38" s="238">
        <f>(SUM(J39:J42)*D17)/1000</f>
        <v>301777.5</v>
      </c>
      <c r="K38" s="257">
        <f>(SUM(K39:K42)*E17)/1000</f>
        <v>425748.83094219997</v>
      </c>
      <c r="L38" s="238">
        <f>(SUM(L39:L42)*D18)/1000</f>
        <v>248982.33338719996</v>
      </c>
      <c r="M38" s="257">
        <f>(SUM(M39:M42)*E18)/1000</f>
        <v>380192.50359999994</v>
      </c>
      <c r="N38" s="238">
        <f>(SUM(N39:N42)*D19)/1000</f>
        <v>204143.09</v>
      </c>
      <c r="O38" s="238">
        <f>(SUM(O39:O42)*E19)/1000</f>
        <v>336740.7</v>
      </c>
    </row>
    <row r="39" spans="1:20" x14ac:dyDescent="0.25">
      <c r="I39" s="170" t="s">
        <v>156</v>
      </c>
      <c r="J39" s="171">
        <v>482844</v>
      </c>
      <c r="K39" s="255"/>
      <c r="L39" s="171">
        <v>461574.16</v>
      </c>
      <c r="M39" s="255"/>
      <c r="N39" s="171">
        <v>434347</v>
      </c>
      <c r="O39" s="142"/>
    </row>
    <row r="40" spans="1:20" x14ac:dyDescent="0.25">
      <c r="I40" s="170" t="s">
        <v>157</v>
      </c>
      <c r="J40" s="142"/>
      <c r="K40" s="256">
        <v>157887.53</v>
      </c>
      <c r="L40" s="142"/>
      <c r="M40" s="256">
        <v>151151.85999999999</v>
      </c>
      <c r="N40" s="142"/>
      <c r="O40" s="171">
        <v>184978</v>
      </c>
    </row>
    <row r="41" spans="1:20" x14ac:dyDescent="0.25">
      <c r="I41" s="170" t="s">
        <v>158</v>
      </c>
      <c r="J41" s="142"/>
      <c r="K41" s="256">
        <v>284953.06</v>
      </c>
      <c r="L41" s="142"/>
      <c r="M41" s="256">
        <v>228247.22</v>
      </c>
      <c r="N41" s="142"/>
      <c r="O41" s="171">
        <v>233592</v>
      </c>
    </row>
    <row r="42" spans="1:20" x14ac:dyDescent="0.25">
      <c r="I42" s="170" t="s">
        <v>1397</v>
      </c>
      <c r="J42" s="142"/>
      <c r="K42" s="256">
        <v>399525.82</v>
      </c>
      <c r="L42" s="142"/>
      <c r="M42" s="256">
        <v>351740.35</v>
      </c>
      <c r="N42" s="142"/>
      <c r="O42" s="171">
        <v>362278</v>
      </c>
    </row>
    <row r="43" spans="1:20" x14ac:dyDescent="0.25">
      <c r="I43" s="169" t="s">
        <v>32</v>
      </c>
      <c r="J43" s="238">
        <f>(SUM(J44:J46)*D17)/1000</f>
        <v>5639.95</v>
      </c>
      <c r="K43" s="257">
        <f>(SUM(K44:K46)*E17)/1000</f>
        <v>182199.59876739999</v>
      </c>
      <c r="L43" s="238">
        <f>(SUM(L44:L46)*D18)/1000</f>
        <v>4455.824967999999</v>
      </c>
      <c r="M43" s="257">
        <f>(SUM(M44:M46)*E18)/1000</f>
        <v>173520.57840000003</v>
      </c>
      <c r="N43" s="238">
        <f>(SUM(N44:N46)*D19)/1000</f>
        <v>3227.96</v>
      </c>
      <c r="O43" s="238">
        <f>(SUM(O44:O46)*E19)/1000</f>
        <v>25872.84375</v>
      </c>
    </row>
    <row r="44" spans="1:20" x14ac:dyDescent="0.25">
      <c r="I44" s="170" t="s">
        <v>160</v>
      </c>
      <c r="J44" s="171">
        <v>9023.92</v>
      </c>
      <c r="K44" s="255"/>
      <c r="L44" s="171">
        <v>8260.4</v>
      </c>
      <c r="M44" s="255"/>
      <c r="N44" s="171">
        <v>6868</v>
      </c>
      <c r="O44" s="142"/>
    </row>
    <row r="45" spans="1:20" x14ac:dyDescent="0.25">
      <c r="I45" s="170" t="s">
        <v>162</v>
      </c>
      <c r="J45" s="142"/>
      <c r="K45" s="256">
        <v>60702.42</v>
      </c>
      <c r="L45" s="142"/>
      <c r="M45" s="256">
        <v>59305.27</v>
      </c>
      <c r="N45" s="142"/>
      <c r="O45" s="171">
        <v>59995</v>
      </c>
    </row>
    <row r="46" spans="1:20" x14ac:dyDescent="0.25">
      <c r="I46" s="170" t="s">
        <v>163</v>
      </c>
      <c r="J46" s="142"/>
      <c r="K46" s="256">
        <v>299789.05</v>
      </c>
      <c r="L46" s="142"/>
      <c r="M46" s="256">
        <v>274388.15000000002</v>
      </c>
      <c r="N46" s="171"/>
      <c r="O46" s="142"/>
    </row>
    <row r="47" spans="1:20" x14ac:dyDescent="0.25">
      <c r="I47" s="169" t="s">
        <v>33</v>
      </c>
      <c r="J47" s="238">
        <f>(SUM(J48:J51)*D17)/1000</f>
        <v>586903.11250000005</v>
      </c>
      <c r="K47" s="257">
        <f>(SUM(K48:K51)*E17)/1000</f>
        <v>213407.49963480001</v>
      </c>
      <c r="L47" s="238">
        <f>(SUM(L48:L51)*D18)/1000</f>
        <v>561566.7403836</v>
      </c>
      <c r="M47" s="257">
        <f>(SUM(M48:M51)*E18)/1000</f>
        <v>230094.59200000003</v>
      </c>
      <c r="N47" s="238">
        <f>(SUM(N48:N51)*D19)/1000</f>
        <v>451264.39</v>
      </c>
      <c r="O47" s="238">
        <f>(SUM(O48:O51)*E19)/1000</f>
        <v>202285.14374999999</v>
      </c>
    </row>
    <row r="48" spans="1:20" x14ac:dyDescent="0.25">
      <c r="I48" s="170" t="s">
        <v>169</v>
      </c>
      <c r="J48" s="171">
        <v>33415.31</v>
      </c>
      <c r="K48" s="255"/>
      <c r="L48" s="171">
        <v>28380.560000000001</v>
      </c>
      <c r="M48" s="255"/>
      <c r="N48" s="171">
        <v>34426</v>
      </c>
      <c r="O48" s="142"/>
    </row>
    <row r="49" spans="9:16" x14ac:dyDescent="0.25">
      <c r="I49" s="170" t="s">
        <v>171</v>
      </c>
      <c r="J49" s="142"/>
      <c r="K49" s="256">
        <v>83565.42</v>
      </c>
      <c r="L49" s="142"/>
      <c r="M49" s="256">
        <v>86237.94</v>
      </c>
      <c r="N49" s="142"/>
      <c r="O49" s="171">
        <v>83787</v>
      </c>
    </row>
    <row r="50" spans="9:16" x14ac:dyDescent="0.25">
      <c r="I50" s="170" t="s">
        <v>172</v>
      </c>
      <c r="J50" s="171">
        <v>905629.67</v>
      </c>
      <c r="K50" s="255"/>
      <c r="L50" s="171">
        <v>1012676.02</v>
      </c>
      <c r="M50" s="255"/>
      <c r="N50" s="171">
        <v>925711</v>
      </c>
      <c r="O50" s="142"/>
    </row>
    <row r="51" spans="9:16" x14ac:dyDescent="0.25">
      <c r="I51" s="170" t="s">
        <v>175</v>
      </c>
      <c r="J51" s="142"/>
      <c r="K51" s="256">
        <v>338672.52</v>
      </c>
      <c r="L51" s="142"/>
      <c r="M51" s="256">
        <v>356251.66000000003</v>
      </c>
      <c r="N51" s="142"/>
      <c r="O51" s="171">
        <v>385280</v>
      </c>
    </row>
    <row r="52" spans="9:16" x14ac:dyDescent="0.25">
      <c r="I52" s="169" t="s">
        <v>34</v>
      </c>
      <c r="J52" s="238">
        <f>(SUM(J53)*D17)/1000</f>
        <v>0</v>
      </c>
      <c r="K52" s="257">
        <f>(SUM(K53)*E17)/1000</f>
        <v>47180.355550200002</v>
      </c>
      <c r="L52" s="238">
        <f>(SUM(L53)*D18)/1000</f>
        <v>0</v>
      </c>
      <c r="M52" s="257">
        <f>(SUM(M53)*E18)/1000</f>
        <v>39231.4</v>
      </c>
      <c r="N52" s="238">
        <f>(SUM(N53)*D19)/1000</f>
        <v>0</v>
      </c>
      <c r="O52" s="238">
        <f>(SUM(O53)*E19)/1000</f>
        <v>134.98124999999999</v>
      </c>
    </row>
    <row r="53" spans="9:16" x14ac:dyDescent="0.25">
      <c r="I53" s="170" t="s">
        <v>177</v>
      </c>
      <c r="J53" s="142"/>
      <c r="K53" s="256">
        <v>93348.81</v>
      </c>
      <c r="L53" s="142"/>
      <c r="M53" s="256">
        <v>75445</v>
      </c>
      <c r="N53" s="142"/>
      <c r="O53" s="171">
        <v>313</v>
      </c>
    </row>
    <row r="54" spans="9:16" x14ac:dyDescent="0.25">
      <c r="I54" s="169" t="s">
        <v>35</v>
      </c>
      <c r="J54" s="238">
        <f>(SUM(J55:J59)*D17)/1000</f>
        <v>0</v>
      </c>
      <c r="K54" s="257">
        <f>(SUM(K55:K59)*E17)/1000</f>
        <v>52228.758382799999</v>
      </c>
      <c r="L54" s="238">
        <f>(SUM(L55:L59)*D18)/1000</f>
        <v>0</v>
      </c>
      <c r="M54" s="257">
        <f>(SUM(M55:M59)*E18)/1000</f>
        <v>92029.121600000013</v>
      </c>
      <c r="N54" s="238">
        <f>(SUM(N55:N59)*D19)/1000</f>
        <v>0</v>
      </c>
      <c r="O54" s="238">
        <f>(SUM(O55:O59)*E19)/1000</f>
        <v>104124.88125000001</v>
      </c>
    </row>
    <row r="55" spans="9:16" x14ac:dyDescent="0.25">
      <c r="I55" s="170" t="s">
        <v>180</v>
      </c>
      <c r="J55" s="142"/>
      <c r="K55" s="256">
        <v>5686.6</v>
      </c>
      <c r="L55" s="142"/>
      <c r="M55" s="256">
        <v>29877.1</v>
      </c>
      <c r="N55" s="142"/>
      <c r="O55" s="171">
        <v>30458</v>
      </c>
    </row>
    <row r="56" spans="9:16" x14ac:dyDescent="0.25">
      <c r="I56" s="170" t="s">
        <v>181</v>
      </c>
      <c r="J56" s="142"/>
      <c r="K56" s="256">
        <v>54449.69</v>
      </c>
      <c r="L56" s="142"/>
      <c r="M56" s="256">
        <v>52607.78</v>
      </c>
      <c r="N56" s="142"/>
      <c r="O56" s="171">
        <v>50572</v>
      </c>
    </row>
    <row r="57" spans="9:16" x14ac:dyDescent="0.25">
      <c r="I57" s="170" t="s">
        <v>182</v>
      </c>
      <c r="J57" s="142"/>
      <c r="K57" s="256">
        <v>30034.55</v>
      </c>
      <c r="L57" s="142"/>
      <c r="M57" s="256">
        <v>27136.25</v>
      </c>
      <c r="N57" s="142"/>
      <c r="O57" s="171">
        <v>31643</v>
      </c>
    </row>
    <row r="58" spans="9:16" x14ac:dyDescent="0.25">
      <c r="I58" s="170" t="s">
        <v>174</v>
      </c>
      <c r="J58" s="142"/>
      <c r="K58" s="256"/>
      <c r="L58" s="142"/>
      <c r="M58" s="256">
        <v>56460.83</v>
      </c>
      <c r="N58" s="142"/>
      <c r="O58" s="171">
        <v>121153</v>
      </c>
    </row>
    <row r="59" spans="9:16" x14ac:dyDescent="0.25">
      <c r="I59" s="170" t="s">
        <v>183</v>
      </c>
      <c r="J59" s="142"/>
      <c r="K59" s="256">
        <v>13166.5</v>
      </c>
      <c r="L59" s="142"/>
      <c r="M59" s="256">
        <v>10897.12</v>
      </c>
      <c r="N59" s="142"/>
      <c r="O59" s="171">
        <v>7623</v>
      </c>
    </row>
    <row r="60" spans="9:16" x14ac:dyDescent="0.25">
      <c r="I60" s="169" t="s">
        <v>36</v>
      </c>
      <c r="J60" s="238">
        <f>SUM(J61:J62)*D17/1000</f>
        <v>0</v>
      </c>
      <c r="K60" s="257">
        <f>SUM(K61:K62)*E17/1000</f>
        <v>197724.02389120002</v>
      </c>
      <c r="L60" s="238">
        <f>SUM(L61:L62)*D18/1000</f>
        <v>0</v>
      </c>
      <c r="M60" s="257">
        <f t="shared" ref="M60" si="3">SUM(M61:M62)*E18/1000</f>
        <v>191869.58960000001</v>
      </c>
      <c r="N60" s="238">
        <f>SUM(N61:N62)*D19/1000</f>
        <v>0</v>
      </c>
      <c r="O60" s="238">
        <f>SUM(O61:O62)*E19/1000</f>
        <v>158276.94375000001</v>
      </c>
    </row>
    <row r="61" spans="9:16" x14ac:dyDescent="0.25">
      <c r="I61" s="170" t="s">
        <v>190</v>
      </c>
      <c r="J61" s="142"/>
      <c r="K61" s="256">
        <v>243500.19</v>
      </c>
      <c r="L61" s="142"/>
      <c r="M61" s="256">
        <v>237543.7</v>
      </c>
      <c r="N61" s="142"/>
      <c r="O61" s="171">
        <v>222646</v>
      </c>
    </row>
    <row r="62" spans="9:16" x14ac:dyDescent="0.25">
      <c r="I62" s="170" t="s">
        <v>1482</v>
      </c>
      <c r="J62" s="142"/>
      <c r="K62" s="256">
        <v>147707.17000000001</v>
      </c>
      <c r="L62" s="142"/>
      <c r="M62" s="256">
        <v>131436.28</v>
      </c>
      <c r="N62" s="142"/>
      <c r="O62" s="171">
        <v>144373</v>
      </c>
    </row>
    <row r="63" spans="9:16" x14ac:dyDescent="0.25">
      <c r="I63" s="169" t="s">
        <v>37</v>
      </c>
      <c r="J63" s="238">
        <f>(SUM(J64:J72)*D17)/1000</f>
        <v>924129.58125000005</v>
      </c>
      <c r="K63" s="257">
        <f>(SUM(K64:K72)*E17)/1000</f>
        <v>2152606.7361764</v>
      </c>
      <c r="L63" s="238">
        <f>(SUM(L64:L72)*D18)/1000</f>
        <v>832951.31043739989</v>
      </c>
      <c r="M63" s="257">
        <f>(SUM(M64:M72)*E18)/1000</f>
        <v>2227425.4443999999</v>
      </c>
      <c r="N63" s="238">
        <f>(SUM(N64:N72)*D19)/1000</f>
        <v>671139.79</v>
      </c>
      <c r="O63" s="238">
        <f>(SUM(O64:O72)*E19)/1000</f>
        <v>1690097.2124999999</v>
      </c>
      <c r="P63" s="86"/>
    </row>
    <row r="64" spans="9:16" x14ac:dyDescent="0.25">
      <c r="I64" s="170" t="s">
        <v>320</v>
      </c>
      <c r="J64" s="142"/>
      <c r="K64" s="256">
        <v>60539.97</v>
      </c>
      <c r="L64" s="142"/>
      <c r="M64" s="256">
        <v>59844.959999999999</v>
      </c>
      <c r="N64" s="142"/>
      <c r="O64" s="171">
        <v>53668</v>
      </c>
      <c r="P64" s="185"/>
    </row>
    <row r="65" spans="9:15" x14ac:dyDescent="0.25">
      <c r="I65" s="170" t="s">
        <v>1400</v>
      </c>
      <c r="J65" s="142"/>
      <c r="K65" s="256">
        <v>19005.64</v>
      </c>
      <c r="L65" s="142"/>
      <c r="M65" s="256">
        <v>20176.22</v>
      </c>
      <c r="N65" s="142"/>
      <c r="O65" s="171">
        <v>18233</v>
      </c>
    </row>
    <row r="66" spans="9:15" x14ac:dyDescent="0.25">
      <c r="I66" s="170" t="s">
        <v>1398</v>
      </c>
      <c r="J66" s="142"/>
      <c r="K66" s="256">
        <v>1240458</v>
      </c>
      <c r="L66" s="142"/>
      <c r="M66" s="256">
        <v>1303136</v>
      </c>
      <c r="N66" s="142"/>
      <c r="O66" s="171">
        <v>1128021</v>
      </c>
    </row>
    <row r="67" spans="9:15" x14ac:dyDescent="0.25">
      <c r="I67" s="170" t="s">
        <v>194</v>
      </c>
      <c r="J67" s="142"/>
      <c r="K67" s="256">
        <v>1159041.3399999999</v>
      </c>
      <c r="L67" s="142"/>
      <c r="M67" s="256">
        <v>1131573.3</v>
      </c>
      <c r="N67" s="142"/>
      <c r="O67" s="171">
        <v>1039131</v>
      </c>
    </row>
    <row r="68" spans="9:15" x14ac:dyDescent="0.25">
      <c r="I68" s="170" t="s">
        <v>1399</v>
      </c>
      <c r="J68" s="171">
        <v>632988.22</v>
      </c>
      <c r="K68" s="255"/>
      <c r="L68" s="171">
        <v>650682.89999999991</v>
      </c>
      <c r="M68" s="255"/>
      <c r="N68" s="171">
        <v>572302</v>
      </c>
      <c r="O68" s="142"/>
    </row>
    <row r="69" spans="9:15" x14ac:dyDescent="0.25">
      <c r="I69" s="170" t="s">
        <v>197</v>
      </c>
      <c r="J69" s="142"/>
      <c r="K69" s="256">
        <v>25761.84</v>
      </c>
      <c r="L69" s="142"/>
      <c r="M69" s="256">
        <v>28152.75</v>
      </c>
      <c r="N69" s="142"/>
      <c r="O69" s="171">
        <v>26255</v>
      </c>
    </row>
    <row r="70" spans="9:15" x14ac:dyDescent="0.25">
      <c r="I70" s="170" t="s">
        <v>200</v>
      </c>
      <c r="J70" s="171">
        <v>845619.11</v>
      </c>
      <c r="K70" s="255"/>
      <c r="L70" s="171">
        <v>893478.07000000007</v>
      </c>
      <c r="M70" s="255"/>
      <c r="N70" s="171">
        <v>855655</v>
      </c>
      <c r="O70" s="142"/>
    </row>
    <row r="71" spans="9:15" x14ac:dyDescent="0.25">
      <c r="I71" s="170" t="s">
        <v>336</v>
      </c>
      <c r="J71" s="142"/>
      <c r="K71" s="256">
        <v>856611.57</v>
      </c>
      <c r="L71" s="142"/>
      <c r="M71" s="256">
        <v>894514.33</v>
      </c>
      <c r="N71" s="142"/>
      <c r="O71" s="171">
        <v>875522</v>
      </c>
    </row>
    <row r="72" spans="9:15" x14ac:dyDescent="0.25">
      <c r="I72" s="170" t="s">
        <v>338</v>
      </c>
      <c r="J72" s="142"/>
      <c r="K72" s="256">
        <v>897627.06</v>
      </c>
      <c r="L72" s="142"/>
      <c r="M72" s="256">
        <v>846112.91</v>
      </c>
      <c r="N72" s="142"/>
      <c r="O72" s="171">
        <v>778236</v>
      </c>
    </row>
    <row r="73" spans="9:15" x14ac:dyDescent="0.25">
      <c r="I73" s="169" t="s">
        <v>38</v>
      </c>
      <c r="J73" s="238">
        <f>(SUM(J74)*D17)/1000</f>
        <v>0</v>
      </c>
      <c r="K73" s="257">
        <f>(SUM(K74)*E17)/1000</f>
        <v>25231.152687200003</v>
      </c>
      <c r="L73" s="238">
        <f>(SUM(L74)*D18)/1000</f>
        <v>0</v>
      </c>
      <c r="M73" s="257">
        <f>(SUM(M74)*E18)/1000</f>
        <v>17717.954800000003</v>
      </c>
      <c r="N73" s="238">
        <f>(SUM(N74)*D19)/1000</f>
        <v>0</v>
      </c>
      <c r="O73" s="238">
        <f>(SUM(O74)*E19)/1000</f>
        <v>14958.3375</v>
      </c>
    </row>
    <row r="74" spans="9:15" x14ac:dyDescent="0.25">
      <c r="I74" s="170" t="s">
        <v>1401</v>
      </c>
      <c r="J74" s="142"/>
      <c r="K74" s="256">
        <v>49921.16</v>
      </c>
      <c r="L74" s="142"/>
      <c r="M74" s="256">
        <v>34072.990000000005</v>
      </c>
      <c r="N74" s="142"/>
      <c r="O74" s="171">
        <v>34686</v>
      </c>
    </row>
    <row r="75" spans="9:15" x14ac:dyDescent="0.25">
      <c r="I75" s="169" t="s">
        <v>39</v>
      </c>
      <c r="J75" s="238">
        <f>(SUM(J76:J77)*D17)/1000</f>
        <v>902721.79999999993</v>
      </c>
      <c r="K75" s="257">
        <f>(SUM(K76:K77)*E17)/1000</f>
        <v>744145.36723139999</v>
      </c>
      <c r="L75" s="238">
        <f>(SUM(L76:L77)*D18)/1000</f>
        <v>887751.74881959986</v>
      </c>
      <c r="M75" s="257">
        <f>(SUM(M76:M77)*E18)/1000</f>
        <v>674360.5075999999</v>
      </c>
      <c r="N75" s="238">
        <f>(SUM(N76:N77)*D19)/1000</f>
        <v>781963.44</v>
      </c>
      <c r="O75" s="238">
        <f>(SUM(O76:O77)*E19)/1000</f>
        <v>586364.58750000002</v>
      </c>
    </row>
    <row r="76" spans="9:15" x14ac:dyDescent="0.25">
      <c r="I76" s="170" t="s">
        <v>1402</v>
      </c>
      <c r="J76" s="171">
        <v>1444354.88</v>
      </c>
      <c r="K76" s="255"/>
      <c r="L76" s="171">
        <v>1645752.38</v>
      </c>
      <c r="M76" s="255"/>
      <c r="N76" s="171">
        <v>1663752</v>
      </c>
      <c r="O76" s="142"/>
    </row>
    <row r="77" spans="9:15" x14ac:dyDescent="0.25">
      <c r="I77" s="170" t="s">
        <v>209</v>
      </c>
      <c r="J77" s="142"/>
      <c r="K77" s="256">
        <v>1472330.67</v>
      </c>
      <c r="L77" s="142"/>
      <c r="M77" s="256">
        <v>1296847.1299999999</v>
      </c>
      <c r="N77" s="142"/>
      <c r="O77" s="171">
        <v>1359686</v>
      </c>
    </row>
    <row r="78" spans="9:15" x14ac:dyDescent="0.25">
      <c r="I78" s="169" t="s">
        <v>40</v>
      </c>
      <c r="J78" s="239">
        <f>(SUM(J79)*D17)/1000</f>
        <v>224850.41875000001</v>
      </c>
      <c r="K78" s="258"/>
      <c r="L78" s="239">
        <f>(SUM(L79)*D18)/1000</f>
        <v>133596.95388759999</v>
      </c>
      <c r="M78" s="258"/>
      <c r="N78" s="239">
        <f>(SUM(N79)*D19)/1000</f>
        <v>126141.89</v>
      </c>
      <c r="O78" s="239"/>
    </row>
    <row r="79" spans="9:15" x14ac:dyDescent="0.25">
      <c r="I79" s="170" t="s">
        <v>213</v>
      </c>
      <c r="J79" s="170">
        <v>359760.67</v>
      </c>
      <c r="K79" s="259"/>
      <c r="L79" s="170">
        <v>247667.78</v>
      </c>
      <c r="M79" s="259"/>
      <c r="N79" s="170">
        <v>268387</v>
      </c>
      <c r="O79" s="170"/>
    </row>
    <row r="80" spans="9:15" x14ac:dyDescent="0.25">
      <c r="I80" s="20"/>
      <c r="J80" s="20"/>
      <c r="K80" s="20"/>
      <c r="L80" s="20"/>
      <c r="M80" s="20"/>
      <c r="N80" s="20"/>
      <c r="O80" s="20"/>
    </row>
    <row r="82" spans="12:13" x14ac:dyDescent="0.25">
      <c r="L82" s="86"/>
      <c r="M82" s="86"/>
    </row>
  </sheetData>
  <mergeCells count="14">
    <mergeCell ref="R1:T1"/>
    <mergeCell ref="U1:W1"/>
    <mergeCell ref="A21:D21"/>
    <mergeCell ref="N2:O2"/>
    <mergeCell ref="L2:M2"/>
    <mergeCell ref="J2:K2"/>
    <mergeCell ref="I1:O1"/>
    <mergeCell ref="D15:E15"/>
    <mergeCell ref="F15:F16"/>
    <mergeCell ref="B15:B16"/>
    <mergeCell ref="C15:C16"/>
    <mergeCell ref="A7:E7"/>
    <mergeCell ref="A1:G1"/>
    <mergeCell ref="A14:F1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11</vt:i4>
      </vt:variant>
    </vt:vector>
  </HeadingPairs>
  <TitlesOfParts>
    <vt:vector size="11" baseType="lpstr">
      <vt:lpstr>DATA-original</vt:lpstr>
      <vt:lpstr>DATA-kopi</vt:lpstr>
      <vt:lpstr>CO2regnskab2008-2015</vt:lpstr>
      <vt:lpstr>Pivot</vt:lpstr>
      <vt:lpstr>CO2 beregning</vt:lpstr>
      <vt:lpstr>Ark4</vt:lpstr>
      <vt:lpstr>Ark5</vt:lpstr>
      <vt:lpstr>Ark6</vt:lpstr>
      <vt:lpstr>Energipriser - varme</vt:lpstr>
      <vt:lpstr>Ark1</vt:lpstr>
      <vt:lpstr>Bygninger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Claus Humlum</dc:creator>
  <cp:lastModifiedBy>fkadmin</cp:lastModifiedBy>
  <cp:lastPrinted>2016-11-03T13:24:47Z</cp:lastPrinted>
  <dcterms:created xsi:type="dcterms:W3CDTF">2015-05-28T14:59:11Z</dcterms:created>
  <dcterms:modified xsi:type="dcterms:W3CDTF">2016-11-03T13:37:36Z</dcterms:modified>
</cp:coreProperties>
</file>